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4.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13.xml" ContentType="application/vnd.openxmlformats-officedocument.drawing+xml"/>
  <Override PartName="/xl/pivotTables/pivotTable35.xml" ContentType="application/vnd.openxmlformats-officedocument.spreadsheetml.pivotTable+xml"/>
  <Override PartName="/xl/pivotTables/pivotTable36.xml" ContentType="application/vnd.openxmlformats-officedocument.spreadsheetml.pivotTable+xml"/>
  <Override PartName="/xl/drawings/drawing14.xml" ContentType="application/vnd.openxmlformats-officedocument.drawing+xml"/>
  <Override PartName="/xl/pivotTables/pivotTable37.xml" ContentType="application/vnd.openxmlformats-officedocument.spreadsheetml.pivotTable+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22.xml" ContentType="application/vnd.openxmlformats-officedocument.drawing+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2" ContentType="application/binary"/>
  <Override PartName="/xl/commentsmeta1" ContentType="application/binary"/>
  <Override PartName="/xl/persons/person.xml" ContentType="application/vnd.ms-excel.person+xml"/>
  <Override PartName="/xl/threadedComments/threadedComment2.xml" ContentType="application/vnd.ms-excel.threadedcomment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D:\MAGDALENA\EDRBE\APROBACIÓN\DOCUMENTOS\PLAN DE INVERSIONES\"/>
    </mc:Choice>
  </mc:AlternateContent>
  <bookViews>
    <workbookView xWindow="0" yWindow="0" windowWidth="20486" windowHeight="7621" tabRatio="862" firstSheet="34" activeTab="40"/>
  </bookViews>
  <sheets>
    <sheet name="Instrucciones" sheetId="58" r:id="rId1"/>
    <sheet name="1.Metas Política SM" sheetId="1" r:id="rId2"/>
    <sheet name="UDT -USAS-INTRV" sheetId="35" state="hidden" r:id="rId3"/>
    <sheet name="Priorizaión" sheetId="32" state="hidden" r:id="rId4"/>
    <sheet name="Intr y S X USA y UDT" sheetId="33" state="hidden" r:id="rId5"/>
    <sheet name="Intr y S X UDT - USA" sheetId="34" state="hidden" r:id="rId6"/>
    <sheet name="Pres Prog-Pyto Comp X UDT" sheetId="26" state="hidden" r:id="rId7"/>
    <sheet name="Presp RE x Año" sheetId="27" state="hidden" r:id="rId8"/>
    <sheet name="Presp USA y CAt X UDT" sheetId="30" state="hidden" r:id="rId9"/>
    <sheet name="CATEGORIAS X UDT" sheetId="39" state="hidden" r:id="rId10"/>
    <sheet name="Presp Cat e Inter X UDT" sheetId="28" state="hidden" r:id="rId11"/>
    <sheet name="COMPONENTES X UDT" sheetId="40" state="hidden" r:id="rId12"/>
    <sheet name="RE X UDT" sheetId="29" state="hidden" r:id="rId13"/>
    <sheet name="APALANCTO X UDT 1" sheetId="36" state="hidden" r:id="rId14"/>
    <sheet name="APALANCTO X UDT 2" sheetId="49" state="hidden" r:id="rId15"/>
    <sheet name="APALANCTO X UDT 3" sheetId="48" state="hidden" r:id="rId16"/>
    <sheet name="Intev x UDT y USAs" sheetId="38" state="hidden" r:id="rId17"/>
    <sheet name=" USA-COMP-INTER X USA -PRIORIZA" sheetId="25" state="hidden" r:id="rId18"/>
    <sheet name="PRESUP X AÑO A NIVEL UDT Y USA" sheetId="43" state="hidden" r:id="rId19"/>
    <sheet name="INTERVENCIONES TOTAL" sheetId="42" state="hidden" r:id="rId20"/>
    <sheet name="USA VS PROGRAMAS" sheetId="50" state="hidden" r:id="rId21"/>
    <sheet name="USA-COMP-INTER VS PROGRAMA" sheetId="51" state="hidden" r:id="rId22"/>
    <sheet name="2.Teoría de Cambio San Martín" sheetId="2" r:id="rId23"/>
    <sheet name="3.Intervenciones Transv. Region" sheetId="19" r:id="rId24"/>
    <sheet name="4. Intervenciones UDT - HCBM" sheetId="15" r:id="rId25"/>
    <sheet name="5. Intervenciones UDT - AH" sheetId="18" r:id="rId26"/>
    <sheet name="6. Intervenciones UDT- AM" sheetId="16" r:id="rId27"/>
    <sheet name="7. Intervenciones UDT- BH" sheetId="17" r:id="rId28"/>
    <sheet name="9. Costos Centrales" sheetId="59" r:id="rId29"/>
    <sheet name="8. BASE  CONSOLIDADA" sheetId="14" r:id="rId30"/>
    <sheet name="10. Ranking" sheetId="60" r:id="rId31"/>
    <sheet name="11. Presup x Progra-Componente" sheetId="62" r:id="rId32"/>
    <sheet name="12 Presup x USA -Compo -Pytos" sheetId="69" r:id="rId33"/>
    <sheet name="13. ESTADISTICAS" sheetId="64" r:id="rId34"/>
    <sheet name="14. Gasto en cambio climático" sheetId="66" r:id="rId35"/>
    <sheet name="15. Base Pytos - Invierte.pe" sheetId="67" r:id="rId36"/>
    <sheet name="16. Base Pytos Cooperación" sheetId="68" r:id="rId37"/>
    <sheet name="17. Flujo" sheetId="71" r:id="rId38"/>
    <sheet name="18. Salvaguardas" sheetId="55" r:id="rId39"/>
    <sheet name="19. Estadísticas Salvaguardas" sheetId="73" r:id="rId40"/>
    <sheet name="20 Estad Recursos Potenciales" sheetId="75" r:id="rId41"/>
    <sheet name="Resumen de intervenciones y uni" sheetId="20" state="hidden" r:id="rId42"/>
    <sheet name="Dist X UDT" sheetId="21" state="hidden" r:id="rId43"/>
    <sheet name="Distr X USA" sheetId="22" state="hidden" r:id="rId44"/>
  </sheets>
  <externalReferences>
    <externalReference r:id="rId45"/>
  </externalReferences>
  <definedNames>
    <definedName name="_xlnm._FilterDatabase" localSheetId="35" hidden="1">'15. Base Pytos - Invierte.pe'!$C$7:$T$127</definedName>
    <definedName name="_xlnm._FilterDatabase" localSheetId="36" hidden="1">'16. Base Pytos Cooperación'!$B$7:$Q$49</definedName>
    <definedName name="_xlnm._FilterDatabase" localSheetId="38" hidden="1">'18. Salvaguardas'!$B$7:$U$604</definedName>
    <definedName name="_xlnm._FilterDatabase" localSheetId="29" hidden="1">'8. BASE  CONSOLIDADA'!$B$6:$AS$303</definedName>
    <definedName name="_xlnm._FilterDatabase" localSheetId="42" hidden="1">'Dist X UDT'!$B$3:$E$81</definedName>
    <definedName name="Limones">#REF!</definedName>
    <definedName name="lst_Fruit" localSheetId="1">#REF!</definedName>
    <definedName name="lst_Fruit">#REF!</definedName>
    <definedName name="lst_FruitType" localSheetId="1">#REF!</definedName>
    <definedName name="lst_FruitType">#REF!</definedName>
    <definedName name="Manzanas" localSheetId="1">#REF!</definedName>
    <definedName name="Manzanas">#REF!</definedName>
    <definedName name="Naranjas" localSheetId="1">#REF!</definedName>
    <definedName name="Naranjas">#REF!</definedName>
    <definedName name="Plátanos" localSheetId="1">#REF!</definedName>
    <definedName name="Plátanos">#REF!</definedName>
  </definedNames>
  <calcPr calcId="152511"/>
  <pivotCaches>
    <pivotCache cacheId="33" r:id="rId46"/>
    <pivotCache cacheId="34" r:id="rId47"/>
    <pivotCache cacheId="35" r:id="rId48"/>
    <pivotCache cacheId="36" r:id="rId49"/>
    <pivotCache cacheId="37" r:id="rId50"/>
    <pivotCache cacheId="38" r:id="rId51"/>
    <pivotCache cacheId="39" r:id="rId52"/>
    <pivotCache cacheId="46" r:id="rId53"/>
    <pivotCache cacheId="54" r:id="rId54"/>
  </pivotCaches>
  <extLst>
    <ext uri="GoogleSheetsCustomDataVersion1">
      <go:sheetsCustomData xmlns:go="http://customooxmlschemas.google.com/" r:id="rId61" roundtripDataSignature="AMtx7mjFsEIqCCY98TeLFQrRFotDwZK7lA=="/>
    </ext>
  </extLst>
</workbook>
</file>

<file path=xl/calcChain.xml><?xml version="1.0" encoding="utf-8"?>
<calcChain xmlns="http://schemas.openxmlformats.org/spreadsheetml/2006/main">
  <c r="N10" i="19" l="1"/>
  <c r="O25" i="1" l="1"/>
  <c r="P25" i="1" s="1"/>
  <c r="Q25" i="1" s="1"/>
  <c r="R25" i="1" s="1"/>
  <c r="S25" i="1" s="1"/>
  <c r="T25" i="1" s="1"/>
  <c r="U25" i="1" s="1"/>
  <c r="V25" i="1" s="1"/>
  <c r="W25" i="1" s="1"/>
  <c r="X25" i="1" s="1"/>
  <c r="Y25" i="1" s="1"/>
  <c r="Z25" i="1" s="1"/>
  <c r="Q7" i="1" l="1"/>
  <c r="R7" i="1" s="1"/>
  <c r="S7" i="1" s="1"/>
  <c r="T7" i="1" s="1"/>
  <c r="U7" i="1" s="1"/>
  <c r="V7" i="1" s="1"/>
  <c r="W7" i="1" s="1"/>
  <c r="X7" i="1" s="1"/>
  <c r="Y7" i="1" s="1"/>
  <c r="Z7" i="1" s="1"/>
  <c r="E122" i="68" l="1" a="1"/>
  <c r="E122" i="68" s="1"/>
  <c r="E111" i="68" a="1"/>
  <c r="E111" i="68" s="1"/>
  <c r="E55" i="68" a="1"/>
  <c r="E55" i="68" s="1"/>
  <c r="E78" i="68" a="1"/>
  <c r="E78" i="68" s="1"/>
  <c r="E63" i="68"/>
  <c r="E278" i="67" a="1"/>
  <c r="E278" i="67" s="1"/>
  <c r="E138" i="67"/>
  <c r="E243" i="67" a="1"/>
  <c r="E243" i="67" s="1"/>
  <c r="E216" i="67" a="1"/>
  <c r="E216" i="67" s="1"/>
  <c r="E131" i="67" a="1"/>
  <c r="E131" i="67" s="1"/>
  <c r="I13" i="73" l="1"/>
  <c r="G8" i="73"/>
  <c r="I7" i="64"/>
  <c r="H12" i="73"/>
  <c r="H10" i="73"/>
  <c r="H9" i="73"/>
  <c r="I8" i="64"/>
  <c r="I9" i="64"/>
  <c r="H11" i="73"/>
  <c r="I6" i="64"/>
  <c r="I10" i="64"/>
  <c r="H8" i="73"/>
  <c r="M6" i="64" l="1"/>
  <c r="H13" i="73"/>
  <c r="O57" i="2" l="1"/>
  <c r="M57" i="2"/>
  <c r="H32" i="71"/>
  <c r="F29" i="71"/>
  <c r="H31" i="71"/>
  <c r="D31" i="71"/>
  <c r="L31" i="71"/>
  <c r="D30" i="71"/>
  <c r="D28" i="71"/>
  <c r="L29" i="71"/>
  <c r="F28" i="71"/>
  <c r="J31" i="71"/>
  <c r="L30" i="71"/>
  <c r="L28" i="71"/>
  <c r="J29" i="71"/>
  <c r="D32" i="71"/>
  <c r="F30" i="71"/>
  <c r="H28" i="71"/>
  <c r="J32" i="71"/>
  <c r="L32" i="71"/>
  <c r="D29" i="71"/>
  <c r="J30" i="71"/>
  <c r="H30" i="71"/>
  <c r="J28" i="71"/>
  <c r="F32" i="71"/>
  <c r="H29" i="71"/>
  <c r="F31" i="71"/>
  <c r="N30" i="71" l="1"/>
  <c r="L33" i="71"/>
  <c r="M29" i="71" s="1"/>
  <c r="N31" i="71"/>
  <c r="N29" i="71"/>
  <c r="J33" i="71"/>
  <c r="K31" i="71" s="1"/>
  <c r="F33" i="71"/>
  <c r="G32" i="71" s="1"/>
  <c r="N28" i="71"/>
  <c r="D33" i="71"/>
  <c r="E31" i="71" s="1"/>
  <c r="N32" i="71"/>
  <c r="H33" i="71"/>
  <c r="I32" i="71" s="1"/>
  <c r="L23" i="71"/>
  <c r="L43" i="71" s="1"/>
  <c r="J23" i="71"/>
  <c r="J43" i="71" s="1"/>
  <c r="H23" i="71"/>
  <c r="H43" i="71" s="1"/>
  <c r="F23" i="71"/>
  <c r="F43" i="71" s="1"/>
  <c r="D23" i="71"/>
  <c r="D43" i="71" s="1"/>
  <c r="L22" i="71"/>
  <c r="J22" i="71"/>
  <c r="J42" i="71" s="1"/>
  <c r="H22" i="71"/>
  <c r="H42" i="71" s="1"/>
  <c r="F22" i="71"/>
  <c r="F42" i="71" s="1"/>
  <c r="D22" i="71"/>
  <c r="D42" i="71" s="1"/>
  <c r="L21" i="71"/>
  <c r="L41" i="71" s="1"/>
  <c r="J21" i="71"/>
  <c r="H21" i="71"/>
  <c r="F21" i="71"/>
  <c r="F41" i="71" s="1"/>
  <c r="D21" i="71"/>
  <c r="D41" i="71" s="1"/>
  <c r="L20" i="71"/>
  <c r="L40" i="71" s="1"/>
  <c r="J20" i="71"/>
  <c r="J40" i="71" s="1"/>
  <c r="H20" i="71"/>
  <c r="H40" i="71" s="1"/>
  <c r="F20" i="71"/>
  <c r="D20" i="71"/>
  <c r="L19" i="71"/>
  <c r="L24" i="71" s="1"/>
  <c r="J19" i="71"/>
  <c r="J39" i="71" s="1"/>
  <c r="H19" i="71"/>
  <c r="H39" i="71" s="1"/>
  <c r="F19" i="71"/>
  <c r="F24" i="71" s="1"/>
  <c r="D19" i="71"/>
  <c r="D39" i="71" s="1"/>
  <c r="N17" i="71"/>
  <c r="O14" i="71" s="1"/>
  <c r="L17" i="71"/>
  <c r="J17" i="71"/>
  <c r="K13" i="71" s="1"/>
  <c r="H17" i="71"/>
  <c r="I13" i="71" s="1"/>
  <c r="F17" i="71"/>
  <c r="G16" i="71" s="1"/>
  <c r="D17" i="71"/>
  <c r="E16" i="71" s="1"/>
  <c r="O16" i="71"/>
  <c r="M16" i="71"/>
  <c r="M15" i="71"/>
  <c r="K15" i="71"/>
  <c r="E15" i="71"/>
  <c r="M14" i="71"/>
  <c r="G14" i="71"/>
  <c r="E14" i="71"/>
  <c r="M13" i="71"/>
  <c r="O12" i="71"/>
  <c r="M12" i="71"/>
  <c r="M17" i="71" s="1"/>
  <c r="E12" i="71"/>
  <c r="N11" i="71"/>
  <c r="O7" i="71" s="1"/>
  <c r="L11" i="71"/>
  <c r="M7" i="71" s="1"/>
  <c r="J11" i="71"/>
  <c r="K10" i="71" s="1"/>
  <c r="H11" i="71"/>
  <c r="I7" i="71" s="1"/>
  <c r="F11" i="71"/>
  <c r="G9" i="71" s="1"/>
  <c r="D11" i="71"/>
  <c r="E9" i="71" s="1"/>
  <c r="I10" i="71"/>
  <c r="O9" i="71"/>
  <c r="M9" i="71"/>
  <c r="I9" i="71"/>
  <c r="I8" i="71"/>
  <c r="G7" i="71"/>
  <c r="M6" i="71"/>
  <c r="I6" i="71"/>
  <c r="I11" i="71" s="1"/>
  <c r="P49" i="68"/>
  <c r="O49" i="68"/>
  <c r="N49" i="68"/>
  <c r="M49" i="68"/>
  <c r="L49" i="68"/>
  <c r="Q48" i="68"/>
  <c r="Q47" i="68"/>
  <c r="Q46" i="68"/>
  <c r="Q45" i="68"/>
  <c r="Q44" i="68"/>
  <c r="Q43" i="68"/>
  <c r="Q42" i="68"/>
  <c r="Q41" i="68"/>
  <c r="Q40" i="68"/>
  <c r="Q39" i="68"/>
  <c r="Q38" i="68"/>
  <c r="Q37" i="68"/>
  <c r="Q36" i="68"/>
  <c r="Q35" i="68"/>
  <c r="Q34" i="68"/>
  <c r="Q33" i="68"/>
  <c r="Q32" i="68"/>
  <c r="Q31" i="68"/>
  <c r="Q30" i="68"/>
  <c r="Q29" i="68"/>
  <c r="Q28" i="68"/>
  <c r="Q27" i="68"/>
  <c r="Q26" i="68"/>
  <c r="Q25" i="68"/>
  <c r="Q24" i="68"/>
  <c r="Q23" i="68"/>
  <c r="Q22" i="68"/>
  <c r="Q21" i="68"/>
  <c r="Q20" i="68"/>
  <c r="Q19" i="68"/>
  <c r="Q18" i="68"/>
  <c r="Q17" i="68"/>
  <c r="Q16" i="68"/>
  <c r="Q15" i="68"/>
  <c r="Q14" i="68"/>
  <c r="Q13" i="68"/>
  <c r="Q12" i="68"/>
  <c r="Q11" i="68"/>
  <c r="Q10" i="68"/>
  <c r="Q9" i="68"/>
  <c r="Q8" i="68"/>
  <c r="T47" i="67"/>
  <c r="T125" i="67"/>
  <c r="S124" i="67"/>
  <c r="R124" i="67"/>
  <c r="Q124" i="67"/>
  <c r="P124" i="67"/>
  <c r="O124" i="67"/>
  <c r="T123" i="67"/>
  <c r="O122" i="67"/>
  <c r="T122" i="67" s="1"/>
  <c r="T121" i="67"/>
  <c r="T120" i="67"/>
  <c r="T119" i="67"/>
  <c r="T118" i="67"/>
  <c r="T117" i="67"/>
  <c r="T116" i="67"/>
  <c r="S115" i="67"/>
  <c r="R115" i="67"/>
  <c r="O114" i="67"/>
  <c r="T114" i="67" s="1"/>
  <c r="O113" i="67"/>
  <c r="T113" i="67" s="1"/>
  <c r="S112" i="67"/>
  <c r="R112" i="67"/>
  <c r="Q112" i="67"/>
  <c r="P112" i="67"/>
  <c r="O112" i="67"/>
  <c r="T109" i="67"/>
  <c r="T90" i="67"/>
  <c r="T89" i="67"/>
  <c r="T88" i="67"/>
  <c r="T87" i="67"/>
  <c r="T86" i="67"/>
  <c r="S13" i="67"/>
  <c r="R13" i="67"/>
  <c r="P13" i="67"/>
  <c r="O13" i="67"/>
  <c r="S12" i="67"/>
  <c r="R12" i="67"/>
  <c r="O12" i="67"/>
  <c r="S11" i="67"/>
  <c r="R11" i="67"/>
  <c r="Q11" i="67"/>
  <c r="P11" i="67"/>
  <c r="O11" i="67"/>
  <c r="T102" i="67"/>
  <c r="O101" i="67"/>
  <c r="T101" i="67" s="1"/>
  <c r="T10" i="67"/>
  <c r="T75" i="67"/>
  <c r="Q98" i="67"/>
  <c r="P98" i="67"/>
  <c r="O98" i="67"/>
  <c r="T97" i="67"/>
  <c r="S96" i="67"/>
  <c r="R96" i="67"/>
  <c r="Q96" i="67"/>
  <c r="P96" i="67"/>
  <c r="O96" i="67"/>
  <c r="T95" i="67"/>
  <c r="T94" i="67"/>
  <c r="T93" i="67"/>
  <c r="T92" i="67"/>
  <c r="T106" i="67"/>
  <c r="T105" i="67"/>
  <c r="T107" i="67"/>
  <c r="T100" i="67"/>
  <c r="T76" i="67"/>
  <c r="O126" i="67"/>
  <c r="T126" i="67" s="1"/>
  <c r="P111" i="67"/>
  <c r="O111" i="67"/>
  <c r="T99" i="67"/>
  <c r="T83" i="67"/>
  <c r="T82" i="67"/>
  <c r="T81" i="67"/>
  <c r="T80" i="67"/>
  <c r="T79" i="67"/>
  <c r="T78" i="67"/>
  <c r="T77" i="67"/>
  <c r="T85" i="67"/>
  <c r="T84" i="67"/>
  <c r="T74" i="67"/>
  <c r="T73" i="67"/>
  <c r="O72" i="67"/>
  <c r="T72" i="67" s="1"/>
  <c r="T71" i="67"/>
  <c r="O70" i="67"/>
  <c r="T70" i="67" s="1"/>
  <c r="T69" i="67"/>
  <c r="T68" i="67"/>
  <c r="T67" i="67"/>
  <c r="P66" i="67"/>
  <c r="O66" i="67"/>
  <c r="T65" i="67"/>
  <c r="T64" i="67"/>
  <c r="T63" i="67"/>
  <c r="P62" i="67"/>
  <c r="O62" i="67"/>
  <c r="T61" i="67"/>
  <c r="T60" i="67"/>
  <c r="T59" i="67"/>
  <c r="T58" i="67"/>
  <c r="T57" i="67"/>
  <c r="T56" i="67"/>
  <c r="T55" i="67"/>
  <c r="T54" i="67"/>
  <c r="T53" i="67"/>
  <c r="T52" i="67"/>
  <c r="T51" i="67"/>
  <c r="T50" i="67"/>
  <c r="T49" i="67"/>
  <c r="T48" i="67"/>
  <c r="T110" i="67"/>
  <c r="T46" i="67"/>
  <c r="T45" i="67"/>
  <c r="T44" i="67"/>
  <c r="T43" i="67"/>
  <c r="S42" i="67"/>
  <c r="R42" i="67"/>
  <c r="Q42" i="67"/>
  <c r="P42" i="67"/>
  <c r="O42" i="67"/>
  <c r="T41" i="67"/>
  <c r="T40" i="67"/>
  <c r="T39" i="67"/>
  <c r="T38" i="67"/>
  <c r="T37" i="67"/>
  <c r="T36" i="67"/>
  <c r="T35" i="67"/>
  <c r="T34" i="67"/>
  <c r="T33" i="67"/>
  <c r="Q32" i="67"/>
  <c r="P32" i="67"/>
  <c r="O32" i="67"/>
  <c r="T31" i="67"/>
  <c r="P30" i="67"/>
  <c r="O30" i="67"/>
  <c r="T29" i="67"/>
  <c r="T28" i="67"/>
  <c r="T27" i="67"/>
  <c r="T26" i="67"/>
  <c r="O25" i="67"/>
  <c r="T25" i="67" s="1"/>
  <c r="T24" i="67"/>
  <c r="P23" i="67"/>
  <c r="O23" i="67"/>
  <c r="T22" i="67"/>
  <c r="T21" i="67"/>
  <c r="T20" i="67"/>
  <c r="T19" i="67"/>
  <c r="T18" i="67"/>
  <c r="T17" i="67"/>
  <c r="S16" i="67"/>
  <c r="R16" i="67"/>
  <c r="Q16" i="67"/>
  <c r="P16" i="67"/>
  <c r="O16" i="67"/>
  <c r="T15" i="67"/>
  <c r="T14" i="67"/>
  <c r="T108" i="67"/>
  <c r="T104" i="67"/>
  <c r="T103" i="67"/>
  <c r="T91" i="67"/>
  <c r="T9" i="67"/>
  <c r="T8" i="67"/>
  <c r="O603" i="55"/>
  <c r="D9" i="64"/>
  <c r="D8" i="64"/>
  <c r="D7" i="64"/>
  <c r="D6" i="64"/>
  <c r="K26" i="66"/>
  <c r="J26" i="66"/>
  <c r="L26" i="66"/>
  <c r="I26" i="66"/>
  <c r="H26" i="66"/>
  <c r="G26" i="66"/>
  <c r="F26" i="66"/>
  <c r="E26" i="66"/>
  <c r="D26" i="66"/>
  <c r="D28" i="66" s="1"/>
  <c r="L25" i="66"/>
  <c r="L24" i="66"/>
  <c r="L23" i="66"/>
  <c r="L22" i="66"/>
  <c r="K20" i="66"/>
  <c r="J20" i="66"/>
  <c r="L20" i="66"/>
  <c r="I20" i="66"/>
  <c r="H20" i="66"/>
  <c r="G20" i="66"/>
  <c r="F20" i="66"/>
  <c r="E20" i="66"/>
  <c r="D20" i="66"/>
  <c r="L19" i="66"/>
  <c r="L18" i="66"/>
  <c r="K16" i="66"/>
  <c r="K28" i="66" s="1"/>
  <c r="J16" i="66"/>
  <c r="J28" i="66" s="1"/>
  <c r="L28" i="66" s="1"/>
  <c r="I16" i="66"/>
  <c r="I28" i="66" s="1"/>
  <c r="H16" i="66"/>
  <c r="H28" i="66"/>
  <c r="G16" i="66"/>
  <c r="G28" i="66" s="1"/>
  <c r="F16" i="66"/>
  <c r="F28" i="66" s="1"/>
  <c r="E16" i="66"/>
  <c r="E28" i="66" s="1"/>
  <c r="D16" i="66"/>
  <c r="L15" i="66"/>
  <c r="L14" i="66"/>
  <c r="L13" i="66"/>
  <c r="L12" i="66"/>
  <c r="L11" i="66"/>
  <c r="H11" i="64"/>
  <c r="G11" i="64"/>
  <c r="M7" i="64"/>
  <c r="M8" i="64"/>
  <c r="M9" i="64"/>
  <c r="M10" i="64"/>
  <c r="I11" i="64"/>
  <c r="F44" i="59"/>
  <c r="F43" i="59"/>
  <c r="E42" i="59"/>
  <c r="F42" i="59"/>
  <c r="F45" i="59" s="1"/>
  <c r="F46" i="59" s="1"/>
  <c r="F41" i="59"/>
  <c r="F38" i="59"/>
  <c r="F37" i="59"/>
  <c r="F39" i="59" s="1"/>
  <c r="F36" i="59"/>
  <c r="F33" i="59"/>
  <c r="F32" i="59"/>
  <c r="F34" i="59" s="1"/>
  <c r="F31" i="59"/>
  <c r="F30" i="59"/>
  <c r="F29" i="59"/>
  <c r="E21" i="59"/>
  <c r="F21" i="59" s="1"/>
  <c r="F20" i="59"/>
  <c r="E19" i="59"/>
  <c r="F19" i="59"/>
  <c r="F22" i="59" s="1"/>
  <c r="F18" i="59"/>
  <c r="F17" i="59"/>
  <c r="F16" i="59"/>
  <c r="F13" i="59"/>
  <c r="F12" i="59"/>
  <c r="F11" i="59"/>
  <c r="F14" i="59"/>
  <c r="F8" i="59"/>
  <c r="F7" i="59"/>
  <c r="F6" i="59"/>
  <c r="F9" i="59" s="1"/>
  <c r="G89" i="16"/>
  <c r="H89" i="16"/>
  <c r="O89" i="16"/>
  <c r="Q89" i="16" s="1"/>
  <c r="P89" i="16"/>
  <c r="T89" i="16"/>
  <c r="U89" i="16"/>
  <c r="AA89" i="16"/>
  <c r="T596" i="55"/>
  <c r="O596" i="55" s="1"/>
  <c r="N536" i="55"/>
  <c r="N539" i="55"/>
  <c r="N575" i="55"/>
  <c r="N568" i="55"/>
  <c r="N565" i="55"/>
  <c r="N602" i="55"/>
  <c r="N601" i="55"/>
  <c r="N594" i="55"/>
  <c r="N590" i="55"/>
  <c r="N584" i="55"/>
  <c r="N583" i="55"/>
  <c r="N580" i="55"/>
  <c r="N579" i="55"/>
  <c r="N572" i="55"/>
  <c r="N571" i="55"/>
  <c r="N570" i="55"/>
  <c r="N569" i="55"/>
  <c r="N567" i="55"/>
  <c r="N566" i="55"/>
  <c r="N564" i="55"/>
  <c r="N563" i="55"/>
  <c r="N561" i="55"/>
  <c r="N548" i="55"/>
  <c r="N535" i="55"/>
  <c r="N534" i="55"/>
  <c r="N533" i="55"/>
  <c r="N531" i="55"/>
  <c r="N530" i="55"/>
  <c r="N184" i="55"/>
  <c r="N210" i="55"/>
  <c r="N503" i="55"/>
  <c r="N513" i="55"/>
  <c r="N509" i="55"/>
  <c r="N502" i="55"/>
  <c r="N209" i="55"/>
  <c r="N194" i="55"/>
  <c r="N190" i="55"/>
  <c r="N183" i="55"/>
  <c r="N544" i="55"/>
  <c r="N412" i="55"/>
  <c r="N282" i="55"/>
  <c r="N543" i="55"/>
  <c r="N411" i="55"/>
  <c r="N281" i="55"/>
  <c r="N542" i="55"/>
  <c r="N410" i="55"/>
  <c r="N280" i="55"/>
  <c r="N541" i="55"/>
  <c r="N540" i="55"/>
  <c r="N408" i="55"/>
  <c r="N407" i="55"/>
  <c r="N279" i="55"/>
  <c r="N278" i="55"/>
  <c r="N147" i="55"/>
  <c r="N457" i="55"/>
  <c r="N456" i="55"/>
  <c r="N455" i="55"/>
  <c r="N454" i="55"/>
  <c r="N406" i="55"/>
  <c r="N405" i="55"/>
  <c r="N404" i="55"/>
  <c r="N403" i="55"/>
  <c r="N277" i="55"/>
  <c r="N276" i="55"/>
  <c r="N275" i="55"/>
  <c r="N274" i="55"/>
  <c r="N145" i="55"/>
  <c r="N144" i="55"/>
  <c r="N143" i="55"/>
  <c r="N142" i="55"/>
  <c r="N453" i="55"/>
  <c r="N452" i="55"/>
  <c r="N451" i="55"/>
  <c r="N450" i="55"/>
  <c r="N273" i="55"/>
  <c r="N272" i="55"/>
  <c r="N271" i="55"/>
  <c r="N270" i="55"/>
  <c r="N140" i="55"/>
  <c r="N139" i="55"/>
  <c r="N137" i="55"/>
  <c r="N402" i="55"/>
  <c r="N401" i="55"/>
  <c r="N537" i="55"/>
  <c r="N447" i="55"/>
  <c r="N334" i="55"/>
  <c r="N313" i="55"/>
  <c r="N267" i="55"/>
  <c r="N213" i="55"/>
  <c r="N445" i="55"/>
  <c r="N444" i="55"/>
  <c r="N344" i="55"/>
  <c r="N343" i="55"/>
  <c r="N223" i="55"/>
  <c r="N222" i="55"/>
  <c r="N86" i="55"/>
  <c r="N324" i="55"/>
  <c r="N529" i="55"/>
  <c r="N208" i="55"/>
  <c r="N528" i="55"/>
  <c r="N449" i="55"/>
  <c r="N400" i="55"/>
  <c r="N315" i="55"/>
  <c r="N269" i="55"/>
  <c r="N207" i="55"/>
  <c r="N133" i="55"/>
  <c r="N132" i="55"/>
  <c r="N74" i="55"/>
  <c r="N527" i="55"/>
  <c r="N448" i="55"/>
  <c r="N446" i="55"/>
  <c r="N333" i="55"/>
  <c r="N314" i="55"/>
  <c r="N312" i="55"/>
  <c r="N268" i="55"/>
  <c r="N266" i="55"/>
  <c r="N212" i="55"/>
  <c r="N206" i="55"/>
  <c r="N131" i="55"/>
  <c r="N129" i="55"/>
  <c r="N73" i="55"/>
  <c r="N326" i="55"/>
  <c r="N325" i="55"/>
  <c r="N205" i="55"/>
  <c r="N204" i="55"/>
  <c r="N72" i="55"/>
  <c r="N71" i="55"/>
  <c r="N67" i="55"/>
  <c r="N526" i="55"/>
  <c r="N522" i="55"/>
  <c r="N322" i="55"/>
  <c r="N203" i="55"/>
  <c r="N525" i="55"/>
  <c r="N521" i="55"/>
  <c r="N321" i="55"/>
  <c r="N202" i="55"/>
  <c r="N524" i="55"/>
  <c r="N523" i="55"/>
  <c r="N520" i="55"/>
  <c r="N519" i="55"/>
  <c r="N320" i="55"/>
  <c r="N319" i="55"/>
  <c r="N201" i="55"/>
  <c r="N200" i="55"/>
  <c r="N63" i="55"/>
  <c r="N199" i="55"/>
  <c r="N518" i="55" s="1"/>
  <c r="N517" i="55"/>
  <c r="N198" i="55"/>
  <c r="N516" i="55"/>
  <c r="N197" i="55"/>
  <c r="N515" i="55"/>
  <c r="N514" i="55"/>
  <c r="N196" i="55"/>
  <c r="N195" i="55"/>
  <c r="N58" i="55"/>
  <c r="N510" i="55"/>
  <c r="N191" i="55"/>
  <c r="N508" i="55"/>
  <c r="N507" i="55"/>
  <c r="N211" i="55"/>
  <c r="N189" i="55"/>
  <c r="N188" i="55"/>
  <c r="N51" i="55"/>
  <c r="N577" i="55"/>
  <c r="N512" i="55"/>
  <c r="N506" i="55"/>
  <c r="N193" i="55"/>
  <c r="N187" i="55"/>
  <c r="N55" i="55"/>
  <c r="N505" i="55"/>
  <c r="N186" i="55"/>
  <c r="N576" i="55"/>
  <c r="N511" i="55"/>
  <c r="N504" i="55"/>
  <c r="N192" i="55"/>
  <c r="N185" i="55"/>
  <c r="N54" i="55"/>
  <c r="N56" i="55"/>
  <c r="N52" i="55"/>
  <c r="N500" i="55"/>
  <c r="N499" i="55"/>
  <c r="N498" i="55"/>
  <c r="N497" i="55"/>
  <c r="N496" i="55"/>
  <c r="N495" i="55"/>
  <c r="N494" i="55"/>
  <c r="N593" i="55"/>
  <c r="N558" i="55"/>
  <c r="N532" i="55"/>
  <c r="N481" i="55"/>
  <c r="N441" i="55"/>
  <c r="N386" i="55"/>
  <c r="N362" i="55"/>
  <c r="N329" i="55"/>
  <c r="N311" i="55"/>
  <c r="N265" i="55"/>
  <c r="N241" i="55"/>
  <c r="N179" i="55"/>
  <c r="N128" i="55"/>
  <c r="N104" i="55"/>
  <c r="N479" i="55"/>
  <c r="N439" i="55"/>
  <c r="N384" i="55"/>
  <c r="N360" i="55"/>
  <c r="N309" i="55"/>
  <c r="N263" i="55"/>
  <c r="N239" i="55"/>
  <c r="N177" i="55"/>
  <c r="N126" i="55"/>
  <c r="N102" i="55"/>
  <c r="N176" i="55"/>
  <c r="N124" i="55"/>
  <c r="N100" i="55"/>
  <c r="N476" i="55"/>
  <c r="N475" i="55"/>
  <c r="N474" i="55"/>
  <c r="N437" i="55"/>
  <c r="N436" i="55"/>
  <c r="N435" i="55"/>
  <c r="N381" i="55"/>
  <c r="N380" i="55"/>
  <c r="N379" i="55"/>
  <c r="N357" i="55"/>
  <c r="N356" i="55"/>
  <c r="N355" i="55"/>
  <c r="N307" i="55"/>
  <c r="N306" i="55"/>
  <c r="N305" i="55"/>
  <c r="N260" i="55"/>
  <c r="N259" i="55"/>
  <c r="N258" i="55"/>
  <c r="N236" i="55"/>
  <c r="N235" i="55"/>
  <c r="N234" i="55"/>
  <c r="N175" i="55"/>
  <c r="N174" i="55"/>
  <c r="N173" i="55"/>
  <c r="N123" i="55"/>
  <c r="N122" i="55"/>
  <c r="N121" i="55"/>
  <c r="N99" i="55"/>
  <c r="N98" i="55"/>
  <c r="N97" i="55"/>
  <c r="N32" i="55"/>
  <c r="N31" i="55"/>
  <c r="N473" i="55"/>
  <c r="N434" i="55"/>
  <c r="N378" i="55"/>
  <c r="N354" i="55"/>
  <c r="N304" i="55"/>
  <c r="N257" i="55"/>
  <c r="N233" i="55"/>
  <c r="N172" i="55"/>
  <c r="N120" i="55"/>
  <c r="N96" i="55"/>
  <c r="N480" i="55"/>
  <c r="N472" i="55"/>
  <c r="N440" i="55"/>
  <c r="N433" i="55"/>
  <c r="N385" i="55"/>
  <c r="N377" i="55"/>
  <c r="N361" i="55"/>
  <c r="N353" i="55"/>
  <c r="N310" i="55"/>
  <c r="N303" i="55"/>
  <c r="N264" i="55"/>
  <c r="N256" i="55"/>
  <c r="N240" i="55"/>
  <c r="N232" i="55"/>
  <c r="N178" i="55"/>
  <c r="N171" i="55"/>
  <c r="N127" i="55"/>
  <c r="N119" i="55"/>
  <c r="N103" i="55"/>
  <c r="N95" i="55"/>
  <c r="N35" i="55"/>
  <c r="N470" i="55"/>
  <c r="N469" i="55"/>
  <c r="N431" i="55"/>
  <c r="N430" i="55"/>
  <c r="N375" i="55"/>
  <c r="N374" i="55"/>
  <c r="N351" i="55"/>
  <c r="N350" i="55"/>
  <c r="N301" i="55"/>
  <c r="N300" i="55"/>
  <c r="N254" i="55"/>
  <c r="N253" i="55"/>
  <c r="N230" i="55"/>
  <c r="N229" i="55"/>
  <c r="N169" i="55"/>
  <c r="N117" i="55"/>
  <c r="N116" i="55"/>
  <c r="N93" i="55"/>
  <c r="N26" i="55"/>
  <c r="N168" i="55"/>
  <c r="N92" i="55"/>
  <c r="N429" i="55"/>
  <c r="N299" i="55"/>
  <c r="N167" i="55"/>
  <c r="N165" i="55"/>
  <c r="N428" i="55"/>
  <c r="N298" i="55"/>
  <c r="N166" i="55"/>
  <c r="N164" i="55"/>
  <c r="N427" i="55"/>
  <c r="N297" i="55"/>
  <c r="N426" i="55"/>
  <c r="N296" i="55"/>
  <c r="N425" i="55"/>
  <c r="N295" i="55"/>
  <c r="N163" i="55"/>
  <c r="N424" i="55"/>
  <c r="N349" i="55"/>
  <c r="N294" i="55"/>
  <c r="N228" i="55"/>
  <c r="N162" i="55"/>
  <c r="N91" i="55"/>
  <c r="N557" i="55"/>
  <c r="N552" i="55"/>
  <c r="N471" i="55"/>
  <c r="N432" i="55"/>
  <c r="N423" i="55"/>
  <c r="N422" i="55"/>
  <c r="N376" i="55"/>
  <c r="N352" i="55"/>
  <c r="N348" i="55"/>
  <c r="N347" i="55"/>
  <c r="N323" i="55"/>
  <c r="N302" i="55"/>
  <c r="N293" i="55"/>
  <c r="N292" i="55"/>
  <c r="N255" i="55"/>
  <c r="N231" i="55"/>
  <c r="N227" i="55"/>
  <c r="N226" i="55"/>
  <c r="N170" i="55"/>
  <c r="N161" i="55"/>
  <c r="N160" i="55"/>
  <c r="N118" i="55"/>
  <c r="N94" i="55"/>
  <c r="N90" i="55"/>
  <c r="N89" i="55"/>
  <c r="N75" i="55"/>
  <c r="N27" i="55"/>
  <c r="N18" i="55"/>
  <c r="N538" i="55"/>
  <c r="N490" i="55"/>
  <c r="N478" i="55"/>
  <c r="N468" i="55"/>
  <c r="N467" i="55"/>
  <c r="N466" i="55"/>
  <c r="N443" i="55"/>
  <c r="N442" i="55"/>
  <c r="N421" i="55"/>
  <c r="N395" i="55"/>
  <c r="N383" i="55"/>
  <c r="N373" i="55"/>
  <c r="N372" i="55"/>
  <c r="N371" i="55"/>
  <c r="N359" i="55"/>
  <c r="N346" i="55"/>
  <c r="N345" i="55"/>
  <c r="N291" i="55"/>
  <c r="N262" i="55"/>
  <c r="N252" i="55"/>
  <c r="N251" i="55"/>
  <c r="N250" i="55"/>
  <c r="N238" i="55"/>
  <c r="N225" i="55"/>
  <c r="N224" i="55"/>
  <c r="N159" i="55"/>
  <c r="N125" i="55"/>
  <c r="N115" i="55"/>
  <c r="N114" i="55"/>
  <c r="N113" i="55"/>
  <c r="N101" i="55"/>
  <c r="N88" i="55"/>
  <c r="N87" i="55"/>
  <c r="N501" i="55"/>
  <c r="N489" i="55"/>
  <c r="N465" i="55"/>
  <c r="N420" i="55"/>
  <c r="N84" i="55"/>
  <c r="N394" i="55"/>
  <c r="N370" i="55"/>
  <c r="N342" i="55"/>
  <c r="N290" i="55"/>
  <c r="N249" i="55"/>
  <c r="N221" i="55"/>
  <c r="N158" i="55"/>
  <c r="N112" i="55"/>
  <c r="N44" i="55"/>
  <c r="N488" i="55"/>
  <c r="N464" i="55"/>
  <c r="N419" i="55"/>
  <c r="N393" i="55"/>
  <c r="N369" i="55"/>
  <c r="N341" i="55"/>
  <c r="N289" i="55"/>
  <c r="N248" i="55"/>
  <c r="N220" i="55"/>
  <c r="N157" i="55"/>
  <c r="N111" i="55"/>
  <c r="N83" i="55"/>
  <c r="N581" i="55"/>
  <c r="N487" i="55"/>
  <c r="N463" i="55"/>
  <c r="N418" i="55"/>
  <c r="N392" i="55"/>
  <c r="N368" i="55"/>
  <c r="N340" i="55"/>
  <c r="N288" i="55"/>
  <c r="N247" i="55"/>
  <c r="N219" i="55"/>
  <c r="N156" i="55"/>
  <c r="N110" i="55"/>
  <c r="N82" i="55"/>
  <c r="N80" i="55"/>
  <c r="N12" i="55"/>
  <c r="N11" i="55"/>
  <c r="N484" i="55"/>
  <c r="N483" i="55"/>
  <c r="N460" i="55"/>
  <c r="N459" i="55"/>
  <c r="N415" i="55"/>
  <c r="N414" i="55"/>
  <c r="N389" i="55"/>
  <c r="N388" i="55"/>
  <c r="N365" i="55"/>
  <c r="N364" i="55"/>
  <c r="N337" i="55"/>
  <c r="N336" i="55"/>
  <c r="N285" i="55"/>
  <c r="N284" i="55"/>
  <c r="N244" i="55"/>
  <c r="N243" i="55"/>
  <c r="N216" i="55"/>
  <c r="N215" i="55"/>
  <c r="N153" i="55"/>
  <c r="N152" i="55"/>
  <c r="N107" i="55"/>
  <c r="N106" i="55"/>
  <c r="N79" i="55"/>
  <c r="N78" i="55"/>
  <c r="N482" i="55"/>
  <c r="N458" i="55"/>
  <c r="N413" i="55"/>
  <c r="N387" i="55"/>
  <c r="N363" i="55"/>
  <c r="N335" i="55"/>
  <c r="N283" i="55"/>
  <c r="N242" i="55"/>
  <c r="N214" i="55"/>
  <c r="N151" i="55"/>
  <c r="N105" i="55"/>
  <c r="N77" i="55"/>
  <c r="AB48" i="55"/>
  <c r="AE48" i="55" s="1"/>
  <c r="AE49" i="55"/>
  <c r="AE44" i="55"/>
  <c r="AE34" i="55"/>
  <c r="AE40" i="55"/>
  <c r="AE54" i="55"/>
  <c r="AE41" i="55"/>
  <c r="AE36" i="55"/>
  <c r="AB53" i="55"/>
  <c r="AE53" i="55"/>
  <c r="Q148" i="55"/>
  <c r="AE52" i="55"/>
  <c r="AE51" i="55"/>
  <c r="AB50" i="55"/>
  <c r="AE50" i="55" s="1"/>
  <c r="AE38" i="55"/>
  <c r="AE39" i="55"/>
  <c r="AE47" i="55"/>
  <c r="AE46" i="55"/>
  <c r="AE45" i="55"/>
  <c r="AE43" i="55"/>
  <c r="AE42" i="55"/>
  <c r="AE37" i="55"/>
  <c r="AB35" i="55"/>
  <c r="AE35" i="55" s="1"/>
  <c r="O329" i="55"/>
  <c r="O291" i="55"/>
  <c r="N492" i="55"/>
  <c r="N477" i="55"/>
  <c r="N438" i="55"/>
  <c r="N382" i="55"/>
  <c r="N358" i="55"/>
  <c r="N308" i="55"/>
  <c r="N261" i="55"/>
  <c r="N237" i="55"/>
  <c r="N486" i="55"/>
  <c r="N485" i="55"/>
  <c r="N462" i="55"/>
  <c r="N461" i="55"/>
  <c r="N417" i="55"/>
  <c r="N416" i="55"/>
  <c r="N391" i="55"/>
  <c r="N390" i="55"/>
  <c r="N367" i="55"/>
  <c r="N366" i="55"/>
  <c r="N339" i="55"/>
  <c r="N338" i="55"/>
  <c r="N287" i="55"/>
  <c r="N286" i="55"/>
  <c r="N246" i="55"/>
  <c r="N245" i="55"/>
  <c r="N218" i="55"/>
  <c r="N217" i="55"/>
  <c r="N155" i="55"/>
  <c r="N154" i="55"/>
  <c r="N109" i="55"/>
  <c r="N108" i="55"/>
  <c r="N81" i="55"/>
  <c r="F594" i="55"/>
  <c r="Q546" i="55"/>
  <c r="T546" i="55"/>
  <c r="P546" i="55"/>
  <c r="T562" i="55"/>
  <c r="O562" i="55" s="1"/>
  <c r="Q562" i="55"/>
  <c r="Q561" i="55"/>
  <c r="T561" i="55"/>
  <c r="O561" i="55" s="1"/>
  <c r="P562" i="55"/>
  <c r="P561" i="55"/>
  <c r="Q564" i="55"/>
  <c r="T564" i="55"/>
  <c r="O564" i="55" s="1"/>
  <c r="Q565" i="55"/>
  <c r="T565" i="55"/>
  <c r="O565" i="55" s="1"/>
  <c r="P565" i="55"/>
  <c r="P564" i="55"/>
  <c r="T568" i="55"/>
  <c r="O568" i="55" s="1"/>
  <c r="Q568" i="55"/>
  <c r="P568" i="55"/>
  <c r="T567" i="55"/>
  <c r="O567" i="55" s="1"/>
  <c r="Q567" i="55"/>
  <c r="P575" i="55"/>
  <c r="P567" i="55"/>
  <c r="T575" i="55"/>
  <c r="O575" i="55" s="1"/>
  <c r="Q575" i="55"/>
  <c r="T570" i="55"/>
  <c r="O570" i="55" s="1"/>
  <c r="Q570" i="55"/>
  <c r="P570" i="55"/>
  <c r="T573" i="55"/>
  <c r="O573" i="55" s="1"/>
  <c r="Q573" i="55"/>
  <c r="P573" i="55"/>
  <c r="T572" i="55"/>
  <c r="O572" i="55" s="1"/>
  <c r="Q572" i="55"/>
  <c r="P572" i="55"/>
  <c r="T579" i="55"/>
  <c r="O579" i="55" s="1"/>
  <c r="Q579" i="55"/>
  <c r="T578" i="55"/>
  <c r="O578" i="55" s="1"/>
  <c r="P578" i="55"/>
  <c r="P579" i="55"/>
  <c r="T584" i="55"/>
  <c r="O584" i="55" s="1"/>
  <c r="Q584" i="55"/>
  <c r="Q578" i="55"/>
  <c r="P584" i="55"/>
  <c r="T585" i="55"/>
  <c r="O585" i="55" s="1"/>
  <c r="Q585" i="55"/>
  <c r="P585" i="55"/>
  <c r="T589" i="55"/>
  <c r="O589" i="55" s="1"/>
  <c r="Q589" i="55"/>
  <c r="T588" i="55"/>
  <c r="O588" i="55" s="1"/>
  <c r="Q588" i="55"/>
  <c r="T587" i="55"/>
  <c r="O587" i="55" s="1"/>
  <c r="Q587" i="55"/>
  <c r="P588" i="55"/>
  <c r="P587" i="55"/>
  <c r="P589" i="55"/>
  <c r="T592" i="55"/>
  <c r="Q592" i="55"/>
  <c r="P592" i="55"/>
  <c r="T595" i="55"/>
  <c r="Q595" i="55"/>
  <c r="P595" i="55"/>
  <c r="T600" i="55"/>
  <c r="O600" i="55" s="1"/>
  <c r="Q600" i="55"/>
  <c r="P600" i="55"/>
  <c r="T599" i="55"/>
  <c r="O599" i="55" s="1"/>
  <c r="Q599" i="55"/>
  <c r="P599" i="55"/>
  <c r="Q554" i="55"/>
  <c r="P491" i="55"/>
  <c r="T491" i="55"/>
  <c r="O491" i="55" s="1"/>
  <c r="Q491" i="55"/>
  <c r="T142" i="55"/>
  <c r="O142" i="55" s="1"/>
  <c r="Q142" i="55"/>
  <c r="P142" i="55"/>
  <c r="T138" i="55"/>
  <c r="O138" i="55" s="1"/>
  <c r="Q138" i="55"/>
  <c r="P138" i="55"/>
  <c r="G194" i="15"/>
  <c r="H193" i="15"/>
  <c r="H194" i="15"/>
  <c r="G193" i="15"/>
  <c r="P598" i="55"/>
  <c r="P597" i="55"/>
  <c r="P604" i="55"/>
  <c r="P603" i="55"/>
  <c r="P596" i="55"/>
  <c r="Q603" i="55"/>
  <c r="Q596" i="55"/>
  <c r="T604" i="55"/>
  <c r="O604" i="55" s="1"/>
  <c r="Q604" i="55"/>
  <c r="T582" i="55"/>
  <c r="O582" i="55" s="1"/>
  <c r="P582" i="55"/>
  <c r="P577" i="55"/>
  <c r="Q582" i="55"/>
  <c r="T598" i="55"/>
  <c r="O598" i="55" s="1"/>
  <c r="Q598" i="55"/>
  <c r="Q586" i="55"/>
  <c r="P593" i="55"/>
  <c r="T593" i="55"/>
  <c r="O593" i="55" s="1"/>
  <c r="Q593" i="55"/>
  <c r="P581" i="55"/>
  <c r="T591" i="55"/>
  <c r="O591" i="55" s="1"/>
  <c r="T590" i="55"/>
  <c r="O590" i="55" s="1"/>
  <c r="T583" i="55"/>
  <c r="O583" i="55" s="1"/>
  <c r="Q591" i="55"/>
  <c r="Q590" i="55"/>
  <c r="P591" i="55"/>
  <c r="P590" i="55"/>
  <c r="Q583" i="55"/>
  <c r="P583" i="55"/>
  <c r="T586" i="55"/>
  <c r="O586" i="55" s="1"/>
  <c r="T581" i="55"/>
  <c r="O581" i="55" s="1"/>
  <c r="T580" i="55"/>
  <c r="O580" i="55" s="1"/>
  <c r="Q580" i="55"/>
  <c r="Q532" i="55"/>
  <c r="P586" i="55"/>
  <c r="P580" i="55"/>
  <c r="T571" i="55"/>
  <c r="O571" i="55" s="1"/>
  <c r="Q571" i="55"/>
  <c r="P574" i="55"/>
  <c r="P571" i="55"/>
  <c r="T577" i="55"/>
  <c r="O577" i="55" s="1"/>
  <c r="T55" i="55"/>
  <c r="O55" i="55" s="1"/>
  <c r="Q577" i="55"/>
  <c r="Q55" i="55"/>
  <c r="P576" i="55"/>
  <c r="P50" i="55"/>
  <c r="T576" i="55"/>
  <c r="O576" i="55" s="1"/>
  <c r="T47" i="55"/>
  <c r="O47" i="55" s="1"/>
  <c r="Q576" i="55"/>
  <c r="Q47" i="55"/>
  <c r="P47" i="55"/>
  <c r="T574" i="55"/>
  <c r="O574" i="55" s="1"/>
  <c r="T50" i="55"/>
  <c r="O50" i="55" s="1"/>
  <c r="Q574" i="55"/>
  <c r="Q50" i="55"/>
  <c r="T566" i="55"/>
  <c r="O566" i="55" s="1"/>
  <c r="Q566" i="55"/>
  <c r="P566" i="55"/>
  <c r="T569" i="55"/>
  <c r="O569" i="55" s="1"/>
  <c r="Q569" i="55"/>
  <c r="P569" i="55"/>
  <c r="P563" i="55"/>
  <c r="Q563" i="55"/>
  <c r="T563" i="55"/>
  <c r="O563" i="55" s="1"/>
  <c r="T560" i="55"/>
  <c r="O560" i="55" s="1"/>
  <c r="Q560" i="55"/>
  <c r="T556" i="55"/>
  <c r="O556" i="55" s="1"/>
  <c r="Q556" i="55"/>
  <c r="T559" i="55"/>
  <c r="O559" i="55" s="1"/>
  <c r="T554" i="55"/>
  <c r="O554" i="55" s="1"/>
  <c r="Q559" i="55"/>
  <c r="T557" i="55"/>
  <c r="O557" i="55" s="1"/>
  <c r="T552" i="55"/>
  <c r="O552" i="55" s="1"/>
  <c r="Q557" i="55"/>
  <c r="Q552" i="55"/>
  <c r="T558" i="55"/>
  <c r="O558" i="55" s="1"/>
  <c r="T555" i="55"/>
  <c r="O555" i="55" s="1"/>
  <c r="Q558" i="55"/>
  <c r="Q36" i="55"/>
  <c r="Q555" i="55"/>
  <c r="P557" i="55"/>
  <c r="P552" i="55"/>
  <c r="P558" i="55"/>
  <c r="P555" i="55"/>
  <c r="P559" i="55"/>
  <c r="P554" i="55"/>
  <c r="T553" i="55"/>
  <c r="O553" i="55" s="1"/>
  <c r="Q553" i="55"/>
  <c r="P549" i="55"/>
  <c r="P314" i="55"/>
  <c r="P548" i="55"/>
  <c r="P553" i="55"/>
  <c r="T548" i="55"/>
  <c r="O548" i="55" s="1"/>
  <c r="T551" i="55"/>
  <c r="O551" i="55" s="1"/>
  <c r="Q551" i="55"/>
  <c r="T550" i="55"/>
  <c r="O550" i="55" s="1"/>
  <c r="Q550" i="55"/>
  <c r="T549" i="55"/>
  <c r="O549" i="55" s="1"/>
  <c r="Q549" i="55"/>
  <c r="T547" i="55"/>
  <c r="O547" i="55" s="1"/>
  <c r="Q547" i="55"/>
  <c r="Q15" i="55"/>
  <c r="Q14" i="55"/>
  <c r="Q13" i="55"/>
  <c r="Q548" i="55"/>
  <c r="Q12" i="55"/>
  <c r="Q11" i="55"/>
  <c r="Q10" i="55"/>
  <c r="P551" i="55"/>
  <c r="P15" i="55"/>
  <c r="P550" i="55"/>
  <c r="P14" i="55"/>
  <c r="P13" i="55"/>
  <c r="P547" i="55"/>
  <c r="P10" i="55"/>
  <c r="P8" i="55"/>
  <c r="Q545" i="55"/>
  <c r="T545" i="55"/>
  <c r="O545" i="55" s="1"/>
  <c r="P545" i="55"/>
  <c r="T594" i="55"/>
  <c r="O594" i="55" s="1"/>
  <c r="Q594" i="55"/>
  <c r="P556" i="55"/>
  <c r="P560" i="55"/>
  <c r="Q581" i="55"/>
  <c r="T601" i="55"/>
  <c r="O601" i="55" s="1"/>
  <c r="Q601" i="55"/>
  <c r="P594" i="55"/>
  <c r="P601" i="55"/>
  <c r="T602" i="55"/>
  <c r="O602" i="55" s="1"/>
  <c r="P602" i="55"/>
  <c r="Q602" i="55"/>
  <c r="T597" i="55"/>
  <c r="O597" i="55" s="1"/>
  <c r="Q597" i="55"/>
  <c r="T493" i="55"/>
  <c r="O493" i="55" s="1"/>
  <c r="Q493" i="55"/>
  <c r="P494" i="55"/>
  <c r="P493" i="55"/>
  <c r="P499" i="55"/>
  <c r="T397" i="55"/>
  <c r="O397" i="55" s="1"/>
  <c r="T407" i="55"/>
  <c r="O407" i="55" s="1"/>
  <c r="Q397" i="55"/>
  <c r="Q407" i="55"/>
  <c r="P397" i="55"/>
  <c r="P407" i="55"/>
  <c r="P492" i="55"/>
  <c r="P515" i="55"/>
  <c r="T492" i="55"/>
  <c r="O492" i="55" s="1"/>
  <c r="Q492" i="55"/>
  <c r="T396" i="55"/>
  <c r="O396" i="55" s="1"/>
  <c r="Q396" i="55"/>
  <c r="P396" i="55"/>
  <c r="P399" i="55"/>
  <c r="T409" i="55"/>
  <c r="O409" i="55" s="1"/>
  <c r="Q409" i="55"/>
  <c r="P409" i="55"/>
  <c r="P410" i="55"/>
  <c r="T539" i="55"/>
  <c r="O539" i="55" s="1"/>
  <c r="Q539" i="55"/>
  <c r="P539" i="55"/>
  <c r="T538" i="55"/>
  <c r="O538" i="55" s="1"/>
  <c r="Q538" i="55"/>
  <c r="P538" i="55"/>
  <c r="P537" i="55"/>
  <c r="T537" i="55"/>
  <c r="O537" i="55" s="1"/>
  <c r="Q537" i="55"/>
  <c r="T536" i="55"/>
  <c r="O536" i="55" s="1"/>
  <c r="Q536" i="55"/>
  <c r="P536" i="55"/>
  <c r="T526" i="55"/>
  <c r="O526" i="55" s="1"/>
  <c r="T525" i="55"/>
  <c r="O525" i="55" s="1"/>
  <c r="T524" i="55"/>
  <c r="O524" i="55" s="1"/>
  <c r="T523" i="55"/>
  <c r="O523" i="55" s="1"/>
  <c r="Q526" i="55"/>
  <c r="Q525" i="55"/>
  <c r="Q524" i="55"/>
  <c r="Q523" i="55"/>
  <c r="P526" i="55"/>
  <c r="P529" i="55"/>
  <c r="P525" i="55"/>
  <c r="P524" i="55"/>
  <c r="P523" i="55"/>
  <c r="T535" i="55"/>
  <c r="O535" i="55" s="1"/>
  <c r="T534" i="55"/>
  <c r="O534" i="55" s="1"/>
  <c r="T533" i="55"/>
  <c r="O533" i="55" s="1"/>
  <c r="T531" i="55"/>
  <c r="O531" i="55" s="1"/>
  <c r="T530" i="55"/>
  <c r="O530" i="55" s="1"/>
  <c r="Q535" i="55"/>
  <c r="Q534" i="55"/>
  <c r="Q533" i="55"/>
  <c r="T532" i="55"/>
  <c r="O532" i="55" s="1"/>
  <c r="Q531" i="55"/>
  <c r="Q530" i="55"/>
  <c r="P535" i="55"/>
  <c r="P534" i="55"/>
  <c r="P533" i="55"/>
  <c r="P532" i="55"/>
  <c r="P531" i="55"/>
  <c r="P530" i="55"/>
  <c r="T528" i="55"/>
  <c r="O528" i="55" s="1"/>
  <c r="T527" i="55"/>
  <c r="O527" i="55" s="1"/>
  <c r="Q528" i="55"/>
  <c r="Q527" i="55"/>
  <c r="P527" i="55"/>
  <c r="P528" i="55"/>
  <c r="T512" i="55"/>
  <c r="O512" i="55" s="1"/>
  <c r="T511" i="55"/>
  <c r="O511" i="55" s="1"/>
  <c r="Q512" i="55"/>
  <c r="Q511" i="55"/>
  <c r="P512" i="55"/>
  <c r="P511" i="55"/>
  <c r="T490" i="55"/>
  <c r="O490" i="55" s="1"/>
  <c r="Q490" i="55"/>
  <c r="P490" i="55"/>
  <c r="P488" i="55"/>
  <c r="T489" i="55"/>
  <c r="O489" i="55" s="1"/>
  <c r="T488" i="55"/>
  <c r="O488" i="55" s="1"/>
  <c r="T487" i="55"/>
  <c r="O487" i="55" s="1"/>
  <c r="T486" i="55"/>
  <c r="O486" i="55" s="1"/>
  <c r="T485" i="55"/>
  <c r="O485" i="55" s="1"/>
  <c r="T484" i="55"/>
  <c r="O484" i="55" s="1"/>
  <c r="T483" i="55"/>
  <c r="O483" i="55" s="1"/>
  <c r="T482" i="55"/>
  <c r="O482" i="55" s="1"/>
  <c r="Q489" i="55"/>
  <c r="Q488" i="55"/>
  <c r="Q487" i="55"/>
  <c r="Q486" i="55"/>
  <c r="Q485" i="55"/>
  <c r="Q484" i="55"/>
  <c r="Q483" i="55"/>
  <c r="Q482" i="55"/>
  <c r="P489" i="55"/>
  <c r="P487" i="55"/>
  <c r="P486" i="55"/>
  <c r="P485" i="55"/>
  <c r="P484" i="55"/>
  <c r="P483" i="55"/>
  <c r="P482" i="55"/>
  <c r="T442" i="55"/>
  <c r="O442" i="55" s="1"/>
  <c r="T443" i="55"/>
  <c r="O443" i="55" s="1"/>
  <c r="Q442" i="55"/>
  <c r="Q443" i="55"/>
  <c r="P442" i="55"/>
  <c r="P443" i="55"/>
  <c r="T445" i="55"/>
  <c r="O445" i="55" s="1"/>
  <c r="Q445" i="55"/>
  <c r="T444" i="55"/>
  <c r="O444" i="55" s="1"/>
  <c r="Q444" i="55"/>
  <c r="P445" i="55"/>
  <c r="P444" i="55"/>
  <c r="P542" i="55"/>
  <c r="T412" i="55"/>
  <c r="O412" i="55" s="1"/>
  <c r="T411" i="55"/>
  <c r="O411" i="55" s="1"/>
  <c r="Q412" i="55"/>
  <c r="Q411" i="55"/>
  <c r="P412" i="55"/>
  <c r="P411" i="55"/>
  <c r="T410" i="55"/>
  <c r="O410" i="55" s="1"/>
  <c r="Q410" i="55"/>
  <c r="T408" i="55"/>
  <c r="O408" i="55" s="1"/>
  <c r="Q408" i="55"/>
  <c r="P408" i="55"/>
  <c r="T399" i="55"/>
  <c r="O399" i="55" s="1"/>
  <c r="Q399" i="55"/>
  <c r="T398" i="55"/>
  <c r="O398" i="55" s="1"/>
  <c r="Q398" i="55"/>
  <c r="P398" i="55"/>
  <c r="T395" i="55"/>
  <c r="O395" i="55" s="1"/>
  <c r="Q395" i="55"/>
  <c r="P395" i="55"/>
  <c r="T394" i="55"/>
  <c r="O394" i="55" s="1"/>
  <c r="T393" i="55"/>
  <c r="O393" i="55" s="1"/>
  <c r="T392" i="55"/>
  <c r="O392" i="55" s="1"/>
  <c r="T391" i="55"/>
  <c r="O391" i="55" s="1"/>
  <c r="T390" i="55"/>
  <c r="O390" i="55" s="1"/>
  <c r="T389" i="55"/>
  <c r="O389" i="55" s="1"/>
  <c r="T388" i="55"/>
  <c r="O388" i="55" s="1"/>
  <c r="T387" i="55"/>
  <c r="O387" i="55" s="1"/>
  <c r="Q394" i="55"/>
  <c r="Q393" i="55"/>
  <c r="Q392" i="55"/>
  <c r="Q391" i="55"/>
  <c r="Q390" i="55"/>
  <c r="Q389" i="55"/>
  <c r="Q388" i="55"/>
  <c r="Q387" i="55"/>
  <c r="P394" i="55"/>
  <c r="P393" i="55"/>
  <c r="P392" i="55"/>
  <c r="P391" i="55"/>
  <c r="P390" i="55"/>
  <c r="P389" i="55"/>
  <c r="P388" i="55"/>
  <c r="P387" i="55"/>
  <c r="T327" i="55"/>
  <c r="O327" i="55" s="1"/>
  <c r="Q327" i="55"/>
  <c r="T331" i="55"/>
  <c r="O331" i="55" s="1"/>
  <c r="Q331" i="55"/>
  <c r="T330" i="55"/>
  <c r="O330" i="55" s="1"/>
  <c r="P332" i="55"/>
  <c r="T328" i="55"/>
  <c r="O328" i="55" s="1"/>
  <c r="Q328" i="55"/>
  <c r="T332" i="55"/>
  <c r="O332" i="55" s="1"/>
  <c r="Q332" i="55"/>
  <c r="Q322" i="55"/>
  <c r="P331" i="55"/>
  <c r="P322" i="55"/>
  <c r="P327" i="55"/>
  <c r="P328" i="55"/>
  <c r="P330" i="55"/>
  <c r="P329" i="55"/>
  <c r="P321" i="55"/>
  <c r="T318" i="55"/>
  <c r="O318" i="55" s="1"/>
  <c r="Q330" i="55"/>
  <c r="Q318" i="55"/>
  <c r="T333" i="55"/>
  <c r="O333" i="55" s="1"/>
  <c r="Q333" i="55"/>
  <c r="P333" i="55"/>
  <c r="T334" i="55"/>
  <c r="O334" i="55" s="1"/>
  <c r="Q334" i="55"/>
  <c r="P334" i="55"/>
  <c r="P318" i="55"/>
  <c r="P319" i="55"/>
  <c r="P317" i="55"/>
  <c r="P339" i="55"/>
  <c r="T317" i="55"/>
  <c r="O317" i="55" s="1"/>
  <c r="Q317" i="55"/>
  <c r="Q316" i="55"/>
  <c r="T316" i="55"/>
  <c r="O316" i="55" s="1"/>
  <c r="P316" i="55"/>
  <c r="P315" i="55"/>
  <c r="T447" i="55"/>
  <c r="O447" i="55" s="1"/>
  <c r="Q447" i="55"/>
  <c r="T449" i="55"/>
  <c r="O449" i="55" s="1"/>
  <c r="Q449" i="55"/>
  <c r="T400" i="55"/>
  <c r="O400" i="55" s="1"/>
  <c r="Q400" i="55"/>
  <c r="T315" i="55"/>
  <c r="O315" i="55" s="1"/>
  <c r="Q315" i="55"/>
  <c r="T313" i="55"/>
  <c r="O313" i="55" s="1"/>
  <c r="Q313" i="55"/>
  <c r="T269" i="55"/>
  <c r="O269" i="55" s="1"/>
  <c r="T267" i="55"/>
  <c r="O267" i="55" s="1"/>
  <c r="Q269" i="55"/>
  <c r="Q267" i="55"/>
  <c r="T133" i="55"/>
  <c r="O133" i="55" s="1"/>
  <c r="Q133" i="55"/>
  <c r="T132" i="55"/>
  <c r="O132" i="55" s="1"/>
  <c r="T130" i="55"/>
  <c r="O130" i="55" s="1"/>
  <c r="Q132" i="55"/>
  <c r="Q130" i="55"/>
  <c r="T213" i="55"/>
  <c r="O213" i="55" s="1"/>
  <c r="Q213" i="55"/>
  <c r="P213" i="55"/>
  <c r="T212" i="55"/>
  <c r="O212" i="55" s="1"/>
  <c r="Q212" i="55"/>
  <c r="P212" i="55"/>
  <c r="T211" i="55"/>
  <c r="O211" i="55" s="1"/>
  <c r="P211" i="55"/>
  <c r="T210" i="55"/>
  <c r="O210" i="55" s="1"/>
  <c r="Q210" i="55"/>
  <c r="P210" i="55"/>
  <c r="T209" i="55"/>
  <c r="O209" i="55" s="1"/>
  <c r="Q209" i="55"/>
  <c r="P209" i="55"/>
  <c r="T193" i="55"/>
  <c r="O193" i="55" s="1"/>
  <c r="T192" i="55"/>
  <c r="O192" i="55" s="1"/>
  <c r="Q193" i="55"/>
  <c r="Q192" i="55"/>
  <c r="P193" i="55"/>
  <c r="P192" i="55"/>
  <c r="P190" i="55"/>
  <c r="P194" i="55"/>
  <c r="Q194" i="55"/>
  <c r="T194" i="55"/>
  <c r="O194" i="55" s="1"/>
  <c r="T182" i="55"/>
  <c r="O182" i="55" s="1"/>
  <c r="T188" i="55"/>
  <c r="O188" i="55" s="1"/>
  <c r="Q182" i="55"/>
  <c r="Q188" i="55"/>
  <c r="P182" i="55"/>
  <c r="P188" i="55"/>
  <c r="T181" i="55"/>
  <c r="O181" i="55" s="1"/>
  <c r="Q181" i="55"/>
  <c r="P181" i="55"/>
  <c r="P180" i="55"/>
  <c r="T180" i="55"/>
  <c r="O180" i="55" s="1"/>
  <c r="Q180" i="55"/>
  <c r="T544" i="55"/>
  <c r="O544" i="55" s="1"/>
  <c r="T543" i="55"/>
  <c r="O543" i="55" s="1"/>
  <c r="T542" i="55"/>
  <c r="O542" i="55" s="1"/>
  <c r="T541" i="55"/>
  <c r="O541" i="55" s="1"/>
  <c r="T540" i="55"/>
  <c r="O540" i="55" s="1"/>
  <c r="Q542" i="55"/>
  <c r="Q541" i="55"/>
  <c r="Q544" i="55"/>
  <c r="Q543" i="55"/>
  <c r="Q540" i="55"/>
  <c r="P544" i="55"/>
  <c r="P543" i="55"/>
  <c r="P541" i="55"/>
  <c r="P540" i="55"/>
  <c r="T282" i="55"/>
  <c r="O282" i="55" s="1"/>
  <c r="T281" i="55"/>
  <c r="O281" i="55" s="1"/>
  <c r="T280" i="55"/>
  <c r="O280" i="55" s="1"/>
  <c r="Q282" i="55"/>
  <c r="Q281" i="55"/>
  <c r="Q280" i="55"/>
  <c r="P280" i="55"/>
  <c r="P282" i="55"/>
  <c r="P281" i="55"/>
  <c r="P279" i="55"/>
  <c r="T279" i="55"/>
  <c r="O279" i="55" s="1"/>
  <c r="T278" i="55"/>
  <c r="O278" i="55" s="1"/>
  <c r="Q279" i="55"/>
  <c r="Q278" i="55"/>
  <c r="P278" i="55"/>
  <c r="T457" i="55"/>
  <c r="O457" i="55" s="1"/>
  <c r="T456" i="55"/>
  <c r="O456" i="55" s="1"/>
  <c r="T455" i="55"/>
  <c r="O455" i="55" s="1"/>
  <c r="T454" i="55"/>
  <c r="O454" i="55" s="1"/>
  <c r="Q457" i="55"/>
  <c r="Q456" i="55"/>
  <c r="Q455" i="55"/>
  <c r="Q454" i="55"/>
  <c r="P455" i="55"/>
  <c r="P457" i="55"/>
  <c r="P456" i="55"/>
  <c r="P454" i="55"/>
  <c r="T406" i="55"/>
  <c r="O406" i="55" s="1"/>
  <c r="T405" i="55"/>
  <c r="O405" i="55" s="1"/>
  <c r="T404" i="55"/>
  <c r="O404" i="55" s="1"/>
  <c r="T403" i="55"/>
  <c r="O403" i="55" s="1"/>
  <c r="Q406" i="55"/>
  <c r="Q405" i="55"/>
  <c r="Q404" i="55"/>
  <c r="Q403" i="55"/>
  <c r="P404" i="55"/>
  <c r="P406" i="55"/>
  <c r="P405" i="55"/>
  <c r="P403" i="55"/>
  <c r="P402" i="55"/>
  <c r="T277" i="55"/>
  <c r="O277" i="55" s="1"/>
  <c r="T276" i="55"/>
  <c r="O276" i="55" s="1"/>
  <c r="T275" i="55"/>
  <c r="O275" i="55" s="1"/>
  <c r="T274" i="55"/>
  <c r="O274" i="55" s="1"/>
  <c r="Q277" i="55"/>
  <c r="Q276" i="55"/>
  <c r="Q275" i="55"/>
  <c r="Q274" i="55"/>
  <c r="P277" i="55"/>
  <c r="P276" i="55"/>
  <c r="P274" i="55"/>
  <c r="P275" i="55"/>
  <c r="T453" i="55"/>
  <c r="O453" i="55" s="1"/>
  <c r="T452" i="55"/>
  <c r="O452" i="55" s="1"/>
  <c r="T451" i="55"/>
  <c r="O451" i="55" s="1"/>
  <c r="T450" i="55"/>
  <c r="O450" i="55" s="1"/>
  <c r="Q453" i="55"/>
  <c r="Q452" i="55"/>
  <c r="Q451" i="55"/>
  <c r="Q450" i="55"/>
  <c r="P453" i="55"/>
  <c r="P452" i="55"/>
  <c r="P451" i="55"/>
  <c r="P450" i="55"/>
  <c r="T273" i="55"/>
  <c r="O273" i="55" s="1"/>
  <c r="T272" i="55"/>
  <c r="O272" i="55" s="1"/>
  <c r="T271" i="55"/>
  <c r="O271" i="55" s="1"/>
  <c r="T270" i="55"/>
  <c r="O270" i="55" s="1"/>
  <c r="Q273" i="55"/>
  <c r="Q272" i="55"/>
  <c r="Q271" i="55"/>
  <c r="Q270" i="55"/>
  <c r="P273" i="55"/>
  <c r="P272" i="55"/>
  <c r="P271" i="55"/>
  <c r="P270" i="55"/>
  <c r="T402" i="55"/>
  <c r="O402" i="55" s="1"/>
  <c r="Q402" i="55"/>
  <c r="T401" i="55"/>
  <c r="O401" i="55" s="1"/>
  <c r="Q401" i="55"/>
  <c r="P401" i="55"/>
  <c r="P400" i="55"/>
  <c r="T446" i="55"/>
  <c r="O446" i="55" s="1"/>
  <c r="Q446" i="55"/>
  <c r="P447" i="55"/>
  <c r="P446" i="55"/>
  <c r="T312" i="55"/>
  <c r="O312" i="55" s="1"/>
  <c r="Q312" i="55"/>
  <c r="P313" i="55"/>
  <c r="P312" i="55"/>
  <c r="T481" i="55"/>
  <c r="O481" i="55" s="1"/>
  <c r="T480" i="55"/>
  <c r="O480" i="55" s="1"/>
  <c r="T479" i="55"/>
  <c r="O479" i="55" s="1"/>
  <c r="Q481" i="55"/>
  <c r="Q480" i="55"/>
  <c r="Q479" i="55"/>
  <c r="P481" i="55"/>
  <c r="P480" i="55"/>
  <c r="P479" i="55"/>
  <c r="T386" i="55"/>
  <c r="O386" i="55" s="1"/>
  <c r="T385" i="55"/>
  <c r="O385" i="55" s="1"/>
  <c r="T384" i="55"/>
  <c r="O384" i="55" s="1"/>
  <c r="Q386" i="55"/>
  <c r="Q385" i="55"/>
  <c r="Q384" i="55"/>
  <c r="P386" i="55"/>
  <c r="P385" i="55"/>
  <c r="P384" i="55"/>
  <c r="T266" i="55"/>
  <c r="O266" i="55" s="1"/>
  <c r="Q266" i="55"/>
  <c r="P267" i="55"/>
  <c r="P266" i="55"/>
  <c r="T128" i="55"/>
  <c r="O128" i="55" s="1"/>
  <c r="T265" i="55"/>
  <c r="O265" i="55" s="1"/>
  <c r="T264" i="55"/>
  <c r="O264" i="55" s="1"/>
  <c r="Q265" i="55"/>
  <c r="Q264" i="55"/>
  <c r="P265" i="55"/>
  <c r="P264" i="55"/>
  <c r="T263" i="55"/>
  <c r="O263" i="55" s="1"/>
  <c r="Q263" i="55"/>
  <c r="P263" i="55"/>
  <c r="T478" i="55"/>
  <c r="O478" i="55" s="1"/>
  <c r="Q478" i="55"/>
  <c r="P478" i="55"/>
  <c r="T383" i="55"/>
  <c r="O383" i="55" s="1"/>
  <c r="Q383" i="55"/>
  <c r="P383" i="55"/>
  <c r="T262" i="55"/>
  <c r="O262" i="55" s="1"/>
  <c r="Q262" i="55"/>
  <c r="P262" i="55"/>
  <c r="T477" i="55"/>
  <c r="O477" i="55" s="1"/>
  <c r="T476" i="55"/>
  <c r="O476" i="55" s="1"/>
  <c r="T475" i="55"/>
  <c r="O475" i="55" s="1"/>
  <c r="T474" i="55"/>
  <c r="O474" i="55" s="1"/>
  <c r="T473" i="55"/>
  <c r="O473" i="55" s="1"/>
  <c r="T472" i="55"/>
  <c r="O472" i="55" s="1"/>
  <c r="T471" i="55"/>
  <c r="O471" i="55" s="1"/>
  <c r="T470" i="55"/>
  <c r="O470" i="55" s="1"/>
  <c r="T469" i="55"/>
  <c r="O469" i="55" s="1"/>
  <c r="Q477" i="55"/>
  <c r="Q476" i="55"/>
  <c r="Q475" i="55"/>
  <c r="Q474" i="55"/>
  <c r="Q473" i="55"/>
  <c r="Q472" i="55"/>
  <c r="Q471" i="55"/>
  <c r="Q470" i="55"/>
  <c r="Q469" i="55"/>
  <c r="P473" i="55"/>
  <c r="P472" i="55"/>
  <c r="P471" i="55"/>
  <c r="P470" i="55"/>
  <c r="P469" i="55"/>
  <c r="P477" i="55"/>
  <c r="T468" i="55"/>
  <c r="O468" i="55" s="1"/>
  <c r="T467" i="55"/>
  <c r="O467" i="55" s="1"/>
  <c r="Q468" i="55"/>
  <c r="Q467" i="55"/>
  <c r="T466" i="55"/>
  <c r="O466" i="55" s="1"/>
  <c r="Q466" i="55"/>
  <c r="P476" i="55"/>
  <c r="P475" i="55"/>
  <c r="P474" i="55"/>
  <c r="P468" i="55"/>
  <c r="P467" i="55"/>
  <c r="P466" i="55"/>
  <c r="T382" i="55"/>
  <c r="O382" i="55" s="1"/>
  <c r="T381" i="55"/>
  <c r="O381" i="55" s="1"/>
  <c r="T380" i="55"/>
  <c r="O380" i="55" s="1"/>
  <c r="T379" i="55"/>
  <c r="O379" i="55" s="1"/>
  <c r="T378" i="55"/>
  <c r="O378" i="55" s="1"/>
  <c r="T377" i="55"/>
  <c r="O377" i="55" s="1"/>
  <c r="T376" i="55"/>
  <c r="O376" i="55" s="1"/>
  <c r="T375" i="55"/>
  <c r="O375" i="55" s="1"/>
  <c r="T374" i="55"/>
  <c r="O374" i="55" s="1"/>
  <c r="Q382" i="55"/>
  <c r="Q381" i="55"/>
  <c r="Q380" i="55"/>
  <c r="Q379" i="55"/>
  <c r="Q378" i="55"/>
  <c r="Q377" i="55"/>
  <c r="Q376" i="55"/>
  <c r="Q375" i="55"/>
  <c r="Q374" i="55"/>
  <c r="P382" i="55"/>
  <c r="P381" i="55"/>
  <c r="P380" i="55"/>
  <c r="P379" i="55"/>
  <c r="P378" i="55"/>
  <c r="P377" i="55"/>
  <c r="P376" i="55"/>
  <c r="P375" i="55"/>
  <c r="P374" i="55"/>
  <c r="T373" i="55"/>
  <c r="O373" i="55" s="1"/>
  <c r="T372" i="55"/>
  <c r="O372" i="55" s="1"/>
  <c r="T371" i="55"/>
  <c r="O371" i="55" s="1"/>
  <c r="Q373" i="55"/>
  <c r="Q372" i="55"/>
  <c r="Q371" i="55"/>
  <c r="P373" i="55"/>
  <c r="P372" i="55"/>
  <c r="P371" i="55"/>
  <c r="T261" i="55"/>
  <c r="O261" i="55" s="1"/>
  <c r="T260" i="55"/>
  <c r="O260" i="55" s="1"/>
  <c r="T259" i="55"/>
  <c r="O259" i="55" s="1"/>
  <c r="T258" i="55"/>
  <c r="O258" i="55" s="1"/>
  <c r="T257" i="55"/>
  <c r="O257" i="55" s="1"/>
  <c r="T256" i="55"/>
  <c r="O256" i="55" s="1"/>
  <c r="T255" i="55"/>
  <c r="O255" i="55" s="1"/>
  <c r="T254" i="55"/>
  <c r="O254" i="55" s="1"/>
  <c r="T253" i="55"/>
  <c r="O253" i="55" s="1"/>
  <c r="Q261" i="55"/>
  <c r="Q260" i="55"/>
  <c r="Q259" i="55"/>
  <c r="Q258" i="55"/>
  <c r="Q257" i="55"/>
  <c r="Q256" i="55"/>
  <c r="Q255" i="55"/>
  <c r="Q254" i="55"/>
  <c r="Q253" i="55"/>
  <c r="P261" i="55"/>
  <c r="P260" i="55"/>
  <c r="P259" i="55"/>
  <c r="P258" i="55"/>
  <c r="P257" i="55"/>
  <c r="P256" i="55"/>
  <c r="P255" i="55"/>
  <c r="P254" i="55"/>
  <c r="P253" i="55"/>
  <c r="T252" i="55"/>
  <c r="O252" i="55" s="1"/>
  <c r="T251" i="55"/>
  <c r="O251" i="55" s="1"/>
  <c r="Q252" i="55"/>
  <c r="Q251" i="55"/>
  <c r="P252" i="55"/>
  <c r="P251" i="55"/>
  <c r="P248" i="55"/>
  <c r="T250" i="55"/>
  <c r="O250" i="55" s="1"/>
  <c r="Q250" i="55"/>
  <c r="P250" i="55"/>
  <c r="T465" i="55"/>
  <c r="O465" i="55" s="1"/>
  <c r="T464" i="55"/>
  <c r="O464" i="55" s="1"/>
  <c r="T463" i="55"/>
  <c r="O463" i="55" s="1"/>
  <c r="T462" i="55"/>
  <c r="O462" i="55" s="1"/>
  <c r="T461" i="55"/>
  <c r="O461" i="55" s="1"/>
  <c r="T460" i="55"/>
  <c r="O460" i="55" s="1"/>
  <c r="T459" i="55"/>
  <c r="O459" i="55" s="1"/>
  <c r="T458" i="55"/>
  <c r="O458" i="55" s="1"/>
  <c r="Q465" i="55"/>
  <c r="Q464" i="55"/>
  <c r="Q463" i="55"/>
  <c r="Q462" i="55"/>
  <c r="Q461" i="55"/>
  <c r="Q460" i="55"/>
  <c r="Q459" i="55"/>
  <c r="Q458" i="55"/>
  <c r="P465" i="55"/>
  <c r="P464" i="55"/>
  <c r="P463" i="55"/>
  <c r="P462" i="55"/>
  <c r="P461" i="55"/>
  <c r="P460" i="55"/>
  <c r="P459" i="55"/>
  <c r="P458" i="55"/>
  <c r="T370" i="55"/>
  <c r="O370" i="55" s="1"/>
  <c r="T369" i="55"/>
  <c r="O369" i="55" s="1"/>
  <c r="T368" i="55"/>
  <c r="O368" i="55" s="1"/>
  <c r="T367" i="55"/>
  <c r="O367" i="55" s="1"/>
  <c r="T366" i="55"/>
  <c r="O366" i="55" s="1"/>
  <c r="T365" i="55"/>
  <c r="O365" i="55" s="1"/>
  <c r="T364" i="55"/>
  <c r="O364" i="55" s="1"/>
  <c r="T363" i="55"/>
  <c r="O363" i="55" s="1"/>
  <c r="Q370" i="55"/>
  <c r="Q369" i="55"/>
  <c r="Q368" i="55"/>
  <c r="Q367" i="55"/>
  <c r="Q366" i="55"/>
  <c r="Q365" i="55"/>
  <c r="Q364" i="55"/>
  <c r="Q363" i="55"/>
  <c r="P370" i="55"/>
  <c r="P369" i="55"/>
  <c r="P368" i="55"/>
  <c r="P367" i="55"/>
  <c r="P366" i="55"/>
  <c r="P365" i="55"/>
  <c r="P364" i="55"/>
  <c r="P363" i="55"/>
  <c r="T249" i="55"/>
  <c r="O249" i="55" s="1"/>
  <c r="T248" i="55"/>
  <c r="O248" i="55" s="1"/>
  <c r="T247" i="55"/>
  <c r="O247" i="55" s="1"/>
  <c r="T246" i="55"/>
  <c r="O246" i="55" s="1"/>
  <c r="T245" i="55"/>
  <c r="O245" i="55" s="1"/>
  <c r="T244" i="55"/>
  <c r="O244" i="55" s="1"/>
  <c r="T243" i="55"/>
  <c r="O243" i="55" s="1"/>
  <c r="T242" i="55"/>
  <c r="O242" i="55" s="1"/>
  <c r="Q249" i="55"/>
  <c r="Q248" i="55"/>
  <c r="Q247" i="55"/>
  <c r="Q246" i="55"/>
  <c r="Q245" i="55"/>
  <c r="Q244" i="55"/>
  <c r="Q243" i="55"/>
  <c r="Q242" i="55"/>
  <c r="P247" i="55"/>
  <c r="P246" i="55"/>
  <c r="P245" i="55"/>
  <c r="P244" i="55"/>
  <c r="P243" i="55"/>
  <c r="P242" i="55"/>
  <c r="P249" i="55"/>
  <c r="P107" i="55"/>
  <c r="P106" i="55"/>
  <c r="P105" i="55"/>
  <c r="O108" i="55"/>
  <c r="T362" i="55"/>
  <c r="O362" i="55" s="1"/>
  <c r="T361" i="55"/>
  <c r="O361" i="55" s="1"/>
  <c r="T360" i="55"/>
  <c r="O360" i="55" s="1"/>
  <c r="Q362" i="55"/>
  <c r="Q361" i="55"/>
  <c r="Q360" i="55"/>
  <c r="P362" i="55"/>
  <c r="P361" i="55"/>
  <c r="P360" i="55"/>
  <c r="T241" i="55"/>
  <c r="O241" i="55" s="1"/>
  <c r="T240" i="55"/>
  <c r="O240" i="55" s="1"/>
  <c r="T239" i="55"/>
  <c r="O239" i="55" s="1"/>
  <c r="Q241" i="55"/>
  <c r="Q240" i="55"/>
  <c r="Q239" i="55"/>
  <c r="P241" i="55"/>
  <c r="P240" i="55"/>
  <c r="P239" i="55"/>
  <c r="T359" i="55"/>
  <c r="O359" i="55" s="1"/>
  <c r="Q359" i="55"/>
  <c r="P359" i="55"/>
  <c r="Q238" i="55"/>
  <c r="P238" i="55"/>
  <c r="T238" i="55"/>
  <c r="O238" i="55" s="1"/>
  <c r="T358" i="55"/>
  <c r="O358" i="55" s="1"/>
  <c r="T357" i="55"/>
  <c r="O357" i="55" s="1"/>
  <c r="T356" i="55"/>
  <c r="O356" i="55" s="1"/>
  <c r="T355" i="55"/>
  <c r="O355" i="55" s="1"/>
  <c r="T354" i="55"/>
  <c r="O354" i="55" s="1"/>
  <c r="T353" i="55"/>
  <c r="O353" i="55" s="1"/>
  <c r="T352" i="55"/>
  <c r="O352" i="55" s="1"/>
  <c r="T351" i="55"/>
  <c r="O351" i="55" s="1"/>
  <c r="T350" i="55"/>
  <c r="O350" i="55" s="1"/>
  <c r="Q358" i="55"/>
  <c r="Q357" i="55"/>
  <c r="Q356" i="55"/>
  <c r="Q355" i="55"/>
  <c r="Q354" i="55"/>
  <c r="Q353" i="55"/>
  <c r="Q352" i="55"/>
  <c r="Q351" i="55"/>
  <c r="Q350" i="55"/>
  <c r="P358" i="55"/>
  <c r="P357" i="55"/>
  <c r="P356" i="55"/>
  <c r="P355" i="55"/>
  <c r="P354" i="55"/>
  <c r="P353" i="55"/>
  <c r="P352" i="55"/>
  <c r="P351" i="55"/>
  <c r="P350" i="55"/>
  <c r="T237" i="55"/>
  <c r="O237" i="55" s="1"/>
  <c r="T236" i="55"/>
  <c r="O236" i="55" s="1"/>
  <c r="T235" i="55"/>
  <c r="O235" i="55" s="1"/>
  <c r="T234" i="55"/>
  <c r="O234" i="55" s="1"/>
  <c r="T233" i="55"/>
  <c r="O233" i="55" s="1"/>
  <c r="T232" i="55"/>
  <c r="O232" i="55" s="1"/>
  <c r="T231" i="55"/>
  <c r="O231" i="55" s="1"/>
  <c r="T230" i="55"/>
  <c r="O230" i="55" s="1"/>
  <c r="T229" i="55"/>
  <c r="O229" i="55" s="1"/>
  <c r="Q237" i="55"/>
  <c r="Q236" i="55"/>
  <c r="Q235" i="55"/>
  <c r="Q234" i="55"/>
  <c r="Q233" i="55"/>
  <c r="Q232" i="55"/>
  <c r="Q231" i="55"/>
  <c r="Q230" i="55"/>
  <c r="Q229" i="55"/>
  <c r="P236" i="55"/>
  <c r="P235" i="55"/>
  <c r="P234" i="55"/>
  <c r="P233" i="55"/>
  <c r="P232" i="55"/>
  <c r="P231" i="55"/>
  <c r="P230" i="55"/>
  <c r="P229" i="55"/>
  <c r="P237" i="55"/>
  <c r="T349" i="55"/>
  <c r="O349" i="55" s="1"/>
  <c r="T348" i="55"/>
  <c r="O348" i="55" s="1"/>
  <c r="T347" i="55"/>
  <c r="O347" i="55" s="1"/>
  <c r="Q349" i="55"/>
  <c r="Q348" i="55"/>
  <c r="Q347" i="55"/>
  <c r="P349" i="55"/>
  <c r="P348" i="55"/>
  <c r="P347" i="55"/>
  <c r="T228" i="55"/>
  <c r="O228" i="55" s="1"/>
  <c r="T227" i="55"/>
  <c r="O227" i="55" s="1"/>
  <c r="T226" i="55"/>
  <c r="O226" i="55" s="1"/>
  <c r="Q228" i="55"/>
  <c r="Q227" i="55"/>
  <c r="Q226" i="55"/>
  <c r="P228" i="55"/>
  <c r="P227" i="55"/>
  <c r="P226" i="55"/>
  <c r="T346" i="55"/>
  <c r="O346" i="55" s="1"/>
  <c r="T345" i="55"/>
  <c r="O345" i="55" s="1"/>
  <c r="Q346" i="55"/>
  <c r="Q345" i="55"/>
  <c r="P346" i="55"/>
  <c r="P345" i="55"/>
  <c r="T225" i="55"/>
  <c r="O225" i="55" s="1"/>
  <c r="T224" i="55"/>
  <c r="O224" i="55" s="1"/>
  <c r="Q225" i="55"/>
  <c r="Q224" i="55"/>
  <c r="P225" i="55"/>
  <c r="P224" i="55"/>
  <c r="P223" i="55"/>
  <c r="T344" i="55"/>
  <c r="O344" i="55" s="1"/>
  <c r="T343" i="55"/>
  <c r="O343" i="55" s="1"/>
  <c r="Q344" i="55"/>
  <c r="Q343" i="55"/>
  <c r="P344" i="55"/>
  <c r="P343" i="55"/>
  <c r="P341" i="55"/>
  <c r="T223" i="55"/>
  <c r="O223" i="55" s="1"/>
  <c r="T222" i="55"/>
  <c r="O222" i="55" s="1"/>
  <c r="Q223" i="55"/>
  <c r="Q222" i="55"/>
  <c r="P222" i="55"/>
  <c r="P220" i="55"/>
  <c r="T342" i="55"/>
  <c r="O342" i="55" s="1"/>
  <c r="T341" i="55"/>
  <c r="O341" i="55" s="1"/>
  <c r="T340" i="55"/>
  <c r="O340" i="55" s="1"/>
  <c r="T339" i="55"/>
  <c r="O339" i="55" s="1"/>
  <c r="T338" i="55"/>
  <c r="O338" i="55" s="1"/>
  <c r="T337" i="55"/>
  <c r="O337" i="55" s="1"/>
  <c r="T336" i="55"/>
  <c r="O336" i="55" s="1"/>
  <c r="T335" i="55"/>
  <c r="O335" i="55" s="1"/>
  <c r="Q342" i="55"/>
  <c r="Q341" i="55"/>
  <c r="Q340" i="55"/>
  <c r="Q339" i="55"/>
  <c r="Q338" i="55"/>
  <c r="Q337" i="55"/>
  <c r="Q336" i="55"/>
  <c r="Q335" i="55"/>
  <c r="P342" i="55"/>
  <c r="P340" i="55"/>
  <c r="P338" i="55"/>
  <c r="P337" i="55"/>
  <c r="P336" i="55"/>
  <c r="P335" i="55"/>
  <c r="T221" i="55"/>
  <c r="O221" i="55" s="1"/>
  <c r="T220" i="55"/>
  <c r="O220" i="55" s="1"/>
  <c r="T219" i="55"/>
  <c r="O219" i="55" s="1"/>
  <c r="T218" i="55"/>
  <c r="O218" i="55" s="1"/>
  <c r="T217" i="55"/>
  <c r="O217" i="55" s="1"/>
  <c r="T216" i="55"/>
  <c r="O216" i="55" s="1"/>
  <c r="T215" i="55"/>
  <c r="O215" i="55" s="1"/>
  <c r="T214" i="55"/>
  <c r="O214" i="55" s="1"/>
  <c r="Q221" i="55"/>
  <c r="Q220" i="55"/>
  <c r="Q219" i="55"/>
  <c r="Q218" i="55"/>
  <c r="Q217" i="55"/>
  <c r="Q216" i="55"/>
  <c r="Q215" i="55"/>
  <c r="Q214" i="55"/>
  <c r="P221" i="55"/>
  <c r="P219" i="55"/>
  <c r="P218" i="55"/>
  <c r="P217" i="55"/>
  <c r="P216" i="55"/>
  <c r="P215" i="55"/>
  <c r="P214" i="55"/>
  <c r="T324" i="55"/>
  <c r="O324" i="55" s="1"/>
  <c r="T323" i="55"/>
  <c r="O323" i="55" s="1"/>
  <c r="Q324" i="55"/>
  <c r="Q323" i="55"/>
  <c r="P324" i="55"/>
  <c r="P323" i="55"/>
  <c r="T529" i="55"/>
  <c r="O529" i="55" s="1"/>
  <c r="Q529" i="55"/>
  <c r="T208" i="55"/>
  <c r="O208" i="55" s="1"/>
  <c r="Q208" i="55"/>
  <c r="P208" i="55"/>
  <c r="Q207" i="55"/>
  <c r="Q206" i="55"/>
  <c r="P207" i="55"/>
  <c r="P206" i="55"/>
  <c r="T207" i="55"/>
  <c r="O207" i="55" s="1"/>
  <c r="T206" i="55"/>
  <c r="O206" i="55" s="1"/>
  <c r="T326" i="55"/>
  <c r="O326" i="55" s="1"/>
  <c r="T325" i="55"/>
  <c r="O325" i="55" s="1"/>
  <c r="Q326" i="55"/>
  <c r="Q325" i="55"/>
  <c r="P326" i="55"/>
  <c r="P325" i="55"/>
  <c r="T205" i="55"/>
  <c r="O205" i="55" s="1"/>
  <c r="T204" i="55"/>
  <c r="O204" i="55" s="1"/>
  <c r="Q205" i="55"/>
  <c r="Q204" i="55"/>
  <c r="P205" i="55"/>
  <c r="P204" i="55"/>
  <c r="T522" i="55"/>
  <c r="O522" i="55" s="1"/>
  <c r="T521" i="55"/>
  <c r="O521" i="55" s="1"/>
  <c r="T520" i="55"/>
  <c r="O520" i="55" s="1"/>
  <c r="T519" i="55"/>
  <c r="O519" i="55" s="1"/>
  <c r="Q522" i="55"/>
  <c r="Q521" i="55"/>
  <c r="Q520" i="55"/>
  <c r="Q519" i="55"/>
  <c r="P522" i="55"/>
  <c r="P521" i="55"/>
  <c r="P520" i="55"/>
  <c r="P519" i="55"/>
  <c r="T322" i="55"/>
  <c r="O322" i="55" s="1"/>
  <c r="T321" i="55"/>
  <c r="O321" i="55" s="1"/>
  <c r="T320" i="55"/>
  <c r="O320" i="55" s="1"/>
  <c r="T319" i="55"/>
  <c r="O319" i="55" s="1"/>
  <c r="Q321" i="55"/>
  <c r="Q320" i="55"/>
  <c r="Q319" i="55"/>
  <c r="P320" i="55"/>
  <c r="T203" i="55"/>
  <c r="O203" i="55" s="1"/>
  <c r="T202" i="55"/>
  <c r="O202" i="55" s="1"/>
  <c r="T201" i="55"/>
  <c r="O201" i="55" s="1"/>
  <c r="T200" i="55"/>
  <c r="O200" i="55" s="1"/>
  <c r="Q203" i="55"/>
  <c r="Q202" i="55"/>
  <c r="Q201" i="55"/>
  <c r="Q200" i="55"/>
  <c r="P203" i="55"/>
  <c r="P202" i="55"/>
  <c r="P201" i="55"/>
  <c r="P200" i="55"/>
  <c r="T518" i="55"/>
  <c r="O518" i="55" s="1"/>
  <c r="T517" i="55"/>
  <c r="O517" i="55" s="1"/>
  <c r="T516" i="55"/>
  <c r="O516" i="55" s="1"/>
  <c r="Q518" i="55"/>
  <c r="Q517" i="55"/>
  <c r="Q516" i="55"/>
  <c r="P518" i="55"/>
  <c r="P517" i="55"/>
  <c r="P516" i="55"/>
  <c r="T199" i="55"/>
  <c r="O199" i="55" s="1"/>
  <c r="T198" i="55"/>
  <c r="O198" i="55" s="1"/>
  <c r="T197" i="55"/>
  <c r="O197" i="55" s="1"/>
  <c r="Q199" i="55"/>
  <c r="Q198" i="55"/>
  <c r="Q197" i="55"/>
  <c r="P199" i="55"/>
  <c r="P198" i="55"/>
  <c r="P197" i="55"/>
  <c r="T515" i="55"/>
  <c r="O515" i="55" s="1"/>
  <c r="T514" i="55"/>
  <c r="O514" i="55" s="1"/>
  <c r="T513" i="55"/>
  <c r="O513" i="55" s="1"/>
  <c r="Q515" i="55"/>
  <c r="Q514" i="55"/>
  <c r="Q513" i="55"/>
  <c r="P514" i="55"/>
  <c r="P513" i="55"/>
  <c r="T196" i="55"/>
  <c r="O196" i="55" s="1"/>
  <c r="T195" i="55"/>
  <c r="O195" i="55" s="1"/>
  <c r="Q196" i="55"/>
  <c r="Q195" i="55"/>
  <c r="P196" i="55"/>
  <c r="P195" i="55"/>
  <c r="T501" i="55"/>
  <c r="O501" i="55" s="1"/>
  <c r="T500" i="55"/>
  <c r="O500" i="55" s="1"/>
  <c r="T499" i="55"/>
  <c r="O499" i="55" s="1"/>
  <c r="T498" i="55"/>
  <c r="O498" i="55" s="1"/>
  <c r="T497" i="55"/>
  <c r="O497" i="55" s="1"/>
  <c r="T496" i="55"/>
  <c r="O496" i="55" s="1"/>
  <c r="T495" i="55"/>
  <c r="O495" i="55" s="1"/>
  <c r="T494" i="55"/>
  <c r="O494" i="55" s="1"/>
  <c r="Q501" i="55"/>
  <c r="Q500" i="55"/>
  <c r="Q499" i="55"/>
  <c r="Q498" i="55"/>
  <c r="Q497" i="55"/>
  <c r="Q496" i="55"/>
  <c r="Q495" i="55"/>
  <c r="Q494" i="55"/>
  <c r="P501" i="55"/>
  <c r="P500" i="55"/>
  <c r="P498" i="55"/>
  <c r="P497" i="55"/>
  <c r="P496" i="55"/>
  <c r="P495" i="55"/>
  <c r="T508" i="55"/>
  <c r="O508" i="55" s="1"/>
  <c r="Q510" i="55"/>
  <c r="Q509" i="55"/>
  <c r="P510" i="55"/>
  <c r="P509" i="55"/>
  <c r="T510" i="55"/>
  <c r="O510" i="55" s="1"/>
  <c r="T509" i="55"/>
  <c r="O509" i="55" s="1"/>
  <c r="Q268" i="55"/>
  <c r="P269" i="55"/>
  <c r="P268" i="55"/>
  <c r="T268" i="55"/>
  <c r="O268" i="55" s="1"/>
  <c r="T507" i="55"/>
  <c r="O507" i="55" s="1"/>
  <c r="T506" i="55"/>
  <c r="O506" i="55" s="1"/>
  <c r="T505" i="55"/>
  <c r="O505" i="55" s="1"/>
  <c r="T504" i="55"/>
  <c r="O504" i="55" s="1"/>
  <c r="Q508" i="55"/>
  <c r="Q507" i="55"/>
  <c r="Q506" i="55"/>
  <c r="Q505" i="55"/>
  <c r="Q504" i="55"/>
  <c r="P508" i="55"/>
  <c r="P507" i="55"/>
  <c r="P506" i="55"/>
  <c r="P505" i="55"/>
  <c r="P504" i="55"/>
  <c r="T448" i="55"/>
  <c r="O448" i="55" s="1"/>
  <c r="Q448" i="55"/>
  <c r="P449" i="55"/>
  <c r="P448" i="55"/>
  <c r="T314" i="55"/>
  <c r="O314" i="55" s="1"/>
  <c r="Q314" i="55"/>
  <c r="Q191" i="55"/>
  <c r="Q190" i="55"/>
  <c r="P191" i="55"/>
  <c r="T191" i="55"/>
  <c r="O191" i="55" s="1"/>
  <c r="T190" i="55"/>
  <c r="O190" i="55" s="1"/>
  <c r="T189" i="55"/>
  <c r="O189" i="55" s="1"/>
  <c r="T187" i="55"/>
  <c r="O187" i="55" s="1"/>
  <c r="T186" i="55"/>
  <c r="O186" i="55" s="1"/>
  <c r="T185" i="55"/>
  <c r="O185" i="55" s="1"/>
  <c r="Q189" i="55"/>
  <c r="Q187" i="55"/>
  <c r="Q186" i="55"/>
  <c r="Q185" i="55"/>
  <c r="P189" i="55"/>
  <c r="P187" i="55"/>
  <c r="P186" i="55"/>
  <c r="P185" i="55"/>
  <c r="T503" i="55"/>
  <c r="O503" i="55" s="1"/>
  <c r="T502" i="55"/>
  <c r="O502" i="55" s="1"/>
  <c r="Q503" i="55"/>
  <c r="Q502" i="55"/>
  <c r="P503" i="55"/>
  <c r="P502" i="55"/>
  <c r="T184" i="55"/>
  <c r="O184" i="55" s="1"/>
  <c r="T183" i="55"/>
  <c r="O183" i="55" s="1"/>
  <c r="Q184" i="55"/>
  <c r="Q183" i="55"/>
  <c r="P184" i="55"/>
  <c r="P183" i="55"/>
  <c r="T441" i="55"/>
  <c r="O441" i="55" s="1"/>
  <c r="T440" i="55"/>
  <c r="O440" i="55" s="1"/>
  <c r="T439" i="55"/>
  <c r="O439" i="55" s="1"/>
  <c r="Q441" i="55"/>
  <c r="Q440" i="55"/>
  <c r="Q439" i="55"/>
  <c r="P441" i="55"/>
  <c r="P440" i="55"/>
  <c r="P439" i="55"/>
  <c r="T311" i="55"/>
  <c r="O311" i="55" s="1"/>
  <c r="T310" i="55"/>
  <c r="O310" i="55" s="1"/>
  <c r="T309" i="55"/>
  <c r="O309" i="55" s="1"/>
  <c r="Q311" i="55"/>
  <c r="Q310" i="55"/>
  <c r="Q309" i="55"/>
  <c r="P311" i="55"/>
  <c r="P310" i="55"/>
  <c r="P309" i="55"/>
  <c r="T179" i="55"/>
  <c r="O179" i="55" s="1"/>
  <c r="T178" i="55"/>
  <c r="O178" i="55" s="1"/>
  <c r="T177" i="55"/>
  <c r="O177" i="55" s="1"/>
  <c r="Q179" i="55"/>
  <c r="Q178" i="55"/>
  <c r="Q177" i="55"/>
  <c r="P179" i="55"/>
  <c r="P178" i="55"/>
  <c r="P177" i="55"/>
  <c r="T438" i="55"/>
  <c r="O438" i="55" s="1"/>
  <c r="T437" i="55"/>
  <c r="O437" i="55" s="1"/>
  <c r="T436" i="55"/>
  <c r="O436" i="55" s="1"/>
  <c r="T435" i="55"/>
  <c r="O435" i="55" s="1"/>
  <c r="T434" i="55"/>
  <c r="O434" i="55" s="1"/>
  <c r="T433" i="55"/>
  <c r="O433" i="55" s="1"/>
  <c r="T432" i="55"/>
  <c r="O432" i="55" s="1"/>
  <c r="T431" i="55"/>
  <c r="O431" i="55" s="1"/>
  <c r="T430" i="55"/>
  <c r="O430" i="55" s="1"/>
  <c r="Q438" i="55"/>
  <c r="Q437" i="55"/>
  <c r="Q436" i="55"/>
  <c r="Q435" i="55"/>
  <c r="Q434" i="55"/>
  <c r="Q433" i="55"/>
  <c r="Q432" i="55"/>
  <c r="Q431" i="55"/>
  <c r="Q430" i="55"/>
  <c r="P438" i="55"/>
  <c r="P437" i="55"/>
  <c r="P436" i="55"/>
  <c r="P435" i="55"/>
  <c r="P434" i="55"/>
  <c r="P433" i="55"/>
  <c r="P432" i="55"/>
  <c r="P431" i="55"/>
  <c r="P430" i="55"/>
  <c r="T308" i="55"/>
  <c r="O308" i="55" s="1"/>
  <c r="T307" i="55"/>
  <c r="O307" i="55" s="1"/>
  <c r="T306" i="55"/>
  <c r="O306" i="55" s="1"/>
  <c r="T305" i="55"/>
  <c r="O305" i="55" s="1"/>
  <c r="T304" i="55"/>
  <c r="O304" i="55" s="1"/>
  <c r="T303" i="55"/>
  <c r="O303" i="55" s="1"/>
  <c r="T302" i="55"/>
  <c r="O302" i="55" s="1"/>
  <c r="T301" i="55"/>
  <c r="O301" i="55" s="1"/>
  <c r="T300" i="55"/>
  <c r="O300" i="55" s="1"/>
  <c r="Q308" i="55"/>
  <c r="Q307" i="55"/>
  <c r="Q306" i="55"/>
  <c r="Q305" i="55"/>
  <c r="Q304" i="55"/>
  <c r="Q303" i="55"/>
  <c r="Q302" i="55"/>
  <c r="Q301" i="55"/>
  <c r="Q300" i="55"/>
  <c r="P308" i="55"/>
  <c r="P307" i="55"/>
  <c r="P306" i="55"/>
  <c r="P305" i="55"/>
  <c r="P304" i="55"/>
  <c r="P303" i="55"/>
  <c r="P302" i="55"/>
  <c r="P301" i="55"/>
  <c r="P300" i="55"/>
  <c r="T176" i="55"/>
  <c r="O176" i="55" s="1"/>
  <c r="T175" i="55"/>
  <c r="O175" i="55" s="1"/>
  <c r="T174" i="55"/>
  <c r="O174" i="55" s="1"/>
  <c r="T173" i="55"/>
  <c r="O173" i="55" s="1"/>
  <c r="T172" i="55"/>
  <c r="O172" i="55" s="1"/>
  <c r="T171" i="55"/>
  <c r="O171" i="55" s="1"/>
  <c r="T170" i="55"/>
  <c r="O170" i="55" s="1"/>
  <c r="T169" i="55"/>
  <c r="O169" i="55" s="1"/>
  <c r="T168" i="55"/>
  <c r="O168" i="55" s="1"/>
  <c r="Q176" i="55"/>
  <c r="Q175" i="55"/>
  <c r="Q174" i="55"/>
  <c r="Q173" i="55"/>
  <c r="Q172" i="55"/>
  <c r="Q171" i="55"/>
  <c r="Q170" i="55"/>
  <c r="Q169" i="55"/>
  <c r="Q168" i="55"/>
  <c r="P176" i="55"/>
  <c r="P175" i="55"/>
  <c r="P174" i="55"/>
  <c r="P173" i="55"/>
  <c r="P172" i="55"/>
  <c r="P171" i="55"/>
  <c r="P170" i="55"/>
  <c r="P169" i="55"/>
  <c r="P168" i="55"/>
  <c r="T429" i="55"/>
  <c r="O429" i="55" s="1"/>
  <c r="T428" i="55"/>
  <c r="O428" i="55" s="1"/>
  <c r="Q429" i="55"/>
  <c r="Q428" i="55"/>
  <c r="P429" i="55"/>
  <c r="P428" i="55"/>
  <c r="T299" i="55"/>
  <c r="O299" i="55" s="1"/>
  <c r="T298" i="55"/>
  <c r="O298" i="55" s="1"/>
  <c r="Q299" i="55"/>
  <c r="Q298" i="55"/>
  <c r="P299" i="55"/>
  <c r="P298" i="55"/>
  <c r="T167" i="55"/>
  <c r="O167" i="55" s="1"/>
  <c r="T166" i="55"/>
  <c r="O166" i="55" s="1"/>
  <c r="Q167" i="55"/>
  <c r="Q166" i="55"/>
  <c r="P167" i="55"/>
  <c r="P166" i="55"/>
  <c r="T427" i="55"/>
  <c r="O427" i="55" s="1"/>
  <c r="T426" i="55"/>
  <c r="O426" i="55" s="1"/>
  <c r="Q427" i="55"/>
  <c r="Q426" i="55"/>
  <c r="P427" i="55"/>
  <c r="P426" i="55"/>
  <c r="T297" i="55"/>
  <c r="O297" i="55" s="1"/>
  <c r="T296" i="55"/>
  <c r="O296" i="55" s="1"/>
  <c r="Q297" i="55"/>
  <c r="Q296" i="55"/>
  <c r="P297" i="55"/>
  <c r="P296" i="55"/>
  <c r="Q165" i="55"/>
  <c r="Q164" i="55"/>
  <c r="P165" i="55"/>
  <c r="P164" i="55"/>
  <c r="T165" i="55"/>
  <c r="O165" i="55" s="1"/>
  <c r="T164" i="55"/>
  <c r="O164" i="55" s="1"/>
  <c r="T425" i="55"/>
  <c r="O425" i="55" s="1"/>
  <c r="Q425" i="55"/>
  <c r="T295" i="55"/>
  <c r="O295" i="55" s="1"/>
  <c r="Q295" i="55"/>
  <c r="P295" i="55"/>
  <c r="T163" i="55"/>
  <c r="O163" i="55" s="1"/>
  <c r="Q163" i="55"/>
  <c r="P163" i="55"/>
  <c r="Q424" i="55"/>
  <c r="Q423" i="55"/>
  <c r="Q422" i="55"/>
  <c r="P424" i="55"/>
  <c r="P423" i="55"/>
  <c r="P422" i="55"/>
  <c r="T424" i="55"/>
  <c r="O424" i="55" s="1"/>
  <c r="T423" i="55"/>
  <c r="O423" i="55" s="1"/>
  <c r="T422" i="55"/>
  <c r="O422" i="55" s="1"/>
  <c r="T294" i="55"/>
  <c r="O294" i="55" s="1"/>
  <c r="T293" i="55"/>
  <c r="O293" i="55" s="1"/>
  <c r="T292" i="55"/>
  <c r="O292" i="55" s="1"/>
  <c r="Q294" i="55"/>
  <c r="Q293" i="55"/>
  <c r="Q292" i="55"/>
  <c r="P294" i="55"/>
  <c r="P293" i="55"/>
  <c r="P292" i="55"/>
  <c r="T162" i="55"/>
  <c r="O162" i="55" s="1"/>
  <c r="T161" i="55"/>
  <c r="O161" i="55" s="1"/>
  <c r="T160" i="55"/>
  <c r="O160" i="55" s="1"/>
  <c r="Q162" i="55"/>
  <c r="Q161" i="55"/>
  <c r="Q160" i="55"/>
  <c r="P162" i="55"/>
  <c r="P161" i="55"/>
  <c r="P160" i="55"/>
  <c r="T421" i="55"/>
  <c r="O421" i="55" s="1"/>
  <c r="Q421" i="55"/>
  <c r="P421" i="55"/>
  <c r="Q291" i="55"/>
  <c r="P291" i="55"/>
  <c r="T159" i="55"/>
  <c r="O159" i="55" s="1"/>
  <c r="Q159" i="55"/>
  <c r="P159" i="55"/>
  <c r="T420" i="55"/>
  <c r="O420" i="55" s="1"/>
  <c r="T419" i="55"/>
  <c r="O419" i="55" s="1"/>
  <c r="T418" i="55"/>
  <c r="O418" i="55" s="1"/>
  <c r="T417" i="55"/>
  <c r="O417" i="55" s="1"/>
  <c r="T416" i="55"/>
  <c r="O416" i="55" s="1"/>
  <c r="T415" i="55"/>
  <c r="O415" i="55" s="1"/>
  <c r="T414" i="55"/>
  <c r="O414" i="55" s="1"/>
  <c r="T413" i="55"/>
  <c r="O413" i="55" s="1"/>
  <c r="Q420" i="55"/>
  <c r="Q419" i="55"/>
  <c r="Q418" i="55"/>
  <c r="Q417" i="55"/>
  <c r="Q416" i="55"/>
  <c r="Q415" i="55"/>
  <c r="Q414" i="55"/>
  <c r="Q413" i="55"/>
  <c r="P420" i="55"/>
  <c r="P419" i="55"/>
  <c r="P418" i="55"/>
  <c r="P417" i="55"/>
  <c r="P416" i="55"/>
  <c r="P415" i="55"/>
  <c r="P414" i="55"/>
  <c r="P413" i="55"/>
  <c r="T290" i="55"/>
  <c r="O290" i="55" s="1"/>
  <c r="T289" i="55"/>
  <c r="O289" i="55" s="1"/>
  <c r="T288" i="55"/>
  <c r="O288" i="55" s="1"/>
  <c r="T287" i="55"/>
  <c r="O287" i="55" s="1"/>
  <c r="T286" i="55"/>
  <c r="O286" i="55" s="1"/>
  <c r="T285" i="55"/>
  <c r="O285" i="55" s="1"/>
  <c r="T284" i="55"/>
  <c r="O284" i="55" s="1"/>
  <c r="T283" i="55"/>
  <c r="O283" i="55" s="1"/>
  <c r="Q290" i="55"/>
  <c r="Q289" i="55"/>
  <c r="Q288" i="55"/>
  <c r="Q287" i="55"/>
  <c r="Q286" i="55"/>
  <c r="Q285" i="55"/>
  <c r="Q284" i="55"/>
  <c r="Q283" i="55"/>
  <c r="P290" i="55"/>
  <c r="P289" i="55"/>
  <c r="P288" i="55"/>
  <c r="P287" i="55"/>
  <c r="P286" i="55"/>
  <c r="P285" i="55"/>
  <c r="P284" i="55"/>
  <c r="P283" i="55"/>
  <c r="T158" i="55"/>
  <c r="O158" i="55" s="1"/>
  <c r="T157" i="55"/>
  <c r="O157" i="55" s="1"/>
  <c r="T156" i="55"/>
  <c r="O156" i="55" s="1"/>
  <c r="T155" i="55"/>
  <c r="O155" i="55" s="1"/>
  <c r="T154" i="55"/>
  <c r="O154" i="55" s="1"/>
  <c r="T153" i="55"/>
  <c r="O153" i="55" s="1"/>
  <c r="T152" i="55"/>
  <c r="O152" i="55" s="1"/>
  <c r="T151" i="55"/>
  <c r="O151" i="55" s="1"/>
  <c r="Q158" i="55"/>
  <c r="Q157" i="55"/>
  <c r="Q156" i="55"/>
  <c r="Q155" i="55"/>
  <c r="Q154" i="55"/>
  <c r="Q153" i="55"/>
  <c r="Q152" i="55"/>
  <c r="Q151" i="55"/>
  <c r="P158" i="55"/>
  <c r="P157" i="55"/>
  <c r="P156" i="55"/>
  <c r="P155" i="55"/>
  <c r="P154" i="55"/>
  <c r="P153" i="55"/>
  <c r="P152" i="55"/>
  <c r="P151" i="55"/>
  <c r="T150" i="55"/>
  <c r="O150" i="55" s="1"/>
  <c r="Q150" i="55"/>
  <c r="P150" i="55"/>
  <c r="T149" i="55"/>
  <c r="O149" i="55" s="1"/>
  <c r="Q149" i="55"/>
  <c r="P149" i="55"/>
  <c r="T148" i="55"/>
  <c r="O148" i="55" s="1"/>
  <c r="P148" i="55"/>
  <c r="T147" i="55"/>
  <c r="O147" i="55" s="1"/>
  <c r="Q147" i="55"/>
  <c r="P147" i="55"/>
  <c r="T146" i="55"/>
  <c r="O146" i="55" s="1"/>
  <c r="Q146" i="55"/>
  <c r="P146" i="55"/>
  <c r="T145" i="55"/>
  <c r="O145" i="55" s="1"/>
  <c r="Q145" i="55"/>
  <c r="P145" i="55"/>
  <c r="T144" i="55"/>
  <c r="O144" i="55" s="1"/>
  <c r="Q144" i="55"/>
  <c r="P144" i="55"/>
  <c r="T143" i="55"/>
  <c r="O143" i="55" s="1"/>
  <c r="Q143" i="55"/>
  <c r="P143" i="55"/>
  <c r="T141" i="55"/>
  <c r="O141" i="55" s="1"/>
  <c r="Q141" i="55"/>
  <c r="P141" i="55"/>
  <c r="T140" i="55"/>
  <c r="O140" i="55" s="1"/>
  <c r="Q140" i="55"/>
  <c r="P140" i="55"/>
  <c r="T139" i="55"/>
  <c r="O139" i="55" s="1"/>
  <c r="Q139" i="55"/>
  <c r="P139" i="55"/>
  <c r="T137" i="55"/>
  <c r="O137" i="55" s="1"/>
  <c r="Q137" i="55"/>
  <c r="P137" i="55"/>
  <c r="T136" i="55"/>
  <c r="O136" i="55" s="1"/>
  <c r="Q136" i="55"/>
  <c r="P136" i="55"/>
  <c r="T135" i="55"/>
  <c r="O135" i="55" s="1"/>
  <c r="Q135" i="55"/>
  <c r="P135" i="55"/>
  <c r="T134" i="55"/>
  <c r="O134" i="55" s="1"/>
  <c r="Q134" i="55"/>
  <c r="P134" i="55"/>
  <c r="P133" i="55"/>
  <c r="P132" i="55"/>
  <c r="T131" i="55"/>
  <c r="O131" i="55" s="1"/>
  <c r="Q131" i="55"/>
  <c r="P131" i="55"/>
  <c r="P130" i="55"/>
  <c r="T129" i="55"/>
  <c r="O129" i="55" s="1"/>
  <c r="Q129" i="55"/>
  <c r="P129" i="55"/>
  <c r="Q128" i="55"/>
  <c r="P128" i="55"/>
  <c r="T127" i="55"/>
  <c r="O127" i="55" s="1"/>
  <c r="Q127" i="55"/>
  <c r="P127" i="55"/>
  <c r="T126" i="55"/>
  <c r="O126" i="55" s="1"/>
  <c r="Q126" i="55"/>
  <c r="P126" i="55"/>
  <c r="T125" i="55"/>
  <c r="O125" i="55" s="1"/>
  <c r="Q125" i="55"/>
  <c r="P125" i="55"/>
  <c r="T124" i="55"/>
  <c r="O124" i="55" s="1"/>
  <c r="Q124" i="55"/>
  <c r="P124" i="55"/>
  <c r="T123" i="55"/>
  <c r="O123" i="55" s="1"/>
  <c r="Q123" i="55"/>
  <c r="P123" i="55"/>
  <c r="T122" i="55"/>
  <c r="O122" i="55" s="1"/>
  <c r="Q122" i="55"/>
  <c r="P122" i="55"/>
  <c r="T121" i="55"/>
  <c r="O121" i="55" s="1"/>
  <c r="Q121" i="55"/>
  <c r="P121" i="55"/>
  <c r="T120" i="55"/>
  <c r="O120" i="55" s="1"/>
  <c r="Q120" i="55"/>
  <c r="P120" i="55"/>
  <c r="T119" i="55"/>
  <c r="O119" i="55" s="1"/>
  <c r="Q119" i="55"/>
  <c r="P119" i="55"/>
  <c r="T118" i="55"/>
  <c r="O118" i="55" s="1"/>
  <c r="Q118" i="55"/>
  <c r="P118" i="55"/>
  <c r="T117" i="55"/>
  <c r="O117" i="55" s="1"/>
  <c r="Q117" i="55"/>
  <c r="P117" i="55"/>
  <c r="T116" i="55"/>
  <c r="O116" i="55" s="1"/>
  <c r="Q116" i="55"/>
  <c r="P116" i="55"/>
  <c r="T115" i="55"/>
  <c r="O115" i="55" s="1"/>
  <c r="Q115" i="55"/>
  <c r="P115" i="55"/>
  <c r="T114" i="55"/>
  <c r="O114" i="55" s="1"/>
  <c r="Q114" i="55"/>
  <c r="P114" i="55"/>
  <c r="T113" i="55"/>
  <c r="O113" i="55" s="1"/>
  <c r="Q113" i="55"/>
  <c r="P113" i="55"/>
  <c r="T112" i="55"/>
  <c r="O112" i="55" s="1"/>
  <c r="Q112" i="55"/>
  <c r="P112" i="55"/>
  <c r="T111" i="55"/>
  <c r="O111" i="55" s="1"/>
  <c r="Q111" i="55"/>
  <c r="P111" i="55"/>
  <c r="T110" i="55"/>
  <c r="O110" i="55" s="1"/>
  <c r="Q110" i="55"/>
  <c r="P110" i="55"/>
  <c r="T109" i="55"/>
  <c r="O109" i="55" s="1"/>
  <c r="Q109" i="55"/>
  <c r="P109" i="55"/>
  <c r="T108" i="55"/>
  <c r="Q108" i="55"/>
  <c r="P108" i="55"/>
  <c r="T107" i="55"/>
  <c r="O107" i="55" s="1"/>
  <c r="Q107" i="55"/>
  <c r="T106" i="55"/>
  <c r="O106" i="55" s="1"/>
  <c r="Q106" i="55"/>
  <c r="T105" i="55"/>
  <c r="O105" i="55" s="1"/>
  <c r="Q105" i="55"/>
  <c r="T104" i="55"/>
  <c r="O104" i="55" s="1"/>
  <c r="Q104" i="55"/>
  <c r="P104" i="55"/>
  <c r="T103" i="55"/>
  <c r="O103" i="55" s="1"/>
  <c r="Q103" i="55"/>
  <c r="P103" i="55"/>
  <c r="T102" i="55"/>
  <c r="O102" i="55" s="1"/>
  <c r="Q102" i="55"/>
  <c r="P102" i="55"/>
  <c r="T101" i="55"/>
  <c r="O101" i="55" s="1"/>
  <c r="Q101" i="55"/>
  <c r="P101" i="55"/>
  <c r="T100" i="55"/>
  <c r="O100" i="55" s="1"/>
  <c r="Q100" i="55"/>
  <c r="P100" i="55"/>
  <c r="T99" i="55"/>
  <c r="O99" i="55" s="1"/>
  <c r="Q99" i="55"/>
  <c r="P99" i="55"/>
  <c r="T98" i="55"/>
  <c r="O98" i="55" s="1"/>
  <c r="Q98" i="55"/>
  <c r="P98" i="55"/>
  <c r="T97" i="55"/>
  <c r="O97" i="55" s="1"/>
  <c r="Q97" i="55"/>
  <c r="P97" i="55"/>
  <c r="T96" i="55"/>
  <c r="O96" i="55" s="1"/>
  <c r="Q96" i="55"/>
  <c r="P96" i="55"/>
  <c r="T95" i="55"/>
  <c r="O95" i="55" s="1"/>
  <c r="Q95" i="55"/>
  <c r="P95" i="55"/>
  <c r="T94" i="55"/>
  <c r="O94" i="55" s="1"/>
  <c r="Q94" i="55"/>
  <c r="P94" i="55"/>
  <c r="T93" i="55"/>
  <c r="O93" i="55" s="1"/>
  <c r="Q93" i="55"/>
  <c r="P93" i="55"/>
  <c r="T92" i="55"/>
  <c r="O92" i="55" s="1"/>
  <c r="Q92" i="55"/>
  <c r="P92" i="55"/>
  <c r="T91" i="55"/>
  <c r="O91" i="55" s="1"/>
  <c r="Q91" i="55"/>
  <c r="P91" i="55"/>
  <c r="T90" i="55"/>
  <c r="O90" i="55" s="1"/>
  <c r="Q90" i="55"/>
  <c r="P90" i="55"/>
  <c r="T89" i="55"/>
  <c r="O89" i="55" s="1"/>
  <c r="Q89" i="55"/>
  <c r="P89" i="55"/>
  <c r="T88" i="55"/>
  <c r="O88" i="55" s="1"/>
  <c r="Q88" i="55"/>
  <c r="P88" i="55"/>
  <c r="T87" i="55"/>
  <c r="O87" i="55" s="1"/>
  <c r="Q87" i="55"/>
  <c r="P87" i="55"/>
  <c r="T86" i="55"/>
  <c r="O86" i="55" s="1"/>
  <c r="Q86" i="55"/>
  <c r="P86" i="55"/>
  <c r="T85" i="55"/>
  <c r="O85" i="55" s="1"/>
  <c r="Q85" i="55"/>
  <c r="P85" i="55"/>
  <c r="T84" i="55"/>
  <c r="O84" i="55" s="1"/>
  <c r="Q84" i="55"/>
  <c r="P84" i="55"/>
  <c r="T83" i="55"/>
  <c r="O83" i="55" s="1"/>
  <c r="Q83" i="55"/>
  <c r="P83" i="55"/>
  <c r="T82" i="55"/>
  <c r="O82" i="55" s="1"/>
  <c r="Q82" i="55"/>
  <c r="P82" i="55"/>
  <c r="T81" i="55"/>
  <c r="O81" i="55" s="1"/>
  <c r="Q81" i="55"/>
  <c r="P81" i="55"/>
  <c r="T80" i="55"/>
  <c r="O80" i="55" s="1"/>
  <c r="Q80" i="55"/>
  <c r="P80" i="55"/>
  <c r="T79" i="55"/>
  <c r="O79" i="55" s="1"/>
  <c r="Q79" i="55"/>
  <c r="P79" i="55"/>
  <c r="T78" i="55"/>
  <c r="O78" i="55" s="1"/>
  <c r="Q78" i="55"/>
  <c r="P78" i="55"/>
  <c r="T77" i="55"/>
  <c r="O77" i="55" s="1"/>
  <c r="Q77" i="55"/>
  <c r="P77" i="55"/>
  <c r="T76" i="55"/>
  <c r="O76" i="55" s="1"/>
  <c r="Q76" i="55"/>
  <c r="P76" i="55"/>
  <c r="T75" i="55"/>
  <c r="O75" i="55" s="1"/>
  <c r="Q75" i="55"/>
  <c r="P75" i="55"/>
  <c r="T74" i="55"/>
  <c r="O74" i="55" s="1"/>
  <c r="Q74" i="55"/>
  <c r="P74" i="55"/>
  <c r="T73" i="55"/>
  <c r="O73" i="55" s="1"/>
  <c r="Q73" i="55"/>
  <c r="P73" i="55"/>
  <c r="T72" i="55"/>
  <c r="O72" i="55" s="1"/>
  <c r="Q72" i="55"/>
  <c r="P72" i="55"/>
  <c r="T71" i="55"/>
  <c r="O71" i="55" s="1"/>
  <c r="Q71" i="55"/>
  <c r="P71" i="55"/>
  <c r="T70" i="55"/>
  <c r="O70" i="55" s="1"/>
  <c r="Q70" i="55"/>
  <c r="P70" i="55"/>
  <c r="T69" i="55"/>
  <c r="O69" i="55" s="1"/>
  <c r="Q69" i="55"/>
  <c r="P69" i="55"/>
  <c r="T68" i="55"/>
  <c r="O68" i="55" s="1"/>
  <c r="Q68" i="55"/>
  <c r="P68" i="55"/>
  <c r="T67" i="55"/>
  <c r="O67" i="55" s="1"/>
  <c r="Q67" i="55"/>
  <c r="P67" i="55"/>
  <c r="T66" i="55"/>
  <c r="O66" i="55" s="1"/>
  <c r="Q66" i="55"/>
  <c r="P66" i="55"/>
  <c r="T65" i="55"/>
  <c r="O65" i="55" s="1"/>
  <c r="Q65" i="55"/>
  <c r="P65" i="55"/>
  <c r="T64" i="55"/>
  <c r="O64" i="55" s="1"/>
  <c r="Q64" i="55"/>
  <c r="P64" i="55"/>
  <c r="T63" i="55"/>
  <c r="O63" i="55" s="1"/>
  <c r="Q63" i="55"/>
  <c r="P63" i="55"/>
  <c r="T62" i="55"/>
  <c r="O62" i="55" s="1"/>
  <c r="Q62" i="55"/>
  <c r="P62" i="55"/>
  <c r="T61" i="55"/>
  <c r="O61" i="55" s="1"/>
  <c r="Q61" i="55"/>
  <c r="P61" i="55"/>
  <c r="T60" i="55"/>
  <c r="O60" i="55" s="1"/>
  <c r="Q60" i="55"/>
  <c r="P60" i="55"/>
  <c r="T59" i="55"/>
  <c r="O59" i="55" s="1"/>
  <c r="Q59" i="55"/>
  <c r="P59" i="55"/>
  <c r="T58" i="55"/>
  <c r="O58" i="55" s="1"/>
  <c r="Q58" i="55"/>
  <c r="P58" i="55"/>
  <c r="T57" i="55"/>
  <c r="Q57" i="55"/>
  <c r="P57" i="55"/>
  <c r="O57" i="55"/>
  <c r="T56" i="55"/>
  <c r="O56" i="55" s="1"/>
  <c r="Q56" i="55"/>
  <c r="P56" i="55"/>
  <c r="P55" i="55"/>
  <c r="T54" i="55"/>
  <c r="O54" i="55" s="1"/>
  <c r="Q54" i="55"/>
  <c r="P54" i="55"/>
  <c r="T53" i="55"/>
  <c r="O53" i="55" s="1"/>
  <c r="Q53" i="55"/>
  <c r="P53" i="55"/>
  <c r="T52" i="55"/>
  <c r="O52" i="55" s="1"/>
  <c r="Q52" i="55"/>
  <c r="P52" i="55"/>
  <c r="T51" i="55"/>
  <c r="O51" i="55" s="1"/>
  <c r="Q51" i="55"/>
  <c r="P51" i="55"/>
  <c r="T49" i="55"/>
  <c r="O49" i="55" s="1"/>
  <c r="Q49" i="55"/>
  <c r="P49" i="55"/>
  <c r="T48" i="55"/>
  <c r="O48" i="55" s="1"/>
  <c r="Q48" i="55"/>
  <c r="P48" i="55"/>
  <c r="T46" i="55"/>
  <c r="O46" i="55" s="1"/>
  <c r="Q46" i="55"/>
  <c r="P46" i="55"/>
  <c r="T45" i="55"/>
  <c r="O45" i="55" s="1"/>
  <c r="Q45" i="55"/>
  <c r="P45" i="55"/>
  <c r="T44" i="55"/>
  <c r="O44" i="55" s="1"/>
  <c r="Q44" i="55"/>
  <c r="P44" i="55"/>
  <c r="T43" i="55"/>
  <c r="O43" i="55" s="1"/>
  <c r="Q43" i="55"/>
  <c r="P43" i="55"/>
  <c r="T42" i="55"/>
  <c r="O42" i="55" s="1"/>
  <c r="Q42" i="55"/>
  <c r="P42" i="55"/>
  <c r="T41" i="55"/>
  <c r="O41" i="55" s="1"/>
  <c r="Q41" i="55"/>
  <c r="P41" i="55"/>
  <c r="T40" i="55"/>
  <c r="O40" i="55" s="1"/>
  <c r="Q40" i="55"/>
  <c r="P40" i="55"/>
  <c r="T39" i="55"/>
  <c r="O39" i="55" s="1"/>
  <c r="Q39" i="55"/>
  <c r="P39" i="55"/>
  <c r="T38" i="55"/>
  <c r="O38" i="55" s="1"/>
  <c r="Q38" i="55"/>
  <c r="P38" i="55"/>
  <c r="T37" i="55"/>
  <c r="O37" i="55" s="1"/>
  <c r="Q37" i="55"/>
  <c r="P37" i="55"/>
  <c r="T36" i="55"/>
  <c r="O36" i="55" s="1"/>
  <c r="P36" i="55"/>
  <c r="T35" i="55"/>
  <c r="O35" i="55" s="1"/>
  <c r="Q35" i="55"/>
  <c r="P35" i="55"/>
  <c r="T34" i="55"/>
  <c r="O34" i="55" s="1"/>
  <c r="Q34" i="55"/>
  <c r="P34" i="55"/>
  <c r="T33" i="55"/>
  <c r="O33" i="55" s="1"/>
  <c r="Q33" i="55"/>
  <c r="P33" i="55"/>
  <c r="T32" i="55"/>
  <c r="O32" i="55" s="1"/>
  <c r="Q32" i="55"/>
  <c r="P32" i="55"/>
  <c r="T31" i="55"/>
  <c r="O31" i="55" s="1"/>
  <c r="Q31" i="55"/>
  <c r="P31" i="55"/>
  <c r="T30" i="55"/>
  <c r="O30" i="55" s="1"/>
  <c r="Q30" i="55"/>
  <c r="P30" i="55"/>
  <c r="T29" i="55"/>
  <c r="O29" i="55" s="1"/>
  <c r="Q29" i="55"/>
  <c r="P29" i="55"/>
  <c r="T28" i="55"/>
  <c r="O28" i="55" s="1"/>
  <c r="Q28" i="55"/>
  <c r="P28" i="55"/>
  <c r="T27" i="55"/>
  <c r="O27" i="55" s="1"/>
  <c r="Q27" i="55"/>
  <c r="P27" i="55"/>
  <c r="T26" i="55"/>
  <c r="O26" i="55" s="1"/>
  <c r="Q26" i="55"/>
  <c r="P26" i="55"/>
  <c r="T25" i="55"/>
  <c r="O25" i="55" s="1"/>
  <c r="Q25" i="55"/>
  <c r="P25" i="55"/>
  <c r="T24" i="55"/>
  <c r="O24" i="55" s="1"/>
  <c r="Q24" i="55"/>
  <c r="P24" i="55"/>
  <c r="T23" i="55"/>
  <c r="O23" i="55" s="1"/>
  <c r="Q23" i="55"/>
  <c r="P23" i="55"/>
  <c r="T22" i="55"/>
  <c r="O22" i="55" s="1"/>
  <c r="Q22" i="55"/>
  <c r="P22" i="55"/>
  <c r="T21" i="55"/>
  <c r="O21" i="55" s="1"/>
  <c r="Q21" i="55"/>
  <c r="P21" i="55"/>
  <c r="T20" i="55"/>
  <c r="O20" i="55" s="1"/>
  <c r="Q20" i="55"/>
  <c r="P20" i="55"/>
  <c r="T19" i="55"/>
  <c r="O19" i="55" s="1"/>
  <c r="Q19" i="55"/>
  <c r="P19" i="55"/>
  <c r="T18" i="55"/>
  <c r="O18" i="55" s="1"/>
  <c r="Q18" i="55"/>
  <c r="P18" i="55"/>
  <c r="T17" i="55"/>
  <c r="O17" i="55" s="1"/>
  <c r="Q17" i="55"/>
  <c r="P17" i="55"/>
  <c r="T16" i="55"/>
  <c r="O16" i="55" s="1"/>
  <c r="Q16" i="55"/>
  <c r="P16" i="55"/>
  <c r="T15" i="55"/>
  <c r="O15" i="55" s="1"/>
  <c r="T14" i="55"/>
  <c r="O14" i="55" s="1"/>
  <c r="T13" i="55"/>
  <c r="O13" i="55" s="1"/>
  <c r="T12" i="55"/>
  <c r="O12" i="55" s="1"/>
  <c r="P12" i="55"/>
  <c r="T11" i="55"/>
  <c r="O11" i="55" s="1"/>
  <c r="P11" i="55"/>
  <c r="T10" i="55"/>
  <c r="O10" i="55" s="1"/>
  <c r="T9" i="55"/>
  <c r="O9" i="55" s="1"/>
  <c r="Q9" i="55"/>
  <c r="P9" i="55"/>
  <c r="T8" i="55"/>
  <c r="O8" i="55" s="1"/>
  <c r="Q8" i="55"/>
  <c r="C35" i="2"/>
  <c r="C32" i="2"/>
  <c r="G35" i="2"/>
  <c r="O10" i="19"/>
  <c r="J10" i="19"/>
  <c r="I10" i="19"/>
  <c r="O149" i="17"/>
  <c r="O134" i="17"/>
  <c r="S134" i="17" s="1"/>
  <c r="P135" i="16"/>
  <c r="O135" i="16"/>
  <c r="O162" i="15"/>
  <c r="F305" i="14"/>
  <c r="G305" i="14"/>
  <c r="F306" i="14"/>
  <c r="G306" i="14"/>
  <c r="F307" i="14"/>
  <c r="G307" i="14"/>
  <c r="F308" i="14"/>
  <c r="G308" i="14"/>
  <c r="R304" i="14"/>
  <c r="S304" i="14"/>
  <c r="T304" i="14"/>
  <c r="U304" i="14"/>
  <c r="V304" i="14"/>
  <c r="W304" i="14"/>
  <c r="AD304" i="14"/>
  <c r="AE304" i="14" s="1"/>
  <c r="AF304" i="14"/>
  <c r="AG304" i="14" s="1"/>
  <c r="AH304" i="14"/>
  <c r="AI304" i="14" s="1"/>
  <c r="AJ304" i="14"/>
  <c r="AK304" i="14" s="1"/>
  <c r="AL304" i="14"/>
  <c r="AO304" i="14"/>
  <c r="AS304" i="14" s="1"/>
  <c r="AR304" i="14"/>
  <c r="R305" i="14"/>
  <c r="S305" i="14"/>
  <c r="T305" i="14"/>
  <c r="U305" i="14"/>
  <c r="V305" i="14"/>
  <c r="W305" i="14"/>
  <c r="X305" i="14"/>
  <c r="Y305" i="14" s="1"/>
  <c r="AD305" i="14"/>
  <c r="AE305" i="14" s="1"/>
  <c r="AF305" i="14"/>
  <c r="AG305" i="14" s="1"/>
  <c r="AH305" i="14"/>
  <c r="AI305" i="14" s="1"/>
  <c r="AJ305" i="14"/>
  <c r="AK305" i="14" s="1"/>
  <c r="AL305" i="14"/>
  <c r="AO305" i="14"/>
  <c r="AS305" i="14" s="1"/>
  <c r="AR305" i="14"/>
  <c r="R306" i="14"/>
  <c r="S306" i="14"/>
  <c r="T306" i="14"/>
  <c r="U306" i="14"/>
  <c r="V306" i="14"/>
  <c r="W306" i="14"/>
  <c r="AD306" i="14"/>
  <c r="AE306" i="14" s="1"/>
  <c r="AF306" i="14"/>
  <c r="AG306" i="14" s="1"/>
  <c r="AH306" i="14"/>
  <c r="AI306" i="14" s="1"/>
  <c r="AJ306" i="14"/>
  <c r="AK306" i="14" s="1"/>
  <c r="AL306" i="14"/>
  <c r="AO306" i="14"/>
  <c r="AS306" i="14" s="1"/>
  <c r="AR306" i="14"/>
  <c r="R307" i="14"/>
  <c r="S307" i="14"/>
  <c r="T307" i="14"/>
  <c r="U307" i="14"/>
  <c r="V307" i="14"/>
  <c r="W307" i="14"/>
  <c r="Z307" i="14"/>
  <c r="AA307" i="14" s="1"/>
  <c r="AD307" i="14"/>
  <c r="AE307" i="14" s="1"/>
  <c r="AF307" i="14"/>
  <c r="AG307" i="14" s="1"/>
  <c r="AH307" i="14"/>
  <c r="AI307" i="14" s="1"/>
  <c r="AJ307" i="14"/>
  <c r="AK307" i="14" s="1"/>
  <c r="AL307" i="14"/>
  <c r="AO307" i="14"/>
  <c r="AS307" i="14" s="1"/>
  <c r="AR307" i="14"/>
  <c r="R308" i="14"/>
  <c r="S308" i="14"/>
  <c r="T308" i="14"/>
  <c r="U308" i="14"/>
  <c r="V308" i="14"/>
  <c r="W308" i="14"/>
  <c r="AL308" i="14"/>
  <c r="AO308" i="14"/>
  <c r="AS308" i="14" s="1"/>
  <c r="AR308" i="14"/>
  <c r="Q305" i="14"/>
  <c r="Q306" i="14"/>
  <c r="Q307" i="14"/>
  <c r="Q308" i="14"/>
  <c r="Q304" i="14"/>
  <c r="G304" i="14"/>
  <c r="F304" i="14"/>
  <c r="D304" i="14"/>
  <c r="D305" i="14"/>
  <c r="D306" i="14"/>
  <c r="D307" i="14"/>
  <c r="D308" i="14"/>
  <c r="C304" i="14"/>
  <c r="C305" i="14"/>
  <c r="C306" i="14"/>
  <c r="C307" i="14"/>
  <c r="C308" i="14"/>
  <c r="E308" i="14"/>
  <c r="E304" i="14"/>
  <c r="E305" i="14"/>
  <c r="E306" i="14"/>
  <c r="E307" i="14"/>
  <c r="O44" i="19"/>
  <c r="Z305" i="14" s="1"/>
  <c r="AA305" i="14" s="1"/>
  <c r="O43" i="19"/>
  <c r="Z304" i="14" s="1"/>
  <c r="AA304" i="14" s="1"/>
  <c r="N44" i="19"/>
  <c r="P44" i="19" s="1"/>
  <c r="AB305" i="14" s="1"/>
  <c r="AC305" i="14" s="1"/>
  <c r="N43" i="19"/>
  <c r="P43" i="19" s="1"/>
  <c r="AB304" i="14" s="1"/>
  <c r="AC304" i="14" s="1"/>
  <c r="X304" i="14"/>
  <c r="Y304" i="14" s="1"/>
  <c r="O82" i="19"/>
  <c r="N82" i="19"/>
  <c r="H82" i="19"/>
  <c r="G82" i="19"/>
  <c r="P81" i="19"/>
  <c r="J81" i="19"/>
  <c r="O81" i="19"/>
  <c r="I81" i="19"/>
  <c r="N81" i="19"/>
  <c r="Q81" i="19" s="1"/>
  <c r="R81" i="19" s="1"/>
  <c r="S81" i="19" s="1"/>
  <c r="T81" i="19" s="1"/>
  <c r="H81" i="19"/>
  <c r="G81" i="19"/>
  <c r="Z80" i="19"/>
  <c r="O80" i="19"/>
  <c r="N80" i="19"/>
  <c r="H80" i="19"/>
  <c r="G80" i="19"/>
  <c r="O79" i="19"/>
  <c r="N79" i="19"/>
  <c r="H79" i="19"/>
  <c r="G79" i="19"/>
  <c r="O14" i="51"/>
  <c r="S9" i="51"/>
  <c r="R9" i="51"/>
  <c r="Q9" i="51"/>
  <c r="Q79" i="2"/>
  <c r="E464" i="20"/>
  <c r="B464" i="20"/>
  <c r="O47" i="19"/>
  <c r="Z308" i="14" s="1"/>
  <c r="AA308" i="14" s="1"/>
  <c r="N47" i="19"/>
  <c r="N46" i="19"/>
  <c r="P46" i="19" s="1"/>
  <c r="AB307" i="14" s="1"/>
  <c r="AC307" i="14" s="1"/>
  <c r="O45" i="19"/>
  <c r="Z306" i="14"/>
  <c r="AA306" i="14" s="1"/>
  <c r="N45" i="19"/>
  <c r="H5" i="43"/>
  <c r="H6" i="43"/>
  <c r="H7" i="43"/>
  <c r="H8" i="43"/>
  <c r="H9" i="43"/>
  <c r="H10" i="43"/>
  <c r="H11" i="43"/>
  <c r="H12" i="43"/>
  <c r="H13" i="43"/>
  <c r="H14" i="43"/>
  <c r="H15" i="43"/>
  <c r="H16" i="43"/>
  <c r="H17" i="43"/>
  <c r="H18" i="43"/>
  <c r="H19" i="43"/>
  <c r="H20" i="43"/>
  <c r="H21" i="43"/>
  <c r="H22" i="43"/>
  <c r="H23" i="43"/>
  <c r="H24" i="43"/>
  <c r="H25" i="43"/>
  <c r="H26" i="43"/>
  <c r="H27" i="43"/>
  <c r="H28" i="43"/>
  <c r="H29" i="43"/>
  <c r="H30" i="43"/>
  <c r="H31" i="43"/>
  <c r="H32" i="43"/>
  <c r="H33" i="43"/>
  <c r="H34" i="43"/>
  <c r="H35" i="43"/>
  <c r="H36" i="43"/>
  <c r="H37" i="43"/>
  <c r="H38" i="43"/>
  <c r="H39" i="43"/>
  <c r="H40" i="43"/>
  <c r="H41" i="43"/>
  <c r="H42" i="43"/>
  <c r="H43" i="43"/>
  <c r="H44" i="43"/>
  <c r="H45" i="43"/>
  <c r="H46" i="43"/>
  <c r="H47" i="43"/>
  <c r="H48" i="43"/>
  <c r="H4" i="43"/>
  <c r="G65" i="15"/>
  <c r="H65" i="15"/>
  <c r="G45" i="15"/>
  <c r="H45" i="15"/>
  <c r="G18" i="15"/>
  <c r="H18" i="15"/>
  <c r="G44" i="16"/>
  <c r="H44" i="16"/>
  <c r="G63" i="16"/>
  <c r="H63" i="16"/>
  <c r="G135" i="16"/>
  <c r="H135" i="16"/>
  <c r="G136" i="16"/>
  <c r="H136" i="16"/>
  <c r="G137" i="16"/>
  <c r="H137" i="16"/>
  <c r="H134" i="16"/>
  <c r="G134" i="16"/>
  <c r="G135" i="17"/>
  <c r="H135" i="17"/>
  <c r="G136" i="17"/>
  <c r="H136" i="17"/>
  <c r="G137" i="17"/>
  <c r="H137" i="17"/>
  <c r="H134" i="17"/>
  <c r="G134" i="17"/>
  <c r="G65" i="17"/>
  <c r="H65" i="17"/>
  <c r="G46" i="17"/>
  <c r="H46" i="17"/>
  <c r="G18" i="17"/>
  <c r="H18" i="17"/>
  <c r="G149" i="18"/>
  <c r="H149" i="18"/>
  <c r="G150" i="18"/>
  <c r="H150" i="18"/>
  <c r="G151" i="18"/>
  <c r="H151" i="18"/>
  <c r="G152" i="18"/>
  <c r="H152" i="18"/>
  <c r="H148" i="18"/>
  <c r="G148" i="18"/>
  <c r="U258" i="14"/>
  <c r="V258" i="14"/>
  <c r="W258" i="14"/>
  <c r="AL258" i="14"/>
  <c r="AN258" i="14"/>
  <c r="AS258" i="14" s="1"/>
  <c r="AR258" i="14"/>
  <c r="S259" i="14"/>
  <c r="T259" i="14"/>
  <c r="U259" i="14"/>
  <c r="V259" i="14"/>
  <c r="W259" i="14"/>
  <c r="AD259" i="14"/>
  <c r="AE259" i="14" s="1"/>
  <c r="AF259" i="14"/>
  <c r="AG259" i="14" s="1"/>
  <c r="AH259" i="14"/>
  <c r="AI259" i="14" s="1"/>
  <c r="AJ259" i="14"/>
  <c r="AK259" i="14" s="1"/>
  <c r="AL259" i="14"/>
  <c r="AN259" i="14"/>
  <c r="AS259" i="14" s="1"/>
  <c r="AR259" i="14"/>
  <c r="S260" i="14"/>
  <c r="T260" i="14"/>
  <c r="U260" i="14"/>
  <c r="V260" i="14"/>
  <c r="W260" i="14"/>
  <c r="AH260" i="14"/>
  <c r="AI260" i="14" s="1"/>
  <c r="AJ260" i="14"/>
  <c r="AK260" i="14" s="1"/>
  <c r="AL260" i="14"/>
  <c r="AN260" i="14"/>
  <c r="AS260" i="14" s="1"/>
  <c r="AR260" i="14"/>
  <c r="U261" i="14"/>
  <c r="V261" i="14"/>
  <c r="W261" i="14"/>
  <c r="AL261" i="14"/>
  <c r="AN261" i="14"/>
  <c r="AS261" i="14" s="1"/>
  <c r="AR261" i="14"/>
  <c r="S262" i="14"/>
  <c r="T262" i="14"/>
  <c r="U262" i="14"/>
  <c r="V262" i="14"/>
  <c r="W262" i="14"/>
  <c r="AD262" i="14"/>
  <c r="AE262" i="14" s="1"/>
  <c r="AF262" i="14"/>
  <c r="AG262" i="14" s="1"/>
  <c r="AH262" i="14"/>
  <c r="AI262" i="14" s="1"/>
  <c r="AJ262" i="14"/>
  <c r="AK262" i="14" s="1"/>
  <c r="AL262" i="14"/>
  <c r="AN262" i="14"/>
  <c r="AS262" i="14" s="1"/>
  <c r="AR262" i="14"/>
  <c r="R259" i="14"/>
  <c r="R260" i="14"/>
  <c r="R261" i="14"/>
  <c r="R262" i="14"/>
  <c r="R258" i="14"/>
  <c r="Q259" i="14"/>
  <c r="Q260" i="14"/>
  <c r="Q261" i="14"/>
  <c r="Q262" i="14"/>
  <c r="Q258" i="14"/>
  <c r="F258" i="14"/>
  <c r="D403" i="55" s="1"/>
  <c r="G258" i="14"/>
  <c r="E403" i="55" s="1"/>
  <c r="F259" i="14"/>
  <c r="G259" i="14"/>
  <c r="F260" i="14"/>
  <c r="D405" i="55" s="1"/>
  <c r="G260" i="14"/>
  <c r="E405" i="55" s="1"/>
  <c r="F261" i="14"/>
  <c r="D406" i="55" s="1"/>
  <c r="G261" i="14"/>
  <c r="E406" i="55" s="1"/>
  <c r="F262" i="14"/>
  <c r="G262" i="14"/>
  <c r="E259" i="14"/>
  <c r="E260" i="14"/>
  <c r="C405" i="55" s="1"/>
  <c r="E261" i="14"/>
  <c r="C406" i="55" s="1"/>
  <c r="E262" i="14"/>
  <c r="E258" i="14"/>
  <c r="C403" i="55" s="1"/>
  <c r="D259" i="14"/>
  <c r="D260" i="14"/>
  <c r="D261" i="14"/>
  <c r="D262" i="14"/>
  <c r="D258" i="14"/>
  <c r="C258" i="14"/>
  <c r="F403" i="55" s="1"/>
  <c r="C259" i="14"/>
  <c r="C260" i="14"/>
  <c r="F405" i="55" s="1"/>
  <c r="C261" i="14"/>
  <c r="F406" i="55" s="1"/>
  <c r="C262" i="14"/>
  <c r="B258" i="14"/>
  <c r="B259" i="14"/>
  <c r="B260" i="14"/>
  <c r="B261" i="14"/>
  <c r="B262" i="14"/>
  <c r="G83" i="18"/>
  <c r="H83" i="18"/>
  <c r="G64" i="18"/>
  <c r="H64" i="18"/>
  <c r="G45" i="18"/>
  <c r="H45" i="18"/>
  <c r="G18" i="18"/>
  <c r="H18" i="18"/>
  <c r="G19" i="18"/>
  <c r="H19" i="18"/>
  <c r="Q239" i="14"/>
  <c r="U239" i="14"/>
  <c r="V239" i="14"/>
  <c r="W239" i="14"/>
  <c r="AL239" i="14"/>
  <c r="AO239" i="14"/>
  <c r="AS239" i="14" s="1"/>
  <c r="AR239" i="14"/>
  <c r="Q231" i="14"/>
  <c r="U231" i="14"/>
  <c r="V231" i="14"/>
  <c r="W231" i="14"/>
  <c r="AL231" i="14"/>
  <c r="AO231" i="14"/>
  <c r="AS231" i="14" s="1"/>
  <c r="AR231" i="14"/>
  <c r="B239" i="14"/>
  <c r="C239" i="14"/>
  <c r="F387" i="55" s="1"/>
  <c r="D239" i="14"/>
  <c r="E239" i="14"/>
  <c r="C387" i="55" s="1"/>
  <c r="F239" i="14"/>
  <c r="D387" i="55" s="1"/>
  <c r="G239" i="14"/>
  <c r="E387" i="55" s="1"/>
  <c r="B231" i="14"/>
  <c r="C231" i="14"/>
  <c r="F363" i="55" s="1"/>
  <c r="D231" i="14"/>
  <c r="E231" i="14"/>
  <c r="C363" i="55" s="1"/>
  <c r="F231" i="14"/>
  <c r="D363" i="55" s="1"/>
  <c r="G231" i="14"/>
  <c r="E363" i="55" s="1"/>
  <c r="Q223" i="14"/>
  <c r="U223" i="14"/>
  <c r="V223" i="14"/>
  <c r="W223" i="14"/>
  <c r="AL223" i="14"/>
  <c r="AN223" i="14"/>
  <c r="AS223" i="14" s="1"/>
  <c r="AR223" i="14"/>
  <c r="B223" i="14"/>
  <c r="C223" i="14"/>
  <c r="F335" i="55" s="1"/>
  <c r="D223" i="14"/>
  <c r="E223" i="14"/>
  <c r="C335" i="55" s="1"/>
  <c r="F223" i="14"/>
  <c r="D335" i="55" s="1"/>
  <c r="G223" i="14"/>
  <c r="E335" i="55" s="1"/>
  <c r="Q207" i="14"/>
  <c r="U207" i="14"/>
  <c r="V207" i="14"/>
  <c r="W207" i="14"/>
  <c r="AL207" i="14"/>
  <c r="AO207" i="14"/>
  <c r="AS207" i="14" s="1"/>
  <c r="AR207" i="14"/>
  <c r="B207" i="14"/>
  <c r="C207" i="14"/>
  <c r="F283" i="55" s="1"/>
  <c r="D207" i="14"/>
  <c r="E207" i="14"/>
  <c r="C283" i="55" s="1"/>
  <c r="F207" i="14"/>
  <c r="D283" i="55" s="1"/>
  <c r="G207" i="14"/>
  <c r="E283" i="55" s="1"/>
  <c r="AS201" i="14"/>
  <c r="U196" i="14"/>
  <c r="V196" i="14"/>
  <c r="W196" i="14"/>
  <c r="AL196" i="14"/>
  <c r="AN196" i="14"/>
  <c r="AS196" i="14" s="1"/>
  <c r="AR196" i="14"/>
  <c r="S197" i="14"/>
  <c r="T197" i="14"/>
  <c r="U197" i="14"/>
  <c r="V197" i="14"/>
  <c r="W197" i="14"/>
  <c r="AD197" i="14"/>
  <c r="AE197" i="14" s="1"/>
  <c r="AF197" i="14"/>
  <c r="AG197" i="14" s="1"/>
  <c r="AH197" i="14"/>
  <c r="AI197" i="14" s="1"/>
  <c r="AJ197" i="14"/>
  <c r="AK197" i="14" s="1"/>
  <c r="AL197" i="14"/>
  <c r="AN197" i="14"/>
  <c r="AS197" i="14" s="1"/>
  <c r="AR197" i="14"/>
  <c r="S198" i="14"/>
  <c r="T198" i="14"/>
  <c r="U198" i="14"/>
  <c r="V198" i="14"/>
  <c r="W198" i="14"/>
  <c r="AH198" i="14"/>
  <c r="AI198" i="14" s="1"/>
  <c r="AJ198" i="14"/>
  <c r="AK198" i="14" s="1"/>
  <c r="AL198" i="14"/>
  <c r="AN198" i="14"/>
  <c r="AS198" i="14" s="1"/>
  <c r="AR198" i="14"/>
  <c r="U199" i="14"/>
  <c r="V199" i="14"/>
  <c r="W199" i="14"/>
  <c r="AL199" i="14"/>
  <c r="AN199" i="14"/>
  <c r="AS199" i="14" s="1"/>
  <c r="AR199" i="14"/>
  <c r="U200" i="14"/>
  <c r="V200" i="14"/>
  <c r="W200" i="14"/>
  <c r="AD200" i="14"/>
  <c r="AE200" i="14" s="1"/>
  <c r="AF200" i="14"/>
  <c r="AG200" i="14" s="1"/>
  <c r="AH200" i="14"/>
  <c r="AI200" i="14" s="1"/>
  <c r="AJ200" i="14"/>
  <c r="AK200" i="14" s="1"/>
  <c r="AL200" i="14"/>
  <c r="AN200" i="14"/>
  <c r="AS200" i="14" s="1"/>
  <c r="AR200" i="14"/>
  <c r="R197" i="14"/>
  <c r="R198" i="14"/>
  <c r="R199" i="14"/>
  <c r="R200" i="14"/>
  <c r="R196" i="14"/>
  <c r="Q197" i="14"/>
  <c r="Q198" i="14"/>
  <c r="Q199" i="14"/>
  <c r="Q200" i="14"/>
  <c r="Q196" i="14"/>
  <c r="G150" i="17"/>
  <c r="H150" i="17"/>
  <c r="G151" i="17"/>
  <c r="H151" i="17"/>
  <c r="G152" i="17"/>
  <c r="H152" i="17"/>
  <c r="G153" i="17"/>
  <c r="H153" i="17"/>
  <c r="H149" i="17"/>
  <c r="G149" i="17"/>
  <c r="F196" i="14"/>
  <c r="D454" i="55" s="1"/>
  <c r="G196" i="14"/>
  <c r="E454" i="55" s="1"/>
  <c r="F197" i="14"/>
  <c r="G197" i="14"/>
  <c r="F198" i="14"/>
  <c r="D456" i="55" s="1"/>
  <c r="G198" i="14"/>
  <c r="E456" i="55" s="1"/>
  <c r="F199" i="14"/>
  <c r="D457" i="55" s="1"/>
  <c r="G199" i="14"/>
  <c r="E457" i="55" s="1"/>
  <c r="F200" i="14"/>
  <c r="G200" i="14"/>
  <c r="E197" i="14"/>
  <c r="E198" i="14"/>
  <c r="C456" i="55" s="1"/>
  <c r="E199" i="14"/>
  <c r="C457" i="55" s="1"/>
  <c r="E200" i="14"/>
  <c r="E196" i="14"/>
  <c r="C454" i="55" s="1"/>
  <c r="D197" i="14"/>
  <c r="D198" i="14"/>
  <c r="D199" i="14"/>
  <c r="D200" i="14"/>
  <c r="D196" i="14"/>
  <c r="C196" i="14"/>
  <c r="F454" i="55" s="1"/>
  <c r="C197" i="14"/>
  <c r="C198" i="14"/>
  <c r="F456" i="55" s="1"/>
  <c r="C199" i="14"/>
  <c r="F457" i="55" s="1"/>
  <c r="C200" i="14"/>
  <c r="B196" i="14"/>
  <c r="B197" i="14"/>
  <c r="B198" i="14"/>
  <c r="B199" i="14"/>
  <c r="B200" i="14"/>
  <c r="AL193" i="14"/>
  <c r="AN193" i="14"/>
  <c r="AS193" i="14" s="1"/>
  <c r="AR193" i="14"/>
  <c r="AL194" i="14"/>
  <c r="AN194" i="14"/>
  <c r="AS194" i="14" s="1"/>
  <c r="AR194" i="14"/>
  <c r="AL195" i="14"/>
  <c r="AN195" i="14"/>
  <c r="AS195" i="14" s="1"/>
  <c r="AR195" i="14"/>
  <c r="AN192" i="14"/>
  <c r="AS192" i="14" s="1"/>
  <c r="AR192" i="14"/>
  <c r="Q195" i="14"/>
  <c r="R195" i="14"/>
  <c r="U195" i="14"/>
  <c r="V195" i="14"/>
  <c r="W195" i="14"/>
  <c r="B195" i="14"/>
  <c r="C195" i="14"/>
  <c r="F453" i="55" s="1"/>
  <c r="D195" i="14"/>
  <c r="E195" i="14"/>
  <c r="C453" i="55" s="1"/>
  <c r="F195" i="14"/>
  <c r="D453" i="55" s="1"/>
  <c r="G195" i="14"/>
  <c r="E453" i="55" s="1"/>
  <c r="Q168" i="14"/>
  <c r="U168" i="14"/>
  <c r="V168" i="14"/>
  <c r="W168" i="14"/>
  <c r="AL168" i="14"/>
  <c r="AO168" i="14"/>
  <c r="AS168" i="14" s="1"/>
  <c r="AR168" i="14"/>
  <c r="Q160" i="14"/>
  <c r="U160" i="14"/>
  <c r="V160" i="14"/>
  <c r="W160" i="14"/>
  <c r="AL160" i="14"/>
  <c r="AO160" i="14"/>
  <c r="AS160" i="14" s="1"/>
  <c r="AR160" i="14"/>
  <c r="B168" i="14"/>
  <c r="C168" i="14"/>
  <c r="F482" i="55" s="1"/>
  <c r="D168" i="14"/>
  <c r="E168" i="14"/>
  <c r="C482" i="55" s="1"/>
  <c r="F168" i="14"/>
  <c r="D482" i="55" s="1"/>
  <c r="G168" i="14"/>
  <c r="E482" i="55" s="1"/>
  <c r="B160" i="14"/>
  <c r="C160" i="14"/>
  <c r="F458" i="55" s="1"/>
  <c r="D160" i="14"/>
  <c r="E160" i="14"/>
  <c r="C458" i="55" s="1"/>
  <c r="F160" i="14"/>
  <c r="D458" i="55" s="1"/>
  <c r="G160" i="14"/>
  <c r="E458" i="55" s="1"/>
  <c r="Q143" i="14"/>
  <c r="U143" i="14"/>
  <c r="V143" i="14"/>
  <c r="W143" i="14"/>
  <c r="AL143" i="14"/>
  <c r="AO143" i="14"/>
  <c r="AS143" i="14" s="1"/>
  <c r="AR143" i="14"/>
  <c r="B143" i="14"/>
  <c r="C143" i="14"/>
  <c r="F413" i="55" s="1"/>
  <c r="D143" i="14"/>
  <c r="E143" i="14"/>
  <c r="C413" i="55" s="1"/>
  <c r="F143" i="14"/>
  <c r="D413" i="55" s="1"/>
  <c r="G143" i="14"/>
  <c r="E413" i="55" s="1"/>
  <c r="E137" i="14"/>
  <c r="E138" i="14"/>
  <c r="C280" i="55" s="1"/>
  <c r="E139" i="14"/>
  <c r="E140" i="14"/>
  <c r="C281" i="55" s="1"/>
  <c r="E141" i="14"/>
  <c r="C282" i="55" s="1"/>
  <c r="E142" i="14"/>
  <c r="AR131" i="14"/>
  <c r="AR132" i="14"/>
  <c r="AR133" i="14"/>
  <c r="AR134" i="14"/>
  <c r="AR135" i="14"/>
  <c r="U131" i="14"/>
  <c r="V131" i="14"/>
  <c r="W131" i="14"/>
  <c r="AL131" i="14"/>
  <c r="AN131" i="14"/>
  <c r="AS131" i="14" s="1"/>
  <c r="S132" i="14"/>
  <c r="T132" i="14"/>
  <c r="U132" i="14"/>
  <c r="V132" i="14"/>
  <c r="W132" i="14"/>
  <c r="AD132" i="14"/>
  <c r="AE132" i="14" s="1"/>
  <c r="AF132" i="14"/>
  <c r="AG132" i="14" s="1"/>
  <c r="AH132" i="14"/>
  <c r="AI132" i="14" s="1"/>
  <c r="AJ132" i="14"/>
  <c r="AK132" i="14" s="1"/>
  <c r="AL132" i="14"/>
  <c r="AN132" i="14"/>
  <c r="AS132" i="14" s="1"/>
  <c r="S133" i="14"/>
  <c r="T133" i="14"/>
  <c r="U133" i="14"/>
  <c r="V133" i="14"/>
  <c r="W133" i="14"/>
  <c r="AH133" i="14"/>
  <c r="AI133" i="14" s="1"/>
  <c r="AJ133" i="14"/>
  <c r="AK133" i="14" s="1"/>
  <c r="AL133" i="14"/>
  <c r="AN133" i="14"/>
  <c r="AS133" i="14" s="1"/>
  <c r="U134" i="14"/>
  <c r="V134" i="14"/>
  <c r="W134" i="14"/>
  <c r="AL134" i="14"/>
  <c r="AN134" i="14"/>
  <c r="AS134" i="14" s="1"/>
  <c r="S135" i="14"/>
  <c r="T135" i="14"/>
  <c r="U135" i="14"/>
  <c r="V135" i="14"/>
  <c r="W135" i="14"/>
  <c r="AD135" i="14"/>
  <c r="AE135" i="14" s="1"/>
  <c r="AF135" i="14"/>
  <c r="AG135" i="14" s="1"/>
  <c r="AH135" i="14"/>
  <c r="AI135" i="14" s="1"/>
  <c r="AJ135" i="14"/>
  <c r="AK135" i="14" s="1"/>
  <c r="AL135" i="14"/>
  <c r="AN135" i="14"/>
  <c r="AS135" i="14" s="1"/>
  <c r="R132" i="14"/>
  <c r="R133" i="14"/>
  <c r="R134" i="14"/>
  <c r="R135" i="14"/>
  <c r="R131" i="14"/>
  <c r="Q132" i="14"/>
  <c r="Q133" i="14"/>
  <c r="Q134" i="14"/>
  <c r="Q135" i="14"/>
  <c r="G150" i="16"/>
  <c r="H150" i="16"/>
  <c r="G151" i="16"/>
  <c r="H151" i="16"/>
  <c r="G152" i="16"/>
  <c r="H152" i="16"/>
  <c r="G153" i="16"/>
  <c r="H153" i="16"/>
  <c r="H149" i="16"/>
  <c r="G149" i="16"/>
  <c r="Q131" i="14"/>
  <c r="F131" i="14"/>
  <c r="D274" i="55" s="1"/>
  <c r="G131" i="14"/>
  <c r="E274" i="55" s="1"/>
  <c r="F132" i="14"/>
  <c r="G132" i="14"/>
  <c r="F133" i="14"/>
  <c r="D276" i="55" s="1"/>
  <c r="G133" i="14"/>
  <c r="E276" i="55" s="1"/>
  <c r="F134" i="14"/>
  <c r="D277" i="55" s="1"/>
  <c r="G134" i="14"/>
  <c r="E277" i="55" s="1"/>
  <c r="F135" i="14"/>
  <c r="G135" i="14"/>
  <c r="E132" i="14"/>
  <c r="E133" i="14"/>
  <c r="C276" i="55" s="1"/>
  <c r="E134" i="14"/>
  <c r="C277" i="55" s="1"/>
  <c r="E135" i="14"/>
  <c r="E131" i="14"/>
  <c r="C274" i="55" s="1"/>
  <c r="D132" i="14"/>
  <c r="D133" i="14"/>
  <c r="D134" i="14"/>
  <c r="D135" i="14"/>
  <c r="D131" i="14"/>
  <c r="C131" i="14"/>
  <c r="F274" i="55" s="1"/>
  <c r="C132" i="14"/>
  <c r="C133" i="14"/>
  <c r="F276" i="55" s="1"/>
  <c r="C134" i="14"/>
  <c r="F277" i="55" s="1"/>
  <c r="C135" i="14"/>
  <c r="B131" i="14"/>
  <c r="B132" i="14"/>
  <c r="B133" i="14"/>
  <c r="B134" i="14"/>
  <c r="B135" i="14"/>
  <c r="AL128" i="14"/>
  <c r="AN128" i="14"/>
  <c r="AS128" i="14" s="1"/>
  <c r="AQ128" i="14"/>
  <c r="AR128" i="14"/>
  <c r="AL129" i="14"/>
  <c r="AN129" i="14"/>
  <c r="AS129" i="14" s="1"/>
  <c r="AQ129" i="14"/>
  <c r="AR129" i="14"/>
  <c r="AL130" i="14"/>
  <c r="AN130" i="14"/>
  <c r="AS130" i="14" s="1"/>
  <c r="AQ130" i="14"/>
  <c r="AR130" i="14"/>
  <c r="AN127" i="14"/>
  <c r="AS127" i="14" s="1"/>
  <c r="AQ127" i="14"/>
  <c r="AR127" i="14"/>
  <c r="Q130" i="14"/>
  <c r="R130" i="14"/>
  <c r="U130" i="14"/>
  <c r="V130" i="14"/>
  <c r="W130" i="14"/>
  <c r="B130" i="14"/>
  <c r="C130" i="14"/>
  <c r="F273" i="55" s="1"/>
  <c r="D130" i="14"/>
  <c r="E130" i="14"/>
  <c r="C273" i="55" s="1"/>
  <c r="F130" i="14"/>
  <c r="D273" i="55" s="1"/>
  <c r="G130" i="14"/>
  <c r="E273" i="55" s="1"/>
  <c r="Q100" i="14"/>
  <c r="U100" i="14"/>
  <c r="V100" i="14"/>
  <c r="W100" i="14"/>
  <c r="AL100" i="14"/>
  <c r="AO100" i="14"/>
  <c r="AS100" i="14" s="1"/>
  <c r="AR100" i="14"/>
  <c r="B100" i="14"/>
  <c r="C100" i="14"/>
  <c r="F242" i="55" s="1"/>
  <c r="D100" i="14"/>
  <c r="E100" i="14"/>
  <c r="C242" i="55" s="1"/>
  <c r="F100" i="14"/>
  <c r="D242" i="55" s="1"/>
  <c r="G100" i="14"/>
  <c r="E242" i="55" s="1"/>
  <c r="Q92" i="14"/>
  <c r="U92" i="14"/>
  <c r="V92" i="14"/>
  <c r="W92" i="14"/>
  <c r="AL92" i="14"/>
  <c r="AR92" i="14"/>
  <c r="AS92" i="14"/>
  <c r="B92" i="14"/>
  <c r="C92" i="14"/>
  <c r="F214" i="55" s="1"/>
  <c r="D92" i="14"/>
  <c r="E92" i="14"/>
  <c r="C214" i="55" s="1"/>
  <c r="F92" i="14"/>
  <c r="D214" i="55" s="1"/>
  <c r="G92" i="14"/>
  <c r="E214" i="55" s="1"/>
  <c r="G18" i="16"/>
  <c r="H18" i="16"/>
  <c r="U77" i="14"/>
  <c r="V77" i="14"/>
  <c r="W77" i="14"/>
  <c r="AL77" i="14"/>
  <c r="AO77" i="14"/>
  <c r="AS77" i="14" s="1"/>
  <c r="AR77" i="14"/>
  <c r="Q77" i="14"/>
  <c r="F77" i="14"/>
  <c r="D151" i="55" s="1"/>
  <c r="G77" i="14"/>
  <c r="E151" i="55" s="1"/>
  <c r="E77" i="14"/>
  <c r="C151" i="55" s="1"/>
  <c r="B77" i="14"/>
  <c r="C77" i="14"/>
  <c r="F151" i="55" s="1"/>
  <c r="D77" i="14"/>
  <c r="V71" i="14"/>
  <c r="V72" i="14"/>
  <c r="V73" i="14"/>
  <c r="V74" i="14"/>
  <c r="V75" i="14"/>
  <c r="V76" i="14"/>
  <c r="V70" i="14"/>
  <c r="S70" i="14"/>
  <c r="U70" i="14"/>
  <c r="W70" i="14"/>
  <c r="AL70" i="14"/>
  <c r="AO70" i="14"/>
  <c r="AS70" i="14" s="1"/>
  <c r="AR70" i="14"/>
  <c r="S71" i="14"/>
  <c r="T71" i="14"/>
  <c r="U71" i="14"/>
  <c r="W71" i="14"/>
  <c r="AL71" i="14"/>
  <c r="AN71" i="14"/>
  <c r="AS71" i="14" s="1"/>
  <c r="AR71" i="14"/>
  <c r="U72" i="14"/>
  <c r="W72" i="14"/>
  <c r="AL72" i="14"/>
  <c r="AM72" i="14"/>
  <c r="AS72" i="14" s="1"/>
  <c r="AQ72" i="14"/>
  <c r="AR72" i="14"/>
  <c r="U73" i="14"/>
  <c r="W73" i="14"/>
  <c r="AL73" i="14"/>
  <c r="AO73" i="14"/>
  <c r="AS73" i="14" s="1"/>
  <c r="AR73" i="14"/>
  <c r="S74" i="14"/>
  <c r="T74" i="14"/>
  <c r="U74" i="14"/>
  <c r="W74" i="14"/>
  <c r="AL74" i="14"/>
  <c r="AN74" i="14"/>
  <c r="AS74" i="14" s="1"/>
  <c r="AR74" i="14"/>
  <c r="U75" i="14"/>
  <c r="W75" i="14"/>
  <c r="AL75" i="14"/>
  <c r="AN75" i="14"/>
  <c r="AS75" i="14" s="1"/>
  <c r="AR75" i="14"/>
  <c r="S76" i="14"/>
  <c r="T76" i="14"/>
  <c r="U76" i="14"/>
  <c r="W76" i="14"/>
  <c r="AL76" i="14"/>
  <c r="AO76" i="14"/>
  <c r="AS76" i="14" s="1"/>
  <c r="AQ76" i="14"/>
  <c r="AR76" i="14"/>
  <c r="R71" i="14"/>
  <c r="R72" i="14"/>
  <c r="R74" i="14"/>
  <c r="R75" i="14"/>
  <c r="R76" i="14"/>
  <c r="R70" i="14"/>
  <c r="Q71" i="14"/>
  <c r="Q72" i="14"/>
  <c r="Q73" i="14"/>
  <c r="Q74" i="14"/>
  <c r="Q75" i="14"/>
  <c r="Q76" i="14"/>
  <c r="F70" i="14"/>
  <c r="D146" i="55" s="1"/>
  <c r="G70" i="14"/>
  <c r="E146" i="55" s="1"/>
  <c r="F71" i="14"/>
  <c r="G71" i="14"/>
  <c r="F72" i="14"/>
  <c r="D148" i="55" s="1"/>
  <c r="G72" i="14"/>
  <c r="E148" i="55" s="1"/>
  <c r="F73" i="14"/>
  <c r="G73" i="14"/>
  <c r="F74" i="14"/>
  <c r="D149" i="55" s="1"/>
  <c r="G74" i="14"/>
  <c r="E149" i="55" s="1"/>
  <c r="F75" i="14"/>
  <c r="D150" i="55" s="1"/>
  <c r="G75" i="14"/>
  <c r="E150" i="55"/>
  <c r="F76" i="14"/>
  <c r="G76" i="14"/>
  <c r="E71" i="14"/>
  <c r="E72" i="14"/>
  <c r="C148" i="55" s="1"/>
  <c r="E73" i="14"/>
  <c r="E74" i="14"/>
  <c r="C149" i="55" s="1"/>
  <c r="E75" i="14"/>
  <c r="C150" i="55" s="1"/>
  <c r="E76" i="14"/>
  <c r="D71" i="14"/>
  <c r="D72" i="14"/>
  <c r="D73" i="14"/>
  <c r="D74" i="14"/>
  <c r="D75" i="14"/>
  <c r="D76" i="14"/>
  <c r="D70" i="14"/>
  <c r="U65" i="14"/>
  <c r="V65" i="14"/>
  <c r="W65" i="14"/>
  <c r="AL65" i="14"/>
  <c r="AN65" i="14"/>
  <c r="AS65" i="14" s="1"/>
  <c r="AR65" i="14"/>
  <c r="S66" i="14"/>
  <c r="T66" i="14"/>
  <c r="U66" i="14"/>
  <c r="V66" i="14"/>
  <c r="W66" i="14"/>
  <c r="AD66" i="14"/>
  <c r="AE66" i="14" s="1"/>
  <c r="AF66" i="14"/>
  <c r="AG66" i="14" s="1"/>
  <c r="AH66" i="14"/>
  <c r="AI66" i="14" s="1"/>
  <c r="AJ66" i="14"/>
  <c r="AK66" i="14" s="1"/>
  <c r="AL66" i="14"/>
  <c r="AN66" i="14"/>
  <c r="AS66" i="14" s="1"/>
  <c r="AR66" i="14"/>
  <c r="S67" i="14"/>
  <c r="T67" i="14"/>
  <c r="U67" i="14"/>
  <c r="V67" i="14"/>
  <c r="W67" i="14"/>
  <c r="AH67" i="14"/>
  <c r="AI67" i="14" s="1"/>
  <c r="AJ67" i="14"/>
  <c r="AK67" i="14" s="1"/>
  <c r="AL67" i="14"/>
  <c r="AN67" i="14"/>
  <c r="AS67" i="14" s="1"/>
  <c r="AR67" i="14"/>
  <c r="U68" i="14"/>
  <c r="V68" i="14"/>
  <c r="W68" i="14"/>
  <c r="AL68" i="14"/>
  <c r="AN68" i="14"/>
  <c r="AS68" i="14" s="1"/>
  <c r="AR68" i="14"/>
  <c r="U69" i="14"/>
  <c r="V69" i="14"/>
  <c r="W69" i="14"/>
  <c r="AD69" i="14"/>
  <c r="AE69" i="14" s="1"/>
  <c r="AF69" i="14"/>
  <c r="AG69" i="14" s="1"/>
  <c r="AH69" i="14"/>
  <c r="AI69" i="14" s="1"/>
  <c r="AJ69" i="14"/>
  <c r="AK69" i="14" s="1"/>
  <c r="AL69" i="14"/>
  <c r="AN69" i="14"/>
  <c r="AS69" i="14" s="1"/>
  <c r="AR69" i="14"/>
  <c r="R66" i="14"/>
  <c r="R67" i="14"/>
  <c r="R68" i="14"/>
  <c r="R69" i="14"/>
  <c r="R65" i="14"/>
  <c r="Q66" i="14"/>
  <c r="Q67" i="14"/>
  <c r="Q68" i="14"/>
  <c r="Q69" i="14"/>
  <c r="Q65" i="14"/>
  <c r="H176" i="15"/>
  <c r="H177" i="15"/>
  <c r="H178" i="15"/>
  <c r="H179" i="15"/>
  <c r="H180" i="15"/>
  <c r="G177" i="15"/>
  <c r="G178" i="15"/>
  <c r="G179" i="15"/>
  <c r="G180" i="15"/>
  <c r="G176" i="15"/>
  <c r="F65" i="14"/>
  <c r="D141" i="55" s="1"/>
  <c r="G65" i="14"/>
  <c r="E141" i="55" s="1"/>
  <c r="F66" i="14"/>
  <c r="G66" i="14"/>
  <c r="F67" i="14"/>
  <c r="G67" i="14"/>
  <c r="F68" i="14"/>
  <c r="G68" i="14"/>
  <c r="F69" i="14"/>
  <c r="G69" i="14"/>
  <c r="E66" i="14"/>
  <c r="E67" i="14"/>
  <c r="E68" i="14"/>
  <c r="E69" i="14"/>
  <c r="E65" i="14"/>
  <c r="C141" i="55" s="1"/>
  <c r="D66" i="14"/>
  <c r="D67" i="14"/>
  <c r="D68" i="14"/>
  <c r="D69" i="14"/>
  <c r="D65" i="14"/>
  <c r="C65" i="14"/>
  <c r="F141" i="55" s="1"/>
  <c r="C66" i="14"/>
  <c r="C67" i="14"/>
  <c r="C68" i="14"/>
  <c r="C69" i="14"/>
  <c r="B65" i="14"/>
  <c r="B66" i="14"/>
  <c r="B67" i="14"/>
  <c r="B68" i="14"/>
  <c r="B69" i="14"/>
  <c r="U61" i="14"/>
  <c r="V61" i="14"/>
  <c r="W61" i="14"/>
  <c r="AL61" i="14"/>
  <c r="AN61" i="14"/>
  <c r="AS61" i="14" s="1"/>
  <c r="AR61" i="14"/>
  <c r="S62" i="14"/>
  <c r="T62" i="14"/>
  <c r="U62" i="14"/>
  <c r="V62" i="14"/>
  <c r="W62" i="14"/>
  <c r="AD62" i="14"/>
  <c r="AE62" i="14" s="1"/>
  <c r="AF62" i="14"/>
  <c r="AG62" i="14" s="1"/>
  <c r="AH62" i="14"/>
  <c r="AI62" i="14" s="1"/>
  <c r="AJ62" i="14"/>
  <c r="AK62" i="14" s="1"/>
  <c r="AL62" i="14"/>
  <c r="AN62" i="14"/>
  <c r="AS62" i="14" s="1"/>
  <c r="AR62" i="14"/>
  <c r="S63" i="14"/>
  <c r="T63" i="14"/>
  <c r="U63" i="14"/>
  <c r="V63" i="14"/>
  <c r="W63" i="14"/>
  <c r="AH63" i="14"/>
  <c r="AI63" i="14" s="1"/>
  <c r="AJ63" i="14"/>
  <c r="AK63" i="14" s="1"/>
  <c r="AL63" i="14"/>
  <c r="AN63" i="14"/>
  <c r="AS63" i="14" s="1"/>
  <c r="AR63" i="14"/>
  <c r="U64" i="14"/>
  <c r="V64" i="14"/>
  <c r="W64" i="14"/>
  <c r="AL64" i="14"/>
  <c r="AN64" i="14"/>
  <c r="AS64" i="14" s="1"/>
  <c r="AR64" i="14"/>
  <c r="R62" i="14"/>
  <c r="R63" i="14"/>
  <c r="R64" i="14"/>
  <c r="R61" i="14"/>
  <c r="H161" i="15"/>
  <c r="H162" i="15"/>
  <c r="H163" i="15"/>
  <c r="H164" i="15"/>
  <c r="G162" i="15"/>
  <c r="G163" i="15"/>
  <c r="G164" i="15"/>
  <c r="G161" i="15"/>
  <c r="Q59" i="14"/>
  <c r="Q60" i="14"/>
  <c r="R58" i="14"/>
  <c r="T58" i="14"/>
  <c r="U58" i="14"/>
  <c r="V58" i="14"/>
  <c r="W58" i="14"/>
  <c r="AL58" i="14"/>
  <c r="AO58" i="14"/>
  <c r="AS58" i="14" s="1"/>
  <c r="AR58" i="14"/>
  <c r="R59" i="14"/>
  <c r="U59" i="14"/>
  <c r="V59" i="14"/>
  <c r="W59" i="14"/>
  <c r="AL59" i="14"/>
  <c r="AN59" i="14"/>
  <c r="AS59" i="14" s="1"/>
  <c r="AR59" i="14"/>
  <c r="R60" i="14"/>
  <c r="S60" i="14"/>
  <c r="T60" i="14"/>
  <c r="U60" i="14"/>
  <c r="V60" i="14"/>
  <c r="W60" i="14"/>
  <c r="AL60" i="14"/>
  <c r="AN60" i="14"/>
  <c r="AS60" i="14" s="1"/>
  <c r="AR60" i="14"/>
  <c r="Q61" i="14"/>
  <c r="Q62" i="14"/>
  <c r="F62" i="14"/>
  <c r="G62" i="14"/>
  <c r="F61" i="14"/>
  <c r="D136" i="55" s="1"/>
  <c r="G61" i="14"/>
  <c r="E136" i="55" s="1"/>
  <c r="D61" i="14"/>
  <c r="D62" i="14"/>
  <c r="D63" i="14"/>
  <c r="D64" i="14"/>
  <c r="Q30" i="14"/>
  <c r="U30" i="14"/>
  <c r="V30" i="14"/>
  <c r="W30" i="14"/>
  <c r="AL30" i="14"/>
  <c r="AO30" i="14"/>
  <c r="AS30" i="14" s="1"/>
  <c r="AR30" i="14"/>
  <c r="B30" i="14"/>
  <c r="C30" i="14"/>
  <c r="F105" i="55" s="1"/>
  <c r="D30" i="14"/>
  <c r="E30" i="14"/>
  <c r="C105" i="55" s="1"/>
  <c r="F30" i="14"/>
  <c r="D105" i="55" s="1"/>
  <c r="G30" i="14"/>
  <c r="E105" i="55" s="1"/>
  <c r="Q22" i="14"/>
  <c r="U22" i="14"/>
  <c r="V22" i="14"/>
  <c r="W22" i="14"/>
  <c r="AL22" i="14"/>
  <c r="AR22" i="14"/>
  <c r="AS22" i="14"/>
  <c r="B22" i="14"/>
  <c r="C22" i="14"/>
  <c r="F77" i="55" s="1"/>
  <c r="D22" i="14"/>
  <c r="E22" i="14"/>
  <c r="C77" i="55" s="1"/>
  <c r="F22" i="14"/>
  <c r="D77" i="55" s="1"/>
  <c r="G22" i="14"/>
  <c r="E77" i="55" s="1"/>
  <c r="D7" i="14"/>
  <c r="C7" i="14"/>
  <c r="F8" i="55" s="1"/>
  <c r="B7" i="14"/>
  <c r="U7" i="14"/>
  <c r="V7" i="14"/>
  <c r="W7" i="14"/>
  <c r="AL7" i="14"/>
  <c r="AO7" i="14"/>
  <c r="AS7" i="14" s="1"/>
  <c r="AR7" i="14"/>
  <c r="Q7" i="14"/>
  <c r="F7" i="14"/>
  <c r="D8" i="55" s="1"/>
  <c r="G7" i="14"/>
  <c r="E8" i="55" s="1"/>
  <c r="E8" i="14"/>
  <c r="C16" i="55" s="1"/>
  <c r="E7" i="14"/>
  <c r="C8" i="55" s="1"/>
  <c r="O54" i="2"/>
  <c r="O55" i="2"/>
  <c r="O56" i="2"/>
  <c r="O53" i="2"/>
  <c r="O52" i="2"/>
  <c r="O48" i="2"/>
  <c r="O49" i="2"/>
  <c r="O50" i="2"/>
  <c r="O47" i="2"/>
  <c r="O46" i="2"/>
  <c r="Q49" i="2"/>
  <c r="Q50" i="2"/>
  <c r="Q51" i="2"/>
  <c r="Q52" i="2"/>
  <c r="Q53" i="2"/>
  <c r="Q54" i="2"/>
  <c r="Q55" i="2"/>
  <c r="Q48" i="2"/>
  <c r="Q47" i="2"/>
  <c r="O42" i="2"/>
  <c r="O43" i="2"/>
  <c r="O44" i="2"/>
  <c r="O41" i="2"/>
  <c r="O40" i="2"/>
  <c r="Q39" i="2"/>
  <c r="Q40" i="2"/>
  <c r="Q41" i="2"/>
  <c r="Q42" i="2"/>
  <c r="Q43" i="2"/>
  <c r="Q44" i="2"/>
  <c r="Q45" i="2"/>
  <c r="Q38" i="2"/>
  <c r="Q37" i="2"/>
  <c r="Q33" i="2"/>
  <c r="Q34" i="2"/>
  <c r="Q35" i="2"/>
  <c r="Q32" i="2"/>
  <c r="Q31" i="2"/>
  <c r="Q23" i="2"/>
  <c r="Q24" i="2"/>
  <c r="Q25" i="2"/>
  <c r="Q26" i="2"/>
  <c r="Q27" i="2"/>
  <c r="Q28" i="2"/>
  <c r="Q29" i="2"/>
  <c r="Q22" i="2"/>
  <c r="Q21" i="2"/>
  <c r="O38" i="2"/>
  <c r="O23" i="2"/>
  <c r="O24" i="2"/>
  <c r="O25" i="2"/>
  <c r="O26" i="2"/>
  <c r="O27" i="2"/>
  <c r="O28" i="2"/>
  <c r="O29" i="2"/>
  <c r="O30" i="2"/>
  <c r="O31" i="2"/>
  <c r="O32" i="2"/>
  <c r="O33" i="2"/>
  <c r="O34" i="2"/>
  <c r="O35" i="2"/>
  <c r="O36" i="2"/>
  <c r="O37" i="2"/>
  <c r="O22" i="2"/>
  <c r="O21" i="2"/>
  <c r="M54" i="2"/>
  <c r="M55" i="2"/>
  <c r="M56" i="2"/>
  <c r="M53" i="2"/>
  <c r="M52" i="2"/>
  <c r="K47" i="2"/>
  <c r="K48" i="2"/>
  <c r="K49" i="2"/>
  <c r="K50" i="2"/>
  <c r="K51" i="2"/>
  <c r="K52" i="2"/>
  <c r="K53" i="2"/>
  <c r="K46" i="2"/>
  <c r="K45" i="2"/>
  <c r="M49" i="2"/>
  <c r="M50" i="2"/>
  <c r="M48" i="2"/>
  <c r="M47" i="2"/>
  <c r="K41" i="2"/>
  <c r="K42" i="2"/>
  <c r="K43" i="2"/>
  <c r="K40" i="2"/>
  <c r="K39" i="2"/>
  <c r="M43" i="2"/>
  <c r="M44" i="2"/>
  <c r="M45" i="2"/>
  <c r="M42" i="2"/>
  <c r="M41" i="2"/>
  <c r="M33" i="2"/>
  <c r="M34" i="2"/>
  <c r="M35" i="2"/>
  <c r="M36" i="2"/>
  <c r="M37" i="2"/>
  <c r="M38" i="2"/>
  <c r="M39" i="2"/>
  <c r="M32" i="2"/>
  <c r="M31" i="2"/>
  <c r="M23" i="2"/>
  <c r="M24" i="2"/>
  <c r="M25" i="2"/>
  <c r="M26" i="2"/>
  <c r="M27" i="2"/>
  <c r="M28" i="2"/>
  <c r="M29" i="2"/>
  <c r="M22" i="2"/>
  <c r="M21" i="2"/>
  <c r="K23" i="2"/>
  <c r="K24" i="2"/>
  <c r="K25" i="2"/>
  <c r="K26" i="2"/>
  <c r="K27" i="2"/>
  <c r="K28" i="2"/>
  <c r="K29" i="2"/>
  <c r="K30" i="2"/>
  <c r="K31" i="2"/>
  <c r="K32" i="2"/>
  <c r="K33" i="2"/>
  <c r="K34" i="2"/>
  <c r="K35" i="2"/>
  <c r="K36" i="2"/>
  <c r="K37" i="2"/>
  <c r="K22" i="2"/>
  <c r="K21" i="2"/>
  <c r="I56" i="2"/>
  <c r="I57" i="2"/>
  <c r="I58" i="2"/>
  <c r="I59" i="2"/>
  <c r="I55" i="2"/>
  <c r="I54" i="2"/>
  <c r="I50" i="2"/>
  <c r="I51" i="2"/>
  <c r="I52" i="2"/>
  <c r="I49" i="2"/>
  <c r="I48" i="2"/>
  <c r="G50" i="2"/>
  <c r="G51" i="2"/>
  <c r="G52" i="2"/>
  <c r="G53" i="2"/>
  <c r="G54" i="2"/>
  <c r="G55" i="2"/>
  <c r="G49" i="2"/>
  <c r="G48" i="2"/>
  <c r="I43" i="2"/>
  <c r="I44" i="2"/>
  <c r="I45" i="2"/>
  <c r="I42" i="2"/>
  <c r="I41" i="2"/>
  <c r="G40" i="2"/>
  <c r="G41" i="2"/>
  <c r="G42" i="2"/>
  <c r="G43" i="2"/>
  <c r="G44" i="2"/>
  <c r="G45" i="2"/>
  <c r="G46" i="2"/>
  <c r="G39" i="2"/>
  <c r="G38" i="2"/>
  <c r="I39" i="2"/>
  <c r="I33" i="2"/>
  <c r="I34" i="2"/>
  <c r="I35" i="2"/>
  <c r="I36" i="2"/>
  <c r="I37" i="2"/>
  <c r="I38" i="2"/>
  <c r="I32" i="2"/>
  <c r="I31" i="2"/>
  <c r="I29" i="2"/>
  <c r="I28" i="2"/>
  <c r="I27" i="2"/>
  <c r="I26" i="2"/>
  <c r="I25" i="2"/>
  <c r="I24" i="2"/>
  <c r="I23" i="2"/>
  <c r="I22" i="2"/>
  <c r="I21" i="2"/>
  <c r="G23" i="2"/>
  <c r="G24" i="2"/>
  <c r="G25" i="2"/>
  <c r="G26" i="2"/>
  <c r="G27" i="2"/>
  <c r="G28" i="2"/>
  <c r="G29" i="2"/>
  <c r="G30" i="2"/>
  <c r="G31" i="2"/>
  <c r="G32" i="2"/>
  <c r="G33" i="2"/>
  <c r="G34" i="2"/>
  <c r="G36" i="2"/>
  <c r="G22" i="2"/>
  <c r="G21" i="2"/>
  <c r="E60" i="2"/>
  <c r="E61" i="2"/>
  <c r="E62" i="2"/>
  <c r="E63" i="2"/>
  <c r="E59" i="2"/>
  <c r="E58" i="2"/>
  <c r="E54" i="2"/>
  <c r="E55" i="2"/>
  <c r="E56" i="2"/>
  <c r="E53" i="2"/>
  <c r="E52" i="2"/>
  <c r="C57" i="2"/>
  <c r="C58" i="2"/>
  <c r="C56" i="2"/>
  <c r="C55" i="2"/>
  <c r="C50" i="2"/>
  <c r="C51" i="2"/>
  <c r="C52" i="2"/>
  <c r="C53" i="2"/>
  <c r="C49" i="2"/>
  <c r="C48" i="2"/>
  <c r="E49" i="2"/>
  <c r="E50" i="2"/>
  <c r="E48" i="2"/>
  <c r="E47" i="2"/>
  <c r="E43" i="2"/>
  <c r="E44" i="2"/>
  <c r="E45" i="2"/>
  <c r="E42" i="2"/>
  <c r="E41" i="2"/>
  <c r="C40" i="2"/>
  <c r="C41" i="2"/>
  <c r="C42" i="2"/>
  <c r="C43" i="2"/>
  <c r="C44" i="2"/>
  <c r="C45" i="2"/>
  <c r="C46" i="2"/>
  <c r="C39" i="2"/>
  <c r="C38" i="2"/>
  <c r="E33" i="2"/>
  <c r="E34" i="2"/>
  <c r="E35" i="2"/>
  <c r="E36" i="2"/>
  <c r="E37" i="2"/>
  <c r="E38" i="2"/>
  <c r="E39" i="2"/>
  <c r="E32" i="2"/>
  <c r="E31" i="2"/>
  <c r="E23" i="2"/>
  <c r="E24" i="2"/>
  <c r="E25" i="2"/>
  <c r="E26" i="2"/>
  <c r="E27" i="2"/>
  <c r="E28" i="2"/>
  <c r="E29" i="2"/>
  <c r="E22" i="2"/>
  <c r="E21" i="2"/>
  <c r="C21" i="2"/>
  <c r="C23" i="2"/>
  <c r="C24" i="2"/>
  <c r="C25" i="2"/>
  <c r="C26" i="2"/>
  <c r="C27" i="2"/>
  <c r="C28" i="2"/>
  <c r="C29" i="2"/>
  <c r="C30" i="2"/>
  <c r="C31" i="2"/>
  <c r="C33" i="2"/>
  <c r="C34" i="2"/>
  <c r="C36" i="2"/>
  <c r="C22" i="2"/>
  <c r="O67" i="2"/>
  <c r="O68" i="2"/>
  <c r="O69" i="2"/>
  <c r="O70" i="2"/>
  <c r="O71" i="2"/>
  <c r="O66" i="2"/>
  <c r="K67" i="2"/>
  <c r="K68" i="2"/>
  <c r="K69" i="2"/>
  <c r="K70" i="2"/>
  <c r="K71" i="2"/>
  <c r="K72" i="2"/>
  <c r="K66" i="2"/>
  <c r="G67" i="2"/>
  <c r="G68" i="2"/>
  <c r="G69" i="2"/>
  <c r="G70" i="2"/>
  <c r="G71" i="2"/>
  <c r="G72" i="2"/>
  <c r="G66" i="2"/>
  <c r="C67" i="2"/>
  <c r="C68" i="2"/>
  <c r="C69" i="2"/>
  <c r="C70" i="2"/>
  <c r="C71" i="2"/>
  <c r="C72" i="2"/>
  <c r="C66" i="2"/>
  <c r="K137" i="17"/>
  <c r="T195" i="14" s="1"/>
  <c r="P137" i="17"/>
  <c r="Z195" i="14" s="1"/>
  <c r="AA195" i="14" s="1"/>
  <c r="J137" i="17"/>
  <c r="O137" i="17" s="1"/>
  <c r="S195" i="14"/>
  <c r="P135" i="17"/>
  <c r="O135" i="17"/>
  <c r="X193" i="14" s="1"/>
  <c r="Y193" i="14" s="1"/>
  <c r="K134" i="17"/>
  <c r="J134" i="17"/>
  <c r="P136" i="17"/>
  <c r="O136" i="17"/>
  <c r="K137" i="16"/>
  <c r="P137" i="16" s="1"/>
  <c r="Z130" i="14" s="1"/>
  <c r="AA130" i="14" s="1"/>
  <c r="J137" i="16"/>
  <c r="O137" i="16"/>
  <c r="S130" i="14"/>
  <c r="K164" i="15"/>
  <c r="J164" i="15"/>
  <c r="O164" i="15"/>
  <c r="U164" i="15" s="1"/>
  <c r="S64" i="14"/>
  <c r="R137" i="17"/>
  <c r="AD195" i="14"/>
  <c r="AE195" i="14" s="1"/>
  <c r="P164" i="15"/>
  <c r="Z64" i="14" s="1"/>
  <c r="AA64" i="14" s="1"/>
  <c r="T64" i="14"/>
  <c r="S137" i="17"/>
  <c r="AF195" i="14" s="1"/>
  <c r="AG195" i="14" s="1"/>
  <c r="K134" i="16"/>
  <c r="P134" i="16" s="1"/>
  <c r="J134" i="16"/>
  <c r="O134" i="16" s="1"/>
  <c r="P136" i="16"/>
  <c r="O136" i="16"/>
  <c r="Q135" i="16"/>
  <c r="AB128" i="14" s="1"/>
  <c r="AC128" i="14" s="1"/>
  <c r="P163" i="15"/>
  <c r="Z63" i="14" s="1"/>
  <c r="AA63" i="14" s="1"/>
  <c r="O163" i="15"/>
  <c r="R163" i="15" s="1"/>
  <c r="AD63" i="14" s="1"/>
  <c r="AE63" i="14" s="1"/>
  <c r="P162" i="15"/>
  <c r="Z62" i="14"/>
  <c r="AA62" i="14" s="1"/>
  <c r="Q162" i="15"/>
  <c r="AB62" i="14"/>
  <c r="AC62" i="14" s="1"/>
  <c r="K161" i="15"/>
  <c r="J161" i="15"/>
  <c r="X62" i="14"/>
  <c r="Y62" i="14" s="1"/>
  <c r="B158" i="20"/>
  <c r="E136" i="20"/>
  <c r="E137" i="20"/>
  <c r="E138" i="20"/>
  <c r="B136" i="20"/>
  <c r="B137" i="20"/>
  <c r="B138" i="20"/>
  <c r="O151" i="16"/>
  <c r="R151" i="16" s="1"/>
  <c r="X133" i="14"/>
  <c r="Y133" i="14" s="1"/>
  <c r="O178" i="15"/>
  <c r="K148" i="18"/>
  <c r="P148" i="18" s="1"/>
  <c r="J148" i="18"/>
  <c r="O148" i="18"/>
  <c r="K149" i="16"/>
  <c r="J149" i="16"/>
  <c r="O149" i="16"/>
  <c r="K176" i="15"/>
  <c r="T65" i="14" s="1"/>
  <c r="P176" i="15"/>
  <c r="J176" i="15"/>
  <c r="O176" i="15" s="1"/>
  <c r="Q149" i="16"/>
  <c r="S131" i="14"/>
  <c r="S258" i="14"/>
  <c r="S65" i="14"/>
  <c r="E410" i="20"/>
  <c r="E411" i="20"/>
  <c r="E412" i="20"/>
  <c r="E413" i="20"/>
  <c r="E409" i="20"/>
  <c r="B410" i="20"/>
  <c r="B411" i="20"/>
  <c r="B412" i="20"/>
  <c r="B413" i="20"/>
  <c r="B409" i="20"/>
  <c r="E378" i="20"/>
  <c r="B378" i="20"/>
  <c r="E367" i="20"/>
  <c r="B367" i="20"/>
  <c r="E356" i="20"/>
  <c r="B356" i="20"/>
  <c r="E336" i="20"/>
  <c r="B336" i="20"/>
  <c r="E321" i="20"/>
  <c r="E322" i="20"/>
  <c r="E323" i="20"/>
  <c r="E324" i="20"/>
  <c r="E320" i="20"/>
  <c r="B321" i="20"/>
  <c r="B322" i="20"/>
  <c r="B323" i="20"/>
  <c r="B324" i="20"/>
  <c r="B320" i="20"/>
  <c r="E279" i="20"/>
  <c r="B279" i="20"/>
  <c r="E268" i="20"/>
  <c r="B268" i="20"/>
  <c r="E248" i="20"/>
  <c r="B248" i="20"/>
  <c r="E232" i="20"/>
  <c r="E233" i="20"/>
  <c r="E234" i="20"/>
  <c r="E235" i="20"/>
  <c r="E231" i="20"/>
  <c r="E145" i="20"/>
  <c r="B145" i="20"/>
  <c r="B235" i="20"/>
  <c r="B232" i="20"/>
  <c r="B233" i="20"/>
  <c r="B234" i="20"/>
  <c r="B231" i="20"/>
  <c r="B187" i="20"/>
  <c r="E187" i="20"/>
  <c r="E176" i="20"/>
  <c r="B176" i="20"/>
  <c r="E158" i="20"/>
  <c r="E142" i="20"/>
  <c r="E143" i="20"/>
  <c r="E144" i="20"/>
  <c r="E141" i="20"/>
  <c r="B142" i="20"/>
  <c r="B143" i="20"/>
  <c r="B144" i="20"/>
  <c r="B141" i="20"/>
  <c r="E87" i="20"/>
  <c r="B87" i="20"/>
  <c r="E76" i="20"/>
  <c r="B76" i="20"/>
  <c r="E59" i="20"/>
  <c r="B59" i="20"/>
  <c r="P151" i="17"/>
  <c r="Z198" i="14" s="1"/>
  <c r="AA198" i="14" s="1"/>
  <c r="O151" i="17"/>
  <c r="P150" i="17"/>
  <c r="Z197" i="14"/>
  <c r="AA197" i="14" s="1"/>
  <c r="O150" i="17"/>
  <c r="Q150" i="17" s="1"/>
  <c r="AB197" i="14" s="1"/>
  <c r="AC197" i="14" s="1"/>
  <c r="P152" i="18"/>
  <c r="Z262" i="14"/>
  <c r="AA262" i="14" s="1"/>
  <c r="O152" i="18"/>
  <c r="X262" i="14"/>
  <c r="Y262" i="14" s="1"/>
  <c r="P150" i="18"/>
  <c r="Z260" i="14" s="1"/>
  <c r="AA260" i="14" s="1"/>
  <c r="O150" i="18"/>
  <c r="S150" i="18"/>
  <c r="AF260" i="14"/>
  <c r="AG260" i="14" s="1"/>
  <c r="P149" i="18"/>
  <c r="Z259" i="14" s="1"/>
  <c r="AA259" i="14" s="1"/>
  <c r="O149" i="18"/>
  <c r="Q149" i="18" s="1"/>
  <c r="AB259" i="14" s="1"/>
  <c r="AC259" i="14" s="1"/>
  <c r="P153" i="16"/>
  <c r="Z135" i="14"/>
  <c r="AA135" i="14" s="1"/>
  <c r="O153" i="16"/>
  <c r="P151" i="16"/>
  <c r="Z133" i="14" s="1"/>
  <c r="AA133" i="14" s="1"/>
  <c r="Q151" i="16"/>
  <c r="AB133" i="14" s="1"/>
  <c r="AC133" i="14" s="1"/>
  <c r="P150" i="16"/>
  <c r="Z132" i="14"/>
  <c r="AA132" i="14" s="1"/>
  <c r="O150" i="16"/>
  <c r="X132" i="14" s="1"/>
  <c r="Y132" i="14" s="1"/>
  <c r="K180" i="15"/>
  <c r="P180" i="15" s="1"/>
  <c r="Z69" i="14" s="1"/>
  <c r="AA69" i="14" s="1"/>
  <c r="J180" i="15"/>
  <c r="K179" i="15"/>
  <c r="T68" i="14"/>
  <c r="J179" i="15"/>
  <c r="O179" i="15"/>
  <c r="P178" i="15"/>
  <c r="Z67" i="14" s="1"/>
  <c r="AA67" i="14" s="1"/>
  <c r="P177" i="15"/>
  <c r="Z66" i="14" s="1"/>
  <c r="AA66" i="14" s="1"/>
  <c r="O177" i="15"/>
  <c r="Q177" i="15"/>
  <c r="AB66" i="14"/>
  <c r="AC66" i="14" s="1"/>
  <c r="S68" i="14"/>
  <c r="X197" i="14"/>
  <c r="Y197" i="14" s="1"/>
  <c r="P179" i="15"/>
  <c r="Z68" i="14" s="1"/>
  <c r="AA68" i="14" s="1"/>
  <c r="T69" i="14"/>
  <c r="X66" i="14"/>
  <c r="Y66" i="14" s="1"/>
  <c r="R150" i="18"/>
  <c r="AD260" i="14" s="1"/>
  <c r="AE260" i="14" s="1"/>
  <c r="S151" i="16"/>
  <c r="AF133" i="14" s="1"/>
  <c r="AG133" i="14" s="1"/>
  <c r="AD133" i="14"/>
  <c r="AE133" i="14" s="1"/>
  <c r="K162" i="17"/>
  <c r="P162" i="17"/>
  <c r="Z203" i="14" s="1"/>
  <c r="AA203" i="14" s="1"/>
  <c r="J162" i="17"/>
  <c r="O162" i="17" s="1"/>
  <c r="I191" i="15"/>
  <c r="R73" i="14"/>
  <c r="I162" i="18"/>
  <c r="K162" i="18" s="1"/>
  <c r="I164" i="16"/>
  <c r="K164" i="16" s="1"/>
  <c r="P164" i="16" s="1"/>
  <c r="I65" i="17"/>
  <c r="J65" i="17" s="1"/>
  <c r="S168" i="14" s="1"/>
  <c r="AA65" i="17"/>
  <c r="I46" i="17"/>
  <c r="R160" i="14" s="1"/>
  <c r="J46" i="17"/>
  <c r="I18" i="17"/>
  <c r="R143" i="14"/>
  <c r="AA46" i="17"/>
  <c r="AQ160" i="14"/>
  <c r="AA18" i="17"/>
  <c r="AQ143" i="14" s="1"/>
  <c r="I83" i="18"/>
  <c r="J83" i="18"/>
  <c r="AA83" i="18"/>
  <c r="AQ239" i="14" s="1"/>
  <c r="I64" i="18"/>
  <c r="R231" i="14"/>
  <c r="AA64" i="18"/>
  <c r="AQ231" i="14" s="1"/>
  <c r="I45" i="18"/>
  <c r="K45" i="18" s="1"/>
  <c r="P45" i="18" s="1"/>
  <c r="J45" i="18"/>
  <c r="AA45" i="18"/>
  <c r="AQ223" i="14"/>
  <c r="I18" i="18"/>
  <c r="R207" i="14"/>
  <c r="AA18" i="18"/>
  <c r="AQ207" i="14" s="1"/>
  <c r="I63" i="16"/>
  <c r="J63" i="16" s="1"/>
  <c r="AA63" i="16"/>
  <c r="AQ100" i="14"/>
  <c r="I44" i="16"/>
  <c r="J44" i="16" s="1"/>
  <c r="AA44" i="16"/>
  <c r="AQ92" i="14" s="1"/>
  <c r="I18" i="16"/>
  <c r="R77" i="14"/>
  <c r="AA18" i="16"/>
  <c r="AQ77" i="14"/>
  <c r="I65" i="15"/>
  <c r="AA65" i="15"/>
  <c r="AQ30" i="14" s="1"/>
  <c r="I45" i="15"/>
  <c r="J45" i="15"/>
  <c r="AA45" i="15"/>
  <c r="AQ22" i="14"/>
  <c r="I18" i="15"/>
  <c r="J18" i="16"/>
  <c r="O18" i="16" s="1"/>
  <c r="Z223" i="14"/>
  <c r="AA223" i="14" s="1"/>
  <c r="K46" i="17"/>
  <c r="P46" i="17"/>
  <c r="Z160" i="14" s="1"/>
  <c r="AA160" i="14" s="1"/>
  <c r="J64" i="18"/>
  <c r="O64" i="18" s="1"/>
  <c r="R22" i="14"/>
  <c r="O63" i="16"/>
  <c r="R100" i="14"/>
  <c r="K63" i="16"/>
  <c r="K64" i="18"/>
  <c r="T231" i="14"/>
  <c r="K18" i="16"/>
  <c r="T77" i="14" s="1"/>
  <c r="K65" i="15"/>
  <c r="P65" i="15" s="1"/>
  <c r="Z30" i="14" s="1"/>
  <c r="AA30" i="14" s="1"/>
  <c r="K45" i="15"/>
  <c r="K18" i="18"/>
  <c r="P18" i="18" s="1"/>
  <c r="Z207" i="14" s="1"/>
  <c r="AA207" i="14" s="1"/>
  <c r="AA18" i="15"/>
  <c r="AQ7" i="14"/>
  <c r="P45" i="15"/>
  <c r="T22" i="14"/>
  <c r="T223" i="14"/>
  <c r="S100" i="14"/>
  <c r="P64" i="18"/>
  <c r="Z231" i="14" s="1"/>
  <c r="AA231" i="14" s="1"/>
  <c r="O65" i="17"/>
  <c r="K153" i="17"/>
  <c r="T200" i="14" s="1"/>
  <c r="J153" i="17"/>
  <c r="S200" i="14"/>
  <c r="K152" i="17"/>
  <c r="J152" i="17"/>
  <c r="O152" i="17" s="1"/>
  <c r="K149" i="17"/>
  <c r="P149" i="17" s="1"/>
  <c r="J149" i="17"/>
  <c r="K151" i="18"/>
  <c r="J151" i="18"/>
  <c r="K152" i="16"/>
  <c r="P152" i="16" s="1"/>
  <c r="Z134" i="14" s="1"/>
  <c r="AA134" i="14" s="1"/>
  <c r="J152" i="16"/>
  <c r="O152" i="16" s="1"/>
  <c r="Z22" i="14"/>
  <c r="AA22" i="14" s="1"/>
  <c r="S199" i="14"/>
  <c r="T196" i="14"/>
  <c r="T134" i="14"/>
  <c r="P152" i="17"/>
  <c r="Z199" i="14"/>
  <c r="AA199" i="14" s="1"/>
  <c r="T199" i="14"/>
  <c r="J191" i="15"/>
  <c r="O191" i="15" s="1"/>
  <c r="S73" i="14"/>
  <c r="D8" i="14"/>
  <c r="D9" i="14"/>
  <c r="D10" i="14"/>
  <c r="D11" i="14"/>
  <c r="D12" i="14"/>
  <c r="D13" i="14"/>
  <c r="D14" i="14"/>
  <c r="D15" i="14"/>
  <c r="D16" i="14"/>
  <c r="D17" i="14"/>
  <c r="D18" i="14"/>
  <c r="D19" i="14"/>
  <c r="D20" i="14"/>
  <c r="D21" i="14"/>
  <c r="D23" i="14"/>
  <c r="D24" i="14"/>
  <c r="D25" i="14"/>
  <c r="D26" i="14"/>
  <c r="D27" i="14"/>
  <c r="D28" i="14"/>
  <c r="D29"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78" i="14"/>
  <c r="D79" i="14"/>
  <c r="D80" i="14"/>
  <c r="D81" i="14"/>
  <c r="D82" i="14"/>
  <c r="D83" i="14"/>
  <c r="D84" i="14"/>
  <c r="D85" i="14"/>
  <c r="D86" i="14"/>
  <c r="D87" i="14"/>
  <c r="D88" i="14"/>
  <c r="D89" i="14"/>
  <c r="D90" i="14"/>
  <c r="D91" i="14"/>
  <c r="D93" i="14"/>
  <c r="D94" i="14"/>
  <c r="D95" i="14"/>
  <c r="D96" i="14"/>
  <c r="D97" i="14"/>
  <c r="D98" i="14"/>
  <c r="D99"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6" i="14"/>
  <c r="D137" i="14"/>
  <c r="D138" i="14"/>
  <c r="D139" i="14"/>
  <c r="D140" i="14"/>
  <c r="D141" i="14"/>
  <c r="D142" i="14"/>
  <c r="D144" i="14"/>
  <c r="D145" i="14"/>
  <c r="D146" i="14"/>
  <c r="D147" i="14"/>
  <c r="D148" i="14"/>
  <c r="D149" i="14"/>
  <c r="D150" i="14"/>
  <c r="D151" i="14"/>
  <c r="D152" i="14"/>
  <c r="D153" i="14"/>
  <c r="D154" i="14"/>
  <c r="D155" i="14"/>
  <c r="D156" i="14"/>
  <c r="D157" i="14"/>
  <c r="D158" i="14"/>
  <c r="D159" i="14"/>
  <c r="D161" i="14"/>
  <c r="D162" i="14"/>
  <c r="D163" i="14"/>
  <c r="D164" i="14"/>
  <c r="D165" i="14"/>
  <c r="D166" i="14"/>
  <c r="D167"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201" i="14"/>
  <c r="D202" i="14"/>
  <c r="D203" i="14"/>
  <c r="D204" i="14"/>
  <c r="D205" i="14"/>
  <c r="D206" i="14"/>
  <c r="D208" i="14"/>
  <c r="D209" i="14"/>
  <c r="D210" i="14"/>
  <c r="D211" i="14"/>
  <c r="D212" i="14"/>
  <c r="D213" i="14"/>
  <c r="D214" i="14"/>
  <c r="D215" i="14"/>
  <c r="D216" i="14"/>
  <c r="D217" i="14"/>
  <c r="D218" i="14"/>
  <c r="D219" i="14"/>
  <c r="D220" i="14"/>
  <c r="D221" i="14"/>
  <c r="D222" i="14"/>
  <c r="D224" i="14"/>
  <c r="D225" i="14"/>
  <c r="D226" i="14"/>
  <c r="D227" i="14"/>
  <c r="D228" i="14"/>
  <c r="D229" i="14"/>
  <c r="D230" i="14"/>
  <c r="D232" i="14"/>
  <c r="D233" i="14"/>
  <c r="D234" i="14"/>
  <c r="D235" i="14"/>
  <c r="D236" i="14"/>
  <c r="D237" i="14"/>
  <c r="D238" i="14"/>
  <c r="D240" i="14"/>
  <c r="D241" i="14"/>
  <c r="D242" i="14"/>
  <c r="D243" i="14"/>
  <c r="D244" i="14"/>
  <c r="D245" i="14"/>
  <c r="D246" i="14"/>
  <c r="D247" i="14"/>
  <c r="D248" i="14"/>
  <c r="D249" i="14"/>
  <c r="D250" i="14"/>
  <c r="D251" i="14"/>
  <c r="D252" i="14"/>
  <c r="D253" i="14"/>
  <c r="D254" i="14"/>
  <c r="D255" i="14"/>
  <c r="D256" i="14"/>
  <c r="D257"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E201" i="14"/>
  <c r="C540" i="55" s="1"/>
  <c r="F201" i="14"/>
  <c r="D540" i="55" s="1"/>
  <c r="G201" i="14"/>
  <c r="E540" i="55" s="1"/>
  <c r="Q201" i="14"/>
  <c r="R201" i="14"/>
  <c r="S201" i="14"/>
  <c r="T201" i="14"/>
  <c r="U201" i="14"/>
  <c r="V201" i="14"/>
  <c r="W201" i="14"/>
  <c r="AL201" i="14"/>
  <c r="AR201" i="14"/>
  <c r="B201" i="14"/>
  <c r="C201" i="14"/>
  <c r="F540" i="55" s="1"/>
  <c r="F263" i="14"/>
  <c r="D407" i="55" s="1"/>
  <c r="G263" i="14"/>
  <c r="E407" i="55" s="1"/>
  <c r="Q263" i="14"/>
  <c r="R263" i="14"/>
  <c r="S263" i="14"/>
  <c r="T263" i="14"/>
  <c r="U263" i="14"/>
  <c r="V263" i="14"/>
  <c r="W263" i="14"/>
  <c r="AL263" i="14"/>
  <c r="AO263" i="14"/>
  <c r="AS263" i="14" s="1"/>
  <c r="AR263" i="14"/>
  <c r="E263" i="14"/>
  <c r="C407" i="55" s="1"/>
  <c r="B263" i="14"/>
  <c r="C263" i="14"/>
  <c r="F407" i="55" s="1"/>
  <c r="E416" i="20"/>
  <c r="B416" i="20"/>
  <c r="E327" i="20"/>
  <c r="B327" i="20"/>
  <c r="N19" i="19"/>
  <c r="O19" i="19"/>
  <c r="Z280" i="14" s="1"/>
  <c r="AA280" i="14" s="1"/>
  <c r="K19" i="19"/>
  <c r="K9" i="19"/>
  <c r="N9" i="19" s="1"/>
  <c r="T9" i="19"/>
  <c r="AJ270" i="14"/>
  <c r="AK270" i="14" s="1"/>
  <c r="S9" i="19"/>
  <c r="R9" i="19"/>
  <c r="AF270" i="14"/>
  <c r="AG270" i="14" s="1"/>
  <c r="Q9" i="19"/>
  <c r="P9" i="19"/>
  <c r="AB270" i="14" s="1"/>
  <c r="AC270" i="14" s="1"/>
  <c r="O9" i="19"/>
  <c r="P160" i="17"/>
  <c r="Z201" i="14" s="1"/>
  <c r="AA201" i="14" s="1"/>
  <c r="AA160" i="17"/>
  <c r="O160" i="17"/>
  <c r="U160" i="17" s="1"/>
  <c r="AJ201" i="14" s="1"/>
  <c r="AK201" i="14" s="1"/>
  <c r="H160" i="17"/>
  <c r="G160" i="17"/>
  <c r="O159" i="18"/>
  <c r="S159" i="18"/>
  <c r="AF263" i="14"/>
  <c r="AG263" i="14" s="1"/>
  <c r="AA159" i="18"/>
  <c r="AQ263" i="14" s="1"/>
  <c r="P159" i="18"/>
  <c r="H159" i="18"/>
  <c r="G159" i="18"/>
  <c r="Z263" i="14"/>
  <c r="AA263" i="14" s="1"/>
  <c r="AM15" i="14"/>
  <c r="AS15" i="14" s="1"/>
  <c r="AM16" i="14"/>
  <c r="AS16" i="14" s="1"/>
  <c r="AM17" i="14"/>
  <c r="AS17" i="14" s="1"/>
  <c r="AM21" i="14"/>
  <c r="AS21" i="14" s="1"/>
  <c r="AM26" i="14"/>
  <c r="AS26" i="14" s="1"/>
  <c r="AM28" i="14"/>
  <c r="AS28" i="14" s="1"/>
  <c r="AM29" i="14"/>
  <c r="AS29" i="14" s="1"/>
  <c r="AM34" i="14"/>
  <c r="AS34" i="14" s="1"/>
  <c r="AM36" i="14"/>
  <c r="AS36" i="14" s="1"/>
  <c r="AM37" i="14"/>
  <c r="AS37" i="14" s="1"/>
  <c r="AM40" i="14"/>
  <c r="AM42" i="14"/>
  <c r="AS42" i="14" s="1"/>
  <c r="AM45" i="14"/>
  <c r="AS45" i="14" s="1"/>
  <c r="AM46" i="14"/>
  <c r="AS46" i="14" s="1"/>
  <c r="AM48" i="14"/>
  <c r="AS48" i="14" s="1"/>
  <c r="AM51" i="14"/>
  <c r="AS51" i="14" s="1"/>
  <c r="AM82" i="14"/>
  <c r="AS82" i="14" s="1"/>
  <c r="AM85" i="14"/>
  <c r="AS85" i="14" s="1"/>
  <c r="AM86" i="14"/>
  <c r="AS86" i="14" s="1"/>
  <c r="AM87" i="14"/>
  <c r="AS87" i="14" s="1"/>
  <c r="AM91" i="14"/>
  <c r="AS91" i="14" s="1"/>
  <c r="AM96" i="14"/>
  <c r="AS96" i="14" s="1"/>
  <c r="AM98" i="14"/>
  <c r="AS98" i="14" s="1"/>
  <c r="AM99" i="14"/>
  <c r="AS99" i="14" s="1"/>
  <c r="AM104" i="14"/>
  <c r="AS104" i="14" s="1"/>
  <c r="AM106" i="14"/>
  <c r="AS106" i="14" s="1"/>
  <c r="AM107" i="14"/>
  <c r="AS107" i="14" s="1"/>
  <c r="AM110" i="14"/>
  <c r="AS110" i="14" s="1"/>
  <c r="AM112" i="14"/>
  <c r="AS112" i="14" s="1"/>
  <c r="AM115" i="14"/>
  <c r="AS115" i="14" s="1"/>
  <c r="AM116" i="14"/>
  <c r="AS116" i="14" s="1"/>
  <c r="AM118" i="14"/>
  <c r="AS118" i="14" s="1"/>
  <c r="AM126" i="14"/>
  <c r="AS126" i="14" s="1"/>
  <c r="AM138" i="14"/>
  <c r="AS138" i="14" s="1"/>
  <c r="AM148" i="14"/>
  <c r="AS148" i="14" s="1"/>
  <c r="AM151" i="14"/>
  <c r="AS151" i="14" s="1"/>
  <c r="AM152" i="14"/>
  <c r="AS152" i="14" s="1"/>
  <c r="AM153" i="14"/>
  <c r="AS153" i="14" s="1"/>
  <c r="AM159" i="14"/>
  <c r="AS159" i="14" s="1"/>
  <c r="AM164" i="14"/>
  <c r="AS164" i="14" s="1"/>
  <c r="AM166" i="14"/>
  <c r="AS166" i="14" s="1"/>
  <c r="AM167" i="14"/>
  <c r="AS167" i="14" s="1"/>
  <c r="AM170" i="14"/>
  <c r="AS170" i="14" s="1"/>
  <c r="AM171" i="14"/>
  <c r="AS171" i="14" s="1"/>
  <c r="AM174" i="14"/>
  <c r="AS174" i="14" s="1"/>
  <c r="AM176" i="14"/>
  <c r="AS176" i="14" s="1"/>
  <c r="AM179" i="14"/>
  <c r="AS179" i="14" s="1"/>
  <c r="AM180" i="14"/>
  <c r="AS180" i="14" s="1"/>
  <c r="AM182" i="14"/>
  <c r="AS182" i="14" s="1"/>
  <c r="AM190" i="14"/>
  <c r="AS190" i="14" s="1"/>
  <c r="AM191" i="14"/>
  <c r="AS191" i="14" s="1"/>
  <c r="AM202" i="14"/>
  <c r="AS202" i="14" s="1"/>
  <c r="AM212" i="14"/>
  <c r="AS212" i="14" s="1"/>
  <c r="AM215" i="14"/>
  <c r="AS215" i="14" s="1"/>
  <c r="AM216" i="14"/>
  <c r="AS216" i="14" s="1"/>
  <c r="AM218" i="14"/>
  <c r="AS218" i="14" s="1"/>
  <c r="AM227" i="14"/>
  <c r="AS227" i="14" s="1"/>
  <c r="AM229" i="14"/>
  <c r="AS229" i="14" s="1"/>
  <c r="AM230" i="14"/>
  <c r="AS230" i="14" s="1"/>
  <c r="AM235" i="14"/>
  <c r="AS235" i="14" s="1"/>
  <c r="AM237" i="14"/>
  <c r="AS237" i="14" s="1"/>
  <c r="AM238" i="14"/>
  <c r="AS238" i="14" s="1"/>
  <c r="AM241" i="14"/>
  <c r="AS241" i="14" s="1"/>
  <c r="AM242" i="14"/>
  <c r="AS242" i="14" s="1"/>
  <c r="AM243" i="14"/>
  <c r="AS243" i="14" s="1"/>
  <c r="AM245" i="14"/>
  <c r="AS245" i="14" s="1"/>
  <c r="AM248" i="14"/>
  <c r="AS248" i="14" s="1"/>
  <c r="AM257" i="14"/>
  <c r="AS257" i="14" s="1"/>
  <c r="AM265" i="14"/>
  <c r="AS265" i="14" s="1"/>
  <c r="AM273" i="14"/>
  <c r="AS273" i="14" s="1"/>
  <c r="AM277" i="14"/>
  <c r="AS277" i="14" s="1"/>
  <c r="AM279" i="14"/>
  <c r="AS279" i="14" s="1"/>
  <c r="AM283" i="14"/>
  <c r="AS283" i="14" s="1"/>
  <c r="AM284" i="14"/>
  <c r="AS284" i="14" s="1"/>
  <c r="F287" i="14"/>
  <c r="D587" i="55" s="1"/>
  <c r="F288" i="14"/>
  <c r="D591" i="55" s="1"/>
  <c r="F289" i="14"/>
  <c r="D594" i="55" s="1"/>
  <c r="F286" i="14"/>
  <c r="D583" i="55" s="1"/>
  <c r="G286" i="14"/>
  <c r="E583" i="55" s="1"/>
  <c r="Q286" i="14"/>
  <c r="R286" i="14"/>
  <c r="S286" i="14"/>
  <c r="T286" i="14"/>
  <c r="U286" i="14"/>
  <c r="V286" i="14"/>
  <c r="W286" i="14"/>
  <c r="AL286" i="14"/>
  <c r="AO286" i="14"/>
  <c r="AS286" i="14" s="1"/>
  <c r="AR286" i="14"/>
  <c r="G287" i="14"/>
  <c r="E587" i="55" s="1"/>
  <c r="Q287" i="14"/>
  <c r="R287" i="14"/>
  <c r="S287" i="14"/>
  <c r="T287" i="14"/>
  <c r="U287" i="14"/>
  <c r="V287" i="14"/>
  <c r="W287" i="14"/>
  <c r="AL287" i="14"/>
  <c r="AO287" i="14"/>
  <c r="AS287" i="14" s="1"/>
  <c r="AR287" i="14"/>
  <c r="G288" i="14"/>
  <c r="E591" i="55" s="1"/>
  <c r="Q288" i="14"/>
  <c r="R288" i="14"/>
  <c r="S288" i="14"/>
  <c r="T288" i="14"/>
  <c r="U288" i="14"/>
  <c r="V288" i="14"/>
  <c r="W288" i="14"/>
  <c r="AL288" i="14"/>
  <c r="AO288" i="14"/>
  <c r="AS288" i="14" s="1"/>
  <c r="AR288" i="14"/>
  <c r="G289" i="14"/>
  <c r="E594" i="55" s="1"/>
  <c r="Q289" i="14"/>
  <c r="R289" i="14"/>
  <c r="S289" i="14"/>
  <c r="T289" i="14"/>
  <c r="V289" i="14"/>
  <c r="W289" i="14"/>
  <c r="AJ289" i="14"/>
  <c r="AK289" i="14" s="1"/>
  <c r="AL289" i="14"/>
  <c r="AO289" i="14"/>
  <c r="AS289" i="14" s="1"/>
  <c r="AR289" i="14"/>
  <c r="F290" i="14"/>
  <c r="G290" i="14"/>
  <c r="Q290" i="14"/>
  <c r="R290" i="14"/>
  <c r="S290" i="14"/>
  <c r="T290" i="14"/>
  <c r="V290" i="14"/>
  <c r="W290" i="14"/>
  <c r="Z290" i="14"/>
  <c r="AA290" i="14" s="1"/>
  <c r="AF290" i="14"/>
  <c r="AG290" i="14" s="1"/>
  <c r="AH290" i="14"/>
  <c r="AI290" i="14" s="1"/>
  <c r="AJ290" i="14"/>
  <c r="AK290" i="14" s="1"/>
  <c r="AL290" i="14"/>
  <c r="AO290" i="14"/>
  <c r="AS290" i="14" s="1"/>
  <c r="AR290" i="14"/>
  <c r="F291" i="14"/>
  <c r="G291" i="14"/>
  <c r="Q291" i="14"/>
  <c r="T291" i="14"/>
  <c r="U291" i="14"/>
  <c r="V291" i="14"/>
  <c r="W291" i="14"/>
  <c r="AL291" i="14"/>
  <c r="AO291" i="14"/>
  <c r="AS291" i="14" s="1"/>
  <c r="AR291" i="14"/>
  <c r="F292" i="14"/>
  <c r="D597" i="55" s="1"/>
  <c r="G292" i="14"/>
  <c r="E597" i="55" s="1"/>
  <c r="Q292" i="14"/>
  <c r="R292" i="14"/>
  <c r="S292" i="14"/>
  <c r="T292" i="14"/>
  <c r="U292" i="14"/>
  <c r="V292" i="14"/>
  <c r="W292" i="14"/>
  <c r="Z292" i="14"/>
  <c r="AA292" i="14" s="1"/>
  <c r="AD292" i="14"/>
  <c r="AE292" i="14" s="1"/>
  <c r="AF292" i="14"/>
  <c r="AG292" i="14" s="1"/>
  <c r="AH292" i="14"/>
  <c r="AI292" i="14" s="1"/>
  <c r="AJ292" i="14"/>
  <c r="AK292" i="14" s="1"/>
  <c r="AL292" i="14"/>
  <c r="AO292" i="14"/>
  <c r="AS292" i="14" s="1"/>
  <c r="AR292" i="14"/>
  <c r="F293" i="14"/>
  <c r="G293" i="14"/>
  <c r="Q293" i="14"/>
  <c r="R293" i="14"/>
  <c r="S293" i="14"/>
  <c r="T293" i="14"/>
  <c r="U293" i="14"/>
  <c r="V293" i="14"/>
  <c r="W293" i="14"/>
  <c r="X293" i="14"/>
  <c r="Y293" i="14" s="1"/>
  <c r="Z293" i="14"/>
  <c r="AA293" i="14" s="1"/>
  <c r="AD293" i="14"/>
  <c r="AE293" i="14" s="1"/>
  <c r="AF293" i="14"/>
  <c r="AG293" i="14" s="1"/>
  <c r="AH293" i="14"/>
  <c r="AI293" i="14" s="1"/>
  <c r="AJ293" i="14"/>
  <c r="AK293" i="14" s="1"/>
  <c r="AL293" i="14"/>
  <c r="AO293" i="14"/>
  <c r="AS293" i="14" s="1"/>
  <c r="AR293" i="14"/>
  <c r="F294" i="14"/>
  <c r="G294" i="14"/>
  <c r="Q294" i="14"/>
  <c r="R294" i="14"/>
  <c r="S294" i="14"/>
  <c r="T294" i="14"/>
  <c r="U294" i="14"/>
  <c r="V294" i="14"/>
  <c r="W294" i="14"/>
  <c r="X294" i="14"/>
  <c r="Y294" i="14" s="1"/>
  <c r="Z294" i="14"/>
  <c r="AA294" i="14" s="1"/>
  <c r="AD294" i="14"/>
  <c r="AE294" i="14" s="1"/>
  <c r="AF294" i="14"/>
  <c r="AG294" i="14" s="1"/>
  <c r="AH294" i="14"/>
  <c r="AI294" i="14" s="1"/>
  <c r="AJ294" i="14"/>
  <c r="AK294" i="14" s="1"/>
  <c r="AL294" i="14"/>
  <c r="AO294" i="14"/>
  <c r="AS294" i="14" s="1"/>
  <c r="AR294" i="14"/>
  <c r="F295" i="14"/>
  <c r="G295" i="14"/>
  <c r="Q295" i="14"/>
  <c r="R295" i="14"/>
  <c r="S295" i="14"/>
  <c r="T295" i="14"/>
  <c r="V295" i="14"/>
  <c r="W295" i="14"/>
  <c r="AL295" i="14"/>
  <c r="AO295" i="14"/>
  <c r="AS295" i="14" s="1"/>
  <c r="AR295" i="14"/>
  <c r="F296" i="14"/>
  <c r="G296" i="14"/>
  <c r="Q296" i="14"/>
  <c r="T296" i="14"/>
  <c r="U296" i="14"/>
  <c r="V296" i="14"/>
  <c r="W296" i="14"/>
  <c r="AL296" i="14"/>
  <c r="AO296" i="14"/>
  <c r="AS296" i="14" s="1"/>
  <c r="AR296" i="14"/>
  <c r="F297" i="14"/>
  <c r="D599" i="55" s="1"/>
  <c r="G297" i="14"/>
  <c r="E599" i="55" s="1"/>
  <c r="Q297" i="14"/>
  <c r="R297" i="14"/>
  <c r="S297" i="14"/>
  <c r="T297" i="14"/>
  <c r="V297" i="14"/>
  <c r="W297" i="14"/>
  <c r="AL297" i="14"/>
  <c r="AO297" i="14"/>
  <c r="AS297" i="14" s="1"/>
  <c r="AR297" i="14"/>
  <c r="F298" i="14"/>
  <c r="D602" i="55" s="1"/>
  <c r="G298" i="14"/>
  <c r="E602" i="55" s="1"/>
  <c r="Q298" i="14"/>
  <c r="R298" i="14"/>
  <c r="S298" i="14"/>
  <c r="T298" i="14"/>
  <c r="V298" i="14"/>
  <c r="W298" i="14"/>
  <c r="AL298" i="14"/>
  <c r="AO298" i="14"/>
  <c r="AS298" i="14" s="1"/>
  <c r="AR298" i="14"/>
  <c r="F299" i="14"/>
  <c r="G299" i="14"/>
  <c r="Q299" i="14"/>
  <c r="V299" i="14"/>
  <c r="W299" i="14"/>
  <c r="AL299" i="14"/>
  <c r="AO299" i="14"/>
  <c r="AS299" i="14" s="1"/>
  <c r="AR299" i="14"/>
  <c r="F300" i="14"/>
  <c r="G300" i="14"/>
  <c r="Q300" i="14"/>
  <c r="R300" i="14"/>
  <c r="S300" i="14"/>
  <c r="T300" i="14"/>
  <c r="V300" i="14"/>
  <c r="W300" i="14"/>
  <c r="AL300" i="14"/>
  <c r="AO300" i="14"/>
  <c r="AS300" i="14" s="1"/>
  <c r="AR300" i="14"/>
  <c r="F301" i="14"/>
  <c r="G301" i="14"/>
  <c r="Q301" i="14"/>
  <c r="R301" i="14"/>
  <c r="S301" i="14"/>
  <c r="T301" i="14"/>
  <c r="U301" i="14"/>
  <c r="V301" i="14"/>
  <c r="W301" i="14"/>
  <c r="AL301" i="14"/>
  <c r="AO301" i="14"/>
  <c r="AS301" i="14" s="1"/>
  <c r="AR301" i="14"/>
  <c r="F302" i="14"/>
  <c r="G302" i="14"/>
  <c r="Q302" i="14"/>
  <c r="R302" i="14"/>
  <c r="S302" i="14"/>
  <c r="T302" i="14"/>
  <c r="U302" i="14"/>
  <c r="V302" i="14"/>
  <c r="W302" i="14"/>
  <c r="Z302" i="14"/>
  <c r="AA302" i="14" s="1"/>
  <c r="AD302" i="14"/>
  <c r="AE302" i="14" s="1"/>
  <c r="AF302" i="14"/>
  <c r="AG302" i="14" s="1"/>
  <c r="AH302" i="14"/>
  <c r="AI302" i="14" s="1"/>
  <c r="AJ302" i="14"/>
  <c r="AK302" i="14" s="1"/>
  <c r="AL302" i="14"/>
  <c r="AO302" i="14"/>
  <c r="AS302" i="14" s="1"/>
  <c r="AR302" i="14"/>
  <c r="F303" i="14"/>
  <c r="G303" i="14"/>
  <c r="Q303" i="14"/>
  <c r="T303" i="14"/>
  <c r="U303" i="14"/>
  <c r="V303" i="14"/>
  <c r="W303" i="14"/>
  <c r="AL303" i="14"/>
  <c r="AO303" i="14"/>
  <c r="AS303" i="14" s="1"/>
  <c r="AR303" i="14"/>
  <c r="C286" i="14"/>
  <c r="F583" i="55" s="1"/>
  <c r="C287" i="14"/>
  <c r="F587" i="55" s="1"/>
  <c r="C288" i="14"/>
  <c r="F591" i="55" s="1"/>
  <c r="C289" i="14"/>
  <c r="C290" i="14"/>
  <c r="C291" i="14"/>
  <c r="C292" i="14"/>
  <c r="F597" i="55" s="1"/>
  <c r="C293" i="14"/>
  <c r="C294" i="14"/>
  <c r="C295" i="14"/>
  <c r="C296" i="14"/>
  <c r="C297" i="14"/>
  <c r="F599" i="55" s="1"/>
  <c r="C298" i="14"/>
  <c r="F602" i="55" s="1"/>
  <c r="C299" i="14"/>
  <c r="C300" i="14"/>
  <c r="C301" i="14"/>
  <c r="C302" i="14"/>
  <c r="C303" i="14"/>
  <c r="E287" i="14"/>
  <c r="C587" i="55" s="1"/>
  <c r="E288" i="14"/>
  <c r="C591" i="55" s="1"/>
  <c r="E289" i="14"/>
  <c r="C594" i="55" s="1"/>
  <c r="E290" i="14"/>
  <c r="E291" i="14"/>
  <c r="E292" i="14"/>
  <c r="C597" i="55" s="1"/>
  <c r="E293" i="14"/>
  <c r="E294" i="14"/>
  <c r="E295" i="14"/>
  <c r="E296" i="14"/>
  <c r="E297" i="14"/>
  <c r="C599" i="55" s="1"/>
  <c r="E298" i="14"/>
  <c r="C602" i="55" s="1"/>
  <c r="E299" i="14"/>
  <c r="E300" i="14"/>
  <c r="E301" i="14"/>
  <c r="E302" i="14"/>
  <c r="E303" i="14"/>
  <c r="E286" i="14"/>
  <c r="C583" i="55" s="1"/>
  <c r="E427" i="20"/>
  <c r="E428" i="20"/>
  <c r="E429" i="20"/>
  <c r="E430" i="20"/>
  <c r="E431" i="20"/>
  <c r="E432" i="20"/>
  <c r="E433" i="20"/>
  <c r="E434" i="20"/>
  <c r="E435" i="20"/>
  <c r="E436" i="20"/>
  <c r="E437" i="20"/>
  <c r="E438" i="20"/>
  <c r="E439" i="20"/>
  <c r="E440" i="20"/>
  <c r="E441" i="20"/>
  <c r="E442" i="20"/>
  <c r="E443" i="20"/>
  <c r="E444" i="20"/>
  <c r="E445" i="20"/>
  <c r="E446" i="20"/>
  <c r="E447" i="20"/>
  <c r="E448" i="20"/>
  <c r="E449" i="20"/>
  <c r="E450" i="20"/>
  <c r="E451" i="20"/>
  <c r="E452" i="20"/>
  <c r="E453" i="20"/>
  <c r="E454" i="20"/>
  <c r="E455" i="20"/>
  <c r="E456" i="20"/>
  <c r="E457" i="20"/>
  <c r="E458" i="20"/>
  <c r="E459" i="20"/>
  <c r="E460" i="20"/>
  <c r="B427" i="20"/>
  <c r="B428" i="20"/>
  <c r="B429" i="20"/>
  <c r="B430" i="20"/>
  <c r="B431" i="20"/>
  <c r="B432" i="20"/>
  <c r="B433" i="20"/>
  <c r="B434" i="20"/>
  <c r="B435" i="20"/>
  <c r="B436" i="20"/>
  <c r="B437" i="20"/>
  <c r="B438" i="20"/>
  <c r="B439" i="20"/>
  <c r="B440" i="20"/>
  <c r="B441" i="20"/>
  <c r="B442" i="20"/>
  <c r="B443" i="20"/>
  <c r="B444" i="20"/>
  <c r="B445" i="20"/>
  <c r="B446" i="20"/>
  <c r="B447" i="20"/>
  <c r="B448" i="20"/>
  <c r="B449" i="20"/>
  <c r="B450" i="20"/>
  <c r="B451" i="20"/>
  <c r="B452" i="20"/>
  <c r="B453" i="20"/>
  <c r="B454" i="20"/>
  <c r="B455" i="20"/>
  <c r="B456" i="20"/>
  <c r="B457" i="20"/>
  <c r="B458" i="20"/>
  <c r="B459" i="20"/>
  <c r="B460" i="20"/>
  <c r="K34" i="19"/>
  <c r="O34" i="19" s="1"/>
  <c r="Z295" i="14" s="1"/>
  <c r="AA295" i="14" s="1"/>
  <c r="P33" i="19"/>
  <c r="AB294" i="14"/>
  <c r="AC294" i="14" s="1"/>
  <c r="P32" i="19"/>
  <c r="AB293" i="14" s="1"/>
  <c r="AC293" i="14" s="1"/>
  <c r="N31" i="19"/>
  <c r="X292" i="14" s="1"/>
  <c r="Y292" i="14" s="1"/>
  <c r="O30" i="19"/>
  <c r="Z291" i="14"/>
  <c r="AA291" i="14" s="1"/>
  <c r="O27" i="19"/>
  <c r="Z288" i="14" s="1"/>
  <c r="AA288" i="14" s="1"/>
  <c r="N27" i="19"/>
  <c r="P27" i="19" s="1"/>
  <c r="AB288" i="14" s="1"/>
  <c r="AC288" i="14" s="1"/>
  <c r="Q78" i="2"/>
  <c r="O80" i="2"/>
  <c r="O81" i="2"/>
  <c r="Q77" i="2"/>
  <c r="O79" i="2"/>
  <c r="M81" i="2"/>
  <c r="O77" i="2"/>
  <c r="O78" i="2"/>
  <c r="M80" i="2"/>
  <c r="M78" i="2"/>
  <c r="M79" i="2"/>
  <c r="M77" i="2"/>
  <c r="K78" i="2"/>
  <c r="K79" i="2"/>
  <c r="K80" i="2"/>
  <c r="K81" i="2"/>
  <c r="I78" i="2"/>
  <c r="I80" i="2"/>
  <c r="G79" i="2"/>
  <c r="G80" i="2"/>
  <c r="G81" i="2"/>
  <c r="G77" i="2"/>
  <c r="E78" i="2"/>
  <c r="E79" i="2"/>
  <c r="E81" i="2"/>
  <c r="C81" i="2"/>
  <c r="K77" i="2"/>
  <c r="I77" i="2"/>
  <c r="C78" i="2"/>
  <c r="C79" i="2"/>
  <c r="C80" i="2"/>
  <c r="M7" i="2"/>
  <c r="P49" i="1"/>
  <c r="Q49" i="1" s="1"/>
  <c r="R49" i="1" s="1"/>
  <c r="S49" i="1" s="1"/>
  <c r="T49" i="1" s="1"/>
  <c r="U49" i="1" s="1"/>
  <c r="V49" i="1" s="1"/>
  <c r="W49" i="1" s="1"/>
  <c r="X49" i="1" s="1"/>
  <c r="Y49" i="1" s="1"/>
  <c r="Z49" i="1" s="1"/>
  <c r="E461" i="20"/>
  <c r="E462" i="20"/>
  <c r="E463" i="20"/>
  <c r="B463" i="20"/>
  <c r="B461" i="20"/>
  <c r="B426" i="20"/>
  <c r="P10" i="19"/>
  <c r="AB271" i="14" s="1"/>
  <c r="AC271" i="14" s="1"/>
  <c r="I11" i="19"/>
  <c r="N12" i="19"/>
  <c r="T12" i="19"/>
  <c r="AJ273" i="14"/>
  <c r="AK273" i="14" s="1"/>
  <c r="N13" i="19"/>
  <c r="S13" i="19"/>
  <c r="AH274" i="14"/>
  <c r="AI274" i="14" s="1"/>
  <c r="N14" i="19"/>
  <c r="P14" i="19"/>
  <c r="AB275" i="14" s="1"/>
  <c r="AC275" i="14" s="1"/>
  <c r="I15" i="19"/>
  <c r="N15" i="19"/>
  <c r="X276" i="14" s="1"/>
  <c r="Y276" i="14" s="1"/>
  <c r="N16" i="19"/>
  <c r="X277" i="14" s="1"/>
  <c r="Y277" i="14" s="1"/>
  <c r="I17" i="19"/>
  <c r="I18" i="19"/>
  <c r="N18" i="19"/>
  <c r="X279" i="14"/>
  <c r="Y279" i="14" s="1"/>
  <c r="AD280" i="14"/>
  <c r="AE280" i="14" s="1"/>
  <c r="N20" i="19"/>
  <c r="X281" i="14"/>
  <c r="Y281" i="14" s="1"/>
  <c r="N21" i="19"/>
  <c r="X282" i="14"/>
  <c r="Y282" i="14" s="1"/>
  <c r="I22" i="19"/>
  <c r="N22" i="19"/>
  <c r="P22" i="19"/>
  <c r="AB283" i="14" s="1"/>
  <c r="AC283" i="14" s="1"/>
  <c r="I23" i="19"/>
  <c r="N23" i="19" s="1"/>
  <c r="S23" i="19"/>
  <c r="AH284" i="14" s="1"/>
  <c r="AI284" i="14" s="1"/>
  <c r="N24" i="19"/>
  <c r="N25" i="19"/>
  <c r="X286" i="14"/>
  <c r="Y286" i="14" s="1"/>
  <c r="N26" i="19"/>
  <c r="T26" i="19"/>
  <c r="AJ287" i="14"/>
  <c r="AK287" i="14" s="1"/>
  <c r="N28" i="19"/>
  <c r="X289" i="14" s="1"/>
  <c r="Y289" i="14" s="1"/>
  <c r="K29" i="19"/>
  <c r="N29" i="19"/>
  <c r="Q29" i="19"/>
  <c r="AD290" i="14" s="1"/>
  <c r="AE290" i="14" s="1"/>
  <c r="N35" i="19"/>
  <c r="P35" i="19"/>
  <c r="AB296" i="14" s="1"/>
  <c r="AC296" i="14" s="1"/>
  <c r="K36" i="19"/>
  <c r="N36" i="19" s="1"/>
  <c r="K37" i="19"/>
  <c r="N37" i="19"/>
  <c r="K38" i="19"/>
  <c r="K39" i="19"/>
  <c r="U300" i="14"/>
  <c r="I38" i="19"/>
  <c r="R299" i="14" s="1"/>
  <c r="N40" i="19"/>
  <c r="S40" i="19"/>
  <c r="AH301" i="14"/>
  <c r="AI301" i="14" s="1"/>
  <c r="N41" i="19"/>
  <c r="P41" i="19"/>
  <c r="AB302" i="14"/>
  <c r="AC302" i="14" s="1"/>
  <c r="I42" i="19"/>
  <c r="N42" i="19" s="1"/>
  <c r="O40" i="19"/>
  <c r="Z301" i="14"/>
  <c r="AA301" i="14" s="1"/>
  <c r="O25" i="19"/>
  <c r="Z286" i="14" s="1"/>
  <c r="AA286" i="14" s="1"/>
  <c r="O28" i="19"/>
  <c r="Z289" i="14"/>
  <c r="AA289" i="14" s="1"/>
  <c r="K28" i="19"/>
  <c r="U289" i="14"/>
  <c r="S28" i="19"/>
  <c r="AH289" i="14"/>
  <c r="AI289" i="14" s="1"/>
  <c r="R28" i="19"/>
  <c r="AF289" i="14" s="1"/>
  <c r="AG289" i="14" s="1"/>
  <c r="Q28" i="19"/>
  <c r="AD289" i="14" s="1"/>
  <c r="AE289" i="14" s="1"/>
  <c r="P28" i="19"/>
  <c r="AB289" i="14"/>
  <c r="AC289" i="14" s="1"/>
  <c r="O26" i="19"/>
  <c r="Z287" i="14"/>
  <c r="AA287" i="14" s="1"/>
  <c r="O128" i="18"/>
  <c r="O115" i="17"/>
  <c r="P116" i="16"/>
  <c r="O116" i="16"/>
  <c r="K133" i="15"/>
  <c r="P133" i="15" s="1"/>
  <c r="J133" i="15"/>
  <c r="O133" i="15"/>
  <c r="Q133" i="15" s="1"/>
  <c r="R133" i="15" s="1"/>
  <c r="O39" i="19"/>
  <c r="Z300" i="14" s="1"/>
  <c r="AA300" i="14" s="1"/>
  <c r="J38" i="19"/>
  <c r="T299" i="14" s="1"/>
  <c r="O42" i="19"/>
  <c r="Z303" i="14"/>
  <c r="AA303" i="14" s="1"/>
  <c r="O35" i="19"/>
  <c r="Z296" i="14"/>
  <c r="AA296" i="14" s="1"/>
  <c r="I35" i="19"/>
  <c r="R296" i="14" s="1"/>
  <c r="I30" i="19"/>
  <c r="L82" i="16"/>
  <c r="O82" i="16"/>
  <c r="J80" i="17"/>
  <c r="O80" i="17" s="1"/>
  <c r="I84" i="15"/>
  <c r="J84" i="15"/>
  <c r="Q64" i="14"/>
  <c r="G64" i="14"/>
  <c r="E140" i="55" s="1"/>
  <c r="F64" i="14"/>
  <c r="E64" i="14"/>
  <c r="C145" i="55" s="1"/>
  <c r="B64" i="14"/>
  <c r="C64" i="14"/>
  <c r="F140" i="55" s="1"/>
  <c r="E316" i="20"/>
  <c r="E317" i="20"/>
  <c r="B316" i="20"/>
  <c r="B317" i="20"/>
  <c r="Z129" i="14"/>
  <c r="AA129" i="14" s="1"/>
  <c r="I90" i="15"/>
  <c r="K90" i="15" s="1"/>
  <c r="P90" i="15" s="1"/>
  <c r="Z44" i="14" s="1"/>
  <c r="AA44" i="14" s="1"/>
  <c r="I86" i="17"/>
  <c r="K85" i="17"/>
  <c r="T177" i="14" s="1"/>
  <c r="P85" i="17"/>
  <c r="Z177" i="14" s="1"/>
  <c r="AA177" i="14" s="1"/>
  <c r="J85" i="17"/>
  <c r="L83" i="17"/>
  <c r="O83" i="17" s="1"/>
  <c r="U83" i="17"/>
  <c r="AJ175" i="14" s="1"/>
  <c r="AK175" i="14" s="1"/>
  <c r="J82" i="17"/>
  <c r="S174" i="14"/>
  <c r="K82" i="17"/>
  <c r="P82" i="17"/>
  <c r="Z174" i="14"/>
  <c r="AA174" i="14" s="1"/>
  <c r="I81" i="17"/>
  <c r="R173" i="14"/>
  <c r="L85" i="16"/>
  <c r="P85" i="16"/>
  <c r="Z111" i="14"/>
  <c r="AA111" i="14" s="1"/>
  <c r="K86" i="15"/>
  <c r="J86" i="15"/>
  <c r="O86" i="15"/>
  <c r="J84" i="16"/>
  <c r="O84" i="16"/>
  <c r="U84" i="16" s="1"/>
  <c r="AJ110" i="14" s="1"/>
  <c r="AK110" i="14" s="1"/>
  <c r="K84" i="16"/>
  <c r="P84" i="16" s="1"/>
  <c r="Z110" i="14"/>
  <c r="AA110" i="14" s="1"/>
  <c r="I83" i="16"/>
  <c r="R109" i="14" s="1"/>
  <c r="L87" i="15"/>
  <c r="P87" i="15"/>
  <c r="Z41" i="14"/>
  <c r="AA41" i="14" s="1"/>
  <c r="K87" i="15"/>
  <c r="J87" i="15"/>
  <c r="I85" i="15"/>
  <c r="K85" i="15"/>
  <c r="B84" i="15"/>
  <c r="Q251" i="14"/>
  <c r="Q252" i="14"/>
  <c r="Q253" i="14"/>
  <c r="Q254" i="14"/>
  <c r="Q255" i="14"/>
  <c r="Q256" i="14"/>
  <c r="Q257" i="14"/>
  <c r="Q250" i="14"/>
  <c r="Q247" i="14"/>
  <c r="Q248" i="14"/>
  <c r="Q249" i="14"/>
  <c r="Q244" i="14"/>
  <c r="Q245" i="14"/>
  <c r="Q246" i="14"/>
  <c r="Q243" i="14"/>
  <c r="Q265" i="14"/>
  <c r="Q266" i="14"/>
  <c r="Q267" i="14"/>
  <c r="Q268" i="14"/>
  <c r="Q269" i="14"/>
  <c r="Q264" i="14"/>
  <c r="H147" i="15"/>
  <c r="H148" i="15"/>
  <c r="H149" i="15"/>
  <c r="G148" i="15"/>
  <c r="G149" i="15"/>
  <c r="G147" i="15"/>
  <c r="Q271" i="14"/>
  <c r="Q272" i="14"/>
  <c r="Q273" i="14"/>
  <c r="Q274" i="14"/>
  <c r="Q275" i="14"/>
  <c r="Q276" i="14"/>
  <c r="Q277" i="14"/>
  <c r="Q278" i="14"/>
  <c r="Q279" i="14"/>
  <c r="Q280" i="14"/>
  <c r="Q281" i="14"/>
  <c r="Q282" i="14"/>
  <c r="Q283" i="14"/>
  <c r="Q284" i="14"/>
  <c r="Q285" i="14"/>
  <c r="Q270" i="14"/>
  <c r="E59" i="14"/>
  <c r="C73" i="55" s="1"/>
  <c r="F59" i="14"/>
  <c r="D73" i="55" s="1"/>
  <c r="G59" i="14"/>
  <c r="E73" i="55" s="1"/>
  <c r="E60" i="14"/>
  <c r="C75" i="55" s="1"/>
  <c r="F60" i="14"/>
  <c r="D75" i="55" s="1"/>
  <c r="G60" i="14"/>
  <c r="E75" i="55" s="1"/>
  <c r="B59" i="14"/>
  <c r="C59" i="14"/>
  <c r="F73" i="55" s="1"/>
  <c r="B60" i="14"/>
  <c r="C60" i="14"/>
  <c r="F75" i="55" s="1"/>
  <c r="Q58" i="14"/>
  <c r="F58" i="14"/>
  <c r="D71" i="55" s="1"/>
  <c r="G58" i="14"/>
  <c r="E71" i="55" s="1"/>
  <c r="E58" i="14"/>
  <c r="C71" i="55" s="1"/>
  <c r="C58" i="14"/>
  <c r="F71" i="55" s="1"/>
  <c r="B58" i="14"/>
  <c r="E130" i="20"/>
  <c r="E131" i="20"/>
  <c r="E129" i="20"/>
  <c r="B130" i="20"/>
  <c r="B131" i="20"/>
  <c r="B129" i="20"/>
  <c r="K148" i="15"/>
  <c r="J148" i="15"/>
  <c r="S59" i="14" s="1"/>
  <c r="J147" i="15"/>
  <c r="S58" i="14" s="1"/>
  <c r="P149" i="15"/>
  <c r="Z60" i="14"/>
  <c r="AA60" i="14" s="1"/>
  <c r="O149" i="15"/>
  <c r="P147" i="15"/>
  <c r="S285" i="14"/>
  <c r="T285" i="14"/>
  <c r="S277" i="14"/>
  <c r="T277" i="14"/>
  <c r="S270" i="14"/>
  <c r="T270" i="14"/>
  <c r="S275" i="14"/>
  <c r="T275" i="14"/>
  <c r="R277" i="14"/>
  <c r="AL283" i="14"/>
  <c r="AL284" i="14"/>
  <c r="AL285" i="14"/>
  <c r="AN285" i="14"/>
  <c r="AS285" i="14" s="1"/>
  <c r="AR285" i="14"/>
  <c r="H24" i="19"/>
  <c r="G24" i="19"/>
  <c r="E86" i="21"/>
  <c r="E87" i="21"/>
  <c r="E85" i="21"/>
  <c r="E84" i="21"/>
  <c r="F285" i="14"/>
  <c r="D581" i="55" s="1"/>
  <c r="G285" i="14"/>
  <c r="E581" i="55" s="1"/>
  <c r="R285" i="14"/>
  <c r="U285" i="14"/>
  <c r="V285" i="14"/>
  <c r="W285" i="14"/>
  <c r="Z285" i="14"/>
  <c r="AA285" i="14" s="1"/>
  <c r="AD285" i="14"/>
  <c r="AE285" i="14" s="1"/>
  <c r="AF285" i="14"/>
  <c r="AG285" i="14" s="1"/>
  <c r="AH285" i="14"/>
  <c r="AI285" i="14" s="1"/>
  <c r="AJ285" i="14"/>
  <c r="AK285" i="14" s="1"/>
  <c r="C285" i="14"/>
  <c r="F581" i="55" s="1"/>
  <c r="E285" i="14"/>
  <c r="C581" i="55" s="1"/>
  <c r="I88" i="16"/>
  <c r="J88" i="16" s="1"/>
  <c r="O88" i="16" s="1"/>
  <c r="E68" i="20"/>
  <c r="Z271" i="14"/>
  <c r="AA271" i="14" s="1"/>
  <c r="J11" i="19"/>
  <c r="O12" i="19"/>
  <c r="Z273" i="14" s="1"/>
  <c r="AA273" i="14" s="1"/>
  <c r="O13" i="19"/>
  <c r="Z274" i="14"/>
  <c r="AA274" i="14" s="1"/>
  <c r="O14" i="19"/>
  <c r="Z275" i="14"/>
  <c r="AA275" i="14" s="1"/>
  <c r="J15" i="19"/>
  <c r="O15" i="19" s="1"/>
  <c r="Z276" i="14"/>
  <c r="AA276" i="14" s="1"/>
  <c r="O16" i="19"/>
  <c r="Z277" i="14" s="1"/>
  <c r="AA277" i="14" s="1"/>
  <c r="O17" i="19"/>
  <c r="Z278" i="14" s="1"/>
  <c r="AA278" i="14" s="1"/>
  <c r="J18" i="19"/>
  <c r="S279" i="14" s="1"/>
  <c r="O20" i="19"/>
  <c r="Z281" i="14"/>
  <c r="AA281" i="14" s="1"/>
  <c r="O21" i="19"/>
  <c r="Z282" i="14" s="1"/>
  <c r="AA282" i="14" s="1"/>
  <c r="J22" i="19"/>
  <c r="J23" i="19"/>
  <c r="O23" i="19"/>
  <c r="Z284" i="14" s="1"/>
  <c r="AA284" i="14" s="1"/>
  <c r="P21" i="19"/>
  <c r="AB282" i="14"/>
  <c r="AC282" i="14" s="1"/>
  <c r="D88" i="21"/>
  <c r="F474" i="20"/>
  <c r="E426" i="20"/>
  <c r="E422" i="20"/>
  <c r="B422" i="20"/>
  <c r="E421" i="20"/>
  <c r="B421" i="20"/>
  <c r="E420" i="20"/>
  <c r="B420" i="20"/>
  <c r="E419" i="20"/>
  <c r="B419" i="20"/>
  <c r="E418" i="20"/>
  <c r="B418" i="20"/>
  <c r="E417" i="20"/>
  <c r="B417" i="20"/>
  <c r="E405" i="20"/>
  <c r="B405" i="20"/>
  <c r="E404" i="20"/>
  <c r="B404" i="20"/>
  <c r="E403" i="20"/>
  <c r="B403" i="20"/>
  <c r="E402" i="20"/>
  <c r="B402" i="20"/>
  <c r="E401" i="20"/>
  <c r="B401" i="20"/>
  <c r="E400" i="20"/>
  <c r="B400" i="20"/>
  <c r="E399" i="20"/>
  <c r="B399" i="20"/>
  <c r="E398" i="20"/>
  <c r="B398" i="20"/>
  <c r="E394" i="20"/>
  <c r="B394" i="20"/>
  <c r="E393" i="20"/>
  <c r="B393" i="20"/>
  <c r="E392" i="20"/>
  <c r="B392" i="20"/>
  <c r="E388" i="20"/>
  <c r="B388" i="20"/>
  <c r="E387" i="20"/>
  <c r="B387" i="20"/>
  <c r="E386" i="20"/>
  <c r="B386" i="20"/>
  <c r="E385" i="20"/>
  <c r="B385" i="20"/>
  <c r="E381" i="20"/>
  <c r="B381" i="20"/>
  <c r="E380" i="20"/>
  <c r="B380" i="20"/>
  <c r="E379" i="20"/>
  <c r="B379" i="20"/>
  <c r="E374" i="20"/>
  <c r="B374" i="20"/>
  <c r="E373" i="20"/>
  <c r="B373" i="20"/>
  <c r="E372" i="20"/>
  <c r="B372" i="20"/>
  <c r="E371" i="20"/>
  <c r="B371" i="20"/>
  <c r="E370" i="20"/>
  <c r="B370" i="20"/>
  <c r="E369" i="20"/>
  <c r="B369" i="20"/>
  <c r="E368" i="20"/>
  <c r="B368" i="20"/>
  <c r="E363" i="20"/>
  <c r="B363" i="20"/>
  <c r="E362" i="20"/>
  <c r="B362" i="20"/>
  <c r="E361" i="20"/>
  <c r="B361" i="20"/>
  <c r="E360" i="20"/>
  <c r="B360" i="20"/>
  <c r="E359" i="20"/>
  <c r="B359" i="20"/>
  <c r="E358" i="20"/>
  <c r="B358" i="20"/>
  <c r="E357" i="20"/>
  <c r="B357" i="20"/>
  <c r="E351" i="20"/>
  <c r="B351" i="20"/>
  <c r="E350" i="20"/>
  <c r="B350" i="20"/>
  <c r="E349" i="20"/>
  <c r="B349" i="20"/>
  <c r="E348" i="20"/>
  <c r="B348" i="20"/>
  <c r="E347" i="20"/>
  <c r="B347" i="20"/>
  <c r="E346" i="20"/>
  <c r="B346" i="20"/>
  <c r="E345" i="20"/>
  <c r="B345" i="20"/>
  <c r="E344" i="20"/>
  <c r="B344" i="20"/>
  <c r="E343" i="20"/>
  <c r="B343" i="20"/>
  <c r="E342" i="20"/>
  <c r="B342" i="20"/>
  <c r="E341" i="20"/>
  <c r="B341" i="20"/>
  <c r="E340" i="20"/>
  <c r="B340" i="20"/>
  <c r="E339" i="20"/>
  <c r="B339" i="20"/>
  <c r="E338" i="20"/>
  <c r="B338" i="20"/>
  <c r="E337" i="20"/>
  <c r="B337" i="20"/>
  <c r="E332" i="20"/>
  <c r="B332" i="20"/>
  <c r="E331" i="20"/>
  <c r="B331" i="20"/>
  <c r="E330" i="20"/>
  <c r="B330" i="20"/>
  <c r="E329" i="20"/>
  <c r="B329" i="20"/>
  <c r="E328" i="20"/>
  <c r="B328" i="20"/>
  <c r="E315" i="20"/>
  <c r="B315" i="20"/>
  <c r="E311" i="20"/>
  <c r="B311" i="20"/>
  <c r="E310" i="20"/>
  <c r="B310" i="20"/>
  <c r="E309" i="20"/>
  <c r="B309" i="20"/>
  <c r="E308" i="20"/>
  <c r="B308" i="20"/>
  <c r="E307" i="20"/>
  <c r="B307" i="20"/>
  <c r="E306" i="20"/>
  <c r="B306" i="20"/>
  <c r="E305" i="20"/>
  <c r="B305" i="20"/>
  <c r="E304" i="20"/>
  <c r="B304" i="20"/>
  <c r="E300" i="20"/>
  <c r="B300" i="20"/>
  <c r="E299" i="20"/>
  <c r="B299" i="20"/>
  <c r="E298" i="20"/>
  <c r="B298" i="20"/>
  <c r="E297" i="20"/>
  <c r="B297" i="20"/>
  <c r="E293" i="20"/>
  <c r="B293" i="20"/>
  <c r="E292" i="20"/>
  <c r="B292" i="20"/>
  <c r="E291" i="20"/>
  <c r="B291" i="20"/>
  <c r="E290" i="20"/>
  <c r="B290" i="20"/>
  <c r="E289" i="20"/>
  <c r="B289" i="20"/>
  <c r="E288" i="20"/>
  <c r="B288" i="20"/>
  <c r="E287" i="20"/>
  <c r="B287" i="20"/>
  <c r="E286" i="20"/>
  <c r="B286" i="20"/>
  <c r="E282" i="20"/>
  <c r="B282" i="20"/>
  <c r="E281" i="20"/>
  <c r="B281" i="20"/>
  <c r="E280" i="20"/>
  <c r="B280" i="20"/>
  <c r="E275" i="20"/>
  <c r="B275" i="20"/>
  <c r="E274" i="20"/>
  <c r="B274" i="20"/>
  <c r="E273" i="20"/>
  <c r="B273" i="20"/>
  <c r="E272" i="20"/>
  <c r="B272" i="20"/>
  <c r="E271" i="20"/>
  <c r="B271" i="20"/>
  <c r="E270" i="20"/>
  <c r="B270" i="20"/>
  <c r="E269" i="20"/>
  <c r="B269" i="20"/>
  <c r="E264" i="20"/>
  <c r="B264" i="20"/>
  <c r="E263" i="20"/>
  <c r="B263" i="20"/>
  <c r="E262" i="20"/>
  <c r="B262" i="20"/>
  <c r="E261" i="20"/>
  <c r="B261" i="20"/>
  <c r="E260" i="20"/>
  <c r="B260" i="20"/>
  <c r="E259" i="20"/>
  <c r="B259" i="20"/>
  <c r="E258" i="20"/>
  <c r="B258" i="20"/>
  <c r="E257" i="20"/>
  <c r="B257" i="20"/>
  <c r="E256" i="20"/>
  <c r="B256" i="20"/>
  <c r="E255" i="20"/>
  <c r="B255" i="20"/>
  <c r="E254" i="20"/>
  <c r="B254" i="20"/>
  <c r="E253" i="20"/>
  <c r="B253" i="20"/>
  <c r="E252" i="20"/>
  <c r="B252" i="20"/>
  <c r="E251" i="20"/>
  <c r="B251" i="20"/>
  <c r="E250" i="20"/>
  <c r="B250" i="20"/>
  <c r="E249" i="20"/>
  <c r="B249" i="20"/>
  <c r="E244" i="20"/>
  <c r="B244" i="20"/>
  <c r="E243" i="20"/>
  <c r="B243" i="20"/>
  <c r="E242" i="20"/>
  <c r="B242" i="20"/>
  <c r="E241" i="20"/>
  <c r="B241" i="20"/>
  <c r="E240" i="20"/>
  <c r="B240" i="20"/>
  <c r="E239" i="20"/>
  <c r="B239" i="20"/>
  <c r="E238" i="20"/>
  <c r="B238" i="20"/>
  <c r="E228" i="20"/>
  <c r="B228" i="20"/>
  <c r="E227" i="20"/>
  <c r="B227" i="20"/>
  <c r="E226" i="20"/>
  <c r="B226" i="20"/>
  <c r="E222" i="20"/>
  <c r="B222" i="20"/>
  <c r="E221" i="20"/>
  <c r="B221" i="20"/>
  <c r="E220" i="20"/>
  <c r="B220" i="20"/>
  <c r="E219" i="20"/>
  <c r="B219" i="20"/>
  <c r="E218" i="20"/>
  <c r="B218" i="20"/>
  <c r="E217" i="20"/>
  <c r="B217" i="20"/>
  <c r="E216" i="20"/>
  <c r="B216" i="20"/>
  <c r="E212" i="20"/>
  <c r="B212" i="20"/>
  <c r="E211" i="20"/>
  <c r="B211" i="20"/>
  <c r="E210" i="20"/>
  <c r="B210" i="20"/>
  <c r="E209" i="20"/>
  <c r="B209" i="20"/>
  <c r="E205" i="20"/>
  <c r="B205" i="20"/>
  <c r="E204" i="20"/>
  <c r="B204" i="20"/>
  <c r="E203" i="20"/>
  <c r="B203" i="20"/>
  <c r="E202" i="20"/>
  <c r="B202" i="20"/>
  <c r="E201" i="20"/>
  <c r="B201" i="20"/>
  <c r="E200" i="20"/>
  <c r="B200" i="20"/>
  <c r="E199" i="20"/>
  <c r="B199" i="20"/>
  <c r="E198" i="20"/>
  <c r="B198" i="20"/>
  <c r="E194" i="20"/>
  <c r="B194" i="20"/>
  <c r="E193" i="20"/>
  <c r="B193" i="20"/>
  <c r="E192" i="20"/>
  <c r="B192" i="20"/>
  <c r="E191" i="20"/>
  <c r="B191" i="20"/>
  <c r="E190" i="20"/>
  <c r="B190" i="20"/>
  <c r="E189" i="20"/>
  <c r="B189" i="20"/>
  <c r="E188" i="20"/>
  <c r="B188" i="20"/>
  <c r="E183" i="20"/>
  <c r="B183" i="20"/>
  <c r="E182" i="20"/>
  <c r="B182" i="20"/>
  <c r="E181" i="20"/>
  <c r="B181" i="20"/>
  <c r="E180" i="20"/>
  <c r="B180" i="20"/>
  <c r="E179" i="20"/>
  <c r="B179" i="20"/>
  <c r="E178" i="20"/>
  <c r="B178" i="20"/>
  <c r="E177" i="20"/>
  <c r="B177" i="20"/>
  <c r="E172" i="20"/>
  <c r="B172" i="20"/>
  <c r="E171" i="20"/>
  <c r="B171" i="20"/>
  <c r="E170" i="20"/>
  <c r="B170" i="20"/>
  <c r="E169" i="20"/>
  <c r="B169" i="20"/>
  <c r="E168" i="20"/>
  <c r="B168" i="20"/>
  <c r="E167" i="20"/>
  <c r="B167" i="20"/>
  <c r="E166" i="20"/>
  <c r="B166" i="20"/>
  <c r="E165" i="20"/>
  <c r="B165" i="20"/>
  <c r="E164" i="20"/>
  <c r="B164" i="20"/>
  <c r="E163" i="20"/>
  <c r="B163" i="20"/>
  <c r="E162" i="20"/>
  <c r="B162" i="20"/>
  <c r="E161" i="20"/>
  <c r="B161" i="20"/>
  <c r="E160" i="20"/>
  <c r="B160" i="20"/>
  <c r="E159" i="20"/>
  <c r="B159" i="20"/>
  <c r="E154" i="20"/>
  <c r="B154" i="20"/>
  <c r="E153" i="20"/>
  <c r="B153" i="20"/>
  <c r="E152" i="20"/>
  <c r="B152" i="20"/>
  <c r="E151" i="20"/>
  <c r="B151" i="20"/>
  <c r="E150" i="20"/>
  <c r="B150" i="20"/>
  <c r="E149" i="20"/>
  <c r="B149" i="20"/>
  <c r="E148" i="20"/>
  <c r="B148" i="20"/>
  <c r="E135" i="20"/>
  <c r="B135" i="20"/>
  <c r="E126" i="20"/>
  <c r="B126" i="20"/>
  <c r="E125" i="20"/>
  <c r="B125" i="20"/>
  <c r="E124" i="20"/>
  <c r="B124" i="20"/>
  <c r="E123" i="20"/>
  <c r="B123" i="20"/>
  <c r="E122" i="20"/>
  <c r="B122" i="20"/>
  <c r="E118" i="20"/>
  <c r="B118" i="20"/>
  <c r="E117" i="20"/>
  <c r="B117" i="20"/>
  <c r="E116" i="20"/>
  <c r="B116" i="20"/>
  <c r="E112" i="20"/>
  <c r="B112" i="20"/>
  <c r="E111" i="20"/>
  <c r="B111" i="20"/>
  <c r="E110" i="20"/>
  <c r="B110" i="20"/>
  <c r="E109" i="20"/>
  <c r="B109" i="20"/>
  <c r="E105" i="20"/>
  <c r="B105" i="20"/>
  <c r="E104" i="20"/>
  <c r="B104" i="20"/>
  <c r="E103" i="20"/>
  <c r="B103" i="20"/>
  <c r="E102" i="20"/>
  <c r="B102" i="20"/>
  <c r="E101" i="20"/>
  <c r="B101" i="20"/>
  <c r="E100" i="20"/>
  <c r="B100" i="20"/>
  <c r="E99" i="20"/>
  <c r="B99" i="20"/>
  <c r="E98" i="20"/>
  <c r="B98" i="20"/>
  <c r="E94" i="20"/>
  <c r="B94" i="20"/>
  <c r="E93" i="20"/>
  <c r="B93" i="20"/>
  <c r="E92" i="20"/>
  <c r="B92" i="20"/>
  <c r="E91" i="20"/>
  <c r="B91" i="20"/>
  <c r="E90" i="20"/>
  <c r="B90" i="20"/>
  <c r="E89" i="20"/>
  <c r="B89" i="20"/>
  <c r="E88" i="20"/>
  <c r="B88" i="20"/>
  <c r="E83" i="20"/>
  <c r="B83" i="20"/>
  <c r="E82" i="20"/>
  <c r="B82" i="20"/>
  <c r="E81" i="20"/>
  <c r="B81" i="20"/>
  <c r="E80" i="20"/>
  <c r="B80" i="20"/>
  <c r="E79" i="20"/>
  <c r="B79" i="20"/>
  <c r="E78" i="20"/>
  <c r="B78" i="20"/>
  <c r="E77" i="20"/>
  <c r="B77" i="20"/>
  <c r="E73" i="20"/>
  <c r="B73" i="20"/>
  <c r="E72" i="20"/>
  <c r="B72" i="20"/>
  <c r="E71" i="20"/>
  <c r="B71" i="20"/>
  <c r="E70" i="20"/>
  <c r="B70" i="20"/>
  <c r="E69" i="20"/>
  <c r="B69" i="20"/>
  <c r="B68" i="20"/>
  <c r="E67" i="20"/>
  <c r="B67" i="20"/>
  <c r="E66" i="20"/>
  <c r="B66" i="20"/>
  <c r="E65" i="20"/>
  <c r="B65" i="20"/>
  <c r="E64" i="20"/>
  <c r="B64" i="20"/>
  <c r="E63" i="20"/>
  <c r="B63" i="20"/>
  <c r="E62" i="20"/>
  <c r="B62" i="20"/>
  <c r="E61" i="20"/>
  <c r="B61" i="20"/>
  <c r="E60" i="20"/>
  <c r="B60" i="20"/>
  <c r="H23" i="19"/>
  <c r="G23" i="19"/>
  <c r="H22" i="19"/>
  <c r="G22" i="19"/>
  <c r="H21" i="19"/>
  <c r="G21" i="19"/>
  <c r="H20" i="19"/>
  <c r="G20" i="19"/>
  <c r="H19" i="19"/>
  <c r="G19" i="19"/>
  <c r="Z18" i="19"/>
  <c r="AQ279" i="14"/>
  <c r="H18" i="19"/>
  <c r="G18" i="19"/>
  <c r="Z17" i="19"/>
  <c r="AQ278" i="14" s="1"/>
  <c r="H17" i="19"/>
  <c r="G17" i="19"/>
  <c r="H16" i="19"/>
  <c r="G16" i="19"/>
  <c r="Z15" i="19"/>
  <c r="AQ276" i="14"/>
  <c r="H15" i="19"/>
  <c r="G15" i="19"/>
  <c r="Z14" i="19"/>
  <c r="AQ275" i="14" s="1"/>
  <c r="H14" i="19"/>
  <c r="G14" i="19"/>
  <c r="Z13" i="19"/>
  <c r="AQ274" i="14"/>
  <c r="H13" i="19"/>
  <c r="G13" i="19"/>
  <c r="Z12" i="19"/>
  <c r="AQ273" i="14" s="1"/>
  <c r="H12" i="19"/>
  <c r="G12" i="19"/>
  <c r="Z11" i="19"/>
  <c r="AQ272" i="14"/>
  <c r="H11" i="19"/>
  <c r="G11" i="19"/>
  <c r="H10" i="19"/>
  <c r="G10" i="19"/>
  <c r="Z9" i="19"/>
  <c r="AQ270" i="14"/>
  <c r="H9" i="19"/>
  <c r="G9" i="19"/>
  <c r="O165" i="18"/>
  <c r="T165" i="18" s="1"/>
  <c r="AH269" i="14" s="1"/>
  <c r="AI269" i="14" s="1"/>
  <c r="P165" i="18"/>
  <c r="Z269" i="14" s="1"/>
  <c r="AA269" i="14" s="1"/>
  <c r="H165" i="18"/>
  <c r="G165" i="18"/>
  <c r="AA164" i="18"/>
  <c r="AQ268" i="14" s="1"/>
  <c r="K164" i="18"/>
  <c r="P164" i="18"/>
  <c r="Z268" i="14"/>
  <c r="AA268" i="14" s="1"/>
  <c r="J164" i="18"/>
  <c r="O164" i="18"/>
  <c r="H164" i="18"/>
  <c r="G164" i="18"/>
  <c r="AA163" i="18"/>
  <c r="AQ267" i="14" s="1"/>
  <c r="O163" i="18"/>
  <c r="Q163" i="18" s="1"/>
  <c r="AB267" i="14" s="1"/>
  <c r="AC267" i="14" s="1"/>
  <c r="K163" i="18"/>
  <c r="P163" i="18" s="1"/>
  <c r="Z267" i="14"/>
  <c r="AA267" i="14" s="1"/>
  <c r="H163" i="18"/>
  <c r="G163" i="18"/>
  <c r="AA162" i="18"/>
  <c r="AQ266" i="14"/>
  <c r="H162" i="18"/>
  <c r="G162" i="18"/>
  <c r="J161" i="18"/>
  <c r="O161" i="18"/>
  <c r="T161" i="18"/>
  <c r="AH265" i="14" s="1"/>
  <c r="AI265" i="14" s="1"/>
  <c r="K161" i="18"/>
  <c r="P161" i="18" s="1"/>
  <c r="Z265" i="14" s="1"/>
  <c r="AA265" i="14" s="1"/>
  <c r="H161" i="18"/>
  <c r="G161" i="18"/>
  <c r="AA160" i="18"/>
  <c r="AQ264" i="14"/>
  <c r="P160" i="18"/>
  <c r="Z264" i="14"/>
  <c r="AA264" i="14" s="1"/>
  <c r="O160" i="18"/>
  <c r="H160" i="18"/>
  <c r="G160" i="18"/>
  <c r="AA134" i="18"/>
  <c r="AQ257" i="14"/>
  <c r="O134" i="18"/>
  <c r="S134" i="18" s="1"/>
  <c r="AF257" i="14"/>
  <c r="AG257" i="14" s="1"/>
  <c r="P134" i="18"/>
  <c r="Z257" i="14" s="1"/>
  <c r="AA257" i="14" s="1"/>
  <c r="H134" i="18"/>
  <c r="G134" i="18"/>
  <c r="AA133" i="18"/>
  <c r="AQ256" i="14" s="1"/>
  <c r="O133" i="18"/>
  <c r="R133" i="18"/>
  <c r="AD256" i="14" s="1"/>
  <c r="AE256" i="14" s="1"/>
  <c r="P133" i="18"/>
  <c r="Z256" i="14" s="1"/>
  <c r="AA256" i="14" s="1"/>
  <c r="H133" i="18"/>
  <c r="G133" i="18"/>
  <c r="J132" i="18"/>
  <c r="O132" i="18" s="1"/>
  <c r="K132" i="18"/>
  <c r="P132" i="18"/>
  <c r="Z255" i="14" s="1"/>
  <c r="AA255" i="14" s="1"/>
  <c r="H132" i="18"/>
  <c r="G132" i="18"/>
  <c r="O131" i="18"/>
  <c r="Q131" i="18"/>
  <c r="AB254" i="14" s="1"/>
  <c r="AC254" i="14" s="1"/>
  <c r="P131" i="18"/>
  <c r="Z254" i="14"/>
  <c r="AA254" i="14" s="1"/>
  <c r="H131" i="18"/>
  <c r="G131" i="18"/>
  <c r="J130" i="18"/>
  <c r="O130" i="18"/>
  <c r="Q130" i="18" s="1"/>
  <c r="AB253" i="14" s="1"/>
  <c r="AC253" i="14" s="1"/>
  <c r="K130" i="18"/>
  <c r="P130" i="18" s="1"/>
  <c r="H130" i="18"/>
  <c r="G130" i="18"/>
  <c r="AA129" i="18"/>
  <c r="AQ252" i="14"/>
  <c r="J129" i="18"/>
  <c r="O129" i="18" s="1"/>
  <c r="K129" i="18"/>
  <c r="H129" i="18"/>
  <c r="G129" i="18"/>
  <c r="AA128" i="18"/>
  <c r="AQ251" i="14"/>
  <c r="P128" i="18"/>
  <c r="Z251" i="14"/>
  <c r="AA251" i="14" s="1"/>
  <c r="H128" i="18"/>
  <c r="G128" i="18"/>
  <c r="AA127" i="18"/>
  <c r="AQ250" i="14" s="1"/>
  <c r="O127" i="18"/>
  <c r="P127" i="18"/>
  <c r="H127" i="18"/>
  <c r="G127" i="18"/>
  <c r="O115" i="18"/>
  <c r="T115" i="18"/>
  <c r="AH249" i="14" s="1"/>
  <c r="AI249" i="14" s="1"/>
  <c r="H115" i="18"/>
  <c r="G115" i="18"/>
  <c r="O114" i="18"/>
  <c r="U114" i="18" s="1"/>
  <c r="AJ248" i="14" s="1"/>
  <c r="AK248" i="14" s="1"/>
  <c r="P114" i="18"/>
  <c r="Z248" i="14" s="1"/>
  <c r="AA248" i="14" s="1"/>
  <c r="H114" i="18"/>
  <c r="G114" i="18"/>
  <c r="O113" i="18"/>
  <c r="P113" i="18"/>
  <c r="H113" i="18"/>
  <c r="G113" i="18"/>
  <c r="AA101" i="18"/>
  <c r="AQ246" i="14" s="1"/>
  <c r="O101" i="18"/>
  <c r="R101" i="18" s="1"/>
  <c r="AD246" i="14" s="1"/>
  <c r="AE246" i="14" s="1"/>
  <c r="P101" i="18"/>
  <c r="Z246" i="14" s="1"/>
  <c r="AA246" i="14" s="1"/>
  <c r="H101" i="18"/>
  <c r="G101" i="18"/>
  <c r="AA100" i="18"/>
  <c r="AQ245" i="14" s="1"/>
  <c r="O100" i="18"/>
  <c r="T100" i="18"/>
  <c r="K100" i="18"/>
  <c r="P100" i="18" s="1"/>
  <c r="Z245" i="14"/>
  <c r="AA245" i="14" s="1"/>
  <c r="H100" i="18"/>
  <c r="G100" i="18"/>
  <c r="AA99" i="18"/>
  <c r="AQ244" i="14" s="1"/>
  <c r="O99" i="18"/>
  <c r="X244" i="14" s="1"/>
  <c r="Y244" i="14" s="1"/>
  <c r="P99" i="18"/>
  <c r="Z244" i="14"/>
  <c r="AA244" i="14" s="1"/>
  <c r="P98" i="18"/>
  <c r="H99" i="18"/>
  <c r="G99" i="18"/>
  <c r="AA98" i="18"/>
  <c r="AQ243" i="14"/>
  <c r="O98" i="18"/>
  <c r="H98" i="18"/>
  <c r="G98" i="18"/>
  <c r="AA86" i="18"/>
  <c r="AQ242" i="14"/>
  <c r="P86" i="18"/>
  <c r="Z242" i="14" s="1"/>
  <c r="AA242" i="14" s="1"/>
  <c r="O86" i="18"/>
  <c r="X242" i="14"/>
  <c r="Y242" i="14" s="1"/>
  <c r="H86" i="18"/>
  <c r="G86" i="18"/>
  <c r="AA85" i="18"/>
  <c r="AQ241" i="14"/>
  <c r="O85" i="18"/>
  <c r="U85" i="18" s="1"/>
  <c r="AJ241" i="14"/>
  <c r="AK241" i="14" s="1"/>
  <c r="P85" i="18"/>
  <c r="Z241" i="14" s="1"/>
  <c r="AA241" i="14" s="1"/>
  <c r="H85" i="18"/>
  <c r="G85" i="18"/>
  <c r="AA84" i="18"/>
  <c r="AQ240" i="14" s="1"/>
  <c r="L84" i="18"/>
  <c r="U240" i="14"/>
  <c r="J84" i="18"/>
  <c r="S240" i="14" s="1"/>
  <c r="K84" i="18"/>
  <c r="T240" i="14" s="1"/>
  <c r="H84" i="18"/>
  <c r="G84" i="18"/>
  <c r="J71" i="18"/>
  <c r="O71" i="18"/>
  <c r="X238" i="14"/>
  <c r="Y238" i="14" s="1"/>
  <c r="K71" i="18"/>
  <c r="T238" i="14"/>
  <c r="H71" i="18"/>
  <c r="G71" i="18"/>
  <c r="AA70" i="18"/>
  <c r="AQ237" i="14" s="1"/>
  <c r="P70" i="18"/>
  <c r="Z237" i="14"/>
  <c r="AA237" i="14" s="1"/>
  <c r="O70" i="18"/>
  <c r="X237" i="14"/>
  <c r="Y237" i="14" s="1"/>
  <c r="H70" i="18"/>
  <c r="G70" i="18"/>
  <c r="O69" i="18"/>
  <c r="R69" i="18" s="1"/>
  <c r="AD236" i="14"/>
  <c r="AE236" i="14" s="1"/>
  <c r="P69" i="18"/>
  <c r="Z236" i="14" s="1"/>
  <c r="AA236" i="14" s="1"/>
  <c r="H69" i="18"/>
  <c r="G69" i="18"/>
  <c r="AA68" i="18"/>
  <c r="AQ235" i="14"/>
  <c r="L68" i="18"/>
  <c r="U235" i="14"/>
  <c r="I68" i="18"/>
  <c r="R235" i="14" s="1"/>
  <c r="H68" i="18"/>
  <c r="G68" i="18"/>
  <c r="P67" i="18"/>
  <c r="Z234" i="14" s="1"/>
  <c r="AA234" i="14" s="1"/>
  <c r="O67" i="18"/>
  <c r="T67" i="18"/>
  <c r="AH234" i="14" s="1"/>
  <c r="AI234" i="14" s="1"/>
  <c r="H67" i="18"/>
  <c r="G67" i="18"/>
  <c r="AA66" i="18"/>
  <c r="AQ233" i="14"/>
  <c r="K66" i="18"/>
  <c r="T233" i="14" s="1"/>
  <c r="J66" i="18"/>
  <c r="O66" i="18"/>
  <c r="X233" i="14" s="1"/>
  <c r="Y233" i="14" s="1"/>
  <c r="H66" i="18"/>
  <c r="G66" i="18"/>
  <c r="AA65" i="18"/>
  <c r="AQ232" i="14"/>
  <c r="O65" i="18"/>
  <c r="S65" i="18"/>
  <c r="AF232" i="14" s="1"/>
  <c r="AG232" i="14" s="1"/>
  <c r="P65" i="18"/>
  <c r="H65" i="18"/>
  <c r="G65" i="18"/>
  <c r="K52" i="18"/>
  <c r="P52" i="18"/>
  <c r="Z230" i="14" s="1"/>
  <c r="AA230" i="14" s="1"/>
  <c r="J52" i="18"/>
  <c r="O52" i="18"/>
  <c r="Q52" i="18" s="1"/>
  <c r="AB230" i="14" s="1"/>
  <c r="AC230" i="14" s="1"/>
  <c r="H52" i="18"/>
  <c r="G52" i="18"/>
  <c r="P51" i="18"/>
  <c r="Z229" i="14" s="1"/>
  <c r="AA229" i="14" s="1"/>
  <c r="O51" i="18"/>
  <c r="S51" i="18"/>
  <c r="AF229" i="14" s="1"/>
  <c r="AG229" i="14" s="1"/>
  <c r="H51" i="18"/>
  <c r="G51" i="18"/>
  <c r="O50" i="18"/>
  <c r="Q50" i="18"/>
  <c r="AB228" i="14" s="1"/>
  <c r="AC228" i="14" s="1"/>
  <c r="P50" i="18"/>
  <c r="Z228" i="14"/>
  <c r="AA228" i="14" s="1"/>
  <c r="H50" i="18"/>
  <c r="G50" i="18"/>
  <c r="L49" i="18"/>
  <c r="U227" i="14"/>
  <c r="I49" i="18"/>
  <c r="J49" i="18" s="1"/>
  <c r="S227" i="14"/>
  <c r="H49" i="18"/>
  <c r="G49" i="18"/>
  <c r="AA48" i="18"/>
  <c r="AQ226" i="14"/>
  <c r="I48" i="18"/>
  <c r="K48" i="18"/>
  <c r="H48" i="18"/>
  <c r="G48" i="18"/>
  <c r="AA47" i="18"/>
  <c r="AQ225" i="14" s="1"/>
  <c r="K47" i="18"/>
  <c r="P47" i="18" s="1"/>
  <c r="Z225" i="14" s="1"/>
  <c r="AA225" i="14" s="1"/>
  <c r="J47" i="18"/>
  <c r="S225" i="14" s="1"/>
  <c r="H47" i="18"/>
  <c r="G47" i="18"/>
  <c r="AA46" i="18"/>
  <c r="AQ224" i="14"/>
  <c r="K46" i="18"/>
  <c r="J46" i="18"/>
  <c r="O46" i="18"/>
  <c r="H46" i="18"/>
  <c r="G46" i="18"/>
  <c r="AA33" i="18"/>
  <c r="AQ222" i="14" s="1"/>
  <c r="L33" i="18"/>
  <c r="U222" i="14" s="1"/>
  <c r="K33" i="18"/>
  <c r="T222" i="14" s="1"/>
  <c r="J33" i="18"/>
  <c r="H33" i="18"/>
  <c r="G33" i="18"/>
  <c r="J32" i="18"/>
  <c r="O32" i="18"/>
  <c r="U32" i="18" s="1"/>
  <c r="AJ221" i="14" s="1"/>
  <c r="AK221" i="14" s="1"/>
  <c r="K32" i="18"/>
  <c r="P32" i="18" s="1"/>
  <c r="Z221" i="14"/>
  <c r="AA221" i="14" s="1"/>
  <c r="H32" i="18"/>
  <c r="G32" i="18"/>
  <c r="K31" i="18"/>
  <c r="P31" i="18"/>
  <c r="Z220" i="14" s="1"/>
  <c r="AA220" i="14" s="1"/>
  <c r="J31" i="18"/>
  <c r="S220" i="14" s="1"/>
  <c r="H31" i="18"/>
  <c r="G31" i="18"/>
  <c r="O30" i="18"/>
  <c r="Q30" i="18"/>
  <c r="AB219" i="14"/>
  <c r="AC219" i="14" s="1"/>
  <c r="K30" i="18"/>
  <c r="T219" i="14"/>
  <c r="H30" i="18"/>
  <c r="G30" i="18"/>
  <c r="AA29" i="18"/>
  <c r="AQ218" i="14" s="1"/>
  <c r="O29" i="18"/>
  <c r="R29" i="18" s="1"/>
  <c r="P29" i="18"/>
  <c r="Z218" i="14"/>
  <c r="AA218" i="14" s="1"/>
  <c r="H29" i="18"/>
  <c r="G29" i="18"/>
  <c r="AA28" i="18"/>
  <c r="AQ217" i="14"/>
  <c r="J28" i="18"/>
  <c r="O28" i="18"/>
  <c r="Q28" i="18" s="1"/>
  <c r="AB217" i="14" s="1"/>
  <c r="AC217" i="14" s="1"/>
  <c r="K28" i="18"/>
  <c r="P28" i="18"/>
  <c r="Z217" i="14" s="1"/>
  <c r="AA217" i="14" s="1"/>
  <c r="H28" i="18"/>
  <c r="G28" i="18"/>
  <c r="AA27" i="18"/>
  <c r="AQ216" i="14"/>
  <c r="I27" i="18"/>
  <c r="J27" i="18"/>
  <c r="L27" i="18"/>
  <c r="U216" i="14"/>
  <c r="H27" i="18"/>
  <c r="G27" i="18"/>
  <c r="AA26" i="18"/>
  <c r="AQ215" i="14"/>
  <c r="L26" i="18"/>
  <c r="O26" i="18"/>
  <c r="H26" i="18"/>
  <c r="G26" i="18"/>
  <c r="AA25" i="18"/>
  <c r="AQ214" i="14"/>
  <c r="P25" i="18"/>
  <c r="Z214" i="14"/>
  <c r="AA214" i="14" s="1"/>
  <c r="O25" i="18"/>
  <c r="T25" i="18"/>
  <c r="AH214" i="14" s="1"/>
  <c r="AI214" i="14" s="1"/>
  <c r="H25" i="18"/>
  <c r="G25" i="18"/>
  <c r="AA24" i="18"/>
  <c r="AQ213" i="14"/>
  <c r="L24" i="18"/>
  <c r="U213" i="14" s="1"/>
  <c r="K24" i="18"/>
  <c r="T213" i="14" s="1"/>
  <c r="I24" i="18"/>
  <c r="J24" i="18"/>
  <c r="H24" i="18"/>
  <c r="G24" i="18"/>
  <c r="AA23" i="18"/>
  <c r="AQ212" i="14" s="1"/>
  <c r="H23" i="18"/>
  <c r="G23" i="18"/>
  <c r="AA22" i="18"/>
  <c r="AQ211" i="14"/>
  <c r="I22" i="18"/>
  <c r="R211" i="14" s="1"/>
  <c r="H22" i="18"/>
  <c r="G22" i="18"/>
  <c r="AA21" i="18"/>
  <c r="AQ210" i="14" s="1"/>
  <c r="K21" i="18"/>
  <c r="P21" i="18"/>
  <c r="Z210" i="14" s="1"/>
  <c r="AA210" i="14" s="1"/>
  <c r="J21" i="18"/>
  <c r="O21" i="18" s="1"/>
  <c r="H21" i="18"/>
  <c r="G21" i="18"/>
  <c r="K20" i="18"/>
  <c r="P20" i="18"/>
  <c r="Z209" i="14"/>
  <c r="AA209" i="14" s="1"/>
  <c r="J20" i="18"/>
  <c r="O20" i="18" s="1"/>
  <c r="H20" i="18"/>
  <c r="G20" i="18"/>
  <c r="AA19" i="18"/>
  <c r="AQ208" i="14" s="1"/>
  <c r="K19" i="18"/>
  <c r="P19" i="18"/>
  <c r="J19" i="18"/>
  <c r="S208" i="14" s="1"/>
  <c r="O19" i="18"/>
  <c r="O165" i="17"/>
  <c r="P165" i="17"/>
  <c r="Z206" i="14"/>
  <c r="AA206" i="14" s="1"/>
  <c r="H165" i="17"/>
  <c r="G165" i="17"/>
  <c r="AA164" i="17"/>
  <c r="AQ205" i="14"/>
  <c r="K164" i="17"/>
  <c r="J164" i="17"/>
  <c r="O164" i="17" s="1"/>
  <c r="H164" i="17"/>
  <c r="G164" i="17"/>
  <c r="AA163" i="17"/>
  <c r="AQ204" i="14"/>
  <c r="O163" i="17"/>
  <c r="R163" i="17"/>
  <c r="AD204" i="14" s="1"/>
  <c r="AE204" i="14" s="1"/>
  <c r="P163" i="17"/>
  <c r="Z204" i="14"/>
  <c r="AA204" i="14" s="1"/>
  <c r="H163" i="17"/>
  <c r="G163" i="17"/>
  <c r="AA162" i="17"/>
  <c r="AQ203" i="14" s="1"/>
  <c r="H162" i="17"/>
  <c r="G162" i="17"/>
  <c r="K161" i="17"/>
  <c r="T202" i="14" s="1"/>
  <c r="P161" i="17"/>
  <c r="J161" i="17"/>
  <c r="O161" i="17" s="1"/>
  <c r="U161" i="17" s="1"/>
  <c r="H161" i="17"/>
  <c r="G161" i="17"/>
  <c r="X194" i="14"/>
  <c r="Y194" i="14" s="1"/>
  <c r="Z194" i="14"/>
  <c r="AA194" i="14" s="1"/>
  <c r="Z193" i="14"/>
  <c r="AA193" i="14" s="1"/>
  <c r="AA122" i="17"/>
  <c r="AQ191" i="14" s="1"/>
  <c r="P122" i="17"/>
  <c r="Z191" i="14"/>
  <c r="AA191" i="14" s="1"/>
  <c r="O122" i="17"/>
  <c r="T122" i="17"/>
  <c r="AH191" i="14"/>
  <c r="AI191" i="14" s="1"/>
  <c r="H122" i="17"/>
  <c r="G122" i="17"/>
  <c r="AA121" i="17"/>
  <c r="AQ190" i="14" s="1"/>
  <c r="P121" i="17"/>
  <c r="Z190" i="14" s="1"/>
  <c r="AA190" i="14" s="1"/>
  <c r="O121" i="17"/>
  <c r="U121" i="17"/>
  <c r="AJ190" i="14" s="1"/>
  <c r="AK190" i="14" s="1"/>
  <c r="H121" i="17"/>
  <c r="G121" i="17"/>
  <c r="O120" i="17"/>
  <c r="Q120" i="17"/>
  <c r="AB189" i="14" s="1"/>
  <c r="AC189" i="14" s="1"/>
  <c r="P120" i="17"/>
  <c r="Z189" i="14"/>
  <c r="AA189" i="14" s="1"/>
  <c r="H120" i="17"/>
  <c r="G120" i="17"/>
  <c r="J119" i="17"/>
  <c r="O119" i="17" s="1"/>
  <c r="R119" i="17" s="1"/>
  <c r="AD188" i="14" s="1"/>
  <c r="AE188" i="14" s="1"/>
  <c r="K119" i="17"/>
  <c r="H119" i="17"/>
  <c r="G119" i="17"/>
  <c r="K118" i="17"/>
  <c r="P118" i="17" s="1"/>
  <c r="J118" i="17"/>
  <c r="O118" i="17" s="1"/>
  <c r="X187" i="14" s="1"/>
  <c r="Y187" i="14" s="1"/>
  <c r="H118" i="17"/>
  <c r="G118" i="17"/>
  <c r="K117" i="17"/>
  <c r="T186" i="14" s="1"/>
  <c r="P117" i="17"/>
  <c r="Z186" i="14" s="1"/>
  <c r="AA186" i="14" s="1"/>
  <c r="J117" i="17"/>
  <c r="O117" i="17" s="1"/>
  <c r="X186" i="14" s="1"/>
  <c r="Y186" i="14" s="1"/>
  <c r="H117" i="17"/>
  <c r="G117" i="17"/>
  <c r="AA116" i="17"/>
  <c r="AQ185" i="14" s="1"/>
  <c r="K116" i="17"/>
  <c r="P116" i="17"/>
  <c r="Z185" i="14" s="1"/>
  <c r="AA185" i="14" s="1"/>
  <c r="J116" i="17"/>
  <c r="O116" i="17"/>
  <c r="H116" i="17"/>
  <c r="G116" i="17"/>
  <c r="AA115" i="17"/>
  <c r="AQ184" i="14" s="1"/>
  <c r="AL184" i="14"/>
  <c r="P115" i="17"/>
  <c r="H115" i="17"/>
  <c r="G115" i="17"/>
  <c r="AA102" i="17"/>
  <c r="AQ183" i="14"/>
  <c r="O102" i="17"/>
  <c r="X183" i="14" s="1"/>
  <c r="Y183" i="14" s="1"/>
  <c r="P102" i="17"/>
  <c r="Z183" i="14" s="1"/>
  <c r="AA183" i="14" s="1"/>
  <c r="H102" i="17"/>
  <c r="G102" i="17"/>
  <c r="AA101" i="17"/>
  <c r="AQ182" i="14"/>
  <c r="O101" i="17"/>
  <c r="T101" i="17" s="1"/>
  <c r="AH182" i="14" s="1"/>
  <c r="AI182" i="14" s="1"/>
  <c r="P101" i="17"/>
  <c r="Z182" i="14"/>
  <c r="AA182" i="14" s="1"/>
  <c r="H101" i="17"/>
  <c r="G101" i="17"/>
  <c r="AA100" i="17"/>
  <c r="AQ181" i="14"/>
  <c r="P100" i="17"/>
  <c r="Z181" i="14"/>
  <c r="AA181" i="14" s="1"/>
  <c r="O100" i="17"/>
  <c r="T100" i="17"/>
  <c r="AH181" i="14"/>
  <c r="AI181" i="14" s="1"/>
  <c r="H100" i="17"/>
  <c r="G100" i="17"/>
  <c r="AA99" i="17"/>
  <c r="AQ180" i="14" s="1"/>
  <c r="O99" i="17"/>
  <c r="P99" i="17"/>
  <c r="H99" i="17"/>
  <c r="G99" i="17"/>
  <c r="AA87" i="17"/>
  <c r="AQ179" i="14" s="1"/>
  <c r="K87" i="17"/>
  <c r="T179" i="14" s="1"/>
  <c r="J87" i="17"/>
  <c r="O87" i="17" s="1"/>
  <c r="H87" i="17"/>
  <c r="G87" i="17"/>
  <c r="K86" i="17"/>
  <c r="P86" i="17" s="1"/>
  <c r="Z178" i="14" s="1"/>
  <c r="AA178" i="14" s="1"/>
  <c r="H86" i="17"/>
  <c r="G86" i="17"/>
  <c r="H85" i="17"/>
  <c r="G85" i="17"/>
  <c r="AA84" i="17"/>
  <c r="AQ176" i="14" s="1"/>
  <c r="O84" i="17"/>
  <c r="R84" i="17" s="1"/>
  <c r="AD176" i="14" s="1"/>
  <c r="AE176" i="14" s="1"/>
  <c r="P84" i="17"/>
  <c r="Z176" i="14" s="1"/>
  <c r="AA176" i="14" s="1"/>
  <c r="H84" i="17"/>
  <c r="G84" i="17"/>
  <c r="AA83" i="17"/>
  <c r="AQ175" i="14"/>
  <c r="H83" i="17"/>
  <c r="G83" i="17"/>
  <c r="AA82" i="17"/>
  <c r="AQ174" i="14" s="1"/>
  <c r="H82" i="17"/>
  <c r="G82" i="17"/>
  <c r="AA81" i="17"/>
  <c r="L81" i="17"/>
  <c r="U173" i="14" s="1"/>
  <c r="H81" i="17"/>
  <c r="G81" i="17"/>
  <c r="P80" i="17"/>
  <c r="H80" i="17"/>
  <c r="G80" i="17"/>
  <c r="O68" i="17"/>
  <c r="Q68" i="17"/>
  <c r="AB171" i="14" s="1"/>
  <c r="AC171" i="14" s="1"/>
  <c r="P68" i="17"/>
  <c r="Z171" i="14"/>
  <c r="AA171" i="14" s="1"/>
  <c r="H68" i="17"/>
  <c r="G68" i="17"/>
  <c r="O67" i="17"/>
  <c r="Q67" i="17" s="1"/>
  <c r="AB170" i="14" s="1"/>
  <c r="AC170" i="14" s="1"/>
  <c r="P67" i="17"/>
  <c r="Z170" i="14"/>
  <c r="AA170" i="14" s="1"/>
  <c r="H67" i="17"/>
  <c r="G67" i="17"/>
  <c r="L66" i="17"/>
  <c r="U169" i="14" s="1"/>
  <c r="K66" i="17"/>
  <c r="T169" i="14"/>
  <c r="J66" i="17"/>
  <c r="S169" i="14"/>
  <c r="H66" i="17"/>
  <c r="G66" i="17"/>
  <c r="J53" i="17"/>
  <c r="K53" i="17"/>
  <c r="P53" i="17" s="1"/>
  <c r="Z167" i="14" s="1"/>
  <c r="AA167" i="14" s="1"/>
  <c r="H53" i="17"/>
  <c r="G53" i="17"/>
  <c r="P52" i="17"/>
  <c r="Z166" i="14"/>
  <c r="AA166" i="14" s="1"/>
  <c r="O52" i="17"/>
  <c r="X166" i="14" s="1"/>
  <c r="Y166" i="14" s="1"/>
  <c r="H52" i="17"/>
  <c r="G52" i="17"/>
  <c r="O51" i="17"/>
  <c r="S51" i="17"/>
  <c r="AF165" i="14"/>
  <c r="AG165" i="14" s="1"/>
  <c r="P51" i="17"/>
  <c r="Z165" i="14"/>
  <c r="AA165" i="14" s="1"/>
  <c r="H51" i="17"/>
  <c r="G51" i="17"/>
  <c r="AA50" i="17"/>
  <c r="AQ164" i="14" s="1"/>
  <c r="L50" i="17"/>
  <c r="K50" i="17"/>
  <c r="T164" i="14"/>
  <c r="J50" i="17"/>
  <c r="S164" i="14"/>
  <c r="H50" i="17"/>
  <c r="G50" i="17"/>
  <c r="P49" i="17"/>
  <c r="Z163" i="14"/>
  <c r="AA163" i="14" s="1"/>
  <c r="O49" i="17"/>
  <c r="Q49" i="17" s="1"/>
  <c r="U49" i="17"/>
  <c r="AJ163" i="14"/>
  <c r="AK163" i="14" s="1"/>
  <c r="H49" i="17"/>
  <c r="G49" i="17"/>
  <c r="AA48" i="17"/>
  <c r="AQ162" i="14" s="1"/>
  <c r="J48" i="17"/>
  <c r="O48" i="17"/>
  <c r="K48" i="17"/>
  <c r="H48" i="17"/>
  <c r="G48" i="17"/>
  <c r="AA47" i="17"/>
  <c r="AQ161" i="14"/>
  <c r="O47" i="17"/>
  <c r="P47" i="17"/>
  <c r="H47" i="17"/>
  <c r="G47" i="17"/>
  <c r="K34" i="17"/>
  <c r="J34" i="17"/>
  <c r="O34" i="17" s="1"/>
  <c r="R34" i="17" s="1"/>
  <c r="AD159" i="14" s="1"/>
  <c r="AE159" i="14" s="1"/>
  <c r="H34" i="17"/>
  <c r="G34" i="17"/>
  <c r="O33" i="17"/>
  <c r="T33" i="17" s="1"/>
  <c r="AH158" i="14" s="1"/>
  <c r="AI158" i="14" s="1"/>
  <c r="P33" i="17"/>
  <c r="Z158" i="14"/>
  <c r="AA158" i="14" s="1"/>
  <c r="H33" i="17"/>
  <c r="G33" i="17"/>
  <c r="L32" i="17"/>
  <c r="U157" i="14"/>
  <c r="J32" i="17"/>
  <c r="S157" i="14"/>
  <c r="K32" i="17"/>
  <c r="T157" i="14"/>
  <c r="H32" i="17"/>
  <c r="G32" i="17"/>
  <c r="O31" i="17"/>
  <c r="S31" i="17"/>
  <c r="AF156" i="14" s="1"/>
  <c r="AG156" i="14" s="1"/>
  <c r="P31" i="17"/>
  <c r="Z156" i="14" s="1"/>
  <c r="AA156" i="14" s="1"/>
  <c r="H31" i="17"/>
  <c r="G31" i="17"/>
  <c r="P30" i="17"/>
  <c r="Z155" i="14"/>
  <c r="AA155" i="14" s="1"/>
  <c r="O30" i="17"/>
  <c r="R30" i="17"/>
  <c r="AD155" i="14" s="1"/>
  <c r="AE155" i="14" s="1"/>
  <c r="H30" i="17"/>
  <c r="G30" i="17"/>
  <c r="AA29" i="17"/>
  <c r="AQ154" i="14"/>
  <c r="K29" i="17"/>
  <c r="P29" i="17" s="1"/>
  <c r="Z154" i="14" s="1"/>
  <c r="AA154" i="14" s="1"/>
  <c r="J29" i="17"/>
  <c r="O29" i="17" s="1"/>
  <c r="H29" i="17"/>
  <c r="G29" i="17"/>
  <c r="AA28" i="17"/>
  <c r="AQ153" i="14"/>
  <c r="P28" i="17"/>
  <c r="Z153" i="14" s="1"/>
  <c r="AA153" i="14" s="1"/>
  <c r="O28" i="17"/>
  <c r="H28" i="17"/>
  <c r="G28" i="17"/>
  <c r="AA27" i="17"/>
  <c r="AQ152" i="14"/>
  <c r="L27" i="17"/>
  <c r="U152" i="14" s="1"/>
  <c r="I27" i="17"/>
  <c r="K27" i="17" s="1"/>
  <c r="T152" i="14" s="1"/>
  <c r="H27" i="17"/>
  <c r="G27" i="17"/>
  <c r="AA26" i="17"/>
  <c r="AQ151" i="14" s="1"/>
  <c r="L26" i="17"/>
  <c r="U151" i="14"/>
  <c r="H26" i="17"/>
  <c r="G26" i="17"/>
  <c r="AA25" i="17"/>
  <c r="AQ150" i="14"/>
  <c r="O25" i="17"/>
  <c r="T25" i="17" s="1"/>
  <c r="AH150" i="14" s="1"/>
  <c r="AI150" i="14" s="1"/>
  <c r="P25" i="17"/>
  <c r="Z150" i="14" s="1"/>
  <c r="AA150" i="14" s="1"/>
  <c r="H25" i="17"/>
  <c r="G25" i="17"/>
  <c r="AA24" i="17"/>
  <c r="AQ149" i="14"/>
  <c r="L24" i="17"/>
  <c r="K24" i="17"/>
  <c r="T149" i="14"/>
  <c r="J24" i="17"/>
  <c r="S149" i="14"/>
  <c r="I24" i="17"/>
  <c r="R149" i="14"/>
  <c r="H24" i="17"/>
  <c r="G24" i="17"/>
  <c r="AA23" i="17"/>
  <c r="AQ148" i="14" s="1"/>
  <c r="I22" i="17"/>
  <c r="R147" i="14" s="1"/>
  <c r="H23" i="17"/>
  <c r="G23" i="17"/>
  <c r="AA22" i="17"/>
  <c r="AQ147" i="14"/>
  <c r="H22" i="17"/>
  <c r="G22" i="17"/>
  <c r="AA21" i="17"/>
  <c r="AQ146" i="14" s="1"/>
  <c r="K21" i="17"/>
  <c r="P21" i="17" s="1"/>
  <c r="Z146" i="14" s="1"/>
  <c r="AA146" i="14" s="1"/>
  <c r="J21" i="17"/>
  <c r="O21" i="17"/>
  <c r="Q21" i="17" s="1"/>
  <c r="AB146" i="14" s="1"/>
  <c r="AC146" i="14" s="1"/>
  <c r="H21" i="17"/>
  <c r="G21" i="17"/>
  <c r="J20" i="17"/>
  <c r="O20" i="17"/>
  <c r="S20" i="17"/>
  <c r="AF145" i="14" s="1"/>
  <c r="AG145" i="14" s="1"/>
  <c r="K20" i="17"/>
  <c r="P20" i="17"/>
  <c r="Z145" i="14" s="1"/>
  <c r="AA145" i="14" s="1"/>
  <c r="H20" i="17"/>
  <c r="G20" i="17"/>
  <c r="AA19" i="17"/>
  <c r="AQ144" i="14"/>
  <c r="K19" i="17"/>
  <c r="P19" i="17" s="1"/>
  <c r="Z144" i="14" s="1"/>
  <c r="AA144" i="14" s="1"/>
  <c r="J19" i="17"/>
  <c r="H19" i="17"/>
  <c r="G19" i="17"/>
  <c r="P167" i="16"/>
  <c r="Z142" i="14"/>
  <c r="AA142" i="14" s="1"/>
  <c r="O167" i="16"/>
  <c r="H167" i="16"/>
  <c r="G167" i="16"/>
  <c r="AA166" i="16"/>
  <c r="AQ141" i="14"/>
  <c r="J166" i="16"/>
  <c r="K166" i="16"/>
  <c r="P166" i="16"/>
  <c r="Z141" i="14" s="1"/>
  <c r="AA141" i="14" s="1"/>
  <c r="H166" i="16"/>
  <c r="G166" i="16"/>
  <c r="AA165" i="16"/>
  <c r="O165" i="16"/>
  <c r="S165" i="16" s="1"/>
  <c r="AF140" i="14" s="1"/>
  <c r="AG140" i="14" s="1"/>
  <c r="P165" i="16"/>
  <c r="Z140" i="14" s="1"/>
  <c r="AA140" i="14" s="1"/>
  <c r="H165" i="16"/>
  <c r="G165" i="16"/>
  <c r="AA164" i="16"/>
  <c r="AQ139" i="14"/>
  <c r="J164" i="16"/>
  <c r="O164" i="16" s="1"/>
  <c r="T164" i="16" s="1"/>
  <c r="AH139" i="14" s="1"/>
  <c r="AI139" i="14" s="1"/>
  <c r="H164" i="16"/>
  <c r="G164" i="16"/>
  <c r="J163" i="16"/>
  <c r="O163" i="16"/>
  <c r="K163" i="16"/>
  <c r="P163" i="16" s="1"/>
  <c r="H163" i="16"/>
  <c r="G163" i="16"/>
  <c r="AA162" i="16"/>
  <c r="AQ137" i="14" s="1"/>
  <c r="P162" i="16"/>
  <c r="Z137" i="14"/>
  <c r="AA137" i="14" s="1"/>
  <c r="O162" i="16"/>
  <c r="H162" i="16"/>
  <c r="G162" i="16"/>
  <c r="AA161" i="16"/>
  <c r="AQ136" i="14"/>
  <c r="O161" i="16"/>
  <c r="P161" i="16"/>
  <c r="H161" i="16"/>
  <c r="G161" i="16"/>
  <c r="Z128" i="14"/>
  <c r="AA128" i="14" s="1"/>
  <c r="AA122" i="16"/>
  <c r="AQ126" i="14" s="1"/>
  <c r="O122" i="16"/>
  <c r="T122" i="16" s="1"/>
  <c r="AH126" i="14" s="1"/>
  <c r="AI126" i="14" s="1"/>
  <c r="P122" i="16"/>
  <c r="Z126" i="14"/>
  <c r="AA126" i="14" s="1"/>
  <c r="H122" i="16"/>
  <c r="G122" i="16"/>
  <c r="AA121" i="16"/>
  <c r="AQ125" i="14"/>
  <c r="P121" i="16"/>
  <c r="Z125" i="14"/>
  <c r="AA125" i="14" s="1"/>
  <c r="O121" i="16"/>
  <c r="X125" i="14"/>
  <c r="Y125" i="14" s="1"/>
  <c r="H121" i="16"/>
  <c r="G121" i="16"/>
  <c r="J120" i="16"/>
  <c r="K120" i="16"/>
  <c r="P120" i="16" s="1"/>
  <c r="H120" i="16"/>
  <c r="G120" i="16"/>
  <c r="O119" i="16"/>
  <c r="P119" i="16"/>
  <c r="Z123" i="14"/>
  <c r="AA123" i="14" s="1"/>
  <c r="H119" i="16"/>
  <c r="G119" i="16"/>
  <c r="K118" i="16"/>
  <c r="P118" i="16"/>
  <c r="Z122" i="14"/>
  <c r="AA122" i="14" s="1"/>
  <c r="J118" i="16"/>
  <c r="O118" i="16"/>
  <c r="H118" i="16"/>
  <c r="G118" i="16"/>
  <c r="AA117" i="16"/>
  <c r="AQ121" i="14" s="1"/>
  <c r="P117" i="16"/>
  <c r="Z121" i="14"/>
  <c r="AA121" i="14" s="1"/>
  <c r="O117" i="16"/>
  <c r="T117" i="16"/>
  <c r="AH121" i="14"/>
  <c r="AI121" i="14" s="1"/>
  <c r="H117" i="16"/>
  <c r="G117" i="16"/>
  <c r="AA116" i="16"/>
  <c r="AQ120" i="14"/>
  <c r="Z120" i="14"/>
  <c r="AA120" i="14" s="1"/>
  <c r="S120" i="14"/>
  <c r="H116" i="16"/>
  <c r="G116" i="16"/>
  <c r="AA104" i="16"/>
  <c r="AQ119" i="14"/>
  <c r="O104" i="16"/>
  <c r="X119" i="14"/>
  <c r="Y119" i="14" s="1"/>
  <c r="P104" i="16"/>
  <c r="Z119" i="14" s="1"/>
  <c r="AA119" i="14" s="1"/>
  <c r="H104" i="16"/>
  <c r="G104" i="16"/>
  <c r="AA103" i="16"/>
  <c r="AQ118" i="14"/>
  <c r="O103" i="16"/>
  <c r="S103" i="16"/>
  <c r="AF118" i="14"/>
  <c r="AG118" i="14" s="1"/>
  <c r="K103" i="16"/>
  <c r="H103" i="16"/>
  <c r="G103" i="16"/>
  <c r="AA102" i="16"/>
  <c r="AQ117" i="14"/>
  <c r="P102" i="16"/>
  <c r="Z117" i="14"/>
  <c r="AA117" i="14" s="1"/>
  <c r="O102" i="16"/>
  <c r="X117" i="14" s="1"/>
  <c r="Y117" i="14" s="1"/>
  <c r="H102" i="16"/>
  <c r="G102" i="16"/>
  <c r="AA101" i="16"/>
  <c r="AQ116" i="14"/>
  <c r="P101" i="16"/>
  <c r="Z116" i="14"/>
  <c r="AA116" i="14" s="1"/>
  <c r="J101" i="16"/>
  <c r="O101" i="16" s="1"/>
  <c r="O105" i="16" s="1"/>
  <c r="H101" i="16"/>
  <c r="G101" i="16"/>
  <c r="AQ115" i="14"/>
  <c r="AJ115" i="14"/>
  <c r="AK115" i="14" s="1"/>
  <c r="Z115" i="14"/>
  <c r="AA115" i="14" s="1"/>
  <c r="H88" i="16"/>
  <c r="G88" i="16"/>
  <c r="P87" i="16"/>
  <c r="Z113" i="14"/>
  <c r="AA113" i="14" s="1"/>
  <c r="O87" i="16"/>
  <c r="H87" i="16"/>
  <c r="G87" i="16"/>
  <c r="AA86" i="16"/>
  <c r="AQ112" i="14" s="1"/>
  <c r="P86" i="16"/>
  <c r="Z112" i="14" s="1"/>
  <c r="AA112" i="14" s="1"/>
  <c r="O86" i="16"/>
  <c r="S86" i="16"/>
  <c r="AF112" i="14" s="1"/>
  <c r="AG112" i="14" s="1"/>
  <c r="H86" i="16"/>
  <c r="G86" i="16"/>
  <c r="AA85" i="16"/>
  <c r="AQ111" i="14" s="1"/>
  <c r="O85" i="16"/>
  <c r="Q85" i="16" s="1"/>
  <c r="AB111" i="14" s="1"/>
  <c r="AC111" i="14" s="1"/>
  <c r="H85" i="16"/>
  <c r="G85" i="16"/>
  <c r="AA84" i="16"/>
  <c r="AQ110" i="14" s="1"/>
  <c r="H84" i="16"/>
  <c r="G84" i="16"/>
  <c r="AA83" i="16"/>
  <c r="AQ109" i="14"/>
  <c r="L83" i="16"/>
  <c r="U109" i="14"/>
  <c r="K83" i="16"/>
  <c r="T109" i="14" s="1"/>
  <c r="J83" i="16"/>
  <c r="S109" i="14"/>
  <c r="H83" i="16"/>
  <c r="G83" i="16"/>
  <c r="H82" i="16"/>
  <c r="G82" i="16"/>
  <c r="K70" i="16"/>
  <c r="P70" i="16" s="1"/>
  <c r="Z107" i="14" s="1"/>
  <c r="AA107" i="14" s="1"/>
  <c r="J70" i="16"/>
  <c r="O70" i="16" s="1"/>
  <c r="U70" i="16" s="1"/>
  <c r="AJ107" i="14" s="1"/>
  <c r="AK107" i="14" s="1"/>
  <c r="H70" i="16"/>
  <c r="G70" i="16"/>
  <c r="AA69" i="16"/>
  <c r="AQ106" i="14"/>
  <c r="O69" i="16"/>
  <c r="P69" i="16"/>
  <c r="Z106" i="14" s="1"/>
  <c r="AA106" i="14" s="1"/>
  <c r="H69" i="16"/>
  <c r="G69" i="16"/>
  <c r="O68" i="16"/>
  <c r="S68" i="16"/>
  <c r="AF105" i="14" s="1"/>
  <c r="AG105" i="14" s="1"/>
  <c r="P68" i="16"/>
  <c r="Z105" i="14"/>
  <c r="AA105" i="14" s="1"/>
  <c r="H68" i="16"/>
  <c r="G68" i="16"/>
  <c r="AA67" i="16"/>
  <c r="AQ104" i="14" s="1"/>
  <c r="L67" i="16"/>
  <c r="U104" i="14" s="1"/>
  <c r="I67" i="16"/>
  <c r="K67" i="16"/>
  <c r="T104" i="14" s="1"/>
  <c r="H67" i="16"/>
  <c r="G67" i="16"/>
  <c r="O66" i="16"/>
  <c r="R66" i="16" s="1"/>
  <c r="P66" i="16"/>
  <c r="Z103" i="14"/>
  <c r="AA103" i="14" s="1"/>
  <c r="H66" i="16"/>
  <c r="G66" i="16"/>
  <c r="AA65" i="16"/>
  <c r="AQ102" i="14"/>
  <c r="K65" i="16"/>
  <c r="P65" i="16"/>
  <c r="Z102" i="14" s="1"/>
  <c r="AA102" i="14" s="1"/>
  <c r="J65" i="16"/>
  <c r="H65" i="16"/>
  <c r="G65" i="16"/>
  <c r="AA64" i="16"/>
  <c r="AQ101" i="14" s="1"/>
  <c r="P64" i="16"/>
  <c r="J64" i="16"/>
  <c r="H64" i="16"/>
  <c r="G64" i="16"/>
  <c r="K51" i="16"/>
  <c r="P51" i="16"/>
  <c r="Z99" i="14"/>
  <c r="AA99" i="14" s="1"/>
  <c r="J51" i="16"/>
  <c r="O51" i="16"/>
  <c r="H51" i="16"/>
  <c r="G51" i="16"/>
  <c r="P50" i="16"/>
  <c r="Z98" i="14"/>
  <c r="AA98" i="14" s="1"/>
  <c r="O50" i="16"/>
  <c r="X98" i="14"/>
  <c r="Y98" i="14" s="1"/>
  <c r="H50" i="16"/>
  <c r="G50" i="16"/>
  <c r="O49" i="16"/>
  <c r="Q49" i="16"/>
  <c r="AB97" i="14" s="1"/>
  <c r="AC97" i="14" s="1"/>
  <c r="P49" i="16"/>
  <c r="Z97" i="14"/>
  <c r="AA97" i="14" s="1"/>
  <c r="H49" i="16"/>
  <c r="G49" i="16"/>
  <c r="AA48" i="16"/>
  <c r="AQ96" i="14" s="1"/>
  <c r="L48" i="16"/>
  <c r="U96" i="14" s="1"/>
  <c r="I48" i="16"/>
  <c r="R96" i="14"/>
  <c r="H48" i="16"/>
  <c r="G48" i="16"/>
  <c r="AA47" i="16"/>
  <c r="AQ95" i="14" s="1"/>
  <c r="I47" i="16"/>
  <c r="H47" i="16"/>
  <c r="G47" i="16"/>
  <c r="AA46" i="16"/>
  <c r="AQ94" i="14"/>
  <c r="K46" i="16"/>
  <c r="P46" i="16"/>
  <c r="Z94" i="14" s="1"/>
  <c r="AA94" i="14" s="1"/>
  <c r="J46" i="16"/>
  <c r="O46" i="16" s="1"/>
  <c r="T46" i="16" s="1"/>
  <c r="AH94" i="14"/>
  <c r="AI94" i="14" s="1"/>
  <c r="H46" i="16"/>
  <c r="G46" i="16"/>
  <c r="AA45" i="16"/>
  <c r="AQ93" i="14" s="1"/>
  <c r="J45" i="16"/>
  <c r="O45" i="16" s="1"/>
  <c r="K45" i="16"/>
  <c r="P45" i="16"/>
  <c r="H45" i="16"/>
  <c r="G45" i="16"/>
  <c r="K32" i="16"/>
  <c r="P32" i="16" s="1"/>
  <c r="Z91" i="14" s="1"/>
  <c r="AA91" i="14" s="1"/>
  <c r="J32" i="16"/>
  <c r="O32" i="16"/>
  <c r="T32" i="16"/>
  <c r="AH91" i="14" s="1"/>
  <c r="AI91" i="14" s="1"/>
  <c r="H32" i="16"/>
  <c r="G32" i="16"/>
  <c r="K31" i="16"/>
  <c r="P31" i="16"/>
  <c r="Z90" i="14" s="1"/>
  <c r="AA90" i="14" s="1"/>
  <c r="J31" i="16"/>
  <c r="O31" i="16"/>
  <c r="H31" i="16"/>
  <c r="G31" i="16"/>
  <c r="K30" i="16"/>
  <c r="P30" i="16" s="1"/>
  <c r="Z89" i="14" s="1"/>
  <c r="AA89" i="14" s="1"/>
  <c r="J30" i="16"/>
  <c r="O30" i="16"/>
  <c r="H30" i="16"/>
  <c r="G30" i="16"/>
  <c r="AA29" i="16"/>
  <c r="AQ88" i="14"/>
  <c r="K29" i="16"/>
  <c r="T88" i="14"/>
  <c r="J29" i="16"/>
  <c r="O29" i="16"/>
  <c r="U29" i="16"/>
  <c r="AJ88" i="14"/>
  <c r="AK88" i="14" s="1"/>
  <c r="H29" i="16"/>
  <c r="G29" i="16"/>
  <c r="AA28" i="16"/>
  <c r="AQ87" i="14"/>
  <c r="J28" i="16"/>
  <c r="K28" i="16"/>
  <c r="H28" i="16"/>
  <c r="G28" i="16"/>
  <c r="AA27" i="16"/>
  <c r="AQ86" i="14"/>
  <c r="I27" i="16"/>
  <c r="J27" i="16"/>
  <c r="L27" i="16"/>
  <c r="U86" i="14"/>
  <c r="H27" i="16"/>
  <c r="G27" i="16"/>
  <c r="AA26" i="16"/>
  <c r="AQ85" i="14"/>
  <c r="L26" i="16"/>
  <c r="P26" i="16"/>
  <c r="Z85" i="14" s="1"/>
  <c r="AA85" i="14" s="1"/>
  <c r="H26" i="16"/>
  <c r="G26" i="16"/>
  <c r="AA25" i="16"/>
  <c r="AQ84" i="14"/>
  <c r="O25" i="16"/>
  <c r="T25" i="16" s="1"/>
  <c r="AH84" i="14" s="1"/>
  <c r="AI84" i="14" s="1"/>
  <c r="P25" i="16"/>
  <c r="Z84" i="14"/>
  <c r="AA84" i="14" s="1"/>
  <c r="H25" i="16"/>
  <c r="G25" i="16"/>
  <c r="AA24" i="16"/>
  <c r="AQ83" i="14" s="1"/>
  <c r="L24" i="16"/>
  <c r="U83" i="14"/>
  <c r="K24" i="16"/>
  <c r="J24" i="16"/>
  <c r="S83" i="14"/>
  <c r="I24" i="16"/>
  <c r="R83" i="14"/>
  <c r="H24" i="16"/>
  <c r="G24" i="16"/>
  <c r="AA23" i="16"/>
  <c r="AQ82" i="14" s="1"/>
  <c r="H23" i="16"/>
  <c r="G23" i="16"/>
  <c r="AA22" i="16"/>
  <c r="AQ81" i="14"/>
  <c r="I22" i="16"/>
  <c r="K22" i="16" s="1"/>
  <c r="P22" i="16" s="1"/>
  <c r="Z81" i="14" s="1"/>
  <c r="AA81" i="14" s="1"/>
  <c r="H22" i="16"/>
  <c r="G22" i="16"/>
  <c r="AA21" i="16"/>
  <c r="AQ80" i="14"/>
  <c r="K21" i="16"/>
  <c r="P21" i="16" s="1"/>
  <c r="Z80" i="14" s="1"/>
  <c r="AA80" i="14" s="1"/>
  <c r="J21" i="16"/>
  <c r="O21" i="16"/>
  <c r="H21" i="16"/>
  <c r="G21" i="16"/>
  <c r="J20" i="16"/>
  <c r="O20" i="16" s="1"/>
  <c r="K20" i="16"/>
  <c r="P20" i="16"/>
  <c r="Z79" i="14"/>
  <c r="AA79" i="14" s="1"/>
  <c r="H20" i="16"/>
  <c r="G20" i="16"/>
  <c r="AA19" i="16"/>
  <c r="AQ78" i="14" s="1"/>
  <c r="K19" i="16"/>
  <c r="P19" i="16" s="1"/>
  <c r="J19" i="16"/>
  <c r="O19" i="16"/>
  <c r="H19" i="16"/>
  <c r="G19" i="16"/>
  <c r="P194" i="15"/>
  <c r="Z76" i="14" s="1"/>
  <c r="AA76" i="14" s="1"/>
  <c r="O194" i="15"/>
  <c r="AA193" i="15"/>
  <c r="AQ75" i="14"/>
  <c r="K193" i="15"/>
  <c r="J193" i="15"/>
  <c r="S75" i="14" s="1"/>
  <c r="AA192" i="15"/>
  <c r="AQ74" i="14" s="1"/>
  <c r="O192" i="15"/>
  <c r="P192" i="15"/>
  <c r="Z74" i="14"/>
  <c r="AA74" i="14" s="1"/>
  <c r="H192" i="15"/>
  <c r="G192" i="15"/>
  <c r="AA191" i="15"/>
  <c r="AQ73" i="14" s="1"/>
  <c r="H191" i="15"/>
  <c r="G191" i="15"/>
  <c r="K190" i="15"/>
  <c r="J190" i="15"/>
  <c r="H190" i="15"/>
  <c r="G190" i="15"/>
  <c r="AA189" i="15"/>
  <c r="AQ71" i="14" s="1"/>
  <c r="O189" i="15"/>
  <c r="Q189" i="15"/>
  <c r="AB71" i="14"/>
  <c r="AC71" i="14" s="1"/>
  <c r="P189" i="15"/>
  <c r="Z71" i="14" s="1"/>
  <c r="AA71" i="14" s="1"/>
  <c r="H189" i="15"/>
  <c r="G189" i="15"/>
  <c r="AA188" i="15"/>
  <c r="AQ70" i="14"/>
  <c r="O188" i="15"/>
  <c r="K188" i="15"/>
  <c r="H188" i="15"/>
  <c r="G188" i="15"/>
  <c r="AA136" i="15"/>
  <c r="P136" i="15"/>
  <c r="Z57" i="14" s="1"/>
  <c r="AA57" i="14" s="1"/>
  <c r="O136" i="15"/>
  <c r="H136" i="15"/>
  <c r="G136" i="15"/>
  <c r="K135" i="15"/>
  <c r="P135" i="15" s="1"/>
  <c r="Z56" i="14" s="1"/>
  <c r="AA56" i="14" s="1"/>
  <c r="J135" i="15"/>
  <c r="O135" i="15" s="1"/>
  <c r="H135" i="15"/>
  <c r="G135" i="15"/>
  <c r="K134" i="15"/>
  <c r="P134" i="15"/>
  <c r="J134" i="15"/>
  <c r="S55" i="14" s="1"/>
  <c r="O134" i="15"/>
  <c r="H134" i="15"/>
  <c r="G134" i="15"/>
  <c r="AA133" i="15"/>
  <c r="AQ54" i="14" s="1"/>
  <c r="H133" i="15"/>
  <c r="G133" i="15"/>
  <c r="AA132" i="15"/>
  <c r="AQ53" i="14"/>
  <c r="P132" i="15"/>
  <c r="J132" i="15"/>
  <c r="O132" i="15"/>
  <c r="H132" i="15"/>
  <c r="G132" i="15"/>
  <c r="O120" i="15"/>
  <c r="H120" i="15"/>
  <c r="G120" i="15"/>
  <c r="AA119" i="15"/>
  <c r="AQ51" i="14" s="1"/>
  <c r="O119" i="15"/>
  <c r="P119" i="15"/>
  <c r="Z51" i="14"/>
  <c r="AA51" i="14" s="1"/>
  <c r="H119" i="15"/>
  <c r="G119" i="15"/>
  <c r="P118" i="15"/>
  <c r="O118" i="15"/>
  <c r="H118" i="15"/>
  <c r="G118" i="15"/>
  <c r="AA106" i="15"/>
  <c r="AQ49" i="14"/>
  <c r="O106" i="15"/>
  <c r="S106" i="15" s="1"/>
  <c r="AF49" i="14"/>
  <c r="AG49" i="14" s="1"/>
  <c r="P106" i="15"/>
  <c r="Z49" i="14" s="1"/>
  <c r="AA49" i="14" s="1"/>
  <c r="H106" i="15"/>
  <c r="G106" i="15"/>
  <c r="AA105" i="15"/>
  <c r="AQ48" i="14"/>
  <c r="P105" i="15"/>
  <c r="Z48" i="14" s="1"/>
  <c r="AA48" i="14" s="1"/>
  <c r="O105" i="15"/>
  <c r="S105" i="15" s="1"/>
  <c r="AF48" i="14" s="1"/>
  <c r="AG48" i="14" s="1"/>
  <c r="H105" i="15"/>
  <c r="G105" i="15"/>
  <c r="AA104" i="15"/>
  <c r="AQ47" i="14"/>
  <c r="P104" i="15"/>
  <c r="Z47" i="14"/>
  <c r="AA47" i="14" s="1"/>
  <c r="O104" i="15"/>
  <c r="S104" i="15"/>
  <c r="AF47" i="14" s="1"/>
  <c r="AG47" i="14" s="1"/>
  <c r="H104" i="15"/>
  <c r="G104" i="15"/>
  <c r="AA103" i="15"/>
  <c r="AQ46" i="14"/>
  <c r="J103" i="15"/>
  <c r="O103" i="15" s="1"/>
  <c r="K103" i="15"/>
  <c r="H103" i="15"/>
  <c r="G103" i="15"/>
  <c r="AA91" i="15"/>
  <c r="AQ45" i="14" s="1"/>
  <c r="P91" i="15"/>
  <c r="Z45" i="14"/>
  <c r="AA45" i="14" s="1"/>
  <c r="O91" i="15"/>
  <c r="R91" i="15"/>
  <c r="AD45" i="14" s="1"/>
  <c r="AE45" i="14" s="1"/>
  <c r="H91" i="15"/>
  <c r="G91" i="15"/>
  <c r="H90" i="15"/>
  <c r="G90" i="15"/>
  <c r="P89" i="15"/>
  <c r="Z43" i="14" s="1"/>
  <c r="AA43" i="14" s="1"/>
  <c r="O89" i="15"/>
  <c r="T89" i="15" s="1"/>
  <c r="AH43" i="14" s="1"/>
  <c r="AI43" i="14" s="1"/>
  <c r="H89" i="15"/>
  <c r="G89" i="15"/>
  <c r="AA88" i="15"/>
  <c r="AQ42" i="14"/>
  <c r="O88" i="15"/>
  <c r="X42" i="14"/>
  <c r="Y42" i="14" s="1"/>
  <c r="P88" i="15"/>
  <c r="Z42" i="14"/>
  <c r="AA42" i="14" s="1"/>
  <c r="H88" i="15"/>
  <c r="G88" i="15"/>
  <c r="AA87" i="15"/>
  <c r="AQ41" i="14"/>
  <c r="H87" i="15"/>
  <c r="G87" i="15"/>
  <c r="AA86" i="15"/>
  <c r="AQ40" i="14"/>
  <c r="P86" i="15"/>
  <c r="Z40" i="14"/>
  <c r="AA40" i="14" s="1"/>
  <c r="H86" i="15"/>
  <c r="G86" i="15"/>
  <c r="AA85" i="15"/>
  <c r="AQ39" i="14"/>
  <c r="L85" i="15"/>
  <c r="U39" i="14"/>
  <c r="H85" i="15"/>
  <c r="G85" i="15"/>
  <c r="P84" i="15"/>
  <c r="H84" i="15"/>
  <c r="G84" i="15"/>
  <c r="K72" i="15"/>
  <c r="P72" i="15"/>
  <c r="Z37" i="14"/>
  <c r="AA37" i="14" s="1"/>
  <c r="J72" i="15"/>
  <c r="O72" i="15" s="1"/>
  <c r="H72" i="15"/>
  <c r="G72" i="15"/>
  <c r="AA71" i="15"/>
  <c r="AQ36" i="14" s="1"/>
  <c r="P71" i="15"/>
  <c r="Z36" i="14"/>
  <c r="AA36" i="14" s="1"/>
  <c r="O71" i="15"/>
  <c r="S71" i="15"/>
  <c r="AF36" i="14" s="1"/>
  <c r="AG36" i="14" s="1"/>
  <c r="H71" i="15"/>
  <c r="G71" i="15"/>
  <c r="K70" i="15"/>
  <c r="P70" i="15"/>
  <c r="Z35" i="14"/>
  <c r="AA35" i="14" s="1"/>
  <c r="J70" i="15"/>
  <c r="O70" i="15"/>
  <c r="H70" i="15"/>
  <c r="G70" i="15"/>
  <c r="AA69" i="15"/>
  <c r="AQ34" i="14" s="1"/>
  <c r="L69" i="15"/>
  <c r="U34" i="14"/>
  <c r="I69" i="15"/>
  <c r="K69" i="15" s="1"/>
  <c r="H69" i="15"/>
  <c r="G69" i="15"/>
  <c r="P68" i="15"/>
  <c r="Z33" i="14" s="1"/>
  <c r="AA33" i="14" s="1"/>
  <c r="O68" i="15"/>
  <c r="S68" i="15"/>
  <c r="AF33" i="14" s="1"/>
  <c r="AG33" i="14" s="1"/>
  <c r="H68" i="15"/>
  <c r="G68" i="15"/>
  <c r="AA67" i="15"/>
  <c r="AQ32" i="14" s="1"/>
  <c r="K67" i="15"/>
  <c r="P67" i="15" s="1"/>
  <c r="Z32" i="14" s="1"/>
  <c r="AA32" i="14" s="1"/>
  <c r="J67" i="15"/>
  <c r="O67" i="15"/>
  <c r="H67" i="15"/>
  <c r="G67" i="15"/>
  <c r="AA66" i="15"/>
  <c r="AQ31" i="14"/>
  <c r="K66" i="15"/>
  <c r="P66" i="15"/>
  <c r="J66" i="15"/>
  <c r="O66" i="15"/>
  <c r="H66" i="15"/>
  <c r="G66" i="15"/>
  <c r="K52" i="15"/>
  <c r="P52" i="15"/>
  <c r="Z29" i="14" s="1"/>
  <c r="AA29" i="14" s="1"/>
  <c r="J52" i="15"/>
  <c r="O52" i="15"/>
  <c r="U52" i="15" s="1"/>
  <c r="AJ29" i="14"/>
  <c r="AK29" i="14" s="1"/>
  <c r="H52" i="15"/>
  <c r="G52" i="15"/>
  <c r="P51" i="15"/>
  <c r="Z28" i="14" s="1"/>
  <c r="AA28" i="14" s="1"/>
  <c r="O51" i="15"/>
  <c r="S51" i="15"/>
  <c r="AF28" i="14"/>
  <c r="AG28" i="14" s="1"/>
  <c r="H51" i="15"/>
  <c r="G51" i="15"/>
  <c r="P50" i="15"/>
  <c r="Z27" i="14"/>
  <c r="AA27" i="14" s="1"/>
  <c r="O50" i="15"/>
  <c r="T50" i="15"/>
  <c r="AH27" i="14"/>
  <c r="AI27" i="14" s="1"/>
  <c r="H50" i="15"/>
  <c r="G50" i="15"/>
  <c r="AA49" i="15"/>
  <c r="AQ26" i="14" s="1"/>
  <c r="L49" i="15"/>
  <c r="U26" i="14" s="1"/>
  <c r="I49" i="15"/>
  <c r="K49" i="15"/>
  <c r="H49" i="15"/>
  <c r="G49" i="15"/>
  <c r="AA48" i="15"/>
  <c r="AQ25" i="14" s="1"/>
  <c r="I48" i="15"/>
  <c r="K48" i="15" s="1"/>
  <c r="P48" i="15" s="1"/>
  <c r="Z25" i="14"/>
  <c r="AA25" i="14" s="1"/>
  <c r="H48" i="15"/>
  <c r="G48" i="15"/>
  <c r="AA47" i="15"/>
  <c r="AQ24" i="14" s="1"/>
  <c r="J47" i="15"/>
  <c r="O47" i="15" s="1"/>
  <c r="S47" i="15" s="1"/>
  <c r="AF24" i="14" s="1"/>
  <c r="AG24" i="14" s="1"/>
  <c r="K47" i="15"/>
  <c r="P47" i="15" s="1"/>
  <c r="Z24" i="14" s="1"/>
  <c r="AA24" i="14" s="1"/>
  <c r="H47" i="15"/>
  <c r="G47" i="15"/>
  <c r="AA46" i="15"/>
  <c r="AQ23" i="14"/>
  <c r="J46" i="15"/>
  <c r="O46" i="15"/>
  <c r="K46" i="15"/>
  <c r="P46" i="15"/>
  <c r="H46" i="15"/>
  <c r="G46" i="15"/>
  <c r="K32" i="15"/>
  <c r="P32" i="15"/>
  <c r="Z21" i="14"/>
  <c r="AA21" i="14" s="1"/>
  <c r="J32" i="15"/>
  <c r="O32" i="15" s="1"/>
  <c r="H32" i="15"/>
  <c r="G32" i="15"/>
  <c r="J31" i="15"/>
  <c r="O31" i="15" s="1"/>
  <c r="K31" i="15"/>
  <c r="P31" i="15" s="1"/>
  <c r="Z20" i="14" s="1"/>
  <c r="AA20" i="14" s="1"/>
  <c r="H31" i="15"/>
  <c r="G31" i="15"/>
  <c r="K30" i="15"/>
  <c r="P30" i="15"/>
  <c r="Z19" i="14"/>
  <c r="AA19" i="14" s="1"/>
  <c r="J30" i="15"/>
  <c r="O30" i="15" s="1"/>
  <c r="Q30" i="15" s="1"/>
  <c r="AB19" i="14" s="1"/>
  <c r="AC19" i="14" s="1"/>
  <c r="H30" i="15"/>
  <c r="G30" i="15"/>
  <c r="AA29" i="15"/>
  <c r="AQ18" i="14"/>
  <c r="K29" i="15"/>
  <c r="P29" i="15"/>
  <c r="Z18" i="14" s="1"/>
  <c r="AA18" i="14" s="1"/>
  <c r="J29" i="15"/>
  <c r="O29" i="15"/>
  <c r="H29" i="15"/>
  <c r="G29" i="15"/>
  <c r="AA28" i="15"/>
  <c r="AQ17" i="14" s="1"/>
  <c r="K28" i="15"/>
  <c r="P28" i="15" s="1"/>
  <c r="Z17" i="14" s="1"/>
  <c r="AA17" i="14" s="1"/>
  <c r="J28" i="15"/>
  <c r="O28" i="15" s="1"/>
  <c r="Q28" i="15" s="1"/>
  <c r="AB17" i="14" s="1"/>
  <c r="AC17" i="14" s="1"/>
  <c r="H28" i="15"/>
  <c r="G28" i="15"/>
  <c r="AA27" i="15"/>
  <c r="AQ16" i="14" s="1"/>
  <c r="L27" i="15"/>
  <c r="U16" i="14" s="1"/>
  <c r="I27" i="15"/>
  <c r="R16" i="14"/>
  <c r="H27" i="15"/>
  <c r="G27" i="15"/>
  <c r="AA26" i="15"/>
  <c r="AQ15" i="14" s="1"/>
  <c r="L26" i="15"/>
  <c r="U15" i="14" s="1"/>
  <c r="H26" i="15"/>
  <c r="G26" i="15"/>
  <c r="AA25" i="15"/>
  <c r="AQ14" i="14" s="1"/>
  <c r="J25" i="15"/>
  <c r="O25" i="15" s="1"/>
  <c r="S25" i="15" s="1"/>
  <c r="AF14" i="14" s="1"/>
  <c r="AG14" i="14" s="1"/>
  <c r="K25" i="15"/>
  <c r="K26" i="15"/>
  <c r="T15" i="14"/>
  <c r="H25" i="15"/>
  <c r="G25" i="15"/>
  <c r="AA24" i="15"/>
  <c r="AQ13" i="14"/>
  <c r="L24" i="15"/>
  <c r="U13" i="14"/>
  <c r="I24" i="15"/>
  <c r="J24" i="15" s="1"/>
  <c r="K24" i="15"/>
  <c r="H24" i="15"/>
  <c r="G24" i="15"/>
  <c r="AA23" i="15"/>
  <c r="AQ12" i="14"/>
  <c r="I23" i="15"/>
  <c r="K23" i="15"/>
  <c r="H23" i="15"/>
  <c r="G23" i="15"/>
  <c r="AA22" i="15"/>
  <c r="AQ11" i="14" s="1"/>
  <c r="J22" i="15"/>
  <c r="K22" i="15"/>
  <c r="P22" i="15" s="1"/>
  <c r="Z11" i="14" s="1"/>
  <c r="AA11" i="14" s="1"/>
  <c r="H22" i="15"/>
  <c r="G22" i="15"/>
  <c r="AA21" i="15"/>
  <c r="AQ10" i="14"/>
  <c r="K21" i="15"/>
  <c r="P21" i="15"/>
  <c r="Z10" i="14" s="1"/>
  <c r="AA10" i="14" s="1"/>
  <c r="J21" i="15"/>
  <c r="O21" i="15"/>
  <c r="H21" i="15"/>
  <c r="G21" i="15"/>
  <c r="K20" i="15"/>
  <c r="J20" i="15"/>
  <c r="O20" i="15"/>
  <c r="R20" i="15" s="1"/>
  <c r="AD9" i="14" s="1"/>
  <c r="AE9" i="14" s="1"/>
  <c r="H20" i="15"/>
  <c r="G20" i="15"/>
  <c r="AA19" i="15"/>
  <c r="AQ8" i="14"/>
  <c r="K19" i="15"/>
  <c r="P19" i="15"/>
  <c r="J19" i="15"/>
  <c r="O19" i="15"/>
  <c r="H19" i="15"/>
  <c r="G19" i="15"/>
  <c r="I5" i="15"/>
  <c r="AR284" i="14"/>
  <c r="W284" i="14"/>
  <c r="V284" i="14"/>
  <c r="U284" i="14"/>
  <c r="G284" i="14"/>
  <c r="E578" i="55" s="1"/>
  <c r="F284" i="14"/>
  <c r="D578" i="55" s="1"/>
  <c r="E284" i="14"/>
  <c r="C578" i="55" s="1"/>
  <c r="C284" i="14"/>
  <c r="F578" i="55" s="1"/>
  <c r="AR283" i="14"/>
  <c r="W283" i="14"/>
  <c r="V283" i="14"/>
  <c r="U283" i="14"/>
  <c r="G283" i="14"/>
  <c r="E574" i="55" s="1"/>
  <c r="F283" i="14"/>
  <c r="D574" i="55" s="1"/>
  <c r="E283" i="14"/>
  <c r="C574" i="55" s="1"/>
  <c r="C283" i="14"/>
  <c r="F574" i="55" s="1"/>
  <c r="AR282" i="14"/>
  <c r="AN282" i="14"/>
  <c r="AS282" i="14" s="1"/>
  <c r="AL282" i="14"/>
  <c r="W282" i="14"/>
  <c r="V282" i="14"/>
  <c r="U282" i="14"/>
  <c r="S282" i="14"/>
  <c r="R282" i="14"/>
  <c r="G282" i="14"/>
  <c r="E571" i="55" s="1"/>
  <c r="F282" i="14"/>
  <c r="D571" i="55" s="1"/>
  <c r="E282" i="14"/>
  <c r="C571" i="55" s="1"/>
  <c r="C282" i="14"/>
  <c r="F571" i="55" s="1"/>
  <c r="AR281" i="14"/>
  <c r="AN281" i="14"/>
  <c r="AS281" i="14" s="1"/>
  <c r="AL281" i="14"/>
  <c r="W281" i="14"/>
  <c r="V281" i="14"/>
  <c r="U281" i="14"/>
  <c r="S281" i="14"/>
  <c r="R281" i="14"/>
  <c r="G281" i="14"/>
  <c r="E569" i="55" s="1"/>
  <c r="F281" i="14"/>
  <c r="D569" i="55" s="1"/>
  <c r="E281" i="14"/>
  <c r="C569" i="55" s="1"/>
  <c r="C281" i="14"/>
  <c r="F569" i="55" s="1"/>
  <c r="AR280" i="14"/>
  <c r="AO280" i="14"/>
  <c r="AS280" i="14" s="1"/>
  <c r="AL280" i="14"/>
  <c r="W280" i="14"/>
  <c r="V280" i="14"/>
  <c r="U280" i="14"/>
  <c r="S280" i="14"/>
  <c r="R280" i="14"/>
  <c r="G280" i="14"/>
  <c r="E566" i="55" s="1"/>
  <c r="F280" i="14"/>
  <c r="D566" i="55" s="1"/>
  <c r="E280" i="14"/>
  <c r="C566" i="55" s="1"/>
  <c r="C280" i="14"/>
  <c r="F566" i="55" s="1"/>
  <c r="AR279" i="14"/>
  <c r="AL279" i="14"/>
  <c r="W279" i="14"/>
  <c r="V279" i="14"/>
  <c r="U279" i="14"/>
  <c r="G279" i="14"/>
  <c r="E563" i="55" s="1"/>
  <c r="F279" i="14"/>
  <c r="D563" i="55" s="1"/>
  <c r="E279" i="14"/>
  <c r="C563" i="55" s="1"/>
  <c r="C279" i="14"/>
  <c r="F563" i="55" s="1"/>
  <c r="AR278" i="14"/>
  <c r="AN278" i="14"/>
  <c r="AS278" i="14" s="1"/>
  <c r="AL278" i="14"/>
  <c r="W278" i="14"/>
  <c r="V278" i="14"/>
  <c r="U278" i="14"/>
  <c r="S278" i="14"/>
  <c r="G278" i="14"/>
  <c r="E560" i="55" s="1"/>
  <c r="F278" i="14"/>
  <c r="D560" i="55" s="1"/>
  <c r="E278" i="14"/>
  <c r="C560" i="55" s="1"/>
  <c r="C278" i="14"/>
  <c r="F560" i="55" s="1"/>
  <c r="AR277" i="14"/>
  <c r="AL277" i="14"/>
  <c r="AJ277" i="14"/>
  <c r="AK277" i="14" s="1"/>
  <c r="AH277" i="14"/>
  <c r="AI277" i="14" s="1"/>
  <c r="AF277" i="14"/>
  <c r="AG277" i="14" s="1"/>
  <c r="AD277" i="14"/>
  <c r="AE277" i="14" s="1"/>
  <c r="W277" i="14"/>
  <c r="V277" i="14"/>
  <c r="U277" i="14"/>
  <c r="G277" i="14"/>
  <c r="F277" i="14"/>
  <c r="E277" i="14"/>
  <c r="C277" i="14"/>
  <c r="AR276" i="14"/>
  <c r="AO276" i="14"/>
  <c r="AS276" i="14" s="1"/>
  <c r="AL276" i="14"/>
  <c r="W276" i="14"/>
  <c r="V276" i="14"/>
  <c r="U276" i="14"/>
  <c r="G276" i="14"/>
  <c r="F276" i="14"/>
  <c r="E276" i="14"/>
  <c r="C276" i="14"/>
  <c r="AS275" i="14"/>
  <c r="AR275" i="14"/>
  <c r="AL275" i="14"/>
  <c r="AJ275" i="14"/>
  <c r="AK275" i="14" s="1"/>
  <c r="AH275" i="14"/>
  <c r="AI275" i="14" s="1"/>
  <c r="AF275" i="14"/>
  <c r="AG275" i="14" s="1"/>
  <c r="AD275" i="14"/>
  <c r="AE275" i="14" s="1"/>
  <c r="W275" i="14"/>
  <c r="V275" i="14"/>
  <c r="U275" i="14"/>
  <c r="R275" i="14"/>
  <c r="G275" i="14"/>
  <c r="F275" i="14"/>
  <c r="E275" i="14"/>
  <c r="C275" i="14"/>
  <c r="AR274" i="14"/>
  <c r="AO274" i="14"/>
  <c r="AS274" i="14" s="1"/>
  <c r="AL274" i="14"/>
  <c r="W274" i="14"/>
  <c r="V274" i="14"/>
  <c r="U274" i="14"/>
  <c r="S274" i="14"/>
  <c r="R274" i="14"/>
  <c r="G274" i="14"/>
  <c r="F274" i="14"/>
  <c r="E274" i="14"/>
  <c r="C274" i="14"/>
  <c r="AR273" i="14"/>
  <c r="AL273" i="14"/>
  <c r="W273" i="14"/>
  <c r="V273" i="14"/>
  <c r="U273" i="14"/>
  <c r="S273" i="14"/>
  <c r="R273" i="14"/>
  <c r="G273" i="14"/>
  <c r="E556" i="55" s="1"/>
  <c r="F273" i="14"/>
  <c r="D556" i="55" s="1"/>
  <c r="E273" i="14"/>
  <c r="C556" i="55" s="1"/>
  <c r="C273" i="14"/>
  <c r="F556" i="55" s="1"/>
  <c r="AR272" i="14"/>
  <c r="AO272" i="14"/>
  <c r="AS272" i="14" s="1"/>
  <c r="AL272" i="14"/>
  <c r="W272" i="14"/>
  <c r="V272" i="14"/>
  <c r="U272" i="14"/>
  <c r="G272" i="14"/>
  <c r="E552" i="55" s="1"/>
  <c r="F272" i="14"/>
  <c r="D552" i="55" s="1"/>
  <c r="E272" i="14"/>
  <c r="C552" i="55" s="1"/>
  <c r="C272" i="14"/>
  <c r="F552" i="55" s="1"/>
  <c r="AR271" i="14"/>
  <c r="AN271" i="14"/>
  <c r="AS271" i="14" s="1"/>
  <c r="AL271" i="14"/>
  <c r="W271" i="14"/>
  <c r="V271" i="14"/>
  <c r="U271" i="14"/>
  <c r="S271" i="14"/>
  <c r="R271" i="14"/>
  <c r="G271" i="14"/>
  <c r="E547" i="55" s="1"/>
  <c r="F271" i="14"/>
  <c r="D547" i="55" s="1"/>
  <c r="E271" i="14"/>
  <c r="C547" i="55"/>
  <c r="C271" i="14"/>
  <c r="F547" i="55" s="1"/>
  <c r="AR270" i="14"/>
  <c r="AN270" i="14"/>
  <c r="AS270" i="14" s="1"/>
  <c r="AL270" i="14"/>
  <c r="AH270" i="14"/>
  <c r="AI270" i="14" s="1"/>
  <c r="W270" i="14"/>
  <c r="V270" i="14"/>
  <c r="R270" i="14"/>
  <c r="G270" i="14"/>
  <c r="E545" i="55" s="1"/>
  <c r="F270" i="14"/>
  <c r="D545" i="55" s="1"/>
  <c r="E270" i="14"/>
  <c r="C545" i="55" s="1"/>
  <c r="C270" i="14"/>
  <c r="F545" i="55" s="1"/>
  <c r="AR269" i="14"/>
  <c r="AO269" i="14"/>
  <c r="AS269" i="14" s="1"/>
  <c r="AL269" i="14"/>
  <c r="W269" i="14"/>
  <c r="V269" i="14"/>
  <c r="U269" i="14"/>
  <c r="T269" i="14"/>
  <c r="S269" i="14"/>
  <c r="R269" i="14"/>
  <c r="G269" i="14"/>
  <c r="F269" i="14"/>
  <c r="E269" i="14"/>
  <c r="C269" i="14"/>
  <c r="B269" i="14"/>
  <c r="AR268" i="14"/>
  <c r="AN268" i="14"/>
  <c r="AS268" i="14" s="1"/>
  <c r="AL268" i="14"/>
  <c r="W268" i="14"/>
  <c r="V268" i="14"/>
  <c r="U268" i="14"/>
  <c r="R268" i="14"/>
  <c r="G268" i="14"/>
  <c r="E412" i="55" s="1"/>
  <c r="F268" i="14"/>
  <c r="D412" i="55" s="1"/>
  <c r="E268" i="14"/>
  <c r="C412" i="55" s="1"/>
  <c r="C268" i="14"/>
  <c r="F412" i="55" s="1"/>
  <c r="B268" i="14"/>
  <c r="AR267" i="14"/>
  <c r="AN267" i="14"/>
  <c r="AS267" i="14" s="1"/>
  <c r="AL267" i="14"/>
  <c r="W267" i="14"/>
  <c r="V267" i="14"/>
  <c r="U267" i="14"/>
  <c r="S267" i="14"/>
  <c r="R267" i="14"/>
  <c r="G267" i="14"/>
  <c r="E411" i="55" s="1"/>
  <c r="F267" i="14"/>
  <c r="D411" i="55" s="1"/>
  <c r="E267" i="14"/>
  <c r="C411" i="55" s="1"/>
  <c r="C267" i="14"/>
  <c r="F411" i="55" s="1"/>
  <c r="B267" i="14"/>
  <c r="AR266" i="14"/>
  <c r="AO266" i="14"/>
  <c r="AS266" i="14" s="1"/>
  <c r="AL266" i="14"/>
  <c r="W266" i="14"/>
  <c r="V266" i="14"/>
  <c r="U266" i="14"/>
  <c r="G266" i="14"/>
  <c r="F266" i="14"/>
  <c r="E266" i="14"/>
  <c r="C266" i="14"/>
  <c r="B266" i="14"/>
  <c r="AR265" i="14"/>
  <c r="AL265" i="14"/>
  <c r="W265" i="14"/>
  <c r="V265" i="14"/>
  <c r="U265" i="14"/>
  <c r="R265" i="14"/>
  <c r="G265" i="14"/>
  <c r="E410" i="55" s="1"/>
  <c r="F265" i="14"/>
  <c r="D410" i="55" s="1"/>
  <c r="E265" i="14"/>
  <c r="C410" i="55" s="1"/>
  <c r="C265" i="14"/>
  <c r="F410" i="55" s="1"/>
  <c r="B265" i="14"/>
  <c r="AR264" i="14"/>
  <c r="AO264" i="14"/>
  <c r="AS264" i="14" s="1"/>
  <c r="AL264" i="14"/>
  <c r="W264" i="14"/>
  <c r="V264" i="14"/>
  <c r="U264" i="14"/>
  <c r="T264" i="14"/>
  <c r="S264" i="14"/>
  <c r="R264" i="14"/>
  <c r="G264" i="14"/>
  <c r="E409" i="55" s="1"/>
  <c r="F264" i="14"/>
  <c r="D409" i="55" s="1"/>
  <c r="E264" i="14"/>
  <c r="C409" i="55" s="1"/>
  <c r="C264" i="14"/>
  <c r="F409" i="55" s="1"/>
  <c r="B264" i="14"/>
  <c r="AR257" i="14"/>
  <c r="AL257" i="14"/>
  <c r="W257" i="14"/>
  <c r="V257" i="14"/>
  <c r="U257" i="14"/>
  <c r="T257" i="14"/>
  <c r="S257" i="14"/>
  <c r="R257" i="14"/>
  <c r="G257" i="14"/>
  <c r="E333" i="55" s="1"/>
  <c r="F257" i="14"/>
  <c r="D333" i="55" s="1"/>
  <c r="E257" i="14"/>
  <c r="C333" i="55" s="1"/>
  <c r="C257" i="14"/>
  <c r="F333" i="55" s="1"/>
  <c r="B257" i="14"/>
  <c r="AR256" i="14"/>
  <c r="AO256" i="14"/>
  <c r="AS256" i="14" s="1"/>
  <c r="AL256" i="14"/>
  <c r="W256" i="14"/>
  <c r="V256" i="14"/>
  <c r="U256" i="14"/>
  <c r="T256" i="14"/>
  <c r="S256" i="14"/>
  <c r="R256" i="14"/>
  <c r="G256" i="14"/>
  <c r="E327" i="55" s="1"/>
  <c r="F256" i="14"/>
  <c r="D327" i="55" s="1"/>
  <c r="E256" i="14"/>
  <c r="C327" i="55" s="1"/>
  <c r="C256" i="14"/>
  <c r="F327" i="55" s="1"/>
  <c r="B256" i="14"/>
  <c r="AR255" i="14"/>
  <c r="AO255" i="14"/>
  <c r="AS255" i="14" s="1"/>
  <c r="AL255" i="14"/>
  <c r="W255" i="14"/>
  <c r="V255" i="14"/>
  <c r="U255" i="14"/>
  <c r="R255" i="14"/>
  <c r="G255" i="14"/>
  <c r="E325" i="55" s="1"/>
  <c r="F255" i="14"/>
  <c r="D325" i="55" s="1"/>
  <c r="E255" i="14"/>
  <c r="C325" i="55" s="1"/>
  <c r="C255" i="14"/>
  <c r="F325" i="55" s="1"/>
  <c r="B255" i="14"/>
  <c r="AR254" i="14"/>
  <c r="AO254" i="14"/>
  <c r="AS254" i="14" s="1"/>
  <c r="AL254" i="14"/>
  <c r="W254" i="14"/>
  <c r="V254" i="14"/>
  <c r="U254" i="14"/>
  <c r="T254" i="14"/>
  <c r="S254" i="14"/>
  <c r="R254" i="14"/>
  <c r="G254" i="14"/>
  <c r="F254" i="14"/>
  <c r="E254" i="14"/>
  <c r="C254" i="14"/>
  <c r="B254" i="14"/>
  <c r="AR253" i="14"/>
  <c r="AO253" i="14"/>
  <c r="AS253" i="14" s="1"/>
  <c r="AL253" i="14"/>
  <c r="W253" i="14"/>
  <c r="V253" i="14"/>
  <c r="U253" i="14"/>
  <c r="R253" i="14"/>
  <c r="G253" i="14"/>
  <c r="E323" i="55" s="1"/>
  <c r="F253" i="14"/>
  <c r="D323" i="55" s="1"/>
  <c r="E253" i="14"/>
  <c r="C323" i="55" s="1"/>
  <c r="C253" i="14"/>
  <c r="F323" i="55" s="1"/>
  <c r="B253" i="14"/>
  <c r="AR252" i="14"/>
  <c r="AN252" i="14"/>
  <c r="AS252" i="14" s="1"/>
  <c r="AL252" i="14"/>
  <c r="W252" i="14"/>
  <c r="V252" i="14"/>
  <c r="U252" i="14"/>
  <c r="R252" i="14"/>
  <c r="G252" i="14"/>
  <c r="F252" i="14"/>
  <c r="E252" i="14"/>
  <c r="C252" i="14"/>
  <c r="B252" i="14"/>
  <c r="AR251" i="14"/>
  <c r="AN251" i="14"/>
  <c r="AS251" i="14" s="1"/>
  <c r="AL251" i="14"/>
  <c r="W251" i="14"/>
  <c r="V251" i="14"/>
  <c r="U251" i="14"/>
  <c r="R251" i="14"/>
  <c r="G251" i="14"/>
  <c r="E319" i="55"/>
  <c r="F251" i="14"/>
  <c r="D319" i="55" s="1"/>
  <c r="E251" i="14"/>
  <c r="C319" i="55" s="1"/>
  <c r="C251" i="14"/>
  <c r="F319" i="55" s="1"/>
  <c r="B251" i="14"/>
  <c r="AR250" i="14"/>
  <c r="AN250" i="14"/>
  <c r="AS250" i="14" s="1"/>
  <c r="AL250" i="14"/>
  <c r="AJ250" i="14"/>
  <c r="AK250" i="14" s="1"/>
  <c r="AH250" i="14"/>
  <c r="AI250" i="14" s="1"/>
  <c r="AF250" i="14"/>
  <c r="AG250" i="14" s="1"/>
  <c r="AD250" i="14"/>
  <c r="AE250" i="14" s="1"/>
  <c r="W250" i="14"/>
  <c r="V250" i="14"/>
  <c r="U250" i="14"/>
  <c r="T250" i="14"/>
  <c r="S250" i="14"/>
  <c r="R250" i="14"/>
  <c r="G250" i="14"/>
  <c r="E316" i="55" s="1"/>
  <c r="F250" i="14"/>
  <c r="D316" i="55" s="1"/>
  <c r="E250" i="14"/>
  <c r="C316" i="55" s="1"/>
  <c r="C250" i="14"/>
  <c r="F316" i="55" s="1"/>
  <c r="B250" i="14"/>
  <c r="AO249" i="14"/>
  <c r="AS249" i="14" s="1"/>
  <c r="AR249" i="14"/>
  <c r="AL249" i="14"/>
  <c r="Z249" i="14"/>
  <c r="AA249" i="14" s="1"/>
  <c r="W249" i="14"/>
  <c r="V249" i="14"/>
  <c r="U249" i="14"/>
  <c r="T249" i="14"/>
  <c r="S249" i="14"/>
  <c r="R249" i="14"/>
  <c r="G249" i="14"/>
  <c r="F249" i="14"/>
  <c r="E249" i="14"/>
  <c r="C249" i="14"/>
  <c r="B249" i="14"/>
  <c r="AR248" i="14"/>
  <c r="AL248" i="14"/>
  <c r="W248" i="14"/>
  <c r="V248" i="14"/>
  <c r="U248" i="14"/>
  <c r="T248" i="14"/>
  <c r="S248" i="14"/>
  <c r="R248" i="14"/>
  <c r="G248" i="14"/>
  <c r="E400" i="55" s="1"/>
  <c r="F248" i="14"/>
  <c r="D400" i="55" s="1"/>
  <c r="E248" i="14"/>
  <c r="C400" i="55" s="1"/>
  <c r="C248" i="14"/>
  <c r="F400" i="55" s="1"/>
  <c r="B248" i="14"/>
  <c r="AR247" i="14"/>
  <c r="AO247" i="14"/>
  <c r="AS247" i="14" s="1"/>
  <c r="AL247" i="14"/>
  <c r="W247" i="14"/>
  <c r="V247" i="14"/>
  <c r="U247" i="14"/>
  <c r="T247" i="14"/>
  <c r="S247" i="14"/>
  <c r="R247" i="14"/>
  <c r="G247" i="14"/>
  <c r="E398" i="55" s="1"/>
  <c r="F247" i="14"/>
  <c r="D398" i="55" s="1"/>
  <c r="E247" i="14"/>
  <c r="C398" i="55" s="1"/>
  <c r="C247" i="14"/>
  <c r="F398" i="55" s="1"/>
  <c r="B247" i="14"/>
  <c r="AR246" i="14"/>
  <c r="AO246" i="14"/>
  <c r="AS246" i="14" s="1"/>
  <c r="AL246" i="14"/>
  <c r="W246" i="14"/>
  <c r="V246" i="14"/>
  <c r="U246" i="14"/>
  <c r="T246" i="14"/>
  <c r="S246" i="14"/>
  <c r="R246" i="14"/>
  <c r="G246" i="14"/>
  <c r="F246" i="14"/>
  <c r="E246" i="14"/>
  <c r="C246" i="14"/>
  <c r="B246" i="14"/>
  <c r="AR245" i="14"/>
  <c r="AL245" i="14"/>
  <c r="W245" i="14"/>
  <c r="V245" i="14"/>
  <c r="U245" i="14"/>
  <c r="S245" i="14"/>
  <c r="R245" i="14"/>
  <c r="G245" i="14"/>
  <c r="E314" i="55" s="1"/>
  <c r="F245" i="14"/>
  <c r="D314" i="55" s="1"/>
  <c r="E245" i="14"/>
  <c r="C314" i="55" s="1"/>
  <c r="C245" i="14"/>
  <c r="F314" i="55" s="1"/>
  <c r="B245" i="14"/>
  <c r="AO244" i="14"/>
  <c r="AS244" i="14" s="1"/>
  <c r="AR244" i="14"/>
  <c r="AL244" i="14"/>
  <c r="W244" i="14"/>
  <c r="V244" i="14"/>
  <c r="U244" i="14"/>
  <c r="T244" i="14"/>
  <c r="S244" i="14"/>
  <c r="R244" i="14"/>
  <c r="G244" i="14"/>
  <c r="F244" i="14"/>
  <c r="E244" i="14"/>
  <c r="C244" i="14"/>
  <c r="B244" i="14"/>
  <c r="AR243" i="14"/>
  <c r="AL243" i="14"/>
  <c r="W243" i="14"/>
  <c r="V243" i="14"/>
  <c r="U243" i="14"/>
  <c r="T243" i="14"/>
  <c r="S243" i="14"/>
  <c r="R243" i="14"/>
  <c r="G243" i="14"/>
  <c r="E312" i="55" s="1"/>
  <c r="F243" i="14"/>
  <c r="D312" i="55" s="1"/>
  <c r="E243" i="14"/>
  <c r="C312" i="55" s="1"/>
  <c r="C243" i="14"/>
  <c r="F312" i="55" s="1"/>
  <c r="B243" i="14"/>
  <c r="AR242" i="14"/>
  <c r="AL242" i="14"/>
  <c r="AJ242" i="14"/>
  <c r="AK242" i="14" s="1"/>
  <c r="AH242" i="14"/>
  <c r="AI242" i="14" s="1"/>
  <c r="AF242" i="14"/>
  <c r="AG242" i="14" s="1"/>
  <c r="W242" i="14"/>
  <c r="V242" i="14"/>
  <c r="U242" i="14"/>
  <c r="T242" i="14"/>
  <c r="S242" i="14"/>
  <c r="R242" i="14"/>
  <c r="Q242" i="14"/>
  <c r="G242" i="14"/>
  <c r="E397" i="55" s="1"/>
  <c r="F242" i="14"/>
  <c r="D397" i="55" s="1"/>
  <c r="E242" i="14"/>
  <c r="C397" i="55" s="1"/>
  <c r="C242" i="14"/>
  <c r="F397" i="55" s="1"/>
  <c r="B242" i="14"/>
  <c r="AR241" i="14"/>
  <c r="AL241" i="14"/>
  <c r="W241" i="14"/>
  <c r="V241" i="14"/>
  <c r="U241" i="14"/>
  <c r="T241" i="14"/>
  <c r="S241" i="14"/>
  <c r="R241" i="14"/>
  <c r="Q241" i="14"/>
  <c r="G241" i="14"/>
  <c r="E396" i="55" s="1"/>
  <c r="F241" i="14"/>
  <c r="D396" i="55" s="1"/>
  <c r="E241" i="14"/>
  <c r="C396" i="55" s="1"/>
  <c r="C241" i="14"/>
  <c r="F396" i="55" s="1"/>
  <c r="B241" i="14"/>
  <c r="AO240" i="14"/>
  <c r="AS240" i="14" s="1"/>
  <c r="AR240" i="14"/>
  <c r="AL240" i="14"/>
  <c r="W240" i="14"/>
  <c r="V240" i="14"/>
  <c r="R240" i="14"/>
  <c r="Q240" i="14"/>
  <c r="G240" i="14"/>
  <c r="E395" i="55" s="1"/>
  <c r="F240" i="14"/>
  <c r="D395" i="55" s="1"/>
  <c r="E240" i="14"/>
  <c r="C395" i="55" s="1"/>
  <c r="C240" i="14"/>
  <c r="F395" i="55" s="1"/>
  <c r="B240" i="14"/>
  <c r="AR238" i="14"/>
  <c r="AL238" i="14"/>
  <c r="W238" i="14"/>
  <c r="V238" i="14"/>
  <c r="U238" i="14"/>
  <c r="R238" i="14"/>
  <c r="Q238" i="14"/>
  <c r="G238" i="14"/>
  <c r="F238" i="14"/>
  <c r="E238" i="14"/>
  <c r="C238" i="14"/>
  <c r="B238" i="14"/>
  <c r="AR237" i="14"/>
  <c r="AL237" i="14"/>
  <c r="W237" i="14"/>
  <c r="V237" i="14"/>
  <c r="U237" i="14"/>
  <c r="T237" i="14"/>
  <c r="S237" i="14"/>
  <c r="R237" i="14"/>
  <c r="Q237" i="14"/>
  <c r="G237" i="14"/>
  <c r="F237" i="14"/>
  <c r="E237" i="14"/>
  <c r="C237" i="14"/>
  <c r="B237" i="14"/>
  <c r="AR236" i="14"/>
  <c r="AO236" i="14"/>
  <c r="AS236" i="14" s="1"/>
  <c r="AL236" i="14"/>
  <c r="W236" i="14"/>
  <c r="V236" i="14"/>
  <c r="U236" i="14"/>
  <c r="T236" i="14"/>
  <c r="S236" i="14"/>
  <c r="R236" i="14"/>
  <c r="Q236" i="14"/>
  <c r="G236" i="14"/>
  <c r="E383" i="55" s="1"/>
  <c r="F236" i="14"/>
  <c r="D383" i="55" s="1"/>
  <c r="E236" i="14"/>
  <c r="C383" i="55" s="1"/>
  <c r="C236" i="14"/>
  <c r="F383" i="55" s="1"/>
  <c r="B236" i="14"/>
  <c r="AR235" i="14"/>
  <c r="AL235" i="14"/>
  <c r="W235" i="14"/>
  <c r="V235" i="14"/>
  <c r="Q235" i="14"/>
  <c r="G235" i="14"/>
  <c r="E374" i="55" s="1"/>
  <c r="F235" i="14"/>
  <c r="D374" i="55" s="1"/>
  <c r="E235" i="14"/>
  <c r="C374" i="55" s="1"/>
  <c r="C235" i="14"/>
  <c r="F374" i="55" s="1"/>
  <c r="B235" i="14"/>
  <c r="AR234" i="14"/>
  <c r="AN234" i="14"/>
  <c r="AS234" i="14" s="1"/>
  <c r="AL234" i="14"/>
  <c r="W234" i="14"/>
  <c r="V234" i="14"/>
  <c r="U234" i="14"/>
  <c r="T234" i="14"/>
  <c r="S234" i="14"/>
  <c r="R234" i="14"/>
  <c r="Q234" i="14"/>
  <c r="G234" i="14"/>
  <c r="E372" i="55" s="1"/>
  <c r="F234" i="14"/>
  <c r="D372" i="55" s="1"/>
  <c r="E234" i="14"/>
  <c r="C372" i="55" s="1"/>
  <c r="C234" i="14"/>
  <c r="F372" i="55" s="1"/>
  <c r="B234" i="14"/>
  <c r="AR233" i="14"/>
  <c r="AO233" i="14"/>
  <c r="AS233" i="14" s="1"/>
  <c r="AL233" i="14"/>
  <c r="W233" i="14"/>
  <c r="V233" i="14"/>
  <c r="U233" i="14"/>
  <c r="R233" i="14"/>
  <c r="Q233" i="14"/>
  <c r="G233" i="14"/>
  <c r="F233" i="14"/>
  <c r="E233" i="14"/>
  <c r="C233" i="14"/>
  <c r="B233" i="14"/>
  <c r="AO232" i="14"/>
  <c r="AS232" i="14" s="1"/>
  <c r="AR232" i="14"/>
  <c r="AL232" i="14"/>
  <c r="W232" i="14"/>
  <c r="V232" i="14"/>
  <c r="U232" i="14"/>
  <c r="T232" i="14"/>
  <c r="S232" i="14"/>
  <c r="R232" i="14"/>
  <c r="Q232" i="14"/>
  <c r="G232" i="14"/>
  <c r="E371" i="55" s="1"/>
  <c r="F232" i="14"/>
  <c r="D371" i="55" s="1"/>
  <c r="E232" i="14"/>
  <c r="C371" i="55" s="1"/>
  <c r="C232" i="14"/>
  <c r="F371" i="55" s="1"/>
  <c r="B232" i="14"/>
  <c r="AR230" i="14"/>
  <c r="AL230" i="14"/>
  <c r="W230" i="14"/>
  <c r="V230" i="14"/>
  <c r="U230" i="14"/>
  <c r="R230" i="14"/>
  <c r="Q230" i="14"/>
  <c r="G230" i="14"/>
  <c r="F230" i="14"/>
  <c r="E230" i="14"/>
  <c r="C230" i="14"/>
  <c r="B230" i="14"/>
  <c r="AR229" i="14"/>
  <c r="AL229" i="14"/>
  <c r="AJ229" i="14"/>
  <c r="AK229" i="14" s="1"/>
  <c r="AH229" i="14"/>
  <c r="AI229" i="14" s="1"/>
  <c r="AD229" i="14"/>
  <c r="AE229" i="14" s="1"/>
  <c r="W229" i="14"/>
  <c r="V229" i="14"/>
  <c r="U229" i="14"/>
  <c r="T229" i="14"/>
  <c r="S229" i="14"/>
  <c r="R229" i="14"/>
  <c r="Q229" i="14"/>
  <c r="G229" i="14"/>
  <c r="E360" i="55" s="1"/>
  <c r="F229" i="14"/>
  <c r="D360" i="55" s="1"/>
  <c r="E229" i="14"/>
  <c r="C360" i="55" s="1"/>
  <c r="C229" i="14"/>
  <c r="F384" i="55" s="1"/>
  <c r="B229" i="14"/>
  <c r="AO228" i="14"/>
  <c r="AS228" i="14" s="1"/>
  <c r="AR228" i="14"/>
  <c r="AL228" i="14"/>
  <c r="W228" i="14"/>
  <c r="V228" i="14"/>
  <c r="U228" i="14"/>
  <c r="T228" i="14"/>
  <c r="S228" i="14"/>
  <c r="R228" i="14"/>
  <c r="Q228" i="14"/>
  <c r="G228" i="14"/>
  <c r="E359" i="55" s="1"/>
  <c r="F228" i="14"/>
  <c r="D359" i="55" s="1"/>
  <c r="E228" i="14"/>
  <c r="C359" i="55" s="1"/>
  <c r="C228" i="14"/>
  <c r="F359" i="55" s="1"/>
  <c r="B228" i="14"/>
  <c r="AR227" i="14"/>
  <c r="AL227" i="14"/>
  <c r="W227" i="14"/>
  <c r="V227" i="14"/>
  <c r="Q227" i="14"/>
  <c r="G227" i="14"/>
  <c r="E350" i="55" s="1"/>
  <c r="F227" i="14"/>
  <c r="D350" i="55" s="1"/>
  <c r="E227" i="14"/>
  <c r="C350" i="55" s="1"/>
  <c r="C227" i="14"/>
  <c r="F350" i="55" s="1"/>
  <c r="B227" i="14"/>
  <c r="AO226" i="14"/>
  <c r="AS226" i="14" s="1"/>
  <c r="AR226" i="14"/>
  <c r="AL226" i="14"/>
  <c r="W226" i="14"/>
  <c r="V226" i="14"/>
  <c r="U226" i="14"/>
  <c r="Q226" i="14"/>
  <c r="G226" i="14"/>
  <c r="E347" i="55" s="1"/>
  <c r="F226" i="14"/>
  <c r="D347" i="55" s="1"/>
  <c r="E226" i="14"/>
  <c r="C347" i="55" s="1"/>
  <c r="C226" i="14"/>
  <c r="F347" i="55" s="1"/>
  <c r="B226" i="14"/>
  <c r="AO225" i="14"/>
  <c r="AS225" i="14" s="1"/>
  <c r="AR225" i="14"/>
  <c r="AL225" i="14"/>
  <c r="W225" i="14"/>
  <c r="V225" i="14"/>
  <c r="U225" i="14"/>
  <c r="R225" i="14"/>
  <c r="Q225" i="14"/>
  <c r="G225" i="14"/>
  <c r="E345" i="55" s="1"/>
  <c r="F225" i="14"/>
  <c r="D345" i="55" s="1"/>
  <c r="E225" i="14"/>
  <c r="C345" i="55" s="1"/>
  <c r="C225" i="14"/>
  <c r="F345" i="55" s="1"/>
  <c r="B225" i="14"/>
  <c r="AR224" i="14"/>
  <c r="AN224" i="14"/>
  <c r="AS224" i="14" s="1"/>
  <c r="AL224" i="14"/>
  <c r="W224" i="14"/>
  <c r="V224" i="14"/>
  <c r="U224" i="14"/>
  <c r="R224" i="14"/>
  <c r="Q224" i="14"/>
  <c r="G224" i="14"/>
  <c r="E343" i="55" s="1"/>
  <c r="F224" i="14"/>
  <c r="D343" i="55" s="1"/>
  <c r="E224" i="14"/>
  <c r="C343" i="55" s="1"/>
  <c r="C224" i="14"/>
  <c r="F343" i="55" s="1"/>
  <c r="B224" i="14"/>
  <c r="AO222" i="14"/>
  <c r="AS222" i="14" s="1"/>
  <c r="AR222" i="14"/>
  <c r="AL222" i="14"/>
  <c r="W222" i="14"/>
  <c r="V222" i="14"/>
  <c r="R222" i="14"/>
  <c r="Q222" i="14"/>
  <c r="G222" i="14"/>
  <c r="F222" i="14"/>
  <c r="E222" i="14"/>
  <c r="C222" i="14"/>
  <c r="B222" i="14"/>
  <c r="AO221" i="14"/>
  <c r="AS221" i="14" s="1"/>
  <c r="AR221" i="14"/>
  <c r="AL221" i="14"/>
  <c r="W221" i="14"/>
  <c r="V221" i="14"/>
  <c r="U221" i="14"/>
  <c r="R221" i="14"/>
  <c r="Q221" i="14"/>
  <c r="G221" i="14"/>
  <c r="F221" i="14"/>
  <c r="E221" i="14"/>
  <c r="C221" i="14"/>
  <c r="B221" i="14"/>
  <c r="AO220" i="14"/>
  <c r="AS220" i="14" s="1"/>
  <c r="AR220" i="14"/>
  <c r="AL220" i="14"/>
  <c r="W220" i="14"/>
  <c r="V220" i="14"/>
  <c r="U220" i="14"/>
  <c r="R220" i="14"/>
  <c r="Q220" i="14"/>
  <c r="G220" i="14"/>
  <c r="F220" i="14"/>
  <c r="E220" i="14"/>
  <c r="C220" i="14"/>
  <c r="B220" i="14"/>
  <c r="AR219" i="14"/>
  <c r="AO219" i="14"/>
  <c r="AS219" i="14" s="1"/>
  <c r="AL219" i="14"/>
  <c r="W219" i="14"/>
  <c r="V219" i="14"/>
  <c r="U219" i="14"/>
  <c r="S219" i="14"/>
  <c r="R219" i="14"/>
  <c r="Q219" i="14"/>
  <c r="G219" i="14"/>
  <c r="F219" i="14"/>
  <c r="E219" i="14"/>
  <c r="C219" i="14"/>
  <c r="B219" i="14"/>
  <c r="AR218" i="14"/>
  <c r="AL218" i="14"/>
  <c r="W218" i="14"/>
  <c r="V218" i="14"/>
  <c r="U218" i="14"/>
  <c r="T218" i="14"/>
  <c r="S218" i="14"/>
  <c r="R218" i="14"/>
  <c r="Q218" i="14"/>
  <c r="G218" i="14"/>
  <c r="F218" i="14"/>
  <c r="E218" i="14"/>
  <c r="C218" i="14"/>
  <c r="B218" i="14"/>
  <c r="AS217" i="14"/>
  <c r="AR217" i="14"/>
  <c r="AL217" i="14"/>
  <c r="W217" i="14"/>
  <c r="V217" i="14"/>
  <c r="U217" i="14"/>
  <c r="R217" i="14"/>
  <c r="Q217" i="14"/>
  <c r="G217" i="14"/>
  <c r="E309" i="55" s="1"/>
  <c r="F217" i="14"/>
  <c r="D309" i="55" s="1"/>
  <c r="E217" i="14"/>
  <c r="C309" i="55" s="1"/>
  <c r="C217" i="14"/>
  <c r="F309" i="55" s="1"/>
  <c r="B217" i="14"/>
  <c r="AR216" i="14"/>
  <c r="AL216" i="14"/>
  <c r="W216" i="14"/>
  <c r="V216" i="14"/>
  <c r="Q216" i="14"/>
  <c r="G216" i="14"/>
  <c r="E300" i="55" s="1"/>
  <c r="F216" i="14"/>
  <c r="D300" i="55" s="1"/>
  <c r="E216" i="14"/>
  <c r="C300" i="55" s="1"/>
  <c r="C216" i="14"/>
  <c r="F300" i="55" s="1"/>
  <c r="B216" i="14"/>
  <c r="AR215" i="14"/>
  <c r="AL215" i="14"/>
  <c r="W215" i="14"/>
  <c r="V215" i="14"/>
  <c r="T215" i="14"/>
  <c r="S215" i="14"/>
  <c r="R215" i="14"/>
  <c r="Q215" i="14"/>
  <c r="G215" i="14"/>
  <c r="E298" i="55" s="1"/>
  <c r="F215" i="14"/>
  <c r="D298" i="55" s="1"/>
  <c r="E215" i="14"/>
  <c r="C298" i="55" s="1"/>
  <c r="C215" i="14"/>
  <c r="F298" i="55" s="1"/>
  <c r="B215" i="14"/>
  <c r="AR214" i="14"/>
  <c r="AO214" i="14"/>
  <c r="AS214" i="14" s="1"/>
  <c r="AL214" i="14"/>
  <c r="W214" i="14"/>
  <c r="V214" i="14"/>
  <c r="U214" i="14"/>
  <c r="T214" i="14"/>
  <c r="S214" i="14"/>
  <c r="R214" i="14"/>
  <c r="Q214" i="14"/>
  <c r="G214" i="14"/>
  <c r="E296" i="55" s="1"/>
  <c r="F214" i="14"/>
  <c r="D296" i="55" s="1"/>
  <c r="E214" i="14"/>
  <c r="C296" i="55" s="1"/>
  <c r="C214" i="14"/>
  <c r="F296" i="55" s="1"/>
  <c r="B214" i="14"/>
  <c r="AO213" i="14"/>
  <c r="AS213" i="14" s="1"/>
  <c r="AR213" i="14"/>
  <c r="AL213" i="14"/>
  <c r="W213" i="14"/>
  <c r="V213" i="14"/>
  <c r="Q213" i="14"/>
  <c r="G213" i="14"/>
  <c r="E295" i="55" s="1"/>
  <c r="F213" i="14"/>
  <c r="D295" i="55" s="1"/>
  <c r="E213" i="14"/>
  <c r="C295" i="55" s="1"/>
  <c r="C213" i="14"/>
  <c r="F295" i="55" s="1"/>
  <c r="B213" i="14"/>
  <c r="AR212" i="14"/>
  <c r="AL212" i="14"/>
  <c r="W212" i="14"/>
  <c r="V212" i="14"/>
  <c r="U212" i="14"/>
  <c r="Q212" i="14"/>
  <c r="G212" i="14"/>
  <c r="E292" i="55" s="1"/>
  <c r="F212" i="14"/>
  <c r="D292" i="55" s="1"/>
  <c r="E212" i="14"/>
  <c r="C292" i="55" s="1"/>
  <c r="C212" i="14"/>
  <c r="F292" i="55" s="1"/>
  <c r="B212" i="14"/>
  <c r="AR211" i="14"/>
  <c r="AO211" i="14"/>
  <c r="AS211" i="14" s="1"/>
  <c r="AL211" i="14"/>
  <c r="W211" i="14"/>
  <c r="V211" i="14"/>
  <c r="U211" i="14"/>
  <c r="Q211" i="14"/>
  <c r="G211" i="14"/>
  <c r="F211" i="14"/>
  <c r="E211" i="14"/>
  <c r="C211" i="14"/>
  <c r="B211" i="14"/>
  <c r="AR210" i="14"/>
  <c r="AO210" i="14"/>
  <c r="AS210" i="14" s="1"/>
  <c r="AL210" i="14"/>
  <c r="W210" i="14"/>
  <c r="V210" i="14"/>
  <c r="U210" i="14"/>
  <c r="R210" i="14"/>
  <c r="Q210" i="14"/>
  <c r="G210" i="14"/>
  <c r="F210" i="14"/>
  <c r="E210" i="14"/>
  <c r="C210" i="14"/>
  <c r="B210" i="14"/>
  <c r="AR209" i="14"/>
  <c r="AO209" i="14"/>
  <c r="AS209" i="14" s="1"/>
  <c r="AL209" i="14"/>
  <c r="W209" i="14"/>
  <c r="V209" i="14"/>
  <c r="U209" i="14"/>
  <c r="R209" i="14"/>
  <c r="Q209" i="14"/>
  <c r="G209" i="14"/>
  <c r="F209" i="14"/>
  <c r="E209" i="14"/>
  <c r="C209" i="14"/>
  <c r="B209" i="14"/>
  <c r="AO208" i="14"/>
  <c r="AS208" i="14" s="1"/>
  <c r="AR208" i="14"/>
  <c r="AL208" i="14"/>
  <c r="W208" i="14"/>
  <c r="V208" i="14"/>
  <c r="U208" i="14"/>
  <c r="R208" i="14"/>
  <c r="Q208" i="14"/>
  <c r="G208" i="14"/>
  <c r="E291" i="55" s="1"/>
  <c r="F208" i="14"/>
  <c r="D291" i="55" s="1"/>
  <c r="E208" i="14"/>
  <c r="C291" i="55" s="1"/>
  <c r="C208" i="14"/>
  <c r="F291" i="55" s="1"/>
  <c r="B208" i="14"/>
  <c r="AR206" i="14"/>
  <c r="AO206" i="14"/>
  <c r="AS206" i="14" s="1"/>
  <c r="AL206" i="14"/>
  <c r="W206" i="14"/>
  <c r="V206" i="14"/>
  <c r="U206" i="14"/>
  <c r="T206" i="14"/>
  <c r="S206" i="14"/>
  <c r="R206" i="14"/>
  <c r="Q206" i="14"/>
  <c r="G206" i="14"/>
  <c r="F206" i="14"/>
  <c r="E206" i="14"/>
  <c r="C206" i="14"/>
  <c r="B206" i="14"/>
  <c r="AR205" i="14"/>
  <c r="AN205" i="14"/>
  <c r="AS205" i="14" s="1"/>
  <c r="AL205" i="14"/>
  <c r="W205" i="14"/>
  <c r="V205" i="14"/>
  <c r="U205" i="14"/>
  <c r="R205" i="14"/>
  <c r="Q205" i="14"/>
  <c r="G205" i="14"/>
  <c r="E544" i="55" s="1"/>
  <c r="F205" i="14"/>
  <c r="D544" i="55" s="1"/>
  <c r="E205" i="14"/>
  <c r="C544" i="55" s="1"/>
  <c r="C205" i="14"/>
  <c r="F544" i="55" s="1"/>
  <c r="B205" i="14"/>
  <c r="AR204" i="14"/>
  <c r="AN204" i="14"/>
  <c r="AS204" i="14" s="1"/>
  <c r="AL204" i="14"/>
  <c r="AJ204" i="14"/>
  <c r="AK204" i="14" s="1"/>
  <c r="AH204" i="14"/>
  <c r="AI204" i="14" s="1"/>
  <c r="W204" i="14"/>
  <c r="V204" i="14"/>
  <c r="U204" i="14"/>
  <c r="T204" i="14"/>
  <c r="S204" i="14"/>
  <c r="R204" i="14"/>
  <c r="Q204" i="14"/>
  <c r="G204" i="14"/>
  <c r="E543" i="55" s="1"/>
  <c r="F204" i="14"/>
  <c r="D543" i="55" s="1"/>
  <c r="E204" i="14"/>
  <c r="C543" i="55" s="1"/>
  <c r="C204" i="14"/>
  <c r="F543" i="55" s="1"/>
  <c r="B204" i="14"/>
  <c r="AR203" i="14"/>
  <c r="AO203" i="14"/>
  <c r="AS203" i="14" s="1"/>
  <c r="AL203" i="14"/>
  <c r="W203" i="14"/>
  <c r="V203" i="14"/>
  <c r="U203" i="14"/>
  <c r="T203" i="14"/>
  <c r="S203" i="14"/>
  <c r="R203" i="14"/>
  <c r="Q203" i="14"/>
  <c r="G203" i="14"/>
  <c r="F203" i="14"/>
  <c r="E203" i="14"/>
  <c r="C203" i="14"/>
  <c r="B203" i="14"/>
  <c r="AR202" i="14"/>
  <c r="AL202" i="14"/>
  <c r="W202" i="14"/>
  <c r="V202" i="14"/>
  <c r="U202" i="14"/>
  <c r="R202" i="14"/>
  <c r="Q202" i="14"/>
  <c r="G202" i="14"/>
  <c r="E542" i="55" s="1"/>
  <c r="F202" i="14"/>
  <c r="D542" i="55" s="1"/>
  <c r="E202" i="14"/>
  <c r="C542" i="55" s="1"/>
  <c r="C202" i="14"/>
  <c r="F542" i="55" s="1"/>
  <c r="B202" i="14"/>
  <c r="W194" i="14"/>
  <c r="V194" i="14"/>
  <c r="U194" i="14"/>
  <c r="T194" i="14"/>
  <c r="S194" i="14"/>
  <c r="R194" i="14"/>
  <c r="Q194" i="14"/>
  <c r="G194" i="14"/>
  <c r="E452" i="55" s="1"/>
  <c r="F194" i="14"/>
  <c r="D452" i="55" s="1"/>
  <c r="E194" i="14"/>
  <c r="C452" i="55" s="1"/>
  <c r="C194" i="14"/>
  <c r="F452" i="55" s="1"/>
  <c r="B194" i="14"/>
  <c r="W193" i="14"/>
  <c r="V193" i="14"/>
  <c r="U193" i="14"/>
  <c r="T193" i="14"/>
  <c r="S193" i="14"/>
  <c r="R193" i="14"/>
  <c r="Q193" i="14"/>
  <c r="G193" i="14"/>
  <c r="F193" i="14"/>
  <c r="E193" i="14"/>
  <c r="C193" i="14"/>
  <c r="B193" i="14"/>
  <c r="AL192" i="14"/>
  <c r="W192" i="14"/>
  <c r="V192" i="14"/>
  <c r="U192" i="14"/>
  <c r="S192" i="14"/>
  <c r="R192" i="14"/>
  <c r="Q192" i="14"/>
  <c r="G192" i="14"/>
  <c r="E450" i="55" s="1"/>
  <c r="F192" i="14"/>
  <c r="D450" i="55" s="1"/>
  <c r="E192" i="14"/>
  <c r="C450" i="55" s="1"/>
  <c r="C192" i="14"/>
  <c r="F450" i="55" s="1"/>
  <c r="B192" i="14"/>
  <c r="AR191" i="14"/>
  <c r="AL191" i="14"/>
  <c r="W191" i="14"/>
  <c r="V191" i="14"/>
  <c r="U191" i="14"/>
  <c r="T191" i="14"/>
  <c r="S191" i="14"/>
  <c r="R191" i="14"/>
  <c r="Q191" i="14"/>
  <c r="G191" i="14"/>
  <c r="E538" i="55" s="1"/>
  <c r="F191" i="14"/>
  <c r="D538" i="55" s="1"/>
  <c r="E191" i="14"/>
  <c r="C538" i="55" s="1"/>
  <c r="C191" i="14"/>
  <c r="F538" i="55" s="1"/>
  <c r="B191" i="14"/>
  <c r="AR190" i="14"/>
  <c r="AL190" i="14"/>
  <c r="W190" i="14"/>
  <c r="V190" i="14"/>
  <c r="U190" i="14"/>
  <c r="T190" i="14"/>
  <c r="S190" i="14"/>
  <c r="R190" i="14"/>
  <c r="Q190" i="14"/>
  <c r="G190" i="14"/>
  <c r="E536" i="55" s="1"/>
  <c r="F190" i="14"/>
  <c r="D536" i="55" s="1"/>
  <c r="E190" i="14"/>
  <c r="C536" i="55" s="1"/>
  <c r="C190" i="14"/>
  <c r="F536" i="55" s="1"/>
  <c r="B190" i="14"/>
  <c r="AR189" i="14"/>
  <c r="AO189" i="14"/>
  <c r="AS189" i="14" s="1"/>
  <c r="AL189" i="14"/>
  <c r="W189" i="14"/>
  <c r="V189" i="14"/>
  <c r="U189" i="14"/>
  <c r="T189" i="14"/>
  <c r="S189" i="14"/>
  <c r="R189" i="14"/>
  <c r="Q189" i="14"/>
  <c r="G189" i="14"/>
  <c r="E530" i="55" s="1"/>
  <c r="F189" i="14"/>
  <c r="D530" i="55" s="1"/>
  <c r="E189" i="14"/>
  <c r="C530" i="55" s="1"/>
  <c r="C189" i="14"/>
  <c r="F530" i="55" s="1"/>
  <c r="B189" i="14"/>
  <c r="AO188" i="14"/>
  <c r="AS188" i="14" s="1"/>
  <c r="AR188" i="14"/>
  <c r="AL188" i="14"/>
  <c r="W188" i="14"/>
  <c r="V188" i="14"/>
  <c r="U188" i="14"/>
  <c r="R188" i="14"/>
  <c r="Q188" i="14"/>
  <c r="G188" i="14"/>
  <c r="E529" i="55" s="1"/>
  <c r="F188" i="14"/>
  <c r="D529" i="55" s="1"/>
  <c r="E188" i="14"/>
  <c r="C529" i="55" s="1"/>
  <c r="C188" i="14"/>
  <c r="F529" i="55" s="1"/>
  <c r="B188" i="14"/>
  <c r="AR187" i="14"/>
  <c r="AO187" i="14"/>
  <c r="AS187" i="14" s="1"/>
  <c r="AL187" i="14"/>
  <c r="W187" i="14"/>
  <c r="V187" i="14"/>
  <c r="U187" i="14"/>
  <c r="R187" i="14"/>
  <c r="Q187" i="14"/>
  <c r="G187" i="14"/>
  <c r="E527" i="55" s="1"/>
  <c r="F187" i="14"/>
  <c r="D527" i="55" s="1"/>
  <c r="E187" i="14"/>
  <c r="C527" i="55" s="1"/>
  <c r="C187" i="14"/>
  <c r="F527" i="55" s="1"/>
  <c r="B187" i="14"/>
  <c r="AN186" i="14"/>
  <c r="AS186" i="14" s="1"/>
  <c r="AR186" i="14"/>
  <c r="AL186" i="14"/>
  <c r="W186" i="14"/>
  <c r="V186" i="14"/>
  <c r="U186" i="14"/>
  <c r="R186" i="14"/>
  <c r="Q186" i="14"/>
  <c r="G186" i="14"/>
  <c r="F186" i="14"/>
  <c r="E186" i="14"/>
  <c r="C186" i="14"/>
  <c r="B186" i="14"/>
  <c r="AR185" i="14"/>
  <c r="AN185" i="14"/>
  <c r="AS185" i="14" s="1"/>
  <c r="AL185" i="14"/>
  <c r="W185" i="14"/>
  <c r="V185" i="14"/>
  <c r="U185" i="14"/>
  <c r="R185" i="14"/>
  <c r="Q185" i="14"/>
  <c r="G185" i="14"/>
  <c r="E523" i="55" s="1"/>
  <c r="F185" i="14"/>
  <c r="D523" i="55" s="1"/>
  <c r="E185" i="14"/>
  <c r="C523" i="55" s="1"/>
  <c r="C185" i="14"/>
  <c r="F523" i="55" s="1"/>
  <c r="B185" i="14"/>
  <c r="AR184" i="14"/>
  <c r="AN184" i="14"/>
  <c r="AS184" i="14" s="1"/>
  <c r="W184" i="14"/>
  <c r="V184" i="14"/>
  <c r="U184" i="14"/>
  <c r="T184" i="14"/>
  <c r="S184" i="14"/>
  <c r="R184" i="14"/>
  <c r="Q184" i="14"/>
  <c r="G184" i="14"/>
  <c r="E519" i="55" s="1"/>
  <c r="F184" i="14"/>
  <c r="D519" i="55" s="1"/>
  <c r="E184" i="14"/>
  <c r="C519" i="55" s="1"/>
  <c r="C184" i="14"/>
  <c r="F519" i="55" s="1"/>
  <c r="B184" i="14"/>
  <c r="AR183" i="14"/>
  <c r="AO183" i="14"/>
  <c r="AS183" i="14" s="1"/>
  <c r="AL183" i="14"/>
  <c r="W183" i="14"/>
  <c r="V183" i="14"/>
  <c r="U183" i="14"/>
  <c r="T183" i="14"/>
  <c r="S183" i="14"/>
  <c r="R183" i="14"/>
  <c r="Q183" i="14"/>
  <c r="G183" i="14"/>
  <c r="F183" i="14"/>
  <c r="E183" i="14"/>
  <c r="C183" i="14"/>
  <c r="B183" i="14"/>
  <c r="AR182" i="14"/>
  <c r="AL182" i="14"/>
  <c r="W182" i="14"/>
  <c r="V182" i="14"/>
  <c r="U182" i="14"/>
  <c r="T182" i="14"/>
  <c r="S182" i="14"/>
  <c r="R182" i="14"/>
  <c r="Q182" i="14"/>
  <c r="G182" i="14"/>
  <c r="E448" i="55" s="1"/>
  <c r="F182" i="14"/>
  <c r="D448" i="55" s="1"/>
  <c r="E182" i="14"/>
  <c r="C448" i="55" s="1"/>
  <c r="C182" i="14"/>
  <c r="F448" i="55" s="1"/>
  <c r="B182" i="14"/>
  <c r="AO181" i="14"/>
  <c r="AS181" i="14" s="1"/>
  <c r="AR181" i="14"/>
  <c r="AL181" i="14"/>
  <c r="W181" i="14"/>
  <c r="V181" i="14"/>
  <c r="U181" i="14"/>
  <c r="T181" i="14"/>
  <c r="S181" i="14"/>
  <c r="R181" i="14"/>
  <c r="Q181" i="14"/>
  <c r="G181" i="14"/>
  <c r="F181" i="14"/>
  <c r="E181" i="14"/>
  <c r="C181" i="14"/>
  <c r="B181" i="14"/>
  <c r="AR180" i="14"/>
  <c r="AL180" i="14"/>
  <c r="W180" i="14"/>
  <c r="V180" i="14"/>
  <c r="U180" i="14"/>
  <c r="T180" i="14"/>
  <c r="S180" i="14"/>
  <c r="R180" i="14"/>
  <c r="Q180" i="14"/>
  <c r="G180" i="14"/>
  <c r="E446" i="55" s="1"/>
  <c r="F180" i="14"/>
  <c r="D446" i="55" s="1"/>
  <c r="E180" i="14"/>
  <c r="C446" i="55" s="1"/>
  <c r="C180" i="14"/>
  <c r="F446" i="55" s="1"/>
  <c r="B180" i="14"/>
  <c r="AR179" i="14"/>
  <c r="AL179" i="14"/>
  <c r="W179" i="14"/>
  <c r="V179" i="14"/>
  <c r="U179" i="14"/>
  <c r="R179" i="14"/>
  <c r="Q179" i="14"/>
  <c r="G179" i="14"/>
  <c r="E516" i="55" s="1"/>
  <c r="F179" i="14"/>
  <c r="D516" i="55" s="1"/>
  <c r="E179" i="14"/>
  <c r="C516" i="55" s="1"/>
  <c r="C179" i="14"/>
  <c r="F516" i="55" s="1"/>
  <c r="B179" i="14"/>
  <c r="AR178" i="14"/>
  <c r="AO178" i="14"/>
  <c r="AS178" i="14" s="1"/>
  <c r="AL178" i="14"/>
  <c r="W178" i="14"/>
  <c r="V178" i="14"/>
  <c r="U178" i="14"/>
  <c r="R178" i="14"/>
  <c r="Q178" i="14"/>
  <c r="G178" i="14"/>
  <c r="F178" i="14"/>
  <c r="E178" i="14"/>
  <c r="C178" i="14"/>
  <c r="B178" i="14"/>
  <c r="AO177" i="14"/>
  <c r="AS177" i="14" s="1"/>
  <c r="AR177" i="14"/>
  <c r="AL177" i="14"/>
  <c r="W177" i="14"/>
  <c r="V177" i="14"/>
  <c r="U177" i="14"/>
  <c r="R177" i="14"/>
  <c r="Q177" i="14"/>
  <c r="G177" i="14"/>
  <c r="E513" i="55" s="1"/>
  <c r="F177" i="14"/>
  <c r="D513" i="55" s="1"/>
  <c r="E177" i="14"/>
  <c r="C513" i="55" s="1"/>
  <c r="C177" i="14"/>
  <c r="F513" i="55" s="1"/>
  <c r="B177" i="14"/>
  <c r="AR176" i="14"/>
  <c r="AL176" i="14"/>
  <c r="W176" i="14"/>
  <c r="V176" i="14"/>
  <c r="U176" i="14"/>
  <c r="T176" i="14"/>
  <c r="S176" i="14"/>
  <c r="R176" i="14"/>
  <c r="Q176" i="14"/>
  <c r="G176" i="14"/>
  <c r="E511" i="55" s="1"/>
  <c r="F176" i="14"/>
  <c r="D511" i="55" s="1"/>
  <c r="E176" i="14"/>
  <c r="C511" i="55" s="1"/>
  <c r="C176" i="14"/>
  <c r="F511" i="55" s="1"/>
  <c r="B176" i="14"/>
  <c r="AR175" i="14"/>
  <c r="AO175" i="14"/>
  <c r="AS175" i="14" s="1"/>
  <c r="AL175" i="14"/>
  <c r="W175" i="14"/>
  <c r="V175" i="14"/>
  <c r="T175" i="14"/>
  <c r="S175" i="14"/>
  <c r="R175" i="14"/>
  <c r="Q175" i="14"/>
  <c r="G175" i="14"/>
  <c r="E509" i="55" s="1"/>
  <c r="F175" i="14"/>
  <c r="D509" i="55" s="1"/>
  <c r="E175" i="14"/>
  <c r="C509" i="55" s="1"/>
  <c r="C175" i="14"/>
  <c r="F509" i="55" s="1"/>
  <c r="B175" i="14"/>
  <c r="AR174" i="14"/>
  <c r="AL174" i="14"/>
  <c r="W174" i="14"/>
  <c r="V174" i="14"/>
  <c r="U174" i="14"/>
  <c r="R174" i="14"/>
  <c r="Q174" i="14"/>
  <c r="G174" i="14"/>
  <c r="E504" i="55" s="1"/>
  <c r="F174" i="14"/>
  <c r="D504" i="55" s="1"/>
  <c r="E174" i="14"/>
  <c r="C504" i="55" s="1"/>
  <c r="C174" i="14"/>
  <c r="F504" i="55" s="1"/>
  <c r="B174" i="14"/>
  <c r="AO173" i="14"/>
  <c r="AS173" i="14" s="1"/>
  <c r="AR173" i="14"/>
  <c r="AQ173" i="14"/>
  <c r="AL173" i="14"/>
  <c r="W173" i="14"/>
  <c r="V173" i="14"/>
  <c r="Q173" i="14"/>
  <c r="G173" i="14"/>
  <c r="E502" i="55" s="1"/>
  <c r="F173" i="14"/>
  <c r="D502" i="55" s="1"/>
  <c r="E173" i="14"/>
  <c r="C502" i="55" s="1"/>
  <c r="C173" i="14"/>
  <c r="F502" i="55" s="1"/>
  <c r="B173" i="14"/>
  <c r="AR172" i="14"/>
  <c r="AO172" i="14"/>
  <c r="AS172" i="14" s="1"/>
  <c r="AL172" i="14"/>
  <c r="W172" i="14"/>
  <c r="V172" i="14"/>
  <c r="U172" i="14"/>
  <c r="T172" i="14"/>
  <c r="R172" i="14"/>
  <c r="Q172" i="14"/>
  <c r="G172" i="14"/>
  <c r="E494" i="55" s="1"/>
  <c r="F172" i="14"/>
  <c r="D494" i="55" s="1"/>
  <c r="E172" i="14"/>
  <c r="C494" i="55" s="1"/>
  <c r="C172" i="14"/>
  <c r="F494" i="55" s="1"/>
  <c r="B172" i="14"/>
  <c r="AR171" i="14"/>
  <c r="AL171" i="14"/>
  <c r="AJ171" i="14"/>
  <c r="AK171" i="14" s="1"/>
  <c r="AH171" i="14"/>
  <c r="AI171" i="14" s="1"/>
  <c r="AF171" i="14"/>
  <c r="AG171" i="14" s="1"/>
  <c r="X171" i="14"/>
  <c r="Y171" i="14" s="1"/>
  <c r="W171" i="14"/>
  <c r="V171" i="14"/>
  <c r="U171" i="14"/>
  <c r="T171" i="14"/>
  <c r="S171" i="14"/>
  <c r="R171" i="14"/>
  <c r="Q171" i="14"/>
  <c r="G171" i="14"/>
  <c r="E493" i="55" s="1"/>
  <c r="F171" i="14"/>
  <c r="D493" i="55" s="1"/>
  <c r="E171" i="14"/>
  <c r="C493" i="55" s="1"/>
  <c r="C171" i="14"/>
  <c r="F493" i="55" s="1"/>
  <c r="B171" i="14"/>
  <c r="AR170" i="14"/>
  <c r="AL170" i="14"/>
  <c r="W170" i="14"/>
  <c r="V170" i="14"/>
  <c r="U170" i="14"/>
  <c r="T170" i="14"/>
  <c r="S170" i="14"/>
  <c r="R170" i="14"/>
  <c r="Q170" i="14"/>
  <c r="G170" i="14"/>
  <c r="E492" i="55" s="1"/>
  <c r="F170" i="14"/>
  <c r="D492" i="55" s="1"/>
  <c r="E170" i="14"/>
  <c r="C492" i="55" s="1"/>
  <c r="C170" i="14"/>
  <c r="F492" i="55" s="1"/>
  <c r="B170" i="14"/>
  <c r="AO169" i="14"/>
  <c r="AS169" i="14" s="1"/>
  <c r="AR169" i="14"/>
  <c r="AL169" i="14"/>
  <c r="W169" i="14"/>
  <c r="V169" i="14"/>
  <c r="R169" i="14"/>
  <c r="Q169" i="14"/>
  <c r="G169" i="14"/>
  <c r="E490" i="55" s="1"/>
  <c r="F169" i="14"/>
  <c r="D490" i="55" s="1"/>
  <c r="E169" i="14"/>
  <c r="C490" i="55" s="1"/>
  <c r="C169" i="14"/>
  <c r="F490" i="55" s="1"/>
  <c r="B169" i="14"/>
  <c r="AR167" i="14"/>
  <c r="AL167" i="14"/>
  <c r="W167" i="14"/>
  <c r="V167" i="14"/>
  <c r="U167" i="14"/>
  <c r="R167" i="14"/>
  <c r="Q167" i="14"/>
  <c r="G167" i="14"/>
  <c r="F167" i="14"/>
  <c r="E167" i="14"/>
  <c r="C167" i="14"/>
  <c r="B167" i="14"/>
  <c r="AR166" i="14"/>
  <c r="AL166" i="14"/>
  <c r="W166" i="14"/>
  <c r="V166" i="14"/>
  <c r="U166" i="14"/>
  <c r="T166" i="14"/>
  <c r="S166" i="14"/>
  <c r="R166" i="14"/>
  <c r="Q166" i="14"/>
  <c r="G166" i="14"/>
  <c r="E479" i="55" s="1"/>
  <c r="F166" i="14"/>
  <c r="D479" i="55" s="1"/>
  <c r="E166" i="14"/>
  <c r="C479" i="55" s="1"/>
  <c r="C166" i="14"/>
  <c r="F479" i="55" s="1"/>
  <c r="B166" i="14"/>
  <c r="AO165" i="14"/>
  <c r="AS165" i="14" s="1"/>
  <c r="AR165" i="14"/>
  <c r="AL165" i="14"/>
  <c r="W165" i="14"/>
  <c r="V165" i="14"/>
  <c r="U165" i="14"/>
  <c r="T165" i="14"/>
  <c r="S165" i="14"/>
  <c r="R165" i="14"/>
  <c r="Q165" i="14"/>
  <c r="G165" i="14"/>
  <c r="E478" i="55" s="1"/>
  <c r="F165" i="14"/>
  <c r="D478" i="55" s="1"/>
  <c r="E165" i="14"/>
  <c r="C478" i="55" s="1"/>
  <c r="C165" i="14"/>
  <c r="F478" i="55" s="1"/>
  <c r="B165" i="14"/>
  <c r="AR164" i="14"/>
  <c r="AL164" i="14"/>
  <c r="W164" i="14"/>
  <c r="V164" i="14"/>
  <c r="R164" i="14"/>
  <c r="Q164" i="14"/>
  <c r="G164" i="14"/>
  <c r="E469" i="55" s="1"/>
  <c r="F164" i="14"/>
  <c r="D469" i="55" s="1"/>
  <c r="E164" i="14"/>
  <c r="C469" i="55" s="1"/>
  <c r="C164" i="14"/>
  <c r="F469" i="55" s="1"/>
  <c r="B164" i="14"/>
  <c r="AR163" i="14"/>
  <c r="AN163" i="14"/>
  <c r="AS163" i="14" s="1"/>
  <c r="AL163" i="14"/>
  <c r="W163" i="14"/>
  <c r="V163" i="14"/>
  <c r="U163" i="14"/>
  <c r="T163" i="14"/>
  <c r="S163" i="14"/>
  <c r="R163" i="14"/>
  <c r="Q163" i="14"/>
  <c r="G163" i="14"/>
  <c r="E467" i="55" s="1"/>
  <c r="F163" i="14"/>
  <c r="D467" i="55" s="1"/>
  <c r="E163" i="14"/>
  <c r="C467" i="55" s="1"/>
  <c r="C163" i="14"/>
  <c r="F467" i="55" s="1"/>
  <c r="B163" i="14"/>
  <c r="AR162" i="14"/>
  <c r="AO162" i="14"/>
  <c r="AS162" i="14" s="1"/>
  <c r="AL162" i="14"/>
  <c r="W162" i="14"/>
  <c r="V162" i="14"/>
  <c r="U162" i="14"/>
  <c r="R162" i="14"/>
  <c r="Q162" i="14"/>
  <c r="G162" i="14"/>
  <c r="F162" i="14"/>
  <c r="E162" i="14"/>
  <c r="C162" i="14"/>
  <c r="B162" i="14"/>
  <c r="AR161" i="14"/>
  <c r="AO161" i="14"/>
  <c r="AS161" i="14" s="1"/>
  <c r="AL161" i="14"/>
  <c r="W161" i="14"/>
  <c r="V161" i="14"/>
  <c r="U161" i="14"/>
  <c r="T161" i="14"/>
  <c r="S161" i="14"/>
  <c r="R161" i="14"/>
  <c r="Q161" i="14"/>
  <c r="G161" i="14"/>
  <c r="E466" i="55" s="1"/>
  <c r="F161" i="14"/>
  <c r="D466" i="55" s="1"/>
  <c r="E161" i="14"/>
  <c r="C466" i="55" s="1"/>
  <c r="C161" i="14"/>
  <c r="F466" i="55" s="1"/>
  <c r="B161" i="14"/>
  <c r="AR159" i="14"/>
  <c r="AL159" i="14"/>
  <c r="W159" i="14"/>
  <c r="V159" i="14"/>
  <c r="U159" i="14"/>
  <c r="R159" i="14"/>
  <c r="Q159" i="14"/>
  <c r="G159" i="14"/>
  <c r="F159" i="14"/>
  <c r="E159" i="14"/>
  <c r="C159" i="14"/>
  <c r="B159" i="14"/>
  <c r="AR158" i="14"/>
  <c r="AO158" i="14"/>
  <c r="AS158" i="14" s="1"/>
  <c r="AL158" i="14"/>
  <c r="W158" i="14"/>
  <c r="V158" i="14"/>
  <c r="U158" i="14"/>
  <c r="T158" i="14"/>
  <c r="S158" i="14"/>
  <c r="R158" i="14"/>
  <c r="Q158" i="14"/>
  <c r="G158" i="14"/>
  <c r="E444" i="55" s="1"/>
  <c r="F158" i="14"/>
  <c r="D444" i="55" s="1"/>
  <c r="E158" i="14"/>
  <c r="C444" i="55" s="1"/>
  <c r="C158" i="14"/>
  <c r="F444" i="55" s="1"/>
  <c r="B158" i="14"/>
  <c r="AR157" i="14"/>
  <c r="AO157" i="14"/>
  <c r="AS157" i="14" s="1"/>
  <c r="AL157" i="14"/>
  <c r="W157" i="14"/>
  <c r="V157" i="14"/>
  <c r="R157" i="14"/>
  <c r="Q157" i="14"/>
  <c r="G157" i="14"/>
  <c r="F157" i="14"/>
  <c r="E157" i="14"/>
  <c r="C157" i="14"/>
  <c r="B157" i="14"/>
  <c r="AR156" i="14"/>
  <c r="AO156" i="14"/>
  <c r="AS156" i="14" s="1"/>
  <c r="AL156" i="14"/>
  <c r="W156" i="14"/>
  <c r="V156" i="14"/>
  <c r="U156" i="14"/>
  <c r="T156" i="14"/>
  <c r="S156" i="14"/>
  <c r="R156" i="14"/>
  <c r="Q156" i="14"/>
  <c r="G156" i="14"/>
  <c r="F156" i="14"/>
  <c r="E156" i="14"/>
  <c r="C156" i="14"/>
  <c r="B156" i="14"/>
  <c r="AR155" i="14"/>
  <c r="AO155" i="14"/>
  <c r="AS155" i="14" s="1"/>
  <c r="AL155" i="14"/>
  <c r="W155" i="14"/>
  <c r="V155" i="14"/>
  <c r="U155" i="14"/>
  <c r="T155" i="14"/>
  <c r="S155" i="14"/>
  <c r="R155" i="14"/>
  <c r="Q155" i="14"/>
  <c r="G155" i="14"/>
  <c r="E443" i="55" s="1"/>
  <c r="F155" i="14"/>
  <c r="D443" i="55" s="1"/>
  <c r="E155" i="14"/>
  <c r="C443" i="55" s="1"/>
  <c r="C155" i="14"/>
  <c r="F443" i="55" s="1"/>
  <c r="B155" i="14"/>
  <c r="AR154" i="14"/>
  <c r="AO154" i="14"/>
  <c r="AS154" i="14" s="1"/>
  <c r="AL154" i="14"/>
  <c r="W154" i="14"/>
  <c r="V154" i="14"/>
  <c r="U154" i="14"/>
  <c r="R154" i="14"/>
  <c r="Q154" i="14"/>
  <c r="G154" i="14"/>
  <c r="E442" i="55" s="1"/>
  <c r="F154" i="14"/>
  <c r="D442" i="55" s="1"/>
  <c r="E154" i="14"/>
  <c r="C442" i="55" s="1"/>
  <c r="C154" i="14"/>
  <c r="F442" i="55" s="1"/>
  <c r="B154" i="14"/>
  <c r="AR153" i="14"/>
  <c r="AL153" i="14"/>
  <c r="W153" i="14"/>
  <c r="V153" i="14"/>
  <c r="U153" i="14"/>
  <c r="T153" i="14"/>
  <c r="S153" i="14"/>
  <c r="R153" i="14"/>
  <c r="Q153" i="14"/>
  <c r="G153" i="14"/>
  <c r="E439" i="55" s="1"/>
  <c r="F153" i="14"/>
  <c r="D439" i="55" s="1"/>
  <c r="E153" i="14"/>
  <c r="C439" i="55" s="1"/>
  <c r="C153" i="14"/>
  <c r="F439" i="55" s="1"/>
  <c r="B153" i="14"/>
  <c r="AR152" i="14"/>
  <c r="AL152" i="14"/>
  <c r="W152" i="14"/>
  <c r="V152" i="14"/>
  <c r="Q152" i="14"/>
  <c r="G152" i="14"/>
  <c r="E430" i="55" s="1"/>
  <c r="F152" i="14"/>
  <c r="D430" i="55" s="1"/>
  <c r="E152" i="14"/>
  <c r="C430" i="55" s="1"/>
  <c r="C152" i="14"/>
  <c r="F430" i="55" s="1"/>
  <c r="B152" i="14"/>
  <c r="AR151" i="14"/>
  <c r="AL151" i="14"/>
  <c r="W151" i="14"/>
  <c r="V151" i="14"/>
  <c r="T151" i="14"/>
  <c r="S151" i="14"/>
  <c r="R151" i="14"/>
  <c r="Q151" i="14"/>
  <c r="G151" i="14"/>
  <c r="E428" i="55" s="1"/>
  <c r="F151" i="14"/>
  <c r="D428" i="55" s="1"/>
  <c r="E151" i="14"/>
  <c r="C428" i="55" s="1"/>
  <c r="C151" i="14"/>
  <c r="F428" i="55" s="1"/>
  <c r="B151" i="14"/>
  <c r="AR150" i="14"/>
  <c r="AO150" i="14"/>
  <c r="AS150" i="14" s="1"/>
  <c r="AL150" i="14"/>
  <c r="W150" i="14"/>
  <c r="V150" i="14"/>
  <c r="U150" i="14"/>
  <c r="T150" i="14"/>
  <c r="S150" i="14"/>
  <c r="R150" i="14"/>
  <c r="Q150" i="14"/>
  <c r="G150" i="14"/>
  <c r="E426" i="55" s="1"/>
  <c r="F150" i="14"/>
  <c r="D426" i="55" s="1"/>
  <c r="E150" i="14"/>
  <c r="C426" i="55" s="1"/>
  <c r="C150" i="14"/>
  <c r="F426" i="55" s="1"/>
  <c r="B150" i="14"/>
  <c r="AR149" i="14"/>
  <c r="AO149" i="14"/>
  <c r="AS149" i="14" s="1"/>
  <c r="AL149" i="14"/>
  <c r="W149" i="14"/>
  <c r="V149" i="14"/>
  <c r="Q149" i="14"/>
  <c r="G149" i="14"/>
  <c r="E425" i="55" s="1"/>
  <c r="F149" i="14"/>
  <c r="D425" i="55" s="1"/>
  <c r="E149" i="14"/>
  <c r="C425" i="55" s="1"/>
  <c r="C149" i="14"/>
  <c r="F425" i="55" s="1"/>
  <c r="B149" i="14"/>
  <c r="AR148" i="14"/>
  <c r="AL148" i="14"/>
  <c r="W148" i="14"/>
  <c r="V148" i="14"/>
  <c r="U148" i="14"/>
  <c r="Q148" i="14"/>
  <c r="G148" i="14"/>
  <c r="E422" i="55" s="1"/>
  <c r="F148" i="14"/>
  <c r="D422" i="55" s="1"/>
  <c r="E148" i="14"/>
  <c r="C422" i="55" s="1"/>
  <c r="C148" i="14"/>
  <c r="F422" i="55" s="1"/>
  <c r="B148" i="14"/>
  <c r="AO147" i="14"/>
  <c r="AS147" i="14" s="1"/>
  <c r="AR147" i="14"/>
  <c r="AL147" i="14"/>
  <c r="W147" i="14"/>
  <c r="V147" i="14"/>
  <c r="U147" i="14"/>
  <c r="Q147" i="14"/>
  <c r="G147" i="14"/>
  <c r="F147" i="14"/>
  <c r="E147" i="14"/>
  <c r="C147" i="14"/>
  <c r="B147" i="14"/>
  <c r="AR146" i="14"/>
  <c r="AO146" i="14"/>
  <c r="AS146" i="14" s="1"/>
  <c r="AL146" i="14"/>
  <c r="W146" i="14"/>
  <c r="V146" i="14"/>
  <c r="U146" i="14"/>
  <c r="R146" i="14"/>
  <c r="Q146" i="14"/>
  <c r="G146" i="14"/>
  <c r="F146" i="14"/>
  <c r="E146" i="14"/>
  <c r="C146" i="14"/>
  <c r="B146" i="14"/>
  <c r="AR145" i="14"/>
  <c r="AO145" i="14"/>
  <c r="AS145" i="14" s="1"/>
  <c r="AL145" i="14"/>
  <c r="W145" i="14"/>
  <c r="V145" i="14"/>
  <c r="U145" i="14"/>
  <c r="R145" i="14"/>
  <c r="Q145" i="14"/>
  <c r="G145" i="14"/>
  <c r="F145" i="14"/>
  <c r="E145" i="14"/>
  <c r="C145" i="14"/>
  <c r="B145" i="14"/>
  <c r="AR144" i="14"/>
  <c r="AO144" i="14"/>
  <c r="AS144" i="14" s="1"/>
  <c r="AL144" i="14"/>
  <c r="W144" i="14"/>
  <c r="V144" i="14"/>
  <c r="U144" i="14"/>
  <c r="R144" i="14"/>
  <c r="Q144" i="14"/>
  <c r="G144" i="14"/>
  <c r="E421" i="55" s="1"/>
  <c r="F144" i="14"/>
  <c r="D421" i="55" s="1"/>
  <c r="E144" i="14"/>
  <c r="C421" i="55" s="1"/>
  <c r="C144" i="14"/>
  <c r="F421" i="55" s="1"/>
  <c r="B144" i="14"/>
  <c r="AR142" i="14"/>
  <c r="AO142" i="14"/>
  <c r="AS142" i="14" s="1"/>
  <c r="AL142" i="14"/>
  <c r="W142" i="14"/>
  <c r="V142" i="14"/>
  <c r="U142" i="14"/>
  <c r="T142" i="14"/>
  <c r="S142" i="14"/>
  <c r="R142" i="14"/>
  <c r="Q142" i="14"/>
  <c r="G142" i="14"/>
  <c r="F142" i="14"/>
  <c r="C142" i="14"/>
  <c r="B142" i="14"/>
  <c r="AN141" i="14"/>
  <c r="AS141" i="14" s="1"/>
  <c r="AR141" i="14"/>
  <c r="AL141" i="14"/>
  <c r="W141" i="14"/>
  <c r="V141" i="14"/>
  <c r="U141" i="14"/>
  <c r="R141" i="14"/>
  <c r="Q141" i="14"/>
  <c r="G141" i="14"/>
  <c r="E282" i="55" s="1"/>
  <c r="F141" i="14"/>
  <c r="D282" i="55" s="1"/>
  <c r="C141" i="14"/>
  <c r="F282" i="55" s="1"/>
  <c r="B141" i="14"/>
  <c r="AR140" i="14"/>
  <c r="AQ140" i="14"/>
  <c r="AN140" i="14"/>
  <c r="AS140" i="14" s="1"/>
  <c r="AL140" i="14"/>
  <c r="W140" i="14"/>
  <c r="V140" i="14"/>
  <c r="U140" i="14"/>
  <c r="T140" i="14"/>
  <c r="S140" i="14"/>
  <c r="R140" i="14"/>
  <c r="Q140" i="14"/>
  <c r="G140" i="14"/>
  <c r="E281" i="55" s="1"/>
  <c r="F140" i="14"/>
  <c r="D281" i="55" s="1"/>
  <c r="C140" i="14"/>
  <c r="F281" i="55" s="1"/>
  <c r="B140" i="14"/>
  <c r="AO139" i="14"/>
  <c r="AS139" i="14" s="1"/>
  <c r="AR139" i="14"/>
  <c r="AL139" i="14"/>
  <c r="W139" i="14"/>
  <c r="V139" i="14"/>
  <c r="U139" i="14"/>
  <c r="R139" i="14"/>
  <c r="Q139" i="14"/>
  <c r="G139" i="14"/>
  <c r="F139" i="14"/>
  <c r="C139" i="14"/>
  <c r="B139" i="14"/>
  <c r="AR138" i="14"/>
  <c r="AL138" i="14"/>
  <c r="W138" i="14"/>
  <c r="V138" i="14"/>
  <c r="U138" i="14"/>
  <c r="S138" i="14"/>
  <c r="R138" i="14"/>
  <c r="Q138" i="14"/>
  <c r="G138" i="14"/>
  <c r="E280" i="55" s="1"/>
  <c r="F138" i="14"/>
  <c r="D280" i="55" s="1"/>
  <c r="C138" i="14"/>
  <c r="F280" i="55" s="1"/>
  <c r="B138" i="14"/>
  <c r="AN137" i="14"/>
  <c r="AS137" i="14" s="1"/>
  <c r="AR137" i="14"/>
  <c r="AL137" i="14"/>
  <c r="X137" i="14"/>
  <c r="Y137" i="14" s="1"/>
  <c r="W137" i="14"/>
  <c r="V137" i="14"/>
  <c r="U137" i="14"/>
  <c r="T137" i="14"/>
  <c r="S137" i="14"/>
  <c r="R137" i="14"/>
  <c r="Q137" i="14"/>
  <c r="G137" i="14"/>
  <c r="F137" i="14"/>
  <c r="C137" i="14"/>
  <c r="B137" i="14"/>
  <c r="AR136" i="14"/>
  <c r="AO136" i="14"/>
  <c r="AS136" i="14" s="1"/>
  <c r="AL136" i="14"/>
  <c r="W136" i="14"/>
  <c r="V136" i="14"/>
  <c r="U136" i="14"/>
  <c r="T136" i="14"/>
  <c r="S136" i="14"/>
  <c r="R136" i="14"/>
  <c r="Q136" i="14"/>
  <c r="G136" i="14"/>
  <c r="E278" i="55" s="1"/>
  <c r="F136" i="14"/>
  <c r="D278" i="55" s="1"/>
  <c r="E136" i="14"/>
  <c r="C278" i="55" s="1"/>
  <c r="C136" i="14"/>
  <c r="F278" i="55" s="1"/>
  <c r="B136" i="14"/>
  <c r="W129" i="14"/>
  <c r="V129" i="14"/>
  <c r="U129" i="14"/>
  <c r="T129" i="14"/>
  <c r="S129" i="14"/>
  <c r="R129" i="14"/>
  <c r="Q129" i="14"/>
  <c r="G129" i="14"/>
  <c r="E272" i="55" s="1"/>
  <c r="F129" i="14"/>
  <c r="D272" i="55" s="1"/>
  <c r="E129" i="14"/>
  <c r="C272" i="55" s="1"/>
  <c r="C129" i="14"/>
  <c r="F272" i="55" s="1"/>
  <c r="B129" i="14"/>
  <c r="W128" i="14"/>
  <c r="V128" i="14"/>
  <c r="U128" i="14"/>
  <c r="T128" i="14"/>
  <c r="S128" i="14"/>
  <c r="R128" i="14"/>
  <c r="Q128" i="14"/>
  <c r="G128" i="14"/>
  <c r="F128" i="14"/>
  <c r="E128" i="14"/>
  <c r="C128" i="14"/>
  <c r="B128" i="14"/>
  <c r="AL127" i="14"/>
  <c r="W127" i="14"/>
  <c r="V127" i="14"/>
  <c r="U127" i="14"/>
  <c r="T127" i="14"/>
  <c r="S127" i="14"/>
  <c r="R127" i="14"/>
  <c r="Q127" i="14"/>
  <c r="G127" i="14"/>
  <c r="E270" i="55" s="1"/>
  <c r="F127" i="14"/>
  <c r="D270" i="55" s="1"/>
  <c r="E127" i="14"/>
  <c r="C270" i="55" s="1"/>
  <c r="C127" i="14"/>
  <c r="F270" i="55" s="1"/>
  <c r="B127" i="14"/>
  <c r="AR126" i="14"/>
  <c r="AL126" i="14"/>
  <c r="W126" i="14"/>
  <c r="V126" i="14"/>
  <c r="U126" i="14"/>
  <c r="T126" i="14"/>
  <c r="S126" i="14"/>
  <c r="R126" i="14"/>
  <c r="Q126" i="14"/>
  <c r="G126" i="14"/>
  <c r="E212" i="55" s="1"/>
  <c r="F126" i="14"/>
  <c r="D212" i="55" s="1"/>
  <c r="E126" i="14"/>
  <c r="C212" i="55" s="1"/>
  <c r="C126" i="14"/>
  <c r="F212" i="55" s="1"/>
  <c r="B126" i="14"/>
  <c r="AO125" i="14"/>
  <c r="AS125" i="14" s="1"/>
  <c r="AR125" i="14"/>
  <c r="AL125" i="14"/>
  <c r="W125" i="14"/>
  <c r="V125" i="14"/>
  <c r="U125" i="14"/>
  <c r="T125" i="14"/>
  <c r="S125" i="14"/>
  <c r="R125" i="14"/>
  <c r="Q125" i="14"/>
  <c r="G125" i="14"/>
  <c r="E209" i="55" s="1"/>
  <c r="F125" i="14"/>
  <c r="D209" i="55" s="1"/>
  <c r="E125" i="14"/>
  <c r="C209" i="55" s="1"/>
  <c r="C125" i="14"/>
  <c r="F209" i="55" s="1"/>
  <c r="B125" i="14"/>
  <c r="AO124" i="14"/>
  <c r="AS124" i="14" s="1"/>
  <c r="AR124" i="14"/>
  <c r="AL124" i="14"/>
  <c r="W124" i="14"/>
  <c r="V124" i="14"/>
  <c r="U124" i="14"/>
  <c r="R124" i="14"/>
  <c r="Q124" i="14"/>
  <c r="G124" i="14"/>
  <c r="E208" i="55" s="1"/>
  <c r="F124" i="14"/>
  <c r="D208" i="55" s="1"/>
  <c r="E124" i="14"/>
  <c r="C208" i="55" s="1"/>
  <c r="C124" i="14"/>
  <c r="F208" i="55" s="1"/>
  <c r="B124" i="14"/>
  <c r="AR123" i="14"/>
  <c r="AO123" i="14"/>
  <c r="AS123" i="14" s="1"/>
  <c r="AL123" i="14"/>
  <c r="W123" i="14"/>
  <c r="V123" i="14"/>
  <c r="U123" i="14"/>
  <c r="T123" i="14"/>
  <c r="S123" i="14"/>
  <c r="R123" i="14"/>
  <c r="Q123" i="14"/>
  <c r="G123" i="14"/>
  <c r="E206" i="55"/>
  <c r="F123" i="14"/>
  <c r="D206" i="55" s="1"/>
  <c r="E123" i="14"/>
  <c r="C206" i="55" s="1"/>
  <c r="C123" i="14"/>
  <c r="F206" i="55" s="1"/>
  <c r="B123" i="14"/>
  <c r="AN122" i="14"/>
  <c r="AS122" i="14" s="1"/>
  <c r="AR122" i="14"/>
  <c r="AL122" i="14"/>
  <c r="W122" i="14"/>
  <c r="V122" i="14"/>
  <c r="U122" i="14"/>
  <c r="R122" i="14"/>
  <c r="Q122" i="14"/>
  <c r="G122" i="14"/>
  <c r="E204" i="55" s="1"/>
  <c r="F122" i="14"/>
  <c r="D204" i="55" s="1"/>
  <c r="E122" i="14"/>
  <c r="C204" i="55" s="1"/>
  <c r="C122" i="14"/>
  <c r="F204" i="55" s="1"/>
  <c r="B122" i="14"/>
  <c r="AR121" i="14"/>
  <c r="AN121" i="14"/>
  <c r="AS121" i="14" s="1"/>
  <c r="AL121" i="14"/>
  <c r="X121" i="14"/>
  <c r="Y121" i="14" s="1"/>
  <c r="W121" i="14"/>
  <c r="V121" i="14"/>
  <c r="U121" i="14"/>
  <c r="T121" i="14"/>
  <c r="S121" i="14"/>
  <c r="R121" i="14"/>
  <c r="Q121" i="14"/>
  <c r="G121" i="14"/>
  <c r="F121" i="14"/>
  <c r="E121" i="14"/>
  <c r="C121" i="14"/>
  <c r="B121" i="14"/>
  <c r="AR120" i="14"/>
  <c r="AN120" i="14"/>
  <c r="AS120" i="14" s="1"/>
  <c r="AL120" i="14"/>
  <c r="W120" i="14"/>
  <c r="V120" i="14"/>
  <c r="U120" i="14"/>
  <c r="R120" i="14"/>
  <c r="Q120" i="14"/>
  <c r="G120" i="14"/>
  <c r="E200" i="55" s="1"/>
  <c r="F120" i="14"/>
  <c r="D200" i="55" s="1"/>
  <c r="E120" i="14"/>
  <c r="C200" i="55" s="1"/>
  <c r="C120" i="14"/>
  <c r="F200" i="55" s="1"/>
  <c r="B120" i="14"/>
  <c r="AR119" i="14"/>
  <c r="AO119" i="14"/>
  <c r="AS119" i="14" s="1"/>
  <c r="AL119" i="14"/>
  <c r="W119" i="14"/>
  <c r="V119" i="14"/>
  <c r="U119" i="14"/>
  <c r="T119" i="14"/>
  <c r="S119" i="14"/>
  <c r="R119" i="14"/>
  <c r="Q119" i="14"/>
  <c r="G119" i="14"/>
  <c r="F119" i="14"/>
  <c r="E119" i="14"/>
  <c r="C119" i="14"/>
  <c r="B119" i="14"/>
  <c r="AR118" i="14"/>
  <c r="AL118" i="14"/>
  <c r="W118" i="14"/>
  <c r="V118" i="14"/>
  <c r="U118" i="14"/>
  <c r="S118" i="14"/>
  <c r="R118" i="14"/>
  <c r="Q118" i="14"/>
  <c r="G118" i="14"/>
  <c r="E268" i="55" s="1"/>
  <c r="F118" i="14"/>
  <c r="D268" i="55" s="1"/>
  <c r="E118" i="14"/>
  <c r="C268" i="55" s="1"/>
  <c r="C118" i="14"/>
  <c r="F268" i="55" s="1"/>
  <c r="B118" i="14"/>
  <c r="AR117" i="14"/>
  <c r="AO117" i="14"/>
  <c r="AS117" i="14" s="1"/>
  <c r="AL117" i="14"/>
  <c r="AJ117" i="14"/>
  <c r="AK117" i="14" s="1"/>
  <c r="AH117" i="14"/>
  <c r="AI117" i="14" s="1"/>
  <c r="AF117" i="14"/>
  <c r="AG117" i="14" s="1"/>
  <c r="W117" i="14"/>
  <c r="V117" i="14"/>
  <c r="U117" i="14"/>
  <c r="T117" i="14"/>
  <c r="S117" i="14"/>
  <c r="R117" i="14"/>
  <c r="Q117" i="14"/>
  <c r="G117" i="14"/>
  <c r="F117" i="14"/>
  <c r="E117" i="14"/>
  <c r="C117" i="14"/>
  <c r="B117" i="14"/>
  <c r="AR116" i="14"/>
  <c r="AL116" i="14"/>
  <c r="W116" i="14"/>
  <c r="V116" i="14"/>
  <c r="U116" i="14"/>
  <c r="T116" i="14"/>
  <c r="R116" i="14"/>
  <c r="Q116" i="14"/>
  <c r="G116" i="14"/>
  <c r="E266" i="55" s="1"/>
  <c r="F116" i="14"/>
  <c r="D266" i="55" s="1"/>
  <c r="E116" i="14"/>
  <c r="C266" i="55" s="1"/>
  <c r="C116" i="14"/>
  <c r="F266" i="55" s="1"/>
  <c r="B116" i="14"/>
  <c r="AR115" i="14"/>
  <c r="AL115" i="14"/>
  <c r="W115" i="14"/>
  <c r="V115" i="14"/>
  <c r="U115" i="14"/>
  <c r="T115" i="14"/>
  <c r="S115" i="14"/>
  <c r="R115" i="14"/>
  <c r="Q115" i="14"/>
  <c r="G115" i="14"/>
  <c r="E197" i="55" s="1"/>
  <c r="F115" i="14"/>
  <c r="D197" i="55" s="1"/>
  <c r="E115" i="14"/>
  <c r="C197" i="55" s="1"/>
  <c r="C115" i="14"/>
  <c r="F197" i="55" s="1"/>
  <c r="B115" i="14"/>
  <c r="AR114" i="14"/>
  <c r="AO114" i="14"/>
  <c r="AS114" i="14" s="1"/>
  <c r="AL114" i="14"/>
  <c r="W114" i="14"/>
  <c r="V114" i="14"/>
  <c r="U114" i="14"/>
  <c r="Q114" i="14"/>
  <c r="G114" i="14"/>
  <c r="F114" i="14"/>
  <c r="E114" i="14"/>
  <c r="C114" i="14"/>
  <c r="B114" i="14"/>
  <c r="AO113" i="14"/>
  <c r="AS113" i="14" s="1"/>
  <c r="AR113" i="14"/>
  <c r="AL113" i="14"/>
  <c r="W113" i="14"/>
  <c r="V113" i="14"/>
  <c r="U113" i="14"/>
  <c r="T113" i="14"/>
  <c r="S113" i="14"/>
  <c r="R113" i="14"/>
  <c r="Q113" i="14"/>
  <c r="G113" i="14"/>
  <c r="E194" i="55" s="1"/>
  <c r="F113" i="14"/>
  <c r="D194" i="55" s="1"/>
  <c r="E113" i="14"/>
  <c r="C194" i="55" s="1"/>
  <c r="C113" i="14"/>
  <c r="F194" i="55" s="1"/>
  <c r="B113" i="14"/>
  <c r="AR112" i="14"/>
  <c r="AL112" i="14"/>
  <c r="W112" i="14"/>
  <c r="V112" i="14"/>
  <c r="U112" i="14"/>
  <c r="T112" i="14"/>
  <c r="S112" i="14"/>
  <c r="R112" i="14"/>
  <c r="Q112" i="14"/>
  <c r="G112" i="14"/>
  <c r="E192" i="55" s="1"/>
  <c r="F112" i="14"/>
  <c r="D192" i="55" s="1"/>
  <c r="E112" i="14"/>
  <c r="C192" i="55" s="1"/>
  <c r="C112" i="14"/>
  <c r="F192" i="55" s="1"/>
  <c r="B112" i="14"/>
  <c r="AR111" i="14"/>
  <c r="AO111" i="14"/>
  <c r="AS111" i="14" s="1"/>
  <c r="AL111" i="14"/>
  <c r="W111" i="14"/>
  <c r="V111" i="14"/>
  <c r="T111" i="14"/>
  <c r="S111" i="14"/>
  <c r="R111" i="14"/>
  <c r="Q111" i="14"/>
  <c r="G111" i="14"/>
  <c r="E190" i="55" s="1"/>
  <c r="F111" i="14"/>
  <c r="D190" i="55" s="1"/>
  <c r="E111" i="14"/>
  <c r="C190" i="55" s="1"/>
  <c r="C111" i="14"/>
  <c r="F190" i="55" s="1"/>
  <c r="B111" i="14"/>
  <c r="AR110" i="14"/>
  <c r="AL110" i="14"/>
  <c r="W110" i="14"/>
  <c r="V110" i="14"/>
  <c r="U110" i="14"/>
  <c r="S110" i="14"/>
  <c r="R110" i="14"/>
  <c r="Q110" i="14"/>
  <c r="G110" i="14"/>
  <c r="E185" i="55" s="1"/>
  <c r="F110" i="14"/>
  <c r="D185" i="55" s="1"/>
  <c r="E110" i="14"/>
  <c r="C185" i="55" s="1"/>
  <c r="C110" i="14"/>
  <c r="F185" i="55" s="1"/>
  <c r="B110" i="14"/>
  <c r="AR109" i="14"/>
  <c r="AO109" i="14"/>
  <c r="AS109" i="14" s="1"/>
  <c r="AL109" i="14"/>
  <c r="W109" i="14"/>
  <c r="V109" i="14"/>
  <c r="Q109" i="14"/>
  <c r="G109" i="14"/>
  <c r="E183" i="55"/>
  <c r="F109" i="14"/>
  <c r="D183" i="55" s="1"/>
  <c r="E109" i="14"/>
  <c r="C183" i="55" s="1"/>
  <c r="C109" i="14"/>
  <c r="F183" i="55" s="1"/>
  <c r="B109" i="14"/>
  <c r="AR108" i="14"/>
  <c r="AO108" i="14"/>
  <c r="AS108" i="14" s="1"/>
  <c r="AL108" i="14"/>
  <c r="W108" i="14"/>
  <c r="V108" i="14"/>
  <c r="T108" i="14"/>
  <c r="S108" i="14"/>
  <c r="R108" i="14"/>
  <c r="Q108" i="14"/>
  <c r="G108" i="14"/>
  <c r="E180" i="55" s="1"/>
  <c r="F108" i="14"/>
  <c r="D180" i="55" s="1"/>
  <c r="E108" i="14"/>
  <c r="C180" i="55" s="1"/>
  <c r="C108" i="14"/>
  <c r="F180" i="55" s="1"/>
  <c r="B108" i="14"/>
  <c r="AR107" i="14"/>
  <c r="AL107" i="14"/>
  <c r="W107" i="14"/>
  <c r="V107" i="14"/>
  <c r="U107" i="14"/>
  <c r="R107" i="14"/>
  <c r="Q107" i="14"/>
  <c r="G107" i="14"/>
  <c r="F107" i="14"/>
  <c r="E107" i="14"/>
  <c r="C107" i="14"/>
  <c r="B107" i="14"/>
  <c r="AR106" i="14"/>
  <c r="AL106" i="14"/>
  <c r="W106" i="14"/>
  <c r="V106" i="14"/>
  <c r="U106" i="14"/>
  <c r="T106" i="14"/>
  <c r="S106" i="14"/>
  <c r="R106" i="14"/>
  <c r="Q106" i="14"/>
  <c r="G106" i="14"/>
  <c r="E263" i="55" s="1"/>
  <c r="F106" i="14"/>
  <c r="D263" i="55" s="1"/>
  <c r="E106" i="14"/>
  <c r="C263" i="55" s="1"/>
  <c r="C106" i="14"/>
  <c r="F263" i="55" s="1"/>
  <c r="B106" i="14"/>
  <c r="AR105" i="14"/>
  <c r="AO105" i="14"/>
  <c r="AS105" i="14" s="1"/>
  <c r="AL105" i="14"/>
  <c r="W105" i="14"/>
  <c r="V105" i="14"/>
  <c r="U105" i="14"/>
  <c r="T105" i="14"/>
  <c r="S105" i="14"/>
  <c r="R105" i="14"/>
  <c r="Q105" i="14"/>
  <c r="G105" i="14"/>
  <c r="E262" i="55" s="1"/>
  <c r="F105" i="14"/>
  <c r="D262" i="55" s="1"/>
  <c r="E105" i="14"/>
  <c r="C262" i="55" s="1"/>
  <c r="C105" i="14"/>
  <c r="F262" i="55" s="1"/>
  <c r="B105" i="14"/>
  <c r="AR104" i="14"/>
  <c r="AL104" i="14"/>
  <c r="W104" i="14"/>
  <c r="V104" i="14"/>
  <c r="Q104" i="14"/>
  <c r="G104" i="14"/>
  <c r="E253" i="55" s="1"/>
  <c r="F104" i="14"/>
  <c r="D253" i="55" s="1"/>
  <c r="E104" i="14"/>
  <c r="C253" i="55" s="1"/>
  <c r="C104" i="14"/>
  <c r="F253" i="55" s="1"/>
  <c r="B104" i="14"/>
  <c r="AR103" i="14"/>
  <c r="AN103" i="14"/>
  <c r="AS103" i="14" s="1"/>
  <c r="AL103" i="14"/>
  <c r="W103" i="14"/>
  <c r="V103" i="14"/>
  <c r="U103" i="14"/>
  <c r="T103" i="14"/>
  <c r="S103" i="14"/>
  <c r="R103" i="14"/>
  <c r="Q103" i="14"/>
  <c r="G103" i="14"/>
  <c r="E251" i="55" s="1"/>
  <c r="F103" i="14"/>
  <c r="D251" i="55"/>
  <c r="E103" i="14"/>
  <c r="C251" i="55" s="1"/>
  <c r="C103" i="14"/>
  <c r="F251" i="55" s="1"/>
  <c r="B103" i="14"/>
  <c r="AR102" i="14"/>
  <c r="AO102" i="14"/>
  <c r="AS102" i="14" s="1"/>
  <c r="AL102" i="14"/>
  <c r="W102" i="14"/>
  <c r="V102" i="14"/>
  <c r="U102" i="14"/>
  <c r="R102" i="14"/>
  <c r="Q102" i="14"/>
  <c r="G102" i="14"/>
  <c r="F102" i="14"/>
  <c r="E102" i="14"/>
  <c r="C102" i="14"/>
  <c r="B102" i="14"/>
  <c r="AO101" i="14"/>
  <c r="AS101" i="14" s="1"/>
  <c r="AR101" i="14"/>
  <c r="AL101" i="14"/>
  <c r="W101" i="14"/>
  <c r="V101" i="14"/>
  <c r="U101" i="14"/>
  <c r="T101" i="14"/>
  <c r="R101" i="14"/>
  <c r="Q101" i="14"/>
  <c r="G101" i="14"/>
  <c r="E250" i="55" s="1"/>
  <c r="F101" i="14"/>
  <c r="D250" i="55" s="1"/>
  <c r="E101" i="14"/>
  <c r="C250" i="55" s="1"/>
  <c r="C101" i="14"/>
  <c r="F250" i="55" s="1"/>
  <c r="B101" i="14"/>
  <c r="AR99" i="14"/>
  <c r="AL99" i="14"/>
  <c r="W99" i="14"/>
  <c r="V99" i="14"/>
  <c r="U99" i="14"/>
  <c r="R99" i="14"/>
  <c r="Q99" i="14"/>
  <c r="G99" i="14"/>
  <c r="F99" i="14"/>
  <c r="E99" i="14"/>
  <c r="C99" i="14"/>
  <c r="B99" i="14"/>
  <c r="AR98" i="14"/>
  <c r="AL98" i="14"/>
  <c r="AJ98" i="14"/>
  <c r="AK98" i="14" s="1"/>
  <c r="AH98" i="14"/>
  <c r="AI98" i="14" s="1"/>
  <c r="AD98" i="14"/>
  <c r="AE98" i="14" s="1"/>
  <c r="W98" i="14"/>
  <c r="V98" i="14"/>
  <c r="U98" i="14"/>
  <c r="T98" i="14"/>
  <c r="S98" i="14"/>
  <c r="R98" i="14"/>
  <c r="Q98" i="14"/>
  <c r="G98" i="14"/>
  <c r="E239" i="55" s="1"/>
  <c r="F98" i="14"/>
  <c r="D239" i="55" s="1"/>
  <c r="E98" i="14"/>
  <c r="C239" i="55" s="1"/>
  <c r="C98" i="14"/>
  <c r="F239" i="55" s="1"/>
  <c r="B98" i="14"/>
  <c r="AR97" i="14"/>
  <c r="AO97" i="14"/>
  <c r="AS97" i="14" s="1"/>
  <c r="AL97" i="14"/>
  <c r="W97" i="14"/>
  <c r="V97" i="14"/>
  <c r="U97" i="14"/>
  <c r="T97" i="14"/>
  <c r="S97" i="14"/>
  <c r="R97" i="14"/>
  <c r="Q97" i="14"/>
  <c r="G97" i="14"/>
  <c r="E238" i="55" s="1"/>
  <c r="F97" i="14"/>
  <c r="D238" i="55" s="1"/>
  <c r="E97" i="14"/>
  <c r="C238" i="55" s="1"/>
  <c r="C97" i="14"/>
  <c r="F238" i="55" s="1"/>
  <c r="B97" i="14"/>
  <c r="AR96" i="14"/>
  <c r="AL96" i="14"/>
  <c r="W96" i="14"/>
  <c r="V96" i="14"/>
  <c r="Q96" i="14"/>
  <c r="G96" i="14"/>
  <c r="E229" i="55" s="1"/>
  <c r="F96" i="14"/>
  <c r="D229" i="55" s="1"/>
  <c r="E96" i="14"/>
  <c r="C229" i="55" s="1"/>
  <c r="C96" i="14"/>
  <c r="F229" i="55" s="1"/>
  <c r="B96" i="14"/>
  <c r="AR95" i="14"/>
  <c r="AO95" i="14"/>
  <c r="AS95" i="14" s="1"/>
  <c r="AL95" i="14"/>
  <c r="W95" i="14"/>
  <c r="V95" i="14"/>
  <c r="U95" i="14"/>
  <c r="Q95" i="14"/>
  <c r="G95" i="14"/>
  <c r="E226" i="55" s="1"/>
  <c r="F95" i="14"/>
  <c r="D226" i="55" s="1"/>
  <c r="E95" i="14"/>
  <c r="C226" i="55" s="1"/>
  <c r="C95" i="14"/>
  <c r="F226" i="55" s="1"/>
  <c r="B95" i="14"/>
  <c r="AR94" i="14"/>
  <c r="AO94" i="14"/>
  <c r="AS94" i="14" s="1"/>
  <c r="AL94" i="14"/>
  <c r="W94" i="14"/>
  <c r="V94" i="14"/>
  <c r="U94" i="14"/>
  <c r="R94" i="14"/>
  <c r="Q94" i="14"/>
  <c r="G94" i="14"/>
  <c r="E224" i="55" s="1"/>
  <c r="F94" i="14"/>
  <c r="D224" i="55" s="1"/>
  <c r="E94" i="14"/>
  <c r="C224" i="55" s="1"/>
  <c r="C94" i="14"/>
  <c r="F224" i="55" s="1"/>
  <c r="B94" i="14"/>
  <c r="AN93" i="14"/>
  <c r="AS93" i="14"/>
  <c r="AR93" i="14"/>
  <c r="AL93" i="14"/>
  <c r="W93" i="14"/>
  <c r="V93" i="14"/>
  <c r="U93" i="14"/>
  <c r="R93" i="14"/>
  <c r="Q93" i="14"/>
  <c r="G93" i="14"/>
  <c r="E222" i="55" s="1"/>
  <c r="F93" i="14"/>
  <c r="D222" i="55" s="1"/>
  <c r="E93" i="14"/>
  <c r="C222" i="55" s="1"/>
  <c r="C93" i="14"/>
  <c r="F222" i="55" s="1"/>
  <c r="B93" i="14"/>
  <c r="AR91" i="14"/>
  <c r="AL91" i="14"/>
  <c r="W91" i="14"/>
  <c r="V91" i="14"/>
  <c r="U91" i="14"/>
  <c r="R91" i="14"/>
  <c r="Q91" i="14"/>
  <c r="G91" i="14"/>
  <c r="F91" i="14"/>
  <c r="E91" i="14"/>
  <c r="C91" i="14"/>
  <c r="B91" i="14"/>
  <c r="AR90" i="14"/>
  <c r="AO90" i="14"/>
  <c r="AS90" i="14" s="1"/>
  <c r="AL90" i="14"/>
  <c r="W90" i="14"/>
  <c r="V90" i="14"/>
  <c r="U90" i="14"/>
  <c r="R90" i="14"/>
  <c r="Q90" i="14"/>
  <c r="G90" i="14"/>
  <c r="F90" i="14"/>
  <c r="E90" i="14"/>
  <c r="C90" i="14"/>
  <c r="B90" i="14"/>
  <c r="AR89" i="14"/>
  <c r="AO89" i="14"/>
  <c r="AS89" i="14" s="1"/>
  <c r="AL89" i="14"/>
  <c r="W89" i="14"/>
  <c r="V89" i="14"/>
  <c r="U89" i="14"/>
  <c r="R89" i="14"/>
  <c r="Q89" i="14"/>
  <c r="G89" i="14"/>
  <c r="F89" i="14"/>
  <c r="E89" i="14"/>
  <c r="C89" i="14"/>
  <c r="B89" i="14"/>
  <c r="AR88" i="14"/>
  <c r="AO88" i="14"/>
  <c r="AS88" i="14" s="1"/>
  <c r="AL88" i="14"/>
  <c r="W88" i="14"/>
  <c r="V88" i="14"/>
  <c r="U88" i="14"/>
  <c r="R88" i="14"/>
  <c r="Q88" i="14"/>
  <c r="G88" i="14"/>
  <c r="F88" i="14"/>
  <c r="E88" i="14"/>
  <c r="C88" i="14"/>
  <c r="B88" i="14"/>
  <c r="AR87" i="14"/>
  <c r="AL87" i="14"/>
  <c r="W87" i="14"/>
  <c r="V87" i="14"/>
  <c r="U87" i="14"/>
  <c r="R87" i="14"/>
  <c r="Q87" i="14"/>
  <c r="G87" i="14"/>
  <c r="E177" i="55" s="1"/>
  <c r="F87" i="14"/>
  <c r="D177" i="55" s="1"/>
  <c r="E87" i="14"/>
  <c r="C177" i="55" s="1"/>
  <c r="C87" i="14"/>
  <c r="F177" i="55" s="1"/>
  <c r="B87" i="14"/>
  <c r="AR86" i="14"/>
  <c r="AL86" i="14"/>
  <c r="W86" i="14"/>
  <c r="V86" i="14"/>
  <c r="Q86" i="14"/>
  <c r="G86" i="14"/>
  <c r="E168" i="55" s="1"/>
  <c r="F86" i="14"/>
  <c r="D168" i="55" s="1"/>
  <c r="E86" i="14"/>
  <c r="C168" i="55" s="1"/>
  <c r="C86" i="14"/>
  <c r="F168" i="55" s="1"/>
  <c r="B86" i="14"/>
  <c r="AR85" i="14"/>
  <c r="AL85" i="14"/>
  <c r="W85" i="14"/>
  <c r="V85" i="14"/>
  <c r="U85" i="14"/>
  <c r="T85" i="14"/>
  <c r="S85" i="14"/>
  <c r="R85" i="14"/>
  <c r="Q85" i="14"/>
  <c r="G85" i="14"/>
  <c r="E166" i="55" s="1"/>
  <c r="F85" i="14"/>
  <c r="D166" i="55" s="1"/>
  <c r="E85" i="14"/>
  <c r="C166" i="55" s="1"/>
  <c r="C85" i="14"/>
  <c r="F166" i="55" s="1"/>
  <c r="B85" i="14"/>
  <c r="AR84" i="14"/>
  <c r="AO84" i="14"/>
  <c r="AS84" i="14"/>
  <c r="AL84" i="14"/>
  <c r="W84" i="14"/>
  <c r="V84" i="14"/>
  <c r="U84" i="14"/>
  <c r="T84" i="14"/>
  <c r="S84" i="14"/>
  <c r="R84" i="14"/>
  <c r="Q84" i="14"/>
  <c r="G84" i="14"/>
  <c r="E164" i="55"/>
  <c r="F84" i="14"/>
  <c r="D164" i="55" s="1"/>
  <c r="E84" i="14"/>
  <c r="C164" i="55" s="1"/>
  <c r="C84" i="14"/>
  <c r="F164" i="55" s="1"/>
  <c r="B84" i="14"/>
  <c r="AO83" i="14"/>
  <c r="AS83" i="14" s="1"/>
  <c r="AR83" i="14"/>
  <c r="AL83" i="14"/>
  <c r="W83" i="14"/>
  <c r="V83" i="14"/>
  <c r="T83" i="14"/>
  <c r="Q83" i="14"/>
  <c r="G83" i="14"/>
  <c r="E163" i="55" s="1"/>
  <c r="F83" i="14"/>
  <c r="D163" i="55" s="1"/>
  <c r="E83" i="14"/>
  <c r="C163" i="55" s="1"/>
  <c r="C83" i="14"/>
  <c r="F163" i="55" s="1"/>
  <c r="B83" i="14"/>
  <c r="AR82" i="14"/>
  <c r="AL82" i="14"/>
  <c r="W82" i="14"/>
  <c r="V82" i="14"/>
  <c r="U82" i="14"/>
  <c r="Q82" i="14"/>
  <c r="G82" i="14"/>
  <c r="E160" i="55" s="1"/>
  <c r="F82" i="14"/>
  <c r="D160" i="55" s="1"/>
  <c r="E82" i="14"/>
  <c r="C160" i="55" s="1"/>
  <c r="C82" i="14"/>
  <c r="F160" i="55" s="1"/>
  <c r="B82" i="14"/>
  <c r="AR81" i="14"/>
  <c r="AO81" i="14"/>
  <c r="AS81" i="14"/>
  <c r="AL81" i="14"/>
  <c r="W81" i="14"/>
  <c r="V81" i="14"/>
  <c r="U81" i="14"/>
  <c r="Q81" i="14"/>
  <c r="G81" i="14"/>
  <c r="F81" i="14"/>
  <c r="E81" i="14"/>
  <c r="C81" i="14"/>
  <c r="B81" i="14"/>
  <c r="AR80" i="14"/>
  <c r="AO80" i="14"/>
  <c r="AS80" i="14" s="1"/>
  <c r="AL80" i="14"/>
  <c r="W80" i="14"/>
  <c r="V80" i="14"/>
  <c r="U80" i="14"/>
  <c r="R80" i="14"/>
  <c r="Q80" i="14"/>
  <c r="G80" i="14"/>
  <c r="F80" i="14"/>
  <c r="E80" i="14"/>
  <c r="C80" i="14"/>
  <c r="B80" i="14"/>
  <c r="AR79" i="14"/>
  <c r="AO79" i="14"/>
  <c r="AS79" i="14" s="1"/>
  <c r="AL79" i="14"/>
  <c r="W79" i="14"/>
  <c r="V79" i="14"/>
  <c r="U79" i="14"/>
  <c r="R79" i="14"/>
  <c r="Q79" i="14"/>
  <c r="G79" i="14"/>
  <c r="F79" i="14"/>
  <c r="E79" i="14"/>
  <c r="C79" i="14"/>
  <c r="B79" i="14"/>
  <c r="AO78" i="14"/>
  <c r="AS78" i="14" s="1"/>
  <c r="AR78" i="14"/>
  <c r="AL78" i="14"/>
  <c r="W78" i="14"/>
  <c r="V78" i="14"/>
  <c r="U78" i="14"/>
  <c r="R78" i="14"/>
  <c r="Q78" i="14"/>
  <c r="G78" i="14"/>
  <c r="E159" i="55" s="1"/>
  <c r="F78" i="14"/>
  <c r="D159" i="55" s="1"/>
  <c r="E78" i="14"/>
  <c r="C159" i="55" s="1"/>
  <c r="C78" i="14"/>
  <c r="F159" i="55" s="1"/>
  <c r="B78" i="14"/>
  <c r="C76" i="14"/>
  <c r="B76" i="14"/>
  <c r="C75" i="14"/>
  <c r="F150" i="55" s="1"/>
  <c r="B75" i="14"/>
  <c r="C74" i="14"/>
  <c r="F149" i="55" s="1"/>
  <c r="B74" i="14"/>
  <c r="C73" i="14"/>
  <c r="B73" i="14"/>
  <c r="C72" i="14"/>
  <c r="F148" i="55" s="1"/>
  <c r="B72" i="14"/>
  <c r="C71" i="14"/>
  <c r="B71" i="14"/>
  <c r="Q70" i="14"/>
  <c r="E70" i="14"/>
  <c r="C146" i="55" s="1"/>
  <c r="C70" i="14"/>
  <c r="F146" i="55" s="1"/>
  <c r="B70" i="14"/>
  <c r="Q63" i="14"/>
  <c r="G63" i="14"/>
  <c r="E144" i="55" s="1"/>
  <c r="F63" i="14"/>
  <c r="D139" i="55" s="1"/>
  <c r="E63" i="14"/>
  <c r="C139" i="55" s="1"/>
  <c r="C63" i="14"/>
  <c r="F144" i="55" s="1"/>
  <c r="B63" i="14"/>
  <c r="E62" i="14"/>
  <c r="C62" i="14"/>
  <c r="B62" i="14"/>
  <c r="E61" i="14"/>
  <c r="C136" i="55" s="1"/>
  <c r="C61" i="14"/>
  <c r="F136" i="55" s="1"/>
  <c r="B61" i="14"/>
  <c r="AN57" i="14"/>
  <c r="AS57" i="14" s="1"/>
  <c r="AR57" i="14"/>
  <c r="AL57" i="14"/>
  <c r="W57" i="14"/>
  <c r="V57" i="14"/>
  <c r="U57" i="14"/>
  <c r="T57" i="14"/>
  <c r="S57" i="14"/>
  <c r="R57" i="14"/>
  <c r="Q57" i="14"/>
  <c r="G57" i="14"/>
  <c r="E70" i="55" s="1"/>
  <c r="F57" i="14"/>
  <c r="D70" i="55" s="1"/>
  <c r="E57" i="14"/>
  <c r="C70" i="55" s="1"/>
  <c r="C57" i="14"/>
  <c r="F70" i="55" s="1"/>
  <c r="B57" i="14"/>
  <c r="AR56" i="14"/>
  <c r="AN56" i="14"/>
  <c r="AS56" i="14" s="1"/>
  <c r="AL56" i="14"/>
  <c r="W56" i="14"/>
  <c r="V56" i="14"/>
  <c r="U56" i="14"/>
  <c r="R56" i="14"/>
  <c r="Q56" i="14"/>
  <c r="G56" i="14"/>
  <c r="E68" i="55" s="1"/>
  <c r="F56" i="14"/>
  <c r="D68" i="55" s="1"/>
  <c r="E56" i="14"/>
  <c r="C68" i="55" s="1"/>
  <c r="C56" i="14"/>
  <c r="F68" i="55" s="1"/>
  <c r="B56" i="14"/>
  <c r="AR55" i="14"/>
  <c r="AO55" i="14"/>
  <c r="AS55" i="14" s="1"/>
  <c r="AL55" i="14"/>
  <c r="W55" i="14"/>
  <c r="V55" i="14"/>
  <c r="U55" i="14"/>
  <c r="T55" i="14"/>
  <c r="R55" i="14"/>
  <c r="Q55" i="14"/>
  <c r="G55" i="14"/>
  <c r="E66" i="55" s="1"/>
  <c r="F55" i="14"/>
  <c r="D66" i="55" s="1"/>
  <c r="E55" i="14"/>
  <c r="C66" i="55" s="1"/>
  <c r="C55" i="14"/>
  <c r="F66" i="55" s="1"/>
  <c r="B55" i="14"/>
  <c r="AR54" i="14"/>
  <c r="AO54" i="14"/>
  <c r="AS54" i="14" s="1"/>
  <c r="AL54" i="14"/>
  <c r="W54" i="14"/>
  <c r="V54" i="14"/>
  <c r="U54" i="14"/>
  <c r="T54" i="14"/>
  <c r="R54" i="14"/>
  <c r="Q54" i="14"/>
  <c r="G54" i="14"/>
  <c r="E62" i="55" s="1"/>
  <c r="F54" i="14"/>
  <c r="D62" i="55" s="1"/>
  <c r="E54" i="14"/>
  <c r="C62" i="55" s="1"/>
  <c r="C54" i="14"/>
  <c r="F62" i="55" s="1"/>
  <c r="B54" i="14"/>
  <c r="AR53" i="14"/>
  <c r="AO53" i="14"/>
  <c r="AS53" i="14" s="1"/>
  <c r="AL53" i="14"/>
  <c r="W53" i="14"/>
  <c r="V53" i="14"/>
  <c r="U53" i="14"/>
  <c r="T53" i="14"/>
  <c r="R53" i="14"/>
  <c r="Q53" i="14"/>
  <c r="G53" i="14"/>
  <c r="F53" i="14"/>
  <c r="E53" i="14"/>
  <c r="C53" i="14"/>
  <c r="B53" i="14"/>
  <c r="AR52" i="14"/>
  <c r="AO52" i="14"/>
  <c r="AS52" i="14" s="1"/>
  <c r="AL52" i="14"/>
  <c r="Z52" i="14"/>
  <c r="AA52" i="14" s="1"/>
  <c r="W52" i="14"/>
  <c r="V52" i="14"/>
  <c r="U52" i="14"/>
  <c r="T52" i="14"/>
  <c r="S52" i="14"/>
  <c r="R52" i="14"/>
  <c r="Q52" i="14"/>
  <c r="G52" i="14"/>
  <c r="F52" i="14"/>
  <c r="E52" i="14"/>
  <c r="C52" i="14"/>
  <c r="B52" i="14"/>
  <c r="AR51" i="14"/>
  <c r="AL51" i="14"/>
  <c r="W51" i="14"/>
  <c r="V51" i="14"/>
  <c r="U51" i="14"/>
  <c r="T51" i="14"/>
  <c r="S51" i="14"/>
  <c r="R51" i="14"/>
  <c r="Q51" i="14"/>
  <c r="G51" i="14"/>
  <c r="E133" i="55" s="1"/>
  <c r="F51" i="14"/>
  <c r="D133" i="55" s="1"/>
  <c r="E51" i="14"/>
  <c r="C133" i="55" s="1"/>
  <c r="C51" i="14"/>
  <c r="F133" i="55" s="1"/>
  <c r="B51" i="14"/>
  <c r="AO50" i="14"/>
  <c r="AS50" i="14" s="1"/>
  <c r="AR50" i="14"/>
  <c r="AL50" i="14"/>
  <c r="AJ50" i="14"/>
  <c r="AK50" i="14" s="1"/>
  <c r="AH50" i="14"/>
  <c r="AI50" i="14" s="1"/>
  <c r="W50" i="14"/>
  <c r="V50" i="14"/>
  <c r="U50" i="14"/>
  <c r="T50" i="14"/>
  <c r="S50" i="14"/>
  <c r="R50" i="14"/>
  <c r="Q50" i="14"/>
  <c r="G50" i="14"/>
  <c r="F50" i="14"/>
  <c r="E50" i="14"/>
  <c r="C50" i="14"/>
  <c r="B50" i="14"/>
  <c r="AR49" i="14"/>
  <c r="AO49" i="14"/>
  <c r="AS49" i="14" s="1"/>
  <c r="AL49" i="14"/>
  <c r="W49" i="14"/>
  <c r="V49" i="14"/>
  <c r="U49" i="14"/>
  <c r="T49" i="14"/>
  <c r="S49" i="14"/>
  <c r="R49" i="14"/>
  <c r="Q49" i="14"/>
  <c r="G49" i="14"/>
  <c r="F49" i="14"/>
  <c r="E49" i="14"/>
  <c r="C49" i="14"/>
  <c r="B49" i="14"/>
  <c r="AR48" i="14"/>
  <c r="AL48" i="14"/>
  <c r="W48" i="14"/>
  <c r="V48" i="14"/>
  <c r="U48" i="14"/>
  <c r="T48" i="14"/>
  <c r="S48" i="14"/>
  <c r="R48" i="14"/>
  <c r="Q48" i="14"/>
  <c r="G48" i="14"/>
  <c r="E131" i="55" s="1"/>
  <c r="F48" i="14"/>
  <c r="D131" i="55" s="1"/>
  <c r="E48" i="14"/>
  <c r="C131" i="55" s="1"/>
  <c r="C48" i="14"/>
  <c r="F131" i="55" s="1"/>
  <c r="B48" i="14"/>
  <c r="AR47" i="14"/>
  <c r="AO47" i="14"/>
  <c r="AS47" i="14"/>
  <c r="AL47" i="14"/>
  <c r="W47" i="14"/>
  <c r="V47" i="14"/>
  <c r="U47" i="14"/>
  <c r="T47" i="14"/>
  <c r="S47" i="14"/>
  <c r="R47" i="14"/>
  <c r="Q47" i="14"/>
  <c r="G47" i="14"/>
  <c r="F47" i="14"/>
  <c r="E47" i="14"/>
  <c r="C47" i="14"/>
  <c r="B47" i="14"/>
  <c r="AR46" i="14"/>
  <c r="AL46" i="14"/>
  <c r="W46" i="14"/>
  <c r="V46" i="14"/>
  <c r="U46" i="14"/>
  <c r="R46" i="14"/>
  <c r="Q46" i="14"/>
  <c r="G46" i="14"/>
  <c r="E129" i="55" s="1"/>
  <c r="F46" i="14"/>
  <c r="D129" i="55" s="1"/>
  <c r="E46" i="14"/>
  <c r="C129" i="55" s="1"/>
  <c r="C46" i="14"/>
  <c r="F129" i="55" s="1"/>
  <c r="B46" i="14"/>
  <c r="AR45" i="14"/>
  <c r="AL45" i="14"/>
  <c r="W45" i="14"/>
  <c r="V45" i="14"/>
  <c r="U45" i="14"/>
  <c r="T45" i="14"/>
  <c r="R45" i="14"/>
  <c r="Q45" i="14"/>
  <c r="G45" i="14"/>
  <c r="E59" i="55" s="1"/>
  <c r="F45" i="14"/>
  <c r="D59" i="55" s="1"/>
  <c r="E45" i="14"/>
  <c r="C59" i="55" s="1"/>
  <c r="C45" i="14"/>
  <c r="F59" i="55" s="1"/>
  <c r="B45" i="14"/>
  <c r="AR44" i="14"/>
  <c r="AO44" i="14"/>
  <c r="AS44" i="14" s="1"/>
  <c r="AL44" i="14"/>
  <c r="W44" i="14"/>
  <c r="V44" i="14"/>
  <c r="U44" i="14"/>
  <c r="R44" i="14"/>
  <c r="Q44" i="14"/>
  <c r="G44" i="14"/>
  <c r="F44" i="14"/>
  <c r="E44" i="14"/>
  <c r="C44" i="14"/>
  <c r="B44" i="14"/>
  <c r="AR43" i="14"/>
  <c r="AO43" i="14"/>
  <c r="AS43" i="14" s="1"/>
  <c r="AL43" i="14"/>
  <c r="W43" i="14"/>
  <c r="V43" i="14"/>
  <c r="U43" i="14"/>
  <c r="T43" i="14"/>
  <c r="S43" i="14"/>
  <c r="R43" i="14"/>
  <c r="Q43" i="14"/>
  <c r="G43" i="14"/>
  <c r="E56" i="55" s="1"/>
  <c r="F43" i="14"/>
  <c r="D56" i="55" s="1"/>
  <c r="E43" i="14"/>
  <c r="C56" i="55" s="1"/>
  <c r="C43" i="14"/>
  <c r="F56" i="55" s="1"/>
  <c r="B43" i="14"/>
  <c r="AR42" i="14"/>
  <c r="AL42" i="14"/>
  <c r="W42" i="14"/>
  <c r="V42" i="14"/>
  <c r="U42" i="14"/>
  <c r="T42" i="14"/>
  <c r="S42" i="14"/>
  <c r="R42" i="14"/>
  <c r="Q42" i="14"/>
  <c r="G42" i="14"/>
  <c r="E54" i="55" s="1"/>
  <c r="F42" i="14"/>
  <c r="D54" i="55" s="1"/>
  <c r="E42" i="14"/>
  <c r="C54" i="55" s="1"/>
  <c r="C42" i="14"/>
  <c r="F54" i="55" s="1"/>
  <c r="B42" i="14"/>
  <c r="AO41" i="14"/>
  <c r="AS41" i="14" s="1"/>
  <c r="AR41" i="14"/>
  <c r="AL41" i="14"/>
  <c r="W41" i="14"/>
  <c r="V41" i="14"/>
  <c r="T41" i="14"/>
  <c r="S41" i="14"/>
  <c r="R41" i="14"/>
  <c r="Q41" i="14"/>
  <c r="G41" i="14"/>
  <c r="E52" i="55" s="1"/>
  <c r="F41" i="14"/>
  <c r="D52" i="55" s="1"/>
  <c r="E41" i="14"/>
  <c r="C52" i="55" s="1"/>
  <c r="C41" i="14"/>
  <c r="F52" i="55" s="1"/>
  <c r="B41" i="14"/>
  <c r="AR40" i="14"/>
  <c r="AS40" i="14"/>
  <c r="AL40" i="14"/>
  <c r="W40" i="14"/>
  <c r="V40" i="14"/>
  <c r="U40" i="14"/>
  <c r="T40" i="14"/>
  <c r="S40" i="14"/>
  <c r="R40" i="14"/>
  <c r="Q40" i="14"/>
  <c r="G40" i="14"/>
  <c r="E47" i="55" s="1"/>
  <c r="F40" i="14"/>
  <c r="D47" i="55" s="1"/>
  <c r="E40" i="14"/>
  <c r="C47" i="55" s="1"/>
  <c r="C40" i="14"/>
  <c r="F47" i="55" s="1"/>
  <c r="B40" i="14"/>
  <c r="AR39" i="14"/>
  <c r="AO39" i="14"/>
  <c r="AS39" i="14" s="1"/>
  <c r="AL39" i="14"/>
  <c r="W39" i="14"/>
  <c r="V39" i="14"/>
  <c r="R39" i="14"/>
  <c r="Q39" i="14"/>
  <c r="G39" i="14"/>
  <c r="E45" i="55" s="1"/>
  <c r="F39" i="14"/>
  <c r="D45" i="55" s="1"/>
  <c r="E39" i="14"/>
  <c r="C45" i="55" s="1"/>
  <c r="C39" i="14"/>
  <c r="F45" i="55" s="1"/>
  <c r="B39" i="14"/>
  <c r="AR38" i="14"/>
  <c r="AO38" i="14"/>
  <c r="AS38" i="14" s="1"/>
  <c r="AL38" i="14"/>
  <c r="W38" i="14"/>
  <c r="V38" i="14"/>
  <c r="U38" i="14"/>
  <c r="T38" i="14"/>
  <c r="R38" i="14"/>
  <c r="Q38" i="14"/>
  <c r="G38" i="14"/>
  <c r="E37" i="55" s="1"/>
  <c r="F38" i="14"/>
  <c r="D37" i="55" s="1"/>
  <c r="E38" i="14"/>
  <c r="C37" i="55"/>
  <c r="C38" i="14"/>
  <c r="F37" i="55" s="1"/>
  <c r="B38" i="14"/>
  <c r="AR37" i="14"/>
  <c r="AL37" i="14"/>
  <c r="W37" i="14"/>
  <c r="V37" i="14"/>
  <c r="U37" i="14"/>
  <c r="R37" i="14"/>
  <c r="Q37" i="14"/>
  <c r="G37" i="14"/>
  <c r="F37" i="14"/>
  <c r="E37" i="14"/>
  <c r="C37" i="14"/>
  <c r="B37" i="14"/>
  <c r="AR36" i="14"/>
  <c r="AL36" i="14"/>
  <c r="W36" i="14"/>
  <c r="V36" i="14"/>
  <c r="U36" i="14"/>
  <c r="T36" i="14"/>
  <c r="S36" i="14"/>
  <c r="R36" i="14"/>
  <c r="Q36" i="14"/>
  <c r="G36" i="14"/>
  <c r="E126" i="55" s="1"/>
  <c r="F36" i="14"/>
  <c r="D126" i="55" s="1"/>
  <c r="E36" i="14"/>
  <c r="C126" i="55" s="1"/>
  <c r="C36" i="14"/>
  <c r="F126" i="55" s="1"/>
  <c r="B36" i="14"/>
  <c r="AO35" i="14"/>
  <c r="AS35" i="14" s="1"/>
  <c r="AR35" i="14"/>
  <c r="AL35" i="14"/>
  <c r="W35" i="14"/>
  <c r="V35" i="14"/>
  <c r="U35" i="14"/>
  <c r="R35" i="14"/>
  <c r="Q35" i="14"/>
  <c r="G35" i="14"/>
  <c r="E125" i="55" s="1"/>
  <c r="F35" i="14"/>
  <c r="D125" i="55" s="1"/>
  <c r="E35" i="14"/>
  <c r="C125" i="55" s="1"/>
  <c r="C35" i="14"/>
  <c r="F125" i="55" s="1"/>
  <c r="B35" i="14"/>
  <c r="AR34" i="14"/>
  <c r="AL34" i="14"/>
  <c r="W34" i="14"/>
  <c r="V34" i="14"/>
  <c r="Q34" i="14"/>
  <c r="G34" i="14"/>
  <c r="E116" i="55" s="1"/>
  <c r="F34" i="14"/>
  <c r="D116" i="55" s="1"/>
  <c r="E34" i="14"/>
  <c r="C116" i="55" s="1"/>
  <c r="C34" i="14"/>
  <c r="F116" i="55" s="1"/>
  <c r="B34" i="14"/>
  <c r="AR33" i="14"/>
  <c r="AN33" i="14"/>
  <c r="AS33" i="14" s="1"/>
  <c r="AL33" i="14"/>
  <c r="X33" i="14"/>
  <c r="Y33" i="14" s="1"/>
  <c r="W33" i="14"/>
  <c r="V33" i="14"/>
  <c r="U33" i="14"/>
  <c r="T33" i="14"/>
  <c r="S33" i="14"/>
  <c r="R33" i="14"/>
  <c r="Q33" i="14"/>
  <c r="G33" i="14"/>
  <c r="E114" i="55" s="1"/>
  <c r="F33" i="14"/>
  <c r="D114" i="55" s="1"/>
  <c r="E33" i="14"/>
  <c r="C114" i="55" s="1"/>
  <c r="C33" i="14"/>
  <c r="F114" i="55" s="1"/>
  <c r="B33" i="14"/>
  <c r="AR32" i="14"/>
  <c r="AO32" i="14"/>
  <c r="AS32" i="14" s="1"/>
  <c r="AL32" i="14"/>
  <c r="W32" i="14"/>
  <c r="V32" i="14"/>
  <c r="U32" i="14"/>
  <c r="R32" i="14"/>
  <c r="Q32" i="14"/>
  <c r="G32" i="14"/>
  <c r="F32" i="14"/>
  <c r="E32" i="14"/>
  <c r="C32" i="14"/>
  <c r="B32" i="14"/>
  <c r="AR31" i="14"/>
  <c r="AO31" i="14"/>
  <c r="AS31" i="14" s="1"/>
  <c r="AL31" i="14"/>
  <c r="W31" i="14"/>
  <c r="V31" i="14"/>
  <c r="U31" i="14"/>
  <c r="R31" i="14"/>
  <c r="Q31" i="14"/>
  <c r="G31" i="14"/>
  <c r="E113" i="55" s="1"/>
  <c r="F31" i="14"/>
  <c r="D113" i="55" s="1"/>
  <c r="E31" i="14"/>
  <c r="C113" i="55" s="1"/>
  <c r="C31" i="14"/>
  <c r="F113" i="55" s="1"/>
  <c r="B31" i="14"/>
  <c r="AR29" i="14"/>
  <c r="AL29" i="14"/>
  <c r="W29" i="14"/>
  <c r="V29" i="14"/>
  <c r="U29" i="14"/>
  <c r="R29" i="14"/>
  <c r="Q29" i="14"/>
  <c r="G29" i="14"/>
  <c r="F29" i="14"/>
  <c r="E29" i="14"/>
  <c r="C29" i="14"/>
  <c r="B29" i="14"/>
  <c r="AR28" i="14"/>
  <c r="AL28" i="14"/>
  <c r="AJ28" i="14"/>
  <c r="AK28" i="14" s="1"/>
  <c r="AH28" i="14"/>
  <c r="AI28" i="14" s="1"/>
  <c r="AD28" i="14"/>
  <c r="AE28" i="14" s="1"/>
  <c r="W28" i="14"/>
  <c r="V28" i="14"/>
  <c r="U28" i="14"/>
  <c r="T28" i="14"/>
  <c r="S28" i="14"/>
  <c r="R28" i="14"/>
  <c r="Q28" i="14"/>
  <c r="G28" i="14"/>
  <c r="E102" i="55" s="1"/>
  <c r="F28" i="14"/>
  <c r="D102" i="55" s="1"/>
  <c r="E28" i="14"/>
  <c r="C102" i="55" s="1"/>
  <c r="C28" i="14"/>
  <c r="F102" i="55" s="1"/>
  <c r="B28" i="14"/>
  <c r="AO27" i="14"/>
  <c r="AS27" i="14" s="1"/>
  <c r="AR27" i="14"/>
  <c r="AL27" i="14"/>
  <c r="W27" i="14"/>
  <c r="V27" i="14"/>
  <c r="U27" i="14"/>
  <c r="T27" i="14"/>
  <c r="S27" i="14"/>
  <c r="R27" i="14"/>
  <c r="Q27" i="14"/>
  <c r="G27" i="14"/>
  <c r="E101" i="55" s="1"/>
  <c r="F27" i="14"/>
  <c r="D101" i="55" s="1"/>
  <c r="E27" i="14"/>
  <c r="C101" i="55" s="1"/>
  <c r="C27" i="14"/>
  <c r="F101" i="55" s="1"/>
  <c r="B27" i="14"/>
  <c r="AR26" i="14"/>
  <c r="AL26" i="14"/>
  <c r="W26" i="14"/>
  <c r="V26" i="14"/>
  <c r="Q26" i="14"/>
  <c r="G26" i="14"/>
  <c r="F26" i="14"/>
  <c r="D92" i="55" s="1"/>
  <c r="E26" i="14"/>
  <c r="C92" i="55" s="1"/>
  <c r="C26" i="14"/>
  <c r="F92" i="55" s="1"/>
  <c r="B26" i="14"/>
  <c r="AR25" i="14"/>
  <c r="AO25" i="14"/>
  <c r="AS25" i="14" s="1"/>
  <c r="AL25" i="14"/>
  <c r="W25" i="14"/>
  <c r="V25" i="14"/>
  <c r="U25" i="14"/>
  <c r="Q25" i="14"/>
  <c r="G25" i="14"/>
  <c r="E89" i="55" s="1"/>
  <c r="F25" i="14"/>
  <c r="D89" i="55" s="1"/>
  <c r="E25" i="14"/>
  <c r="C89" i="55" s="1"/>
  <c r="C25" i="14"/>
  <c r="F89" i="55" s="1"/>
  <c r="B25" i="14"/>
  <c r="AR24" i="14"/>
  <c r="AO24" i="14"/>
  <c r="AS24" i="14" s="1"/>
  <c r="AL24" i="14"/>
  <c r="W24" i="14"/>
  <c r="V24" i="14"/>
  <c r="U24" i="14"/>
  <c r="R24" i="14"/>
  <c r="Q24" i="14"/>
  <c r="G24" i="14"/>
  <c r="E87" i="55" s="1"/>
  <c r="F24" i="14"/>
  <c r="D87" i="55" s="1"/>
  <c r="E24" i="14"/>
  <c r="C87" i="55" s="1"/>
  <c r="C24" i="14"/>
  <c r="F87" i="55" s="1"/>
  <c r="B24" i="14"/>
  <c r="AR23" i="14"/>
  <c r="AN23" i="14"/>
  <c r="AS23" i="14" s="1"/>
  <c r="AL23" i="14"/>
  <c r="W23" i="14"/>
  <c r="V23" i="14"/>
  <c r="U23" i="14"/>
  <c r="S23" i="14"/>
  <c r="R23" i="14"/>
  <c r="Q23" i="14"/>
  <c r="G23" i="14"/>
  <c r="E85" i="55" s="1"/>
  <c r="F23" i="14"/>
  <c r="D85" i="55" s="1"/>
  <c r="E23" i="14"/>
  <c r="C85" i="55" s="1"/>
  <c r="C23" i="14"/>
  <c r="F85" i="55" s="1"/>
  <c r="B23" i="14"/>
  <c r="AR21" i="14"/>
  <c r="AL21" i="14"/>
  <c r="W21" i="14"/>
  <c r="V21" i="14"/>
  <c r="U21" i="14"/>
  <c r="R21" i="14"/>
  <c r="Q21" i="14"/>
  <c r="G21" i="14"/>
  <c r="F21" i="14"/>
  <c r="E21" i="14"/>
  <c r="C21" i="14"/>
  <c r="B21" i="14"/>
  <c r="AR20" i="14"/>
  <c r="AO20" i="14"/>
  <c r="AS20" i="14" s="1"/>
  <c r="AL20" i="14"/>
  <c r="W20" i="14"/>
  <c r="V20" i="14"/>
  <c r="U20" i="14"/>
  <c r="S20" i="14"/>
  <c r="R20" i="14"/>
  <c r="Q20" i="14"/>
  <c r="G20" i="14"/>
  <c r="F20" i="14"/>
  <c r="E20" i="14"/>
  <c r="C20" i="14"/>
  <c r="B20" i="14"/>
  <c r="AR19" i="14"/>
  <c r="AO19" i="14"/>
  <c r="AS19" i="14" s="1"/>
  <c r="AL19" i="14"/>
  <c r="W19" i="14"/>
  <c r="V19" i="14"/>
  <c r="U19" i="14"/>
  <c r="R19" i="14"/>
  <c r="Q19" i="14"/>
  <c r="G19" i="14"/>
  <c r="F19" i="14"/>
  <c r="E19" i="14"/>
  <c r="C19" i="14"/>
  <c r="B19" i="14"/>
  <c r="AR18" i="14"/>
  <c r="AO18" i="14"/>
  <c r="AS18" i="14" s="1"/>
  <c r="AL18" i="14"/>
  <c r="W18" i="14"/>
  <c r="V18" i="14"/>
  <c r="U18" i="14"/>
  <c r="R18" i="14"/>
  <c r="Q18" i="14"/>
  <c r="G18" i="14"/>
  <c r="F18" i="14"/>
  <c r="E18" i="14"/>
  <c r="C18" i="14"/>
  <c r="B18" i="14"/>
  <c r="AR17" i="14"/>
  <c r="AL17" i="14"/>
  <c r="W17" i="14"/>
  <c r="V17" i="14"/>
  <c r="U17" i="14"/>
  <c r="R17" i="14"/>
  <c r="Q17" i="14"/>
  <c r="G17" i="14"/>
  <c r="E34" i="55" s="1"/>
  <c r="F17" i="14"/>
  <c r="D34" i="55" s="1"/>
  <c r="E17" i="14"/>
  <c r="C17" i="14"/>
  <c r="F34" i="55" s="1"/>
  <c r="B17" i="14"/>
  <c r="AR16" i="14"/>
  <c r="AL16" i="14"/>
  <c r="W16" i="14"/>
  <c r="V16" i="14"/>
  <c r="Q16" i="14"/>
  <c r="G16" i="14"/>
  <c r="E25" i="55" s="1"/>
  <c r="F16" i="14"/>
  <c r="D25" i="55" s="1"/>
  <c r="E16" i="14"/>
  <c r="C25" i="55" s="1"/>
  <c r="C16" i="14"/>
  <c r="F25" i="55" s="1"/>
  <c r="B16" i="14"/>
  <c r="AR15" i="14"/>
  <c r="AL15" i="14"/>
  <c r="W15" i="14"/>
  <c r="V15" i="14"/>
  <c r="R15" i="14"/>
  <c r="Q15" i="14"/>
  <c r="G15" i="14"/>
  <c r="E23" i="55" s="1"/>
  <c r="F15" i="14"/>
  <c r="D23" i="55" s="1"/>
  <c r="E15" i="14"/>
  <c r="C23" i="55" s="1"/>
  <c r="C15" i="14"/>
  <c r="F23" i="55" s="1"/>
  <c r="B15" i="14"/>
  <c r="AR14" i="14"/>
  <c r="AO14" i="14"/>
  <c r="AS14" i="14" s="1"/>
  <c r="AL14" i="14"/>
  <c r="W14" i="14"/>
  <c r="V14" i="14"/>
  <c r="U14" i="14"/>
  <c r="R14" i="14"/>
  <c r="Q14" i="14"/>
  <c r="G14" i="14"/>
  <c r="E21" i="55" s="1"/>
  <c r="F14" i="14"/>
  <c r="D21" i="55" s="1"/>
  <c r="E14" i="14"/>
  <c r="C21" i="55" s="1"/>
  <c r="C14" i="14"/>
  <c r="B14" i="14"/>
  <c r="AR13" i="14"/>
  <c r="AO13" i="14"/>
  <c r="AS13" i="14" s="1"/>
  <c r="AL13" i="14"/>
  <c r="W13" i="14"/>
  <c r="V13" i="14"/>
  <c r="Q13" i="14"/>
  <c r="G13" i="14"/>
  <c r="E20" i="55" s="1"/>
  <c r="F13" i="14"/>
  <c r="D20" i="55" s="1"/>
  <c r="E13" i="14"/>
  <c r="C20" i="55" s="1"/>
  <c r="C13" i="14"/>
  <c r="F20" i="55" s="1"/>
  <c r="B13" i="14"/>
  <c r="AR12" i="14"/>
  <c r="AM12" i="14"/>
  <c r="AS12" i="14"/>
  <c r="AL12" i="14"/>
  <c r="W12" i="14"/>
  <c r="V12" i="14"/>
  <c r="U12" i="14"/>
  <c r="Q12" i="14"/>
  <c r="G12" i="14"/>
  <c r="E17" i="55" s="1"/>
  <c r="F12" i="14"/>
  <c r="D17" i="55" s="1"/>
  <c r="E12" i="14"/>
  <c r="C17" i="55" s="1"/>
  <c r="C12" i="14"/>
  <c r="F17" i="55" s="1"/>
  <c r="B12" i="14"/>
  <c r="AR11" i="14"/>
  <c r="AO11" i="14"/>
  <c r="AS11" i="14" s="1"/>
  <c r="AL11" i="14"/>
  <c r="W11" i="14"/>
  <c r="V11" i="14"/>
  <c r="U11" i="14"/>
  <c r="R11" i="14"/>
  <c r="Q11" i="14"/>
  <c r="G11" i="14"/>
  <c r="F11" i="14"/>
  <c r="E11" i="14"/>
  <c r="C11" i="14"/>
  <c r="B11" i="14"/>
  <c r="AR10" i="14"/>
  <c r="AO10" i="14"/>
  <c r="AS10" i="14" s="1"/>
  <c r="AL10" i="14"/>
  <c r="W10" i="14"/>
  <c r="V10" i="14"/>
  <c r="U10" i="14"/>
  <c r="R10" i="14"/>
  <c r="Q10" i="14"/>
  <c r="G10" i="14"/>
  <c r="F10" i="14"/>
  <c r="E10" i="14"/>
  <c r="C10" i="14"/>
  <c r="B10" i="14"/>
  <c r="AR9" i="14"/>
  <c r="AO9" i="14"/>
  <c r="AS9" i="14" s="1"/>
  <c r="AL9" i="14"/>
  <c r="W9" i="14"/>
  <c r="V9" i="14"/>
  <c r="U9" i="14"/>
  <c r="R9" i="14"/>
  <c r="Q9" i="14"/>
  <c r="G9" i="14"/>
  <c r="F9" i="14"/>
  <c r="E9" i="14"/>
  <c r="C9" i="14"/>
  <c r="B9" i="14"/>
  <c r="AR8" i="14"/>
  <c r="AO8" i="14"/>
  <c r="AS8" i="14" s="1"/>
  <c r="AL8" i="14"/>
  <c r="W8" i="14"/>
  <c r="V8" i="14"/>
  <c r="U8" i="14"/>
  <c r="R8" i="14"/>
  <c r="Q8" i="14"/>
  <c r="G8" i="14"/>
  <c r="E16" i="55" s="1"/>
  <c r="F8" i="14"/>
  <c r="D16" i="55" s="1"/>
  <c r="C8" i="14"/>
  <c r="F16" i="55" s="1"/>
  <c r="B8" i="14"/>
  <c r="E77" i="2"/>
  <c r="C77" i="2"/>
  <c r="E17" i="2"/>
  <c r="O7" i="2"/>
  <c r="G15" i="2"/>
  <c r="E15" i="2"/>
  <c r="C15" i="2"/>
  <c r="Q7" i="2"/>
  <c r="M15" i="2"/>
  <c r="G13" i="2"/>
  <c r="E13" i="2"/>
  <c r="C13" i="2"/>
  <c r="Q13" i="2"/>
  <c r="O13" i="2"/>
  <c r="M13" i="2"/>
  <c r="G11" i="2"/>
  <c r="E11" i="2"/>
  <c r="C11" i="2"/>
  <c r="Q11" i="2"/>
  <c r="O11" i="2"/>
  <c r="M11" i="2"/>
  <c r="K9" i="2"/>
  <c r="I9" i="2"/>
  <c r="G9" i="2"/>
  <c r="E9" i="2"/>
  <c r="C9" i="2"/>
  <c r="Q9" i="2"/>
  <c r="O9" i="2"/>
  <c r="M9" i="2"/>
  <c r="K7" i="2"/>
  <c r="I7" i="2"/>
  <c r="G7" i="2"/>
  <c r="E7" i="2"/>
  <c r="C7" i="2"/>
  <c r="P72" i="1"/>
  <c r="P71" i="1" s="1"/>
  <c r="O69" i="1"/>
  <c r="P69" i="1" s="1"/>
  <c r="Q69" i="1" s="1"/>
  <c r="R69" i="1" s="1"/>
  <c r="S69" i="1" s="1"/>
  <c r="T69" i="1" s="1"/>
  <c r="U69" i="1" s="1"/>
  <c r="V69" i="1" s="1"/>
  <c r="W69" i="1" s="1"/>
  <c r="X69" i="1" s="1"/>
  <c r="Y69" i="1" s="1"/>
  <c r="Z69" i="1" s="1"/>
  <c r="O67" i="1"/>
  <c r="P67" i="1" s="1"/>
  <c r="Q67" i="1" s="1"/>
  <c r="R67" i="1" s="1"/>
  <c r="S67" i="1" s="1"/>
  <c r="T67" i="1" s="1"/>
  <c r="U67" i="1" s="1"/>
  <c r="V67" i="1" s="1"/>
  <c r="W67" i="1" s="1"/>
  <c r="X67" i="1" s="1"/>
  <c r="Y67" i="1" s="1"/>
  <c r="Z67" i="1" s="1"/>
  <c r="O61" i="1"/>
  <c r="P61" i="1" s="1"/>
  <c r="Q61" i="1" s="1"/>
  <c r="R61" i="1" s="1"/>
  <c r="S61" i="1" s="1"/>
  <c r="T61" i="1" s="1"/>
  <c r="U61" i="1" s="1"/>
  <c r="V61" i="1" s="1"/>
  <c r="W61" i="1" s="1"/>
  <c r="X61" i="1" s="1"/>
  <c r="Y61" i="1" s="1"/>
  <c r="Z61" i="1" s="1"/>
  <c r="Q47" i="1"/>
  <c r="Q35" i="1" s="1"/>
  <c r="R47" i="1" s="1"/>
  <c r="R35" i="1" s="1"/>
  <c r="S47" i="1" s="1"/>
  <c r="Y43" i="1"/>
  <c r="Z43" i="1" s="1"/>
  <c r="X43" i="1"/>
  <c r="W43" i="1"/>
  <c r="V43" i="1"/>
  <c r="U43" i="1"/>
  <c r="T43" i="1"/>
  <c r="S43" i="1"/>
  <c r="R43" i="1"/>
  <c r="Q43" i="1"/>
  <c r="P43" i="1"/>
  <c r="O41" i="1"/>
  <c r="P41" i="1" s="1"/>
  <c r="Q41" i="1" s="1"/>
  <c r="R41" i="1" s="1"/>
  <c r="S41" i="1" s="1"/>
  <c r="T41" i="1" s="1"/>
  <c r="U41" i="1" s="1"/>
  <c r="V41" i="1" s="1"/>
  <c r="W41" i="1" s="1"/>
  <c r="X41" i="1" s="1"/>
  <c r="Y41" i="1" s="1"/>
  <c r="Z41" i="1" s="1"/>
  <c r="Z39" i="1"/>
  <c r="Y39" i="1"/>
  <c r="X39" i="1"/>
  <c r="W39" i="1"/>
  <c r="V39" i="1"/>
  <c r="U39" i="1"/>
  <c r="T39" i="1"/>
  <c r="S39" i="1"/>
  <c r="R39" i="1"/>
  <c r="Q39" i="1"/>
  <c r="O37" i="1"/>
  <c r="O36" i="1" s="1"/>
  <c r="P37" i="1" s="1"/>
  <c r="P36" i="1" s="1"/>
  <c r="O33" i="1"/>
  <c r="P33" i="1" s="1"/>
  <c r="Q33" i="1" s="1"/>
  <c r="R33" i="1" s="1"/>
  <c r="S33" i="1" s="1"/>
  <c r="T33" i="1" s="1"/>
  <c r="U33" i="1" s="1"/>
  <c r="V33" i="1" s="1"/>
  <c r="W33" i="1" s="1"/>
  <c r="X33" i="1" s="1"/>
  <c r="Y33" i="1" s="1"/>
  <c r="Z33" i="1" s="1"/>
  <c r="O29" i="1"/>
  <c r="P29" i="1" s="1"/>
  <c r="Q29" i="1" s="1"/>
  <c r="R29" i="1" s="1"/>
  <c r="S29" i="1" s="1"/>
  <c r="T29" i="1" s="1"/>
  <c r="U29" i="1" s="1"/>
  <c r="V29" i="1" s="1"/>
  <c r="W29" i="1" s="1"/>
  <c r="X29" i="1" s="1"/>
  <c r="Y29" i="1" s="1"/>
  <c r="Z29" i="1" s="1"/>
  <c r="O27" i="1"/>
  <c r="P27" i="1" s="1"/>
  <c r="Q27" i="1" s="1"/>
  <c r="R27" i="1" s="1"/>
  <c r="S27" i="1" s="1"/>
  <c r="T27" i="1" s="1"/>
  <c r="U27" i="1" s="1"/>
  <c r="V27" i="1" s="1"/>
  <c r="W27" i="1" s="1"/>
  <c r="X27" i="1" s="1"/>
  <c r="Y27" i="1" s="1"/>
  <c r="Z27" i="1" s="1"/>
  <c r="O22" i="1"/>
  <c r="P22" i="1" s="1"/>
  <c r="Q22" i="1" s="1"/>
  <c r="R22" i="1" s="1"/>
  <c r="S22" i="1" s="1"/>
  <c r="T22" i="1" s="1"/>
  <c r="U22" i="1" s="1"/>
  <c r="V22" i="1" s="1"/>
  <c r="W22" i="1" s="1"/>
  <c r="X22" i="1" s="1"/>
  <c r="Y22" i="1" s="1"/>
  <c r="Z22" i="1" s="1"/>
  <c r="O20" i="1"/>
  <c r="P20" i="1" s="1"/>
  <c r="Q20" i="1" s="1"/>
  <c r="R20" i="1" s="1"/>
  <c r="S20" i="1" s="1"/>
  <c r="T20" i="1" s="1"/>
  <c r="U20" i="1" s="1"/>
  <c r="V20" i="1" s="1"/>
  <c r="W20" i="1" s="1"/>
  <c r="X20" i="1" s="1"/>
  <c r="Y20" i="1" s="1"/>
  <c r="Z20" i="1" s="1"/>
  <c r="O18" i="1"/>
  <c r="P18" i="1" s="1"/>
  <c r="Q18" i="1" s="1"/>
  <c r="R18" i="1" s="1"/>
  <c r="S18" i="1" s="1"/>
  <c r="T18" i="1" s="1"/>
  <c r="U18" i="1" s="1"/>
  <c r="V18" i="1" s="1"/>
  <c r="W18" i="1" s="1"/>
  <c r="X18" i="1" s="1"/>
  <c r="Y18" i="1" s="1"/>
  <c r="Z18" i="1" s="1"/>
  <c r="N16" i="1"/>
  <c r="M16" i="1"/>
  <c r="L16" i="1"/>
  <c r="K16" i="1"/>
  <c r="J16" i="1"/>
  <c r="N14" i="1"/>
  <c r="M14" i="1"/>
  <c r="L14" i="1"/>
  <c r="K14" i="1"/>
  <c r="J14" i="1"/>
  <c r="O11" i="1"/>
  <c r="P11" i="1" s="1"/>
  <c r="Q11" i="1" s="1"/>
  <c r="R11" i="1" s="1"/>
  <c r="S11" i="1" s="1"/>
  <c r="T11" i="1" s="1"/>
  <c r="U11" i="1" s="1"/>
  <c r="V11" i="1" s="1"/>
  <c r="W11" i="1" s="1"/>
  <c r="X11" i="1" s="1"/>
  <c r="Y11" i="1" s="1"/>
  <c r="Z11" i="1" s="1"/>
  <c r="O9" i="1"/>
  <c r="P9" i="1" s="1"/>
  <c r="Q9" i="1" s="1"/>
  <c r="R9" i="1" s="1"/>
  <c r="S9" i="1" s="1"/>
  <c r="T9" i="1" s="1"/>
  <c r="U9" i="1" s="1"/>
  <c r="V9" i="1" s="1"/>
  <c r="W9" i="1" s="1"/>
  <c r="X9" i="1" s="1"/>
  <c r="Y9" i="1" s="1"/>
  <c r="Z9" i="1" s="1"/>
  <c r="P5" i="1"/>
  <c r="Q5" i="1" s="1"/>
  <c r="R5" i="1" s="1"/>
  <c r="S5" i="1" s="1"/>
  <c r="T5" i="1" s="1"/>
  <c r="U5" i="1" s="1"/>
  <c r="V5" i="1" s="1"/>
  <c r="W5" i="1" s="1"/>
  <c r="X5" i="1" s="1"/>
  <c r="Y5" i="1" s="1"/>
  <c r="Z5" i="1" s="1"/>
  <c r="R276" i="14"/>
  <c r="S164" i="17"/>
  <c r="AF205" i="14" s="1"/>
  <c r="AG205" i="14" s="1"/>
  <c r="X203" i="14"/>
  <c r="Y203" i="14" s="1"/>
  <c r="T188" i="15"/>
  <c r="S122" i="17"/>
  <c r="AF191" i="14"/>
  <c r="AG191" i="14" s="1"/>
  <c r="Q68" i="15"/>
  <c r="AB33" i="14"/>
  <c r="AC33" i="14" s="1"/>
  <c r="R67" i="17"/>
  <c r="AD170" i="14"/>
  <c r="AE170" i="14" s="1"/>
  <c r="T68" i="15"/>
  <c r="AH33" i="14"/>
  <c r="AI33" i="14" s="1"/>
  <c r="U68" i="15"/>
  <c r="AJ33" i="14"/>
  <c r="AK33" i="14" s="1"/>
  <c r="U67" i="17"/>
  <c r="AJ170" i="14" s="1"/>
  <c r="AK170" i="14" s="1"/>
  <c r="AJ194" i="14"/>
  <c r="AK194" i="14" s="1"/>
  <c r="R165" i="17"/>
  <c r="AD206" i="14" s="1"/>
  <c r="AE206" i="14" s="1"/>
  <c r="T165" i="17"/>
  <c r="AH206" i="14"/>
  <c r="AI206" i="14" s="1"/>
  <c r="U167" i="16"/>
  <c r="AJ142" i="14" s="1"/>
  <c r="AK142" i="14" s="1"/>
  <c r="Q167" i="16"/>
  <c r="AB142" i="14" s="1"/>
  <c r="AC142" i="14" s="1"/>
  <c r="U46" i="15"/>
  <c r="T46" i="15"/>
  <c r="AH23" i="14" s="1"/>
  <c r="AI23" i="14" s="1"/>
  <c r="S103" i="15"/>
  <c r="S107" i="15" s="1"/>
  <c r="R117" i="16"/>
  <c r="AD121" i="14" s="1"/>
  <c r="AE121" i="14" s="1"/>
  <c r="R162" i="16"/>
  <c r="AD137" i="14" s="1"/>
  <c r="AE137" i="14" s="1"/>
  <c r="U162" i="16"/>
  <c r="AJ137" i="14"/>
  <c r="AK137" i="14" s="1"/>
  <c r="R68" i="15"/>
  <c r="AD33" i="14"/>
  <c r="AE33" i="14" s="1"/>
  <c r="R106" i="15"/>
  <c r="AD49" i="14" s="1"/>
  <c r="AE49" i="14" s="1"/>
  <c r="AJ128" i="14"/>
  <c r="AK128" i="14" s="1"/>
  <c r="AH128" i="14"/>
  <c r="AI128" i="14" s="1"/>
  <c r="R33" i="17"/>
  <c r="AD158" i="14" s="1"/>
  <c r="AE158" i="14" s="1"/>
  <c r="Q33" i="17"/>
  <c r="AB158" i="14"/>
  <c r="AC158" i="14" s="1"/>
  <c r="U33" i="17"/>
  <c r="AJ158" i="14" s="1"/>
  <c r="AK158" i="14" s="1"/>
  <c r="AB163" i="14"/>
  <c r="AC163" i="14" s="1"/>
  <c r="T49" i="17"/>
  <c r="AH163" i="14"/>
  <c r="AI163" i="14" s="1"/>
  <c r="T162" i="16"/>
  <c r="AH137" i="14"/>
  <c r="AI137" i="14" s="1"/>
  <c r="U120" i="17"/>
  <c r="AJ189" i="14"/>
  <c r="AK189" i="14" s="1"/>
  <c r="R120" i="17"/>
  <c r="AD189" i="14"/>
  <c r="AE189" i="14" s="1"/>
  <c r="R99" i="17"/>
  <c r="Q122" i="17"/>
  <c r="AB191" i="14" s="1"/>
  <c r="AC191" i="14" s="1"/>
  <c r="T84" i="17"/>
  <c r="AH176" i="14"/>
  <c r="AI176" i="14" s="1"/>
  <c r="AD193" i="14"/>
  <c r="AE193" i="14" s="1"/>
  <c r="Q164" i="17"/>
  <c r="AB205" i="14" s="1"/>
  <c r="AC205" i="14" s="1"/>
  <c r="T164" i="17"/>
  <c r="AH205" i="14" s="1"/>
  <c r="AI205" i="14" s="1"/>
  <c r="AF193" i="14"/>
  <c r="AG193" i="14" s="1"/>
  <c r="U165" i="18"/>
  <c r="AJ269" i="14" s="1"/>
  <c r="AK269" i="14" s="1"/>
  <c r="T52" i="18"/>
  <c r="AH230" i="14"/>
  <c r="AI230" i="14" s="1"/>
  <c r="R71" i="18"/>
  <c r="AD238" i="14" s="1"/>
  <c r="AE238" i="14" s="1"/>
  <c r="K47" i="16"/>
  <c r="P47" i="16" s="1"/>
  <c r="Z95" i="14" s="1"/>
  <c r="AA95" i="14" s="1"/>
  <c r="S251" i="14"/>
  <c r="X123" i="14"/>
  <c r="Y123" i="14" s="1"/>
  <c r="Q165" i="16"/>
  <c r="AB140" i="14"/>
  <c r="AC140" i="14" s="1"/>
  <c r="X120" i="14"/>
  <c r="Y120" i="14" s="1"/>
  <c r="X140" i="14"/>
  <c r="Y140" i="14" s="1"/>
  <c r="AD128" i="14"/>
  <c r="AE128" i="14" s="1"/>
  <c r="AH193" i="14"/>
  <c r="AI193" i="14" s="1"/>
  <c r="AJ193" i="14"/>
  <c r="AK193" i="14" s="1"/>
  <c r="Q48" i="17"/>
  <c r="AB162" i="14"/>
  <c r="AC162" i="14" s="1"/>
  <c r="O26" i="16"/>
  <c r="U103" i="16"/>
  <c r="AJ118" i="14"/>
  <c r="AK118" i="14" s="1"/>
  <c r="X118" i="14"/>
  <c r="Y118" i="14" s="1"/>
  <c r="X128" i="14"/>
  <c r="Y128" i="14" s="1"/>
  <c r="T78" i="14"/>
  <c r="Q103" i="16"/>
  <c r="AB118" i="14" s="1"/>
  <c r="AC118" i="14" s="1"/>
  <c r="S80" i="14"/>
  <c r="T120" i="14"/>
  <c r="R103" i="16"/>
  <c r="S53" i="14"/>
  <c r="U21" i="15"/>
  <c r="AJ10" i="14"/>
  <c r="AK10" i="14" s="1"/>
  <c r="T37" i="14"/>
  <c r="Q88" i="15"/>
  <c r="AB42" i="14" s="1"/>
  <c r="AC42" i="14" s="1"/>
  <c r="S31" i="14"/>
  <c r="R104" i="15"/>
  <c r="AD47" i="14" s="1"/>
  <c r="AE47" i="14" s="1"/>
  <c r="S46" i="14"/>
  <c r="X57" i="14"/>
  <c r="Y57" i="14" s="1"/>
  <c r="T194" i="15"/>
  <c r="AH76" i="14" s="1"/>
  <c r="AI76" i="14" s="1"/>
  <c r="X43" i="14"/>
  <c r="Y43" i="14" s="1"/>
  <c r="U106" i="15"/>
  <c r="AJ49" i="14"/>
  <c r="AK49" i="14" s="1"/>
  <c r="Q106" i="15"/>
  <c r="AB49" i="14" s="1"/>
  <c r="AC49" i="14" s="1"/>
  <c r="S54" i="14"/>
  <c r="U88" i="15"/>
  <c r="AJ42" i="14"/>
  <c r="AK42" i="14" s="1"/>
  <c r="X49" i="14"/>
  <c r="Y49" i="14" s="1"/>
  <c r="S18" i="14"/>
  <c r="T18" i="14"/>
  <c r="X28" i="14"/>
  <c r="Y28" i="14" s="1"/>
  <c r="T116" i="17"/>
  <c r="AH185" i="14"/>
  <c r="AI185" i="14" s="1"/>
  <c r="R116" i="17"/>
  <c r="AD185" i="14"/>
  <c r="AE185" i="14" s="1"/>
  <c r="Q116" i="17"/>
  <c r="AB185" i="14" s="1"/>
  <c r="AC185" i="14" s="1"/>
  <c r="T192" i="15"/>
  <c r="AH74" i="14" s="1"/>
  <c r="AI74" i="14" s="1"/>
  <c r="T103" i="16"/>
  <c r="AH118" i="14"/>
  <c r="AI118" i="14" s="1"/>
  <c r="U91" i="15"/>
  <c r="AJ45" i="14"/>
  <c r="AK45" i="14" s="1"/>
  <c r="Q91" i="15"/>
  <c r="AB45" i="14"/>
  <c r="AC45" i="14" s="1"/>
  <c r="S91" i="15"/>
  <c r="AF45" i="14" s="1"/>
  <c r="AG45" i="14" s="1"/>
  <c r="S45" i="14"/>
  <c r="T91" i="15"/>
  <c r="AH45" i="14"/>
  <c r="AI45" i="14" s="1"/>
  <c r="X45" i="14"/>
  <c r="Y45" i="14" s="1"/>
  <c r="T163" i="16"/>
  <c r="AH138" i="14"/>
  <c r="AI138" i="14" s="1"/>
  <c r="X138" i="14"/>
  <c r="Y138" i="14" s="1"/>
  <c r="U163" i="16"/>
  <c r="AJ138" i="14"/>
  <c r="AK138" i="14" s="1"/>
  <c r="Q163" i="16"/>
  <c r="AB138" i="14"/>
  <c r="AC138" i="14" s="1"/>
  <c r="S129" i="18"/>
  <c r="AF252" i="14"/>
  <c r="AG252" i="14" s="1"/>
  <c r="T129" i="18"/>
  <c r="AH252" i="14"/>
  <c r="AI252" i="14" s="1"/>
  <c r="R82" i="16"/>
  <c r="AD108" i="14" s="1"/>
  <c r="AE108" i="14" s="1"/>
  <c r="X46" i="14"/>
  <c r="Y46" i="14" s="1"/>
  <c r="T106" i="15"/>
  <c r="AH49" i="14"/>
  <c r="AI49" i="14" s="1"/>
  <c r="U165" i="17"/>
  <c r="AJ206" i="14"/>
  <c r="AK206" i="14" s="1"/>
  <c r="J90" i="15"/>
  <c r="O90" i="15"/>
  <c r="AF128" i="14"/>
  <c r="AG128" i="14" s="1"/>
  <c r="T267" i="14"/>
  <c r="R68" i="17"/>
  <c r="AD171" i="14"/>
  <c r="AE171" i="14" s="1"/>
  <c r="AH194" i="14"/>
  <c r="AI194" i="14" s="1"/>
  <c r="T44" i="14"/>
  <c r="S216" i="14"/>
  <c r="AD218" i="14"/>
  <c r="AE218" i="14" s="1"/>
  <c r="S33" i="17"/>
  <c r="AF158" i="14" s="1"/>
  <c r="AG158" i="14" s="1"/>
  <c r="S88" i="15"/>
  <c r="AF42" i="14"/>
  <c r="AG42" i="14" s="1"/>
  <c r="R46" i="15"/>
  <c r="R188" i="15"/>
  <c r="AD70" i="14"/>
  <c r="AE70" i="14" s="1"/>
  <c r="U188" i="15"/>
  <c r="AJ70" i="14" s="1"/>
  <c r="AK70" i="14" s="1"/>
  <c r="S48" i="17"/>
  <c r="AF162" i="14" s="1"/>
  <c r="AG162" i="14" s="1"/>
  <c r="T66" i="16"/>
  <c r="S66" i="16"/>
  <c r="AF103" i="14" s="1"/>
  <c r="AG103" i="14" s="1"/>
  <c r="AD103" i="14"/>
  <c r="AE103" i="14" s="1"/>
  <c r="U66" i="16"/>
  <c r="AJ103" i="14"/>
  <c r="AK103" i="14" s="1"/>
  <c r="S47" i="17"/>
  <c r="J86" i="17"/>
  <c r="S178" i="14" s="1"/>
  <c r="R101" i="17"/>
  <c r="AD182" i="14" s="1"/>
  <c r="AE182" i="14" s="1"/>
  <c r="X184" i="14"/>
  <c r="Y184" i="14" s="1"/>
  <c r="R47" i="17"/>
  <c r="S120" i="17"/>
  <c r="AF189" i="14"/>
  <c r="AG189" i="14" s="1"/>
  <c r="S30" i="18"/>
  <c r="AF219" i="14" s="1"/>
  <c r="AG219" i="14" s="1"/>
  <c r="J48" i="15"/>
  <c r="O48" i="15"/>
  <c r="S48" i="15" s="1"/>
  <c r="T8" i="14"/>
  <c r="R25" i="14"/>
  <c r="U28" i="17"/>
  <c r="AJ153" i="14" s="1"/>
  <c r="AK153" i="14" s="1"/>
  <c r="T21" i="15"/>
  <c r="AH10" i="14" s="1"/>
  <c r="AI10" i="14" s="1"/>
  <c r="S163" i="17"/>
  <c r="AF204" i="14"/>
  <c r="AG204" i="14" s="1"/>
  <c r="S132" i="15"/>
  <c r="AF53" i="14"/>
  <c r="AG53" i="14" s="1"/>
  <c r="S10" i="14"/>
  <c r="S121" i="16"/>
  <c r="AF125" i="14"/>
  <c r="AG125" i="14" s="1"/>
  <c r="Q28" i="17"/>
  <c r="AB153" i="14"/>
  <c r="AC153" i="14" s="1"/>
  <c r="T132" i="15"/>
  <c r="AH53" i="14"/>
  <c r="AI53" i="14" s="1"/>
  <c r="R21" i="15"/>
  <c r="AD10" i="14"/>
  <c r="AE10" i="14" s="1"/>
  <c r="X53" i="14"/>
  <c r="Y53" i="14" s="1"/>
  <c r="U119" i="17"/>
  <c r="AJ188" i="14" s="1"/>
  <c r="AK188" i="14" s="1"/>
  <c r="T28" i="17"/>
  <c r="AH153" i="14" s="1"/>
  <c r="AI153" i="14" s="1"/>
  <c r="U66" i="15"/>
  <c r="S66" i="15"/>
  <c r="X31" i="14"/>
  <c r="Y31" i="14" s="1"/>
  <c r="X158" i="14"/>
  <c r="Y158" i="14" s="1"/>
  <c r="X161" i="14"/>
  <c r="Y161" i="14" s="1"/>
  <c r="S252" i="14"/>
  <c r="Z54" i="14"/>
  <c r="AA54" i="14" s="1"/>
  <c r="U99" i="17"/>
  <c r="T99" i="17"/>
  <c r="AH180" i="14" s="1"/>
  <c r="AI180" i="14" s="1"/>
  <c r="Q99" i="17"/>
  <c r="S99" i="17"/>
  <c r="X180" i="14"/>
  <c r="Y180" i="14" s="1"/>
  <c r="J47" i="16"/>
  <c r="O47" i="16" s="1"/>
  <c r="X95" i="14" s="1"/>
  <c r="Y95" i="14" s="1"/>
  <c r="R95" i="14"/>
  <c r="R119" i="16"/>
  <c r="AD123" i="14"/>
  <c r="AE123" i="14" s="1"/>
  <c r="Q119" i="16"/>
  <c r="AB123" i="14" s="1"/>
  <c r="AC123" i="14" s="1"/>
  <c r="U119" i="16"/>
  <c r="AJ123" i="14"/>
  <c r="AK123" i="14" s="1"/>
  <c r="R84" i="16"/>
  <c r="AD110" i="14"/>
  <c r="AE110" i="14" s="1"/>
  <c r="S84" i="16"/>
  <c r="AF110" i="14" s="1"/>
  <c r="AG110" i="14" s="1"/>
  <c r="T119" i="16"/>
  <c r="AH123" i="14" s="1"/>
  <c r="AI123" i="14" s="1"/>
  <c r="S163" i="16"/>
  <c r="AF138" i="14"/>
  <c r="AG138" i="14" s="1"/>
  <c r="R163" i="16"/>
  <c r="AD138" i="14"/>
  <c r="AE138" i="14" s="1"/>
  <c r="S119" i="16"/>
  <c r="AF123" i="14" s="1"/>
  <c r="AG123" i="14" s="1"/>
  <c r="Q51" i="15"/>
  <c r="AB28" i="14" s="1"/>
  <c r="AC28" i="14" s="1"/>
  <c r="T251" i="14"/>
  <c r="S205" i="14"/>
  <c r="E88" i="21"/>
  <c r="J22" i="18"/>
  <c r="O22" i="18"/>
  <c r="U22" i="18"/>
  <c r="AJ211" i="14" s="1"/>
  <c r="AK211" i="14" s="1"/>
  <c r="S50" i="15"/>
  <c r="AF27" i="14" s="1"/>
  <c r="AG27" i="14" s="1"/>
  <c r="T104" i="15"/>
  <c r="AH47" i="14" s="1"/>
  <c r="AI47" i="14" s="1"/>
  <c r="S117" i="16"/>
  <c r="AF121" i="14"/>
  <c r="AG121" i="14" s="1"/>
  <c r="Q117" i="16"/>
  <c r="AB121" i="14" s="1"/>
  <c r="AC121" i="14" s="1"/>
  <c r="R69" i="16"/>
  <c r="AD106" i="14" s="1"/>
  <c r="AE106" i="14" s="1"/>
  <c r="Z136" i="14"/>
  <c r="AA136" i="14" s="1"/>
  <c r="Z184" i="14"/>
  <c r="AA184" i="14" s="1"/>
  <c r="O166" i="17"/>
  <c r="AB180" i="14"/>
  <c r="AC180" i="14" s="1"/>
  <c r="AD180" i="14"/>
  <c r="AE180" i="14" s="1"/>
  <c r="AF180" i="14"/>
  <c r="AG180" i="14" s="1"/>
  <c r="U100" i="18"/>
  <c r="AJ245" i="14" s="1"/>
  <c r="AK245" i="14" s="1"/>
  <c r="X27" i="14"/>
  <c r="Y27" i="14" s="1"/>
  <c r="U89" i="15"/>
  <c r="AJ43" i="14"/>
  <c r="AK43" i="14" s="1"/>
  <c r="U117" i="16"/>
  <c r="AJ121" i="14" s="1"/>
  <c r="AK121" i="14" s="1"/>
  <c r="S118" i="15"/>
  <c r="S121" i="15" s="1"/>
  <c r="T135" i="15"/>
  <c r="R135" i="15"/>
  <c r="AD56" i="14"/>
  <c r="AE56" i="14" s="1"/>
  <c r="U135" i="15"/>
  <c r="AJ56" i="14" s="1"/>
  <c r="AK56" i="14" s="1"/>
  <c r="S135" i="15"/>
  <c r="AF56" i="14" s="1"/>
  <c r="AG56" i="14" s="1"/>
  <c r="Q135" i="15"/>
  <c r="AB56" i="14" s="1"/>
  <c r="AC56" i="14" s="1"/>
  <c r="U101" i="16"/>
  <c r="U161" i="16"/>
  <c r="Q82" i="16"/>
  <c r="I23" i="18"/>
  <c r="K23" i="18" s="1"/>
  <c r="J23" i="18"/>
  <c r="S212" i="14"/>
  <c r="Z243" i="14"/>
  <c r="AA243" i="14" s="1"/>
  <c r="Z247" i="14"/>
  <c r="AA247" i="14" s="1"/>
  <c r="P116" i="18"/>
  <c r="Z58" i="14"/>
  <c r="AA58" i="14" s="1"/>
  <c r="Q116" i="16"/>
  <c r="T69" i="16"/>
  <c r="AH106" i="14" s="1"/>
  <c r="AI106" i="14" s="1"/>
  <c r="AJ180" i="14"/>
  <c r="AK180" i="14" s="1"/>
  <c r="X47" i="14"/>
  <c r="Y47" i="14" s="1"/>
  <c r="R12" i="14"/>
  <c r="AH70" i="14"/>
  <c r="AI70" i="14" s="1"/>
  <c r="Z180" i="14"/>
  <c r="AA180" i="14" s="1"/>
  <c r="P104" i="17"/>
  <c r="S113" i="18"/>
  <c r="AF247" i="14" s="1"/>
  <c r="AG247" i="14" s="1"/>
  <c r="X60" i="14"/>
  <c r="Y60" i="14" s="1"/>
  <c r="Q149" i="15"/>
  <c r="T149" i="15"/>
  <c r="AH60" i="14" s="1"/>
  <c r="AI60" i="14" s="1"/>
  <c r="S149" i="15"/>
  <c r="R149" i="15"/>
  <c r="AD60" i="14" s="1"/>
  <c r="AE60" i="14" s="1"/>
  <c r="U149" i="15"/>
  <c r="Z50" i="14"/>
  <c r="AA50" i="14" s="1"/>
  <c r="P121" i="15"/>
  <c r="T209" i="14"/>
  <c r="R100" i="18"/>
  <c r="AD245" i="14" s="1"/>
  <c r="AE245" i="14" s="1"/>
  <c r="T81" i="14"/>
  <c r="T56" i="14"/>
  <c r="S29" i="16"/>
  <c r="AF88" i="14"/>
  <c r="AG88" i="14" s="1"/>
  <c r="U136" i="15"/>
  <c r="AJ57" i="14" s="1"/>
  <c r="AK57" i="14" s="1"/>
  <c r="T136" i="15"/>
  <c r="AH57" i="14" s="1"/>
  <c r="AI57" i="14" s="1"/>
  <c r="Q136" i="15"/>
  <c r="AB57" i="14" s="1"/>
  <c r="AC57" i="14" s="1"/>
  <c r="S136" i="15"/>
  <c r="AF57" i="14" s="1"/>
  <c r="AG57" i="14" s="1"/>
  <c r="R136" i="15"/>
  <c r="AD57" i="14" s="1"/>
  <c r="AE57" i="14" s="1"/>
  <c r="O104" i="17"/>
  <c r="Q115" i="17"/>
  <c r="R115" i="17" s="1"/>
  <c r="O123" i="17"/>
  <c r="X52" i="14"/>
  <c r="Y52" i="14" s="1"/>
  <c r="S120" i="15"/>
  <c r="Q120" i="15"/>
  <c r="AB52" i="14" s="1"/>
  <c r="AC52" i="14" s="1"/>
  <c r="R120" i="15"/>
  <c r="AD52" i="14" s="1"/>
  <c r="AE52" i="14" s="1"/>
  <c r="T120" i="15"/>
  <c r="U120" i="15"/>
  <c r="AJ52" i="14" s="1"/>
  <c r="AK52" i="14" s="1"/>
  <c r="U50" i="15"/>
  <c r="AJ27" i="14"/>
  <c r="AK27" i="14" s="1"/>
  <c r="T35" i="14"/>
  <c r="T29" i="16"/>
  <c r="AH88" i="14"/>
  <c r="AI88" i="14" s="1"/>
  <c r="Q103" i="15"/>
  <c r="O107" i="15"/>
  <c r="R119" i="15"/>
  <c r="AD51" i="14" s="1"/>
  <c r="AE51" i="14" s="1"/>
  <c r="Q119" i="15"/>
  <c r="U119" i="15"/>
  <c r="S119" i="15"/>
  <c r="AF51" i="14"/>
  <c r="AG51" i="14" s="1"/>
  <c r="T119" i="15"/>
  <c r="Z250" i="14"/>
  <c r="AA250" i="14" s="1"/>
  <c r="K22" i="18"/>
  <c r="P22" i="18" s="1"/>
  <c r="T211" i="14"/>
  <c r="Z211" i="14"/>
  <c r="AA211" i="14" s="1"/>
  <c r="T17" i="14"/>
  <c r="U104" i="15"/>
  <c r="AJ47" i="14" s="1"/>
  <c r="AK47" i="14" s="1"/>
  <c r="I23" i="16"/>
  <c r="U19" i="15"/>
  <c r="AJ8" i="14" s="1"/>
  <c r="AK8" i="14" s="1"/>
  <c r="Z172" i="14"/>
  <c r="AA172" i="14" s="1"/>
  <c r="O102" i="18"/>
  <c r="Q127" i="18"/>
  <c r="U160" i="18"/>
  <c r="S194" i="15"/>
  <c r="AF76" i="14" s="1"/>
  <c r="AG76" i="14" s="1"/>
  <c r="X76" i="14"/>
  <c r="Y76" i="14" s="1"/>
  <c r="P148" i="15"/>
  <c r="Z59" i="14" s="1"/>
  <c r="AA59" i="14" s="1"/>
  <c r="T59" i="14"/>
  <c r="R131" i="18"/>
  <c r="AD254" i="14"/>
  <c r="AE254" i="14" s="1"/>
  <c r="K27" i="18"/>
  <c r="T216" i="14" s="1"/>
  <c r="P188" i="15"/>
  <c r="T70" i="14"/>
  <c r="T189" i="15"/>
  <c r="AH71" i="14" s="1"/>
  <c r="AI71" i="14" s="1"/>
  <c r="X71" i="14"/>
  <c r="Y71" i="14" s="1"/>
  <c r="T25" i="14"/>
  <c r="S224" i="14"/>
  <c r="T133" i="18"/>
  <c r="AH256" i="14" s="1"/>
  <c r="AI256" i="14" s="1"/>
  <c r="T131" i="18"/>
  <c r="AH254" i="14" s="1"/>
  <c r="AI254" i="14" s="1"/>
  <c r="S188" i="15"/>
  <c r="X70" i="14"/>
  <c r="Y70" i="14" s="1"/>
  <c r="R216" i="14"/>
  <c r="S17" i="14"/>
  <c r="R86" i="14"/>
  <c r="P193" i="15"/>
  <c r="Z75" i="14"/>
  <c r="AA75" i="14" s="1"/>
  <c r="T75" i="14"/>
  <c r="Q163" i="17"/>
  <c r="AB204" i="14" s="1"/>
  <c r="AC204" i="14" s="1"/>
  <c r="O190" i="15"/>
  <c r="S72" i="14"/>
  <c r="S191" i="15"/>
  <c r="AF73" i="14" s="1"/>
  <c r="AG73" i="14" s="1"/>
  <c r="X73" i="14"/>
  <c r="Y73" i="14" s="1"/>
  <c r="T10" i="14"/>
  <c r="X204" i="14"/>
  <c r="Y204" i="14" s="1"/>
  <c r="R213" i="14"/>
  <c r="P190" i="15"/>
  <c r="Z72" i="14" s="1"/>
  <c r="AA72" i="14" s="1"/>
  <c r="T72" i="14"/>
  <c r="S192" i="15"/>
  <c r="AF74" i="14"/>
  <c r="AG74" i="14" s="1"/>
  <c r="X74" i="14"/>
  <c r="Y74" i="14" s="1"/>
  <c r="T98" i="18"/>
  <c r="T102" i="18" s="1"/>
  <c r="S159" i="14"/>
  <c r="T34" i="17"/>
  <c r="AH159" i="14" s="1"/>
  <c r="AI159" i="14" s="1"/>
  <c r="Q25" i="17"/>
  <c r="AB150" i="14" s="1"/>
  <c r="AC150" i="14" s="1"/>
  <c r="Q34" i="17"/>
  <c r="AB159" i="14"/>
  <c r="AC159" i="14" s="1"/>
  <c r="S187" i="14"/>
  <c r="T185" i="14"/>
  <c r="T167" i="14"/>
  <c r="U25" i="17"/>
  <c r="AJ150" i="14"/>
  <c r="AK150" i="14" s="1"/>
  <c r="T51" i="17"/>
  <c r="AH165" i="14"/>
  <c r="AI165" i="14" s="1"/>
  <c r="O82" i="17"/>
  <c r="X174" i="14" s="1"/>
  <c r="Y174" i="14" s="1"/>
  <c r="Q51" i="17"/>
  <c r="AB165" i="14" s="1"/>
  <c r="AC165" i="14" s="1"/>
  <c r="R102" i="17"/>
  <c r="AD183" i="14" s="1"/>
  <c r="AE183" i="14" s="1"/>
  <c r="S185" i="14"/>
  <c r="S102" i="17"/>
  <c r="AF183" i="14"/>
  <c r="AG183" i="14" s="1"/>
  <c r="Q102" i="17"/>
  <c r="AB183" i="14" s="1"/>
  <c r="AC183" i="14" s="1"/>
  <c r="U102" i="17"/>
  <c r="AJ183" i="14"/>
  <c r="AK183" i="14" s="1"/>
  <c r="T102" i="17"/>
  <c r="AH183" i="14"/>
  <c r="AI183" i="14" s="1"/>
  <c r="K81" i="17"/>
  <c r="T173" i="14"/>
  <c r="J81" i="17"/>
  <c r="S173" i="14" s="1"/>
  <c r="T144" i="14"/>
  <c r="R100" i="17"/>
  <c r="Q100" i="17"/>
  <c r="AB181" i="14"/>
  <c r="AC181" i="14" s="1"/>
  <c r="U100" i="17"/>
  <c r="AJ181" i="14" s="1"/>
  <c r="AK181" i="14" s="1"/>
  <c r="T105" i="15"/>
  <c r="AH48" i="14"/>
  <c r="AI48" i="14" s="1"/>
  <c r="X146" i="14"/>
  <c r="Y146" i="14" s="1"/>
  <c r="Q122" i="16"/>
  <c r="AB126" i="14" s="1"/>
  <c r="AC126" i="14" s="1"/>
  <c r="U104" i="16"/>
  <c r="AJ119" i="14" s="1"/>
  <c r="AK119" i="14" s="1"/>
  <c r="U21" i="17"/>
  <c r="AJ146" i="14"/>
  <c r="AK146" i="14" s="1"/>
  <c r="T174" i="14"/>
  <c r="P20" i="19"/>
  <c r="AB281" i="14" s="1"/>
  <c r="AC281" i="14" s="1"/>
  <c r="T20" i="14"/>
  <c r="T101" i="16"/>
  <c r="AH116" i="14" s="1"/>
  <c r="AI116" i="14" s="1"/>
  <c r="U41" i="14"/>
  <c r="T23" i="14"/>
  <c r="S100" i="17"/>
  <c r="AF181" i="14" s="1"/>
  <c r="AG181" i="14" s="1"/>
  <c r="T31" i="14"/>
  <c r="U105" i="15"/>
  <c r="AJ48" i="14"/>
  <c r="AK48" i="14" s="1"/>
  <c r="O87" i="15"/>
  <c r="X181" i="14"/>
  <c r="Y181" i="14" s="1"/>
  <c r="S122" i="16"/>
  <c r="AF126" i="14" s="1"/>
  <c r="AG126" i="14" s="1"/>
  <c r="S104" i="16"/>
  <c r="AF119" i="14" s="1"/>
  <c r="AG119" i="14" s="1"/>
  <c r="S8" i="14"/>
  <c r="R105" i="15"/>
  <c r="AD48" i="14"/>
  <c r="AE48" i="14" s="1"/>
  <c r="Q105" i="15"/>
  <c r="AB48" i="14" s="1"/>
  <c r="AC48" i="14" s="1"/>
  <c r="X48" i="14"/>
  <c r="Y48" i="14" s="1"/>
  <c r="Q194" i="15"/>
  <c r="AB76" i="14"/>
  <c r="AC76" i="14" s="1"/>
  <c r="P25" i="15"/>
  <c r="Z14" i="14"/>
  <c r="AA14" i="14" s="1"/>
  <c r="S67" i="15"/>
  <c r="AF32" i="14" s="1"/>
  <c r="AG32" i="14" s="1"/>
  <c r="P26" i="15"/>
  <c r="Z15" i="14"/>
  <c r="AA15" i="14" s="1"/>
  <c r="T14" i="14"/>
  <c r="T29" i="14"/>
  <c r="U194" i="15"/>
  <c r="AJ76" i="14"/>
  <c r="AK76" i="14" s="1"/>
  <c r="R194" i="15"/>
  <c r="AD76" i="14" s="1"/>
  <c r="AE76" i="14" s="1"/>
  <c r="S32" i="14"/>
  <c r="AF60" i="14"/>
  <c r="AG60" i="14" s="1"/>
  <c r="AJ60" i="14"/>
  <c r="AK60" i="14" s="1"/>
  <c r="AB60" i="14"/>
  <c r="AC60" i="14" s="1"/>
  <c r="AD161" i="14"/>
  <c r="AE161" i="14" s="1"/>
  <c r="Z93" i="14"/>
  <c r="AA93" i="14" s="1"/>
  <c r="Z101" i="14"/>
  <c r="AA101" i="14" s="1"/>
  <c r="R66" i="15"/>
  <c r="AD31" i="14" s="1"/>
  <c r="AE31" i="14" s="1"/>
  <c r="T66" i="15"/>
  <c r="S188" i="14"/>
  <c r="T119" i="17"/>
  <c r="AH188" i="14" s="1"/>
  <c r="AI188" i="14" s="1"/>
  <c r="U121" i="16"/>
  <c r="AJ125" i="14" s="1"/>
  <c r="AK125" i="14" s="1"/>
  <c r="X188" i="14"/>
  <c r="Y188" i="14" s="1"/>
  <c r="T120" i="17"/>
  <c r="AH189" i="14" s="1"/>
  <c r="AI189" i="14" s="1"/>
  <c r="Q101" i="17"/>
  <c r="AB182" i="14" s="1"/>
  <c r="AC182" i="14" s="1"/>
  <c r="T165" i="16"/>
  <c r="AH140" i="14"/>
  <c r="AI140" i="14" s="1"/>
  <c r="AD23" i="14"/>
  <c r="AE23" i="14" s="1"/>
  <c r="T67" i="17"/>
  <c r="AH170" i="14"/>
  <c r="AI170" i="14" s="1"/>
  <c r="P66" i="17"/>
  <c r="X221" i="14"/>
  <c r="Y221" i="14" s="1"/>
  <c r="X252" i="14"/>
  <c r="Y252" i="14" s="1"/>
  <c r="Q119" i="17"/>
  <c r="AB188" i="14" s="1"/>
  <c r="AC188" i="14" s="1"/>
  <c r="Q50" i="15"/>
  <c r="AB27" i="14" s="1"/>
  <c r="AC27" i="14" s="1"/>
  <c r="R89" i="15"/>
  <c r="AD43" i="14" s="1"/>
  <c r="AE43" i="14" s="1"/>
  <c r="R88" i="15"/>
  <c r="AD42" i="14" s="1"/>
  <c r="AE42" i="14" s="1"/>
  <c r="Q89" i="15"/>
  <c r="AB43" i="14" s="1"/>
  <c r="AC43" i="14" s="1"/>
  <c r="J23" i="15"/>
  <c r="S12" i="14" s="1"/>
  <c r="S122" i="14"/>
  <c r="Q32" i="18"/>
  <c r="AB221" i="14"/>
  <c r="AC221" i="14" s="1"/>
  <c r="R165" i="16"/>
  <c r="AD140" i="14"/>
  <c r="AE140" i="14" s="1"/>
  <c r="U101" i="17"/>
  <c r="AJ182" i="14" s="1"/>
  <c r="AK182" i="14" s="1"/>
  <c r="U122" i="17"/>
  <c r="AJ191" i="14" s="1"/>
  <c r="AK191" i="14" s="1"/>
  <c r="R49" i="17"/>
  <c r="AD163" i="14"/>
  <c r="AE163" i="14" s="1"/>
  <c r="U192" i="15"/>
  <c r="AJ74" i="14"/>
  <c r="AK74" i="14" s="1"/>
  <c r="T145" i="14"/>
  <c r="S162" i="14"/>
  <c r="X163" i="14"/>
  <c r="Y163" i="14" s="1"/>
  <c r="X228" i="14"/>
  <c r="Y228" i="14" s="1"/>
  <c r="Z23" i="14"/>
  <c r="AA23" i="14" s="1"/>
  <c r="Z38" i="14"/>
  <c r="AA38" i="14" s="1"/>
  <c r="Z208" i="14"/>
  <c r="AA208" i="14" s="1"/>
  <c r="AF31" i="14"/>
  <c r="AG31" i="14" s="1"/>
  <c r="X189" i="14"/>
  <c r="Y189" i="14" s="1"/>
  <c r="Z8" i="14"/>
  <c r="AA8" i="14" s="1"/>
  <c r="S46" i="15"/>
  <c r="Z78" i="14"/>
  <c r="AA78" i="14" s="1"/>
  <c r="Z161" i="14"/>
  <c r="AA161" i="14" s="1"/>
  <c r="AJ31" i="14"/>
  <c r="AK31" i="14" s="1"/>
  <c r="AF161" i="14"/>
  <c r="AG161" i="14" s="1"/>
  <c r="X191" i="14"/>
  <c r="Y191" i="14" s="1"/>
  <c r="P29" i="16"/>
  <c r="Z88" i="14"/>
  <c r="AA88" i="14" s="1"/>
  <c r="S154" i="14"/>
  <c r="X182" i="14"/>
  <c r="Y182" i="14" s="1"/>
  <c r="S179" i="14"/>
  <c r="Q66" i="15"/>
  <c r="T121" i="16"/>
  <c r="AH125" i="14"/>
  <c r="AI125" i="14" s="1"/>
  <c r="R121" i="16"/>
  <c r="AD125" i="14" s="1"/>
  <c r="AE125" i="14" s="1"/>
  <c r="S119" i="17"/>
  <c r="AF188" i="14" s="1"/>
  <c r="AG188" i="14" s="1"/>
  <c r="Q188" i="15"/>
  <c r="T88" i="15"/>
  <c r="AH42" i="14"/>
  <c r="AI42" i="14" s="1"/>
  <c r="S67" i="17"/>
  <c r="AF170" i="14" s="1"/>
  <c r="AG170" i="14" s="1"/>
  <c r="AB51" i="14"/>
  <c r="AC51" i="14" s="1"/>
  <c r="U129" i="18"/>
  <c r="AJ252" i="14" s="1"/>
  <c r="AK252" i="14" s="1"/>
  <c r="S37" i="14"/>
  <c r="R13" i="14"/>
  <c r="R50" i="15"/>
  <c r="AD27" i="14"/>
  <c r="AE27" i="14" s="1"/>
  <c r="Q104" i="15"/>
  <c r="Q107" i="15" s="1"/>
  <c r="S89" i="15"/>
  <c r="AF43" i="14" s="1"/>
  <c r="AG43" i="14" s="1"/>
  <c r="U165" i="16"/>
  <c r="AJ140" i="14"/>
  <c r="AK140" i="14" s="1"/>
  <c r="X51" i="14"/>
  <c r="Y51" i="14" s="1"/>
  <c r="S101" i="17"/>
  <c r="AF182" i="14"/>
  <c r="AG182" i="14" s="1"/>
  <c r="R122" i="17"/>
  <c r="AD191" i="14" s="1"/>
  <c r="AE191" i="14" s="1"/>
  <c r="S49" i="17"/>
  <c r="AF163" i="14" s="1"/>
  <c r="AG163" i="14" s="1"/>
  <c r="R192" i="15"/>
  <c r="AD74" i="14"/>
  <c r="AE74" i="14" s="1"/>
  <c r="Q121" i="16"/>
  <c r="AB125" i="14" s="1"/>
  <c r="AC125" i="14" s="1"/>
  <c r="AH52" i="14"/>
  <c r="AI52" i="14" s="1"/>
  <c r="AJ23" i="14"/>
  <c r="AK23" i="14" s="1"/>
  <c r="Q192" i="15"/>
  <c r="AB74" i="14" s="1"/>
  <c r="AC74" i="14" s="1"/>
  <c r="U132" i="15"/>
  <c r="AJ53" i="14" s="1"/>
  <c r="AK53" i="14" s="1"/>
  <c r="Q132" i="15"/>
  <c r="R132" i="15"/>
  <c r="AD53" i="14" s="1"/>
  <c r="AE53" i="14" s="1"/>
  <c r="X56" i="14"/>
  <c r="Y56" i="14" s="1"/>
  <c r="Z232" i="14"/>
  <c r="AA232" i="14" s="1"/>
  <c r="U30" i="18"/>
  <c r="AJ219" i="14" s="1"/>
  <c r="AK219" i="14" s="1"/>
  <c r="Q114" i="18"/>
  <c r="AB248" i="14"/>
  <c r="AC248" i="14" s="1"/>
  <c r="T114" i="18"/>
  <c r="AH248" i="14" s="1"/>
  <c r="AI248" i="14" s="1"/>
  <c r="X248" i="14"/>
  <c r="Y248" i="14" s="1"/>
  <c r="X219" i="14"/>
  <c r="Y219" i="14" s="1"/>
  <c r="R30" i="18"/>
  <c r="AD219" i="14" s="1"/>
  <c r="AE219" i="14" s="1"/>
  <c r="T30" i="18"/>
  <c r="AH219" i="14"/>
  <c r="AI219" i="14" s="1"/>
  <c r="R113" i="18"/>
  <c r="AD247" i="14"/>
  <c r="AE247" i="14" s="1"/>
  <c r="S66" i="18"/>
  <c r="AF233" i="14" s="1"/>
  <c r="AG233" i="14" s="1"/>
  <c r="S50" i="18"/>
  <c r="AF228" i="14" s="1"/>
  <c r="AG228" i="14" s="1"/>
  <c r="T113" i="18"/>
  <c r="T66" i="18"/>
  <c r="AH233" i="14" s="1"/>
  <c r="AI233" i="14" s="1"/>
  <c r="U215" i="14"/>
  <c r="U113" i="18"/>
  <c r="T255" i="14"/>
  <c r="R66" i="18"/>
  <c r="AD233" i="14" s="1"/>
  <c r="AE233" i="14" s="1"/>
  <c r="T50" i="18"/>
  <c r="AH228" i="14"/>
  <c r="AI228" i="14" s="1"/>
  <c r="P26" i="18"/>
  <c r="Z215" i="14" s="1"/>
  <c r="AA215" i="14" s="1"/>
  <c r="Q113" i="18"/>
  <c r="AB247" i="14" s="1"/>
  <c r="AC247" i="14" s="1"/>
  <c r="T253" i="14"/>
  <c r="X247" i="14"/>
  <c r="Y247" i="14" s="1"/>
  <c r="T220" i="14"/>
  <c r="U50" i="18"/>
  <c r="AJ228" i="14" s="1"/>
  <c r="AK228" i="14" s="1"/>
  <c r="R50" i="18"/>
  <c r="AD228" i="14" s="1"/>
  <c r="AE228" i="14" s="1"/>
  <c r="R161" i="16"/>
  <c r="AD136" i="14" s="1"/>
  <c r="AE136" i="14" s="1"/>
  <c r="P24" i="17"/>
  <c r="Z149" i="14"/>
  <c r="AA149" i="14" s="1"/>
  <c r="T154" i="14"/>
  <c r="O50" i="17"/>
  <c r="Q50" i="17"/>
  <c r="AB164" i="14" s="1"/>
  <c r="AC164" i="14" s="1"/>
  <c r="R21" i="17"/>
  <c r="AD146" i="14"/>
  <c r="AE146" i="14" s="1"/>
  <c r="X156" i="14"/>
  <c r="Y156" i="14" s="1"/>
  <c r="Q31" i="17"/>
  <c r="AB156" i="14"/>
  <c r="AC156" i="14" s="1"/>
  <c r="S161" i="17"/>
  <c r="AF202" i="14" s="1"/>
  <c r="AG202" i="14" s="1"/>
  <c r="U164" i="14"/>
  <c r="O66" i="17"/>
  <c r="O69" i="17" s="1"/>
  <c r="S146" i="14"/>
  <c r="U175" i="14"/>
  <c r="S52" i="17"/>
  <c r="AF166" i="14" s="1"/>
  <c r="AG166" i="14" s="1"/>
  <c r="P83" i="17"/>
  <c r="Z175" i="14"/>
  <c r="AA175" i="14" s="1"/>
  <c r="S21" i="17"/>
  <c r="AF146" i="14" s="1"/>
  <c r="AG146" i="14" s="1"/>
  <c r="T21" i="17"/>
  <c r="AH146" i="14"/>
  <c r="AI146" i="14" s="1"/>
  <c r="P50" i="17"/>
  <c r="Z164" i="14" s="1"/>
  <c r="AA164" i="14" s="1"/>
  <c r="Q161" i="17"/>
  <c r="S30" i="17"/>
  <c r="AF155" i="14" s="1"/>
  <c r="AG155" i="14" s="1"/>
  <c r="R161" i="17"/>
  <c r="U30" i="17"/>
  <c r="AJ155" i="14"/>
  <c r="AK155" i="14" s="1"/>
  <c r="X155" i="14"/>
  <c r="Y155" i="14" s="1"/>
  <c r="Q30" i="17"/>
  <c r="AB155" i="14" s="1"/>
  <c r="AC155" i="14" s="1"/>
  <c r="S172" i="14"/>
  <c r="T30" i="17"/>
  <c r="AH155" i="14"/>
  <c r="AI155" i="14" s="1"/>
  <c r="T161" i="17"/>
  <c r="T146" i="14"/>
  <c r="X202" i="14"/>
  <c r="Y202" i="14" s="1"/>
  <c r="R80" i="17"/>
  <c r="T80" i="17"/>
  <c r="S80" i="17"/>
  <c r="U80" i="17"/>
  <c r="Q80" i="17"/>
  <c r="AB172" i="14" s="1"/>
  <c r="AC172" i="14" s="1"/>
  <c r="X172" i="14"/>
  <c r="Y172" i="14" s="1"/>
  <c r="O84" i="18"/>
  <c r="U84" i="18" s="1"/>
  <c r="Q84" i="18"/>
  <c r="AB240" i="14" s="1"/>
  <c r="AC240" i="14" s="1"/>
  <c r="U131" i="18"/>
  <c r="AJ254" i="14" s="1"/>
  <c r="AK254" i="14" s="1"/>
  <c r="Q85" i="18"/>
  <c r="AB241" i="14"/>
  <c r="AC241" i="14" s="1"/>
  <c r="Q133" i="18"/>
  <c r="AB256" i="14"/>
  <c r="AC256" i="14" s="1"/>
  <c r="S131" i="18"/>
  <c r="AF254" i="14"/>
  <c r="AG254" i="14" s="1"/>
  <c r="X256" i="14"/>
  <c r="Y256" i="14" s="1"/>
  <c r="U133" i="18"/>
  <c r="AJ256" i="14" s="1"/>
  <c r="AK256" i="14" s="1"/>
  <c r="S67" i="18"/>
  <c r="AF234" i="14"/>
  <c r="AG234" i="14" s="1"/>
  <c r="S133" i="18"/>
  <c r="AF256" i="14"/>
  <c r="AG256" i="14" s="1"/>
  <c r="X250" i="14"/>
  <c r="Y250" i="14" s="1"/>
  <c r="Q161" i="18"/>
  <c r="AB265" i="14" s="1"/>
  <c r="AC265" i="14" s="1"/>
  <c r="S25" i="18"/>
  <c r="AF214" i="14"/>
  <c r="AG214" i="14" s="1"/>
  <c r="R98" i="18"/>
  <c r="AD243" i="14"/>
  <c r="AE243" i="14" s="1"/>
  <c r="Q25" i="18"/>
  <c r="AB214" i="14"/>
  <c r="AC214" i="14" s="1"/>
  <c r="U25" i="18"/>
  <c r="AJ214" i="14" s="1"/>
  <c r="AK214" i="14" s="1"/>
  <c r="J68" i="18"/>
  <c r="S235" i="14"/>
  <c r="T208" i="14"/>
  <c r="Q99" i="18"/>
  <c r="AB244" i="14"/>
  <c r="AC244" i="14" s="1"/>
  <c r="S253" i="14"/>
  <c r="S99" i="18"/>
  <c r="AF244" i="14" s="1"/>
  <c r="AG244" i="14" s="1"/>
  <c r="R99" i="18"/>
  <c r="AD244" i="14"/>
  <c r="AE244" i="14" s="1"/>
  <c r="T99" i="18"/>
  <c r="AH244" i="14" s="1"/>
  <c r="AI244" i="14" s="1"/>
  <c r="U99" i="18"/>
  <c r="AJ244" i="14"/>
  <c r="AK244" i="14" s="1"/>
  <c r="K68" i="18"/>
  <c r="T235" i="14" s="1"/>
  <c r="P33" i="18"/>
  <c r="Z222" i="14"/>
  <c r="AA222" i="14" s="1"/>
  <c r="X103" i="14"/>
  <c r="Y103" i="14" s="1"/>
  <c r="T82" i="16"/>
  <c r="S82" i="16"/>
  <c r="AF108" i="14" s="1"/>
  <c r="AG108" i="14" s="1"/>
  <c r="S70" i="16"/>
  <c r="AF107" i="14"/>
  <c r="AG107" i="14" s="1"/>
  <c r="U82" i="16"/>
  <c r="Q84" i="16"/>
  <c r="AB110" i="14"/>
  <c r="AC110" i="14" s="1"/>
  <c r="U108" i="14"/>
  <c r="T84" i="16"/>
  <c r="AH110" i="14" s="1"/>
  <c r="AI110" i="14" s="1"/>
  <c r="R70" i="16"/>
  <c r="AD107" i="14"/>
  <c r="AE107" i="14" s="1"/>
  <c r="O28" i="16"/>
  <c r="R28" i="16" s="1"/>
  <c r="AD87" i="14"/>
  <c r="AE87" i="14" s="1"/>
  <c r="X105" i="14"/>
  <c r="Y105" i="14" s="1"/>
  <c r="Q70" i="16"/>
  <c r="AB107" i="14" s="1"/>
  <c r="AC107" i="14" s="1"/>
  <c r="R68" i="16"/>
  <c r="AD105" i="14"/>
  <c r="AE105" i="14" s="1"/>
  <c r="T68" i="16"/>
  <c r="AH105" i="14" s="1"/>
  <c r="AI105" i="14" s="1"/>
  <c r="S99" i="14"/>
  <c r="T80" i="14"/>
  <c r="S107" i="14"/>
  <c r="U68" i="16"/>
  <c r="AJ105" i="14" s="1"/>
  <c r="AK105" i="14" s="1"/>
  <c r="Q68" i="16"/>
  <c r="AB105" i="14" s="1"/>
  <c r="AC105" i="14" s="1"/>
  <c r="S87" i="14"/>
  <c r="T70" i="16"/>
  <c r="AH107" i="14"/>
  <c r="AI107" i="14" s="1"/>
  <c r="X107" i="14"/>
  <c r="Y107" i="14" s="1"/>
  <c r="U122" i="16"/>
  <c r="AJ126" i="14"/>
  <c r="AK126" i="14" s="1"/>
  <c r="X126" i="14"/>
  <c r="Y126" i="14" s="1"/>
  <c r="Q102" i="16"/>
  <c r="AB117" i="14" s="1"/>
  <c r="AC117" i="14" s="1"/>
  <c r="X110" i="14"/>
  <c r="Y110" i="14" s="1"/>
  <c r="T139" i="14"/>
  <c r="R122" i="16"/>
  <c r="AD126" i="14" s="1"/>
  <c r="AE126" i="14" s="1"/>
  <c r="T93" i="14"/>
  <c r="X108" i="14"/>
  <c r="Y108" i="14" s="1"/>
  <c r="X127" i="14"/>
  <c r="Y127" i="14" s="1"/>
  <c r="P82" i="16"/>
  <c r="R101" i="16"/>
  <c r="U111" i="14"/>
  <c r="X116" i="14"/>
  <c r="Y116" i="14" s="1"/>
  <c r="S90" i="14"/>
  <c r="R102" i="16"/>
  <c r="AD117" i="14"/>
  <c r="AE117" i="14" s="1"/>
  <c r="Q101" i="16"/>
  <c r="T138" i="14"/>
  <c r="T104" i="16"/>
  <c r="AH119" i="14"/>
  <c r="AI119" i="14" s="1"/>
  <c r="S101" i="16"/>
  <c r="O27" i="16"/>
  <c r="T94" i="14"/>
  <c r="U69" i="16"/>
  <c r="AJ106" i="14"/>
  <c r="AK106" i="14" s="1"/>
  <c r="T79" i="14"/>
  <c r="T49" i="16"/>
  <c r="AH97" i="14"/>
  <c r="AI97" i="14" s="1"/>
  <c r="X136" i="14"/>
  <c r="Y136" i="14" s="1"/>
  <c r="S161" i="16"/>
  <c r="AF136" i="14" s="1"/>
  <c r="AG136" i="14" s="1"/>
  <c r="S69" i="16"/>
  <c r="AF106" i="14" s="1"/>
  <c r="AG106" i="14" s="1"/>
  <c r="J48" i="16"/>
  <c r="S96" i="14"/>
  <c r="K48" i="16"/>
  <c r="P48" i="16" s="1"/>
  <c r="T96" i="14"/>
  <c r="Q25" i="16"/>
  <c r="AB84" i="14" s="1"/>
  <c r="AC84" i="14" s="1"/>
  <c r="J22" i="16"/>
  <c r="S81" i="14" s="1"/>
  <c r="S88" i="14"/>
  <c r="Q161" i="16"/>
  <c r="K27" i="16"/>
  <c r="P27" i="16" s="1"/>
  <c r="T86" i="14"/>
  <c r="T124" i="14"/>
  <c r="S20" i="16"/>
  <c r="AF79" i="14" s="1"/>
  <c r="AG79" i="14" s="1"/>
  <c r="X84" i="14"/>
  <c r="Y84" i="14" s="1"/>
  <c r="S25" i="16"/>
  <c r="AF84" i="14" s="1"/>
  <c r="AG84" i="14" s="1"/>
  <c r="T161" i="16"/>
  <c r="AH136" i="14" s="1"/>
  <c r="AI136" i="14" s="1"/>
  <c r="R25" i="16"/>
  <c r="AD84" i="14" s="1"/>
  <c r="AE84" i="14" s="1"/>
  <c r="S79" i="14"/>
  <c r="T141" i="14"/>
  <c r="U25" i="16"/>
  <c r="AJ84" i="14" s="1"/>
  <c r="AK84" i="14" s="1"/>
  <c r="S91" i="14"/>
  <c r="X97" i="14"/>
  <c r="Y97" i="14" s="1"/>
  <c r="R85" i="16"/>
  <c r="AD111" i="14" s="1"/>
  <c r="AE111" i="14" s="1"/>
  <c r="S32" i="16"/>
  <c r="AF91" i="14"/>
  <c r="AG91" i="14" s="1"/>
  <c r="S89" i="14"/>
  <c r="X115" i="14"/>
  <c r="Y115" i="14" s="1"/>
  <c r="U32" i="16"/>
  <c r="AJ91" i="14" s="1"/>
  <c r="AK91" i="14" s="1"/>
  <c r="AH115" i="14"/>
  <c r="AI115" i="14" s="1"/>
  <c r="R49" i="16"/>
  <c r="AD97" i="14"/>
  <c r="AE97" i="14" s="1"/>
  <c r="S49" i="16"/>
  <c r="AF97" i="14"/>
  <c r="AG97" i="14" s="1"/>
  <c r="Q32" i="16"/>
  <c r="AB91" i="14" s="1"/>
  <c r="AC91" i="14" s="1"/>
  <c r="U85" i="16"/>
  <c r="AJ111" i="14" s="1"/>
  <c r="AK111" i="14" s="1"/>
  <c r="T99" i="14"/>
  <c r="AB115" i="14"/>
  <c r="AC115" i="14" s="1"/>
  <c r="R32" i="16"/>
  <c r="AD91" i="14"/>
  <c r="AE91" i="14" s="1"/>
  <c r="T85" i="16"/>
  <c r="AH111" i="14"/>
  <c r="AI111" i="14" s="1"/>
  <c r="X111" i="14"/>
  <c r="Y111" i="14" s="1"/>
  <c r="S85" i="16"/>
  <c r="AF111" i="14"/>
  <c r="AG111" i="14" s="1"/>
  <c r="X91" i="14"/>
  <c r="Y91" i="14" s="1"/>
  <c r="T107" i="14"/>
  <c r="U49" i="16"/>
  <c r="AJ97" i="14" s="1"/>
  <c r="AK97" i="14" s="1"/>
  <c r="T95" i="14"/>
  <c r="P83" i="16"/>
  <c r="Z109" i="14" s="1"/>
  <c r="AA109" i="14" s="1"/>
  <c r="J67" i="16"/>
  <c r="S104" i="14"/>
  <c r="P67" i="16"/>
  <c r="Z104" i="14" s="1"/>
  <c r="AA104" i="14" s="1"/>
  <c r="X113" i="14"/>
  <c r="Y113" i="14" s="1"/>
  <c r="Q87" i="16"/>
  <c r="AB113" i="14" s="1"/>
  <c r="AC113" i="14" s="1"/>
  <c r="R46" i="16"/>
  <c r="AD94" i="14"/>
  <c r="AE94" i="14" s="1"/>
  <c r="X129" i="14"/>
  <c r="Y129" i="14" s="1"/>
  <c r="O83" i="16"/>
  <c r="T83" i="16"/>
  <c r="AH109" i="14" s="1"/>
  <c r="AI109" i="14" s="1"/>
  <c r="S139" i="14"/>
  <c r="Q164" i="16"/>
  <c r="AB139" i="14" s="1"/>
  <c r="AC139" i="14" s="1"/>
  <c r="S46" i="16"/>
  <c r="AF94" i="14" s="1"/>
  <c r="AG94" i="14" s="1"/>
  <c r="Q46" i="16"/>
  <c r="AB94" i="14"/>
  <c r="AC94" i="14" s="1"/>
  <c r="U46" i="16"/>
  <c r="AJ94" i="14"/>
  <c r="AK94" i="14" s="1"/>
  <c r="X94" i="14"/>
  <c r="Y94" i="14" s="1"/>
  <c r="S164" i="16"/>
  <c r="AF139" i="14" s="1"/>
  <c r="AG139" i="14" s="1"/>
  <c r="T89" i="14"/>
  <c r="R164" i="16"/>
  <c r="AD139" i="14"/>
  <c r="AE139" i="14" s="1"/>
  <c r="U164" i="16"/>
  <c r="AJ139" i="14" s="1"/>
  <c r="AK139" i="14" s="1"/>
  <c r="R104" i="14"/>
  <c r="U87" i="16"/>
  <c r="AJ113" i="14"/>
  <c r="AK113" i="14" s="1"/>
  <c r="T91" i="14"/>
  <c r="T102" i="14"/>
  <c r="T110" i="14"/>
  <c r="X139" i="14"/>
  <c r="Y139" i="14" s="1"/>
  <c r="S94" i="14"/>
  <c r="R87" i="16"/>
  <c r="AD113" i="14" s="1"/>
  <c r="AE113" i="14" s="1"/>
  <c r="Q20" i="15"/>
  <c r="AB9" i="14" s="1"/>
  <c r="AC9" i="14" s="1"/>
  <c r="U191" i="15"/>
  <c r="AJ73" i="14" s="1"/>
  <c r="AK73" i="14" s="1"/>
  <c r="X40" i="14"/>
  <c r="Y40" i="14" s="1"/>
  <c r="Q86" i="15"/>
  <c r="AB40" i="14"/>
  <c r="AC40" i="14" s="1"/>
  <c r="U86" i="15"/>
  <c r="AJ40" i="14" s="1"/>
  <c r="AK40" i="14" s="1"/>
  <c r="R189" i="15"/>
  <c r="AD71" i="14"/>
  <c r="AE71" i="14" s="1"/>
  <c r="U189" i="15"/>
  <c r="AJ71" i="14"/>
  <c r="AK71" i="14" s="1"/>
  <c r="U47" i="15"/>
  <c r="AJ24" i="14" s="1"/>
  <c r="AK24" i="14" s="1"/>
  <c r="Q191" i="15"/>
  <c r="AB73" i="14"/>
  <c r="AC73" i="14" s="1"/>
  <c r="S189" i="15"/>
  <c r="AF71" i="14" s="1"/>
  <c r="AG71" i="14" s="1"/>
  <c r="T11" i="14"/>
  <c r="Q71" i="15"/>
  <c r="AB36" i="14"/>
  <c r="AC36" i="14" s="1"/>
  <c r="R26" i="14"/>
  <c r="T71" i="15"/>
  <c r="AH36" i="14"/>
  <c r="AI36" i="14" s="1"/>
  <c r="U71" i="15"/>
  <c r="AJ36" i="14" s="1"/>
  <c r="AK36" i="14" s="1"/>
  <c r="O148" i="15"/>
  <c r="R148" i="15" s="1"/>
  <c r="R47" i="15"/>
  <c r="AD24" i="14" s="1"/>
  <c r="AE24" i="14" s="1"/>
  <c r="T47" i="15"/>
  <c r="AH24" i="14" s="1"/>
  <c r="AI24" i="14" s="1"/>
  <c r="X24" i="14"/>
  <c r="Y24" i="14" s="1"/>
  <c r="X36" i="14"/>
  <c r="Y36" i="14" s="1"/>
  <c r="T191" i="15"/>
  <c r="AH73" i="14" s="1"/>
  <c r="AI73" i="14" s="1"/>
  <c r="S24" i="14"/>
  <c r="Q47" i="15"/>
  <c r="AB24" i="14" s="1"/>
  <c r="AC24" i="14" s="1"/>
  <c r="R71" i="15"/>
  <c r="AD36" i="14"/>
  <c r="AE36" i="14" s="1"/>
  <c r="J49" i="15"/>
  <c r="S26" i="14" s="1"/>
  <c r="O49" i="15"/>
  <c r="S49" i="15" s="1"/>
  <c r="AF26" i="14" s="1"/>
  <c r="AG26" i="14" s="1"/>
  <c r="R191" i="15"/>
  <c r="AD73" i="14" s="1"/>
  <c r="AE73" i="14" s="1"/>
  <c r="P69" i="15"/>
  <c r="R34" i="14"/>
  <c r="S45" i="16"/>
  <c r="X9" i="14"/>
  <c r="Y9" i="14" s="1"/>
  <c r="J26" i="15"/>
  <c r="O26" i="15" s="1"/>
  <c r="R26" i="15" s="1"/>
  <c r="S15" i="14"/>
  <c r="S117" i="17"/>
  <c r="AF186" i="14" s="1"/>
  <c r="AG186" i="14" s="1"/>
  <c r="J69" i="15"/>
  <c r="S34" i="14"/>
  <c r="X112" i="14"/>
  <c r="Y112" i="14" s="1"/>
  <c r="K27" i="15"/>
  <c r="P27" i="15"/>
  <c r="Z16" i="14" s="1"/>
  <c r="AA16" i="14" s="1"/>
  <c r="R51" i="17"/>
  <c r="AD165" i="14" s="1"/>
  <c r="AE165" i="14" s="1"/>
  <c r="T90" i="14"/>
  <c r="U51" i="17"/>
  <c r="AJ165" i="14"/>
  <c r="AK165" i="14" s="1"/>
  <c r="Q70" i="18"/>
  <c r="AB237" i="14" s="1"/>
  <c r="AC237" i="14" s="1"/>
  <c r="T85" i="18"/>
  <c r="AH241" i="14" s="1"/>
  <c r="AI241" i="14" s="1"/>
  <c r="Q45" i="16"/>
  <c r="U25" i="15"/>
  <c r="AJ14" i="14"/>
  <c r="AK14" i="14" s="1"/>
  <c r="Q86" i="16"/>
  <c r="AB112" i="14"/>
  <c r="AC112" i="14" s="1"/>
  <c r="X241" i="14"/>
  <c r="Y241" i="14" s="1"/>
  <c r="O32" i="17"/>
  <c r="Q32" i="17" s="1"/>
  <c r="AB157" i="14" s="1"/>
  <c r="AC157" i="14" s="1"/>
  <c r="T32" i="14"/>
  <c r="T178" i="14"/>
  <c r="J27" i="15"/>
  <c r="S16" i="14"/>
  <c r="P24" i="16"/>
  <c r="Z83" i="14" s="1"/>
  <c r="AA83" i="14" s="1"/>
  <c r="U20" i="15"/>
  <c r="AJ9" i="14" s="1"/>
  <c r="AK9" i="14" s="1"/>
  <c r="S56" i="14"/>
  <c r="X14" i="14"/>
  <c r="Y14" i="14" s="1"/>
  <c r="T24" i="14"/>
  <c r="Q134" i="18"/>
  <c r="AB257" i="14"/>
  <c r="AC257" i="14" s="1"/>
  <c r="U84" i="17"/>
  <c r="AJ176" i="14" s="1"/>
  <c r="AK176" i="14" s="1"/>
  <c r="R70" i="18"/>
  <c r="AD237" i="14" s="1"/>
  <c r="AE237" i="14" s="1"/>
  <c r="R86" i="16"/>
  <c r="AD112" i="14"/>
  <c r="AE112" i="14" s="1"/>
  <c r="S121" i="17"/>
  <c r="AF190" i="14"/>
  <c r="AG190" i="14" s="1"/>
  <c r="S70" i="18"/>
  <c r="AF237" i="14"/>
  <c r="AG237" i="14" s="1"/>
  <c r="T19" i="14"/>
  <c r="X145" i="14"/>
  <c r="Y145" i="14" s="1"/>
  <c r="T122" i="14"/>
  <c r="O24" i="16"/>
  <c r="Q24" i="16" s="1"/>
  <c r="S24" i="16"/>
  <c r="AF83" i="14" s="1"/>
  <c r="AG83" i="14" s="1"/>
  <c r="S86" i="14"/>
  <c r="R20" i="17"/>
  <c r="AD145" i="14"/>
  <c r="AE145" i="14" s="1"/>
  <c r="S20" i="15"/>
  <c r="AF9" i="14" s="1"/>
  <c r="AG9" i="14" s="1"/>
  <c r="R134" i="18"/>
  <c r="AD257" i="14"/>
  <c r="AE257" i="14" s="1"/>
  <c r="S9" i="14"/>
  <c r="X165" i="14"/>
  <c r="Y165" i="14" s="1"/>
  <c r="S93" i="14"/>
  <c r="T21" i="14"/>
  <c r="S186" i="14"/>
  <c r="U134" i="18"/>
  <c r="AJ257" i="14"/>
  <c r="AK257" i="14" s="1"/>
  <c r="U70" i="18"/>
  <c r="AJ237" i="14" s="1"/>
  <c r="AK237" i="14" s="1"/>
  <c r="T86" i="16"/>
  <c r="AH112" i="14"/>
  <c r="AI112" i="14" s="1"/>
  <c r="X176" i="14"/>
  <c r="Y176" i="14" s="1"/>
  <c r="S268" i="14"/>
  <c r="O33" i="18"/>
  <c r="R33" i="18"/>
  <c r="AD222" i="14"/>
  <c r="AE222" i="14" s="1"/>
  <c r="S78" i="14"/>
  <c r="S217" i="14"/>
  <c r="Q84" i="17"/>
  <c r="AB176" i="14"/>
  <c r="AC176" i="14" s="1"/>
  <c r="Q20" i="17"/>
  <c r="AB145" i="14"/>
  <c r="AC145" i="14" s="1"/>
  <c r="T45" i="16"/>
  <c r="T20" i="15"/>
  <c r="AH9" i="14"/>
  <c r="AI9" i="14" s="1"/>
  <c r="Q25" i="15"/>
  <c r="AB14" i="14" s="1"/>
  <c r="AC14" i="14" s="1"/>
  <c r="T134" i="18"/>
  <c r="AH257" i="14" s="1"/>
  <c r="AI257" i="14" s="1"/>
  <c r="T70" i="18"/>
  <c r="AH237" i="14" s="1"/>
  <c r="AI237" i="14" s="1"/>
  <c r="U86" i="16"/>
  <c r="AJ112" i="14"/>
  <c r="AK112" i="14" s="1"/>
  <c r="S14" i="14"/>
  <c r="X243" i="14"/>
  <c r="Y243" i="14" s="1"/>
  <c r="S84" i="17"/>
  <c r="AF176" i="14" s="1"/>
  <c r="AG176" i="14" s="1"/>
  <c r="X93" i="14"/>
  <c r="Y93" i="14" s="1"/>
  <c r="S85" i="18"/>
  <c r="AF241" i="14" s="1"/>
  <c r="AG241" i="14" s="1"/>
  <c r="T268" i="14"/>
  <c r="S145" i="14"/>
  <c r="O147" i="15"/>
  <c r="X58" i="14" s="1"/>
  <c r="Y58" i="14" s="1"/>
  <c r="R227" i="14"/>
  <c r="S98" i="18"/>
  <c r="AF243" i="14" s="1"/>
  <c r="AG243" i="14" s="1"/>
  <c r="X269" i="14"/>
  <c r="Y269" i="14" s="1"/>
  <c r="X246" i="14"/>
  <c r="Y246" i="14" s="1"/>
  <c r="S71" i="18"/>
  <c r="AF238" i="14" s="1"/>
  <c r="AG238" i="14" s="1"/>
  <c r="X230" i="14"/>
  <c r="Y230" i="14" s="1"/>
  <c r="T71" i="18"/>
  <c r="AH238" i="14" s="1"/>
  <c r="AI238" i="14" s="1"/>
  <c r="T69" i="18"/>
  <c r="AH236" i="14"/>
  <c r="AI236" i="14" s="1"/>
  <c r="U161" i="18"/>
  <c r="AJ265" i="14"/>
  <c r="AK265" i="14" s="1"/>
  <c r="U98" i="18"/>
  <c r="U102" i="18" s="1"/>
  <c r="S222" i="14"/>
  <c r="T225" i="14"/>
  <c r="R25" i="18"/>
  <c r="AD214" i="14"/>
  <c r="AE214" i="14" s="1"/>
  <c r="S165" i="18"/>
  <c r="AF269" i="14"/>
  <c r="AG269" i="14" s="1"/>
  <c r="Q98" i="18"/>
  <c r="K49" i="18"/>
  <c r="S230" i="14"/>
  <c r="S101" i="18"/>
  <c r="AF246" i="14" s="1"/>
  <c r="AG246" i="14" s="1"/>
  <c r="T101" i="18"/>
  <c r="AH246" i="14"/>
  <c r="AI246" i="14" s="1"/>
  <c r="U52" i="18"/>
  <c r="AJ230" i="14" s="1"/>
  <c r="AK230" i="14" s="1"/>
  <c r="R52" i="18"/>
  <c r="AD230" i="14"/>
  <c r="AE230" i="14" s="1"/>
  <c r="U71" i="18"/>
  <c r="AJ238" i="14"/>
  <c r="AK238" i="14" s="1"/>
  <c r="R165" i="18"/>
  <c r="AD269" i="14"/>
  <c r="AE269" i="14" s="1"/>
  <c r="Q69" i="18"/>
  <c r="AB236" i="14" s="1"/>
  <c r="AC236" i="14" s="1"/>
  <c r="X253" i="14"/>
  <c r="Y253" i="14" s="1"/>
  <c r="X214" i="14"/>
  <c r="Y214" i="14" s="1"/>
  <c r="S69" i="18"/>
  <c r="AF236" i="14" s="1"/>
  <c r="AG236" i="14" s="1"/>
  <c r="U29" i="18"/>
  <c r="AJ218" i="14" s="1"/>
  <c r="AK218" i="14" s="1"/>
  <c r="Q115" i="18"/>
  <c r="AB249" i="14" s="1"/>
  <c r="AC249" i="14" s="1"/>
  <c r="U101" i="18"/>
  <c r="AJ246" i="14"/>
  <c r="AK246" i="14" s="1"/>
  <c r="Q101" i="18"/>
  <c r="AB246" i="14"/>
  <c r="AC246" i="14" s="1"/>
  <c r="S52" i="18"/>
  <c r="AF230" i="14" s="1"/>
  <c r="AG230" i="14" s="1"/>
  <c r="Q71" i="18"/>
  <c r="AB238" i="14" s="1"/>
  <c r="AC238" i="14" s="1"/>
  <c r="Q165" i="18"/>
  <c r="AB269" i="14"/>
  <c r="AC269" i="14" s="1"/>
  <c r="U69" i="18"/>
  <c r="AJ236" i="14"/>
  <c r="AK236" i="14" s="1"/>
  <c r="P85" i="15"/>
  <c r="Z39" i="14"/>
  <c r="AA39" i="14" s="1"/>
  <c r="T39" i="14"/>
  <c r="T13" i="14"/>
  <c r="P24" i="15"/>
  <c r="Z13" i="14"/>
  <c r="AA13" i="14" s="1"/>
  <c r="U118" i="16"/>
  <c r="AJ122" i="14"/>
  <c r="AK122" i="14" s="1"/>
  <c r="X122" i="14"/>
  <c r="Y122" i="14" s="1"/>
  <c r="S118" i="16"/>
  <c r="AF122" i="14" s="1"/>
  <c r="AG122" i="14" s="1"/>
  <c r="T118" i="16"/>
  <c r="AH122" i="14" s="1"/>
  <c r="AI122" i="14" s="1"/>
  <c r="Q118" i="16"/>
  <c r="AB122" i="14"/>
  <c r="AC122" i="14" s="1"/>
  <c r="R118" i="16"/>
  <c r="AD122" i="14"/>
  <c r="AE122" i="14" s="1"/>
  <c r="J85" i="15"/>
  <c r="T26" i="16"/>
  <c r="AH85" i="14" s="1"/>
  <c r="AI85" i="14" s="1"/>
  <c r="R29" i="17"/>
  <c r="AD154" i="14"/>
  <c r="AE154" i="14" s="1"/>
  <c r="U29" i="17"/>
  <c r="AJ154" i="14"/>
  <c r="AK154" i="14" s="1"/>
  <c r="U87" i="17"/>
  <c r="AJ179" i="14"/>
  <c r="AK179" i="14" s="1"/>
  <c r="Q87" i="17"/>
  <c r="AB179" i="14" s="1"/>
  <c r="AC179" i="14" s="1"/>
  <c r="T87" i="17"/>
  <c r="AH179" i="14"/>
  <c r="AI179" i="14" s="1"/>
  <c r="X179" i="14"/>
  <c r="Y179" i="14" s="1"/>
  <c r="T19" i="16"/>
  <c r="R19" i="16"/>
  <c r="Q19" i="16"/>
  <c r="X78" i="14"/>
  <c r="Y78" i="14" s="1"/>
  <c r="S19" i="16"/>
  <c r="U19" i="16"/>
  <c r="S95" i="14"/>
  <c r="S44" i="14"/>
  <c r="X170" i="14"/>
  <c r="Y170" i="14" s="1"/>
  <c r="T187" i="14"/>
  <c r="S202" i="14"/>
  <c r="R47" i="16"/>
  <c r="AD95" i="14" s="1"/>
  <c r="AE95" i="14" s="1"/>
  <c r="U47" i="16"/>
  <c r="AJ95" i="14"/>
  <c r="AK95" i="14" s="1"/>
  <c r="R32" i="15"/>
  <c r="AD21" i="14"/>
  <c r="AE21" i="14" s="1"/>
  <c r="X21" i="14"/>
  <c r="Y21" i="14" s="1"/>
  <c r="Q32" i="15"/>
  <c r="AB21" i="14"/>
  <c r="AC21" i="14" s="1"/>
  <c r="T32" i="15"/>
  <c r="AH21" i="14" s="1"/>
  <c r="AI21" i="14" s="1"/>
  <c r="S32" i="15"/>
  <c r="AF21" i="14"/>
  <c r="AG21" i="14" s="1"/>
  <c r="U32" i="15"/>
  <c r="AJ21" i="14" s="1"/>
  <c r="AK21" i="14" s="1"/>
  <c r="S30" i="15"/>
  <c r="AF19" i="14"/>
  <c r="AG19" i="14" s="1"/>
  <c r="S100" i="18"/>
  <c r="AF245" i="14"/>
  <c r="AG245" i="14" s="1"/>
  <c r="P103" i="15"/>
  <c r="P107" i="15" s="1"/>
  <c r="T46" i="14"/>
  <c r="Q29" i="16"/>
  <c r="AB88" i="14" s="1"/>
  <c r="AC88" i="14" s="1"/>
  <c r="X88" i="14"/>
  <c r="Y88" i="14" s="1"/>
  <c r="R29" i="16"/>
  <c r="AD88" i="14"/>
  <c r="AE88" i="14" s="1"/>
  <c r="S50" i="16"/>
  <c r="AF98" i="14"/>
  <c r="AG98" i="14" s="1"/>
  <c r="Q50" i="16"/>
  <c r="AB98" i="14"/>
  <c r="AC98" i="14" s="1"/>
  <c r="Q100" i="18"/>
  <c r="AB245" i="14"/>
  <c r="AC245" i="14" s="1"/>
  <c r="R82" i="14"/>
  <c r="J23" i="16"/>
  <c r="T25" i="15"/>
  <c r="AH14" i="14"/>
  <c r="AI14" i="14" s="1"/>
  <c r="R25" i="15"/>
  <c r="AD14" i="14" s="1"/>
  <c r="AE14" i="14" s="1"/>
  <c r="R104" i="16"/>
  <c r="AD119" i="14"/>
  <c r="AE119" i="14" s="1"/>
  <c r="Q104" i="16"/>
  <c r="AB119" i="14" s="1"/>
  <c r="AC119" i="14" s="1"/>
  <c r="O120" i="16"/>
  <c r="S120" i="16" s="1"/>
  <c r="AF124" i="14" s="1"/>
  <c r="AG124" i="14" s="1"/>
  <c r="T120" i="16"/>
  <c r="AH124" i="14" s="1"/>
  <c r="AI124" i="14" s="1"/>
  <c r="S124" i="14"/>
  <c r="R114" i="14"/>
  <c r="K88" i="16"/>
  <c r="S21" i="14"/>
  <c r="O22" i="15"/>
  <c r="S11" i="14"/>
  <c r="P103" i="16"/>
  <c r="Z118" i="14" s="1"/>
  <c r="AA118" i="14" s="1"/>
  <c r="T118" i="14"/>
  <c r="P119" i="17"/>
  <c r="T188" i="14"/>
  <c r="T121" i="17"/>
  <c r="T123" i="17" s="1"/>
  <c r="R121" i="17"/>
  <c r="AD190" i="14"/>
  <c r="AE190" i="14" s="1"/>
  <c r="Q121" i="17"/>
  <c r="AB190" i="14" s="1"/>
  <c r="AC190" i="14" s="1"/>
  <c r="X190" i="14"/>
  <c r="Y190" i="14" s="1"/>
  <c r="Q52" i="15"/>
  <c r="AB29" i="14"/>
  <c r="AC29" i="14" s="1"/>
  <c r="R52" i="15"/>
  <c r="AD29" i="14" s="1"/>
  <c r="AE29" i="14" s="1"/>
  <c r="S52" i="15"/>
  <c r="AF29" i="14" s="1"/>
  <c r="AG29" i="14" s="1"/>
  <c r="S114" i="14"/>
  <c r="AF46" i="14"/>
  <c r="AG46" i="14" s="1"/>
  <c r="S25" i="17"/>
  <c r="AF150" i="14" s="1"/>
  <c r="AG150" i="14" s="1"/>
  <c r="R25" i="17"/>
  <c r="AD150" i="14"/>
  <c r="AE150" i="14" s="1"/>
  <c r="X150" i="14"/>
  <c r="Y150" i="14" s="1"/>
  <c r="R31" i="17"/>
  <c r="AD156" i="14" s="1"/>
  <c r="AE156" i="14" s="1"/>
  <c r="U31" i="17"/>
  <c r="AJ156" i="14"/>
  <c r="AK156" i="14" s="1"/>
  <c r="T31" i="17"/>
  <c r="AH156" i="14" s="1"/>
  <c r="AI156" i="14" s="1"/>
  <c r="R52" i="17"/>
  <c r="AD166" i="14"/>
  <c r="AE166" i="14" s="1"/>
  <c r="U52" i="17"/>
  <c r="AJ166" i="14" s="1"/>
  <c r="AK166" i="14" s="1"/>
  <c r="Q52" i="17"/>
  <c r="AB166" i="14" s="1"/>
  <c r="AC166" i="14" s="1"/>
  <c r="T52" i="17"/>
  <c r="AH166" i="14"/>
  <c r="AI166" i="14" s="1"/>
  <c r="S87" i="17"/>
  <c r="AF179" i="14"/>
  <c r="AG179" i="14" s="1"/>
  <c r="R87" i="17"/>
  <c r="AD179" i="14" s="1"/>
  <c r="AE179" i="14" s="1"/>
  <c r="P46" i="18"/>
  <c r="Z224" i="14" s="1"/>
  <c r="AA224" i="14" s="1"/>
  <c r="T224" i="14"/>
  <c r="P24" i="18"/>
  <c r="Z213" i="14" s="1"/>
  <c r="AA213" i="14" s="1"/>
  <c r="T34" i="14"/>
  <c r="S26" i="16"/>
  <c r="AF85" i="14" s="1"/>
  <c r="AG85" i="14" s="1"/>
  <c r="X245" i="14"/>
  <c r="Y245" i="14" s="1"/>
  <c r="S29" i="14"/>
  <c r="T52" i="15"/>
  <c r="AH29" i="14"/>
  <c r="AI29" i="14" s="1"/>
  <c r="O193" i="15"/>
  <c r="R193" i="15" s="1"/>
  <c r="AD75" i="14" s="1"/>
  <c r="AE75" i="14" s="1"/>
  <c r="R26" i="16"/>
  <c r="AD85" i="14" s="1"/>
  <c r="AE85" i="14" s="1"/>
  <c r="P27" i="17"/>
  <c r="Z152" i="14"/>
  <c r="AA152" i="14" s="1"/>
  <c r="K23" i="16"/>
  <c r="Q26" i="16"/>
  <c r="AB85" i="14"/>
  <c r="AC85" i="14" s="1"/>
  <c r="S19" i="14"/>
  <c r="S35" i="14"/>
  <c r="R86" i="18"/>
  <c r="AD242" i="14"/>
  <c r="AE242" i="14" s="1"/>
  <c r="AH56" i="14"/>
  <c r="AI56" i="14" s="1"/>
  <c r="O166" i="16"/>
  <c r="R166" i="16" s="1"/>
  <c r="AD141" i="14" s="1"/>
  <c r="AE141" i="14" s="1"/>
  <c r="O168" i="16"/>
  <c r="S141" i="14"/>
  <c r="X19" i="14"/>
  <c r="Y19" i="14" s="1"/>
  <c r="T30" i="15"/>
  <c r="AH19" i="14"/>
  <c r="AI19" i="14" s="1"/>
  <c r="U30" i="15"/>
  <c r="AJ19" i="14"/>
  <c r="AK19" i="14" s="1"/>
  <c r="R30" i="15"/>
  <c r="AD19" i="14"/>
  <c r="AE19" i="14" s="1"/>
  <c r="X29" i="14"/>
  <c r="Y29" i="14" s="1"/>
  <c r="Q86" i="18"/>
  <c r="AB242" i="14" s="1"/>
  <c r="AC242" i="14" s="1"/>
  <c r="O65" i="16"/>
  <c r="U65" i="16" s="1"/>
  <c r="AJ102" i="14" s="1"/>
  <c r="AK102" i="14" s="1"/>
  <c r="S102" i="14"/>
  <c r="N30" i="19"/>
  <c r="X291" i="14"/>
  <c r="Y291" i="14" s="1"/>
  <c r="R291" i="14"/>
  <c r="S291" i="14"/>
  <c r="P87" i="17"/>
  <c r="Z179" i="14" s="1"/>
  <c r="AA179" i="14" s="1"/>
  <c r="U297" i="14"/>
  <c r="X296" i="14"/>
  <c r="Y296" i="14" s="1"/>
  <c r="R81" i="14"/>
  <c r="S116" i="14"/>
  <c r="P32" i="17"/>
  <c r="Z157" i="14"/>
  <c r="AA157" i="14" s="1"/>
  <c r="T217" i="14"/>
  <c r="X257" i="14"/>
  <c r="Y257" i="14" s="1"/>
  <c r="O86" i="17"/>
  <c r="S86" i="17"/>
  <c r="AF178" i="14" s="1"/>
  <c r="AG178" i="14" s="1"/>
  <c r="X236" i="14"/>
  <c r="Y236" i="14" s="1"/>
  <c r="S299" i="14"/>
  <c r="T25" i="19"/>
  <c r="AJ286" i="14" s="1"/>
  <c r="AK286" i="14" s="1"/>
  <c r="X254" i="14"/>
  <c r="Y254" i="14" s="1"/>
  <c r="X229" i="14"/>
  <c r="Y229" i="14" s="1"/>
  <c r="T160" i="18"/>
  <c r="I23" i="17"/>
  <c r="R148" i="14" s="1"/>
  <c r="K22" i="17"/>
  <c r="J22" i="17"/>
  <c r="S147" i="14" s="1"/>
  <c r="Q29" i="17"/>
  <c r="AB154" i="14" s="1"/>
  <c r="AC154" i="14" s="1"/>
  <c r="X154" i="14"/>
  <c r="Y154" i="14" s="1"/>
  <c r="T29" i="17"/>
  <c r="AH154" i="14"/>
  <c r="AI154" i="14" s="1"/>
  <c r="P34" i="17"/>
  <c r="Z159" i="14" s="1"/>
  <c r="AA159" i="14" s="1"/>
  <c r="T159" i="14"/>
  <c r="U47" i="17"/>
  <c r="Q47" i="17"/>
  <c r="P48" i="17"/>
  <c r="P54" i="17"/>
  <c r="T162" i="14"/>
  <c r="O53" i="17"/>
  <c r="S167" i="14"/>
  <c r="X162" i="14"/>
  <c r="Y162" i="14" s="1"/>
  <c r="U48" i="17"/>
  <c r="AJ162" i="14" s="1"/>
  <c r="AK162" i="14" s="1"/>
  <c r="R117" i="17"/>
  <c r="AD186" i="14" s="1"/>
  <c r="AE186" i="14" s="1"/>
  <c r="Q117" i="17"/>
  <c r="Q123" i="17" s="1"/>
  <c r="AB186" i="14"/>
  <c r="AC186" i="14" s="1"/>
  <c r="U117" i="17"/>
  <c r="AJ186" i="14" s="1"/>
  <c r="AK186" i="14" s="1"/>
  <c r="Q118" i="17"/>
  <c r="AB187" i="14" s="1"/>
  <c r="AC187" i="14" s="1"/>
  <c r="R118" i="17"/>
  <c r="AD187" i="14" s="1"/>
  <c r="AE187" i="14" s="1"/>
  <c r="U118" i="17"/>
  <c r="AJ187" i="14" s="1"/>
  <c r="AK187" i="14" s="1"/>
  <c r="S118" i="17"/>
  <c r="AF187" i="14"/>
  <c r="AG187" i="14" s="1"/>
  <c r="T118" i="17"/>
  <c r="AH187" i="14" s="1"/>
  <c r="AI187" i="14" s="1"/>
  <c r="Q83" i="17"/>
  <c r="R83" i="17"/>
  <c r="AD175" i="14" s="1"/>
  <c r="AE175" i="14" s="1"/>
  <c r="O81" i="17"/>
  <c r="S81" i="17" s="1"/>
  <c r="AF173" i="14" s="1"/>
  <c r="AG173" i="14" s="1"/>
  <c r="T83" i="17"/>
  <c r="AH175" i="14" s="1"/>
  <c r="AI175" i="14" s="1"/>
  <c r="S83" i="17"/>
  <c r="T47" i="17"/>
  <c r="S29" i="17"/>
  <c r="AF154" i="14"/>
  <c r="AG154" i="14" s="1"/>
  <c r="T48" i="17"/>
  <c r="AH162" i="14"/>
  <c r="AI162" i="14" s="1"/>
  <c r="T117" i="17"/>
  <c r="AH186" i="14" s="1"/>
  <c r="AI186" i="14" s="1"/>
  <c r="R48" i="17"/>
  <c r="AD162" i="14"/>
  <c r="AE162" i="14" s="1"/>
  <c r="O19" i="17"/>
  <c r="R19" i="17" s="1"/>
  <c r="S144" i="14"/>
  <c r="P26" i="17"/>
  <c r="Z151" i="14" s="1"/>
  <c r="AA151" i="14" s="1"/>
  <c r="O26" i="17"/>
  <c r="X151" i="14" s="1"/>
  <c r="Y151" i="14" s="1"/>
  <c r="J27" i="17"/>
  <c r="R152" i="14"/>
  <c r="X175" i="14"/>
  <c r="Y175" i="14" s="1"/>
  <c r="U149" i="14"/>
  <c r="O24" i="17"/>
  <c r="X149" i="14" s="1"/>
  <c r="Y149" i="14" s="1"/>
  <c r="X159" i="14"/>
  <c r="Y159" i="14" s="1"/>
  <c r="U34" i="17"/>
  <c r="AJ159" i="14"/>
  <c r="AK159" i="14" s="1"/>
  <c r="S34" i="17"/>
  <c r="AF159" i="14" s="1"/>
  <c r="AG159" i="14" s="1"/>
  <c r="X185" i="14"/>
  <c r="Y185" i="14" s="1"/>
  <c r="S116" i="17"/>
  <c r="U116" i="17"/>
  <c r="AJ185" i="14"/>
  <c r="AK185" i="14" s="1"/>
  <c r="S21" i="16"/>
  <c r="AF80" i="14" s="1"/>
  <c r="AG80" i="14" s="1"/>
  <c r="T21" i="16"/>
  <c r="R21" i="16"/>
  <c r="AD80" i="14" s="1"/>
  <c r="AE80" i="14" s="1"/>
  <c r="U21" i="16"/>
  <c r="AJ80" i="14" s="1"/>
  <c r="AK80" i="14" s="1"/>
  <c r="Q21" i="16"/>
  <c r="AB80" i="14"/>
  <c r="AC80" i="14" s="1"/>
  <c r="X80" i="14"/>
  <c r="Y80" i="14" s="1"/>
  <c r="T30" i="16"/>
  <c r="AH89" i="14"/>
  <c r="AI89" i="14" s="1"/>
  <c r="S30" i="16"/>
  <c r="AF89" i="14" s="1"/>
  <c r="AG89" i="14" s="1"/>
  <c r="R30" i="16"/>
  <c r="AD89" i="14"/>
  <c r="AE89" i="14" s="1"/>
  <c r="U30" i="16"/>
  <c r="AJ89" i="14" s="1"/>
  <c r="AK89" i="14" s="1"/>
  <c r="Q30" i="16"/>
  <c r="AB89" i="14"/>
  <c r="AC89" i="14" s="1"/>
  <c r="X89" i="14"/>
  <c r="Y89" i="14" s="1"/>
  <c r="Z139" i="14"/>
  <c r="AA139" i="14" s="1"/>
  <c r="Q51" i="16"/>
  <c r="AB99" i="14" s="1"/>
  <c r="AC99" i="14" s="1"/>
  <c r="R51" i="16"/>
  <c r="AD99" i="14" s="1"/>
  <c r="AE99" i="14" s="1"/>
  <c r="U51" i="16"/>
  <c r="AJ99" i="14"/>
  <c r="AK99" i="14" s="1"/>
  <c r="T51" i="16"/>
  <c r="AH99" i="14"/>
  <c r="AI99" i="14" s="1"/>
  <c r="X99" i="14"/>
  <c r="Y99" i="14" s="1"/>
  <c r="S51" i="16"/>
  <c r="AF99" i="14" s="1"/>
  <c r="AG99" i="14" s="1"/>
  <c r="U88" i="16"/>
  <c r="X114" i="14"/>
  <c r="Y114" i="14" s="1"/>
  <c r="S88" i="16"/>
  <c r="AF114" i="14"/>
  <c r="AG114" i="14" s="1"/>
  <c r="R88" i="16"/>
  <c r="AD114" i="14"/>
  <c r="AE114" i="14" s="1"/>
  <c r="P28" i="16"/>
  <c r="T87" i="14"/>
  <c r="X90" i="14"/>
  <c r="Y90" i="14" s="1"/>
  <c r="U31" i="16"/>
  <c r="AJ90" i="14"/>
  <c r="AK90" i="14" s="1"/>
  <c r="R31" i="16"/>
  <c r="AD90" i="14" s="1"/>
  <c r="AE90" i="14" s="1"/>
  <c r="T31" i="16"/>
  <c r="AH90" i="14" s="1"/>
  <c r="AI90" i="14" s="1"/>
  <c r="S31" i="16"/>
  <c r="AF90" i="14"/>
  <c r="AG90" i="14" s="1"/>
  <c r="Q31" i="16"/>
  <c r="AB90" i="14"/>
  <c r="AC90" i="14" s="1"/>
  <c r="T47" i="16"/>
  <c r="AH95" i="14" s="1"/>
  <c r="AI95" i="14" s="1"/>
  <c r="Q47" i="16"/>
  <c r="AB95" i="14" s="1"/>
  <c r="AC95" i="14" s="1"/>
  <c r="T26" i="14"/>
  <c r="P49" i="15"/>
  <c r="Z26" i="14"/>
  <c r="AA26" i="14" s="1"/>
  <c r="Q29" i="15"/>
  <c r="AB18" i="14"/>
  <c r="AC18" i="14" s="1"/>
  <c r="T29" i="15"/>
  <c r="AH18" i="14"/>
  <c r="AI18" i="14" s="1"/>
  <c r="S29" i="15"/>
  <c r="AF18" i="14" s="1"/>
  <c r="AG18" i="14" s="1"/>
  <c r="R29" i="15"/>
  <c r="AD18" i="14"/>
  <c r="AE18" i="14" s="1"/>
  <c r="X18" i="14"/>
  <c r="Y18" i="14" s="1"/>
  <c r="U29" i="15"/>
  <c r="AJ18" i="14"/>
  <c r="AK18" i="14" s="1"/>
  <c r="S28" i="15"/>
  <c r="AF17" i="14"/>
  <c r="AG17" i="14" s="1"/>
  <c r="T28" i="15"/>
  <c r="AH17" i="14" s="1"/>
  <c r="AI17" i="14" s="1"/>
  <c r="R28" i="15"/>
  <c r="AD17" i="14" s="1"/>
  <c r="AE17" i="14" s="1"/>
  <c r="U28" i="15"/>
  <c r="AJ17" i="14"/>
  <c r="AK17" i="14" s="1"/>
  <c r="T87" i="15"/>
  <c r="X10" i="14"/>
  <c r="Y10" i="14" s="1"/>
  <c r="Q21" i="15"/>
  <c r="AB10" i="14" s="1"/>
  <c r="AC10" i="14" s="1"/>
  <c r="S21" i="15"/>
  <c r="AF10" i="14"/>
  <c r="AG10" i="14" s="1"/>
  <c r="Z31" i="14"/>
  <c r="AA31" i="14" s="1"/>
  <c r="S72" i="15"/>
  <c r="AF37" i="14"/>
  <c r="AG37" i="14" s="1"/>
  <c r="R72" i="15"/>
  <c r="AD37" i="14"/>
  <c r="AE37" i="14" s="1"/>
  <c r="U72" i="15"/>
  <c r="AJ37" i="14" s="1"/>
  <c r="AK37" i="14" s="1"/>
  <c r="X37" i="14"/>
  <c r="Y37" i="14" s="1"/>
  <c r="T72" i="15"/>
  <c r="AH37" i="14" s="1"/>
  <c r="AI37" i="14" s="1"/>
  <c r="Q72" i="15"/>
  <c r="AB37" i="14"/>
  <c r="AC37" i="14" s="1"/>
  <c r="X17" i="14"/>
  <c r="Y17" i="14" s="1"/>
  <c r="X8" i="14"/>
  <c r="Y8" i="14" s="1"/>
  <c r="T19" i="15"/>
  <c r="AH8" i="14" s="1"/>
  <c r="AI8" i="14" s="1"/>
  <c r="Q19" i="15"/>
  <c r="R19" i="15"/>
  <c r="S19" i="15"/>
  <c r="Z55" i="14"/>
  <c r="AA55" i="14" s="1"/>
  <c r="AF52" i="14"/>
  <c r="AG52" i="14" s="1"/>
  <c r="P23" i="15"/>
  <c r="Z12" i="14" s="1"/>
  <c r="AA12" i="14" s="1"/>
  <c r="T12" i="14"/>
  <c r="T70" i="15"/>
  <c r="AH35" i="14" s="1"/>
  <c r="AI35" i="14" s="1"/>
  <c r="U70" i="15"/>
  <c r="AJ35" i="14"/>
  <c r="AK35" i="14" s="1"/>
  <c r="Q70" i="15"/>
  <c r="AB35" i="14"/>
  <c r="AC35" i="14" s="1"/>
  <c r="S70" i="15"/>
  <c r="AF35" i="14" s="1"/>
  <c r="AG35" i="14" s="1"/>
  <c r="X35" i="14"/>
  <c r="Y35" i="14" s="1"/>
  <c r="R70" i="15"/>
  <c r="AD35" i="14" s="1"/>
  <c r="AE35" i="14" s="1"/>
  <c r="R103" i="15"/>
  <c r="R107" i="15"/>
  <c r="U103" i="15"/>
  <c r="U107" i="15"/>
  <c r="T103" i="15"/>
  <c r="X54" i="14"/>
  <c r="Y54" i="14" s="1"/>
  <c r="Z270" i="14"/>
  <c r="AA270" i="14" s="1"/>
  <c r="S25" i="19"/>
  <c r="AH286" i="14"/>
  <c r="AI286" i="14" s="1"/>
  <c r="S276" i="14"/>
  <c r="AH280" i="14"/>
  <c r="AI280" i="14" s="1"/>
  <c r="AF280" i="14"/>
  <c r="AG280" i="14" s="1"/>
  <c r="X275" i="14"/>
  <c r="Y275" i="14" s="1"/>
  <c r="AB280" i="14"/>
  <c r="AC280" i="14" s="1"/>
  <c r="O37" i="19"/>
  <c r="Z298" i="14" s="1"/>
  <c r="AA298" i="14" s="1"/>
  <c r="X280" i="14"/>
  <c r="Y280" i="14" s="1"/>
  <c r="AJ280" i="14"/>
  <c r="AK280" i="14" s="1"/>
  <c r="T28" i="18"/>
  <c r="AH217" i="14"/>
  <c r="AI217" i="14" s="1"/>
  <c r="R130" i="18"/>
  <c r="AD253" i="14" s="1"/>
  <c r="AE253" i="14" s="1"/>
  <c r="X218" i="14"/>
  <c r="Y218" i="14" s="1"/>
  <c r="T130" i="18"/>
  <c r="AH253" i="14"/>
  <c r="AI253" i="14" s="1"/>
  <c r="T29" i="18"/>
  <c r="AH218" i="14"/>
  <c r="AI218" i="14" s="1"/>
  <c r="R85" i="18"/>
  <c r="AD241" i="14"/>
  <c r="AE241" i="14" s="1"/>
  <c r="O31" i="18"/>
  <c r="U130" i="18"/>
  <c r="AJ253" i="14"/>
  <c r="AK253" i="14" s="1"/>
  <c r="S130" i="18"/>
  <c r="AF253" i="14"/>
  <c r="AG253" i="14" s="1"/>
  <c r="S211" i="14"/>
  <c r="S29" i="18"/>
  <c r="AF218" i="14" s="1"/>
  <c r="AG218" i="14" s="1"/>
  <c r="S213" i="14"/>
  <c r="O24" i="18"/>
  <c r="X224" i="14"/>
  <c r="Y224" i="14" s="1"/>
  <c r="R46" i="18"/>
  <c r="AD224" i="14" s="1"/>
  <c r="AE224" i="14" s="1"/>
  <c r="T46" i="18"/>
  <c r="S46" i="18"/>
  <c r="Q46" i="18"/>
  <c r="U46" i="18"/>
  <c r="AJ224" i="14" s="1"/>
  <c r="AK224" i="14" s="1"/>
  <c r="AH245" i="14"/>
  <c r="AI245" i="14" s="1"/>
  <c r="P66" i="18"/>
  <c r="Z233" i="14" s="1"/>
  <c r="AA233" i="14" s="1"/>
  <c r="T230" i="14"/>
  <c r="S233" i="14"/>
  <c r="T265" i="14"/>
  <c r="P30" i="18"/>
  <c r="Z219" i="14" s="1"/>
  <c r="AA219" i="14" s="1"/>
  <c r="Q67" i="18"/>
  <c r="AB234" i="14" s="1"/>
  <c r="AC234" i="14" s="1"/>
  <c r="S160" i="18"/>
  <c r="S221" i="14"/>
  <c r="S238" i="14"/>
  <c r="S265" i="14"/>
  <c r="R114" i="18"/>
  <c r="AD248" i="14" s="1"/>
  <c r="AE248" i="14" s="1"/>
  <c r="S114" i="18"/>
  <c r="AF248" i="14"/>
  <c r="AG248" i="14" s="1"/>
  <c r="X234" i="14"/>
  <c r="Y234" i="14" s="1"/>
  <c r="U67" i="18"/>
  <c r="AJ234" i="14"/>
  <c r="AK234" i="14" s="1"/>
  <c r="R32" i="18"/>
  <c r="AD221" i="14" s="1"/>
  <c r="AE221" i="14" s="1"/>
  <c r="T32" i="18"/>
  <c r="AH221" i="14"/>
  <c r="AI221" i="14" s="1"/>
  <c r="T245" i="14"/>
  <c r="R160" i="18"/>
  <c r="AD264" i="14" s="1"/>
  <c r="AE264" i="14" s="1"/>
  <c r="Q66" i="18"/>
  <c r="AB233" i="14"/>
  <c r="AC233" i="14" s="1"/>
  <c r="S161" i="18"/>
  <c r="AF265" i="14" s="1"/>
  <c r="AG265" i="14" s="1"/>
  <c r="T221" i="14"/>
  <c r="S209" i="14"/>
  <c r="R67" i="18"/>
  <c r="AD234" i="14"/>
  <c r="AE234" i="14" s="1"/>
  <c r="Q160" i="18"/>
  <c r="AB264" i="14" s="1"/>
  <c r="AC264" i="14" s="1"/>
  <c r="Q51" i="18"/>
  <c r="AB229" i="14" s="1"/>
  <c r="AC229" i="14" s="1"/>
  <c r="X264" i="14"/>
  <c r="Y264" i="14" s="1"/>
  <c r="S255" i="14"/>
  <c r="S32" i="18"/>
  <c r="AF221" i="14"/>
  <c r="AG221" i="14" s="1"/>
  <c r="O49" i="18"/>
  <c r="X227" i="14" s="1"/>
  <c r="Y227" i="14" s="1"/>
  <c r="U49" i="18"/>
  <c r="AJ227" i="14" s="1"/>
  <c r="AK227" i="14" s="1"/>
  <c r="T210" i="14"/>
  <c r="R161" i="18"/>
  <c r="AD265" i="14"/>
  <c r="AE265" i="14" s="1"/>
  <c r="U66" i="18"/>
  <c r="AJ233" i="14"/>
  <c r="AK233" i="14" s="1"/>
  <c r="X265" i="14"/>
  <c r="Y265" i="14" s="1"/>
  <c r="O36" i="19"/>
  <c r="Z297" i="14" s="1"/>
  <c r="AA297" i="14" s="1"/>
  <c r="R279" i="14"/>
  <c r="T48" i="15"/>
  <c r="AH25" i="14" s="1"/>
  <c r="AI25" i="14" s="1"/>
  <c r="Q48" i="15"/>
  <c r="X25" i="14"/>
  <c r="Y25" i="14" s="1"/>
  <c r="U48" i="15"/>
  <c r="R48" i="15"/>
  <c r="AD25" i="14" s="1"/>
  <c r="AE25" i="14" s="1"/>
  <c r="X209" i="14"/>
  <c r="Y209" i="14" s="1"/>
  <c r="U20" i="18"/>
  <c r="AJ209" i="14" s="1"/>
  <c r="AK209" i="14" s="1"/>
  <c r="T20" i="18"/>
  <c r="Q20" i="18"/>
  <c r="AB209" i="14" s="1"/>
  <c r="AC209" i="14" s="1"/>
  <c r="AB184" i="14"/>
  <c r="AC184" i="14" s="1"/>
  <c r="S47" i="16"/>
  <c r="AF95" i="14" s="1"/>
  <c r="AG95" i="14" s="1"/>
  <c r="AH129" i="14"/>
  <c r="AI129" i="14" s="1"/>
  <c r="AD118" i="14"/>
  <c r="AE118" i="14" s="1"/>
  <c r="S25" i="14"/>
  <c r="T88" i="16"/>
  <c r="AH114" i="14" s="1"/>
  <c r="AI114" i="14" s="1"/>
  <c r="Q88" i="16"/>
  <c r="AB114" i="14" s="1"/>
  <c r="AC114" i="14" s="1"/>
  <c r="P164" i="17"/>
  <c r="Z205" i="14" s="1"/>
  <c r="AA205" i="14" s="1"/>
  <c r="T205" i="14"/>
  <c r="T26" i="18"/>
  <c r="AH215" i="14" s="1"/>
  <c r="AI215" i="14" s="1"/>
  <c r="R26" i="18"/>
  <c r="AD215" i="14"/>
  <c r="AE215" i="14" s="1"/>
  <c r="X215" i="14"/>
  <c r="Y215" i="14" s="1"/>
  <c r="U26" i="18"/>
  <c r="AJ215" i="14" s="1"/>
  <c r="AK215" i="14" s="1"/>
  <c r="S26" i="18"/>
  <c r="AF215" i="14"/>
  <c r="AG215" i="14" s="1"/>
  <c r="Q26" i="18"/>
  <c r="AB215" i="14" s="1"/>
  <c r="AC215" i="14" s="1"/>
  <c r="S90" i="15"/>
  <c r="AF44" i="14" s="1"/>
  <c r="AG44" i="14" s="1"/>
  <c r="R90" i="15"/>
  <c r="AD44" i="14" s="1"/>
  <c r="AE44" i="14" s="1"/>
  <c r="Q90" i="15"/>
  <c r="T22" i="18"/>
  <c r="AH211" i="14" s="1"/>
  <c r="AI211" i="14" s="1"/>
  <c r="R22" i="18"/>
  <c r="AD211" i="14" s="1"/>
  <c r="AE211" i="14" s="1"/>
  <c r="Q22" i="18"/>
  <c r="AB211" i="14" s="1"/>
  <c r="AC211" i="14" s="1"/>
  <c r="AH103" i="14"/>
  <c r="AI103" i="14" s="1"/>
  <c r="P20" i="15"/>
  <c r="Z9" i="14"/>
  <c r="AA9" i="14" s="1"/>
  <c r="T9" i="14"/>
  <c r="T20" i="17"/>
  <c r="U20" i="17"/>
  <c r="P129" i="18"/>
  <c r="Z252" i="14" s="1"/>
  <c r="AA252" i="14" s="1"/>
  <c r="T252" i="14"/>
  <c r="P84" i="18"/>
  <c r="Z240" i="14" s="1"/>
  <c r="AA240" i="14" s="1"/>
  <c r="Q25" i="19"/>
  <c r="AD286" i="14"/>
  <c r="AE286" i="14" s="1"/>
  <c r="T121" i="15"/>
  <c r="X59" i="14"/>
  <c r="Y59" i="14" s="1"/>
  <c r="U148" i="15"/>
  <c r="T148" i="15"/>
  <c r="Q148" i="15"/>
  <c r="AB59" i="14" s="1"/>
  <c r="AC59" i="14" s="1"/>
  <c r="S148" i="15"/>
  <c r="AF59" i="14" s="1"/>
  <c r="AG59" i="14" s="1"/>
  <c r="AJ108" i="14"/>
  <c r="AK108" i="14" s="1"/>
  <c r="P53" i="15"/>
  <c r="AB46" i="14"/>
  <c r="AC46" i="14" s="1"/>
  <c r="AJ202" i="14"/>
  <c r="AK202" i="14" s="1"/>
  <c r="AD202" i="14"/>
  <c r="AE202" i="14" s="1"/>
  <c r="AH202" i="14"/>
  <c r="AI202" i="14" s="1"/>
  <c r="AB250" i="14"/>
  <c r="AC250" i="14" s="1"/>
  <c r="T104" i="17"/>
  <c r="R212" i="14"/>
  <c r="AH108" i="14"/>
  <c r="AI108" i="14" s="1"/>
  <c r="AB202" i="14"/>
  <c r="AC202" i="14" s="1"/>
  <c r="AB70" i="14"/>
  <c r="AC70" i="14" s="1"/>
  <c r="U121" i="15"/>
  <c r="AJ51" i="14"/>
  <c r="AK51" i="14" s="1"/>
  <c r="P150" i="15"/>
  <c r="AJ136" i="14"/>
  <c r="AK136" i="14" s="1"/>
  <c r="AH51" i="14"/>
  <c r="AI51" i="14" s="1"/>
  <c r="AD116" i="14"/>
  <c r="AE116" i="14" s="1"/>
  <c r="AJ172" i="14"/>
  <c r="AK172" i="14" s="1"/>
  <c r="T105" i="16"/>
  <c r="U104" i="17"/>
  <c r="O90" i="16"/>
  <c r="Q104" i="17"/>
  <c r="Z108" i="14"/>
  <c r="AA108" i="14" s="1"/>
  <c r="AF172" i="14"/>
  <c r="AG172" i="14" s="1"/>
  <c r="AF70" i="14"/>
  <c r="AG70" i="14" s="1"/>
  <c r="AB108" i="14"/>
  <c r="AC108" i="14" s="1"/>
  <c r="AJ116" i="14"/>
  <c r="AK116" i="14" s="1"/>
  <c r="U105" i="16"/>
  <c r="S147" i="15"/>
  <c r="S150" i="15" s="1"/>
  <c r="U147" i="15"/>
  <c r="T147" i="15"/>
  <c r="O123" i="16"/>
  <c r="AB136" i="14"/>
  <c r="AC136" i="14" s="1"/>
  <c r="AH172" i="14"/>
  <c r="AI172" i="14" s="1"/>
  <c r="AH247" i="14"/>
  <c r="AI247" i="14" s="1"/>
  <c r="Z70" i="14"/>
  <c r="AA70" i="14" s="1"/>
  <c r="P92" i="15"/>
  <c r="O23" i="18"/>
  <c r="T23" i="18" s="1"/>
  <c r="X212" i="14"/>
  <c r="Y212" i="14" s="1"/>
  <c r="T212" i="14"/>
  <c r="P23" i="18"/>
  <c r="Z212" i="14"/>
  <c r="AA212" i="14" s="1"/>
  <c r="AB116" i="14"/>
  <c r="AC116" i="14" s="1"/>
  <c r="AD172" i="14"/>
  <c r="AE172" i="14" s="1"/>
  <c r="AJ264" i="14"/>
  <c r="AK264" i="14" s="1"/>
  <c r="AF50" i="14"/>
  <c r="AG50" i="14" s="1"/>
  <c r="S104" i="17"/>
  <c r="AF264" i="14"/>
  <c r="AG264" i="14" s="1"/>
  <c r="R190" i="15"/>
  <c r="AD72" i="14" s="1"/>
  <c r="AE72" i="14" s="1"/>
  <c r="X72" i="14"/>
  <c r="Y72" i="14" s="1"/>
  <c r="T190" i="15"/>
  <c r="AH72" i="14"/>
  <c r="AI72" i="14" s="1"/>
  <c r="U190" i="15"/>
  <c r="Q190" i="15"/>
  <c r="AB72" i="14"/>
  <c r="AC72" i="14" s="1"/>
  <c r="S82" i="17"/>
  <c r="AF174" i="14" s="1"/>
  <c r="AG174" i="14" s="1"/>
  <c r="P81" i="17"/>
  <c r="P88" i="17" s="1"/>
  <c r="AB78" i="14"/>
  <c r="AC78" i="14" s="1"/>
  <c r="AH93" i="14"/>
  <c r="AI93" i="14" s="1"/>
  <c r="AF23" i="14"/>
  <c r="AG23" i="14" s="1"/>
  <c r="AB8" i="14"/>
  <c r="AC8" i="14" s="1"/>
  <c r="AJ78" i="14"/>
  <c r="AK78" i="14" s="1"/>
  <c r="AD78" i="14"/>
  <c r="AE78" i="14" s="1"/>
  <c r="AF93" i="14"/>
  <c r="AG93" i="14" s="1"/>
  <c r="AH161" i="14"/>
  <c r="AI161" i="14" s="1"/>
  <c r="AF78" i="14"/>
  <c r="AG78" i="14" s="1"/>
  <c r="AH78" i="14"/>
  <c r="AI78" i="14" s="1"/>
  <c r="Q66" i="17"/>
  <c r="AB53" i="14"/>
  <c r="AC53" i="14" s="1"/>
  <c r="AD8" i="14"/>
  <c r="AE8" i="14" s="1"/>
  <c r="AJ161" i="14"/>
  <c r="AK161" i="14" s="1"/>
  <c r="AB93" i="14"/>
  <c r="AC93" i="14" s="1"/>
  <c r="AH59" i="14"/>
  <c r="AI59" i="14" s="1"/>
  <c r="AD59" i="14"/>
  <c r="AE59" i="14" s="1"/>
  <c r="X157" i="14"/>
  <c r="Y157" i="14" s="1"/>
  <c r="AB224" i="14"/>
  <c r="AC224" i="14" s="1"/>
  <c r="AF8" i="14"/>
  <c r="AG8" i="14" s="1"/>
  <c r="AB31" i="14"/>
  <c r="AC31" i="14" s="1"/>
  <c r="Z169" i="14"/>
  <c r="AA169" i="14" s="1"/>
  <c r="AH31" i="14"/>
  <c r="AI31" i="14" s="1"/>
  <c r="O27" i="15"/>
  <c r="S27" i="15"/>
  <c r="T27" i="16"/>
  <c r="AH86" i="14"/>
  <c r="AI86" i="14" s="1"/>
  <c r="U32" i="17"/>
  <c r="AJ157" i="14"/>
  <c r="AK157" i="14" s="1"/>
  <c r="S66" i="17"/>
  <c r="X169" i="14"/>
  <c r="Y169" i="14" s="1"/>
  <c r="U66" i="17"/>
  <c r="R66" i="17"/>
  <c r="AD169" i="14" s="1"/>
  <c r="AE169" i="14" s="1"/>
  <c r="T66" i="17"/>
  <c r="T32" i="17"/>
  <c r="AH157" i="14" s="1"/>
  <c r="AI157" i="14" s="1"/>
  <c r="S32" i="17"/>
  <c r="AF157" i="14" s="1"/>
  <c r="AG157" i="14" s="1"/>
  <c r="R32" i="17"/>
  <c r="AD157" i="14"/>
  <c r="AE157" i="14" s="1"/>
  <c r="Q86" i="17"/>
  <c r="AB178" i="14" s="1"/>
  <c r="AC178" i="14" s="1"/>
  <c r="AJ240" i="14"/>
  <c r="AK240" i="14" s="1"/>
  <c r="X240" i="14"/>
  <c r="Y240" i="14" s="1"/>
  <c r="X222" i="14"/>
  <c r="Y222" i="14" s="1"/>
  <c r="O68" i="18"/>
  <c r="U68" i="18" s="1"/>
  <c r="Q33" i="18"/>
  <c r="AB222" i="14" s="1"/>
  <c r="AC222" i="14" s="1"/>
  <c r="S33" i="18"/>
  <c r="AF222" i="14" s="1"/>
  <c r="AG222" i="14" s="1"/>
  <c r="O22" i="16"/>
  <c r="S22" i="16" s="1"/>
  <c r="AF81" i="14" s="1"/>
  <c r="AG81" i="14" s="1"/>
  <c r="Q28" i="16"/>
  <c r="AB87" i="14"/>
  <c r="AC87" i="14" s="1"/>
  <c r="U28" i="16"/>
  <c r="AJ87" i="14" s="1"/>
  <c r="AK87" i="14" s="1"/>
  <c r="T28" i="16"/>
  <c r="AH87" i="14"/>
  <c r="AI87" i="14" s="1"/>
  <c r="X87" i="14"/>
  <c r="Y87" i="14" s="1"/>
  <c r="S28" i="16"/>
  <c r="AF87" i="14" s="1"/>
  <c r="AG87" i="14" s="1"/>
  <c r="S83" i="16"/>
  <c r="Z86" i="14"/>
  <c r="AA86" i="14" s="1"/>
  <c r="O48" i="16"/>
  <c r="U48" i="16" s="1"/>
  <c r="U83" i="16"/>
  <c r="AJ109" i="14"/>
  <c r="AK109" i="14" s="1"/>
  <c r="Q83" i="16"/>
  <c r="AB109" i="14"/>
  <c r="AC109" i="14" s="1"/>
  <c r="O67" i="16"/>
  <c r="T67" i="16" s="1"/>
  <c r="AH104" i="14" s="1"/>
  <c r="AI104" i="14" s="1"/>
  <c r="AJ129" i="14"/>
  <c r="AK129" i="14" s="1"/>
  <c r="R83" i="16"/>
  <c r="X109" i="14"/>
  <c r="Y109" i="14" s="1"/>
  <c r="T24" i="16"/>
  <c r="AH83" i="14" s="1"/>
  <c r="AI83" i="14" s="1"/>
  <c r="AB83" i="14"/>
  <c r="AC83" i="14" s="1"/>
  <c r="X83" i="14"/>
  <c r="Y83" i="14" s="1"/>
  <c r="Q120" i="16"/>
  <c r="AB124" i="14" s="1"/>
  <c r="AC124" i="14" s="1"/>
  <c r="T16" i="14"/>
  <c r="O69" i="15"/>
  <c r="S69" i="15" s="1"/>
  <c r="AF34" i="14" s="1"/>
  <c r="AG34" i="14" s="1"/>
  <c r="R24" i="16"/>
  <c r="AD83" i="14" s="1"/>
  <c r="AE83" i="14" s="1"/>
  <c r="U24" i="16"/>
  <c r="AJ83" i="14" s="1"/>
  <c r="AK83" i="14" s="1"/>
  <c r="X124" i="14"/>
  <c r="Y124" i="14" s="1"/>
  <c r="R120" i="16"/>
  <c r="AD124" i="14" s="1"/>
  <c r="AE124" i="14" s="1"/>
  <c r="X11" i="14"/>
  <c r="Y11" i="14" s="1"/>
  <c r="R22" i="15"/>
  <c r="AD11" i="14" s="1"/>
  <c r="AE11" i="14" s="1"/>
  <c r="T82" i="14"/>
  <c r="P23" i="16"/>
  <c r="Z82" i="14" s="1"/>
  <c r="AA82" i="14" s="1"/>
  <c r="R86" i="17"/>
  <c r="AD178" i="14"/>
  <c r="AE178" i="14" s="1"/>
  <c r="P88" i="16"/>
  <c r="P90" i="16" s="1"/>
  <c r="T114" i="14"/>
  <c r="Z188" i="14"/>
  <c r="AA188" i="14" s="1"/>
  <c r="O23" i="16"/>
  <c r="X82" i="14" s="1"/>
  <c r="Y82" i="14" s="1"/>
  <c r="S82" i="14"/>
  <c r="S65" i="16"/>
  <c r="AF102" i="14" s="1"/>
  <c r="AG102" i="14" s="1"/>
  <c r="Q65" i="16"/>
  <c r="AB102" i="14" s="1"/>
  <c r="AC102" i="14" s="1"/>
  <c r="U166" i="16"/>
  <c r="AJ141" i="14" s="1"/>
  <c r="AK141" i="14" s="1"/>
  <c r="Z46" i="14"/>
  <c r="AA46" i="14" s="1"/>
  <c r="S24" i="17"/>
  <c r="AF149" i="14" s="1"/>
  <c r="AG149" i="14" s="1"/>
  <c r="R24" i="17"/>
  <c r="AD149" i="14" s="1"/>
  <c r="AE149" i="14" s="1"/>
  <c r="U24" i="17"/>
  <c r="AJ149" i="14" s="1"/>
  <c r="AK149" i="14" s="1"/>
  <c r="T24" i="17"/>
  <c r="AH149" i="14" s="1"/>
  <c r="AI149" i="14" s="1"/>
  <c r="Q24" i="17"/>
  <c r="AB149" i="14" s="1"/>
  <c r="AC149" i="14" s="1"/>
  <c r="S152" i="14"/>
  <c r="O27" i="17"/>
  <c r="T27" i="17" s="1"/>
  <c r="AH152" i="14" s="1"/>
  <c r="AI152" i="14" s="1"/>
  <c r="Q19" i="17"/>
  <c r="AB144" i="14"/>
  <c r="AC144" i="14" s="1"/>
  <c r="X144" i="14"/>
  <c r="Y144" i="14" s="1"/>
  <c r="AD144" i="14"/>
  <c r="AE144" i="14" s="1"/>
  <c r="S19" i="17"/>
  <c r="AF144" i="14" s="1"/>
  <c r="AG144" i="14" s="1"/>
  <c r="T19" i="17"/>
  <c r="AH144" i="14" s="1"/>
  <c r="AI144" i="14" s="1"/>
  <c r="U19" i="17"/>
  <c r="AJ144" i="14" s="1"/>
  <c r="AK144" i="14" s="1"/>
  <c r="Z162" i="14"/>
  <c r="AA162" i="14" s="1"/>
  <c r="O22" i="17"/>
  <c r="S22" i="17" s="1"/>
  <c r="AF147" i="14" s="1"/>
  <c r="AG147" i="14" s="1"/>
  <c r="R26" i="17"/>
  <c r="AD151" i="14"/>
  <c r="AE151" i="14" s="1"/>
  <c r="Q26" i="17"/>
  <c r="AB151" i="14" s="1"/>
  <c r="AC151" i="14" s="1"/>
  <c r="U26" i="17"/>
  <c r="AJ151" i="14" s="1"/>
  <c r="AK151" i="14" s="1"/>
  <c r="S26" i="17"/>
  <c r="AF151" i="14" s="1"/>
  <c r="AG151" i="14" s="1"/>
  <c r="AB175" i="14"/>
  <c r="AC175" i="14" s="1"/>
  <c r="AB161" i="14"/>
  <c r="AC161" i="14" s="1"/>
  <c r="P22" i="17"/>
  <c r="Z147" i="14" s="1"/>
  <c r="AA147" i="14" s="1"/>
  <c r="T147" i="14"/>
  <c r="Q81" i="17"/>
  <c r="AB173" i="14" s="1"/>
  <c r="AC173" i="14" s="1"/>
  <c r="X173" i="14"/>
  <c r="Y173" i="14" s="1"/>
  <c r="T81" i="17"/>
  <c r="AH173" i="14" s="1"/>
  <c r="AI173" i="14" s="1"/>
  <c r="U81" i="17"/>
  <c r="AF175" i="14"/>
  <c r="AG175" i="14" s="1"/>
  <c r="Q53" i="17"/>
  <c r="AB167" i="14" s="1"/>
  <c r="AC167" i="14" s="1"/>
  <c r="J23" i="17"/>
  <c r="O23" i="17" s="1"/>
  <c r="K23" i="17"/>
  <c r="Z87" i="14"/>
  <c r="AA87" i="14" s="1"/>
  <c r="AJ114" i="14"/>
  <c r="AK114" i="14" s="1"/>
  <c r="AH80" i="14"/>
  <c r="AI80" i="14" s="1"/>
  <c r="AB54" i="14"/>
  <c r="AC54" i="14" s="1"/>
  <c r="AJ46" i="14"/>
  <c r="AK46" i="14" s="1"/>
  <c r="AH41" i="14"/>
  <c r="AI41" i="14" s="1"/>
  <c r="AD46" i="14"/>
  <c r="AE46" i="14" s="1"/>
  <c r="AB44" i="14"/>
  <c r="AC44" i="14" s="1"/>
  <c r="S49" i="18"/>
  <c r="AF227" i="14"/>
  <c r="AG227" i="14" s="1"/>
  <c r="Q49" i="18"/>
  <c r="AB227" i="14" s="1"/>
  <c r="AC227" i="14" s="1"/>
  <c r="AH224" i="14"/>
  <c r="AI224" i="14" s="1"/>
  <c r="AF224" i="14"/>
  <c r="AG224" i="14" s="1"/>
  <c r="AJ145" i="14"/>
  <c r="AK145" i="14" s="1"/>
  <c r="AH145" i="14"/>
  <c r="AI145" i="14" s="1"/>
  <c r="AB25" i="14"/>
  <c r="AC25" i="14" s="1"/>
  <c r="AH209" i="14"/>
  <c r="AI209" i="14" s="1"/>
  <c r="AF25" i="14"/>
  <c r="AG25" i="14" s="1"/>
  <c r="S115" i="17"/>
  <c r="AD184" i="14"/>
  <c r="AE184" i="14" s="1"/>
  <c r="AJ25" i="14"/>
  <c r="AK25" i="14" s="1"/>
  <c r="R23" i="18"/>
  <c r="AD212" i="14" s="1"/>
  <c r="AE212" i="14" s="1"/>
  <c r="U90" i="16"/>
  <c r="AD109" i="14"/>
  <c r="AE109" i="14" s="1"/>
  <c r="Z173" i="14"/>
  <c r="AA173" i="14" s="1"/>
  <c r="AJ72" i="14"/>
  <c r="AK72" i="14" s="1"/>
  <c r="AH212" i="14"/>
  <c r="AI212" i="14" s="1"/>
  <c r="U23" i="18"/>
  <c r="AJ212" i="14" s="1"/>
  <c r="AK212" i="14" s="1"/>
  <c r="S23" i="18"/>
  <c r="AF212" i="14" s="1"/>
  <c r="AG212" i="14" s="1"/>
  <c r="Q23" i="18"/>
  <c r="AB212" i="14"/>
  <c r="AC212" i="14" s="1"/>
  <c r="R67" i="16"/>
  <c r="AD104" i="14" s="1"/>
  <c r="AE104" i="14" s="1"/>
  <c r="Q27" i="15"/>
  <c r="AB16" i="14"/>
  <c r="AC16" i="14" s="1"/>
  <c r="AB169" i="14"/>
  <c r="AC169" i="14" s="1"/>
  <c r="Q26" i="15"/>
  <c r="X16" i="14"/>
  <c r="Y16" i="14" s="1"/>
  <c r="AJ169" i="14"/>
  <c r="AK169" i="14" s="1"/>
  <c r="R27" i="15"/>
  <c r="AD16" i="14" s="1"/>
  <c r="AE16" i="14" s="1"/>
  <c r="T27" i="15"/>
  <c r="AH16" i="14" s="1"/>
  <c r="AI16" i="14" s="1"/>
  <c r="AH169" i="14"/>
  <c r="AI169" i="14" s="1"/>
  <c r="U27" i="15"/>
  <c r="AJ16" i="14" s="1"/>
  <c r="AK16" i="14" s="1"/>
  <c r="AF169" i="14"/>
  <c r="AG169" i="14" s="1"/>
  <c r="Z96" i="14"/>
  <c r="AA96" i="14" s="1"/>
  <c r="X96" i="14"/>
  <c r="Y96" i="14" s="1"/>
  <c r="AJ96" i="14"/>
  <c r="AK96" i="14" s="1"/>
  <c r="T48" i="16"/>
  <c r="AD15" i="14"/>
  <c r="AE15" i="14" s="1"/>
  <c r="X34" i="14"/>
  <c r="Y34" i="14" s="1"/>
  <c r="S23" i="16"/>
  <c r="AF82" i="14"/>
  <c r="AG82" i="14" s="1"/>
  <c r="P23" i="17"/>
  <c r="T148" i="14"/>
  <c r="X152" i="14"/>
  <c r="Y152" i="14" s="1"/>
  <c r="R27" i="17"/>
  <c r="AD152" i="14" s="1"/>
  <c r="AE152" i="14" s="1"/>
  <c r="Q27" i="17"/>
  <c r="AB152" i="14" s="1"/>
  <c r="AC152" i="14" s="1"/>
  <c r="S148" i="14"/>
  <c r="Q22" i="17"/>
  <c r="AB147" i="14" s="1"/>
  <c r="AC147" i="14" s="1"/>
  <c r="U22" i="17"/>
  <c r="AJ147" i="14" s="1"/>
  <c r="AK147" i="14" s="1"/>
  <c r="R22" i="17"/>
  <c r="T22" i="17"/>
  <c r="AH147" i="14" s="1"/>
  <c r="AI147" i="14" s="1"/>
  <c r="S133" i="15"/>
  <c r="AD54" i="14"/>
  <c r="AE54" i="14" s="1"/>
  <c r="AF16" i="14"/>
  <c r="AG16" i="14" s="1"/>
  <c r="T115" i="17"/>
  <c r="AF184" i="14"/>
  <c r="AG184" i="14" s="1"/>
  <c r="AB15" i="14"/>
  <c r="AC15" i="14" s="1"/>
  <c r="AH96" i="14"/>
  <c r="AI96" i="14" s="1"/>
  <c r="AJ235" i="14"/>
  <c r="AK235" i="14" s="1"/>
  <c r="AD147" i="14"/>
  <c r="AE147" i="14" s="1"/>
  <c r="Z148" i="14"/>
  <c r="AA148" i="14" s="1"/>
  <c r="Z253" i="14"/>
  <c r="AA253" i="14" s="1"/>
  <c r="P135" i="18"/>
  <c r="T226" i="14"/>
  <c r="P48" i="18"/>
  <c r="Q132" i="18"/>
  <c r="AB255" i="14"/>
  <c r="AC255" i="14" s="1"/>
  <c r="T132" i="18"/>
  <c r="AH255" i="14" s="1"/>
  <c r="AI255" i="14" s="1"/>
  <c r="U132" i="18"/>
  <c r="AJ255" i="14" s="1"/>
  <c r="AK255" i="14" s="1"/>
  <c r="S132" i="18"/>
  <c r="AF255" i="14" s="1"/>
  <c r="AG255" i="14" s="1"/>
  <c r="R132" i="18"/>
  <c r="X255" i="14"/>
  <c r="Y255" i="14" s="1"/>
  <c r="T21" i="18"/>
  <c r="AH210" i="14" s="1"/>
  <c r="AI210" i="14" s="1"/>
  <c r="R21" i="18"/>
  <c r="AD210" i="14" s="1"/>
  <c r="AE210" i="14" s="1"/>
  <c r="Q21" i="18"/>
  <c r="AB210" i="14" s="1"/>
  <c r="AC210" i="14" s="1"/>
  <c r="X210" i="14"/>
  <c r="Y210" i="14" s="1"/>
  <c r="S21" i="18"/>
  <c r="AF210" i="14" s="1"/>
  <c r="AG210" i="14" s="1"/>
  <c r="U21" i="18"/>
  <c r="AJ210" i="14"/>
  <c r="AK210" i="14" s="1"/>
  <c r="Q164" i="18"/>
  <c r="AB268" i="14"/>
  <c r="AC268" i="14" s="1"/>
  <c r="X268" i="14"/>
  <c r="Y268" i="14" s="1"/>
  <c r="R164" i="18"/>
  <c r="AD268" i="14"/>
  <c r="AE268" i="14" s="1"/>
  <c r="T164" i="18"/>
  <c r="AH268" i="14" s="1"/>
  <c r="AI268" i="14" s="1"/>
  <c r="U164" i="18"/>
  <c r="AJ268" i="14" s="1"/>
  <c r="AK268" i="14" s="1"/>
  <c r="S164" i="18"/>
  <c r="AF268" i="14" s="1"/>
  <c r="AG268" i="14" s="1"/>
  <c r="Q116" i="18"/>
  <c r="T49" i="18"/>
  <c r="AH227" i="14" s="1"/>
  <c r="AI227" i="14" s="1"/>
  <c r="T116" i="18"/>
  <c r="AJ247" i="14"/>
  <c r="AK247" i="14" s="1"/>
  <c r="X251" i="14"/>
  <c r="Y251" i="14" s="1"/>
  <c r="U28" i="18"/>
  <c r="AJ217" i="14"/>
  <c r="AK217" i="14" s="1"/>
  <c r="J48" i="18"/>
  <c r="S210" i="14"/>
  <c r="Q65" i="18"/>
  <c r="AB232" i="14"/>
  <c r="AC232" i="14" s="1"/>
  <c r="X249" i="14"/>
  <c r="Y249" i="14" s="1"/>
  <c r="O72" i="18"/>
  <c r="T65" i="18"/>
  <c r="AH232" i="14" s="1"/>
  <c r="AI232" i="14" s="1"/>
  <c r="O47" i="18"/>
  <c r="U47" i="18" s="1"/>
  <c r="AJ225" i="14" s="1"/>
  <c r="AK225" i="14" s="1"/>
  <c r="T24" i="18"/>
  <c r="AH213" i="14" s="1"/>
  <c r="AI213" i="14" s="1"/>
  <c r="T33" i="18"/>
  <c r="AH222" i="14"/>
  <c r="AI222" i="14" s="1"/>
  <c r="P27" i="18"/>
  <c r="Z216" i="14"/>
  <c r="AA216" i="14" s="1"/>
  <c r="R226" i="14"/>
  <c r="O27" i="18"/>
  <c r="Q27" i="18" s="1"/>
  <c r="AB216" i="14" s="1"/>
  <c r="AC216" i="14" s="1"/>
  <c r="T163" i="18"/>
  <c r="AH267" i="14"/>
  <c r="AI267" i="14" s="1"/>
  <c r="P71" i="18"/>
  <c r="Z238" i="14" s="1"/>
  <c r="AA238" i="14" s="1"/>
  <c r="S115" i="18"/>
  <c r="S163" i="18"/>
  <c r="AF267" i="14" s="1"/>
  <c r="AG267" i="14" s="1"/>
  <c r="Q128" i="18"/>
  <c r="T207" i="14"/>
  <c r="Q150" i="18"/>
  <c r="Q153" i="18" s="1"/>
  <c r="AB260" i="14"/>
  <c r="AC260" i="14" s="1"/>
  <c r="T258" i="14"/>
  <c r="R163" i="18"/>
  <c r="AD267" i="14" s="1"/>
  <c r="AE267" i="14" s="1"/>
  <c r="P102" i="18"/>
  <c r="U159" i="18"/>
  <c r="AJ263" i="14"/>
  <c r="AK263" i="14" s="1"/>
  <c r="S231" i="14"/>
  <c r="P34" i="18"/>
  <c r="X217" i="14"/>
  <c r="Y217" i="14" s="1"/>
  <c r="X267" i="14"/>
  <c r="Y267" i="14" s="1"/>
  <c r="S28" i="18"/>
  <c r="AF217" i="14"/>
  <c r="AG217" i="14" s="1"/>
  <c r="T68" i="18"/>
  <c r="AH235" i="14"/>
  <c r="AI235" i="14" s="1"/>
  <c r="U33" i="18"/>
  <c r="AJ222" i="14"/>
  <c r="AK222" i="14" s="1"/>
  <c r="R84" i="18"/>
  <c r="AD240" i="14" s="1"/>
  <c r="AE240" i="14" s="1"/>
  <c r="S22" i="18"/>
  <c r="AF211" i="14"/>
  <c r="AG211" i="14" s="1"/>
  <c r="X211" i="14"/>
  <c r="Y211" i="14" s="1"/>
  <c r="O116" i="18"/>
  <c r="R115" i="18"/>
  <c r="R116" i="18" s="1"/>
  <c r="X263" i="14"/>
  <c r="Y263" i="14" s="1"/>
  <c r="S261" i="14"/>
  <c r="O151" i="18"/>
  <c r="X260" i="14"/>
  <c r="Y260" i="14" s="1"/>
  <c r="R31" i="18"/>
  <c r="AD220" i="14" s="1"/>
  <c r="AE220" i="14" s="1"/>
  <c r="R28" i="18"/>
  <c r="AD217" i="14"/>
  <c r="AE217" i="14" s="1"/>
  <c r="U115" i="18"/>
  <c r="AJ249" i="14"/>
  <c r="AK249" i="14" s="1"/>
  <c r="U65" i="18"/>
  <c r="AJ232" i="14"/>
  <c r="AK232" i="14" s="1"/>
  <c r="U163" i="18"/>
  <c r="AJ267" i="14" s="1"/>
  <c r="AK267" i="14" s="1"/>
  <c r="J18" i="18"/>
  <c r="X235" i="14"/>
  <c r="Y235" i="14" s="1"/>
  <c r="X232" i="14"/>
  <c r="Y232" i="14" s="1"/>
  <c r="R65" i="18"/>
  <c r="AD232" i="14" s="1"/>
  <c r="AE232" i="14" s="1"/>
  <c r="Q159" i="18"/>
  <c r="T131" i="14"/>
  <c r="P149" i="16"/>
  <c r="S136" i="16"/>
  <c r="AF129" i="14"/>
  <c r="AG129" i="14" s="1"/>
  <c r="T61" i="14"/>
  <c r="P161" i="15"/>
  <c r="P165" i="15" s="1"/>
  <c r="Z61" i="14"/>
  <c r="AA61" i="14" s="1"/>
  <c r="E384" i="55"/>
  <c r="Q10" i="19"/>
  <c r="AD271" i="14"/>
  <c r="AE271" i="14" s="1"/>
  <c r="U134" i="17"/>
  <c r="AJ192" i="14"/>
  <c r="AK192" i="14" s="1"/>
  <c r="X192" i="14"/>
  <c r="Y192" i="14" s="1"/>
  <c r="T134" i="17"/>
  <c r="AH192" i="14"/>
  <c r="AI192" i="14" s="1"/>
  <c r="AF192" i="14"/>
  <c r="AG192" i="14" s="1"/>
  <c r="Q134" i="17"/>
  <c r="AB192" i="14"/>
  <c r="AC192" i="14" s="1"/>
  <c r="R134" i="17"/>
  <c r="AD192" i="14"/>
  <c r="AE192" i="14" s="1"/>
  <c r="R151" i="18"/>
  <c r="AD261" i="14"/>
  <c r="AE261" i="14" s="1"/>
  <c r="T149" i="16"/>
  <c r="AH131" i="14"/>
  <c r="AI131" i="14" s="1"/>
  <c r="R149" i="16"/>
  <c r="AD131" i="14"/>
  <c r="AE131" i="14" s="1"/>
  <c r="S149" i="16"/>
  <c r="AF131" i="14"/>
  <c r="AG131" i="14" s="1"/>
  <c r="U149" i="16"/>
  <c r="AJ131" i="14"/>
  <c r="AK131" i="14" s="1"/>
  <c r="X131" i="14"/>
  <c r="Y131" i="14" s="1"/>
  <c r="R137" i="16"/>
  <c r="AD130" i="14" s="1"/>
  <c r="AE130" i="14" s="1"/>
  <c r="T134" i="16"/>
  <c r="AH127" i="14" s="1"/>
  <c r="AI127" i="14" s="1"/>
  <c r="Q134" i="16"/>
  <c r="AB127" i="14" s="1"/>
  <c r="AC127" i="14" s="1"/>
  <c r="Z127" i="14"/>
  <c r="AA127" i="14" s="1"/>
  <c r="R134" i="16"/>
  <c r="AD127" i="14" s="1"/>
  <c r="AE127" i="14" s="1"/>
  <c r="U26" i="15"/>
  <c r="AJ15" i="14" s="1"/>
  <c r="AK15" i="14" s="1"/>
  <c r="T26" i="15"/>
  <c r="AH15" i="14"/>
  <c r="AI15" i="14" s="1"/>
  <c r="R23" i="17"/>
  <c r="AD148" i="14" s="1"/>
  <c r="AE148" i="14" s="1"/>
  <c r="S26" i="15"/>
  <c r="AF15" i="14"/>
  <c r="AG15" i="14" s="1"/>
  <c r="Q23" i="17"/>
  <c r="AB148" i="14" s="1"/>
  <c r="AC148" i="14" s="1"/>
  <c r="AH184" i="14"/>
  <c r="AI184" i="14" s="1"/>
  <c r="X15" i="14"/>
  <c r="Y15" i="14" s="1"/>
  <c r="T133" i="15"/>
  <c r="AH54" i="14" s="1"/>
  <c r="AI54" i="14" s="1"/>
  <c r="U115" i="17"/>
  <c r="U123" i="17" s="1"/>
  <c r="R105" i="16"/>
  <c r="AD255" i="14"/>
  <c r="AE255" i="14" s="1"/>
  <c r="T67" i="15"/>
  <c r="AH32" i="14"/>
  <c r="AI32" i="14" s="1"/>
  <c r="Q67" i="15"/>
  <c r="AB32" i="14"/>
  <c r="AC32" i="14" s="1"/>
  <c r="X32" i="14"/>
  <c r="Y32" i="14" s="1"/>
  <c r="R67" i="15"/>
  <c r="AD32" i="14" s="1"/>
  <c r="AE32" i="14" s="1"/>
  <c r="U67" i="15"/>
  <c r="AJ32" i="14"/>
  <c r="AK32" i="14" s="1"/>
  <c r="R45" i="16"/>
  <c r="AD93" i="14" s="1"/>
  <c r="AE93" i="14" s="1"/>
  <c r="U45" i="16"/>
  <c r="AJ93" i="14" s="1"/>
  <c r="AK93" i="14" s="1"/>
  <c r="Z124" i="14"/>
  <c r="AA124" i="14" s="1"/>
  <c r="P123" i="16"/>
  <c r="AJ59" i="14"/>
  <c r="AK59" i="14" s="1"/>
  <c r="U90" i="15"/>
  <c r="AJ44" i="14" s="1"/>
  <c r="AK44" i="14" s="1"/>
  <c r="T90" i="15"/>
  <c r="AH44" i="14" s="1"/>
  <c r="AI44" i="14" s="1"/>
  <c r="X44" i="14"/>
  <c r="Y44" i="14" s="1"/>
  <c r="O24" i="15"/>
  <c r="R24" i="15" s="1"/>
  <c r="AD13" i="14" s="1"/>
  <c r="AE13" i="14" s="1"/>
  <c r="S13" i="14"/>
  <c r="U64" i="18"/>
  <c r="X231" i="14"/>
  <c r="Y231" i="14" s="1"/>
  <c r="T64" i="18"/>
  <c r="T72" i="18" s="1"/>
  <c r="R64" i="18"/>
  <c r="S64" i="18"/>
  <c r="AF231" i="14" s="1"/>
  <c r="AG231" i="14" s="1"/>
  <c r="Q64" i="18"/>
  <c r="U18" i="16"/>
  <c r="AJ77" i="14" s="1"/>
  <c r="AK77" i="14" s="1"/>
  <c r="R18" i="16"/>
  <c r="S18" i="16"/>
  <c r="Q18" i="16"/>
  <c r="X77" i="14"/>
  <c r="Y77" i="14" s="1"/>
  <c r="T18" i="16"/>
  <c r="Z65" i="14"/>
  <c r="AA65" i="14" s="1"/>
  <c r="P181" i="15"/>
  <c r="R152" i="16"/>
  <c r="AD134" i="14" s="1"/>
  <c r="AE134" i="14" s="1"/>
  <c r="Q152" i="16"/>
  <c r="AB134" i="14"/>
  <c r="AC134" i="14" s="1"/>
  <c r="X134" i="14"/>
  <c r="Y134" i="14" s="1"/>
  <c r="S152" i="16"/>
  <c r="U152" i="16"/>
  <c r="O154" i="16"/>
  <c r="T152" i="16"/>
  <c r="O45" i="18"/>
  <c r="S45" i="18" s="1"/>
  <c r="S223" i="14"/>
  <c r="U162" i="17"/>
  <c r="AJ203" i="14" s="1"/>
  <c r="AK203" i="14" s="1"/>
  <c r="Q162" i="17"/>
  <c r="R162" i="17"/>
  <c r="S162" i="17"/>
  <c r="T162" i="17"/>
  <c r="AH203" i="14"/>
  <c r="AI203" i="14" s="1"/>
  <c r="S63" i="16"/>
  <c r="T63" i="16"/>
  <c r="U63" i="16"/>
  <c r="X100" i="14"/>
  <c r="Y100" i="14" s="1"/>
  <c r="R63" i="16"/>
  <c r="Q63" i="16"/>
  <c r="O45" i="15"/>
  <c r="S22" i="14"/>
  <c r="O44" i="16"/>
  <c r="S92" i="14"/>
  <c r="S148" i="18"/>
  <c r="S153" i="18" s="1"/>
  <c r="Q148" i="18"/>
  <c r="U148" i="18"/>
  <c r="U153" i="18" s="1"/>
  <c r="R148" i="18"/>
  <c r="T148" i="18"/>
  <c r="T153" i="18" s="1"/>
  <c r="O153" i="18"/>
  <c r="X258" i="14"/>
  <c r="Y258" i="14" s="1"/>
  <c r="U179" i="15"/>
  <c r="AJ68" i="14"/>
  <c r="AK68" i="14" s="1"/>
  <c r="Q179" i="15"/>
  <c r="AB68" i="14"/>
  <c r="AC68" i="14" s="1"/>
  <c r="T179" i="15"/>
  <c r="AH68" i="14"/>
  <c r="AI68" i="14" s="1"/>
  <c r="S179" i="15"/>
  <c r="AF68" i="14" s="1"/>
  <c r="AG68" i="14" s="1"/>
  <c r="R179" i="15"/>
  <c r="AD68" i="14"/>
  <c r="AE68" i="14" s="1"/>
  <c r="X68" i="14"/>
  <c r="Y68" i="14" s="1"/>
  <c r="Z258" i="14"/>
  <c r="AA258" i="14" s="1"/>
  <c r="R149" i="17"/>
  <c r="X196" i="14"/>
  <c r="Y196" i="14" s="1"/>
  <c r="U149" i="17"/>
  <c r="AJ196" i="14" s="1"/>
  <c r="AK196" i="14" s="1"/>
  <c r="Q149" i="17"/>
  <c r="S149" i="17"/>
  <c r="T149" i="17"/>
  <c r="AB131" i="14"/>
  <c r="AC131" i="14" s="1"/>
  <c r="Z196" i="14"/>
  <c r="AA196" i="14" s="1"/>
  <c r="Q152" i="17"/>
  <c r="AB199" i="14"/>
  <c r="AC199" i="14" s="1"/>
  <c r="T152" i="17"/>
  <c r="AH199" i="14"/>
  <c r="AI199" i="14" s="1"/>
  <c r="X199" i="14"/>
  <c r="Y199" i="14" s="1"/>
  <c r="U152" i="17"/>
  <c r="S152" i="17"/>
  <c r="AF199" i="14" s="1"/>
  <c r="AG199" i="14" s="1"/>
  <c r="R152" i="17"/>
  <c r="AD199" i="14" s="1"/>
  <c r="AE199" i="14" s="1"/>
  <c r="O83" i="18"/>
  <c r="T83" i="18" s="1"/>
  <c r="S239" i="14"/>
  <c r="U176" i="15"/>
  <c r="AJ65" i="14" s="1"/>
  <c r="AK65" i="14" s="1"/>
  <c r="X65" i="14"/>
  <c r="Y65" i="14" s="1"/>
  <c r="S176" i="15"/>
  <c r="T176" i="15"/>
  <c r="AH65" i="14" s="1"/>
  <c r="AI65" i="14" s="1"/>
  <c r="R176" i="15"/>
  <c r="Q176" i="15"/>
  <c r="AJ64" i="14"/>
  <c r="AK64" i="14" s="1"/>
  <c r="T159" i="18"/>
  <c r="X168" i="14"/>
  <c r="Y168" i="14" s="1"/>
  <c r="O153" i="17"/>
  <c r="R223" i="14"/>
  <c r="X259" i="14"/>
  <c r="Y259" i="14" s="1"/>
  <c r="Q152" i="18"/>
  <c r="AB262" i="14" s="1"/>
  <c r="AC262" i="14" s="1"/>
  <c r="Q136" i="16"/>
  <c r="AB129" i="14"/>
  <c r="AC129" i="14" s="1"/>
  <c r="R136" i="16"/>
  <c r="Q164" i="15"/>
  <c r="AB64" i="14" s="1"/>
  <c r="AC64" i="14" s="1"/>
  <c r="S134" i="14"/>
  <c r="T30" i="14"/>
  <c r="T160" i="14"/>
  <c r="K44" i="16"/>
  <c r="S151" i="17"/>
  <c r="AF198" i="14" s="1"/>
  <c r="AG198" i="14" s="1"/>
  <c r="Q137" i="17"/>
  <c r="AB195" i="14"/>
  <c r="AC195" i="14" s="1"/>
  <c r="R159" i="18"/>
  <c r="T151" i="18"/>
  <c r="AH261" i="14" s="1"/>
  <c r="AI261" i="14" s="1"/>
  <c r="U151" i="18"/>
  <c r="AJ261" i="14" s="1"/>
  <c r="AK261" i="14" s="1"/>
  <c r="S196" i="14"/>
  <c r="K191" i="15"/>
  <c r="S134" i="16"/>
  <c r="AF127" i="14" s="1"/>
  <c r="AG127" i="14" s="1"/>
  <c r="T130" i="14"/>
  <c r="R164" i="15"/>
  <c r="AD64" i="14"/>
  <c r="AE64" i="14" s="1"/>
  <c r="X195" i="14"/>
  <c r="Y195" i="14" s="1"/>
  <c r="U137" i="17"/>
  <c r="AJ195" i="14"/>
  <c r="AK195" i="14" s="1"/>
  <c r="S164" i="15"/>
  <c r="AF64" i="14"/>
  <c r="AG64" i="14" s="1"/>
  <c r="X261" i="14"/>
  <c r="Y261" i="14" s="1"/>
  <c r="U65" i="17"/>
  <c r="AJ168" i="14" s="1"/>
  <c r="AK168" i="14" s="1"/>
  <c r="R92" i="14"/>
  <c r="R239" i="14"/>
  <c r="T164" i="15"/>
  <c r="AH64" i="14" s="1"/>
  <c r="AI64" i="14" s="1"/>
  <c r="J18" i="15"/>
  <c r="S77" i="14"/>
  <c r="K83" i="18"/>
  <c r="T239" i="14" s="1"/>
  <c r="T137" i="17"/>
  <c r="AH195" i="14" s="1"/>
  <c r="AI195" i="14" s="1"/>
  <c r="X64" i="14"/>
  <c r="Y64" i="14" s="1"/>
  <c r="T160" i="17"/>
  <c r="AH201" i="14" s="1"/>
  <c r="AI201" i="14" s="1"/>
  <c r="U134" i="16"/>
  <c r="R136" i="17"/>
  <c r="X303" i="14"/>
  <c r="Y303" i="14" s="1"/>
  <c r="T42" i="19"/>
  <c r="AJ303" i="14" s="1"/>
  <c r="AK303" i="14" s="1"/>
  <c r="P25" i="19"/>
  <c r="AB286" i="14"/>
  <c r="AC286" i="14" s="1"/>
  <c r="R303" i="14"/>
  <c r="T35" i="19"/>
  <c r="AJ296" i="14"/>
  <c r="AK296" i="14" s="1"/>
  <c r="S303" i="14"/>
  <c r="R25" i="19"/>
  <c r="AF286" i="14" s="1"/>
  <c r="AG286" i="14" s="1"/>
  <c r="Q21" i="19"/>
  <c r="AD282" i="14"/>
  <c r="AE282" i="14" s="1"/>
  <c r="S21" i="19"/>
  <c r="AH282" i="14" s="1"/>
  <c r="AI282" i="14" s="1"/>
  <c r="R21" i="19"/>
  <c r="AF282" i="14" s="1"/>
  <c r="AG282" i="14" s="1"/>
  <c r="T21" i="19"/>
  <c r="AJ282" i="14" s="1"/>
  <c r="AK282" i="14" s="1"/>
  <c r="U290" i="14"/>
  <c r="R47" i="19"/>
  <c r="AF308" i="14" s="1"/>
  <c r="AG308" i="14" s="1"/>
  <c r="X308" i="14"/>
  <c r="Y308" i="14" s="1"/>
  <c r="S27" i="19"/>
  <c r="AH288" i="14"/>
  <c r="AI288" i="14" s="1"/>
  <c r="P45" i="19"/>
  <c r="AB306" i="14" s="1"/>
  <c r="AC306" i="14" s="1"/>
  <c r="X306" i="14"/>
  <c r="Y306" i="14" s="1"/>
  <c r="Q27" i="19"/>
  <c r="AD288" i="14" s="1"/>
  <c r="AE288" i="14" s="1"/>
  <c r="T13" i="19"/>
  <c r="AJ274" i="14" s="1"/>
  <c r="AK274" i="14" s="1"/>
  <c r="X298" i="14"/>
  <c r="Y298" i="14" s="1"/>
  <c r="Q37" i="19"/>
  <c r="AD298" i="14" s="1"/>
  <c r="AE298" i="14" s="1"/>
  <c r="U298" i="14"/>
  <c r="P42" i="19"/>
  <c r="AB303" i="14" s="1"/>
  <c r="AC303" i="14" s="1"/>
  <c r="X297" i="14"/>
  <c r="Y297" i="14" s="1"/>
  <c r="P36" i="19"/>
  <c r="AB297" i="14"/>
  <c r="AC297" i="14" s="1"/>
  <c r="T36" i="19"/>
  <c r="AJ297" i="14" s="1"/>
  <c r="AK297" i="14" s="1"/>
  <c r="S36" i="19"/>
  <c r="AH297" i="14"/>
  <c r="AI297" i="14" s="1"/>
  <c r="Q36" i="19"/>
  <c r="AD297" i="14"/>
  <c r="AE297" i="14" s="1"/>
  <c r="R36" i="19"/>
  <c r="AF297" i="14"/>
  <c r="AG297" i="14" s="1"/>
  <c r="P12" i="19"/>
  <c r="AB273" i="14" s="1"/>
  <c r="AC273" i="14" s="1"/>
  <c r="S30" i="19"/>
  <c r="AH291" i="14"/>
  <c r="AI291" i="14" s="1"/>
  <c r="X273" i="14"/>
  <c r="Y273" i="14" s="1"/>
  <c r="S12" i="19"/>
  <c r="AH273" i="14" s="1"/>
  <c r="AI273" i="14" s="1"/>
  <c r="O18" i="19"/>
  <c r="Z279" i="14"/>
  <c r="AA279" i="14" s="1"/>
  <c r="R26" i="19"/>
  <c r="AF287" i="14" s="1"/>
  <c r="AG287" i="14" s="1"/>
  <c r="Q30" i="19"/>
  <c r="AD291" i="14" s="1"/>
  <c r="AE291" i="14" s="1"/>
  <c r="Q12" i="19"/>
  <c r="AD273" i="14" s="1"/>
  <c r="AE273" i="14" s="1"/>
  <c r="Q15" i="19"/>
  <c r="AD276" i="14"/>
  <c r="AE276" i="14" s="1"/>
  <c r="R12" i="19"/>
  <c r="AF273" i="14" s="1"/>
  <c r="AG273" i="14" s="1"/>
  <c r="S42" i="19"/>
  <c r="AH303" i="14" s="1"/>
  <c r="AI303" i="14" s="1"/>
  <c r="Q42" i="19"/>
  <c r="AD303" i="14" s="1"/>
  <c r="AE303" i="14" s="1"/>
  <c r="T30" i="19"/>
  <c r="AJ291" i="14"/>
  <c r="AK291" i="14" s="1"/>
  <c r="P37" i="19"/>
  <c r="AB298" i="14" s="1"/>
  <c r="AC298" i="14" s="1"/>
  <c r="P18" i="19"/>
  <c r="AB279" i="14" s="1"/>
  <c r="AC279" i="14" s="1"/>
  <c r="P13" i="19"/>
  <c r="AB274" i="14" s="1"/>
  <c r="AC274" i="14" s="1"/>
  <c r="R13" i="19"/>
  <c r="AF274" i="14"/>
  <c r="AG274" i="14" s="1"/>
  <c r="T23" i="19"/>
  <c r="AJ284" i="14" s="1"/>
  <c r="AK284" i="14" s="1"/>
  <c r="R284" i="14"/>
  <c r="Q18" i="19"/>
  <c r="AD279" i="14"/>
  <c r="AE279" i="14" s="1"/>
  <c r="P15" i="19"/>
  <c r="AB276" i="14"/>
  <c r="AC276" i="14" s="1"/>
  <c r="P26" i="19"/>
  <c r="AB287" i="14" s="1"/>
  <c r="AC287" i="14" s="1"/>
  <c r="S296" i="14"/>
  <c r="Q35" i="19"/>
  <c r="AD296" i="14" s="1"/>
  <c r="AE296" i="14" s="1"/>
  <c r="X271" i="14"/>
  <c r="Y271" i="14" s="1"/>
  <c r="T27" i="19"/>
  <c r="AJ288" i="14"/>
  <c r="AK288" i="14" s="1"/>
  <c r="X288" i="14"/>
  <c r="Y288" i="14" s="1"/>
  <c r="P31" i="19"/>
  <c r="AB292" i="14" s="1"/>
  <c r="AC292" i="14" s="1"/>
  <c r="T37" i="19"/>
  <c r="AJ298" i="14" s="1"/>
  <c r="AK298" i="14" s="1"/>
  <c r="R30" i="19"/>
  <c r="AF291" i="14" s="1"/>
  <c r="AG291" i="14" s="1"/>
  <c r="R37" i="19"/>
  <c r="AF298" i="14"/>
  <c r="AG298" i="14" s="1"/>
  <c r="S26" i="19"/>
  <c r="AH287" i="14" s="1"/>
  <c r="AI287" i="14" s="1"/>
  <c r="Q26" i="19"/>
  <c r="AD287" i="14" s="1"/>
  <c r="AE287" i="14" s="1"/>
  <c r="N39" i="19"/>
  <c r="Q39" i="19" s="1"/>
  <c r="AD300" i="14" s="1"/>
  <c r="AE300" i="14" s="1"/>
  <c r="X302" i="14"/>
  <c r="Y302" i="14" s="1"/>
  <c r="R10" i="19"/>
  <c r="S284" i="14"/>
  <c r="S35" i="19"/>
  <c r="AH296" i="14"/>
  <c r="AI296" i="14" s="1"/>
  <c r="T10" i="19"/>
  <c r="AJ271" i="14"/>
  <c r="AK271" i="14" s="1"/>
  <c r="S10" i="19"/>
  <c r="AH271" i="14"/>
  <c r="AI271" i="14" s="1"/>
  <c r="U270" i="14"/>
  <c r="R27" i="19"/>
  <c r="AF288" i="14" s="1"/>
  <c r="AG288" i="14" s="1"/>
  <c r="N34" i="19"/>
  <c r="S34" i="19" s="1"/>
  <c r="AH295" i="14" s="1"/>
  <c r="AI295" i="14" s="1"/>
  <c r="R42" i="19"/>
  <c r="AF303" i="14"/>
  <c r="AG303" i="14" s="1"/>
  <c r="S37" i="19"/>
  <c r="AH298" i="14" s="1"/>
  <c r="AI298" i="14" s="1"/>
  <c r="P30" i="19"/>
  <c r="AB291" i="14"/>
  <c r="AC291" i="14" s="1"/>
  <c r="X274" i="14"/>
  <c r="Y274" i="14" s="1"/>
  <c r="Q13" i="19"/>
  <c r="AD274" i="14" s="1"/>
  <c r="AE274" i="14" s="1"/>
  <c r="R23" i="19"/>
  <c r="AF284" i="14"/>
  <c r="AG284" i="14" s="1"/>
  <c r="X287" i="14"/>
  <c r="Y287" i="14" s="1"/>
  <c r="R35" i="19"/>
  <c r="AF296" i="14"/>
  <c r="AG296" i="14" s="1"/>
  <c r="U295" i="14"/>
  <c r="X285" i="14"/>
  <c r="Y285" i="14" s="1"/>
  <c r="P24" i="19"/>
  <c r="AB285" i="14"/>
  <c r="AC285" i="14" s="1"/>
  <c r="R22" i="19"/>
  <c r="AF283" i="14"/>
  <c r="AG283" i="14" s="1"/>
  <c r="T22" i="19"/>
  <c r="AJ283" i="14"/>
  <c r="AK283" i="14" s="1"/>
  <c r="X283" i="14"/>
  <c r="Y283" i="14" s="1"/>
  <c r="N17" i="19"/>
  <c r="R17" i="19" s="1"/>
  <c r="AF278" i="14" s="1"/>
  <c r="AG278" i="14" s="1"/>
  <c r="R278" i="14"/>
  <c r="S22" i="19"/>
  <c r="AH283" i="14"/>
  <c r="AI283" i="14" s="1"/>
  <c r="R283" i="14"/>
  <c r="O22" i="19"/>
  <c r="Z283" i="14"/>
  <c r="AA283" i="14" s="1"/>
  <c r="S283" i="14"/>
  <c r="Q22" i="19"/>
  <c r="AD283" i="14" s="1"/>
  <c r="AE283" i="14" s="1"/>
  <c r="T20" i="19"/>
  <c r="AJ281" i="14"/>
  <c r="AK281" i="14" s="1"/>
  <c r="S20" i="19"/>
  <c r="AH281" i="14" s="1"/>
  <c r="AI281" i="14" s="1"/>
  <c r="Q20" i="19"/>
  <c r="AD281" i="14" s="1"/>
  <c r="AE281" i="14" s="1"/>
  <c r="R20" i="19"/>
  <c r="AF281" i="14" s="1"/>
  <c r="AG281" i="14" s="1"/>
  <c r="R272" i="14"/>
  <c r="N11" i="19"/>
  <c r="AD270" i="14"/>
  <c r="AE270" i="14" s="1"/>
  <c r="X270" i="14"/>
  <c r="Y270" i="14" s="1"/>
  <c r="T47" i="19"/>
  <c r="AJ308" i="14" s="1"/>
  <c r="AK308" i="14" s="1"/>
  <c r="Q47" i="19"/>
  <c r="AD308" i="14" s="1"/>
  <c r="AE308" i="14" s="1"/>
  <c r="S47" i="19"/>
  <c r="AH308" i="14"/>
  <c r="AI308" i="14" s="1"/>
  <c r="P47" i="19"/>
  <c r="AB308" i="14" s="1"/>
  <c r="AC308" i="14" s="1"/>
  <c r="O11" i="19"/>
  <c r="S272" i="14"/>
  <c r="X301" i="14"/>
  <c r="Y301" i="14" s="1"/>
  <c r="R40" i="19"/>
  <c r="AF301" i="14"/>
  <c r="AG301" i="14" s="1"/>
  <c r="Q40" i="19"/>
  <c r="AD301" i="14" s="1"/>
  <c r="AE301" i="14" s="1"/>
  <c r="P40" i="19"/>
  <c r="AB301" i="14"/>
  <c r="AC301" i="14" s="1"/>
  <c r="T40" i="19"/>
  <c r="AJ301" i="14"/>
  <c r="AK301" i="14" s="1"/>
  <c r="U299" i="14"/>
  <c r="N38" i="19"/>
  <c r="S38" i="19" s="1"/>
  <c r="AH299" i="14" s="1"/>
  <c r="AI299" i="14" s="1"/>
  <c r="O38" i="19"/>
  <c r="Z299" i="14" s="1"/>
  <c r="AA299" i="14" s="1"/>
  <c r="P29" i="19"/>
  <c r="AB290" i="14"/>
  <c r="AC290" i="14" s="1"/>
  <c r="X290" i="14"/>
  <c r="Y290" i="14" s="1"/>
  <c r="X284" i="14"/>
  <c r="Y284" i="14" s="1"/>
  <c r="Q23" i="19"/>
  <c r="AD284" i="14"/>
  <c r="AE284" i="14" s="1"/>
  <c r="P23" i="19"/>
  <c r="AB284" i="14" s="1"/>
  <c r="AC284" i="14" s="1"/>
  <c r="S18" i="19"/>
  <c r="AH279" i="14"/>
  <c r="AI279" i="14" s="1"/>
  <c r="R18" i="19"/>
  <c r="AF279" i="14"/>
  <c r="AG279" i="14" s="1"/>
  <c r="T18" i="19"/>
  <c r="AJ279" i="14"/>
  <c r="AK279" i="14" s="1"/>
  <c r="R15" i="19"/>
  <c r="AF276" i="14" s="1"/>
  <c r="AG276" i="14" s="1"/>
  <c r="S15" i="19"/>
  <c r="AH276" i="14"/>
  <c r="AI276" i="14" s="1"/>
  <c r="T15" i="19"/>
  <c r="AJ276" i="14"/>
  <c r="AK276" i="14" s="1"/>
  <c r="S79" i="19"/>
  <c r="Q79" i="19"/>
  <c r="T79" i="19"/>
  <c r="P79" i="19"/>
  <c r="R79" i="19"/>
  <c r="R80" i="19"/>
  <c r="T80" i="19"/>
  <c r="P80" i="19"/>
  <c r="S80" i="19"/>
  <c r="Q80" i="19"/>
  <c r="P34" i="19"/>
  <c r="AB295" i="14" s="1"/>
  <c r="AC295" i="14" s="1"/>
  <c r="S27" i="18"/>
  <c r="AF216" i="14"/>
  <c r="AG216" i="14" s="1"/>
  <c r="U27" i="18"/>
  <c r="AJ216" i="14"/>
  <c r="AK216" i="14" s="1"/>
  <c r="X216" i="14"/>
  <c r="Y216" i="14" s="1"/>
  <c r="U116" i="18"/>
  <c r="AB263" i="14"/>
  <c r="AC263" i="14" s="1"/>
  <c r="T47" i="18"/>
  <c r="AH225" i="14"/>
  <c r="AI225" i="14" s="1"/>
  <c r="X225" i="14"/>
  <c r="Y225" i="14" s="1"/>
  <c r="R47" i="18"/>
  <c r="AD225" i="14" s="1"/>
  <c r="AE225" i="14" s="1"/>
  <c r="Q47" i="18"/>
  <c r="AB225" i="14" s="1"/>
  <c r="AC225" i="14" s="1"/>
  <c r="S226" i="14"/>
  <c r="O48" i="18"/>
  <c r="R48" i="18" s="1"/>
  <c r="AD226" i="14" s="1"/>
  <c r="AE226" i="14" s="1"/>
  <c r="R128" i="18"/>
  <c r="AB251" i="14"/>
  <c r="AC251" i="14" s="1"/>
  <c r="Z226" i="14"/>
  <c r="AA226" i="14" s="1"/>
  <c r="O18" i="18"/>
  <c r="U18" i="18" s="1"/>
  <c r="S207" i="14"/>
  <c r="Q151" i="18"/>
  <c r="AB261" i="14" s="1"/>
  <c r="AC261" i="14" s="1"/>
  <c r="S151" i="18"/>
  <c r="AF261" i="14" s="1"/>
  <c r="AG261" i="14" s="1"/>
  <c r="AF65" i="14"/>
  <c r="AG65" i="14" s="1"/>
  <c r="AD65" i="14"/>
  <c r="AE65" i="14" s="1"/>
  <c r="AJ258" i="14"/>
  <c r="AK258" i="14" s="1"/>
  <c r="AD100" i="14"/>
  <c r="AE100" i="14" s="1"/>
  <c r="AD203" i="14"/>
  <c r="AE203" i="14" s="1"/>
  <c r="R154" i="16"/>
  <c r="AD263" i="14"/>
  <c r="AE263" i="14" s="1"/>
  <c r="T181" i="15"/>
  <c r="AB258" i="14"/>
  <c r="AC258" i="14" s="1"/>
  <c r="AB203" i="14"/>
  <c r="AC203" i="14" s="1"/>
  <c r="AB231" i="14"/>
  <c r="AC231" i="14" s="1"/>
  <c r="X200" i="14"/>
  <c r="Y200" i="14" s="1"/>
  <c r="Q153" i="17"/>
  <c r="AB200" i="14" s="1"/>
  <c r="AC200" i="14" s="1"/>
  <c r="AD129" i="14"/>
  <c r="AE129" i="14" s="1"/>
  <c r="AH196" i="14"/>
  <c r="AI196" i="14" s="1"/>
  <c r="T154" i="17"/>
  <c r="AH100" i="14"/>
  <c r="AI100" i="14" s="1"/>
  <c r="AH77" i="14"/>
  <c r="AI77" i="14" s="1"/>
  <c r="AD231" i="14"/>
  <c r="AE231" i="14" s="1"/>
  <c r="O18" i="15"/>
  <c r="U18" i="15" s="1"/>
  <c r="S7" i="14"/>
  <c r="AH263" i="14"/>
  <c r="AI263" i="14" s="1"/>
  <c r="U181" i="15"/>
  <c r="AF196" i="14"/>
  <c r="AG196" i="14" s="1"/>
  <c r="S154" i="17"/>
  <c r="S44" i="16"/>
  <c r="AF92" i="14" s="1"/>
  <c r="AG92" i="14" s="1"/>
  <c r="O52" i="16"/>
  <c r="X223" i="14"/>
  <c r="Y223" i="14" s="1"/>
  <c r="Q45" i="18"/>
  <c r="AJ134" i="14"/>
  <c r="AK134" i="14" s="1"/>
  <c r="U154" i="16"/>
  <c r="AH231" i="14"/>
  <c r="AI231" i="14" s="1"/>
  <c r="AJ100" i="14"/>
  <c r="AK100" i="14" s="1"/>
  <c r="T138" i="17"/>
  <c r="Z131" i="14"/>
  <c r="AA131" i="14" s="1"/>
  <c r="P154" i="16"/>
  <c r="AB196" i="14"/>
  <c r="AC196" i="14" s="1"/>
  <c r="S154" i="16"/>
  <c r="AF134" i="14"/>
  <c r="AG134" i="14" s="1"/>
  <c r="AB77" i="14"/>
  <c r="AC77" i="14" s="1"/>
  <c r="P44" i="16"/>
  <c r="Z92" i="14" s="1"/>
  <c r="AA92" i="14" s="1"/>
  <c r="T92" i="14"/>
  <c r="O154" i="17"/>
  <c r="Q45" i="15"/>
  <c r="U45" i="15"/>
  <c r="AJ22" i="14" s="1"/>
  <c r="AK22" i="14" s="1"/>
  <c r="X22" i="14"/>
  <c r="Y22" i="14" s="1"/>
  <c r="AF258" i="14"/>
  <c r="AG258" i="14" s="1"/>
  <c r="T154" i="16"/>
  <c r="AH134" i="14"/>
  <c r="AI134" i="14" s="1"/>
  <c r="X13" i="14"/>
  <c r="Y13" i="14" s="1"/>
  <c r="S24" i="15"/>
  <c r="AF13" i="14"/>
  <c r="AG13" i="14" s="1"/>
  <c r="U24" i="15"/>
  <c r="AJ13" i="14" s="1"/>
  <c r="AK13" i="14" s="1"/>
  <c r="T24" i="15"/>
  <c r="AH13" i="14" s="1"/>
  <c r="AI13" i="14" s="1"/>
  <c r="R138" i="17"/>
  <c r="AD194" i="14"/>
  <c r="AE194" i="14" s="1"/>
  <c r="P83" i="18"/>
  <c r="AB65" i="14"/>
  <c r="AC65" i="14" s="1"/>
  <c r="S83" i="18"/>
  <c r="U83" i="18"/>
  <c r="O87" i="18"/>
  <c r="AD258" i="14"/>
  <c r="AE258" i="14" s="1"/>
  <c r="R153" i="18"/>
  <c r="AB100" i="14"/>
  <c r="AC100" i="14" s="1"/>
  <c r="AF203" i="14"/>
  <c r="AG203" i="14" s="1"/>
  <c r="U138" i="17"/>
  <c r="AJ184" i="14"/>
  <c r="AK184" i="14" s="1"/>
  <c r="T39" i="19"/>
  <c r="AJ300" i="14"/>
  <c r="AK300" i="14" s="1"/>
  <c r="P39" i="19"/>
  <c r="AB300" i="14" s="1"/>
  <c r="AC300" i="14" s="1"/>
  <c r="S39" i="19"/>
  <c r="AH300" i="14"/>
  <c r="AI300" i="14" s="1"/>
  <c r="Q34" i="19"/>
  <c r="AD295" i="14" s="1"/>
  <c r="AE295" i="14" s="1"/>
  <c r="R34" i="19"/>
  <c r="AF295" i="14" s="1"/>
  <c r="AG295" i="14" s="1"/>
  <c r="T34" i="19"/>
  <c r="AJ295" i="14" s="1"/>
  <c r="AK295" i="14" s="1"/>
  <c r="X295" i="14"/>
  <c r="Y295" i="14" s="1"/>
  <c r="X272" i="14"/>
  <c r="Y272" i="14" s="1"/>
  <c r="P11" i="19"/>
  <c r="P38" i="19"/>
  <c r="AB299" i="14" s="1"/>
  <c r="AC299" i="14" s="1"/>
  <c r="T38" i="19"/>
  <c r="AJ299" i="14" s="1"/>
  <c r="AK299" i="14" s="1"/>
  <c r="S17" i="19"/>
  <c r="AH278" i="14" s="1"/>
  <c r="AI278" i="14" s="1"/>
  <c r="P17" i="19"/>
  <c r="AB278" i="14" s="1"/>
  <c r="AC278" i="14" s="1"/>
  <c r="Q17" i="19"/>
  <c r="AD278" i="14" s="1"/>
  <c r="AE278" i="14" s="1"/>
  <c r="T17" i="19"/>
  <c r="AJ278" i="14"/>
  <c r="AK278" i="14" s="1"/>
  <c r="X278" i="14"/>
  <c r="Y278" i="14" s="1"/>
  <c r="Z272" i="14"/>
  <c r="AA272" i="14" s="1"/>
  <c r="X207" i="14"/>
  <c r="Y207" i="14" s="1"/>
  <c r="S128" i="18"/>
  <c r="AD251" i="14"/>
  <c r="AE251" i="14" s="1"/>
  <c r="Q48" i="18"/>
  <c r="AB226" i="14" s="1"/>
  <c r="AC226" i="14" s="1"/>
  <c r="S48" i="18"/>
  <c r="AF226" i="14" s="1"/>
  <c r="AG226" i="14" s="1"/>
  <c r="X226" i="14"/>
  <c r="Y226" i="14" s="1"/>
  <c r="U48" i="18"/>
  <c r="AJ226" i="14"/>
  <c r="AK226" i="14" s="1"/>
  <c r="T48" i="18"/>
  <c r="AH226" i="14" s="1"/>
  <c r="AI226" i="14" s="1"/>
  <c r="P52" i="16"/>
  <c r="R18" i="15"/>
  <c r="X7" i="14"/>
  <c r="AH239" i="14"/>
  <c r="AI239" i="14" s="1"/>
  <c r="AJ207" i="14"/>
  <c r="AK207" i="14" s="1"/>
  <c r="I7" i="43"/>
  <c r="I24" i="43"/>
  <c r="I30" i="43"/>
  <c r="I20" i="43"/>
  <c r="I5" i="43"/>
  <c r="I15" i="43"/>
  <c r="I40" i="43"/>
  <c r="I34" i="43"/>
  <c r="G5" i="50"/>
  <c r="I47" i="43"/>
  <c r="I11" i="43"/>
  <c r="I46" i="43"/>
  <c r="I22" i="43"/>
  <c r="I8" i="43"/>
  <c r="I32" i="43"/>
  <c r="I13" i="43"/>
  <c r="I19" i="43"/>
  <c r="I31" i="43"/>
  <c r="I27" i="43"/>
  <c r="I45" i="43"/>
  <c r="I48" i="43"/>
  <c r="I10" i="43"/>
  <c r="I18" i="43"/>
  <c r="I42" i="43"/>
  <c r="I37" i="43"/>
  <c r="I39" i="43"/>
  <c r="I16" i="43"/>
  <c r="I6" i="43"/>
  <c r="I36" i="43"/>
  <c r="I12" i="43"/>
  <c r="I29" i="43"/>
  <c r="I44" i="43"/>
  <c r="I9" i="43"/>
  <c r="I14" i="43"/>
  <c r="I28" i="43"/>
  <c r="I23" i="43"/>
  <c r="I38" i="43"/>
  <c r="I17" i="43"/>
  <c r="I21" i="43"/>
  <c r="I33" i="43"/>
  <c r="I4" i="43"/>
  <c r="I26" i="43"/>
  <c r="I35" i="43"/>
  <c r="I43" i="43"/>
  <c r="I41" i="43"/>
  <c r="I25" i="43"/>
  <c r="E6" i="64"/>
  <c r="E10" i="64"/>
  <c r="E8" i="64"/>
  <c r="E7" i="64"/>
  <c r="E9" i="64"/>
  <c r="M31" i="71" l="1"/>
  <c r="S35" i="1"/>
  <c r="T47" i="1" s="1"/>
  <c r="T35" i="1" s="1"/>
  <c r="M32" i="71"/>
  <c r="L44" i="71"/>
  <c r="T266" i="14"/>
  <c r="P162" i="18"/>
  <c r="AF223" i="14"/>
  <c r="AG223" i="14" s="1"/>
  <c r="AJ7" i="14"/>
  <c r="AK7" i="14" s="1"/>
  <c r="AF249" i="14"/>
  <c r="AG249" i="14" s="1"/>
  <c r="S116" i="18"/>
  <c r="Q72" i="1"/>
  <c r="Q71" i="1" s="1"/>
  <c r="S177" i="14"/>
  <c r="O85" i="17"/>
  <c r="S38" i="14"/>
  <c r="O84" i="15"/>
  <c r="U137" i="16"/>
  <c r="AJ130" i="14" s="1"/>
  <c r="AK130" i="14" s="1"/>
  <c r="T137" i="16"/>
  <c r="O138" i="16"/>
  <c r="S137" i="16"/>
  <c r="X130" i="14"/>
  <c r="Y130" i="14" s="1"/>
  <c r="N48" i="19"/>
  <c r="O48" i="19"/>
  <c r="S11" i="19"/>
  <c r="AH272" i="14" s="1"/>
  <c r="AI272" i="14" s="1"/>
  <c r="R11" i="19"/>
  <c r="AF272" i="14" s="1"/>
  <c r="AG272" i="14" s="1"/>
  <c r="T11" i="19"/>
  <c r="Q11" i="19"/>
  <c r="AF271" i="14"/>
  <c r="AG271" i="14" s="1"/>
  <c r="Q137" i="16"/>
  <c r="AJ199" i="14"/>
  <c r="AK199" i="14" s="1"/>
  <c r="U154" i="17"/>
  <c r="AF54" i="14"/>
  <c r="AG54" i="14" s="1"/>
  <c r="AJ173" i="14"/>
  <c r="AK173" i="14" s="1"/>
  <c r="U168" i="16"/>
  <c r="R24" i="18"/>
  <c r="AD213" i="14" s="1"/>
  <c r="AE213" i="14" s="1"/>
  <c r="U24" i="18"/>
  <c r="AJ213" i="14" s="1"/>
  <c r="AK213" i="14" s="1"/>
  <c r="S24" i="18"/>
  <c r="AF213" i="14" s="1"/>
  <c r="AG213" i="14" s="1"/>
  <c r="Q24" i="18"/>
  <c r="AB213" i="14" s="1"/>
  <c r="AC213" i="14" s="1"/>
  <c r="X213" i="14"/>
  <c r="Y213" i="14" s="1"/>
  <c r="S31" i="18"/>
  <c r="AF220" i="14" s="1"/>
  <c r="AG220" i="14" s="1"/>
  <c r="T31" i="18"/>
  <c r="AH220" i="14" s="1"/>
  <c r="AI220" i="14" s="1"/>
  <c r="X220" i="14"/>
  <c r="Y220" i="14" s="1"/>
  <c r="Q31" i="18"/>
  <c r="AB220" i="14" s="1"/>
  <c r="AC220" i="14" s="1"/>
  <c r="U31" i="18"/>
  <c r="AJ220" i="14" s="1"/>
  <c r="AK220" i="14" s="1"/>
  <c r="T107" i="15"/>
  <c r="AH46" i="14"/>
  <c r="AI46" i="14" s="1"/>
  <c r="AF185" i="14"/>
  <c r="AG185" i="14" s="1"/>
  <c r="S123" i="17"/>
  <c r="AH264" i="14"/>
  <c r="AI264" i="14" s="1"/>
  <c r="Z239" i="14"/>
  <c r="AA239" i="14" s="1"/>
  <c r="P87" i="18"/>
  <c r="Z187" i="14"/>
  <c r="AA187" i="14" s="1"/>
  <c r="P123" i="17"/>
  <c r="X307" i="14"/>
  <c r="Y307" i="14" s="1"/>
  <c r="AF77" i="14"/>
  <c r="AG77" i="14" s="1"/>
  <c r="S33" i="16"/>
  <c r="Y7" i="14"/>
  <c r="AJ239" i="14"/>
  <c r="AK239" i="14" s="1"/>
  <c r="U87" i="18"/>
  <c r="S48" i="19"/>
  <c r="U138" i="16"/>
  <c r="AJ127" i="14"/>
  <c r="AK127" i="14" s="1"/>
  <c r="T73" i="14"/>
  <c r="P191" i="15"/>
  <c r="R44" i="16"/>
  <c r="Q44" i="16"/>
  <c r="U44" i="16"/>
  <c r="X92" i="14"/>
  <c r="Y92" i="14" s="1"/>
  <c r="T44" i="16"/>
  <c r="AF100" i="14"/>
  <c r="AG100" i="14" s="1"/>
  <c r="AD77" i="14"/>
  <c r="AE77" i="14" s="1"/>
  <c r="R33" i="16"/>
  <c r="Q37" i="1"/>
  <c r="Q36" i="1" s="1"/>
  <c r="AD249" i="14"/>
  <c r="AE249" i="14" s="1"/>
  <c r="AB47" i="14"/>
  <c r="AC47" i="14" s="1"/>
  <c r="AB22" i="14"/>
  <c r="AC22" i="14" s="1"/>
  <c r="AF109" i="14"/>
  <c r="AG109" i="14" s="1"/>
  <c r="Q19" i="18"/>
  <c r="AB208" i="14" s="1"/>
  <c r="AC208" i="14" s="1"/>
  <c r="T19" i="18"/>
  <c r="AH208" i="14" s="1"/>
  <c r="AI208" i="14" s="1"/>
  <c r="R19" i="18"/>
  <c r="AD208" i="14" s="1"/>
  <c r="AE208" i="14" s="1"/>
  <c r="S19" i="18"/>
  <c r="AF208" i="14" s="1"/>
  <c r="AG208" i="14" s="1"/>
  <c r="U19" i="18"/>
  <c r="AJ208" i="14" s="1"/>
  <c r="AK208" i="14" s="1"/>
  <c r="O34" i="18"/>
  <c r="R53" i="17"/>
  <c r="AD167" i="14" s="1"/>
  <c r="AE167" i="14" s="1"/>
  <c r="U53" i="17"/>
  <c r="AJ167" i="14" s="1"/>
  <c r="AK167" i="14" s="1"/>
  <c r="T53" i="17"/>
  <c r="AH167" i="14" s="1"/>
  <c r="AI167" i="14" s="1"/>
  <c r="X167" i="14"/>
  <c r="Y167" i="14" s="1"/>
  <c r="O85" i="15"/>
  <c r="S39" i="14"/>
  <c r="O53" i="18"/>
  <c r="R45" i="18"/>
  <c r="U45" i="18"/>
  <c r="T45" i="18"/>
  <c r="Q49" i="15"/>
  <c r="AB26" i="14" s="1"/>
  <c r="AC26" i="14" s="1"/>
  <c r="X208" i="14"/>
  <c r="Y208" i="14" s="1"/>
  <c r="U82" i="17"/>
  <c r="AJ174" i="14" s="1"/>
  <c r="AK174" i="14" s="1"/>
  <c r="T82" i="17"/>
  <c r="AH174" i="14" s="1"/>
  <c r="AI174" i="14" s="1"/>
  <c r="R82" i="17"/>
  <c r="AD174" i="14" s="1"/>
  <c r="AE174" i="14" s="1"/>
  <c r="Q82" i="17"/>
  <c r="X81" i="14"/>
  <c r="Y81" i="14" s="1"/>
  <c r="R22" i="16"/>
  <c r="AD81" i="14" s="1"/>
  <c r="AE81" i="14" s="1"/>
  <c r="Q22" i="16"/>
  <c r="AB81" i="14" s="1"/>
  <c r="AC81" i="14" s="1"/>
  <c r="U22" i="16"/>
  <c r="AJ81" i="14" s="1"/>
  <c r="AK81" i="14" s="1"/>
  <c r="U150" i="15"/>
  <c r="AJ58" i="14"/>
  <c r="AK58" i="14" s="1"/>
  <c r="U193" i="15"/>
  <c r="AJ75" i="14" s="1"/>
  <c r="AK75" i="14" s="1"/>
  <c r="X75" i="14"/>
  <c r="Y75" i="14" s="1"/>
  <c r="T193" i="15"/>
  <c r="Q193" i="15"/>
  <c r="S193" i="15"/>
  <c r="AF75" i="14" s="1"/>
  <c r="AG75" i="14" s="1"/>
  <c r="Z202" i="14"/>
  <c r="AA202" i="14" s="1"/>
  <c r="P166" i="17"/>
  <c r="AJ231" i="14"/>
  <c r="AK231" i="14" s="1"/>
  <c r="U72" i="18"/>
  <c r="AD7" i="14"/>
  <c r="AE7" i="14" s="1"/>
  <c r="R138" i="16"/>
  <c r="AF239" i="14"/>
  <c r="AG239" i="14" s="1"/>
  <c r="O53" i="15"/>
  <c r="T23" i="17"/>
  <c r="AH148" i="14" s="1"/>
  <c r="AI148" i="14" s="1"/>
  <c r="X148" i="14"/>
  <c r="Y148" i="14" s="1"/>
  <c r="S23" i="17"/>
  <c r="AF148" i="14" s="1"/>
  <c r="AG148" i="14" s="1"/>
  <c r="U23" i="17"/>
  <c r="AJ148" i="14" s="1"/>
  <c r="AK148" i="14" s="1"/>
  <c r="Q22" i="15"/>
  <c r="AB11" i="14" s="1"/>
  <c r="AC11" i="14" s="1"/>
  <c r="S22" i="15"/>
  <c r="AF11" i="14" s="1"/>
  <c r="AG11" i="14" s="1"/>
  <c r="T22" i="15"/>
  <c r="AH11" i="14" s="1"/>
  <c r="AI11" i="14" s="1"/>
  <c r="U22" i="15"/>
  <c r="AJ11" i="14" s="1"/>
  <c r="AK11" i="14" s="1"/>
  <c r="P49" i="18"/>
  <c r="Z227" i="14" s="1"/>
  <c r="AA227" i="14" s="1"/>
  <c r="T227" i="14"/>
  <c r="AJ243" i="14"/>
  <c r="AK243" i="14" s="1"/>
  <c r="S27" i="16"/>
  <c r="AF86" i="14" s="1"/>
  <c r="AG86" i="14" s="1"/>
  <c r="R27" i="16"/>
  <c r="AD86" i="14" s="1"/>
  <c r="AE86" i="14" s="1"/>
  <c r="Q27" i="16"/>
  <c r="AB86" i="14" s="1"/>
  <c r="AC86" i="14" s="1"/>
  <c r="U27" i="16"/>
  <c r="AJ86" i="14" s="1"/>
  <c r="AK86" i="14" s="1"/>
  <c r="X86" i="14"/>
  <c r="Y86" i="14" s="1"/>
  <c r="R50" i="17"/>
  <c r="AD164" i="14" s="1"/>
  <c r="AE164" i="14" s="1"/>
  <c r="S50" i="17"/>
  <c r="AF164" i="14" s="1"/>
  <c r="AG164" i="14" s="1"/>
  <c r="U50" i="17"/>
  <c r="AJ164" i="14" s="1"/>
  <c r="AK164" i="14" s="1"/>
  <c r="T50" i="17"/>
  <c r="AH164" i="14" s="1"/>
  <c r="AI164" i="14" s="1"/>
  <c r="X164" i="14"/>
  <c r="Y164" i="14" s="1"/>
  <c r="R104" i="17"/>
  <c r="AD181" i="14"/>
  <c r="AE181" i="14" s="1"/>
  <c r="T69" i="15"/>
  <c r="AH34" i="14" s="1"/>
  <c r="AI34" i="14" s="1"/>
  <c r="Q69" i="15"/>
  <c r="AB34" i="14" s="1"/>
  <c r="AC34" i="14" s="1"/>
  <c r="R69" i="15"/>
  <c r="AD34" i="14" s="1"/>
  <c r="AE34" i="14" s="1"/>
  <c r="U69" i="15"/>
  <c r="AJ34" i="14" s="1"/>
  <c r="AK34" i="14" s="1"/>
  <c r="J162" i="18"/>
  <c r="R266" i="14"/>
  <c r="Q163" i="15"/>
  <c r="AB63" i="14" s="1"/>
  <c r="AC63" i="14" s="1"/>
  <c r="X63" i="14"/>
  <c r="Y63" i="14" s="1"/>
  <c r="S163" i="15"/>
  <c r="AF63" i="14" s="1"/>
  <c r="AG63" i="14" s="1"/>
  <c r="Q135" i="17"/>
  <c r="O138" i="17"/>
  <c r="AB223" i="14"/>
  <c r="AC223" i="14" s="1"/>
  <c r="Q53" i="18"/>
  <c r="T49" i="15"/>
  <c r="AH26" i="14" s="1"/>
  <c r="AI26" i="14" s="1"/>
  <c r="U49" i="15"/>
  <c r="AJ26" i="14" s="1"/>
  <c r="AK26" i="14" s="1"/>
  <c r="R49" i="15"/>
  <c r="AD26" i="14" s="1"/>
  <c r="AE26" i="14" s="1"/>
  <c r="X26" i="14"/>
  <c r="Y26" i="14" s="1"/>
  <c r="U196" i="15"/>
  <c r="AF251" i="14"/>
  <c r="AG251" i="14" s="1"/>
  <c r="T128" i="18"/>
  <c r="S135" i="18"/>
  <c r="AB272" i="14"/>
  <c r="AC272" i="14" s="1"/>
  <c r="T18" i="15"/>
  <c r="Q18" i="15"/>
  <c r="S18" i="15"/>
  <c r="AD196" i="14"/>
  <c r="AE196" i="14" s="1"/>
  <c r="U133" i="15"/>
  <c r="T22" i="16"/>
  <c r="AH81" i="14" s="1"/>
  <c r="AI81" i="14" s="1"/>
  <c r="S53" i="17"/>
  <c r="AF167" i="14" s="1"/>
  <c r="AG167" i="14" s="1"/>
  <c r="T150" i="15"/>
  <c r="AH58" i="14"/>
  <c r="AI58" i="14" s="1"/>
  <c r="AH190" i="14"/>
  <c r="AI190" i="14" s="1"/>
  <c r="Q102" i="18"/>
  <c r="AB243" i="14"/>
  <c r="AC243" i="14" s="1"/>
  <c r="AF116" i="14"/>
  <c r="AG116" i="14" s="1"/>
  <c r="S105" i="16"/>
  <c r="Q87" i="15"/>
  <c r="AB41" i="14" s="1"/>
  <c r="AC41" i="14" s="1"/>
  <c r="U87" i="15"/>
  <c r="AJ41" i="14" s="1"/>
  <c r="AK41" i="14" s="1"/>
  <c r="X41" i="14"/>
  <c r="Y41" i="14" s="1"/>
  <c r="R87" i="15"/>
  <c r="AD41" i="14" s="1"/>
  <c r="AE41" i="14" s="1"/>
  <c r="S87" i="15"/>
  <c r="AF41" i="14" s="1"/>
  <c r="AG41" i="14" s="1"/>
  <c r="P137" i="15"/>
  <c r="Z53" i="14"/>
  <c r="AA53" i="14" s="1"/>
  <c r="X55" i="14"/>
  <c r="Y55" i="14" s="1"/>
  <c r="O137" i="15"/>
  <c r="Q134" i="15"/>
  <c r="S134" i="15"/>
  <c r="AF55" i="14" s="1"/>
  <c r="AG55" i="14" s="1"/>
  <c r="T134" i="15"/>
  <c r="Q18" i="18"/>
  <c r="R38" i="19"/>
  <c r="AF299" i="14" s="1"/>
  <c r="AG299" i="14" s="1"/>
  <c r="X239" i="14"/>
  <c r="Y239" i="14" s="1"/>
  <c r="S45" i="15"/>
  <c r="P53" i="18"/>
  <c r="R39" i="19"/>
  <c r="AF300" i="14" s="1"/>
  <c r="AG300" i="14" s="1"/>
  <c r="R68" i="18"/>
  <c r="S102" i="18"/>
  <c r="Q68" i="18"/>
  <c r="X147" i="14"/>
  <c r="Y147" i="14" s="1"/>
  <c r="U27" i="17"/>
  <c r="AJ152" i="14" s="1"/>
  <c r="AK152" i="14" s="1"/>
  <c r="R23" i="16"/>
  <c r="AD82" i="14" s="1"/>
  <c r="AE82" i="14" s="1"/>
  <c r="U67" i="16"/>
  <c r="AJ104" i="14" s="1"/>
  <c r="AK104" i="14" s="1"/>
  <c r="Q67" i="16"/>
  <c r="AB104" i="14" s="1"/>
  <c r="AC104" i="14" s="1"/>
  <c r="R81" i="17"/>
  <c r="T26" i="17"/>
  <c r="AH151" i="14" s="1"/>
  <c r="AI151" i="14" s="1"/>
  <c r="S166" i="16"/>
  <c r="AF141" i="14" s="1"/>
  <c r="AG141" i="14" s="1"/>
  <c r="X102" i="14"/>
  <c r="Y102" i="14" s="1"/>
  <c r="P68" i="18"/>
  <c r="T84" i="18"/>
  <c r="Q147" i="15"/>
  <c r="O88" i="17"/>
  <c r="T18" i="18"/>
  <c r="R45" i="15"/>
  <c r="R134" i="15"/>
  <c r="Q38" i="19"/>
  <c r="AD299" i="14" s="1"/>
  <c r="AE299" i="14" s="1"/>
  <c r="Q83" i="18"/>
  <c r="U23" i="16"/>
  <c r="AJ82" i="14" s="1"/>
  <c r="AK82" i="14" s="1"/>
  <c r="R65" i="16"/>
  <c r="AD102" i="14" s="1"/>
  <c r="AE102" i="14" s="1"/>
  <c r="S84" i="18"/>
  <c r="AF240" i="14" s="1"/>
  <c r="AG240" i="14" s="1"/>
  <c r="O150" i="15"/>
  <c r="R123" i="17"/>
  <c r="R18" i="18"/>
  <c r="X299" i="14"/>
  <c r="Y299" i="14" s="1"/>
  <c r="X300" i="14"/>
  <c r="Y300" i="14" s="1"/>
  <c r="R83" i="18"/>
  <c r="Q24" i="15"/>
  <c r="AB13" i="14" s="1"/>
  <c r="AC13" i="14" s="1"/>
  <c r="T45" i="15"/>
  <c r="U69" i="17"/>
  <c r="U33" i="16"/>
  <c r="S47" i="18"/>
  <c r="AF225" i="14" s="1"/>
  <c r="AG225" i="14" s="1"/>
  <c r="T27" i="18"/>
  <c r="AH216" i="14" s="1"/>
  <c r="AI216" i="14" s="1"/>
  <c r="R27" i="18"/>
  <c r="AD216" i="14" s="1"/>
  <c r="AE216" i="14" s="1"/>
  <c r="R49" i="18"/>
  <c r="AD227" i="14" s="1"/>
  <c r="AE227" i="14" s="1"/>
  <c r="S68" i="18"/>
  <c r="S27" i="17"/>
  <c r="AF152" i="14" s="1"/>
  <c r="AG152" i="14" s="1"/>
  <c r="Q23" i="16"/>
  <c r="AB82" i="14" s="1"/>
  <c r="AC82" i="14" s="1"/>
  <c r="Z114" i="14"/>
  <c r="AA114" i="14" s="1"/>
  <c r="S48" i="16"/>
  <c r="Q123" i="16"/>
  <c r="Q166" i="16"/>
  <c r="AB141" i="14" s="1"/>
  <c r="AC141" i="14" s="1"/>
  <c r="T65" i="16"/>
  <c r="AH102" i="14" s="1"/>
  <c r="AI102" i="14" s="1"/>
  <c r="U120" i="16"/>
  <c r="AJ124" i="14" s="1"/>
  <c r="AK124" i="14" s="1"/>
  <c r="R147" i="15"/>
  <c r="P105" i="16"/>
  <c r="O23" i="15"/>
  <c r="O33" i="15" s="1"/>
  <c r="AH243" i="14"/>
  <c r="AI243" i="14" s="1"/>
  <c r="U134" i="15"/>
  <c r="AJ55" i="14" s="1"/>
  <c r="AK55" i="14" s="1"/>
  <c r="T23" i="16"/>
  <c r="AH82" i="14" s="1"/>
  <c r="AI82" i="14" s="1"/>
  <c r="X141" i="14"/>
  <c r="Y141" i="14" s="1"/>
  <c r="Q105" i="16"/>
  <c r="S18" i="18"/>
  <c r="AH258" i="14"/>
  <c r="AI258" i="14" s="1"/>
  <c r="T166" i="17"/>
  <c r="Q48" i="16"/>
  <c r="AB96" i="14" s="1"/>
  <c r="AC96" i="14" s="1"/>
  <c r="R48" i="16"/>
  <c r="AD96" i="14" s="1"/>
  <c r="AE96" i="14" s="1"/>
  <c r="AF58" i="14"/>
  <c r="AG58" i="14" s="1"/>
  <c r="T166" i="16"/>
  <c r="X104" i="14"/>
  <c r="Y104" i="14" s="1"/>
  <c r="S67" i="16"/>
  <c r="AF104" i="14" s="1"/>
  <c r="AG104" i="14" s="1"/>
  <c r="R102" i="18"/>
  <c r="U86" i="17"/>
  <c r="AJ178" i="14" s="1"/>
  <c r="AK178" i="14" s="1"/>
  <c r="T86" i="17"/>
  <c r="AH178" i="14" s="1"/>
  <c r="AI178" i="14" s="1"/>
  <c r="X178" i="14"/>
  <c r="Y178" i="14" s="1"/>
  <c r="U20" i="16"/>
  <c r="AJ79" i="14" s="1"/>
  <c r="AK79" i="14" s="1"/>
  <c r="X79" i="14"/>
  <c r="Y79" i="14" s="1"/>
  <c r="T20" i="16"/>
  <c r="R20" i="16"/>
  <c r="AD79" i="14" s="1"/>
  <c r="AE79" i="14" s="1"/>
  <c r="Q20" i="16"/>
  <c r="O33" i="16"/>
  <c r="T86" i="15"/>
  <c r="AH40" i="14" s="1"/>
  <c r="AI40" i="14" s="1"/>
  <c r="R86" i="15"/>
  <c r="AD40" i="14" s="1"/>
  <c r="AE40" i="14" s="1"/>
  <c r="Z34" i="14"/>
  <c r="AA34" i="14" s="1"/>
  <c r="P73" i="15"/>
  <c r="S86" i="15"/>
  <c r="AF40" i="14" s="1"/>
  <c r="AG40" i="14" s="1"/>
  <c r="O196" i="15"/>
  <c r="S190" i="15"/>
  <c r="X50" i="14"/>
  <c r="Y50" i="14" s="1"/>
  <c r="Q118" i="15"/>
  <c r="R118" i="15"/>
  <c r="O121" i="15"/>
  <c r="Q90" i="16"/>
  <c r="R196" i="15"/>
  <c r="R116" i="16"/>
  <c r="AB120" i="14"/>
  <c r="AC120" i="14" s="1"/>
  <c r="X142" i="14"/>
  <c r="Y142" i="14" s="1"/>
  <c r="T167" i="16"/>
  <c r="AH142" i="14" s="1"/>
  <c r="AI142" i="14" s="1"/>
  <c r="R167" i="16"/>
  <c r="S167" i="16"/>
  <c r="AF142" i="14" s="1"/>
  <c r="AG142" i="14" s="1"/>
  <c r="U26" i="16"/>
  <c r="AJ85" i="14" s="1"/>
  <c r="AK85" i="14" s="1"/>
  <c r="X85" i="14"/>
  <c r="Y85" i="14" s="1"/>
  <c r="Q31" i="15"/>
  <c r="AB20" i="14" s="1"/>
  <c r="AC20" i="14" s="1"/>
  <c r="T31" i="15"/>
  <c r="AH20" i="14" s="1"/>
  <c r="AI20" i="14" s="1"/>
  <c r="R31" i="15"/>
  <c r="AD20" i="14" s="1"/>
  <c r="AE20" i="14" s="1"/>
  <c r="X20" i="14"/>
  <c r="Y20" i="14" s="1"/>
  <c r="S31" i="15"/>
  <c r="AF20" i="14" s="1"/>
  <c r="AG20" i="14" s="1"/>
  <c r="U31" i="15"/>
  <c r="AJ20" i="14" s="1"/>
  <c r="AK20" i="14" s="1"/>
  <c r="S87" i="16"/>
  <c r="AF113" i="14" s="1"/>
  <c r="AG113" i="14" s="1"/>
  <c r="T87" i="16"/>
  <c r="AH113" i="14" s="1"/>
  <c r="AI113" i="14" s="1"/>
  <c r="P168" i="16"/>
  <c r="Z138" i="14"/>
  <c r="AA138" i="14" s="1"/>
  <c r="R20" i="18"/>
  <c r="AD209" i="14" s="1"/>
  <c r="AE209" i="14" s="1"/>
  <c r="S20" i="18"/>
  <c r="AF209" i="14" s="1"/>
  <c r="AG209" i="14" s="1"/>
  <c r="T261" i="14"/>
  <c r="P151" i="18"/>
  <c r="T65" i="17"/>
  <c r="Q65" i="17"/>
  <c r="R65" i="17"/>
  <c r="S65" i="17"/>
  <c r="P16" i="19"/>
  <c r="AB277" i="14" s="1"/>
  <c r="AC277" i="14" s="1"/>
  <c r="X106" i="14"/>
  <c r="Y106" i="14" s="1"/>
  <c r="Q69" i="16"/>
  <c r="AB106" i="14" s="1"/>
  <c r="AC106" i="14" s="1"/>
  <c r="Q29" i="18"/>
  <c r="AB218" i="14" s="1"/>
  <c r="AC218" i="14" s="1"/>
  <c r="U164" i="17"/>
  <c r="X205" i="14"/>
  <c r="Y205" i="14" s="1"/>
  <c r="R164" i="17"/>
  <c r="AD205" i="14" s="1"/>
  <c r="AE205" i="14" s="1"/>
  <c r="S165" i="17"/>
  <c r="AF206" i="14" s="1"/>
  <c r="AG206" i="14" s="1"/>
  <c r="Q165" i="17"/>
  <c r="AB206" i="14" s="1"/>
  <c r="AC206" i="14" s="1"/>
  <c r="X206" i="14"/>
  <c r="Y206" i="14" s="1"/>
  <c r="O161" i="15"/>
  <c r="S61" i="14"/>
  <c r="P153" i="17"/>
  <c r="P18" i="16"/>
  <c r="K18" i="17"/>
  <c r="J18" i="17"/>
  <c r="S138" i="17"/>
  <c r="X23" i="14"/>
  <c r="Y23" i="14" s="1"/>
  <c r="Q46" i="15"/>
  <c r="AB23" i="14" s="1"/>
  <c r="AC23" i="14" s="1"/>
  <c r="O135" i="18"/>
  <c r="O46" i="17"/>
  <c r="S160" i="14"/>
  <c r="P82" i="19"/>
  <c r="R82" i="19"/>
  <c r="S82" i="19" s="1"/>
  <c r="T82" i="19" s="1"/>
  <c r="Q82" i="19"/>
  <c r="O64" i="16"/>
  <c r="S101" i="14"/>
  <c r="Q66" i="16"/>
  <c r="AB103" i="14" s="1"/>
  <c r="AC103" i="14" s="1"/>
  <c r="Q162" i="16"/>
  <c r="S162" i="16"/>
  <c r="X153" i="14"/>
  <c r="Y153" i="14" s="1"/>
  <c r="S28" i="17"/>
  <c r="AF153" i="14" s="1"/>
  <c r="AG153" i="14" s="1"/>
  <c r="R28" i="17"/>
  <c r="AD153" i="14" s="1"/>
  <c r="AE153" i="14" s="1"/>
  <c r="S160" i="17"/>
  <c r="R160" i="17"/>
  <c r="X201" i="14"/>
  <c r="Y201" i="14" s="1"/>
  <c r="Q160" i="17"/>
  <c r="Q150" i="16"/>
  <c r="R129" i="18"/>
  <c r="AD252" i="14" s="1"/>
  <c r="AE252" i="14" s="1"/>
  <c r="Q129" i="18"/>
  <c r="P63" i="16"/>
  <c r="T100" i="14"/>
  <c r="P134" i="17"/>
  <c r="T192" i="14"/>
  <c r="Q178" i="15"/>
  <c r="AB67" i="14" s="1"/>
  <c r="AC67" i="14" s="1"/>
  <c r="X67" i="14"/>
  <c r="Y67" i="14" s="1"/>
  <c r="R178" i="15"/>
  <c r="S178" i="15"/>
  <c r="F23" i="59"/>
  <c r="R30" i="14"/>
  <c r="J65" i="15"/>
  <c r="S136" i="17"/>
  <c r="AF194" i="14" s="1"/>
  <c r="AG194" i="14" s="1"/>
  <c r="Q136" i="17"/>
  <c r="AB194" i="14" s="1"/>
  <c r="AC194" i="14" s="1"/>
  <c r="O180" i="15"/>
  <c r="S69" i="14"/>
  <c r="P138" i="16"/>
  <c r="R7" i="14"/>
  <c r="K18" i="15"/>
  <c r="Q153" i="16"/>
  <c r="AB135" i="14" s="1"/>
  <c r="AC135" i="14" s="1"/>
  <c r="X135" i="14"/>
  <c r="Y135" i="14" s="1"/>
  <c r="R151" i="17"/>
  <c r="AD198" i="14" s="1"/>
  <c r="AE198" i="14" s="1"/>
  <c r="Q151" i="17"/>
  <c r="X198" i="14"/>
  <c r="Y198" i="14" s="1"/>
  <c r="R168" i="14"/>
  <c r="K65" i="17"/>
  <c r="O6" i="71"/>
  <c r="K32" i="71"/>
  <c r="E7" i="71"/>
  <c r="M10" i="71"/>
  <c r="I12" i="71"/>
  <c r="M22" i="71"/>
  <c r="L39" i="71"/>
  <c r="S89" i="16"/>
  <c r="AF115" i="14" s="1"/>
  <c r="AG115" i="14" s="1"/>
  <c r="E8" i="71"/>
  <c r="R89" i="16"/>
  <c r="E13" i="71"/>
  <c r="E17" i="71" s="1"/>
  <c r="G20" i="71"/>
  <c r="I16" i="71"/>
  <c r="L16" i="66"/>
  <c r="N33" i="71"/>
  <c r="O30" i="71" s="1"/>
  <c r="M11" i="64"/>
  <c r="D384" i="55"/>
  <c r="F145" i="55"/>
  <c r="H8" i="55"/>
  <c r="C384" i="55"/>
  <c r="H384" i="55" s="1"/>
  <c r="E145" i="55"/>
  <c r="I20" i="55"/>
  <c r="J20" i="55" s="1"/>
  <c r="C140" i="55"/>
  <c r="I140" i="55" s="1"/>
  <c r="J140" i="55" s="1"/>
  <c r="F360" i="55"/>
  <c r="F139" i="55"/>
  <c r="H16" i="55"/>
  <c r="H490" i="55"/>
  <c r="H513" i="55"/>
  <c r="G71" i="55"/>
  <c r="G443" i="55"/>
  <c r="E139" i="55"/>
  <c r="H194" i="55"/>
  <c r="I77" i="55"/>
  <c r="J77" i="55" s="1"/>
  <c r="H85" i="55"/>
  <c r="I149" i="55"/>
  <c r="J149" i="55" s="1"/>
  <c r="G16" i="55"/>
  <c r="I540" i="55"/>
  <c r="J540" i="55" s="1"/>
  <c r="H250" i="55"/>
  <c r="G192" i="55"/>
  <c r="I335" i="55"/>
  <c r="J335" i="55" s="1"/>
  <c r="I547" i="55"/>
  <c r="J547" i="55" s="1"/>
  <c r="G599" i="55"/>
  <c r="I282" i="55"/>
  <c r="J282" i="55" s="1"/>
  <c r="I190" i="55"/>
  <c r="J190" i="55" s="1"/>
  <c r="H70" i="55"/>
  <c r="H409" i="55"/>
  <c r="H454" i="55"/>
  <c r="G371" i="55"/>
  <c r="I16" i="55"/>
  <c r="J16" i="55" s="1"/>
  <c r="I268" i="55"/>
  <c r="J268" i="55" s="1"/>
  <c r="H62" i="55"/>
  <c r="I422" i="55"/>
  <c r="J422" i="55" s="1"/>
  <c r="H556" i="55"/>
  <c r="H276" i="55"/>
  <c r="G335" i="55"/>
  <c r="I262" i="55"/>
  <c r="J262" i="55" s="1"/>
  <c r="G59" i="55"/>
  <c r="G547" i="55"/>
  <c r="G494" i="55"/>
  <c r="I272" i="55"/>
  <c r="J272" i="55" s="1"/>
  <c r="I277" i="55"/>
  <c r="J277" i="55" s="1"/>
  <c r="H68" i="55"/>
  <c r="G383" i="55"/>
  <c r="G458" i="55"/>
  <c r="I141" i="55"/>
  <c r="J141" i="55" s="1"/>
  <c r="G239" i="55"/>
  <c r="H511" i="55"/>
  <c r="I406" i="55"/>
  <c r="J406" i="55" s="1"/>
  <c r="H335" i="55"/>
  <c r="G413" i="55"/>
  <c r="G87" i="55"/>
  <c r="H448" i="55"/>
  <c r="G89" i="55"/>
  <c r="H89" i="55"/>
  <c r="L90" i="55" s="1"/>
  <c r="I89" i="55"/>
  <c r="J89" i="55" s="1"/>
  <c r="I309" i="55"/>
  <c r="J309" i="55" s="1"/>
  <c r="G309" i="55"/>
  <c r="H309" i="55"/>
  <c r="H92" i="55"/>
  <c r="L93" i="55" s="1"/>
  <c r="G92" i="55"/>
  <c r="I92" i="55"/>
  <c r="J92" i="55" s="1"/>
  <c r="G102" i="55"/>
  <c r="I102" i="55"/>
  <c r="J102" i="55" s="1"/>
  <c r="H102" i="55"/>
  <c r="G66" i="55"/>
  <c r="I66" i="55"/>
  <c r="J66" i="55" s="1"/>
  <c r="G527" i="55"/>
  <c r="I360" i="55"/>
  <c r="J360" i="55" s="1"/>
  <c r="H226" i="55"/>
  <c r="L226" i="55" s="1"/>
  <c r="H263" i="55"/>
  <c r="H116" i="55"/>
  <c r="L117" i="55" s="1"/>
  <c r="I116" i="55"/>
  <c r="J116" i="55" s="1"/>
  <c r="H494" i="55"/>
  <c r="L498" i="55" s="1"/>
  <c r="I8" i="55"/>
  <c r="J8" i="55" s="1"/>
  <c r="H281" i="55"/>
  <c r="G281" i="55"/>
  <c r="G283" i="55"/>
  <c r="H363" i="55"/>
  <c r="I283" i="55"/>
  <c r="J283" i="55" s="1"/>
  <c r="H277" i="55"/>
  <c r="G145" i="55"/>
  <c r="I312" i="55"/>
  <c r="J312" i="55" s="1"/>
  <c r="I511" i="55"/>
  <c r="J511" i="55" s="1"/>
  <c r="H113" i="55"/>
  <c r="G571" i="55"/>
  <c r="G345" i="55"/>
  <c r="H439" i="55"/>
  <c r="I226" i="55"/>
  <c r="J226" i="55" s="1"/>
  <c r="G126" i="55"/>
  <c r="I87" i="55"/>
  <c r="J87" i="55" s="1"/>
  <c r="G425" i="55"/>
  <c r="G552" i="55"/>
  <c r="G444" i="55"/>
  <c r="H560" i="55"/>
  <c r="G85" i="55"/>
  <c r="I396" i="55"/>
  <c r="J396" i="55" s="1"/>
  <c r="G602" i="55"/>
  <c r="G238" i="55"/>
  <c r="I383" i="55"/>
  <c r="J383" i="55" s="1"/>
  <c r="G409" i="55"/>
  <c r="G116" i="55"/>
  <c r="C34" i="55"/>
  <c r="I146" i="55"/>
  <c r="J146" i="55" s="1"/>
  <c r="G160" i="55"/>
  <c r="H160" i="55"/>
  <c r="L161" i="55" s="1"/>
  <c r="G250" i="55"/>
  <c r="G209" i="55"/>
  <c r="H425" i="55"/>
  <c r="H602" i="55"/>
  <c r="I602" i="55"/>
  <c r="J602" i="55" s="1"/>
  <c r="G148" i="55"/>
  <c r="H148" i="55"/>
  <c r="H456" i="55"/>
  <c r="G456" i="55"/>
  <c r="G387" i="55"/>
  <c r="I387" i="55"/>
  <c r="J387" i="55" s="1"/>
  <c r="H387" i="55"/>
  <c r="I363" i="55"/>
  <c r="J363" i="55" s="1"/>
  <c r="H371" i="55"/>
  <c r="I425" i="55"/>
  <c r="J425" i="55" s="1"/>
  <c r="G560" i="55"/>
  <c r="G276" i="55"/>
  <c r="I560" i="55"/>
  <c r="J560" i="55" s="1"/>
  <c r="H292" i="55"/>
  <c r="L293" i="55" s="1"/>
  <c r="I421" i="55"/>
  <c r="J421" i="55" s="1"/>
  <c r="H319" i="55"/>
  <c r="G400" i="55"/>
  <c r="G467" i="55"/>
  <c r="H467" i="55"/>
  <c r="I467" i="55"/>
  <c r="J467" i="55" s="1"/>
  <c r="H469" i="55"/>
  <c r="L470" i="55" s="1"/>
  <c r="H327" i="55"/>
  <c r="G327" i="55"/>
  <c r="I556" i="55"/>
  <c r="J556" i="55" s="1"/>
  <c r="G574" i="55"/>
  <c r="H71" i="55"/>
  <c r="I73" i="55"/>
  <c r="J73" i="55" s="1"/>
  <c r="H73" i="55"/>
  <c r="G73" i="55"/>
  <c r="G277" i="55"/>
  <c r="H272" i="55"/>
  <c r="G272" i="55"/>
  <c r="H347" i="55"/>
  <c r="L347" i="55" s="1"/>
  <c r="G511" i="55"/>
  <c r="G439" i="55"/>
  <c r="I59" i="55"/>
  <c r="J59" i="55" s="1"/>
  <c r="I410" i="55"/>
  <c r="J410" i="55" s="1"/>
  <c r="H21" i="55"/>
  <c r="L21" i="55" s="1"/>
  <c r="I21" i="55"/>
  <c r="J21" i="55" s="1"/>
  <c r="G21" i="55"/>
  <c r="I208" i="55"/>
  <c r="J208" i="55" s="1"/>
  <c r="H126" i="55"/>
  <c r="H412" i="55"/>
  <c r="G422" i="55"/>
  <c r="G545" i="55"/>
  <c r="G139" i="55"/>
  <c r="G360" i="55"/>
  <c r="H214" i="55"/>
  <c r="I242" i="55"/>
  <c r="J242" i="55" s="1"/>
  <c r="H312" i="55"/>
  <c r="H180" i="55"/>
  <c r="H566" i="55"/>
  <c r="I544" i="55"/>
  <c r="J544" i="55" s="1"/>
  <c r="H278" i="55"/>
  <c r="H229" i="55"/>
  <c r="L230" i="55" s="1"/>
  <c r="I126" i="55"/>
  <c r="J126" i="55" s="1"/>
  <c r="G536" i="55"/>
  <c r="G77" i="55"/>
  <c r="I333" i="55"/>
  <c r="J333" i="55" s="1"/>
  <c r="G262" i="55"/>
  <c r="I412" i="55"/>
  <c r="J412" i="55" s="1"/>
  <c r="H314" i="55"/>
  <c r="G530" i="55"/>
  <c r="G363" i="55"/>
  <c r="H422" i="55"/>
  <c r="L423" i="55" s="1"/>
  <c r="I395" i="55"/>
  <c r="J395" i="55" s="1"/>
  <c r="I238" i="55"/>
  <c r="J238" i="55" s="1"/>
  <c r="H239" i="55"/>
  <c r="H400" i="55"/>
  <c r="H323" i="55"/>
  <c r="H17" i="55"/>
  <c r="L18" i="55" s="1"/>
  <c r="G17" i="55"/>
  <c r="H136" i="55"/>
  <c r="G266" i="55"/>
  <c r="I266" i="55"/>
  <c r="J266" i="55" s="1"/>
  <c r="I270" i="55"/>
  <c r="J270" i="55" s="1"/>
  <c r="I492" i="55"/>
  <c r="J492" i="55" s="1"/>
  <c r="H544" i="55"/>
  <c r="G325" i="55"/>
  <c r="H571" i="55"/>
  <c r="H599" i="55"/>
  <c r="I599" i="55"/>
  <c r="J599" i="55" s="1"/>
  <c r="H242" i="55"/>
  <c r="G403" i="55"/>
  <c r="I62" i="55"/>
  <c r="J62" i="55" s="1"/>
  <c r="I443" i="55"/>
  <c r="J443" i="55" s="1"/>
  <c r="G282" i="55"/>
  <c r="I409" i="55"/>
  <c r="J409" i="55" s="1"/>
  <c r="H59" i="55"/>
  <c r="I587" i="55"/>
  <c r="J587" i="55" s="1"/>
  <c r="I273" i="55"/>
  <c r="J273" i="55" s="1"/>
  <c r="I571" i="55"/>
  <c r="J571" i="55" s="1"/>
  <c r="H87" i="55"/>
  <c r="G314" i="55"/>
  <c r="H238" i="55"/>
  <c r="I552" i="55"/>
  <c r="J552" i="55" s="1"/>
  <c r="I350" i="55"/>
  <c r="J350" i="55" s="1"/>
  <c r="G544" i="55"/>
  <c r="H536" i="55"/>
  <c r="G406" i="55"/>
  <c r="I372" i="55"/>
  <c r="J372" i="55" s="1"/>
  <c r="I148" i="55"/>
  <c r="J148" i="55" s="1"/>
  <c r="I442" i="55"/>
  <c r="J442" i="55" s="1"/>
  <c r="H163" i="55"/>
  <c r="I25" i="55"/>
  <c r="J25" i="55" s="1"/>
  <c r="G25" i="55"/>
  <c r="I131" i="55"/>
  <c r="J131" i="55" s="1"/>
  <c r="H131" i="55"/>
  <c r="I164" i="55"/>
  <c r="J164" i="55" s="1"/>
  <c r="I253" i="55"/>
  <c r="J253" i="55" s="1"/>
  <c r="G253" i="55"/>
  <c r="I204" i="55"/>
  <c r="J204" i="55" s="1"/>
  <c r="H204" i="55"/>
  <c r="I278" i="55"/>
  <c r="J278" i="55" s="1"/>
  <c r="H426" i="55"/>
  <c r="L426" i="55" s="1"/>
  <c r="I426" i="55"/>
  <c r="J426" i="55" s="1"/>
  <c r="G426" i="55"/>
  <c r="I466" i="55"/>
  <c r="J466" i="55" s="1"/>
  <c r="H466" i="55"/>
  <c r="G466" i="55"/>
  <c r="H542" i="55"/>
  <c r="G350" i="55"/>
  <c r="H350" i="55"/>
  <c r="L351" i="55" s="1"/>
  <c r="H333" i="55"/>
  <c r="G410" i="55"/>
  <c r="H410" i="55"/>
  <c r="I343" i="55"/>
  <c r="J343" i="55" s="1"/>
  <c r="I327" i="55"/>
  <c r="J327" i="55" s="1"/>
  <c r="I70" i="55"/>
  <c r="J70" i="55" s="1"/>
  <c r="I448" i="55"/>
  <c r="J448" i="55" s="1"/>
  <c r="H383" i="55"/>
  <c r="I214" i="55"/>
  <c r="J214" i="55" s="1"/>
  <c r="G8" i="55"/>
  <c r="H266" i="55"/>
  <c r="G323" i="55"/>
  <c r="H168" i="55"/>
  <c r="L169" i="55" s="1"/>
  <c r="G168" i="55"/>
  <c r="I168" i="55"/>
  <c r="J168" i="55" s="1"/>
  <c r="G212" i="55"/>
  <c r="I591" i="55"/>
  <c r="J591" i="55" s="1"/>
  <c r="I403" i="55"/>
  <c r="J403" i="55" s="1"/>
  <c r="I347" i="55"/>
  <c r="J347" i="55" s="1"/>
  <c r="H283" i="55"/>
  <c r="H574" i="55"/>
  <c r="H458" i="55"/>
  <c r="G180" i="55"/>
  <c r="I407" i="55"/>
  <c r="J407" i="55" s="1"/>
  <c r="I566" i="55"/>
  <c r="J566" i="55" s="1"/>
  <c r="G278" i="55"/>
  <c r="G280" i="55"/>
  <c r="G594" i="55"/>
  <c r="H450" i="55"/>
  <c r="H262" i="55"/>
  <c r="G412" i="55"/>
  <c r="G101" i="55"/>
  <c r="H530" i="55"/>
  <c r="H405" i="55"/>
  <c r="I222" i="55"/>
  <c r="J222" i="55" s="1"/>
  <c r="I239" i="55"/>
  <c r="J239" i="55" s="1"/>
  <c r="G268" i="55"/>
  <c r="H125" i="55"/>
  <c r="I545" i="55"/>
  <c r="J545" i="55" s="1"/>
  <c r="I574" i="55"/>
  <c r="J574" i="55" s="1"/>
  <c r="I581" i="55"/>
  <c r="J581" i="55" s="1"/>
  <c r="H20" i="55"/>
  <c r="H587" i="55"/>
  <c r="H527" i="55"/>
  <c r="I180" i="55"/>
  <c r="J180" i="55" s="1"/>
  <c r="H591" i="55"/>
  <c r="G566" i="55"/>
  <c r="I490" i="55"/>
  <c r="J490" i="55" s="1"/>
  <c r="G190" i="55"/>
  <c r="H280" i="55"/>
  <c r="I536" i="55"/>
  <c r="J536" i="55" s="1"/>
  <c r="H594" i="55"/>
  <c r="I446" i="55"/>
  <c r="J446" i="55" s="1"/>
  <c r="H406" i="55"/>
  <c r="G347" i="55"/>
  <c r="H101" i="55"/>
  <c r="I530" i="55"/>
  <c r="J530" i="55" s="1"/>
  <c r="G540" i="55"/>
  <c r="G405" i="55"/>
  <c r="H209" i="55"/>
  <c r="H325" i="55"/>
  <c r="G54" i="55"/>
  <c r="H268" i="55"/>
  <c r="I163" i="55"/>
  <c r="J163" i="55" s="1"/>
  <c r="G295" i="55"/>
  <c r="I397" i="55"/>
  <c r="J397" i="55" s="1"/>
  <c r="H581" i="55"/>
  <c r="H407" i="55"/>
  <c r="G62" i="55"/>
  <c r="G428" i="55"/>
  <c r="I113" i="55"/>
  <c r="J113" i="55" s="1"/>
  <c r="I200" i="55"/>
  <c r="J200" i="55" s="1"/>
  <c r="H200" i="55"/>
  <c r="G200" i="55"/>
  <c r="I206" i="55"/>
  <c r="J206" i="55" s="1"/>
  <c r="H206" i="55"/>
  <c r="G68" i="55"/>
  <c r="I71" i="55"/>
  <c r="J71" i="55" s="1"/>
  <c r="G149" i="55"/>
  <c r="G556" i="55"/>
  <c r="I444" i="55"/>
  <c r="J444" i="55" s="1"/>
  <c r="I194" i="55"/>
  <c r="J194" i="55" s="1"/>
  <c r="D140" i="55"/>
  <c r="D145" i="55"/>
  <c r="G597" i="55"/>
  <c r="H597" i="55"/>
  <c r="H139" i="55"/>
  <c r="G312" i="55"/>
  <c r="I439" i="55"/>
  <c r="J439" i="55" s="1"/>
  <c r="G333" i="55"/>
  <c r="I85" i="55"/>
  <c r="J85" i="55" s="1"/>
  <c r="I345" i="55"/>
  <c r="J345" i="55" s="1"/>
  <c r="I482" i="55"/>
  <c r="J482" i="55" s="1"/>
  <c r="H77" i="55"/>
  <c r="I274" i="55"/>
  <c r="J274" i="55" s="1"/>
  <c r="C144" i="55"/>
  <c r="H144" i="55" s="1"/>
  <c r="G587" i="55"/>
  <c r="I527" i="55"/>
  <c r="J527" i="55" s="1"/>
  <c r="G591" i="55"/>
  <c r="I371" i="55"/>
  <c r="J371" i="55" s="1"/>
  <c r="G490" i="55"/>
  <c r="H190" i="55"/>
  <c r="G343" i="55"/>
  <c r="I280" i="55"/>
  <c r="J280" i="55" s="1"/>
  <c r="G70" i="55"/>
  <c r="I594" i="55"/>
  <c r="J594" i="55" s="1"/>
  <c r="H66" i="55"/>
  <c r="I494" i="55"/>
  <c r="J494" i="55" s="1"/>
  <c r="G448" i="55"/>
  <c r="G493" i="55"/>
  <c r="H540" i="55"/>
  <c r="I281" i="55"/>
  <c r="J281" i="55" s="1"/>
  <c r="I209" i="55"/>
  <c r="J209" i="55" s="1"/>
  <c r="I325" i="55"/>
  <c r="J325" i="55" s="1"/>
  <c r="I54" i="55"/>
  <c r="J54" i="55" s="1"/>
  <c r="I47" i="55"/>
  <c r="J47" i="55" s="1"/>
  <c r="G129" i="55"/>
  <c r="G163" i="55"/>
  <c r="I276" i="55"/>
  <c r="J276" i="55" s="1"/>
  <c r="I405" i="55"/>
  <c r="J405" i="55" s="1"/>
  <c r="H453" i="55"/>
  <c r="G513" i="55"/>
  <c r="I52" i="55"/>
  <c r="J52" i="55" s="1"/>
  <c r="I296" i="55"/>
  <c r="J296" i="55" s="1"/>
  <c r="G141" i="55"/>
  <c r="G214" i="55"/>
  <c r="G273" i="55"/>
  <c r="I316" i="55"/>
  <c r="J316" i="55" s="1"/>
  <c r="H360" i="55"/>
  <c r="I454" i="55"/>
  <c r="J454" i="55" s="1"/>
  <c r="I450" i="55"/>
  <c r="J450" i="55" s="1"/>
  <c r="D144" i="55"/>
  <c r="H547" i="55"/>
  <c r="H428" i="55"/>
  <c r="G136" i="55"/>
  <c r="H411" i="55"/>
  <c r="G292" i="55"/>
  <c r="H343" i="55"/>
  <c r="H149" i="55"/>
  <c r="H482" i="55"/>
  <c r="G563" i="55"/>
  <c r="H523" i="55"/>
  <c r="I291" i="55"/>
  <c r="J291" i="55" s="1"/>
  <c r="H273" i="55"/>
  <c r="G372" i="55"/>
  <c r="H493" i="55"/>
  <c r="G454" i="55"/>
  <c r="G398" i="55"/>
  <c r="H192" i="55"/>
  <c r="G222" i="55"/>
  <c r="H212" i="55"/>
  <c r="H54" i="55"/>
  <c r="G263" i="55"/>
  <c r="G183" i="55"/>
  <c r="I183" i="55"/>
  <c r="J183" i="55" s="1"/>
  <c r="H185" i="55"/>
  <c r="L186" i="55" s="1"/>
  <c r="H295" i="55"/>
  <c r="I374" i="55"/>
  <c r="J374" i="55" s="1"/>
  <c r="I323" i="55"/>
  <c r="J323" i="55" s="1"/>
  <c r="G411" i="55"/>
  <c r="I101" i="55"/>
  <c r="J101" i="55" s="1"/>
  <c r="I159" i="55"/>
  <c r="J159" i="55" s="1"/>
  <c r="H345" i="55"/>
  <c r="I400" i="55"/>
  <c r="J400" i="55" s="1"/>
  <c r="H552" i="55"/>
  <c r="I453" i="55"/>
  <c r="J453" i="55" s="1"/>
  <c r="I428" i="55"/>
  <c r="J428" i="55" s="1"/>
  <c r="G407" i="55"/>
  <c r="G581" i="55"/>
  <c r="I411" i="55"/>
  <c r="J411" i="55" s="1"/>
  <c r="I292" i="55"/>
  <c r="J292" i="55" s="1"/>
  <c r="H141" i="55"/>
  <c r="G242" i="55"/>
  <c r="H563" i="55"/>
  <c r="I523" i="55"/>
  <c r="J523" i="55" s="1"/>
  <c r="G421" i="55"/>
  <c r="H291" i="55"/>
  <c r="H372" i="55"/>
  <c r="I493" i="55"/>
  <c r="J493" i="55" s="1"/>
  <c r="G396" i="55"/>
  <c r="G395" i="55"/>
  <c r="I192" i="55"/>
  <c r="J192" i="55" s="1"/>
  <c r="H222" i="55"/>
  <c r="I212" i="55"/>
  <c r="J212" i="55" s="1"/>
  <c r="G569" i="55"/>
  <c r="G20" i="55"/>
  <c r="G23" i="55"/>
  <c r="H114" i="55"/>
  <c r="G37" i="55"/>
  <c r="G166" i="55"/>
  <c r="G177" i="55"/>
  <c r="G226" i="55"/>
  <c r="G229" i="55"/>
  <c r="G194" i="55"/>
  <c r="H208" i="55"/>
  <c r="H444" i="55"/>
  <c r="I314" i="55"/>
  <c r="J314" i="55" s="1"/>
  <c r="I569" i="55"/>
  <c r="J569" i="55" s="1"/>
  <c r="G140" i="55"/>
  <c r="I563" i="55"/>
  <c r="J563" i="55" s="1"/>
  <c r="G523" i="55"/>
  <c r="H421" i="55"/>
  <c r="G453" i="55"/>
  <c r="H396" i="55"/>
  <c r="H395" i="55"/>
  <c r="I263" i="55"/>
  <c r="J263" i="55" s="1"/>
  <c r="H166" i="55"/>
  <c r="H569" i="55"/>
  <c r="I56" i="55"/>
  <c r="J56" i="55" s="1"/>
  <c r="H224" i="55"/>
  <c r="H251" i="55"/>
  <c r="H443" i="55"/>
  <c r="G479" i="55"/>
  <c r="I529" i="55"/>
  <c r="J529" i="55" s="1"/>
  <c r="I538" i="55"/>
  <c r="J538" i="55" s="1"/>
  <c r="G291" i="55"/>
  <c r="I151" i="55"/>
  <c r="J151" i="55" s="1"/>
  <c r="G133" i="55"/>
  <c r="H197" i="55"/>
  <c r="H509" i="55"/>
  <c r="I516" i="55"/>
  <c r="J516" i="55" s="1"/>
  <c r="H446" i="55"/>
  <c r="G452" i="55"/>
  <c r="G578" i="55"/>
  <c r="I583" i="55"/>
  <c r="J583" i="55" s="1"/>
  <c r="I519" i="55"/>
  <c r="J519" i="55" s="1"/>
  <c r="H397" i="55"/>
  <c r="I398" i="55"/>
  <c r="J398" i="55" s="1"/>
  <c r="H545" i="55"/>
  <c r="H502" i="55"/>
  <c r="G450" i="55"/>
  <c r="I150" i="55"/>
  <c r="J150" i="55" s="1"/>
  <c r="G482" i="55"/>
  <c r="I430" i="55"/>
  <c r="J430" i="55" s="1"/>
  <c r="H442" i="55"/>
  <c r="I478" i="55"/>
  <c r="J478" i="55" s="1"/>
  <c r="I504" i="55"/>
  <c r="J504" i="55" s="1"/>
  <c r="G543" i="55"/>
  <c r="G298" i="55"/>
  <c r="I75" i="55"/>
  <c r="J75" i="55" s="1"/>
  <c r="G300" i="55"/>
  <c r="G359" i="55"/>
  <c r="G319" i="55"/>
  <c r="H457" i="55"/>
  <c r="H282" i="55"/>
  <c r="H274" i="55"/>
  <c r="M28" i="71"/>
  <c r="K29" i="71"/>
  <c r="I30" i="71"/>
  <c r="G30" i="71"/>
  <c r="I31" i="71"/>
  <c r="K30" i="71"/>
  <c r="K28" i="71"/>
  <c r="G31" i="71"/>
  <c r="G29" i="71"/>
  <c r="E29" i="71"/>
  <c r="E28" i="71"/>
  <c r="I29" i="71"/>
  <c r="M30" i="71"/>
  <c r="E32" i="71"/>
  <c r="G28" i="71"/>
  <c r="E30" i="71"/>
  <c r="I28" i="71"/>
  <c r="H133" i="55"/>
  <c r="G56" i="55"/>
  <c r="I542" i="55"/>
  <c r="J542" i="55" s="1"/>
  <c r="G47" i="55"/>
  <c r="H23" i="55"/>
  <c r="G469" i="55"/>
  <c r="H578" i="55"/>
  <c r="G538" i="55"/>
  <c r="G150" i="55"/>
  <c r="I185" i="55"/>
  <c r="J185" i="55" s="1"/>
  <c r="I578" i="55"/>
  <c r="J578" i="55" s="1"/>
  <c r="I23" i="55"/>
  <c r="J23" i="55" s="1"/>
  <c r="G75" i="55"/>
  <c r="H479" i="55"/>
  <c r="I509" i="55"/>
  <c r="J509" i="55" s="1"/>
  <c r="G159" i="55"/>
  <c r="G583" i="55"/>
  <c r="H538" i="55"/>
  <c r="H47" i="55"/>
  <c r="L48" i="55" s="1"/>
  <c r="H150" i="55"/>
  <c r="H543" i="55"/>
  <c r="G151" i="55"/>
  <c r="H56" i="55"/>
  <c r="H75" i="55"/>
  <c r="I469" i="55"/>
  <c r="J469" i="55" s="1"/>
  <c r="H583" i="55"/>
  <c r="I543" i="55"/>
  <c r="J543" i="55" s="1"/>
  <c r="H177" i="55"/>
  <c r="G105" i="55"/>
  <c r="G114" i="55"/>
  <c r="I457" i="55"/>
  <c r="J457" i="55" s="1"/>
  <c r="H529" i="55"/>
  <c r="I359" i="55"/>
  <c r="J359" i="55" s="1"/>
  <c r="G457" i="55"/>
  <c r="I300" i="55"/>
  <c r="J300" i="55" s="1"/>
  <c r="H151" i="55"/>
  <c r="G316" i="55"/>
  <c r="H452" i="55"/>
  <c r="G504" i="55"/>
  <c r="I177" i="55"/>
  <c r="J177" i="55" s="1"/>
  <c r="G374" i="55"/>
  <c r="I224" i="55"/>
  <c r="J224" i="55" s="1"/>
  <c r="G529" i="55"/>
  <c r="G204" i="55"/>
  <c r="H359" i="55"/>
  <c r="H300" i="55"/>
  <c r="H316" i="55"/>
  <c r="I452" i="55"/>
  <c r="J452" i="55" s="1"/>
  <c r="H504" i="55"/>
  <c r="L505" i="55" s="1"/>
  <c r="H374" i="55"/>
  <c r="L375" i="55" s="1"/>
  <c r="G270" i="55"/>
  <c r="G224" i="55"/>
  <c r="I139" i="55"/>
  <c r="J139" i="55" s="1"/>
  <c r="G509" i="55"/>
  <c r="H183" i="55"/>
  <c r="H159" i="55"/>
  <c r="G185" i="55"/>
  <c r="H478" i="55"/>
  <c r="H298" i="55"/>
  <c r="G542" i="55"/>
  <c r="I502" i="55"/>
  <c r="J502" i="55" s="1"/>
  <c r="G519" i="55"/>
  <c r="G516" i="55"/>
  <c r="I197" i="55"/>
  <c r="J197" i="55" s="1"/>
  <c r="G52" i="55"/>
  <c r="H25" i="55"/>
  <c r="G146" i="55"/>
  <c r="I133" i="55"/>
  <c r="J133" i="55" s="1"/>
  <c r="G45" i="55"/>
  <c r="H270" i="55"/>
  <c r="I114" i="55"/>
  <c r="J114" i="55" s="1"/>
  <c r="H398" i="55"/>
  <c r="G430" i="55"/>
  <c r="I298" i="55"/>
  <c r="J298" i="55" s="1"/>
  <c r="H37" i="55"/>
  <c r="G492" i="55"/>
  <c r="H129" i="55"/>
  <c r="I129" i="55"/>
  <c r="J129" i="55" s="1"/>
  <c r="H519" i="55"/>
  <c r="G208" i="55"/>
  <c r="G397" i="55"/>
  <c r="H516" i="55"/>
  <c r="G446" i="55"/>
  <c r="G197" i="55"/>
  <c r="H52" i="55"/>
  <c r="H146" i="55"/>
  <c r="H45" i="55"/>
  <c r="G274" i="55"/>
  <c r="H430" i="55"/>
  <c r="L431" i="55" s="1"/>
  <c r="I479" i="55"/>
  <c r="J479" i="55" s="1"/>
  <c r="H492" i="55"/>
  <c r="I160" i="55"/>
  <c r="J160" i="55" s="1"/>
  <c r="G131" i="55"/>
  <c r="H253" i="55"/>
  <c r="L254" i="55" s="1"/>
  <c r="G478" i="55"/>
  <c r="I229" i="55"/>
  <c r="J229" i="55" s="1"/>
  <c r="G164" i="55"/>
  <c r="G125" i="55"/>
  <c r="I68" i="55"/>
  <c r="J68" i="55" s="1"/>
  <c r="I597" i="55"/>
  <c r="J597" i="55" s="1"/>
  <c r="I319" i="55"/>
  <c r="J319" i="55" s="1"/>
  <c r="G296" i="55"/>
  <c r="I251" i="55"/>
  <c r="J251" i="55" s="1"/>
  <c r="G502" i="55"/>
  <c r="G113" i="55"/>
  <c r="I295" i="55"/>
  <c r="J295" i="55" s="1"/>
  <c r="G206" i="55"/>
  <c r="H164" i="55"/>
  <c r="I125" i="55"/>
  <c r="J125" i="55" s="1"/>
  <c r="H403" i="55"/>
  <c r="H296" i="55"/>
  <c r="L296" i="55" s="1"/>
  <c r="G442" i="55"/>
  <c r="G251" i="55"/>
  <c r="I166" i="55"/>
  <c r="J166" i="55" s="1"/>
  <c r="H145" i="55"/>
  <c r="I145" i="55"/>
  <c r="J145" i="55" s="1"/>
  <c r="M23" i="71"/>
  <c r="F44" i="71"/>
  <c r="G23" i="71"/>
  <c r="G21" i="71"/>
  <c r="G19" i="71"/>
  <c r="G8" i="71"/>
  <c r="K9" i="71"/>
  <c r="O10" i="71"/>
  <c r="K12" i="71"/>
  <c r="O13" i="71"/>
  <c r="O17" i="71" s="1"/>
  <c r="G15" i="71"/>
  <c r="K16" i="71"/>
  <c r="M19" i="71"/>
  <c r="M21" i="71"/>
  <c r="I15" i="71"/>
  <c r="J24" i="71"/>
  <c r="D40" i="71"/>
  <c r="H41" i="71"/>
  <c r="L42" i="71"/>
  <c r="K8" i="71"/>
  <c r="F40" i="71"/>
  <c r="J41" i="71"/>
  <c r="H24" i="71"/>
  <c r="H44" i="71" s="1"/>
  <c r="E6" i="71"/>
  <c r="E11" i="71" s="1"/>
  <c r="M8" i="71"/>
  <c r="M11" i="71" s="1"/>
  <c r="E10" i="71"/>
  <c r="I14" i="71"/>
  <c r="D24" i="71"/>
  <c r="D44" i="71" s="1"/>
  <c r="G6" i="71"/>
  <c r="K7" i="71"/>
  <c r="O8" i="71"/>
  <c r="O11" i="71" s="1"/>
  <c r="G10" i="71"/>
  <c r="G13" i="71"/>
  <c r="K14" i="71"/>
  <c r="O15" i="71"/>
  <c r="M20" i="71"/>
  <c r="I23" i="71"/>
  <c r="F39" i="71"/>
  <c r="K6" i="71"/>
  <c r="K11" i="71" s="1"/>
  <c r="G12" i="71"/>
  <c r="G22" i="71"/>
  <c r="Q49" i="68"/>
  <c r="T30" i="67"/>
  <c r="T12" i="67"/>
  <c r="T98" i="67"/>
  <c r="T115" i="67"/>
  <c r="T42" i="67"/>
  <c r="S127" i="67"/>
  <c r="T112" i="67"/>
  <c r="T124" i="67"/>
  <c r="O127" i="67"/>
  <c r="P127" i="67"/>
  <c r="T32" i="67"/>
  <c r="T66" i="67"/>
  <c r="T11" i="67"/>
  <c r="T13" i="67"/>
  <c r="Q127" i="67"/>
  <c r="R127" i="67"/>
  <c r="T23" i="67"/>
  <c r="T96" i="67"/>
  <c r="T62" i="67"/>
  <c r="T111" i="67"/>
  <c r="T16" i="67"/>
  <c r="AE55" i="55"/>
  <c r="E11" i="64"/>
  <c r="L10" i="64"/>
  <c r="G12" i="73" s="1"/>
  <c r="L7" i="64"/>
  <c r="G9" i="73" s="1"/>
  <c r="L8" i="64"/>
  <c r="G10" i="73" s="1"/>
  <c r="L9" i="64"/>
  <c r="G11" i="73" s="1"/>
  <c r="O28" i="71" l="1"/>
  <c r="G384" i="55"/>
  <c r="I384" i="55"/>
  <c r="J384" i="55" s="1"/>
  <c r="O32" i="71"/>
  <c r="O31" i="71"/>
  <c r="O29" i="71"/>
  <c r="R37" i="1"/>
  <c r="R36" i="1" s="1"/>
  <c r="R72" i="1"/>
  <c r="R71" i="1" s="1"/>
  <c r="U47" i="1"/>
  <c r="U35" i="1" s="1"/>
  <c r="AD67" i="14"/>
  <c r="AE67" i="14" s="1"/>
  <c r="R181" i="15"/>
  <c r="P18" i="17"/>
  <c r="T143" i="14"/>
  <c r="AD168" i="14"/>
  <c r="AE168" i="14" s="1"/>
  <c r="R69" i="17"/>
  <c r="S116" i="16"/>
  <c r="R123" i="16"/>
  <c r="AD120" i="14"/>
  <c r="AE120" i="14" s="1"/>
  <c r="AF72" i="14"/>
  <c r="AG72" i="14" s="1"/>
  <c r="S196" i="15"/>
  <c r="AB79" i="14"/>
  <c r="AC79" i="14" s="1"/>
  <c r="Q33" i="16"/>
  <c r="AD22" i="14"/>
  <c r="AE22" i="14" s="1"/>
  <c r="R53" i="15"/>
  <c r="AF130" i="14"/>
  <c r="AG130" i="14" s="1"/>
  <c r="S138" i="16"/>
  <c r="E22" i="71"/>
  <c r="E21" i="71"/>
  <c r="E20" i="71"/>
  <c r="AB198" i="14"/>
  <c r="AC198" i="14" s="1"/>
  <c r="Q154" i="17"/>
  <c r="X69" i="14"/>
  <c r="Y69" i="14" s="1"/>
  <c r="O181" i="15"/>
  <c r="Q180" i="15"/>
  <c r="AB132" i="14"/>
  <c r="AC132" i="14" s="1"/>
  <c r="Q154" i="16"/>
  <c r="AF137" i="14"/>
  <c r="AG137" i="14" s="1"/>
  <c r="S168" i="16"/>
  <c r="Z77" i="14"/>
  <c r="AA77" i="14" s="1"/>
  <c r="P33" i="16"/>
  <c r="AB168" i="14"/>
  <c r="AC168" i="14" s="1"/>
  <c r="Q69" i="17"/>
  <c r="AF207" i="14"/>
  <c r="AG207" i="14" s="1"/>
  <c r="S34" i="18"/>
  <c r="R150" i="15"/>
  <c r="AD58" i="14"/>
  <c r="AE58" i="14" s="1"/>
  <c r="T34" i="18"/>
  <c r="AH207" i="14"/>
  <c r="AI207" i="14" s="1"/>
  <c r="AB235" i="14"/>
  <c r="AC235" i="14" s="1"/>
  <c r="Q72" i="18"/>
  <c r="Q34" i="18"/>
  <c r="AB207" i="14"/>
  <c r="AC207" i="14" s="1"/>
  <c r="T90" i="16"/>
  <c r="U137" i="15"/>
  <c r="AJ54" i="14"/>
  <c r="AK54" i="14" s="1"/>
  <c r="P48" i="19"/>
  <c r="U85" i="15"/>
  <c r="AJ39" i="14" s="1"/>
  <c r="AK39" i="14" s="1"/>
  <c r="Q85" i="15"/>
  <c r="AB39" i="14" s="1"/>
  <c r="AC39" i="14" s="1"/>
  <c r="S85" i="15"/>
  <c r="AF39" i="14" s="1"/>
  <c r="AG39" i="14" s="1"/>
  <c r="T85" i="15"/>
  <c r="AH39" i="14" s="1"/>
  <c r="AI39" i="14" s="1"/>
  <c r="X39" i="14"/>
  <c r="R85" i="15"/>
  <c r="AD39" i="14" s="1"/>
  <c r="AE39" i="14" s="1"/>
  <c r="AH92" i="14"/>
  <c r="AI92" i="14" s="1"/>
  <c r="T52" i="16"/>
  <c r="AD272" i="14"/>
  <c r="AE272" i="14" s="1"/>
  <c r="Q48" i="19"/>
  <c r="U34" i="18"/>
  <c r="I20" i="71"/>
  <c r="I456" i="55"/>
  <c r="J456" i="55" s="1"/>
  <c r="AB201" i="14"/>
  <c r="AC201" i="14" s="1"/>
  <c r="Q166" i="17"/>
  <c r="AB137" i="14"/>
  <c r="AC137" i="14" s="1"/>
  <c r="Q168" i="16"/>
  <c r="R46" i="17"/>
  <c r="Q46" i="17"/>
  <c r="O54" i="17"/>
  <c r="U46" i="17"/>
  <c r="T46" i="17"/>
  <c r="S46" i="17"/>
  <c r="X160" i="14"/>
  <c r="Z200" i="14"/>
  <c r="AA200" i="14" s="1"/>
  <c r="P154" i="17"/>
  <c r="U166" i="17"/>
  <c r="AJ205" i="14"/>
  <c r="AK205" i="14" s="1"/>
  <c r="AH168" i="14"/>
  <c r="AI168" i="14" s="1"/>
  <c r="T69" i="17"/>
  <c r="AH79" i="14"/>
  <c r="AI79" i="14" s="1"/>
  <c r="T33" i="16"/>
  <c r="AH22" i="14"/>
  <c r="AI22" i="14" s="1"/>
  <c r="T53" i="15"/>
  <c r="AH55" i="14"/>
  <c r="AI55" i="14" s="1"/>
  <c r="T137" i="15"/>
  <c r="O162" i="18"/>
  <c r="S266" i="14"/>
  <c r="AJ272" i="14"/>
  <c r="AK272" i="14" s="1"/>
  <c r="T48" i="19"/>
  <c r="T138" i="16"/>
  <c r="AH130" i="14"/>
  <c r="AI130" i="14" s="1"/>
  <c r="AD115" i="14"/>
  <c r="AE115" i="14" s="1"/>
  <c r="R90" i="16"/>
  <c r="Z261" i="14"/>
  <c r="AA261" i="14" s="1"/>
  <c r="P153" i="18"/>
  <c r="AH141" i="14"/>
  <c r="AI141" i="14" s="1"/>
  <c r="T168" i="16"/>
  <c r="AF235" i="14"/>
  <c r="AG235" i="14" s="1"/>
  <c r="S72" i="18"/>
  <c r="AD173" i="14"/>
  <c r="AE173" i="14" s="1"/>
  <c r="AD235" i="14"/>
  <c r="AE235" i="14" s="1"/>
  <c r="R72" i="18"/>
  <c r="T135" i="18"/>
  <c r="AH251" i="14"/>
  <c r="AI251" i="14" s="1"/>
  <c r="U128" i="18"/>
  <c r="S87" i="18"/>
  <c r="AB75" i="14"/>
  <c r="AC75" i="14" s="1"/>
  <c r="Q196" i="15"/>
  <c r="AH223" i="14"/>
  <c r="AI223" i="14" s="1"/>
  <c r="T53" i="18"/>
  <c r="U52" i="16"/>
  <c r="AJ92" i="14"/>
  <c r="AK92" i="14" s="1"/>
  <c r="R135" i="18"/>
  <c r="S137" i="15"/>
  <c r="S53" i="18"/>
  <c r="I17" i="71"/>
  <c r="M24" i="71"/>
  <c r="E19" i="71"/>
  <c r="S30" i="14"/>
  <c r="H105" i="55" s="1"/>
  <c r="O65" i="15"/>
  <c r="Z192" i="14"/>
  <c r="AA192" i="14" s="1"/>
  <c r="P138" i="17"/>
  <c r="AD201" i="14"/>
  <c r="AE201" i="14" s="1"/>
  <c r="R166" i="17"/>
  <c r="Q161" i="15"/>
  <c r="T161" i="15"/>
  <c r="R161" i="15"/>
  <c r="U161" i="15"/>
  <c r="X61" i="14"/>
  <c r="O165" i="15"/>
  <c r="S161" i="15"/>
  <c r="AD142" i="14"/>
  <c r="AE142" i="14" s="1"/>
  <c r="R168" i="16"/>
  <c r="AD239" i="14"/>
  <c r="AE239" i="14" s="1"/>
  <c r="R87" i="18"/>
  <c r="AB55" i="14"/>
  <c r="AC55" i="14" s="1"/>
  <c r="Q137" i="15"/>
  <c r="S33" i="15"/>
  <c r="AF7" i="14"/>
  <c r="AG7" i="14" s="1"/>
  <c r="AH75" i="14"/>
  <c r="AI75" i="14" s="1"/>
  <c r="T196" i="15"/>
  <c r="AJ223" i="14"/>
  <c r="AK223" i="14" s="1"/>
  <c r="U53" i="18"/>
  <c r="S90" i="16"/>
  <c r="AB92" i="14"/>
  <c r="AC92" i="14" s="1"/>
  <c r="Q52" i="16"/>
  <c r="X38" i="14"/>
  <c r="Q84" i="15"/>
  <c r="R84" i="15"/>
  <c r="S84" i="15"/>
  <c r="O92" i="15"/>
  <c r="U84" i="15"/>
  <c r="T84" i="15"/>
  <c r="P166" i="18"/>
  <c r="Z266" i="14"/>
  <c r="AA266" i="14" s="1"/>
  <c r="P18" i="15"/>
  <c r="T7" i="14"/>
  <c r="AF201" i="14"/>
  <c r="AG201" i="14" s="1"/>
  <c r="S166" i="17"/>
  <c r="Q64" i="16"/>
  <c r="S64" i="16"/>
  <c r="R64" i="16"/>
  <c r="X101" i="14"/>
  <c r="U64" i="16"/>
  <c r="T64" i="16"/>
  <c r="O71" i="16"/>
  <c r="AD50" i="14"/>
  <c r="AE50" i="14" s="1"/>
  <c r="R121" i="15"/>
  <c r="Q87" i="18"/>
  <c r="AB239" i="14"/>
  <c r="AC239" i="14" s="1"/>
  <c r="AB58" i="14"/>
  <c r="AC58" i="14" s="1"/>
  <c r="Q150" i="15"/>
  <c r="AB7" i="14"/>
  <c r="AC7" i="14" s="1"/>
  <c r="Q138" i="17"/>
  <c r="AB193" i="14"/>
  <c r="AC193" i="14" s="1"/>
  <c r="AB174" i="14"/>
  <c r="AC174" i="14" s="1"/>
  <c r="Q88" i="17"/>
  <c r="AD223" i="14"/>
  <c r="AE223" i="14" s="1"/>
  <c r="R53" i="18"/>
  <c r="AD92" i="14"/>
  <c r="AE92" i="14" s="1"/>
  <c r="R52" i="16"/>
  <c r="P65" i="17"/>
  <c r="T168" i="14"/>
  <c r="Z100" i="14"/>
  <c r="AA100" i="14" s="1"/>
  <c r="P71" i="16"/>
  <c r="AB50" i="14"/>
  <c r="AC50" i="14" s="1"/>
  <c r="Q121" i="15"/>
  <c r="AH240" i="14"/>
  <c r="AI240" i="14" s="1"/>
  <c r="T87" i="18"/>
  <c r="AF22" i="14"/>
  <c r="AG22" i="14" s="1"/>
  <c r="S53" i="15"/>
  <c r="AH7" i="14"/>
  <c r="AI7" i="14" s="1"/>
  <c r="T33" i="15"/>
  <c r="Q53" i="15"/>
  <c r="Z73" i="14"/>
  <c r="AA73" i="14" s="1"/>
  <c r="P196" i="15"/>
  <c r="Q138" i="16"/>
  <c r="AB130" i="14"/>
  <c r="AC130" i="14" s="1"/>
  <c r="S85" i="17"/>
  <c r="U85" i="17"/>
  <c r="AJ177" i="14" s="1"/>
  <c r="AK177" i="14" s="1"/>
  <c r="X177" i="14"/>
  <c r="T85" i="17"/>
  <c r="Q85" i="17"/>
  <c r="AB177" i="14" s="1"/>
  <c r="AC177" i="14" s="1"/>
  <c r="R85" i="17"/>
  <c r="AD177" i="14" s="1"/>
  <c r="AE177" i="14" s="1"/>
  <c r="AF67" i="14"/>
  <c r="AG67" i="14" s="1"/>
  <c r="S181" i="15"/>
  <c r="AB252" i="14"/>
  <c r="AC252" i="14" s="1"/>
  <c r="Q135" i="18"/>
  <c r="S143" i="14"/>
  <c r="H413" i="55" s="1"/>
  <c r="O18" i="17"/>
  <c r="AF168" i="14"/>
  <c r="AG168" i="14" s="1"/>
  <c r="S69" i="17"/>
  <c r="O169" i="16"/>
  <c r="Q23" i="15"/>
  <c r="AB12" i="14" s="1"/>
  <c r="AC12" i="14" s="1"/>
  <c r="R23" i="15"/>
  <c r="T23" i="15"/>
  <c r="AH12" i="14" s="1"/>
  <c r="AI12" i="14" s="1"/>
  <c r="S23" i="15"/>
  <c r="AF12" i="14" s="1"/>
  <c r="AG12" i="14" s="1"/>
  <c r="X12" i="14"/>
  <c r="U23" i="15"/>
  <c r="AJ12" i="14" s="1"/>
  <c r="AK12" i="14" s="1"/>
  <c r="AF96" i="14"/>
  <c r="AG96" i="14" s="1"/>
  <c r="S52" i="16"/>
  <c r="AD207" i="14"/>
  <c r="AE207" i="14" s="1"/>
  <c r="R34" i="18"/>
  <c r="AD55" i="14"/>
  <c r="AE55" i="14" s="1"/>
  <c r="R137" i="15"/>
  <c r="P72" i="18"/>
  <c r="P167" i="18" s="1"/>
  <c r="Z235" i="14"/>
  <c r="AA235" i="14" s="1"/>
  <c r="U53" i="15"/>
  <c r="R154" i="17"/>
  <c r="R48" i="19"/>
  <c r="U33" i="15"/>
  <c r="M33" i="71"/>
  <c r="G144" i="55"/>
  <c r="L170" i="55"/>
  <c r="H140" i="55"/>
  <c r="L495" i="55"/>
  <c r="I144" i="55"/>
  <c r="J144" i="55" s="1"/>
  <c r="I34" i="55"/>
  <c r="J34" i="55" s="1"/>
  <c r="G34" i="55"/>
  <c r="H34" i="55"/>
  <c r="K33" i="71"/>
  <c r="I33" i="71"/>
  <c r="G33" i="71"/>
  <c r="E33" i="71"/>
  <c r="G13" i="73"/>
  <c r="L432" i="55"/>
  <c r="L302" i="55"/>
  <c r="L301" i="55"/>
  <c r="L41" i="55"/>
  <c r="L38" i="55"/>
  <c r="L26" i="55"/>
  <c r="L27" i="55"/>
  <c r="G11" i="71"/>
  <c r="I19" i="71"/>
  <c r="E23" i="71"/>
  <c r="N23" i="71" s="1"/>
  <c r="G24" i="71"/>
  <c r="J44" i="71"/>
  <c r="K22" i="71"/>
  <c r="K20" i="71"/>
  <c r="N20" i="71" s="1"/>
  <c r="K23" i="71"/>
  <c r="I22" i="71"/>
  <c r="K21" i="71"/>
  <c r="K19" i="71"/>
  <c r="G17" i="71"/>
  <c r="K17" i="71"/>
  <c r="I21" i="71"/>
  <c r="N21" i="71" s="1"/>
  <c r="T127" i="67"/>
  <c r="L11" i="64"/>
  <c r="O33" i="71" l="1"/>
  <c r="R169" i="16"/>
  <c r="S72" i="1"/>
  <c r="S71" i="1" s="1"/>
  <c r="S37" i="1"/>
  <c r="S36" i="1" s="1"/>
  <c r="Y101" i="14"/>
  <c r="I250" i="55"/>
  <c r="J250" i="55" s="1"/>
  <c r="AD101" i="14"/>
  <c r="AE101" i="14" s="1"/>
  <c r="R71" i="16"/>
  <c r="Y39" i="14"/>
  <c r="I45" i="55"/>
  <c r="J45" i="55" s="1"/>
  <c r="AF101" i="14"/>
  <c r="AG101" i="14" s="1"/>
  <c r="S71" i="16"/>
  <c r="S169" i="16" s="1"/>
  <c r="AH38" i="14"/>
  <c r="AI38" i="14" s="1"/>
  <c r="T92" i="15"/>
  <c r="Y61" i="14"/>
  <c r="I136" i="55"/>
  <c r="J136" i="55" s="1"/>
  <c r="U135" i="18"/>
  <c r="AJ251" i="14"/>
  <c r="AK251" i="14" s="1"/>
  <c r="AB160" i="14"/>
  <c r="AC160" i="14" s="1"/>
  <c r="Q54" i="17"/>
  <c r="AF177" i="14"/>
  <c r="AG177" i="14" s="1"/>
  <c r="S88" i="17"/>
  <c r="K24" i="71"/>
  <c r="Y12" i="14"/>
  <c r="I17" i="55"/>
  <c r="J17" i="55" s="1"/>
  <c r="R18" i="17"/>
  <c r="O35" i="17"/>
  <c r="O167" i="17" s="1"/>
  <c r="Q18" i="17"/>
  <c r="S18" i="17"/>
  <c r="X143" i="14"/>
  <c r="U18" i="17"/>
  <c r="T18" i="17"/>
  <c r="Z168" i="14"/>
  <c r="AA168" i="14" s="1"/>
  <c r="P69" i="17"/>
  <c r="AB101" i="14"/>
  <c r="AC101" i="14" s="1"/>
  <c r="Q71" i="16"/>
  <c r="Q169" i="16" s="1"/>
  <c r="U92" i="15"/>
  <c r="AJ38" i="14"/>
  <c r="AK38" i="14" s="1"/>
  <c r="AJ61" i="14"/>
  <c r="AK61" i="14" s="1"/>
  <c r="U165" i="15"/>
  <c r="O73" i="15"/>
  <c r="O197" i="15" s="1"/>
  <c r="N49" i="19" s="1"/>
  <c r="X30" i="14"/>
  <c r="R65" i="15"/>
  <c r="T65" i="15"/>
  <c r="Q65" i="15"/>
  <c r="S65" i="15"/>
  <c r="U65" i="15"/>
  <c r="AD160" i="14"/>
  <c r="AE160" i="14" s="1"/>
  <c r="R54" i="17"/>
  <c r="AB69" i="14"/>
  <c r="AC69" i="14" s="1"/>
  <c r="Q181" i="15"/>
  <c r="Z143" i="14"/>
  <c r="AA143" i="14" s="1"/>
  <c r="P35" i="17"/>
  <c r="AD61" i="14"/>
  <c r="AE61" i="14" s="1"/>
  <c r="R165" i="15"/>
  <c r="N22" i="71"/>
  <c r="N42" i="71" s="1"/>
  <c r="AH177" i="14"/>
  <c r="AI177" i="14" s="1"/>
  <c r="T88" i="17"/>
  <c r="Q33" i="15"/>
  <c r="AF38" i="14"/>
  <c r="AG38" i="14" s="1"/>
  <c r="S92" i="15"/>
  <c r="AH61" i="14"/>
  <c r="AI61" i="14" s="1"/>
  <c r="T165" i="15"/>
  <c r="Y160" i="14"/>
  <c r="I458" i="55"/>
  <c r="J458" i="55" s="1"/>
  <c r="U88" i="17"/>
  <c r="AD12" i="14"/>
  <c r="AE12" i="14" s="1"/>
  <c r="R33" i="15"/>
  <c r="Y177" i="14"/>
  <c r="I513" i="55"/>
  <c r="J513" i="55" s="1"/>
  <c r="T71" i="16"/>
  <c r="AH101" i="14"/>
  <c r="AI101" i="14" s="1"/>
  <c r="R92" i="15"/>
  <c r="AD38" i="14"/>
  <c r="AE38" i="14" s="1"/>
  <c r="AB61" i="14"/>
  <c r="AC61" i="14" s="1"/>
  <c r="Q165" i="15"/>
  <c r="X266" i="14"/>
  <c r="Y266" i="14" s="1"/>
  <c r="S162" i="18"/>
  <c r="T162" i="18"/>
  <c r="Q162" i="18"/>
  <c r="O166" i="18"/>
  <c r="O167" i="18" s="1"/>
  <c r="N55" i="19" s="1"/>
  <c r="U162" i="18"/>
  <c r="R162" i="18"/>
  <c r="S54" i="17"/>
  <c r="AF160" i="14"/>
  <c r="AG160" i="14" s="1"/>
  <c r="P169" i="16"/>
  <c r="N54" i="19" s="1"/>
  <c r="Y38" i="14"/>
  <c r="I37" i="55"/>
  <c r="J37" i="55" s="1"/>
  <c r="S165" i="15"/>
  <c r="AF61" i="14"/>
  <c r="AG61" i="14" s="1"/>
  <c r="U54" i="17"/>
  <c r="AJ160" i="14"/>
  <c r="AK160" i="14" s="1"/>
  <c r="E24" i="71"/>
  <c r="AJ101" i="14"/>
  <c r="AK101" i="14" s="1"/>
  <c r="U71" i="16"/>
  <c r="Z7" i="14"/>
  <c r="AA7" i="14" s="1"/>
  <c r="P33" i="15"/>
  <c r="P197" i="15" s="1"/>
  <c r="AB38" i="14"/>
  <c r="AC38" i="14" s="1"/>
  <c r="Q92" i="15"/>
  <c r="R88" i="17"/>
  <c r="AH160" i="14"/>
  <c r="AI160" i="14" s="1"/>
  <c r="T54" i="17"/>
  <c r="T116" i="16"/>
  <c r="AF120" i="14"/>
  <c r="AG120" i="14" s="1"/>
  <c r="S123" i="16"/>
  <c r="V47" i="1"/>
  <c r="V35" i="1" s="1"/>
  <c r="L607" i="55"/>
  <c r="AE56" i="55" s="1"/>
  <c r="AE57" i="55" s="1"/>
  <c r="AE58" i="55" s="1"/>
  <c r="AE59" i="55" s="1"/>
  <c r="L608" i="55" s="1"/>
  <c r="N41" i="71"/>
  <c r="N19" i="71"/>
  <c r="N43" i="71"/>
  <c r="I24" i="71"/>
  <c r="N40" i="71"/>
  <c r="T72" i="1" l="1"/>
  <c r="T71" i="1" s="1"/>
  <c r="W47" i="1"/>
  <c r="W35" i="1" s="1"/>
  <c r="AF266" i="14"/>
  <c r="AG266" i="14" s="1"/>
  <c r="S166" i="18"/>
  <c r="S167" i="18" s="1"/>
  <c r="Y30" i="14"/>
  <c r="Y313" i="14" s="1"/>
  <c r="I105" i="55"/>
  <c r="AH143" i="14"/>
  <c r="AI143" i="14" s="1"/>
  <c r="T35" i="17"/>
  <c r="T167" i="17" s="1"/>
  <c r="X313" i="14"/>
  <c r="AH266" i="14"/>
  <c r="AI266" i="14" s="1"/>
  <c r="T166" i="18"/>
  <c r="T167" i="18" s="1"/>
  <c r="N58" i="19"/>
  <c r="AD266" i="14"/>
  <c r="AE266" i="14" s="1"/>
  <c r="R166" i="18"/>
  <c r="R167" i="18" s="1"/>
  <c r="U73" i="15"/>
  <c r="U197" i="15" s="1"/>
  <c r="AJ30" i="14"/>
  <c r="AK30" i="14" s="1"/>
  <c r="AJ143" i="14"/>
  <c r="AK143" i="14" s="1"/>
  <c r="U35" i="17"/>
  <c r="U167" i="17" s="1"/>
  <c r="T37" i="1"/>
  <c r="T36" i="1" s="1"/>
  <c r="R35" i="17"/>
  <c r="R167" i="17" s="1"/>
  <c r="AD143" i="14"/>
  <c r="AE143" i="14" s="1"/>
  <c r="AJ266" i="14"/>
  <c r="AK266" i="14" s="1"/>
  <c r="U166" i="18"/>
  <c r="U167" i="18" s="1"/>
  <c r="P167" i="17"/>
  <c r="AF30" i="14"/>
  <c r="AG30" i="14" s="1"/>
  <c r="S73" i="15"/>
  <c r="S197" i="15" s="1"/>
  <c r="R49" i="19" s="1"/>
  <c r="Y143" i="14"/>
  <c r="I413" i="55"/>
  <c r="J413" i="55" s="1"/>
  <c r="N53" i="19"/>
  <c r="O49" i="19"/>
  <c r="AB30" i="14"/>
  <c r="AC30" i="14" s="1"/>
  <c r="Q73" i="15"/>
  <c r="AF143" i="14"/>
  <c r="AG143" i="14" s="1"/>
  <c r="S35" i="17"/>
  <c r="S167" i="17" s="1"/>
  <c r="U116" i="16"/>
  <c r="T123" i="16"/>
  <c r="T169" i="16" s="1"/>
  <c r="AH120" i="14"/>
  <c r="AI120" i="14" s="1"/>
  <c r="AB266" i="14"/>
  <c r="AC266" i="14" s="1"/>
  <c r="Q166" i="18"/>
  <c r="Q167" i="18" s="1"/>
  <c r="Q197" i="15"/>
  <c r="AH30" i="14"/>
  <c r="AI30" i="14" s="1"/>
  <c r="T73" i="15"/>
  <c r="T197" i="15" s="1"/>
  <c r="AB143" i="14"/>
  <c r="AC143" i="14" s="1"/>
  <c r="Q35" i="17"/>
  <c r="Q167" i="17" s="1"/>
  <c r="AD30" i="14"/>
  <c r="AE30" i="14" s="1"/>
  <c r="R73" i="15"/>
  <c r="R197" i="15" s="1"/>
  <c r="Q49" i="19" s="1"/>
  <c r="N56" i="19"/>
  <c r="N24" i="71"/>
  <c r="O19" i="71" s="1"/>
  <c r="N39" i="71"/>
  <c r="L610" i="55"/>
  <c r="U37" i="1" l="1"/>
  <c r="U36" i="1" s="1"/>
  <c r="AJ120" i="14"/>
  <c r="AK120" i="14" s="1"/>
  <c r="U123" i="16"/>
  <c r="U169" i="16" s="1"/>
  <c r="T49" i="19" s="1"/>
  <c r="J105" i="55"/>
  <c r="J607" i="55" s="1"/>
  <c r="I607" i="55"/>
  <c r="L609" i="55" s="1"/>
  <c r="X47" i="1"/>
  <c r="X35" i="1" s="1"/>
  <c r="P49" i="19"/>
  <c r="U72" i="1"/>
  <c r="U71" i="1" s="1"/>
  <c r="S49" i="19"/>
  <c r="N57" i="19"/>
  <c r="N44" i="71"/>
  <c r="O21" i="71"/>
  <c r="O22" i="71"/>
  <c r="O20" i="71"/>
  <c r="O23" i="71"/>
  <c r="Y47" i="1" l="1"/>
  <c r="Y35" i="1" s="1"/>
  <c r="V37" i="1"/>
  <c r="V36" i="1" s="1"/>
  <c r="V72" i="1"/>
  <c r="V71" i="1" s="1"/>
  <c r="O24" i="71"/>
  <c r="J608" i="55"/>
  <c r="W37" i="1" l="1"/>
  <c r="W36" i="1" s="1"/>
  <c r="Z47" i="1"/>
  <c r="Z35" i="1" s="1"/>
  <c r="W72" i="1"/>
  <c r="W71" i="1" s="1"/>
  <c r="X72" i="1" l="1"/>
  <c r="X71" i="1" s="1"/>
  <c r="X37" i="1"/>
  <c r="X36" i="1" s="1"/>
  <c r="Y37" i="1" l="1"/>
  <c r="Y36" i="1" s="1"/>
  <c r="Y72" i="1"/>
  <c r="Y71" i="1" s="1"/>
  <c r="Z37" i="1" l="1"/>
  <c r="Z36" i="1" s="1"/>
  <c r="Z72" i="1"/>
  <c r="Z71" i="1" s="1"/>
  <c r="T52" i="1"/>
  <c r="P52" i="1"/>
  <c r="U52" i="1"/>
  <c r="S55" i="1"/>
  <c r="Q52" i="1"/>
  <c r="Y52" i="1"/>
  <c r="Z16" i="1"/>
  <c r="W55" i="1"/>
  <c r="X55" i="1"/>
  <c r="V52" i="1"/>
  <c r="Z65" i="1"/>
  <c r="X52" i="1"/>
  <c r="Y55" i="1"/>
  <c r="U55" i="1"/>
  <c r="Z31" i="1"/>
  <c r="Y63" i="1"/>
  <c r="Z63" i="1"/>
  <c r="V55" i="1"/>
  <c r="R52" i="1"/>
  <c r="T55" i="1"/>
  <c r="R55" i="1"/>
  <c r="Z54" i="1"/>
  <c r="R54" i="1"/>
  <c r="S54" i="1"/>
  <c r="T54" i="1"/>
  <c r="U54" i="1"/>
  <c r="V54" i="1"/>
  <c r="W54" i="1"/>
  <c r="X54" i="1"/>
  <c r="Y54" i="1"/>
  <c r="Z55" i="1"/>
  <c r="S52" i="1"/>
  <c r="W52" i="1"/>
  <c r="Z52" i="1"/>
  <c r="O52" i="1"/>
  <c r="O51" i="1"/>
  <c r="P51" i="1"/>
  <c r="Q51" i="1"/>
  <c r="R51" i="1"/>
  <c r="S51" i="1"/>
  <c r="T51" i="1"/>
  <c r="U51" i="1"/>
  <c r="V51" i="1"/>
  <c r="W51" i="1"/>
  <c r="X51" i="1"/>
  <c r="Y51" i="1"/>
  <c r="Z51" i="1"/>
  <c r="V31" i="1"/>
  <c r="W31" i="1"/>
  <c r="X31" i="1"/>
  <c r="Y31" i="1"/>
  <c r="Q55" i="1"/>
  <c r="P55" i="1"/>
  <c r="P54" i="1"/>
  <c r="Q54" i="1"/>
  <c r="W14" i="1"/>
  <c r="X14" i="1"/>
  <c r="Y14" i="1"/>
  <c r="Z14" i="1"/>
  <c r="O65" i="1"/>
  <c r="P65" i="1"/>
  <c r="Q65" i="1"/>
  <c r="R65" i="1"/>
  <c r="S65" i="1"/>
  <c r="T65" i="1"/>
  <c r="U65" i="1"/>
  <c r="V65" i="1"/>
  <c r="W65" i="1"/>
  <c r="X65" i="1"/>
  <c r="Y65" i="1"/>
  <c r="Q14" i="1"/>
  <c r="R14" i="1"/>
  <c r="S14" i="1"/>
  <c r="T14" i="1"/>
  <c r="U14" i="1"/>
  <c r="V14" i="1"/>
  <c r="V63" i="1"/>
  <c r="W63" i="1"/>
  <c r="X63" i="1"/>
  <c r="O14" i="1"/>
  <c r="P14" i="1"/>
  <c r="Q31" i="1"/>
  <c r="R31" i="1"/>
  <c r="S31" i="1"/>
  <c r="T31" i="1"/>
  <c r="U31" i="1"/>
  <c r="O16" i="1"/>
  <c r="P16" i="1"/>
  <c r="Q16" i="1"/>
  <c r="R16" i="1"/>
  <c r="S16" i="1"/>
  <c r="T16" i="1"/>
  <c r="U16" i="1"/>
  <c r="V16" i="1"/>
  <c r="W16" i="1"/>
  <c r="X16" i="1"/>
  <c r="Y16" i="1"/>
  <c r="O63" i="1"/>
  <c r="P63" i="1"/>
  <c r="Q63" i="1"/>
  <c r="R63" i="1"/>
  <c r="S63" i="1"/>
  <c r="T63" i="1"/>
  <c r="U63" i="1"/>
</calcChain>
</file>

<file path=xl/comments1.xml><?xml version="1.0" encoding="utf-8"?>
<comments xmlns="http://schemas.openxmlformats.org/spreadsheetml/2006/main">
  <authors>
    <author>tc={F2C6F22B-BF9F-4A6B-A0ED-CC5B4A5EE12A}</author>
  </authors>
  <commentList>
    <comment ref="L47" authorId="0" shapeId="0">
      <text>
        <r>
          <rPr>
            <sz val="12"/>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René, Consuelito tomen en cuenta que poder aplicar el procedimiento implica hacer estudios de suelos al inicio. René checa la RM de estudios de suelos y confirma el nivel apropiado para este tipo de procedimiento. En base a eso estima un costo x ha. </t>
        </r>
      </text>
    </comment>
  </commentList>
</comments>
</file>

<file path=xl/comments2.xml><?xml version="1.0" encoding="utf-8"?>
<comments xmlns="http://schemas.openxmlformats.org/spreadsheetml/2006/main">
  <authors>
    <author/>
  </authors>
  <commentList>
    <comment ref="L33" authorId="0" shapeId="0">
      <text>
        <r>
          <rPr>
            <sz val="12"/>
            <color theme="1"/>
            <rFont val="Arial"/>
            <family val="2"/>
          </rPr>
          <t>======
ID#AAAAJhI0vjw
Lesly Vera    (2020-05-06 20:51:25)
Costo estimado (por validar) con base en la recientemente publicada norma RSPO para pequeño productor independiente</t>
        </r>
      </text>
    </comment>
    <comment ref="G70" authorId="0" shapeId="0">
      <text>
        <r>
          <rPr>
            <sz val="12"/>
            <color theme="1"/>
            <rFont val="Arial"/>
            <family val="2"/>
          </rPr>
          <t>======
ID#AAAAJhI0vjg
Consuelito    (2020-05-06 20:51:25)
Esta intervención corresponde a TECNOLOGIA</t>
        </r>
      </text>
    </comment>
  </commentList>
  <extLst>
    <ext xmlns:r="http://schemas.openxmlformats.org/officeDocument/2006/relationships" uri="GoogleSheetsCustomDataVersion1">
      <go:sheetsCustomData xmlns:go="http://customooxmlschemas.google.com/" r:id="rId1" roundtripDataSignature="AMtx7miKJ2iCnfN3Lk4jDtssJV1jQFfLEA=="/>
    </ext>
  </extLst>
</comments>
</file>

<file path=xl/comments3.xml><?xml version="1.0" encoding="utf-8"?>
<comments xmlns="http://schemas.openxmlformats.org/spreadsheetml/2006/main">
  <authors>
    <author/>
  </authors>
  <commentList>
    <comment ref="L68" authorId="0" shapeId="0">
      <text>
        <r>
          <rPr>
            <sz val="12"/>
            <color theme="1"/>
            <rFont val="Arial"/>
            <family val="2"/>
          </rPr>
          <t>======
ID#AAAAJhI0vjc
Lesly Vera    (2020-05-06 20:51:25)
Precio referente: 90,000 USD por área jurisdiccional (referencia: 160,000 a 260,000 has)</t>
        </r>
      </text>
    </comment>
  </commentList>
  <extLst>
    <ext xmlns:r="http://schemas.openxmlformats.org/officeDocument/2006/relationships" uri="GoogleSheetsCustomDataVersion1">
      <go:sheetsCustomData xmlns:go="http://customooxmlschemas.google.com/" r:id="rId1" roundtripDataSignature="AMtx7midCcdBpo5G7sTqhtuwdHJcQMhU4w=="/>
    </ext>
  </extLst>
</comments>
</file>

<file path=xl/comments4.xml><?xml version="1.0" encoding="utf-8"?>
<comments xmlns="http://schemas.openxmlformats.org/spreadsheetml/2006/main">
  <authors>
    <author>tc={BBCDA78C-9BCC-406A-91FB-06E3B52108FD}</author>
    <author>tc={F1D0BDC3-001B-4F9B-B4CE-5B0931CAF28A}</author>
  </authors>
  <commentList>
    <comment ref="D204" authorId="0" shapeId="0">
      <text>
        <r>
          <rPr>
            <sz val="12"/>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Considerar el comentario de Patty en la celda C65: René mejorar la redacción de la intervención y la descripción de la intervención </t>
        </r>
      </text>
    </comment>
    <comment ref="D325" authorId="1" shapeId="0">
      <text>
        <r>
          <rPr>
            <sz val="12"/>
            <color theme="1"/>
            <rFont val="Arial"/>
            <family val="2"/>
          </rPr>
          <t xml:space="preserve">[Threaded comment]
Your version of Excel allows you to read this threaded comment; however, any edits to it will get removed if the file is opened in a newer version of Excel. Learn more: https://go.microsoft.com/fwlink/?linkid=870924
Comment:
    Considerar el comentario de Patty en la celda C65: René mejorar la redacción de la intervención y la descripción de la intervención 
</t>
        </r>
      </text>
    </comment>
  </commentList>
</comments>
</file>

<file path=xl/sharedStrings.xml><?xml version="1.0" encoding="utf-8"?>
<sst xmlns="http://schemas.openxmlformats.org/spreadsheetml/2006/main" count="15653" uniqueCount="2756">
  <si>
    <t>METAS DE POLÍTICA PÚBLICA DE DESARRLLO  RURAL BAJO EN EMISIONES PARA SAN MARTÍN</t>
  </si>
  <si>
    <t>VISIÓN REGIONAL (ERDRBE 2030)</t>
  </si>
  <si>
    <t>EJE ESTRATÉGICO
(VISIÓN PAÍS 2050)</t>
  </si>
  <si>
    <t>OBJETIVOS DE POLÍTICA
(ERDRBE)</t>
  </si>
  <si>
    <t>RESULTADOS ESPERADOS</t>
  </si>
  <si>
    <t>INDICADORES
(ERDRBE)</t>
  </si>
  <si>
    <t>TIPO DE INDICADOR</t>
  </si>
  <si>
    <t>FUENTE DE MONITOREO DEL INDICADOR PROPUESTA</t>
  </si>
  <si>
    <t>U.M.</t>
  </si>
  <si>
    <t>VALORES HISTÓRICOS</t>
  </si>
  <si>
    <t>AÑO BASE</t>
  </si>
  <si>
    <t>META ERDRBE AL 2030</t>
  </si>
  <si>
    <t>“Al 2030, la región San Martín logra un desarrollo sostenible, incrementando sus índices de productividad y competitividad, a través de la producción de bienes y servicios bajo en emisiones, bajo un enfoque de inclusión, género e interculturalidad.”</t>
  </si>
  <si>
    <t>Desarrollo sostenible con empleo digno y en armonía con la naturaleza</t>
  </si>
  <si>
    <t>Promover la producción sostenible de bienes y servicios bajos en emisiones, para el incremento de la competitividad regional</t>
  </si>
  <si>
    <t>Índice de Competitividad Regional</t>
  </si>
  <si>
    <t>Resultado</t>
  </si>
  <si>
    <t>Instituto Peruano de Economía (IPE)</t>
  </si>
  <si>
    <t>Exportaciones tradicionales y no tradicionales a precios FOB (miles de dólares)</t>
  </si>
  <si>
    <t>SUNAT/ ADUANAS</t>
  </si>
  <si>
    <t>millones de dólares</t>
  </si>
  <si>
    <t>Incrementar el PBI agropecuario a 2,387,850 miles de soles</t>
  </si>
  <si>
    <t>PBI Agropecuario en miles de soles</t>
  </si>
  <si>
    <t>Instituto Nacional de Estadística e Informática (INEI)</t>
  </si>
  <si>
    <t>Miles de Soles</t>
  </si>
  <si>
    <t xml:space="preserve">Incrementar el PBI del sector pesca y acuicultura  a 5,281.3 miles de soles. </t>
  </si>
  <si>
    <t>PBI del sector pesca y acuicultura en miles de soles</t>
  </si>
  <si>
    <t>Rendimiento promedio del Café Pergamino (qq/ha)</t>
  </si>
  <si>
    <t>Producto</t>
  </si>
  <si>
    <t xml:space="preserve">Gobierno Regional de San Martín, Ministerio de Agricultura y Riego </t>
  </si>
  <si>
    <t>qq/ha</t>
  </si>
  <si>
    <t>Incrementar el rendimiento promedio regional a 2.5 t  de cacao por hectárea.</t>
  </si>
  <si>
    <t>Rendimiento promedio de Cacao (t/ha)</t>
  </si>
  <si>
    <t>t/ha</t>
  </si>
  <si>
    <t>Rendimiento promedio de Maíz (t/ha)</t>
  </si>
  <si>
    <t>kg/ha</t>
  </si>
  <si>
    <t>Incrementar el rendimiento promedio regional a 10 t de arroz por hectárea.</t>
  </si>
  <si>
    <t>Rendimiento promedio de Arroz (t/ha)</t>
  </si>
  <si>
    <t>Rendimiento promedio de palma (t/ha)</t>
  </si>
  <si>
    <t>Rendimiento promedio de plátano (t/ha)</t>
  </si>
  <si>
    <t>tallos/ha</t>
  </si>
  <si>
    <t>Incrementar el rendimiento promedio regional a 20 t de limón tahití por hectárea.</t>
  </si>
  <si>
    <t>Rendimiento promedio de limón tahití (t/ha)</t>
  </si>
  <si>
    <t>Incrementar el rendimiento promedio regional a 20 litros de leche/vaca/día.</t>
  </si>
  <si>
    <t>Rendimiento promedio de leche (l/vaca/día)</t>
  </si>
  <si>
    <t>l/vaca/día</t>
  </si>
  <si>
    <t>Incrementar el rendimiento promedio regional a 300 kilos de carne por cabeza.</t>
  </si>
  <si>
    <t>Rendimiento promedio  (kg/cabeza)</t>
  </si>
  <si>
    <t>kg/cabeza</t>
  </si>
  <si>
    <t>Millones  de arribos nacionales y extranjeros</t>
  </si>
  <si>
    <t>MINCETUR</t>
  </si>
  <si>
    <t>Arribos</t>
  </si>
  <si>
    <t>Incremento a 10,000,000 S/. de inversiones en Bionegocios</t>
  </si>
  <si>
    <t>Soles invertidos en Bionegocios</t>
  </si>
  <si>
    <t>GRDE</t>
  </si>
  <si>
    <t>Soles</t>
  </si>
  <si>
    <t>Gestión sostenible de la naturaleza y medidas frente al cambio climático</t>
  </si>
  <si>
    <t>Gestionar de manera sostenible los bosques amazónicos adoptando medidas frente al cambio climático</t>
  </si>
  <si>
    <t>Reducir en un 15 % la emisión de GEI en el sector USSCUS</t>
  </si>
  <si>
    <t>% la emisión de GEI en el sector USSCUS</t>
  </si>
  <si>
    <t>Impacto</t>
  </si>
  <si>
    <t>GRSM/MINAM</t>
  </si>
  <si>
    <t>Emisiones GEI
[GgCO2e]/año</t>
  </si>
  <si>
    <t xml:space="preserve">Reducir la Tasa deforestación a menos de 4,800 hectáreas por año </t>
  </si>
  <si>
    <t>Pérdida anual de cobertura de bosques amazónicos</t>
  </si>
  <si>
    <t>MINAM/Geo bosques</t>
  </si>
  <si>
    <t>ha/año</t>
  </si>
  <si>
    <t>Restaurar 299,566 ha. de paisajes forestales.</t>
  </si>
  <si>
    <t>Número de ha. con potencial de restauración</t>
  </si>
  <si>
    <t>GRSM / SERFOR</t>
  </si>
  <si>
    <t xml:space="preserve">
Incrementar a 790,712.42 ha. De  paisajes forestales maderables y no maderables con aprovechamiento sostenible y conservación</t>
  </si>
  <si>
    <t>Superficie de bosques protegidos y conservados (Has).</t>
  </si>
  <si>
    <t>Porcentaje total de bosques categorizados</t>
  </si>
  <si>
    <t>GRSM/GEOBOSQUES</t>
  </si>
  <si>
    <t>%/año</t>
  </si>
  <si>
    <t>621,882 hectáreas de bosques manejados bajo sistemas agroforestales, otorgamiento de títulos habilitantes (CUSAF) y cesiones de uso en bosques residuales.</t>
  </si>
  <si>
    <t>GRSM/ARA</t>
  </si>
  <si>
    <t>hectáreas/año</t>
  </si>
  <si>
    <t>Superficie de bosques manejados, aprovechamiento de productos forestales diferentes a la madera.</t>
  </si>
  <si>
    <t>Incrementar a 24 el número de unidades hidrográficas que implementen alguna modalidad de gestión sostenible</t>
  </si>
  <si>
    <t>Número de unidades hidrográficas que implementen alguna modalidad de gestión sostenible</t>
  </si>
  <si>
    <t>GRSM/SUNASS/ANA/MINAM</t>
  </si>
  <si>
    <t>Unid/año</t>
  </si>
  <si>
    <t>Estado moderno, eficiente, transparente y descentralizado que garantiza una sociedad justa e inclusiva, sin corrupción y sin dejar a nadie atrás</t>
  </si>
  <si>
    <t>Mejorar la calidad y acceso a los servicios públicos de la población, con especial atención en las mujeres, pueblos indígenas y jóvenes, como parte de una sociedad justa, inclusiva y sin corrupción</t>
  </si>
  <si>
    <t>Ubicar a San Martín dentro de las 9 regiones con mayor Indice de Desarrollo Humano Sostenible</t>
  </si>
  <si>
    <t>Indice de Desarrollo Humano Sostenible</t>
  </si>
  <si>
    <t xml:space="preserve">Tasa de desnutrición Crónica en Menores de 5 años  (% de la población con edades 0 - 5años) </t>
  </si>
  <si>
    <t>GRSM/
(ENDES)</t>
  </si>
  <si>
    <t>%</t>
  </si>
  <si>
    <t xml:space="preserve"> Porcentaje de menores de cinco años con anemia</t>
  </si>
  <si>
    <t>Sistema de Información Regional para la Toma de Decisiones-SIRTOD</t>
  </si>
  <si>
    <t>Incrementar a 99% el acceso al servicio de energía eléctrica</t>
  </si>
  <si>
    <t>Porcentaje de viviendas con acceso al servicio de energía eléctrica</t>
  </si>
  <si>
    <t>GRSM/(IPSRP)</t>
  </si>
  <si>
    <t xml:space="preserve"> Porcentaje de estudiantes de 4° grado de primaria que logran comprender los textos escritos</t>
  </si>
  <si>
    <t>Porcentaje de estudiantes de 4° grado de primaria que logran el aprendizaje en pruebas de matemática</t>
  </si>
  <si>
    <t>Incrementar a 40 % la tasa neta de matrículas en educación superior (17 a 24 años)</t>
  </si>
  <si>
    <t>Tasa neta de matrícula de educación superior (17 a 24 años)</t>
  </si>
  <si>
    <t>Incrementar a 50 % el porcentaje de mujeres que alcanzan nivel de educación superior.</t>
  </si>
  <si>
    <t xml:space="preserve"> Porcentaje de mujeres que alcanzan nivel de educación superior</t>
  </si>
  <si>
    <t xml:space="preserve">Reducir al 25% el porcentaje de violencia de género e integrantes del grupo familiar en la Región San Martín. </t>
  </si>
  <si>
    <t>Porcentaje de mujeres que han sufrido violencia ejercida alguna vez por el esposo o compañero, según característica seleccionada.</t>
  </si>
  <si>
    <t>INEI</t>
  </si>
  <si>
    <t>REGIÓN</t>
  </si>
  <si>
    <t xml:space="preserve">Unidad de Desarrollo Territorial </t>
  </si>
  <si>
    <t>Unidad Socioambiental (USA)</t>
  </si>
  <si>
    <t>Intervenciones</t>
  </si>
  <si>
    <t>Provincias</t>
  </si>
  <si>
    <t>Distritos</t>
  </si>
  <si>
    <t>SAN MARTÍN</t>
  </si>
  <si>
    <t>1. UDT ALTO HUALLAGA</t>
  </si>
  <si>
    <t>2. UDT ALTO MAYO</t>
  </si>
  <si>
    <t>3. UDT BAJO HUALLAGA</t>
  </si>
  <si>
    <t>4. UDT HUALLAGA CENTRAL</t>
  </si>
  <si>
    <t>TRANSVERSAL REGIONAL</t>
  </si>
  <si>
    <t>TOTAL</t>
  </si>
  <si>
    <t>2 repiten</t>
  </si>
  <si>
    <t>UDT / USAS</t>
  </si>
  <si>
    <t xml:space="preserve"># Intervención </t>
  </si>
  <si>
    <t>UDT HUALLAGA CENTRAL Y BAJO MAYO</t>
  </si>
  <si>
    <t xml:space="preserve">Concesiones Forestales Maderables </t>
  </si>
  <si>
    <t xml:space="preserve">Concesiones para conservación y ecoturismo </t>
  </si>
  <si>
    <t>Intervenciones Transversales x UDT</t>
  </si>
  <si>
    <t>Parque Nacional Cordillera Azul</t>
  </si>
  <si>
    <t xml:space="preserve">Predios privados dedicados a la producción comercial (arroz) </t>
  </si>
  <si>
    <t>Predios privados para ganadería de leche y carne</t>
  </si>
  <si>
    <t>ZOCRES</t>
  </si>
  <si>
    <t>Parque Nacional del Río Abiseo</t>
  </si>
  <si>
    <t>Predios de agricultura familiar con producción destinada al autoconsumo y productos de exportación, con título o sin título de propiedad.</t>
  </si>
  <si>
    <t>Territorios de comunidades nativas</t>
  </si>
  <si>
    <t>Tierras sin categoría territorial asignada</t>
  </si>
  <si>
    <t>UDT ALTO MAYO</t>
  </si>
  <si>
    <t>Bosque de Protección Alto Mayo</t>
  </si>
  <si>
    <t>UDT BAJO HUALLAGA</t>
  </si>
  <si>
    <t xml:space="preserve">ACR Cordillera Escalera </t>
  </si>
  <si>
    <t>Empresas comercializadoras de palma y sus derivados.</t>
  </si>
  <si>
    <t xml:space="preserve">UDT ALTO HUALLAGA </t>
  </si>
  <si>
    <t>Área de Conservación Regional Bosque Shunte y Mishollo</t>
  </si>
  <si>
    <t>REGIONAL</t>
  </si>
  <si>
    <t>Intervenciones Transversales X Región</t>
  </si>
  <si>
    <t>Total general</t>
  </si>
  <si>
    <t>UDT</t>
  </si>
  <si>
    <t>Cuenta de N° de Referencia para meta</t>
  </si>
  <si>
    <t>Etiquetas de columna</t>
  </si>
  <si>
    <t>NIVEL DE PRIORIZACIÓN</t>
  </si>
  <si>
    <t>MUY RELEVANTE</t>
  </si>
  <si>
    <t>MEDIANAMENTE RELEVANTE</t>
  </si>
  <si>
    <t>X</t>
  </si>
  <si>
    <t>POCO RELEVANTE</t>
  </si>
  <si>
    <t>(Todas)</t>
  </si>
  <si>
    <t>USAS / INTERVENCIONES</t>
  </si>
  <si>
    <t># Intervenciones</t>
  </si>
  <si>
    <t xml:space="preserve"> 2025 S/</t>
  </si>
  <si>
    <t>Asistencia técnica con enfoque bajo en emisiones</t>
  </si>
  <si>
    <t>Asistencia técnica para el desarrollo de la acuicultura</t>
  </si>
  <si>
    <t>Certificación orgánica y  Comercio Justo</t>
  </si>
  <si>
    <t>Certificación RSPO</t>
  </si>
  <si>
    <t>Fertilización de áreas productivas de acuerdo a la etapa fenológica del cultivo</t>
  </si>
  <si>
    <t xml:space="preserve">Fortalecimiento de capacidades en gestión de la calidad en las distintas cadenas de valor </t>
  </si>
  <si>
    <t xml:space="preserve">Incentivos financieros para la acuicultura </t>
  </si>
  <si>
    <t>Instalación de sistemas de fertirriego</t>
  </si>
  <si>
    <t>Manejo, conservación y recuperación de suelos degradados</t>
  </si>
  <si>
    <t>Programa de acceso al financiamiento agropecuario condicionado</t>
  </si>
  <si>
    <t>Promoción de agricultura familiar con enfoque de mercado</t>
  </si>
  <si>
    <t>Promoción de modelos asociativos sostenibles</t>
  </si>
  <si>
    <t xml:space="preserve">Reconversión y diversificación productiva </t>
  </si>
  <si>
    <t xml:space="preserve">Implementación de infraestructura productiva con énfasis a la agro exportación </t>
  </si>
  <si>
    <t>Promoción y acceso a los Mecanismos de Retribución por Servicios Eco sistémicos (MERESE)</t>
  </si>
  <si>
    <t>Promoción y desarrollo de proveedores de semillas mejoradas</t>
  </si>
  <si>
    <t>Otorgamiento de derechos sobre la tierra/bosques</t>
  </si>
  <si>
    <t xml:space="preserve">Asistencia técnica para el manejo agroforestal </t>
  </si>
  <si>
    <t xml:space="preserve">Concluir reconocimiento y titulación </t>
  </si>
  <si>
    <t>Infraestructura comunitaria ( Tambos, Cobertizos, almacenes, cocinas mejoradas, Baños)</t>
  </si>
  <si>
    <t>Fortalecimiento de capacidades</t>
  </si>
  <si>
    <t>Transferencias de Incentivos para protección de bosques</t>
  </si>
  <si>
    <t>Servicios básicos de calidad</t>
  </si>
  <si>
    <t xml:space="preserve">Promoción de Bionegocios con productos forestales no maderables </t>
  </si>
  <si>
    <t>Solución de conflictos en las CCNN</t>
  </si>
  <si>
    <t>Identificación y apertura de mercado para productos del bosque.</t>
  </si>
  <si>
    <t>Transferencias de incentivos por conservación de bosques</t>
  </si>
  <si>
    <t>Fortalecimiento de capacidades de los responsables de la administración de las nuevas categorías de ordenamiento forestal y títulos habilitantes forestales</t>
  </si>
  <si>
    <t>Elaboración del plan/declaración de manejo de las nuevas categorías de ordenamiento forestal y títulos habilitantes forestales</t>
  </si>
  <si>
    <t>Inscripción en el catastro forestal y en registros públicos</t>
  </si>
  <si>
    <t>Creación y establecimiento de unidades de ordenamiento forestal, otorgamiento de títulos habilitantes forestales y tenencia de la tierra</t>
  </si>
  <si>
    <t>Restauración de áreas degradadas</t>
  </si>
  <si>
    <t>UDT  / USA</t>
  </si>
  <si>
    <t>Total S/. Al 2025</t>
  </si>
  <si>
    <t xml:space="preserve">Total S/. Al 2030 </t>
  </si>
  <si>
    <t>Total  2025 S/</t>
  </si>
  <si>
    <t>Total % 2025</t>
  </si>
  <si>
    <t>Etiquetas de fila</t>
  </si>
  <si>
    <t>% 2025</t>
  </si>
  <si>
    <t>Programa de produccion y tecnolgía para el desarrollo sostenible</t>
  </si>
  <si>
    <t>Producción sostenible de bienes y servicios</t>
  </si>
  <si>
    <t xml:space="preserve">Financiamiento </t>
  </si>
  <si>
    <t>Iniciativa productiva sostenible (Proyectos: diversificacion de productos, tecnología)</t>
  </si>
  <si>
    <t>Promoción de mercado</t>
  </si>
  <si>
    <t xml:space="preserve">Fortalecimiento de capacidades socio empresariales en las organizaciones </t>
  </si>
  <si>
    <t>Programa de incentivos públicos promoviendo el bienestrar sostenible de sus habilitantes</t>
  </si>
  <si>
    <t>Desarrollo de las unidades territoriales</t>
  </si>
  <si>
    <t>Desarrollo socio económico de la población rural</t>
  </si>
  <si>
    <t>Titulización y gobernanza</t>
  </si>
  <si>
    <t>Programa  de Gestion sostenible de los bosques amazónicos frente al cambio climatico.</t>
  </si>
  <si>
    <t>Gestión sostenible de los bosques amazónicos  adoptando medidas frente al cambio climático</t>
  </si>
  <si>
    <t xml:space="preserve">Emprendimientos sostenibles </t>
  </si>
  <si>
    <t>INTERVENCIONES IDENTIFICADAS RELACIONADAS AL PLAN DE REACTIVACIÓN SM</t>
  </si>
  <si>
    <t>CP</t>
  </si>
  <si>
    <t>MD</t>
  </si>
  <si>
    <t>LARGO PLAZO</t>
  </si>
  <si>
    <t/>
  </si>
  <si>
    <t xml:space="preserve"> Año 1</t>
  </si>
  <si>
    <t xml:space="preserve"> Año 2</t>
  </si>
  <si>
    <t xml:space="preserve"> Año 3</t>
  </si>
  <si>
    <t xml:space="preserve"> Año 4</t>
  </si>
  <si>
    <t xml:space="preserve"> Año 5</t>
  </si>
  <si>
    <t>Total 2025 S/</t>
  </si>
  <si>
    <t>ALINEADAS A LA REACTIVACIÓN</t>
  </si>
  <si>
    <t>FINANCIAMIENTO</t>
  </si>
  <si>
    <t>TECNOLOGÍA</t>
  </si>
  <si>
    <t>CAPACITACIÓN</t>
  </si>
  <si>
    <t>TRANSVERSALES X UDT</t>
  </si>
  <si>
    <t>RECONVERSIÓN</t>
  </si>
  <si>
    <t>DERECHOS SOBRE LA TIERRA</t>
  </si>
  <si>
    <t>ASISTENCIA TÉCNICA</t>
  </si>
  <si>
    <t>SERVICIOS ECOSISTÉMICOS</t>
  </si>
  <si>
    <t>SERVICIO DE EDUCACIÓN Y SALUD ADECUADOS</t>
  </si>
  <si>
    <t>INFRAESTRUCTURA</t>
  </si>
  <si>
    <t>MERCADO</t>
  </si>
  <si>
    <t>CONTROL Y VIGILANCIA</t>
  </si>
  <si>
    <t>ASOCIATIVIDAD</t>
  </si>
  <si>
    <t>INNOVACIÓN</t>
  </si>
  <si>
    <t>PROMOCIÓN ACTIVIDADES ECONÓMICOS</t>
  </si>
  <si>
    <t>COMPLEMENTARIAS A LA REACTIVACIÓN</t>
  </si>
  <si>
    <t>Suma de 2025 S/</t>
  </si>
  <si>
    <t>USAs / CATERGORIAS</t>
  </si>
  <si>
    <t xml:space="preserve">UDT BAJO HUALLAGA </t>
  </si>
  <si>
    <t>TOTALES</t>
  </si>
  <si>
    <t>Total # Interv</t>
  </si>
  <si>
    <t>Total S/. 2025</t>
  </si>
  <si>
    <t># Interv</t>
  </si>
  <si>
    <t>S/. 2025</t>
  </si>
  <si>
    <t>GOBERNANZA</t>
  </si>
  <si>
    <t>PLANES DE VIDA</t>
  </si>
  <si>
    <t>GESTIÓN PUBLICA</t>
  </si>
  <si>
    <t>Total  S/</t>
  </si>
  <si>
    <t>Total %</t>
  </si>
  <si>
    <t>CATEGORÍAS / INTERVENCIONES</t>
  </si>
  <si>
    <t xml:space="preserve"> S/</t>
  </si>
  <si>
    <t>FALTA JALAR INTERVENCION TRSNVERSAL N° 38</t>
  </si>
  <si>
    <t>Total Suma de 2025 S/</t>
  </si>
  <si>
    <t xml:space="preserve">Total Cuenta de Intervención </t>
  </si>
  <si>
    <t xml:space="preserve">Cuenta de Intervención </t>
  </si>
  <si>
    <t>Posible RE</t>
  </si>
  <si>
    <t>RE</t>
  </si>
  <si>
    <t>INTERVENCIONES</t>
  </si>
  <si>
    <t>Control y vigilancia</t>
  </si>
  <si>
    <t>Ingresos y Capital</t>
  </si>
  <si>
    <t>Invasiones</t>
  </si>
  <si>
    <t>Programas de inversión pública</t>
  </si>
  <si>
    <t>Programas de inversión privada</t>
  </si>
  <si>
    <t>Corrupción</t>
  </si>
  <si>
    <t xml:space="preserve">Invasiones </t>
  </si>
  <si>
    <t>Implementación de infraestructura productiva baja en emisiones</t>
  </si>
  <si>
    <t>Incentivos financieros para promoción del ecoturismo y turismo comunitario</t>
  </si>
  <si>
    <t>Elaboración, aprobación e implementación de procedimiento regional integrado del cambio de uso actual para tierras A y C (Articulo No 38 LFFS Ley No 29763) con procedimientos de otorgamiento de la propiedad agraria (titulación de predios y adjudicaciones)</t>
  </si>
  <si>
    <t xml:space="preserve">Promoción Marca "San Martín Región" y "Aliados por la Conservación" </t>
  </si>
  <si>
    <t xml:space="preserve">Asistencia técnica para el mejoramiento de pastos y ganadería </t>
  </si>
  <si>
    <t>Fortalecer el control y vigilancia</t>
  </si>
  <si>
    <t>Restauración ecológica del paisaje</t>
  </si>
  <si>
    <t>Sensibilización para el fortalecimiento del control y vigilancia en zona de amortiguamiento</t>
  </si>
  <si>
    <t>Asistencia técnica para la gestión del turismo y acciones integradas para el desarrollo de las organizaciones  o emprendimientos comunitarios</t>
  </si>
  <si>
    <t>Programa de servicios públicos móviles</t>
  </si>
  <si>
    <t>Mejor cobertura y calidad de servicios de educación y salud</t>
  </si>
  <si>
    <t xml:space="preserve"> Promoción de mercados turísticos</t>
  </si>
  <si>
    <t>Mejoramiento genético de ganado bovino</t>
  </si>
  <si>
    <t>Mejoramiento de vías de acceso</t>
  </si>
  <si>
    <t>Adecuación de ZoCRE a unidad de ordenamiento forestal y/o titulo habilitante forestal y de fauna silvestre de acuerdo a LFFS (Ley No 29763)</t>
  </si>
  <si>
    <t>Acuerdos con rondas campesinas y rondas nativas para cumplimiento de compromisos de no deforestación y tráfico de tierras e invasiones</t>
  </si>
  <si>
    <t>Promoción de Sistemas de producción sostenibles</t>
  </si>
  <si>
    <t>Promover la planificación comunal en centros poblados del interior en base a la zonificación y zona de amortiguamiento teniendo como base al Plan Maestro (incluye acuerdos de conservación)</t>
  </si>
  <si>
    <t>Exclusión y compensación de concesiones forestales maderables a solicitud del concesionario</t>
  </si>
  <si>
    <t>Acceso a financiamiento para modelos de asociación con pequeños productores</t>
  </si>
  <si>
    <t>Ampliación de estudios de HCS y HCV para nuevas áreas potenciales para asociación con pequeños productores</t>
  </si>
  <si>
    <t>Incentivos financieros para manejo forestal sostenible</t>
  </si>
  <si>
    <t>Promover acuerdos de conservación con cadena de valor para aquellos productos sostenibles con el parque.</t>
  </si>
  <si>
    <t>Acompañamiento de acuerdos comerciales entre empresas y medianos productores</t>
  </si>
  <si>
    <t>Promoción y difusión de circuitos turísticos en zona de amortiguamiento</t>
  </si>
  <si>
    <t>Nuevos mecanismos de pagos de deudas por sanciones</t>
  </si>
  <si>
    <t>Recuperación de la red hídrica en la zona de influencia de la ACR</t>
  </si>
  <si>
    <t>Fortalecimiento del monitoreo de la cobertura de bosques y control de la tala ilegal (deforestación, extracción de especies forestales de valor comercial y forestales para tutores de cultivos)</t>
  </si>
  <si>
    <t>Promoción de agroforestería sostenible en zona de amortiguamiento</t>
  </si>
  <si>
    <t>Promoción del turismo comunitario en zona de amortiguamiento y al interior del parque</t>
  </si>
  <si>
    <t>Fortalecimiento de la equidad de género y poblaciones vulnerables</t>
  </si>
  <si>
    <t>Fortalecer los procesos de Investigación, innovación, y transferencia tecnológica para la producción baja en emisiones.</t>
  </si>
  <si>
    <t>Programa de Gestión Empresarial</t>
  </si>
  <si>
    <t>Acuerdo regional de producción baja en emisiones e implementación de iniciativa de campeones por los bosques tropicales (TFC) en el marco de la coalición público privada por una producción sostenible.</t>
  </si>
  <si>
    <t>Zonificación Agroecológica</t>
  </si>
  <si>
    <t>Promoción de actividad agrícola, pecuaria y acuícola adaptada al cambio climático.</t>
  </si>
  <si>
    <t>Programa de capacitación para funcionarios del gobierno regional sobre ética y anticorrupción.</t>
  </si>
  <si>
    <t>Diseño de productos financieros para la producción baja en emisiones</t>
  </si>
  <si>
    <t>Implementación de la mesa regional de control y vigilancia forestal y de fauna silvestre.</t>
  </si>
  <si>
    <t xml:space="preserve">Campañas de difusión y promoción para prevenir actos de corrupcion en los procesos del codigo de ética de la gestión pública. </t>
  </si>
  <si>
    <t>Simplificación administrativa de tramites de derechos sobre la tierra y los recursos naturales.</t>
  </si>
  <si>
    <t>Promoción de agroforestería sostenible en zona de amortiguamiento del parque</t>
  </si>
  <si>
    <t xml:space="preserve">
Promoción de emprendimientos agroindustriales de la pequeña empresa sobre la base de los productos del biocomercio </t>
  </si>
  <si>
    <t>Promoción de agroforestería sostenible en zona de amortiguamiento y al interior del BPAM</t>
  </si>
  <si>
    <t>Fortalecimiento de las fiscalías especializadas en materia ambiental regionales. (A)</t>
  </si>
  <si>
    <t>Promoción de agroforestería sostenible en zona de amortiguamiento y al interior del parque</t>
  </si>
  <si>
    <t>Promoción de la planificación comunal en centros poblados.</t>
  </si>
  <si>
    <t>Aprovechamiento del recurso forestal maderable, provenientes de sistemas agroforestales sostenibles.</t>
  </si>
  <si>
    <t>Elaborar lineamientos de uso de recursos y demarcación de límites</t>
  </si>
  <si>
    <t>Implementación de la "Marca San Martín Región"</t>
  </si>
  <si>
    <t>Promover acuerdos de conservación con cadena de valor para aquellos productos sostenibles con el ANP</t>
  </si>
  <si>
    <t>Implementación de unidad de control forestal y de fauna silvestre en el ARA (gastos corrientes).</t>
  </si>
  <si>
    <t>Asistencia técnica para el desarrollo agroforestal diseñados e implementados junto a SERNANP</t>
  </si>
  <si>
    <t>Programa de emprendimiento rural juvenil, para promover el empalme generacional.</t>
  </si>
  <si>
    <t>Implementación de unidad de control forestal y de fauna silvestre en el ARA (gastos de inversión).</t>
  </si>
  <si>
    <t>Promoción de productos derivados y gestión de calidad</t>
  </si>
  <si>
    <t>Implementación del FONDESAM</t>
  </si>
  <si>
    <t>Mejora de programas de desarrollo alternativo con salvaguardas ambientales</t>
  </si>
  <si>
    <t>Fortalecimiento de la oficina de control interno del Gobierno Regional San Martín y la fiscalía anticorrupción regional.</t>
  </si>
  <si>
    <t>Promoción y Desarrollo de alianzas comerciales entre grandes, medianas, pequeñas empresas y productores organizados y no organizados para producción baja en emisiones.</t>
  </si>
  <si>
    <t>Fortalecimiento de las fiscalías especializadas en materia ambiental regionales. (B)</t>
  </si>
  <si>
    <t>Capacitación a comunidades nativas, campesinas y custodios forestales.</t>
  </si>
  <si>
    <t>Zonificación forestal, bosques sin categoría asignada, incluyendo ZOCREs actuales y propuestas.</t>
  </si>
  <si>
    <t>Acuerdos con rondas campesinas para cumplimiento de compromisos de no deforestación y tráfico de tierras e invasiones</t>
  </si>
  <si>
    <t>Implementación del Sistema de formalización del uso de la tierra y Recursos Naturales.</t>
  </si>
  <si>
    <t>Mejorar la competitividad de la oferta e identificación de la demanda turística.</t>
  </si>
  <si>
    <t>Incentivos financieros para la promoción del ecoturismo y turismo comunitario</t>
  </si>
  <si>
    <t>Promover servicios de asesoramiento empresarial en inversiones y facilitación del crédito</t>
  </si>
  <si>
    <t>Programa de incentivos a la restauración comunitaria con salvaguardas sociales y ambientales</t>
  </si>
  <si>
    <t>Implementación de operativos coordinados para el control forestal.</t>
  </si>
  <si>
    <t>Asistencia técnica para el desarrollo agroforestal diseñados e implementados</t>
  </si>
  <si>
    <t>Equipamiento a rondas y custodios forestales.</t>
  </si>
  <si>
    <t xml:space="preserve">Implementar un clasificador de cargos acorde a la normativa vigente para lograr la competitividad de los funcionarios públicos. </t>
  </si>
  <si>
    <t>Estrategia de promoción de productos regionales bajos en emisiones.</t>
  </si>
  <si>
    <t>Promoción del turismo comunitario en zona de amortiguamiento y al interior del ANP</t>
  </si>
  <si>
    <t>PARA SELECCIONAR Y GRAFICO TAMBIÉN CAMBIA</t>
  </si>
  <si>
    <t>CAUSAS</t>
  </si>
  <si>
    <t xml:space="preserve"># de Intervención </t>
  </si>
  <si>
    <t>APALANCTO X UDT 2</t>
  </si>
  <si>
    <t>INTERVENCIONES / USAs</t>
  </si>
  <si>
    <t xml:space="preserve">Cuenta de Descripción </t>
  </si>
  <si>
    <t>USA / COMPONENTE / INTERVENCIÓN</t>
  </si>
  <si>
    <t>UDT / USA</t>
  </si>
  <si>
    <t>REVISAR</t>
  </si>
  <si>
    <t>USAS</t>
  </si>
  <si>
    <t>Suma de 2030 S/</t>
  </si>
  <si>
    <t xml:space="preserve">Promoción de emprendimientos agroindustriales de la pequeña empresa sobre la base de los productos del biocomercio </t>
  </si>
  <si>
    <t>Promoción de mercados turísticos</t>
  </si>
  <si>
    <t>USA</t>
  </si>
  <si>
    <t>BENEFICIARIOS</t>
  </si>
  <si>
    <t>BENEF/COSTO</t>
  </si>
  <si>
    <t>PIPS</t>
  </si>
  <si>
    <t>USAs / COMPONENTES/intervcion</t>
  </si>
  <si>
    <t>USAs / COMPONENTES</t>
  </si>
  <si>
    <t>Unidad de Desarrollo Territorial</t>
  </si>
  <si>
    <t>Derechos de los pueblos indígenas</t>
  </si>
  <si>
    <t>Análisis y solución de superposiciones</t>
  </si>
  <si>
    <t>Género</t>
  </si>
  <si>
    <t>Inclusión de mujeres rurales en actividades de turismo comunitario en concesiones forestales maderables</t>
  </si>
  <si>
    <t>Evaluación de impacto de actividades turísticas e implementación de buenas prácticas</t>
  </si>
  <si>
    <t xml:space="preserve">Cuotas de género </t>
  </si>
  <si>
    <t>Acuerdos de conservación</t>
  </si>
  <si>
    <t>Acuerdos de no ampliación de frontera agrícola y no deforestación de bosques primarios</t>
  </si>
  <si>
    <t>Diseño de servicios básicos adaptados a las necesidades de las mujeres indígenas</t>
  </si>
  <si>
    <t>Implementación de sistema anticorrupción en coordinación con el Ministerio Público</t>
  </si>
  <si>
    <t>Promoción de especies nativas</t>
  </si>
  <si>
    <t>Programas de asistencia técnica y proyectos específicos para mujeres rurales y mujeres indígenas</t>
  </si>
  <si>
    <t xml:space="preserve">Cláusulas de monitoreo y control de especies exóticas e invasoras </t>
  </si>
  <si>
    <t>Estudios de suelos para determinar CUM para formalización de la propiedad rural</t>
  </si>
  <si>
    <t>Incentivos condicionados</t>
  </si>
  <si>
    <t>Ordenamiento agroterritorial</t>
  </si>
  <si>
    <t>Diseño de servicios básicos con enfoque intercultural</t>
  </si>
  <si>
    <t>Fortalecimiento a comunidades nativas en procesos de negociación de bionegocios</t>
  </si>
  <si>
    <t>Programas de asistencia técnica y capacitación específicos para pueblos indígenas, con enfoque intercultural y metodologías apropiadas para pueblos indígenas</t>
  </si>
  <si>
    <t>Soporte para solución de conflictos con terceros</t>
  </si>
  <si>
    <t>Transparencia en los procesos de otorgamiento de derechos en las tierras sin categoría</t>
  </si>
  <si>
    <t xml:space="preserve">Transparencia en procesos de formalización de la propiedad rural y cesión en uso </t>
  </si>
  <si>
    <t>Inclusión de mujeres rurales en la toma de decisiones</t>
  </si>
  <si>
    <t>Fortalecimiento de capacidades a población local sobre derechos de la tierra y los bosques</t>
  </si>
  <si>
    <t>Fortalecimiento a las partes para que los acuerdos sean transparentes</t>
  </si>
  <si>
    <t>Simplificación administrativa con enfoque intercultural</t>
  </si>
  <si>
    <t>Diseño de lineamientos con enfoque intercultural</t>
  </si>
  <si>
    <t>Evaluación de superposiciones de solicitudes de títulos habilitantes con solicitudes de pueblos indígenas</t>
  </si>
  <si>
    <t>Cuotas de género de mujeres indígenas</t>
  </si>
  <si>
    <t>Planteamiento de escenarios frente al cambio climático</t>
  </si>
  <si>
    <t>Visión al 2030  - Politica regional de desarrollo rural bajo en emisiones</t>
  </si>
  <si>
    <t>“Al 2030, la Región San Martín logra un desarrollo sostenible, incrementando sus índices de productividad y competitividad, a través de la producción de bienes y servicios bajo en emisiones, bajo un enfoque de inclusión, género e interculturalidad”</t>
  </si>
  <si>
    <t>Objetivo 01: Producción sostenible de bienes y servicios para el  Incremento de la competitividad regional</t>
  </si>
  <si>
    <t>Objetivo 02: Gestion sostenible de los bosques amazónicos  adoptando medidas frente al cambio climático.</t>
  </si>
  <si>
    <t>Objetivo 03: Mejorar la calidad y acceso a los servicios públicos de la población, con especial atención en las mujeres, pueblos indígenas y jóvenes, como parte de una sociedad justa, inclusiva y sin corrupción.</t>
  </si>
  <si>
    <t>Incrementar a 790,712.42 ha. De  paisajes forestales maderables y no maderables con aprovechamiento sostenible y conservación</t>
  </si>
  <si>
    <t>INTERVENCIONES TERRITORIALES</t>
  </si>
  <si>
    <t>UDT Huallaga Central y Bajo Mayo 
(comprende Provincias de Bellavista,  Huallaga, El Dorado, Lamas, Mariscal Cáceres, Picota y San Martín)</t>
  </si>
  <si>
    <t>UDT  Alto Mayo 
(Comprende Provincias de El Dorado, Lamas, Moyobamba y Rioja)</t>
  </si>
  <si>
    <t>UDT  Alto Huallaga 
(Comprende las  Provincias de Bellavista y Tocache )</t>
  </si>
  <si>
    <t>UDT  Bajo Huallaga 
(Comprende Provincias  San Martin y Lamas)</t>
  </si>
  <si>
    <t>Intervenciones transversales: UDT Huallaga Central y Bajo Mayo</t>
  </si>
  <si>
    <t xml:space="preserve">Intervenciones transversales: UDT  Alto Mayo </t>
  </si>
  <si>
    <t>Intervenciones transversales: UDT Alto Huallaga</t>
  </si>
  <si>
    <t>Intervenciones transversales: UDT Bajo Huallaga</t>
  </si>
  <si>
    <t>Intervenciones Transversales a escala departamental: SAN MARTÍN</t>
  </si>
  <si>
    <t>PROBLEMA PÚBLICO</t>
  </si>
  <si>
    <t xml:space="preserve">La reducción de la calidad de vida de la población por la deforestación y degradación de los bosques amazónicos del departamento de San Martín. </t>
  </si>
  <si>
    <t>CAUSAS DIRECTAS</t>
  </si>
  <si>
    <t>Expansión de las actividades agropecuarias  (café, cacao, pastos para ganadería, palma aceitera, maíz, arroz, plátano, papaya, entre otros).</t>
  </si>
  <si>
    <t>Asentamientos humanos (instalación de centros poblados)</t>
  </si>
  <si>
    <t>Expansión de cultivos ilícitos (coca y amapola)</t>
  </si>
  <si>
    <t xml:space="preserve">Apertura de vías de comunicación </t>
  </si>
  <si>
    <t>CAUSAS INDIRECTAS MÁS RELEVANTES IDENTIFICADAS EN EL ANÁLISIS DE CAUSAS Y MECANISMOS DE DEFORESTACIÓN</t>
  </si>
  <si>
    <t xml:space="preserve">Corrupción </t>
  </si>
  <si>
    <t>Débil articulación intersectorial entre niveles de gobierno</t>
  </si>
  <si>
    <t>Migración</t>
  </si>
  <si>
    <t>Tráfico de Tierras</t>
  </si>
  <si>
    <t xml:space="preserve">Escasa presencia del estado para intervenciones de desarrollo </t>
  </si>
  <si>
    <t xml:space="preserve">Escaso control y vigilancia </t>
  </si>
  <si>
    <t xml:space="preserve">Asentamientos humanos </t>
  </si>
  <si>
    <t>Presión social por vías de comunicación</t>
  </si>
  <si>
    <t>Limitado y poco transparente saneamiento físico legal de la propiedad agraria.</t>
  </si>
  <si>
    <t>Trafico de tierras</t>
  </si>
  <si>
    <t xml:space="preserve">Apertura o mejoramiento de vías de comunicación </t>
  </si>
  <si>
    <t xml:space="preserve">Limitada capacidad de planificación territorial </t>
  </si>
  <si>
    <t xml:space="preserve">Proyectos de desarrollo alternativo sin adecuadas estrategias de intervención </t>
  </si>
  <si>
    <t>Proyectos de inversión pública sin estándares ambientales adecuados</t>
  </si>
  <si>
    <t>Inversión privada sin salvaguardas y estándares de no deforestación</t>
  </si>
  <si>
    <t>Débil control y vigilancia en ocupación del territorio y uso de recursos</t>
  </si>
  <si>
    <t>Precio de tierras</t>
  </si>
  <si>
    <t>Narcotráfico</t>
  </si>
  <si>
    <t xml:space="preserve">Migración por demanda de mano de obra </t>
  </si>
  <si>
    <t xml:space="preserve">Débil implementación de herramientas de gobernanza y gestión territorial </t>
  </si>
  <si>
    <t>Proyectos de inversión pública sin salvaguardas</t>
  </si>
  <si>
    <t>Débil catastro rural y saneamiento de la propiedad</t>
  </si>
  <si>
    <t>Reducción de precios de productos alternativos en mercado nacional e internacional</t>
  </si>
  <si>
    <t>Falta de articulación entre autoridades y niveles de gobierno</t>
  </si>
  <si>
    <t xml:space="preserve">Mejor acceso al financiamiento y servicios agrarios sin salvaguardas </t>
  </si>
  <si>
    <t>Percepción de accesibilidad sobre la tierra y precio de la tierra</t>
  </si>
  <si>
    <t>Actividad económica generadora de empleo</t>
  </si>
  <si>
    <t>Limitada capacidad de supervisión en implementación de proyectos de inversión o actividades municipales</t>
  </si>
  <si>
    <t xml:space="preserve">Migración </t>
  </si>
  <si>
    <t>Débil articulación intersectorial y entre niveles de gobierno</t>
  </si>
  <si>
    <t>Sensación de impunidad</t>
  </si>
  <si>
    <t>Escasos incentivos para producción baja en emisiones</t>
  </si>
  <si>
    <t>Infraestructura de transformación</t>
  </si>
  <si>
    <t>Condiciones agroclimáticas favorables (caso café)</t>
  </si>
  <si>
    <t>Aumento de la demanda del mercado internacional por productos</t>
  </si>
  <si>
    <t>Programas de cooperación sin salvaguardas de no deforestación (GIZ)</t>
  </si>
  <si>
    <t>Reducción del precio de productos agropecuarios</t>
  </si>
  <si>
    <t xml:space="preserve">Aumento de la demanda de productos agropecuarios a nivel nacional </t>
  </si>
  <si>
    <t>Análisis de riesgos y salvaguardas para las intervenciones de la ERDRBE San Martín</t>
  </si>
  <si>
    <t>Áreas de riesgo</t>
  </si>
  <si>
    <t>BRN</t>
  </si>
  <si>
    <t>Biodiversidad y recursos naturales</t>
  </si>
  <si>
    <t>CR</t>
  </si>
  <si>
    <t>CT</t>
  </si>
  <si>
    <t>Contaminación</t>
  </si>
  <si>
    <t>VCC</t>
  </si>
  <si>
    <t>Vulnerabilidad al cambio climático</t>
  </si>
  <si>
    <t>Eliminar despúes</t>
  </si>
  <si>
    <t>DPI</t>
  </si>
  <si>
    <t>GN</t>
  </si>
  <si>
    <t>DH</t>
  </si>
  <si>
    <t>Derechos humanos</t>
  </si>
  <si>
    <t>PC</t>
  </si>
  <si>
    <t>Patrimonio cultural</t>
  </si>
  <si>
    <t>Orden</t>
  </si>
  <si>
    <t>Intervención</t>
  </si>
  <si>
    <t xml:space="preserve">Descripción </t>
  </si>
  <si>
    <t>Unidades socio ambientales en donde se ha propuesto  la intervención</t>
  </si>
  <si>
    <t xml:space="preserve">Indicador </t>
  </si>
  <si>
    <t>Meta 2025</t>
  </si>
  <si>
    <t>Costo al 2025</t>
  </si>
  <si>
    <t>Cto Salvag al 2.5%</t>
  </si>
  <si>
    <t>Costo unitario</t>
  </si>
  <si>
    <t>Costo total</t>
  </si>
  <si>
    <t>Descripción del costeo</t>
  </si>
  <si>
    <t>Riesgos</t>
  </si>
  <si>
    <t>Área de riesgo</t>
  </si>
  <si>
    <t>Código de riesgo</t>
  </si>
  <si>
    <t>Nombre corto de la salvaguarda</t>
  </si>
  <si>
    <t>Descripción de la salvaguarda propuesta</t>
  </si>
  <si>
    <t>¿Cuándo debe aplicarse?</t>
  </si>
  <si>
    <t>Código de la salvaguarda</t>
  </si>
  <si>
    <t>Costo unico o asociado a la meta</t>
  </si>
  <si>
    <t xml:space="preserve">Costo aproximado </t>
  </si>
  <si>
    <t xml:space="preserve">Costo total </t>
  </si>
  <si>
    <t>|</t>
  </si>
  <si>
    <t>HC Y BM</t>
  </si>
  <si>
    <t>Incluido costo central</t>
  </si>
  <si>
    <t>Otorgamiento de titulos de propiedad en tierras de aptitud forestal o protección con cobertura de bosques</t>
  </si>
  <si>
    <t>Elaboración de estudios de suelos a escala apropiada para procesos de titulación de acuerdo al reglamento de levantamiento de estudios de suelos aprobado por MINAGRI en unidad catastral de manera previa a la georeferenciación de los predios</t>
  </si>
  <si>
    <t>Durante la implementación de la intervención</t>
  </si>
  <si>
    <t>Asociado a la meta</t>
  </si>
  <si>
    <t>SALVAGUARDAS SOBRE BIODIVERSIDAD Y RECURSOS NATURALES</t>
  </si>
  <si>
    <t>SALVAGUARDAS SOBRE PUEBLOS INDÍGENAS</t>
  </si>
  <si>
    <t>SALVAGUARDAS SOBRE CORRUPCIÓN</t>
  </si>
  <si>
    <t xml:space="preserve">SALVAGUARDAS SOBRE GÉNERO </t>
  </si>
  <si>
    <t>SALVAGUARDAS SOBRE CONTAMINACIÓN</t>
  </si>
  <si>
    <t>SALVAGUARDAS SOBRE DERECHOS HUMANOS</t>
  </si>
  <si>
    <t>SALVAGUARDAS SOBRE VULNERABILIDAD AL CAMBIO CLIMÁTICO</t>
  </si>
  <si>
    <t>SALVAGUARDAS SOBRE PATRIMONIO CULTURAL</t>
  </si>
  <si>
    <t>Codigo Salvag</t>
  </si>
  <si>
    <t>Nombre de Salvaguarda</t>
  </si>
  <si>
    <t>Area de riesgo</t>
  </si>
  <si>
    <t>Otorgamiento de titulos de propiedad en tierras de aptitud  A y C con cobertura de bosques</t>
  </si>
  <si>
    <t xml:space="preserve">Implementación de  procedimiento de cambio de uso actual de tierras A y C descritos en la LFFS y sus reglamentos. </t>
  </si>
  <si>
    <t>Antes de la implementación de la intervención</t>
  </si>
  <si>
    <t>Unico a nivel departamental</t>
  </si>
  <si>
    <t>SBRN1</t>
  </si>
  <si>
    <t>Realizar estudios de suelos para determinar la capacidad de uso mayor de los suelos como parte de los procesos de formalización de la propiedad rural</t>
  </si>
  <si>
    <t>SDPI1</t>
  </si>
  <si>
    <t>Evaluación de superposiciones de solicitudes de titulación de predios rurales con solicitudes de pueblos indígenas (como parte del proceso de titulación de un predio rural individual)</t>
  </si>
  <si>
    <t>SCR1</t>
  </si>
  <si>
    <t>SGN1</t>
  </si>
  <si>
    <t xml:space="preserve">Incorporación de cónyuges o convivientes en títulos de propiedad y contratos de cesión en uso </t>
  </si>
  <si>
    <t>SCT1</t>
  </si>
  <si>
    <t xml:space="preserve">Control de aguas residuales de sistemas productivos agrarios a cuerpos de agua naturales </t>
  </si>
  <si>
    <t>SDH1</t>
  </si>
  <si>
    <t xml:space="preserve">Adecuado acceso a servicios básicos de salud y educación </t>
  </si>
  <si>
    <t>SVCC1</t>
  </si>
  <si>
    <t xml:space="preserve">Los cultivos deben ser aptos para las zonas en los programas de reconversión productiva </t>
  </si>
  <si>
    <t>SPC1</t>
  </si>
  <si>
    <t>Evaluación de superposición del área solicitada para titulación de predios rurales con áreas determinadas como patrimonio cultural</t>
  </si>
  <si>
    <t>Superposición de áreas a ser tituladas individualmente con áreas solicitadas por pueblos indígenas</t>
  </si>
  <si>
    <t>Capacitación a la población local sobre deberes y derechos sobre derechos sobre la tierra y los bosques (titulos de propiedad y CUSSAF)</t>
  </si>
  <si>
    <t>Antes y durante la implementación de la intervención</t>
  </si>
  <si>
    <t>SBRN2</t>
  </si>
  <si>
    <t>Implementar el procedimiento de cambio de uso actual de tierras A y C con cobertura de bosques para formalización de propiedad rural considerado en la Ley Forestal y de Fauna Silvestre (Ley No 29736)</t>
  </si>
  <si>
    <t>SDPI2</t>
  </si>
  <si>
    <t xml:space="preserve">Análisis de demandas de titulación de tierras a favor de comunidades nativas a nivel departamental con organizaciones indígenas </t>
  </si>
  <si>
    <t>SCR2</t>
  </si>
  <si>
    <t>Transparencia en incentivos financieros y obras públicas vinculadas a la ERDRBE</t>
  </si>
  <si>
    <t>SGN2</t>
  </si>
  <si>
    <t>SCT2</t>
  </si>
  <si>
    <t>Control de residuos agropecuarios</t>
  </si>
  <si>
    <t>SVCC2</t>
  </si>
  <si>
    <t>Análisis de rentabilidad de la actividad acuícola en los programas de reconversión productiva</t>
  </si>
  <si>
    <t>SPC2</t>
  </si>
  <si>
    <t>Evaluación de superposición del área solicitada para titulación de comunidades nativas con áreas determinadas como patrimonio cultural</t>
  </si>
  <si>
    <t>Procedimiento de cambio de uso actual de tierras A y C con cobertura de bosques para formalización de propiedad rural</t>
  </si>
  <si>
    <t>Análisis de solicitudes de reconocimiento, titulación o ampliación de comunidades nativas recibidas de manera previa a la titulación. Exclusión de las áreas solicitadas en donde se haya determinado existencia de derechos previos de pueblos indigenas</t>
  </si>
  <si>
    <t>Antes la implementación de la intervención</t>
  </si>
  <si>
    <t>SBRN3</t>
  </si>
  <si>
    <t>Fortalecer las capacidades de la población local para que conozcan el marco legal sobre los derechos sobre la tierra y los bosques</t>
  </si>
  <si>
    <t>SDPI3</t>
  </si>
  <si>
    <t>Soporte para solución de conflictos entre pueblos indígenas y terceros</t>
  </si>
  <si>
    <t>SCR3</t>
  </si>
  <si>
    <t>Transparencia en las adquisiciones vinculadas a la ERDRBE</t>
  </si>
  <si>
    <t>SGN3</t>
  </si>
  <si>
    <t xml:space="preserve">Cuotas de género y medición de participación efectiva de mujeres rurales </t>
  </si>
  <si>
    <t>SVCC3</t>
  </si>
  <si>
    <t>Análisis de rentabilidad de la actividad agropecuaria en los programas de reconversión productiva</t>
  </si>
  <si>
    <t>SPC3</t>
  </si>
  <si>
    <t>Evaluación de superposición del área solicitada para títulos habilitantes con áreas determinadas como patrimonio cultural</t>
  </si>
  <si>
    <t xml:space="preserve">Elaboración de propuesta con organizaciones indigenas regionales sobre áreas pendientes de titulación a favor de comunidades nativas en San Martín </t>
  </si>
  <si>
    <t>SBRN4</t>
  </si>
  <si>
    <t xml:space="preserve">Ordenamiento agroterritorial como estrategia para ordenar y promover el desarrollo agrario regional </t>
  </si>
  <si>
    <t>SDPI4</t>
  </si>
  <si>
    <t>Actualización en registros públicos de juntas directivas de las comunidades nativas</t>
  </si>
  <si>
    <t>SCR4</t>
  </si>
  <si>
    <t>SGN4</t>
  </si>
  <si>
    <t>Criterios de evaluación de programas y proyectos con enfoque de género</t>
  </si>
  <si>
    <t>SVCC4</t>
  </si>
  <si>
    <t xml:space="preserve">Planteamiento de escenarios frente al cambio climático de manera transversal en la implementación de la ERDRBE </t>
  </si>
  <si>
    <t xml:space="preserve">Tráfico de títulos de propiedad y contratos de cesión en uso </t>
  </si>
  <si>
    <t xml:space="preserve">Publicación obligatoria de expedientes digitales en plataforma virtual de catastro rural </t>
  </si>
  <si>
    <t>SBRN5</t>
  </si>
  <si>
    <t xml:space="preserve">Inclusión de cláusulas de monitoreo y control de especies exóticas e invasoras en proyectos de promoción agrarios  </t>
  </si>
  <si>
    <t>SDPI5</t>
  </si>
  <si>
    <t xml:space="preserve">Análisis y solución de superposiciones en tierras de comunidades nativas en proceso de titulación (como parte del proceso de titulación de una comunidad nativa) </t>
  </si>
  <si>
    <t>SCR5</t>
  </si>
  <si>
    <t xml:space="preserve">Inclusión de población local y rondas en sistemas de control y vigilancia para reducir la deforestación </t>
  </si>
  <si>
    <t>SGN5</t>
  </si>
  <si>
    <t>Programas de incentivos financieros y no financieros para el desarrollo rural para mujeres rurales</t>
  </si>
  <si>
    <t>Exclusión de mujeres propietarias en títulos de propiedad o contratos de cesión en uso</t>
  </si>
  <si>
    <t>Modificación del formato de titulo de propiedad o contrato de cesión en uso para incluir conyugues y coviviente</t>
  </si>
  <si>
    <t>SBRN6</t>
  </si>
  <si>
    <t>Desarrollo de incentivos financieros y no financieros condicionados con cláusulas de no deforestación</t>
  </si>
  <si>
    <t>SDPI6</t>
  </si>
  <si>
    <t xml:space="preserve">Actualización de bases gráficas de tierras tituladas y cedidas en uso a favor de comunidades nativas </t>
  </si>
  <si>
    <t>SCR6</t>
  </si>
  <si>
    <t>Socialización con colindantes de la concesión los derechos y obligaciones de los titulares de las concesiones forestales maderables</t>
  </si>
  <si>
    <t>SGN6</t>
  </si>
  <si>
    <t xml:space="preserve">Incorporación de mujeres indígenas en brigadas de titulación de tierras de comunidades nativas </t>
  </si>
  <si>
    <t>Otorgamiento de derechos sobre la tierra / bosques en zonas con patrimonio cultural</t>
  </si>
  <si>
    <t>Análisis de solicitudes de titulación de predios rurales, para evaluar la existencia y superposición con áreas determinadas como patrimonio cultural y evitar su afectación</t>
  </si>
  <si>
    <t>SBRN7</t>
  </si>
  <si>
    <t>Evaluación de impacto de actividades turísticas e implementación de buenas prácticas para mitigar el impacto directo e indirecto de la actividad</t>
  </si>
  <si>
    <t>SDPI7</t>
  </si>
  <si>
    <t>Articulación interinstitucional para facilitar el reconocimiento y de titulación de comunidades nativas</t>
  </si>
  <si>
    <t>SCR7</t>
  </si>
  <si>
    <t>Evaluación de superposición de las ZOCRES con derechos otorgados</t>
  </si>
  <si>
    <t>SGN7</t>
  </si>
  <si>
    <t>Programas de asistencia técnica y capacitación específicos para mujeres rurales indígenas</t>
  </si>
  <si>
    <t>Exclusión de mujeres rurales en programas de asistencia técnica</t>
  </si>
  <si>
    <t xml:space="preserve">Diseño de programas de asistencia técnica especificos para mujeres rurales considerando sus necesidades de aprendizaje y metodologías apropiadas </t>
  </si>
  <si>
    <t>SBRN8</t>
  </si>
  <si>
    <t>Promoción del cultivo de especies nativas</t>
  </si>
  <si>
    <t>SDPI8</t>
  </si>
  <si>
    <t>SCR8</t>
  </si>
  <si>
    <t xml:space="preserve">Transparencia en los procesos de otorgamiento de derechos en las tierras sin categoría territorial asignada </t>
  </si>
  <si>
    <t>SGN8</t>
  </si>
  <si>
    <t>Cuotas de género y medición de participación efectiva de mujeres indígenas</t>
  </si>
  <si>
    <t>Especies exóticas o invasoras en bosques colindantes</t>
  </si>
  <si>
    <t xml:space="preserve">El desarrollo productivo deberá realizarse solo en las áreas en donde los polos de intensificación productiva lo haya considerado factible. Esto excluye a las áreas con bosques </t>
  </si>
  <si>
    <t>SBRN9</t>
  </si>
  <si>
    <t>Elaboración, implementación y monitoreo de acuerdos de conservación</t>
  </si>
  <si>
    <t>SDPI9</t>
  </si>
  <si>
    <t>SCR9</t>
  </si>
  <si>
    <t>Socialización con colindantes de las áreas de conservación regional (ACR), ubicados en el ACR y en sus zonas de amortiguamiento</t>
  </si>
  <si>
    <t>SGN9</t>
  </si>
  <si>
    <t>Programas de biocomercio diseñados especialmente para mujeres indígenas</t>
  </si>
  <si>
    <t>Evaluadores para trabajo de campo</t>
  </si>
  <si>
    <t xml:space="preserve">Evaluadores de los programas de promoción deberán considerar evaluaciones de presencia de especies invasoras en las áreas en donde se haya otorgado el incentivo. </t>
  </si>
  <si>
    <t>SBRN10</t>
  </si>
  <si>
    <t>Elaboración, implementación y monitoreo de acuerdos de no ampliación de frontera agrícola y no deforestación de bosques primarios</t>
  </si>
  <si>
    <t>SDPI10</t>
  </si>
  <si>
    <t>SCR10</t>
  </si>
  <si>
    <t>Transparencia en el proceso de elaboración de los lineamientos para la gestión de los bosques, el otorgamiento de los derechos de propiedad y los incentivos financieros y no financieros</t>
  </si>
  <si>
    <t>SGN10</t>
  </si>
  <si>
    <t>Diseño de servicios básicos de educación y salud adaptados a las necesidades de las mujeres indígenas</t>
  </si>
  <si>
    <t>Cultivos elegibles para reconversión no logran obtener los máximos beneficios en las zonas seleccionadas</t>
  </si>
  <si>
    <t>Evaluar la viabilidad de la reconversión de acuerdo a los cultivos seleccionados a fin de determinar la aptitud de la zona para el cultivo, considerando la variable de cambio climático. (Ejm. aumento de la temperatura que modifica la aptitud para el desarrollo del cultivo del café)</t>
  </si>
  <si>
    <t>SDPI11</t>
  </si>
  <si>
    <t>SCR11</t>
  </si>
  <si>
    <t xml:space="preserve">Fortalecimiento a las partes para que los acuerdos comerciales entre empresa y productores rurales sean transparentes, justos y equitativos que beneficien a ambas partes </t>
  </si>
  <si>
    <t>SGN11</t>
  </si>
  <si>
    <t xml:space="preserve">Inclusión de mujeres rurales y sus organizaciones en iniciativas de control y vigilancia de la deforestación </t>
  </si>
  <si>
    <t>Evaluación de superposiciones de solicitudes de titulación de predios rurales con solicitudes de pueblos indígenas</t>
  </si>
  <si>
    <t>Exclusión de mujeres rurales en programas de agricultura familiar</t>
  </si>
  <si>
    <t>SDPI12</t>
  </si>
  <si>
    <t>Registro de conocimientos tradicionales en INDECOPI</t>
  </si>
  <si>
    <t>SCR12</t>
  </si>
  <si>
    <t>Transparencia en los procesos de otorgamiento de derechos sobre títulos habilitantes forestales y de fauna silvestre</t>
  </si>
  <si>
    <t>SGN12</t>
  </si>
  <si>
    <t>Diseño de mecanismos de participación apropiados para mujeres rurales</t>
  </si>
  <si>
    <t>Análisis de demandas de titulación de tierras a favor de comunidades nativas a nivel departamental con organizaciones indígenas</t>
  </si>
  <si>
    <t xml:space="preserve">Evaluadores para trabajo de campo 
</t>
  </si>
  <si>
    <t>Especies exóticas o invasoras en cuerpos de agua colindantes</t>
  </si>
  <si>
    <t>SDPI13</t>
  </si>
  <si>
    <t>Participación activa de organizaciones indígenas en procesos de titulación</t>
  </si>
  <si>
    <t>SCR13</t>
  </si>
  <si>
    <t>Transparencia en el proceso de formulación y ejecución de proyectos productivos asociados a la ERDRBE</t>
  </si>
  <si>
    <t>SGN13</t>
  </si>
  <si>
    <t>Inclusión de mujeres rurales en actividades de turismo comunitario en ANPs y sus zonas de amortiguamiento</t>
  </si>
  <si>
    <t>Efluentes de acuicultura vertidos a cuerpos de agua naturales</t>
  </si>
  <si>
    <t xml:space="preserve">Control de residuos antes del vertimiento a cuerpos de agua naturales </t>
  </si>
  <si>
    <t>ambiental</t>
  </si>
  <si>
    <t>SDPI14</t>
  </si>
  <si>
    <t>Fortalecimiento de organizaciones indígenas</t>
  </si>
  <si>
    <t>SCR14</t>
  </si>
  <si>
    <t xml:space="preserve">Transparencia en las alianzas comerciales entre empresas y productores </t>
  </si>
  <si>
    <t>SGN14</t>
  </si>
  <si>
    <t>Escuelas de campo específicas para mujeres rurales</t>
  </si>
  <si>
    <t>Deforestación para habilitación de áreas para proyectos de acuicultura</t>
  </si>
  <si>
    <t xml:space="preserve">El desarrollo productivo deberá realizarse solo en las áreas en donde los polos de intensificación productiva lo hayan considerado factible. Esto excluye a las áreas con bosques </t>
  </si>
  <si>
    <t>SDPI15</t>
  </si>
  <si>
    <t>Uso apropiado del lenguaje intercultural y respeto de usos y costumbres</t>
  </si>
  <si>
    <t>SGN15</t>
  </si>
  <si>
    <t>Inclusión de mujeres rurales en actividades de turismo comunitario en concesiones para conservación y ecoturismo</t>
  </si>
  <si>
    <t>Actividad acuícola no se desarrolla de manera óptima</t>
  </si>
  <si>
    <t>El plan de trabajo debe considerar un análisis de rentabilidad de la actividad acuícola en las zonas donde se va a implementar, con énfasis en la variable de cambio climático.</t>
  </si>
  <si>
    <t>economista</t>
  </si>
  <si>
    <t>SDPI16</t>
  </si>
  <si>
    <t>Diseño de lineamientos para el desarrollo rural (productivo, manejo de bosques, entre otros) con enfoque intercultural</t>
  </si>
  <si>
    <t>SGN16</t>
  </si>
  <si>
    <t>Actualización de bases gráficas</t>
  </si>
  <si>
    <t>Deforestación de nuevas áreas para implementar créditos o incentivos otorgados</t>
  </si>
  <si>
    <t>SDPI17</t>
  </si>
  <si>
    <t>Evaluación de superposiciones de solicitudes de títulos habilitantes forestales y de fauna silvestre con solicitudes de reconocimiento, titulación y ampliación de tierras de comunidades nativas durante el proceso de ordenamiento forestal</t>
  </si>
  <si>
    <t>SGN17</t>
  </si>
  <si>
    <t>Logística: tralado, movilidad local, alimentacion x 1 dia
SIG incluido costo central</t>
  </si>
  <si>
    <t>Incentivos deben considerar programa de monitoreo de la deforestación y suscripción de compromisos de no deforestación</t>
  </si>
  <si>
    <t>SDPI18</t>
  </si>
  <si>
    <t>Programas de asistencia técnica específicos para pueblos indígenas</t>
  </si>
  <si>
    <t>SGN18</t>
  </si>
  <si>
    <t>Inclusión de mujeres rurales en actividades de turismo comunitario en el ACR y sus zonas de amortiguamiento</t>
  </si>
  <si>
    <t xml:space="preserve"> Evaluadores para trabajo de campo 
</t>
  </si>
  <si>
    <t>SDPI19</t>
  </si>
  <si>
    <t>Evaluación de superposición de futuras unidades de ordenamiento forestal con solicitudes de titulación de comunidades nativas</t>
  </si>
  <si>
    <t>SGN19</t>
  </si>
  <si>
    <t>Incorporación de cónyuges o convivientes en títulos habilitantes forestales y de fauna silvestre</t>
  </si>
  <si>
    <t>Contaminación por residuos agropecuarios</t>
  </si>
  <si>
    <t>SDPI20</t>
  </si>
  <si>
    <t>Promoción de productos de tierras y bosques de pueblos indígenas</t>
  </si>
  <si>
    <t xml:space="preserve">Otorgamiento inapropiado de incentivos </t>
  </si>
  <si>
    <t>Publicación de bases y criterios de evaluación para el otorgamiento de los incentivos y obras, difusión de resultados de acreedores, elaboración de sistema de quejas y denuncias</t>
  </si>
  <si>
    <t>Exclusión de productoras agrarias en sistemas de incentivos financieros</t>
  </si>
  <si>
    <t>Establecimiento de cuotas de género</t>
  </si>
  <si>
    <t>Incorporación de puntajes adicionales en sistemas de incentivos financieros de emprendimientos que consideren mujeres</t>
  </si>
  <si>
    <t xml:space="preserve">Costos centrales - implementación de salvaguardas </t>
  </si>
  <si>
    <t>Participación de organizaciones indígenas en proceso de titulación</t>
  </si>
  <si>
    <t>Diseño de programas de incentivos especificos para mujeres rurales</t>
  </si>
  <si>
    <t>Actividad agropecuaria no se desarrolla de manera óptima debido a cambios en las condiciones agroecologicas por el cambio climático</t>
  </si>
  <si>
    <t>El plan de trabajo debe considerar un análisis de rentabilidad de la actividad agropecuaria en las zonas donde se va a implementar, con énfasis en la variable de cambio climático.</t>
  </si>
  <si>
    <t>No</t>
  </si>
  <si>
    <t xml:space="preserve">Tipo de costo </t>
  </si>
  <si>
    <t>Cantidad necesaria</t>
  </si>
  <si>
    <t xml:space="preserve">Observaciones </t>
  </si>
  <si>
    <t>Incremento de la deforestación por demanda de insumos e instalación de infraestructura y vias de comunicación</t>
  </si>
  <si>
    <t>SIG</t>
  </si>
  <si>
    <t>Experto/a en género</t>
  </si>
  <si>
    <t>2 personas x 12 meses x 5 años</t>
  </si>
  <si>
    <t>Contribuirá a las salvaguardas: SGN1, SGN2, SGN3, SGN4, SGN5, SGN6, SGN7, SGN8, SGN9, SGN10, SGN11, SGN12, SGN13, SGN14, SGN15, SGN16, SGN17, SGN18, SGN19</t>
  </si>
  <si>
    <t>Diplomado en género</t>
  </si>
  <si>
    <t>1 diplomado x 3 meses 
Experto 4 veces al mes x 2 días
Costo total por 2 diplomados, 1 por año sobre la base de 20 participantes</t>
  </si>
  <si>
    <t>Colución, Cohecho y negociación incompatible</t>
  </si>
  <si>
    <t>Experto/a en pueblos indígenas GORESAM</t>
  </si>
  <si>
    <t>Contribuirá a las salvaguardas: SDPI1, SDPI2, SDPI3, SDPI4, SDPI5, SDPI6, SDPI7, SDPI8, SDPI9, SDPI10, SDPI11, SDPI12, SDPI13, SDPI14, SDPI15, SDPI16, SDPI17, SDPI18, SDPI19, SDPI20</t>
  </si>
  <si>
    <t>Conflictos sociales en procesos de titulación de pueblos indígenas</t>
  </si>
  <si>
    <t>Asistencia técnica en la mediación de conflictos con otras partes durante proceo de titulación</t>
  </si>
  <si>
    <t>Experto/a en pueblos indígenas CODEPISAM</t>
  </si>
  <si>
    <t>1 persona x 12 meses x 5 años</t>
  </si>
  <si>
    <t>Contribuirá a las salvaguardas: SDPI1, SDPI2, SDPI3, SDPI4, SDPI5, SDPI6, SDPI7, SDPI8, SDPI9, SDPI10, SDPI12, SDPI13, SDPI14, SDPI15, SDPI16, SDPI17, SDPI18, SDPI19, SDPI20</t>
  </si>
  <si>
    <t>Traslado a la capital de aprox 8 representantes de la junta directiva por comunidad nativa, pasaje ida y vuelva y viáticos por 3 días = 6000
Responsable de elaboración de expediente = 2000</t>
  </si>
  <si>
    <t>Comunidades no cuentan con representantes legales con poderes actualizados</t>
  </si>
  <si>
    <t>Brindar soporte técnico a las comunidades para actualizar sus libros de actas e inscribir las juntas directas en registros públicos</t>
  </si>
  <si>
    <t xml:space="preserve">Servicio de diseño de programa de asistencia técnica y capacitación específicos para pueblos indígenas </t>
  </si>
  <si>
    <t>1 servicio</t>
  </si>
  <si>
    <t>Contribuirá a las salvaguardas: SDPI9, SDPI10, SDPI18,  SDPI14, SCR12</t>
  </si>
  <si>
    <t>SDP20</t>
  </si>
  <si>
    <t>Promoción de productos de tierras de pueblos indigenas</t>
  </si>
  <si>
    <t>Superposición de áreas solicitadas con otras unidades de ordenamiento forestal</t>
  </si>
  <si>
    <t>Acompañar solicitudes de redimensionamiento y solución de superposiciones</t>
  </si>
  <si>
    <t>especialista indigena CODEPISAM</t>
  </si>
  <si>
    <t>Reuniones con actores para validar metodologías de participación, asistencia técnica y programas de incentivos (financieros y no financieros)</t>
  </si>
  <si>
    <t>5 reuniones x 40 personas x 1 día</t>
  </si>
  <si>
    <t>Contribuirá a las salvaguardas: SGN2, SGN7, SBRN3, SBRN8</t>
  </si>
  <si>
    <t>Conflictos por actualización de bases gráficas de títulos ya otorgados</t>
  </si>
  <si>
    <t>Actualización de bases gráficas junto a comunidades nativas y organizaciones indigenas</t>
  </si>
  <si>
    <t>Experto SIG</t>
  </si>
  <si>
    <t>3 personas x 12 meses x 5 años</t>
  </si>
  <si>
    <t>Contribuirá a las salvaguardas: SDPI5, SDPI17, SDPI19, SBRN1, SBRN4, SBRN2, SBRN9, SBRN10, SDPI1, SDPI2,  SDPI5,  SDPI6,  SDPI17, SDPI19, SVCC1, SVCC4, SPC1, SPC2, SPC3</t>
  </si>
  <si>
    <t>Transparencia en incentivos financieros y obras públicas</t>
  </si>
  <si>
    <t>18 reuniones: 6 sobre trabajos iniciales, 6 propuesta, 6 validación</t>
  </si>
  <si>
    <t>Demoras excesivas en procesos de reconocimiento y titulación</t>
  </si>
  <si>
    <t xml:space="preserve">Conformar un grupo de trabajo por UDT para  intercambiar información y coordinar actividades antes y durante los procesos de titulación </t>
  </si>
  <si>
    <t>Abogado</t>
  </si>
  <si>
    <t>Contribuirá a las salvaguardas: SBRN2, SBRN1, SBRN5, SBRN9, SBRN10, SDPI3,  SDPI4,  SDPI5,  SDPI7, SDPI11,  SDPI12,  SDPI16, SCR4, SDH1</t>
  </si>
  <si>
    <t xml:space="preserve">Transparencia en las adquisiciones </t>
  </si>
  <si>
    <t>No se incorpora el conocimiento de las mujeres indígenas sobre el territorio</t>
  </si>
  <si>
    <t>Capacitación a mujeres indigenas en procesos de titulación y garantizar su participación en brigadas de titulación para ayudar a georeferenciar el área de la comunidad</t>
  </si>
  <si>
    <t>Especialista en suelos</t>
  </si>
  <si>
    <t>Contribuirá a las salvaguardas: SBRN1, SBRN2,</t>
  </si>
  <si>
    <t>Desconfianza de las comunidades en actividades de titulación</t>
  </si>
  <si>
    <t>Acompañamiento de técnicos indigenas en brigadas de titulación, soporte para explicar a las comunidades las actividades de campo con metodologías e idioma apropiado</t>
  </si>
  <si>
    <t>Agrónomo</t>
  </si>
  <si>
    <t>Contribuirá a las salvaguardas: SBRN1</t>
  </si>
  <si>
    <t>Inclusión de población local y rondas en sistemas de control y vigilancia</t>
  </si>
  <si>
    <t>Análisis de solicitudes de titulación de comunidades nativas, para evaluar la existencia y superposición con áreas determinadas como patrimonio cultural y evitar su afectación</t>
  </si>
  <si>
    <t>Asistente administrativo - transparencia</t>
  </si>
  <si>
    <t>Contribuirá a las salvaguardas: SCR1, SCR2, SCR3, SCR10, SCR12, SCR13, SCR14</t>
  </si>
  <si>
    <t>Socialización con colindantes de la concesión</t>
  </si>
  <si>
    <t>Programas de asistencia técnica no recogen enfoque intercultural y metodologías apropiadas para pueblos indígenas</t>
  </si>
  <si>
    <t xml:space="preserve">Diseño de programas de asistencia técnica y capacitación especificos para pueblos indigenas considerando sus necesidades de aprendizaje y metodologías apropiadas </t>
  </si>
  <si>
    <t>Servicio de diseño de programa de asistencia</t>
  </si>
  <si>
    <t>Exclusión de mujeres rurales indígenas en programas de asistencia técnica</t>
  </si>
  <si>
    <t xml:space="preserve">Diseño de programas de asistencia técnica y capacitación especificos para mujeres rurales indigenas considerando sus necesidades de aprendizaje y metodologías apropiadas </t>
  </si>
  <si>
    <t>Ingeniero ambiental</t>
  </si>
  <si>
    <t>Contribuirá a las salvaguardas:
SBRN7, SCT1, SCT2</t>
  </si>
  <si>
    <t>Biopiratería de recursos genéticos y recursos biológicos en tierras de comunidades nativas</t>
  </si>
  <si>
    <t>Capacitación y acompañamiento a comunidades nativas para la negociación de bionegocios</t>
  </si>
  <si>
    <t>Economista</t>
  </si>
  <si>
    <t>Contribuirá a las salvaguardas: 
SVCC3, SDPI14, SBRN6, SBRN7, SVCC2, SVCC3, SVCC4</t>
  </si>
  <si>
    <t>Socialización con colindantes de la ACR, ubicados en el ACR y en sus zonas de amortiguamiento</t>
  </si>
  <si>
    <t>Reuniones</t>
  </si>
  <si>
    <t>Demora en trámites administrativos no contemplan condiciones vinculadas a los pueblos indígenas</t>
  </si>
  <si>
    <t>Simplificación de trámites administrativos para el aprovechamiento sostenible de los recursos forestales no maderables y de fauna silvestre considerando enfoque intercultural</t>
  </si>
  <si>
    <t>Registro de conocimientos tradicionales ante INDECOPI</t>
  </si>
  <si>
    <t>reuniones menores + movilidad local + poderes x30 CCNN aprox x UDT</t>
  </si>
  <si>
    <t>Contribuirá a las salvaguardas: SDPI12</t>
  </si>
  <si>
    <t>Transparencia en el proceso de elaboración de los lineamientos</t>
  </si>
  <si>
    <t>Apropiación ilícita de conocimientos tradicionales</t>
  </si>
  <si>
    <t>Sistematización de conocimientos tradicionales y registro en INDECOPI</t>
  </si>
  <si>
    <t xml:space="preserve">Especialista en contrataciones y adquisiciones para la implementación de procedimientos competitivos </t>
  </si>
  <si>
    <t>Contribuirá a las salvaguardas: SCR3</t>
  </si>
  <si>
    <t>Exclusión de mujeres indígenas en programa de biocomercio</t>
  </si>
  <si>
    <t>Implementación de sistema de denuncias en linea, transparencia en procesos de control (por ejemplo uso de cámaras en intervenciones), transparencia en registros de aprovechamiento</t>
  </si>
  <si>
    <t>Plataforma para definir el sistema anticorrupción 6 reuniones el primer año
1 anual x 4 años
Refrigerios (100) + facilitador (200) + movilidad local (500) 
Difusión de plataformas existentes (50000) 800 al mes aprox.</t>
  </si>
  <si>
    <t xml:space="preserve">Contribuirá a las salvaguardas: SCR4, SCR5, </t>
  </si>
  <si>
    <t>Transparencia en los procesos de otorgamiento de derechos sobre títulos habilitantes</t>
  </si>
  <si>
    <t>Diseño de programas de biocomercio de emprendimientos de mujeres indigenas</t>
  </si>
  <si>
    <t>Servicio para una propuesta de paquete tecnológico para la implementación de sistemas agroforestales con especies nativas</t>
  </si>
  <si>
    <t>Contribuirá a las salvaguardas: SBRN8,  SDPI8</t>
  </si>
  <si>
    <t>Transparencia en el proceso de formulación y ejecución de proyectos</t>
  </si>
  <si>
    <t>Capacitación e involucramiento de población local en actividades de control y vigilancia en ANP / concesiones</t>
  </si>
  <si>
    <t>1 capacitación anual x 2 años</t>
  </si>
  <si>
    <t>Contribuirá a las salvaguardas: SCR5, SBRN3, SCR9, SCR11</t>
  </si>
  <si>
    <t>Transparencia en las alianzas comerciales</t>
  </si>
  <si>
    <t>Exclusión de mujeres rurales indígenas en programas de capacitación</t>
  </si>
  <si>
    <t>Reuniones del gobernador para suscribir acuerdos de conservación con la población local</t>
  </si>
  <si>
    <t>Refrigerios 3 x 60 x 7
Movilidad 100 x 3
Viáticos 120 x 3 x 4</t>
  </si>
  <si>
    <t xml:space="preserve">Contribuirá a las salvaguardas: SBRN9, SBRN10, SCR11, </t>
  </si>
  <si>
    <t>Servicio de traducción a lenguas indígenas</t>
  </si>
  <si>
    <t>1500 x lengua (3) x información a traducir</t>
  </si>
  <si>
    <t>Contribuirá a las salvaguardas:  SDPI15,  SDPI16</t>
  </si>
  <si>
    <t>Costo central</t>
  </si>
  <si>
    <t>Costo específico</t>
  </si>
  <si>
    <t>Contribuirá a las salvaguardas: SBRN4, SBRN5, SBRN6, SDPI4, SDPI7, SDPI11</t>
  </si>
  <si>
    <t>Criterios de evaluación con enfoque de género</t>
  </si>
  <si>
    <t>Apropiación ilícita de los recursos de las transferencias directas condicionadas y adquisiciones inadecuadas</t>
  </si>
  <si>
    <t>Fortalecimiento independiente administrativo y técnico de CODEPISAM para poder ejecutar proyectos directamente. Generación de mecanismos de gobernanza y rendición de cuentas</t>
  </si>
  <si>
    <t>Subtotal</t>
  </si>
  <si>
    <t>Programas de incentivos para mujeres rurales</t>
  </si>
  <si>
    <t>Implementación de procedimientos competitivos para adquisiciones y publicación de convocatoria y resultados de adquisiciones</t>
  </si>
  <si>
    <t>Imprevistos (10%)</t>
  </si>
  <si>
    <t>Incorporación de mujeres indígenas en brigadas de titulación</t>
  </si>
  <si>
    <t>Programas de servicios básicos de salud y educación diseñados sin enfoque intercultural</t>
  </si>
  <si>
    <t>Diseñar programas de servicios basicos de salud y educación considerando un enfoque intercultural,  sus necesidades y medios apropiados para garantizar su acceso oportuno</t>
  </si>
  <si>
    <t>Exclusión de servicios básicos a mujeres indígenas</t>
  </si>
  <si>
    <t>Diseñar programas de servicios basicos de salud y educación considerando el rol de la mujer en la comunidad,  sus necesidades y medios apropiados para garantizar su acceso oportuno. Considera elaboración de lineamientos</t>
  </si>
  <si>
    <t>Restricción de disponibilidad y acceso a servicios básicos</t>
  </si>
  <si>
    <t>Acceso justo y equitativo de la población a los beneficios sociales de calidad, de forma justa y equitativa</t>
  </si>
  <si>
    <t>Programas de biocomercio para mujeres indígenas</t>
  </si>
  <si>
    <t>Cohecho en el control y vigilancia de recursos naturales</t>
  </si>
  <si>
    <t xml:space="preserve">Capacitación e involucramiento de población local en actividades de control y vigilancia </t>
  </si>
  <si>
    <t>Inclusión de mujeres rurales y sus organizaciones en iniciativas de control y vigilancia</t>
  </si>
  <si>
    <t>Adquisición inadecuada de recursos para el control y vigilancia</t>
  </si>
  <si>
    <t>Exclusión de mujeres rurales en iniciativas de control y vigilancia</t>
  </si>
  <si>
    <t xml:space="preserve">Diseño de programa para promover la participación de mujeres rurales en sistema de control y vigilancia </t>
  </si>
  <si>
    <t>No se considera la opinión de las mujeres rurales en proceso de planificación comunal de centros poblados y desarrollo de acuerdos de conservación en ANP y su zona de amortiguamiento</t>
  </si>
  <si>
    <t>Escuelas de campo específicos para mujeres rurales</t>
  </si>
  <si>
    <t xml:space="preserve">Diseño de mecanismos adecuados de participación para mujeres rurales </t>
  </si>
  <si>
    <t>Impacto negativo sobre la biodiversidad por infraestructura o visitantes</t>
  </si>
  <si>
    <t xml:space="preserve">Análisis del impacto y establecimiento de buenas prácticas para evitar la afectación sobre la biodiversidad </t>
  </si>
  <si>
    <t>Exclusión de mujeres rurales en programas de turismo comunitario</t>
  </si>
  <si>
    <t>Inclusión activa de mujeres rurales en actividades turisticas (guiado, servicios para turistas, producción de artesanías, entre otros). Se deberá incluirlas dentro de los programas de capacitación</t>
  </si>
  <si>
    <t xml:space="preserve">Exclusión de mujeres en las pasantías </t>
  </si>
  <si>
    <t>Incorporación de cónyuges o convivientes en títulos habilitantes</t>
  </si>
  <si>
    <t>Control de aguas residuales a cuerpos de agua naturales</t>
  </si>
  <si>
    <t xml:space="preserve">Analisis del impacto y establecimiento de buenas prácticas para evitar la afectación sobre la biodiversidad </t>
  </si>
  <si>
    <t xml:space="preserve">Control de residuos agropecuarios </t>
  </si>
  <si>
    <t>Ejercicio adecuado de derecho de acceso a servicios básicos</t>
  </si>
  <si>
    <t>Escuelas de campo promueven la implementación de sistemas agroforestales con especies nativas</t>
  </si>
  <si>
    <t xml:space="preserve">Los cultivos deben ser aptos para las zonas </t>
  </si>
  <si>
    <t>Exclusión de mujeres rurales en las escuelas de campo</t>
  </si>
  <si>
    <t xml:space="preserve">Diseño de escuelas de campo especificos para mujeres rurales considerando sus necesidades de aprendizaje y metodologías apropiadas </t>
  </si>
  <si>
    <t>Análisis de rentabilidad de la actividad acuícola</t>
  </si>
  <si>
    <t>Análisis de rentabilidad de la actividad agropecuaria</t>
  </si>
  <si>
    <t>Analisis de solicitudes de reconocimiento, titulación o ampliación de comunidades nativas recibidas de manera previa a la titulación. Exclusión de las áreas solicitadas en donde se haya determinado existencia de derechos previos de pueblos indigenas</t>
  </si>
  <si>
    <t>Exclusión de mujeres productoras del desarrollo de proveedores de semillas mejoradas</t>
  </si>
  <si>
    <t>Diseño de programas de desarrollo de proceedores de semillas mejoradas</t>
  </si>
  <si>
    <t xml:space="preserve">Evaluadores para trabajo de campo </t>
  </si>
  <si>
    <t>Promoción del acceso a financiamiento mediante convenios con entidades financieras regionales, nacionales e internacionales; así mismo El GRSM tiene en proceso de implementación el Fondo de Desa</t>
  </si>
  <si>
    <t>abogado</t>
  </si>
  <si>
    <t>economista /SIG</t>
  </si>
  <si>
    <t xml:space="preserve">Exclusión de mujeres rurales en los incentivos financieros </t>
  </si>
  <si>
    <t>Procedimiento irregular para el otorgamiento de derechos</t>
  </si>
  <si>
    <t>Conflictos sociales con los colindantes de la concesión</t>
  </si>
  <si>
    <t>Socializar con los colindantes al área otorgada en concesión, sobre los derechos y deberes del concesionario</t>
  </si>
  <si>
    <t>Superposición de las ZOCRES con otros derechos otorgados o que deben ser reconocidos</t>
  </si>
  <si>
    <t>Publicación obligatoria del proceso de adecuación de las ZOCRES</t>
  </si>
  <si>
    <t>Análisis de los derechos otogados, para evaluar la superposición con las ZOCRES y evitar su desafectación</t>
  </si>
  <si>
    <t>Antes y durante de la implementación de la intervención</t>
  </si>
  <si>
    <t xml:space="preserve">SIG </t>
  </si>
  <si>
    <t xml:space="preserve">Superposición de futuras unidades de ordenamiento forestal con áreas solicitadas para la titulación de comunidades nativas </t>
  </si>
  <si>
    <t>Evaluar, al momento de adecuar la ZOCRE  o  categorizar las tierras sin categorìa asignada a una  la unidad de ordenamiento forestal, si el área ha sido solicitada para fines de titulación de comunidades nativas</t>
  </si>
  <si>
    <t>Otorgamiento inadecuado de títulos habilitantes que generan tráfico de tierras</t>
  </si>
  <si>
    <t>Publicación obligatoria de los procesos administrativos para el establecimiento de unidades de ordenamiento forestal, otorgamiento de títulos habilitantes forestales y tenencia de la tierra</t>
  </si>
  <si>
    <t>Exclusión de mujeres para el cumplimiento de compromisos de no deforestación y tráfico de tierras e invasiones</t>
  </si>
  <si>
    <t>Promover la participación de mujeres rurales para el cumplimiento de compromisos, considerando sus necesidades, inclusive formando las rondas campesinas y rondas nativas</t>
  </si>
  <si>
    <t>Deforestación de nuevas áreas por el mejoramiento de vías de acceso, sobre áreas adyacentes</t>
  </si>
  <si>
    <t>Acuerdos de conservación con la población local, cuyo objetivo es dar seguimiento al mejoramiento de las vías de acceso para que no genere nuevos focos de deforestación</t>
  </si>
  <si>
    <t>Exclusión de mujeres en el otorgamiento de servicios de educación y salud</t>
  </si>
  <si>
    <t>Exclusión de mujeres en el otorgamiento de servicios móviles</t>
  </si>
  <si>
    <t>AM</t>
  </si>
  <si>
    <t xml:space="preserve"> Evaluadores para trabajo de campo </t>
  </si>
  <si>
    <t>Conflictos sociales por superposición con predios individuales</t>
  </si>
  <si>
    <t>Problemas de comunicación</t>
  </si>
  <si>
    <t>Participación de intérpretes designados por las comunidades nativas</t>
  </si>
  <si>
    <t>Exclusión de mujeres en la resolución de conflictos</t>
  </si>
  <si>
    <t>Establecimiento de cuotas de género para solucionar los conflictos</t>
  </si>
  <si>
    <t>AH</t>
  </si>
  <si>
    <t>Evaluadores para trabajo de campo   </t>
  </si>
  <si>
    <t>Exclusión de mujeres en la formulación de lineamientos para el uso de recursos y demarcación de límites</t>
  </si>
  <si>
    <t>Incluir a las mujeres rurales en las actividades que se desarrollen para la elaboración de lineamientos</t>
  </si>
  <si>
    <t>No se usa un lenguaje apropiado y no se respetan los usos y costumbres</t>
  </si>
  <si>
    <t>Considerar el enfoque inercultural en la elaboración de lineamientos</t>
  </si>
  <si>
    <t xml:space="preserve">Falta de socialización de lineamientos </t>
  </si>
  <si>
    <t>Presentar el documento a los actores ubicados en el ACR y en sus zonas de amortiguamiento</t>
  </si>
  <si>
    <t>Incremento de la deforestación por instalación de infraestructura y vias de comunicación</t>
  </si>
  <si>
    <t>Compartir con la población la importancia de la recuperación de la red hídrica del ACR y la importancia de los bosques y servicios ecosistémicos</t>
  </si>
  <si>
    <t>Efluentes vertidos a cuerpos de agua naturales</t>
  </si>
  <si>
    <t>Falta de socialización de las actividades a desarrollar</t>
  </si>
  <si>
    <t>Presentar el plan de trabajo a los actores ubicados en el ACR y en sus zonas de amortiguamiento, logrando su involucramiento y conformidad con la intervención a realizar, previniendo además posibles conflictos sociales</t>
  </si>
  <si>
    <t>Exclusión de mujeres rurales en las actividades de recuperación de la red hídrica del ACR</t>
  </si>
  <si>
    <t>Participación de mujeres en las actividades, a fin de dar a conocer sus aportes sobre la recuperación de la red hídrica del ACR</t>
  </si>
  <si>
    <t>Falta de consideración del lenguaje intercultural en el proceso</t>
  </si>
  <si>
    <t>Considerar el enfoque inercultural en la ejecución de actividades, invoucrando a las comunidades nativas, pobladores locales y actores en general que se encuentren ubicados en el ACR y en sus zonas de amortiguamiento</t>
  </si>
  <si>
    <t>Desventajas en los procesos de negociación</t>
  </si>
  <si>
    <t>Capacitación y acompañamiento a las partes para una negociación justa y equitativa que conlleve a la suscripción de acuerdos favorables y transparentes</t>
  </si>
  <si>
    <t>Exclusión de mujeres en proceso de analisis HCS y HCV</t>
  </si>
  <si>
    <t>Superposición de concesiones forestales maderables con otros derechos</t>
  </si>
  <si>
    <t>Conflictos con los colindantes de la concesión</t>
  </si>
  <si>
    <t>Deforestación de nuevas áreas por el mejoramiento de programas de desarrollo alternativo</t>
  </si>
  <si>
    <t>Acuerdos con la población local, para formentar que no se amplíe la frontera agrícola y promover la conservación de los bosques, evitando que se generen nuevos focos de deforestación</t>
  </si>
  <si>
    <t>BH</t>
  </si>
  <si>
    <t>Evaluadores para trabajo de campo  </t>
  </si>
  <si>
    <t xml:space="preserve">Diseño de capacitaciones especificas para mujeres rurales considerando sus necesidades de aprendizaje y metodologías apropiadas </t>
  </si>
  <si>
    <t>Incentivos financieros promueven la deforestación y  pérdida de biodiversidad</t>
  </si>
  <si>
    <t xml:space="preserve">El acceso al financiamiento deberá estar condicionado a acuerdos de no deforestación y el monitoreo de estos compromisos. </t>
  </si>
  <si>
    <t xml:space="preserve">Exclusión de mujeres </t>
  </si>
  <si>
    <t>Tranversal Regional</t>
  </si>
  <si>
    <t>Las áreas que se determinen como zonas para la producción actualmente son las mejores, pero por el factor del cambio climático esas áreas pueden cambiar. Ejemplo: caso del café</t>
  </si>
  <si>
    <t>Incorporar un análisis adicional, prospectiva de escenarios climáticos relacionada al cambio climático, apra estar preparado en la toma de decisiones, porque las áreas pueden variar</t>
  </si>
  <si>
    <t>No se incluyen productos de tierras de comunidades nativas en zonificación agroecológica</t>
  </si>
  <si>
    <t>Inclusión de productos y cultivos de los pueblos indígenas en el análisis de zonificación agroecológica, para promoverlos</t>
  </si>
  <si>
    <t>Superposición de áreas a ser otorgadas con áreas solicitadas por pueblos indígenas</t>
  </si>
  <si>
    <t>Análisis de solicitudes de reconocimiento, titulación o ampliación de comunidades nativas recibidas de manera previa al otorgamiento de títulos habilitantes. Exclusión de las áreas solicitadas en donde se haya determinado existencia de derechos previos de pueblos indigenas</t>
  </si>
  <si>
    <t>Elaboración de propuesta con organizaciones indigenas regionales sobre áreas pendientes de titulación a favor de comunidades nativas en San Martín</t>
  </si>
  <si>
    <t xml:space="preserve">Tráfico de títulos habilitantes </t>
  </si>
  <si>
    <t>Publicación obligatoria de expedientes digitales en plataforma virtual</t>
  </si>
  <si>
    <t>Exclusión de mujeres propietarias en títulos habilitantes</t>
  </si>
  <si>
    <t>Modificación del formato de titulo habilitante en uso para incluir conyugues y coviviente</t>
  </si>
  <si>
    <t>Otorgamiento de títulos habilitantes sobre la tierra / bosques en zonas con patrimonio cultural</t>
  </si>
  <si>
    <t>Análisis de solicitudes de títulos habilitantes, para evaluar la existencia y superposición con áreas determinadas como patrimonio cultural y evitar su afectación</t>
  </si>
  <si>
    <t>Los proyectos deben incorporar en el paquete tecnológico, especies nativas</t>
  </si>
  <si>
    <t>Exclusión de mujeres en la formulación y ejecución de proyectos agrícolas, pecuarios y acuícolas</t>
  </si>
  <si>
    <t>Diseño de proyectos de promoción agropecuaria para mujeres rurales considerando sus prioridades de desarrollo, necesidades y metodologías para la adecuada implementación del proyecto</t>
  </si>
  <si>
    <t xml:space="preserve">Exclusión de pueblos indígenas en proyectos de promoción </t>
  </si>
  <si>
    <t>Diseño de programas de asistencia técnica especificos para pueblos indígenas considerando sus necesidades de aprendizaje, metodologías apropiadas y revalorando sus saberes ancestrales, considerando la participación de técnicos indígenas</t>
  </si>
  <si>
    <t>Se orienten los proyectos a determinados beneficiarios</t>
  </si>
  <si>
    <t>Exclusión de mujeres en programas de promoción del manejo forestal maderable proveniente de sistemas agroforestales</t>
  </si>
  <si>
    <t>Exclusión de pueblos indígenas en programas de promoción del manejo forestal maderable proveniente de sistemas agroforestales</t>
  </si>
  <si>
    <t xml:space="preserve">Débil participación de mujeres </t>
  </si>
  <si>
    <t>El diseño de los lineamientos y programas consideran un adecuado enfoque de género</t>
  </si>
  <si>
    <t>Diseño de programas no consideran enfoque intercultural</t>
  </si>
  <si>
    <t>El diseño de los lineamientos y programas incluyen el enfoque intercultural</t>
  </si>
  <si>
    <t>Diseño de mecanismos de participación para mujeres rurales en el proceso de promoción de la planificación comunal</t>
  </si>
  <si>
    <t>Asistencia técnica no involucra o incluye metodologías apropiadas para pueblos indígenas</t>
  </si>
  <si>
    <t>Exclusión de mujeres rurales en programas de biocomercio</t>
  </si>
  <si>
    <t xml:space="preserve">Capacitaciones no incluyen enfoque intercultural </t>
  </si>
  <si>
    <t>Las capacitaciones para generar productos con valor agregado consideran la metodología adecuada para el trabajo con pueblos indigenas</t>
  </si>
  <si>
    <t>Las capacitaciones consideran metodologías apropiadas para el trabajo con mujeres rurales</t>
  </si>
  <si>
    <t>El sistema no cuenta con las consideraciones interculturales</t>
  </si>
  <si>
    <t>El sistema debe garantizar la inclusión del enfoque intercultural, permitiendo el uso apropiado del lenguaje, en la lengua de las poblaciones indígenas involucradas</t>
  </si>
  <si>
    <t>Programas de asesoría consideran mecanismos y metodologías apropiadas para mujeres rurales</t>
  </si>
  <si>
    <t>El asesoramiento no considera a los pueblos indígenas</t>
  </si>
  <si>
    <t>Se elaboran lineamientos para que los servicios de asesoramiento consideren estrategias apropiadas para el trabajo con pueblos indígenas</t>
  </si>
  <si>
    <t>Se orienten los servicios de asesoramiento a determinados beneficiarios</t>
  </si>
  <si>
    <t>Productos financieros no consideran acuerdos de no deforestaciòn y mecanismos para monitorear el cumplimiento de estos acuerdos</t>
  </si>
  <si>
    <t>Los productos financieros consideran compromisos de no deforestación hacia usuarios y un mecanismo para monitorear el cumplimiento de estos acuerdos</t>
  </si>
  <si>
    <t>Productos financieros no incluyen analisis de riesgo por vulnerabilidad frente al cambio climático</t>
  </si>
  <si>
    <t xml:space="preserve">Los productos financieros consideran un analisis de escenarios frente al cambio climático y promueven cultivos con menor vulnerabilidad o medidas para reducirla </t>
  </si>
  <si>
    <t>No se incorpora enfoque intercultural en productos financieros diseñados para pueblos indígenas</t>
  </si>
  <si>
    <t>Productos financieros incluyen enfoque intercultural y un protocolo de trabajo con pueblos indigenas</t>
  </si>
  <si>
    <t>El producto financiero debe contener mecanismos de incentivos para mujeres</t>
  </si>
  <si>
    <t>Exclusión de mujeres en las alianzas comerciales</t>
  </si>
  <si>
    <t>Exclusión de pueblos indígenas en alianzas comerciales</t>
  </si>
  <si>
    <t xml:space="preserve">Inclusión de pueblos indigenas en los acuerdos comerciales para promover sus productos </t>
  </si>
  <si>
    <t>Se genera la publicación de contratos de las alianzas comerciales, para visualizar los roles de quienes suscriben</t>
  </si>
  <si>
    <t>No se incluyen productos de tierras de comunidades nativas en estrategias de promoción</t>
  </si>
  <si>
    <t>Analisis de nuevos productos y mercados incluye productos bandera de tierras de pueblos indigenas de San Martin</t>
  </si>
  <si>
    <t>Se orienten las oportunidades de nuevos mercados a determinados beneficiarios</t>
  </si>
  <si>
    <t>Trámites e información de requisitos que no son comprendidos e incluso excesivos</t>
  </si>
  <si>
    <t>Falta de consideración del lenguaje intercultural en el TUPA</t>
  </si>
  <si>
    <t>Incorporación del lenguakeDiseño de programas de asistencia técnica especificos para pueblos indígenas considerando sus necesidades de aprendizaje, metodologías apropiadas y revalorando sus saberes ancestrales, considerando la participación de técnicos indígenas</t>
  </si>
  <si>
    <t>Metodologías de capacitación no incorpora enfoque intercultural y metodologías apropiadas para pueblos indígenas</t>
  </si>
  <si>
    <t>Programas de capacitación para el control y vigilancia incorporan enfoque intercultural, y proponen metodologías apropiadas</t>
  </si>
  <si>
    <t xml:space="preserve">Metodologías de capacitación no incorpora enfoque de género y metodologías apropiadas para capacitar a mujeres rurales como custodias del patrimonio forestal </t>
  </si>
  <si>
    <t>Programas de capacitación para el control y vigilancia incorporan enfoque de género y proponen metodologías apropiadas</t>
  </si>
  <si>
    <t>Se orienten las adquisiciones a determinados beneficiarios</t>
  </si>
  <si>
    <t>Apropiación ilícita de los recursos de las donaciones para los custodios y adquisiciones inadecuadas</t>
  </si>
  <si>
    <t>N°</t>
  </si>
  <si>
    <t xml:space="preserve">Intervención </t>
  </si>
  <si>
    <t>Nombre Cat</t>
  </si>
  <si>
    <t>Categoría</t>
  </si>
  <si>
    <t>Meta al 2025</t>
  </si>
  <si>
    <t>Meta al 2030</t>
  </si>
  <si>
    <t>Precio/Costo Unitario en S/</t>
  </si>
  <si>
    <t>Criterio de precio o costo</t>
  </si>
  <si>
    <t>Fuente de Información</t>
  </si>
  <si>
    <t>Presupuesto en S/</t>
  </si>
  <si>
    <t>Distribución del Presupuesto</t>
  </si>
  <si>
    <t>Observación</t>
  </si>
  <si>
    <t>Característica del instrumento de política</t>
  </si>
  <si>
    <t>Criterio de Priorización</t>
  </si>
  <si>
    <t>2025 S/</t>
  </si>
  <si>
    <t>2030 S/</t>
  </si>
  <si>
    <t>Año 1</t>
  </si>
  <si>
    <t>Año 2</t>
  </si>
  <si>
    <t>Año 3</t>
  </si>
  <si>
    <t>Año 4</t>
  </si>
  <si>
    <t>Año 5</t>
  </si>
  <si>
    <t>Mecanismo de mercado (liberalizar, facilitar o promover)</t>
  </si>
  <si>
    <t xml:space="preserve">Mecanismos de no mercado (intervención directa, organismo público, tercerizar) </t>
  </si>
  <si>
    <t xml:space="preserve">Estimulo (incentivo económico o no económico, desincentivo económico o no económico) </t>
  </si>
  <si>
    <t xml:space="preserve">Otro (subsidio, salvaguarda) </t>
  </si>
  <si>
    <t xml:space="preserve">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t>
  </si>
  <si>
    <t>Plan de Ordenamiento Agroteritorial implementado</t>
  </si>
  <si>
    <t xml:space="preserve">Implementación de las actividades referidas al proyecto ZAE, asi mismo la contratación de dos profesionales para realizar el monitoreo de las estaciones metereologicas; seconsidera la compra de 77 estaciones para ser instaladas en cada distrito de la región, tambien se costea los gastos de mantenimiento de dichos equipos.  </t>
  </si>
  <si>
    <t>Drasam</t>
  </si>
  <si>
    <t>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t>
  </si>
  <si>
    <t>Especialistas</t>
  </si>
  <si>
    <t>Para la implementación de las intervención será mecesario la contratación de especialistas para realizar las acciones que comtemplen dicha actividad. Gastos logísticos y trámites documentarios. Contratación de dos profesioales para agilizar procesos con sunarp.</t>
  </si>
  <si>
    <t>ARA</t>
  </si>
  <si>
    <t>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t>
  </si>
  <si>
    <t>Proyectos viables</t>
  </si>
  <si>
    <t>El costo es referencial para un proyecto agropecuario de acuerdo a las cadenas priorizadas, donde se consideran componentes como Asistencia Técnica, Fortalecimiento organizacional, promoción de mercados sostenibles, manejo ambiental, etc.</t>
  </si>
  <si>
    <t>Drasam, ARA, Dircetur, Direpro, GRDE</t>
  </si>
  <si>
    <t xml:space="preserve">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t>
  </si>
  <si>
    <t>Módulos implementados.</t>
  </si>
  <si>
    <t>Implementación de maquinaria y equipos necesarios para el proceso y transformación de la madera.</t>
  </si>
  <si>
    <t>Ara, Serfor</t>
  </si>
  <si>
    <t>Implementar un programa de incentivos que podrán ser de asistencia técnica, ejecución de proyectos sociales u otras acciones que permitan mejorar las condiciones de vida de los productores que realicen acciones de restauración.</t>
  </si>
  <si>
    <t>Número de Organizaciones beneficiarias</t>
  </si>
  <si>
    <t>Presupuesto que servirá para cubrir los gastos de los incentivos que se determinaran de acuerdo a la evaluación de los criterios correspondientes para los procesos de restauración.</t>
  </si>
  <si>
    <t>Drasam, ARA</t>
  </si>
  <si>
    <t>Implementar los lineamientos finales para poner en vigencia el fondo de garantía de 5 millones de soles, para beneficiar a productores agropecuarios forestales organizados y no organizados que cumplan los atributos de la Marca certificadora “San Martín Región” y los propios requisitos que se establezcan en la directiva del fondo el cual será elaborado por el Gobierno Regional de San Martín en coordinación con la institución que administrará dichos fondos (COFIDE). Dentro de la directiva para la implementación del FONDESAM, se incorporará los mecanismos de tasas preferenciales para los créditos orientados a la innovación (Hoja de ruta del FONDESAM con el beneficiario). a financiar impactos en la cadena de producción.</t>
  </si>
  <si>
    <t>Consultoría</t>
  </si>
  <si>
    <t xml:space="preserve">Ejecución de informes de sustento para la Gerencia General del GRSM, consolidación del proceso de modificación del convenio entre el GRSM y COFIDE. Gastos logísticos, administrativos y contratación de especialistas y asesores para culminar el proceso. </t>
  </si>
  <si>
    <t xml:space="preserve">Implementar un programa para productores líderes, contemplando módulos como: Educación Financiera dirigido a pequeños y medianos productores del sector rural, Costos de producción, Productos y servicios financieros, ahorro, capital semilla,  endeudamiento, gestion empresarial, para mejorar la prodcutividad y competitividad. </t>
  </si>
  <si>
    <t>Contratación de profesionales a nivel regional para ejecutar acciones de enseñanza financiera a los productores agropecuarios organizados y no organizados.</t>
  </si>
  <si>
    <t>Implementar los lineamientos finales de la Marca Certificadora "San Martín Región", asignándole un presupuesto y equipo técnico para poner en vigencia esta herramienta que busca facilitar el acceso a mercados a empresas de los diferentes sectores (agrícola, pecuario, acuícola, apícola, biocomercio, y otros) de la región. Promoción y articulación a mercados diferenciados y  nichos de mercados de alto valor con atributos  de la marca San Martín ( Bajo en emisiones, no vinculado a actividades ilegales, Innovadores y con estándares de calidad). La búsqueda y diversificación de mercados a través de misiones comerciales nacionales e internacionales, con estrategias difernciadas para productos tradicionalmente vinculados a la deforestación. Ejemplo Palma Aceitera.</t>
  </si>
  <si>
    <t>Contratación de profesionales para culminar la descripción de los atributos y criterios priorizados, que permitan la operatividad de la marca certificadora "San Martín Región".</t>
  </si>
  <si>
    <t>GRDE, Dircetur</t>
  </si>
  <si>
    <t>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t>
  </si>
  <si>
    <t>Centros Informativos implementados</t>
  </si>
  <si>
    <t xml:space="preserve">Se contratará personal adecuado para brindar orientación a la población en situación de vulnerabilidad, así mismo la implementación de los centros informativos con material divulgativo y promociones radiales. </t>
  </si>
  <si>
    <t>GRDS</t>
  </si>
  <si>
    <t>Financiamiento de emprendimientos rurales juveniles para incentivar el empalme generacional y el empleo formal juvenil (incluye fondo de capital semilla para emprendimientos). Promover y financiar emprendimientos orientados a la reducción de emisiones.</t>
  </si>
  <si>
    <t>Planes de negocios</t>
  </si>
  <si>
    <t>El presupuesto hace referencia a la implementación de planes de negocios agropecuarios, para cubrir gastos como, adquisición de semillas, materiales o equipos que hagan posible el desarrollo de los emprendimientos rurales juveniles.</t>
  </si>
  <si>
    <t>GRDE, ARA, Proyectos especiales</t>
  </si>
  <si>
    <t>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
El programa debe regirse según las normas vigentes para  disminuir la informalidad en el sector, así mismo lograr la satisfacción plena de los turistas que visitan la región.</t>
  </si>
  <si>
    <t>Programas  de capacitación</t>
  </si>
  <si>
    <t xml:space="preserve">El costo atribuye al fortalecimiento de capacidades de gestión de los diferentes prestadores de servicios turísticos, asi como la implementación de un diplomado para el fortalecimiento de capacidades del personal. </t>
  </si>
  <si>
    <t>GRSM, DIRCETUR</t>
  </si>
  <si>
    <t>Promover el desarrollo comunitario mediante la identificación y cuantificación de recursos disponibles en una determinada jurisdicción, promoviendo la participación activa de todos los actores clave y su articulación a los planes de desarrollo local.</t>
  </si>
  <si>
    <t>PDC</t>
  </si>
  <si>
    <t>Contratación de servicios profesionales para la elaboración de los planes de desarrollo comunitario.</t>
  </si>
  <si>
    <t>GRSM, DRASAM</t>
  </si>
  <si>
    <t xml:space="preserve">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t>
  </si>
  <si>
    <t>Nº de proyectos ejecutados alineados a las prioridades de investigación e innovación regionales</t>
  </si>
  <si>
    <t>El costo va estar orientado a tener un equipo técnico especializado que apoye o promueva la generación de estas directivas del PMI, también la adecuación de los requisitos de los programas nacionales con la incorporación de las opiniones favorables del CTRIA y CGRA para ser elegibles; y por último la asistencia técnica para obtención y ejecución de la mayor cantidad de proyectos (de cualquier fuente), alineados a las prioridades regionales</t>
  </si>
  <si>
    <t>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
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t>
  </si>
  <si>
    <t>El presupuesto hace referencia a la implementación de planes de negocios agroindustriales para cubrir gastos y costos de implementación. Se debe desarrollar los lineamientos para orientar adecuadamente los recursos.</t>
  </si>
  <si>
    <t>DIREPRO</t>
  </si>
  <si>
    <t>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t>
  </si>
  <si>
    <t>Empresas y organizaciones atendidas</t>
  </si>
  <si>
    <t>La inversión  estará enfocada a la gestión y renovación de registros sanitarios, implementación de Buenas Prácticas de Manufactura.</t>
  </si>
  <si>
    <t>DIREPRO, DIRCETUR</t>
  </si>
  <si>
    <t>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t>
  </si>
  <si>
    <t>Títulos registrados</t>
  </si>
  <si>
    <t>La implementación del sistema de formalización contempla el diseño de una plataforma digital y el desarrollo de un manual para su adecuado uso y mantenimiento.</t>
  </si>
  <si>
    <t>ARA-DRASAM-MINAGRI</t>
  </si>
  <si>
    <t>Producción: Financiamiento</t>
  </si>
  <si>
    <t xml:space="preserve">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t>
  </si>
  <si>
    <t>Convocatorias / créditos</t>
  </si>
  <si>
    <t xml:space="preserve">TRANSVERSAL REGIONAL </t>
  </si>
  <si>
    <t>Debe comprender costo de convocatoria, parte legal contractual, fondo de pago por éxitos (entre 1% a 3%), monitoreo y seguimiento</t>
  </si>
  <si>
    <t>OPIPs</t>
  </si>
  <si>
    <t>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t>
  </si>
  <si>
    <t>Productos financieros específicos para cada cadena implementados</t>
  </si>
  <si>
    <t>Consultoría, sistematización de información en campo, al menos dos pilotos en campo, diseño de salvaguardas y monitoreo y compromisos</t>
  </si>
  <si>
    <t>GRDE-DRASAM-OPIPS</t>
  </si>
  <si>
    <t>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t>
  </si>
  <si>
    <t>Alianzas privadas entre empresas y productores.</t>
  </si>
  <si>
    <t>Contratación de especialistas para levantar la información de potenciales alianzas, asistencia técnica en fortalecimiento organizacional y comercial, relaciones comerciales, prácticas agrícolas innovadoras, desarrollo de proveedores y productos financieros, movilidad a áreas productivas, talleres con productores, reuniones con empresas y productores, preparación de propuestas de proyectos o acceso a financiamiento, elaboración de base de datos, diseño de salvaguardas y sistema de monitoreo.</t>
  </si>
  <si>
    <t>GRDE-DIRCETUR-OPIPS</t>
  </si>
  <si>
    <t xml:space="preserve">
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t>
  </si>
  <si>
    <t>Estudios de mercado</t>
  </si>
  <si>
    <t>El costo incluye la elaboración de 8 estudios de mercado, estrategias comerciales  e implementación de instrumentos de promoción en los 4 primeros años (S/ 30,000.0 por estudio) y la contratación de  un especialista en DIRCETUR para monitoreo e implementación de dichos estudios por un monto de S/ 48,000.00 al año.</t>
  </si>
  <si>
    <t>DIRCETUR-GRDE</t>
  </si>
  <si>
    <t>Reuniones de trabajo con gremios para firma de acuerdo, firma de acuerdo, monitoreo de cumplimiento, generar información para la iniciativa de campeones por los bosques tropicales (TFC), reuniones del espacio regional de la coalición público privada por una producción sostenible</t>
  </si>
  <si>
    <t xml:space="preserve">Acuerdos </t>
  </si>
  <si>
    <t>Reuniones de trabajo con empresas, asociaciones de productores y gremios, generar información, reuniones públicas de presentación de acuerdos, difusión internacional de acuerdos</t>
  </si>
  <si>
    <t>ARA-SERFOR-DRASAM-GRDE</t>
  </si>
  <si>
    <t>Diseño de programa de capacitación e implementación, para hacer conocer y cumplir el código de ética de la función pública para evitar los actos de corrupción.</t>
  </si>
  <si>
    <t>Funcionarios capacitados que aprueban evaluación</t>
  </si>
  <si>
    <t>Diseño de modulo de capacitación, implementación de curso y evaluación para funcionarios regionales</t>
  </si>
  <si>
    <t>GRSM</t>
  </si>
  <si>
    <t>Mejora de los TUPAs (incluye proceso integrado para clasificación de suelos + uso actual de la ley forestal), material de difusión, y capacitaciones periódicas a usuarios</t>
  </si>
  <si>
    <t xml:space="preserve">TUPA  mejorado </t>
  </si>
  <si>
    <t>Consultoría de análisis de procedimientos administrativos regionales de la DRA, ARA, GDE, OPIPS, elaboración de proyecto de TUPA, aprobación de TUPA, capacitación a funcionarios, difusión en portal web y elaboración de material informativo para usuarios</t>
  </si>
  <si>
    <t xml:space="preserve">Implementar a nivel regional un clasificador de cargos por especialidades y competencias de las distintas áreas del GRSM, con la finalidad de contar con profesionales altamente capacitados y con experiencia, acorde a los distintos cargos que se disponga en el ámbito regional. Considerar asi mismo afectar esta disposición a los cargos de confianza cumpliendo los requisitos plasmados en el clasificador. </t>
  </si>
  <si>
    <t>Clasificador de cargos implementado</t>
  </si>
  <si>
    <t>Consultorías, reuniones con trabajadores, sistematización de información y punto focal responsable de implementación</t>
  </si>
  <si>
    <t>Ejecutar un estudio sobre las necesidades de la OCI Regional y las OCI de las diferentes direcciones regionales y proyectos especiales referidos a la necesidad de especialistas por cada oficina, asi mismo el perfil profesional minimo para cubrir dichos puestos. Con la finalidad de mejorar y asegurar el ejercicio oportuno, efectivo y eficiente del control gubernamental, así como de optimizar sus capacidades orientadas a la prevención y lucha contra la corrupción.</t>
  </si>
  <si>
    <t>Estudio</t>
  </si>
  <si>
    <t xml:space="preserve">El costo va estar orientado a tener un equipo con personal especializado </t>
  </si>
  <si>
    <t>CONTRALORIA, OCI, GRSM</t>
  </si>
  <si>
    <t xml:space="preserve">Campañas orientadas a sensibilizar el impacto negativo de la corrupcion al crecimiento de la región, asi mismo realizar las denuncias correspondientes de forma anónima para que los órganos competentes puedan aplicar sanciones a dichos actos de corrupción. Brindar las medidas de protección necesarias a las personas que denuncian estos actos. </t>
  </si>
  <si>
    <t>Campañas de difudión.</t>
  </si>
  <si>
    <t>Reuniones de trabajo con empresas, asociaciones de productores y gremios, generar información, reuniones públicas de presentación de acuerdos</t>
  </si>
  <si>
    <t xml:space="preserve">Reuniones periódicas y extraordinarias de mesa regional de control y vigilancia forestal y de fauna silvestre </t>
  </si>
  <si>
    <t>Acuerdos adoptados en las reuniones de la mesa</t>
  </si>
  <si>
    <t>Reuniones entre instituciones públicas dedicadas al control y vigilancia forestal para articular protocolos, procedimientos y operativos para el control de la deforestación y tala ilegal</t>
  </si>
  <si>
    <t>SERFOR, ARA, MP, OSINFOR</t>
  </si>
  <si>
    <t xml:space="preserve">1 capacitación de una semana en el ámbito cercano al trabajo de la comunidad (puede ser una capacitación espaciada) </t>
  </si>
  <si>
    <t xml:space="preserve">Ronderos y custodios que aprueban evaluación de capacitación </t>
  </si>
  <si>
    <t>Considera materiales de capacitación, alimentación a capacitados en el área cercana a su comunidad y gastos de capacitadores</t>
  </si>
  <si>
    <t>Uniforme básico, GPS por brigadas,  1 dron por comunidad, equipos de radio por comunidad (radio corta portátil)</t>
  </si>
  <si>
    <t>Ronderos y custodios equipados</t>
  </si>
  <si>
    <t>Uniforme básico para 250 personas, GPS para 25 comunidades,  1 dron para 25 comunidades, equipos de radio para 25 comunidades (radio corta portátil)</t>
  </si>
  <si>
    <t xml:space="preserve">ARA </t>
  </si>
  <si>
    <t>Personal de campo dedicado al control de actividades ilegales (deforestación y tala ilegal),  combustible y raciones para acciones de control</t>
  </si>
  <si>
    <t>Informes de inspecciones</t>
  </si>
  <si>
    <t>Unidad conformada al menos por cuatro especialistas, y gastos de movilidad y alimentación</t>
  </si>
  <si>
    <t>Equipamiento (GPS, cámaras, computadora),  camionetas, carpas, sleepings, binoculares y uniformes</t>
  </si>
  <si>
    <t>Dos camionetas, cuatro computadoras, cuatro GPS, cuatro cámaras fotográficas,  ocho uniformes y equipo básico de campo para 4 personas (solo en los primeros cinco años). Considera uniformes nuevos al año 5</t>
  </si>
  <si>
    <t>32 A</t>
  </si>
  <si>
    <t>Contratación de fiscales especializados en materia ambiental para que puedan atender oportunamente la necesidad de toda la región. Actualmente solo se cuenta con 5 fiscales en toda la región distribuidos de la siguiente manera: 2 fiscales para las provincias de (Tocache, Mariscal Cáceres, Bellavista y Huallaga) y 3 fiscales para las provincias de (El Dorado, Picota, Lamas, San Martín, Moyobamba Y Rioja).</t>
  </si>
  <si>
    <t>Contratación de fiscales</t>
  </si>
  <si>
    <t>Contratación de fiscales.</t>
  </si>
  <si>
    <t>32 B</t>
  </si>
  <si>
    <t>Implementación de logística para fiscalías especializadas en materia ambiental</t>
  </si>
  <si>
    <t>Unidades móviles</t>
  </si>
  <si>
    <t>Adquisión de movilidades para la inspección oportuna de los fiscales cuando se reporte algún tipo de delito ambiental.</t>
  </si>
  <si>
    <t>Operativos específicos para control de tala ilegal y deforestación coordinado entre varias instituciones públicas (ARA, MP, OSINFOR, entre otros)</t>
  </si>
  <si>
    <t xml:space="preserve">Procesos administrativos o penales iniciados </t>
  </si>
  <si>
    <t>Operativos en campo que implican desplazamiento de la policía nacional del Perú, el ministerio público (gasolina, raciones), sobrevuelo</t>
  </si>
  <si>
    <t>34 A</t>
  </si>
  <si>
    <t xml:space="preserve">a) Mapear procedimientos regionales vinculados a otorgamiento de propiedad agraria (titulación y adjudicaciones), cambio de uso actual de tierras de aptitud A y C, procesos de bosque y estudios de impacto ambiental del sector agrario, b) aprobación de lineamientos o norma complementaria nacional para implementación del  cambio de uso actual de acuerdo a nueva LFFS y RLFFS*, c) elaboración de propuesta de procedimiento regional articulado y modificaciones al TUPA del GORESAM, d) elaboración y aprobación de propuesta de ordenanza regional que aprueba procedimiento y modificación de TUPA del GORESAM, e) capacitación de funcionarios y socialización de actores claves, f) elaboración de estudios de suelos en áreas identificadas para futuros procesos de titulación y adjudicaciones, g) implementación de procedimiento de cambio de uso actual en A y C para definir áreas en donde es posible realizar adjudicaciones de acuerdo a LFFFS, h) ejecución de procedimientos de titulación de predios,  adjucación o cesión en uso. Nota1: la elaboración de estudios de suelos debe ser en grandes espacios en los donde se piensa promover la titulación de predios rurales (a nivel de unidades catastrales) y adjudicaciones agrarias, de maneras previas a las solicitudes de titulación. Nota2: evaluar con DGAA el nivel del estudio de suelo, se recomienda estudios simplificado y un proceso en etapas que permita liberar primero las tierras X y F. Nota 3: Reto opinión previa de SERFOR y MINAM ¿Como no demorar este proceso?                                               </t>
  </si>
  <si>
    <t>Documento técnico legal que mapea procesos vinculados al cambio de uso, otorgamiento de la propiedad agraria y evaluaciones de impacto ambiental en el GORESAM</t>
  </si>
  <si>
    <t>Analisis técnico y legal (puede hacerse directamente por el equipo del GORESAM o a través de consultores), reuniones de trabajo, facilitadores de reuniones,</t>
  </si>
  <si>
    <t>ARA, DRASAM, GDE, GPP</t>
  </si>
  <si>
    <t>34 B</t>
  </si>
  <si>
    <t>Descripciión compartida con 34 A</t>
  </si>
  <si>
    <t xml:space="preserve">Resolución Ministerial, o norma pertiente, que aprueba lineamientos a nivel nacional </t>
  </si>
  <si>
    <t xml:space="preserve">Elaboración de propuesta de norma, talleres de socialización y retroalimentación a nivel nacional, </t>
  </si>
  <si>
    <t>MINAGRI, SERFOR, MINAM</t>
  </si>
  <si>
    <t>x</t>
  </si>
  <si>
    <t>34 C</t>
  </si>
  <si>
    <t xml:space="preserve">Ordenanza regional de procedimiento integrado sobre cambio de </t>
  </si>
  <si>
    <t>Consultoría para la elaboración de la propuesta de inclusión de procedimiento integrado  de cambio de uso actual.</t>
  </si>
  <si>
    <t>DRASAM, ARA, GPP</t>
  </si>
  <si>
    <t>34 D</t>
  </si>
  <si>
    <t xml:space="preserve">Guias didacticas para implementar el procedimiento </t>
  </si>
  <si>
    <t xml:space="preserve">Elaboración de manual de capacitación y versiones sencillas del procedimiento, talleres de capacitación a usuarios y funcionarios. </t>
  </si>
  <si>
    <t>DRASAM, ARA</t>
  </si>
  <si>
    <t>34 E</t>
  </si>
  <si>
    <t xml:space="preserve">Hectáreas evaluadas bajo procedimiento de cambio actual con procedimientos integrados. </t>
  </si>
  <si>
    <t>Contratación de especialistas para mapeo de procedimientos administrativos, especialista legal, especialista de costeo, costo operativo de atención de trámites.</t>
  </si>
  <si>
    <t>Total Ppto Intervenciones Transversales Regionales</t>
  </si>
  <si>
    <t>LEYENDA</t>
  </si>
  <si>
    <t>causa directa asociada: débil control y vigilancia</t>
  </si>
  <si>
    <t>Total ppto ERDRBE</t>
  </si>
  <si>
    <t>causa directa asociada: falta de capital, inversión privada sin salvaguardas</t>
  </si>
  <si>
    <t>causa directa asociada: corrupción</t>
  </si>
  <si>
    <t>causa directa asociada: débil gobernanza</t>
  </si>
  <si>
    <t>UDT HCBM</t>
  </si>
  <si>
    <r>
      <t>Programas de inversión privada</t>
    </r>
    <r>
      <rPr>
        <sz val="11"/>
        <color theme="1"/>
        <rFont val="Calibri"/>
        <family val="2"/>
      </rPr>
      <t xml:space="preserve">; </t>
    </r>
  </si>
  <si>
    <t>UDT AM</t>
  </si>
  <si>
    <t>UDT AH</t>
  </si>
  <si>
    <t>UDT BH</t>
  </si>
  <si>
    <t>TOTAL - 2025-2030</t>
  </si>
  <si>
    <t>Total comparativo</t>
  </si>
  <si>
    <t>3 tipos de control: 1) control previo 2) control simultaneo o aconpañamiento 3) control posterior</t>
  </si>
  <si>
    <t xml:space="preserve">hay una cisis en este organo, en el 2019 se disminuyo el personal, solo hay , este organo va depender de la contraloria general, actualmente solo hay 3 </t>
  </si>
  <si>
    <t>contratacion de especialistas, como ing ambiental, civil, agrónomo (S/ 5,000)</t>
  </si>
  <si>
    <t>Gestión Municipal eficiente para el desarrollo territorial sostenible.</t>
  </si>
  <si>
    <t>Implementación de mecanismo de apoyo a los gobiernos locales que ayude a orientar la ejecución de sus recursos de manera más eficiente y sobre todo acorde a la política regional, mediante la transferencia de conocimientos a cargo de un equipo técnico especializado. El objetivo es que los Gobiernos Locales, accedan a incentivos económicos basado en resultados (Mejora de indicadores económicos, sociales y ambientales), alineando los productos de los programas presupuestales, para la implementación del Núcleo Funcional.</t>
  </si>
  <si>
    <t>Contratación de profesionales para brindar asesoramiento a los gobiernos locales en tenas de gestión pública, para así lograr que las ejecuciones presupuestales se cumplan y evitar devoluciones.</t>
  </si>
  <si>
    <t>Fortalecimiento de la institucionalidad regional  para el desarrollo rural bajo en emisiones.</t>
  </si>
  <si>
    <t>Fortalecimiento de los espacios de gobernanza  en el marco de la articulación público-privada, direccionados a la promoción del desarrollo rural bajo en emisiones, así como a la búsqueda de la eficiencia de los servicios públicos de los 3 niveles de Gobierno  implementados en los territorios, con la participación activa de los consejeros regionales y los regidores municipales. Creación y fortalecimiento de las mesas técnicas referidas a REDD+ y negocios de carbono, en el marco de las cadenas de valor priorizadas en la región. (Gobernanza): ARD, COTEDETD, COTEDETP, MESAS TÉCNICAS, CGRA, Comités de destinos turísticos,  entre otros, monitoreo en portal en línea de la implementación de la estrategia y reuniones anuales de rendición de cuentas</t>
  </si>
  <si>
    <t>Espacios de concertación activos</t>
  </si>
  <si>
    <t>El costo hace referencia a los gastos logísticos (refrigerios, impresiones y otros gastos permitidos) necesarios para el fortalecimiento de los diferentes espacios de concertación, los cuales permitirán mejorar la gobernanza de la región. Así mismo la implementación de un software para el monitoreo del cumplimiento de la ERDRBE, por un monto de S/ 50,000.00.</t>
  </si>
  <si>
    <t>Monitoreo de la deforestación, expansión de la frontera agrícola y cumplimiento de compromisos de los incentivos condicionados</t>
  </si>
  <si>
    <t>Monitoreo de las áreas de bosques y la expansión de la frontera agrícola adyacentes a las zonas intervenidas que accedan a los incentivos condicionados, a su vez del cumplimiento de los acuerdos y compromisos asumidos; a través del uso de sistemas de información geográfica existentes como la plataforma de Geo bosques y cobertura agrícola del MINAGRI, se plantea dos etapas: i) aprovechar los avances de la plataforma Geo bosque, sistematizando y analizando la información desde la perspectiva de perdida de bosque; ii) Migrar al uso del Google Engine para el monitoreo de forma diaria; iii) fusionar ambas metodologías para obtener información mas sincerada de la deforestación. Esta intervención incluye la implementación de un software que permita evidenciar los incentivos implementados y los resultados obtenidos, para la toma de decisiones. El monitoreo de bosques estará a cargo de DEACRN-ARA, el monitoreo de la expansión de cultivos estará a cargo de la DDCA-DRASAM y el monitoreo del nivel de cumplimiento de los acuerdos de los incentivos condicionados estará a cargo de la GRDE.</t>
  </si>
  <si>
    <t>Hectáreas monitoreadas</t>
  </si>
  <si>
    <t>Fortalecimiento de capacidades al personal de la DEACRN de la ARA en: i) sistemas de información geográfica, ii) monitoreo de cultivos (MINAGRI), iii) teledetección, iv) manejo del Google Engine nivel medio y avanzado, v) uso de drones. Así mismo el equipamiento con 02 drones Phantom y una estación de monitoreo regional. se considera también la contratación de 3 especialistas. Se contratará personal técnico a nivel regional para realizar el control y monitoreo en campo.</t>
  </si>
  <si>
    <t>ARA, DRASAM, MINAGRI</t>
  </si>
  <si>
    <t xml:space="preserve">Implementación de plataformas virtuales de gestión y articulación territorial. </t>
  </si>
  <si>
    <t xml:space="preserve">Implementación de una plataforma virtual que agrupe todos los servicios del gobierno regional:                                                        
* Gestión del territorio, que identifique la trazabilidad de los procedimientos de solicitud y respuesta de trámites diversos.
* Información estadística actualizada y sistematizada de cada Dirección del Gobierno Regional en versiones fáciles y entendibles para los usuarios.
* Sistema de denuncias anticorrupción en línea, seguimiento a procesos, elaboración de registro integrado en portal web.
La plataforma dispondrá de información  actualizada y necesaria para brindar servicios de calidad a los usuarios. La plataforma será implementada en las Agencias de Desarrollo Económico Local  y se transferirá las capacidades a los Gobiernos Locales, Agencias de Desarrollo Económico y Gerencias Territoriales para una adecuada articulación y gestión del territorio. </t>
  </si>
  <si>
    <t>Plataforma regional implementada</t>
  </si>
  <si>
    <t>El fortalecimiento de la gestión territorial estará conformado por la implementación de la plataforma a través de la adquisión  un servidor, equipamiento con equipos a las Agencias de Desarrollo Económico, contratación de especialistas 2 especialistas informáticos OTI del Gobierno Regional y un personal en las Agencias de Desarrollo Económico Local para una adecuada articulación con los Gobiernos Locales.</t>
  </si>
  <si>
    <t>ARA-DRASAM-SERFOR</t>
  </si>
  <si>
    <t>1. MATRICES DE INTERVENCIONES</t>
  </si>
  <si>
    <t>Unidad Socio Ambiental - USA</t>
  </si>
  <si>
    <t>Resumen descripción unidad socio ambiental</t>
  </si>
  <si>
    <t>Esta Unidad Socioeconómica Ambiental cuenta con 74,562 pequeños productores de las cadenas de café, cacao, plátano, naranja, palma, pijuayo para palmito, entre otros. 10,049 productores están organizados en asociaciones o cooperativas y 64,513 no están organizados. la población organizada esta agrupada en 48 organizaciones de pequeños productores de las cadenas de cacao, café, MAD, naranja y palma aceitera, distribuidos de la siguiente manera : café 10 organizaciones con 1554 productores, cacao 28 organizaciones son 5,990 productores, MAD 7 0rganizaciones con 1,811 productores, naranja 2 organizaciones 65 productores, palma 1 organización con 629 productores
Cuenta con 155,570.2 Ha de con cultivos instalados, de los cuales 41,584.5  ha son de café, 42,718.06 ha de cacao, 41,191 ha de MAD, 5,014.6 ha de palma aceitera, 4,733.85 ha de naranja  y 20,328.25 ha de plátano.</t>
  </si>
  <si>
    <t>Actor</t>
  </si>
  <si>
    <t>Pequeños productores agropecuarios y acuícolas</t>
  </si>
  <si>
    <t>Resumen descripción Actor</t>
  </si>
  <si>
    <t>Pequeños productores (con cultivos anuales y permanentes en superficies menores a 5 hectáreas y cuya producción está orientado  al mercado local y en al caso de cacao y café al mercado exterior).</t>
  </si>
  <si>
    <r>
      <t xml:space="preserve">La UDT Huallaga Central y Bajo Mayo comprende las Provincias de </t>
    </r>
    <r>
      <rPr>
        <b/>
        <sz val="8"/>
        <color theme="1"/>
        <rFont val="Arial"/>
        <family val="2"/>
      </rPr>
      <t>Bellavista</t>
    </r>
    <r>
      <rPr>
        <sz val="8"/>
        <color theme="1"/>
        <rFont val="Arial"/>
        <family val="2"/>
      </rPr>
      <t xml:space="preserve"> (Alto Biavo, Bajo Biavo, Bellavista, Huallaga, San Pablo, San Rafael), </t>
    </r>
    <r>
      <rPr>
        <b/>
        <sz val="8"/>
        <color theme="1"/>
        <rFont val="Arial"/>
        <family val="2"/>
      </rPr>
      <t xml:space="preserve"> El Dorado</t>
    </r>
    <r>
      <rPr>
        <sz val="8"/>
        <color theme="1"/>
        <rFont val="Arial"/>
        <family val="2"/>
      </rPr>
      <t xml:space="preserve"> (Agua Blanca, San José de Sisa, San Martín, Santa Rosa, Shatoja) </t>
    </r>
    <r>
      <rPr>
        <b/>
        <sz val="8"/>
        <color theme="1"/>
        <rFont val="Arial"/>
        <family val="2"/>
      </rPr>
      <t>Huallaga</t>
    </r>
    <r>
      <rPr>
        <sz val="8"/>
        <color theme="1"/>
        <rFont val="Arial"/>
        <family val="2"/>
      </rPr>
      <t xml:space="preserve"> (Alto Saposoa, El Eslabón, Piscoyacu, Sacanche, Saposoa, Tingo de Saposoa), </t>
    </r>
    <r>
      <rPr>
        <b/>
        <sz val="8"/>
        <color theme="1"/>
        <rFont val="Arial"/>
        <family val="2"/>
      </rPr>
      <t xml:space="preserve">Mariscal Cáceres </t>
    </r>
    <r>
      <rPr>
        <sz val="8"/>
        <color theme="1"/>
        <rFont val="Arial"/>
        <family val="2"/>
      </rPr>
      <t xml:space="preserve">(Campanilla, Huicungo, Pachiza, Pajarillo, Juanjui), </t>
    </r>
    <r>
      <rPr>
        <b/>
        <sz val="8"/>
        <color theme="1"/>
        <rFont val="Arial"/>
        <family val="2"/>
      </rPr>
      <t xml:space="preserve">Picota </t>
    </r>
    <r>
      <rPr>
        <sz val="8"/>
        <color theme="1"/>
        <rFont val="Arial"/>
        <family val="2"/>
      </rPr>
      <t xml:space="preserve">(Buenos Aires, Caspizapa, Picota, Pillunana, Pucacaca, San Cristobal, San Hilarión Shamboyacu, Tingo de Ponaza, Tres Unidos), </t>
    </r>
    <r>
      <rPr>
        <b/>
        <sz val="8"/>
        <color theme="1"/>
        <rFont val="Arial"/>
        <family val="2"/>
      </rPr>
      <t>San Martín</t>
    </r>
    <r>
      <rPr>
        <sz val="8"/>
        <color theme="1"/>
        <rFont val="Arial"/>
        <family val="2"/>
      </rPr>
      <t xml:space="preserve"> (Alberto Leveau, Cacatachi, Juan Guerra, La Banda de Shilcayo, Morales, San Antonio, Sauce, Shapaja, Tarapoto), </t>
    </r>
    <r>
      <rPr>
        <b/>
        <sz val="8"/>
        <color theme="1"/>
        <rFont val="Arial"/>
        <family val="2"/>
      </rPr>
      <t>Lamas</t>
    </r>
    <r>
      <rPr>
        <sz val="8"/>
        <color theme="1"/>
        <rFont val="Arial"/>
        <family val="2"/>
      </rPr>
      <t xml:space="preserve"> (Alonso de Alvarado, Cuñumbuqui, Lamas, Pinto Recodo, Rumizapa, San Roque de Cumbaza, Shanao, Tabalosos, Zapatero)</t>
    </r>
  </si>
  <si>
    <t>Causas directas e indirectas relacionadas</t>
  </si>
  <si>
    <t>Expansión de las actividades agropecuarias, Corrupción, Limitado y poco transparente saneamiento físico legal de la propiedad agraria, Inversión privada sin salvaguardas y estándares de no deforestación, débil implementación de herramientas de gobernanza y gestión territorial, Migración, Escasos incentivos para producción baja en emisiones, Acceso a financiamiento sin salvaguardas, Condiciones agroclimáticas favorables (caso café), Aumento de la demanda del mercado internacional por productos internacional, Reducción del precio de productos agropecuarios, tráfico de tierras, apertura o mejoramiento de vías de comunicación, limitada capacidad de planificación territorial, proyectos de inversión pública sin estándares ambientales adecuados, precio de tierras, débil control y vigilancia en ocupación del territorio y uso de sus recursos, débil articulación intersectorial y entre niveles de gobierno, sensación de impunidad, percepción de accesibilidad sobre la tierra y precio de la tierra.</t>
  </si>
  <si>
    <t>N° de Referencia para meta</t>
  </si>
  <si>
    <t>1.1.1</t>
  </si>
  <si>
    <t>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t>
  </si>
  <si>
    <t>N° Títulos/Contratos otorgados</t>
  </si>
  <si>
    <t>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t>
  </si>
  <si>
    <t>Programa de titulación PTR 3 / ARA</t>
  </si>
  <si>
    <t>1.1.2</t>
  </si>
  <si>
    <t>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t>
  </si>
  <si>
    <t>Productores asistidos</t>
  </si>
  <si>
    <t>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t>
  </si>
  <si>
    <t>DRASAM</t>
  </si>
  <si>
    <t>1.1.3</t>
  </si>
  <si>
    <t>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t>
  </si>
  <si>
    <t>Hectáreas intervenidas</t>
  </si>
  <si>
    <t>El costo incluye adquisición de semillas, insumos, fertilizantes, entre otras para la producción de plantas agroforestales o coberturas  verdes.</t>
  </si>
  <si>
    <t>1.1.4</t>
  </si>
  <si>
    <t>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t>
  </si>
  <si>
    <t>hectáreas fertilizadas</t>
  </si>
  <si>
    <t>El costo incluye un análisis de suelos, paquete de fertilización según los resultados del análisis y la adquisición de fertilizantes. El costo incluye los tres abonamientos requeridos en una campaña (1 año).</t>
  </si>
  <si>
    <t>1.1.5</t>
  </si>
  <si>
    <t>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t>
  </si>
  <si>
    <t>Hectáreas con sistemas de riego</t>
  </si>
  <si>
    <t>El costo incluye la instalación de un sistema completo y un paquete de fertilización para la primera campaña. El costo va depender del tipo de cultivo, tipo de sistema y el tipo de materiales a usar en los sistemas de fertirriego.</t>
  </si>
  <si>
    <t>1.1.6</t>
  </si>
  <si>
    <t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t>
  </si>
  <si>
    <t>Hectáreas reconvertidas/diversificadas</t>
  </si>
  <si>
    <t>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t>
  </si>
  <si>
    <t>AGROIDEAS</t>
  </si>
  <si>
    <t>1.1.7</t>
  </si>
  <si>
    <t>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t>
  </si>
  <si>
    <t>Productores beneficiados</t>
  </si>
  <si>
    <t>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t>
  </si>
  <si>
    <t>FONCODES</t>
  </si>
  <si>
    <t>1.1.8</t>
  </si>
  <si>
    <t>Capacitaciones a pequeños productores acuícolas en temas relacionados a: Asociatividad, Gestión y administración de piscigranjas, programación de la producción, formalización, gestión de la calidad entre otros temas que permitan la sostenibilidad de la actividad.</t>
  </si>
  <si>
    <t>Acuicultores atendidos</t>
  </si>
  <si>
    <t>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t>
  </si>
  <si>
    <t>1.1.9</t>
  </si>
  <si>
    <t>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t>
  </si>
  <si>
    <t>Créditos otorgados</t>
  </si>
  <si>
    <t>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t>
  </si>
  <si>
    <t>1.1.10</t>
  </si>
  <si>
    <t>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t>
  </si>
  <si>
    <t>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t>
  </si>
  <si>
    <t>AGROBANCO, DRASAM</t>
  </si>
  <si>
    <t>1.1.11</t>
  </si>
  <si>
    <t>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t>
  </si>
  <si>
    <t>Planes de negocios/proyectos ejecutados</t>
  </si>
  <si>
    <t xml:space="preserve">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t>
  </si>
  <si>
    <t>AGROIDEAS, PNIA, INNOVATE PERÚ</t>
  </si>
  <si>
    <t>1.1.12</t>
  </si>
  <si>
    <t>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t>
  </si>
  <si>
    <t>El costo incluye la contratación de especialistas para brindar Asistencia Técnica en los procesos de implementación de las certificaciones de calidad, materiales para la capacitación y pasantías.</t>
  </si>
  <si>
    <t>1.1.13</t>
  </si>
  <si>
    <t>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t>
  </si>
  <si>
    <t>Organizaciones auto sostenibles</t>
  </si>
  <si>
    <t>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t>
  </si>
  <si>
    <t>DRASAM, MESA TÉCNICA DE CACAO Y CAFÉ, AVA</t>
  </si>
  <si>
    <t>1.1.14</t>
  </si>
  <si>
    <t>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t>
  </si>
  <si>
    <t>Organizaciones certificadas</t>
  </si>
  <si>
    <t>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t>
  </si>
  <si>
    <t>Certificadora CERES</t>
  </si>
  <si>
    <t>1.1.15</t>
  </si>
  <si>
    <t>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t>
  </si>
  <si>
    <t>Campañas de difusión y promoción</t>
  </si>
  <si>
    <t>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t>
  </si>
  <si>
    <t>SUNASS</t>
  </si>
  <si>
    <t>Esta Unidad Socioeconómica cuenta con 5,747 productores arroz, cuenta con 2 organizaciones con un total de 100 productores, el área total destinada a este cultivo es igual 58,441.50 ha, la producción es comercializada a través de los molinos, quienes brindan diversos servicios  e insumos a los productores, en forma de créditos, generándole dependencia comercial y financiera a los pequeños productores.</t>
  </si>
  <si>
    <t>Productores de arroz.</t>
  </si>
  <si>
    <t xml:space="preserve">Productores de arroz, los mismos que se encuentran segmentados en 3 categorías, Pequeños, medianos y grandes productores de arroz, dichos productores utilizan un nivel de tecnología de baja a media y un excesivo uso de agroquímicos. </t>
  </si>
  <si>
    <t xml:space="preserve">Expansión de las actividades agropecuarias: Corrupción, Limitado y poco transparente saneamiento físico legal de la propiedad agraria, Inversión privada sin salvaguardas y estándares de no deforestación, débil implementación de herramientas de gobernanza y gestión territorial, Migración, Escasos incentivos para producción baja en emisiones, Acceso a financiamiento sin salvaguardas, Condiciones agroclimáticas favorables (caso café), Aumento de la demanda del mercado internacional por productos internacional, Reducción del precio de productos agropecuarios. </t>
  </si>
  <si>
    <t>1.2.1</t>
  </si>
  <si>
    <t>1.2.2</t>
  </si>
  <si>
    <t>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t>
  </si>
  <si>
    <t>Unidades semilleristas</t>
  </si>
  <si>
    <t>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t>
  </si>
  <si>
    <t>1.2.3</t>
  </si>
  <si>
    <t xml:space="preserve">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t>
  </si>
  <si>
    <t>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t>
  </si>
  <si>
    <t>1.2.4</t>
  </si>
  <si>
    <t>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t>
  </si>
  <si>
    <t>Hectáreas reconvertidas</t>
  </si>
  <si>
    <t xml:space="preserve">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t>
  </si>
  <si>
    <t>1.2.5</t>
  </si>
  <si>
    <t>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t>
  </si>
  <si>
    <t>Productores atendidos</t>
  </si>
  <si>
    <t>1.2.6</t>
  </si>
  <si>
    <t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t>
  </si>
  <si>
    <t>Organizaciones formalizadas y fortalecidas</t>
  </si>
  <si>
    <t>DRASAM, DIRCETUR</t>
  </si>
  <si>
    <t>1.2.7</t>
  </si>
  <si>
    <t>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t>
  </si>
  <si>
    <t>Planes de negocios ejecutados</t>
  </si>
  <si>
    <t>Para el logro de los objetivos, se considera el pago de profesionales para la formulación de los planes de negocios que beneficiarían directamente a los pequeños productores.</t>
  </si>
  <si>
    <t>1.2.8</t>
  </si>
  <si>
    <t>Cuenta con 71,251 ha de pastos instalados (de corte y pastoreo), existen alrededor de 2,772 ganaderos que tienen de 21 cabezas de ganado a más de los cuales el 35% están organizados y el 65% no están organizados. El 26.52% de ganaderos tienen entre 18 y 40 años, el 72.82% de ganaderos tienen edad promedio entre 41 y 80 años y 0.66 ganaderos tienen más de 81 años. En cuanto a la producción de carne, el 4 % es destinada para el autoconsumo, el 60.6% es destinada a la venta regional y nacional y el 5.9% es destinada a la venta y al autoconsumo. La producción de leche es abastecida por 5,024 vacas, las que producen alrededor de 27,561 litros de leche por día. El 21.4% de la producción de leche es destinada para el autoconsumo, 32.9 se destinada a la venta, el 9.5 % es para consumo y venta y el 0.4% se destina a programas sociales.</t>
  </si>
  <si>
    <t>Productores de carne y leche.</t>
  </si>
  <si>
    <t>Productores ganaderos que cuentan con 20 cabezas de ganados a más.</t>
  </si>
  <si>
    <t>Expansión de las actividades agropecuarias: Corrupción, Limitado y poco transparente saneamiento físico legal de la propiedad agraria, Inversión privada sin salvaguardas y estándares de no deforestación, débil implementación de herramientas de gobernanza y gestión territorial, Migración, Escasos incentivos para producción baja en emisiones, Acceso a financiamiento sin salvaguardas, Percepción de accesibilidad sobre la tierra y precio de la tierra, Apertura o mejoramiento de vías de comunicación.</t>
  </si>
  <si>
    <t>Nombre Categoría</t>
  </si>
  <si>
    <t>1.3.1</t>
  </si>
  <si>
    <t>1.3.2</t>
  </si>
  <si>
    <t>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t>
  </si>
  <si>
    <t>Ganaderos asistidos</t>
  </si>
  <si>
    <t xml:space="preserve">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t>
  </si>
  <si>
    <t>1.3.3</t>
  </si>
  <si>
    <t>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t>
  </si>
  <si>
    <t>DRASAM, ICT</t>
  </si>
  <si>
    <t>1.3.4</t>
  </si>
  <si>
    <t xml:space="preserve"> Reactivación, implementación y gestión de las postas de inseminación artificial, material genético, capacitación y entrenamiento a inseminadores (certificar por competencia a través del SINEACE), transferencia de embriones a las granjas de los productores y asistencia técnica.</t>
  </si>
  <si>
    <t>Postas activas y operativas</t>
  </si>
  <si>
    <t xml:space="preserve">Costo por posta reactivada y/o instalada, cada una estará ubicada en punto estratégico para cobertura la mayor cantidad de ganaderos. Considerando la implementación con tanques criogénicos, materiales diversos, pajillas, técnico especialista, movilidad entre otros. </t>
  </si>
  <si>
    <t>1.3.5</t>
  </si>
  <si>
    <t>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t>
  </si>
  <si>
    <t>Ganaderos atendidos</t>
  </si>
  <si>
    <t>1.3.6</t>
  </si>
  <si>
    <t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t>
  </si>
  <si>
    <t>Organizaciones fortalecidas</t>
  </si>
  <si>
    <t>1.3.7</t>
  </si>
  <si>
    <t>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t>
  </si>
  <si>
    <t>Planes de negocios implementados</t>
  </si>
  <si>
    <t xml:space="preserve">Financiamiento e implementación de los planes de negocio de las organizaciones seleccionadas, con la finalidad de mejorar los sistemas de crianza, así mismo los órganos competentes del GRSM realizaron los debidos procesos de seguimiento y monitoreo en la ejecución. </t>
  </si>
  <si>
    <t>AGROIDEAS, DRASAM</t>
  </si>
  <si>
    <t>1.3.8</t>
  </si>
  <si>
    <t>Se registran 66  CC.NN, de las cuales 16 CCNN se encuentran tituladas, siendo las siguientes: TORNILLO YAKU ZELANDIA, COPAL SACHA, KAWANA SISA, KICHWA CHIRIK SACHA, NUEVO ARICA DE CACHIYACU, ALTO SHAMBUYACU, YURILAMAS, CHUMBAQUIHUI, KICHWA MUSHUK PURU PURU, PAMPA SACHA, AVIACIÓN, CHIRIKYAKU, CHUNCHIWI, KACHIPAMPA, ALTO VISTA ALEGRE DE SHITARIYACU, KICHWA NUEVO y LAMAS DE SHAPAJA;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t>
  </si>
  <si>
    <t xml:space="preserve">Pobladores Nativos </t>
  </si>
  <si>
    <t>Pobladores nativos asentuados en la región.</t>
  </si>
  <si>
    <t>Expansión de las actividades agropecuarias, Corrupción, Limitado y poco transparente Expansión de las actividades agropecuarias, Corrupción, Limitado y poco transparente saneamiento físico legal de la propiedad agraria, Inversión privada sin salvaguardas y estándares de no deforestación, débil implementación de herramientas de gobernanza y gestión territorial, Migración, Escasos incentivos para producción baja en emisiones, Acceso a financiamiento sin salvaguardas, Percepción de accesibilidad sobre la tierra y precio de la tierra, Apertura o mejoramiento de vías de comunicación, tráfico de tierras, limitada capacidad de planificación territorial, proyectos de inversión pública sin estándares ambientales adecuados, débil control y vigilancia en ocupación del territorio y sus recursos, débil catastro rural y saneamiento de la propiedad, actividad económica generadora de empleo, sensación de impunidad.</t>
  </si>
  <si>
    <t>1.4.1</t>
  </si>
  <si>
    <t>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
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t>
  </si>
  <si>
    <t>Comunidades tituladas</t>
  </si>
  <si>
    <t xml:space="preserve">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t>
  </si>
  <si>
    <t>Drasam, GIZ, CODEPISAM</t>
  </si>
  <si>
    <t>1.4.2</t>
  </si>
  <si>
    <t>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t>
  </si>
  <si>
    <t>Productor asistido</t>
  </si>
  <si>
    <t>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t>
  </si>
  <si>
    <t>1.4.3</t>
  </si>
  <si>
    <t>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t>
  </si>
  <si>
    <t>Planes de negocio</t>
  </si>
  <si>
    <t>Se contratará profesionales para el asesoramiento y formulación de planes de negocios de las Comunidades Nativas.</t>
  </si>
  <si>
    <t>Drasam, Agroideas</t>
  </si>
  <si>
    <t>1.4.4</t>
  </si>
  <si>
    <t>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t>
  </si>
  <si>
    <t>Comunidades fortalecidas</t>
  </si>
  <si>
    <t>Contratación de especialistas para dar acompañamiento y seguimiento a los procesos organizativos de las CCNN de forma permanente.</t>
  </si>
  <si>
    <t>Drasam, Direpro, Dircetur, ARA, CODEPISAM</t>
  </si>
  <si>
    <t>1.4.5</t>
  </si>
  <si>
    <t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t>
  </si>
  <si>
    <t>Contratación de especialista para identificación, acompañamiento y seguimiento a los procesos comerciales iniciados por las organizaciones de las CCNN</t>
  </si>
  <si>
    <t>Drasam, Direpro, Dircetur, ARA, OPIPs</t>
  </si>
  <si>
    <t>1.4.6</t>
  </si>
  <si>
    <t>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t>
  </si>
  <si>
    <t>Comunidades atendidas</t>
  </si>
  <si>
    <t xml:space="preserve">El costo esta referido a los gastos administrativos y logísticos que impliquen la elaboración del expediente para ser presentado a los programas de incentivos. </t>
  </si>
  <si>
    <t>Gerencia Regional de Desarrollo Social, Programa Geo bosques, CODEPISAM</t>
  </si>
  <si>
    <t>1.4.7</t>
  </si>
  <si>
    <t xml:space="preserve">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t>
  </si>
  <si>
    <t>Módulos implementados</t>
  </si>
  <si>
    <t xml:space="preserve">Implementación según las necesidades identificadas en cada comunidad, considerando si son aplicables en dichas zonas, si no hay restricciones de cualquier índole. </t>
  </si>
  <si>
    <t>Goresam, MIDIS, DRTyTC, Drasam,Foncodes, Cooperación, CODEPISAM</t>
  </si>
  <si>
    <t>1.4.8</t>
  </si>
  <si>
    <t xml:space="preserve">Implementación de proyectos enfocados a mejorar los servicios básicos de las comunidades nativas, dichos servicios deberán contar con profesionales bilingües, para asegurar y garantizar la adecuada transferencia de dichos servicios.  </t>
  </si>
  <si>
    <t>Escuelas y postas médicas implementadas</t>
  </si>
  <si>
    <t>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t>
  </si>
  <si>
    <t>DRE, UGEL, CODEPISAM</t>
  </si>
  <si>
    <t>Se registra 14 concesiones de conservación con un total de 40,528.38 ha. Dentro de las más representativas se describen a las siguientes: El Quinilla con 9,566.08 ha,  representada por Asociación de Protección Ambiental del Bosque el Quinillal,Valle del Biavo con 5,688.13, administrada por Asociación de Conservación de Protección Ecológica Valle del Biavo, Las Tres Quebradas con 4,176.54 y  administrada por Asociación de áreas de protección y Conservación las Tres Quebradas, Yaku Kawsanapa con 4,090.14 ha, administrada por la Asociación Agro Bio-Forestal YakuKKawsanapa, Ishichiwui con  con 3,132.36 ha representada por la Asociación del Territorio Ancestral Kichwua Barranquita-Ishichiwui; entre estas 5 concesiones, concentran el 66% del total del área de conservación.</t>
  </si>
  <si>
    <t>Representantes legales de concesiones de conservación</t>
  </si>
  <si>
    <t>Actors privados con autorización para conservar una determinada área, cuentan con un plan de intervenciones.</t>
  </si>
  <si>
    <t>Expansión de las actividades agropecuarias, Corrupción, débil implementación de herramientas de gobernanza y gestión territorial, Escasos incentivos para producción baja en emisiones, Percepción de accesibilidad sobre la tierra y precio de la tierra, Apertura o mejoramiento de vías de comunicación, tráfico de tierras, limitada capacidad de planificación territorial, débil control y vigilancia en ocupación del territorio y sus recursos, sensación de impunidad.</t>
  </si>
  <si>
    <t>1.5.1</t>
  </si>
  <si>
    <t>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t>
  </si>
  <si>
    <t xml:space="preserve">El costo presupuestado será considerado para los estudios preliminares requeridos para el plan de negocio, pago de especialista de ser el caso, implementación de infraestructura básica según la priorización de los operadores turísticos interesados. </t>
  </si>
  <si>
    <t>Dircetur</t>
  </si>
  <si>
    <t>1.5.2</t>
  </si>
  <si>
    <t>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
2. Asistencia técnica, orientada al a) Fortalecimiento de la gestión del turismo, b) Consolidación de los productos de turismo y c) Fortalecimiento de la política institucional y la gobernanza del turismo.</t>
  </si>
  <si>
    <t>Contratación de especialista y gastos logísticos, pasantías regionales y nacionales para adquisición de know how en materia de turismo rural</t>
  </si>
  <si>
    <t>1.5.3</t>
  </si>
  <si>
    <t>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t>
  </si>
  <si>
    <t>El costo hace referencia al proceso de implementación y funcionamiento de los productos para el desarrollo de  los emprendimientos.</t>
  </si>
  <si>
    <t>Dircetur, Agroideas</t>
  </si>
  <si>
    <t>1.5.4</t>
  </si>
  <si>
    <t>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t>
  </si>
  <si>
    <t>Rutas turísticas promocionados</t>
  </si>
  <si>
    <t xml:space="preserve">Participación en eventos de promoción (ferias regionales y nacionales, Fam Trip), el costo cubrirá gastos logísticos y administrativos de los operadores turísticos identificados </t>
  </si>
  <si>
    <t>Mincetur, Dircetur</t>
  </si>
  <si>
    <t>Se registran 14 concesiones forestales, las cuales abarcan 58,613.90 ha, de las cuales solo se encuentran 5 activas: Compañía Peruana Forestal SA, Empresa Maderera Rivas Hnos. SRL, Lope Mercedes Carrión Camacho, Aserradero Victoria SAC, Aserradero Victoria SRL.</t>
  </si>
  <si>
    <t>Representantes legales de concesiones forestales</t>
  </si>
  <si>
    <t>Actors privados con autorización para extracción de madera de una determinada, dentro de esta UDT, se registra 14 concesiones forestales, de las cuales solo 5 están activas.</t>
  </si>
  <si>
    <t>1.6.1</t>
  </si>
  <si>
    <t>Realizar un sinceramiento de las concesiones forestales activas e inactivas para excluir o realizar nuevos otorgamientos a empresas que puedan cumplir técnica y económicamente con lo predispuesto en la directiva.</t>
  </si>
  <si>
    <t xml:space="preserve">N° de concesiones </t>
  </si>
  <si>
    <t>Gastos operativos y logísticos para la elaboración de expedientes técnicos sustentatorios para los procesos legales y administrativos que conllevan dicho procedimiento.</t>
  </si>
  <si>
    <t>ARA, SERFOR, MINAM</t>
  </si>
  <si>
    <t>1.6.2</t>
  </si>
  <si>
    <t>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t>
  </si>
  <si>
    <t>El costo incluye los gastos operativos y logísticos para la extracción de la madera de acuerdo al plan de extracción y la implementación de los planes de manejo. ambiental.</t>
  </si>
  <si>
    <t>1.6.3</t>
  </si>
  <si>
    <t xml:space="preserve">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inactivas, al menos el 60% se reactiven y cierren los contratos pendientes por ejecutar. </t>
  </si>
  <si>
    <t>Concesiones reactivadas</t>
  </si>
  <si>
    <t>Abarca 502,031.94 ha del ámbito de la Región San Martín, en el ámbito de las provincias de Bellavista, Mariscal Cáceres, Picota, san Martín y Tocache; La zona de amortiguamiento cuenta con 924,235.69 ha,  El parque Nacional Cordillera Azul, esta administrado por el Centro de Conservación, Investigación y Manejo de Áreas Naturales - CIMA, quien realiza actividades  de control y vigilancia, asistencia técnica y otras actividades. Dentro de este ámbito se encuentra la comunidad nativa de Mushuck Llacta de Chipaota ( 10.83 ha).</t>
  </si>
  <si>
    <t>Productores acentuados dentro de la zona de amortiguamiento de la ACR, guarda parques, equipo de coordinación de CIMA.</t>
  </si>
  <si>
    <t>Productores principalmente de cultivos en pequeñas extensiones de cacao y café, quienes realizan actividades extractivas y productivas. Guardaparques quienes son los responsables de prevenir que Actors no autorizados ingresen a la ZA del parque. El equipo técnico de CIMA, quien es el responsable de la administración de los fondos y de la planificación de las intervenciones dentro de sus competencias.</t>
  </si>
  <si>
    <t>1.7.1</t>
  </si>
  <si>
    <t>Campañas de sensibilización en los distritos acentuadas en las zonas de amortiguamiento, considerando la participación del ARA, DRASAM, DIRCETUR, GRDS. Articular acciones de vigilancia y control entre el ente que administra el ANP (SERNANP), cooperantes, población organizada como Juntas vecinales, comités de vigilancia, rondas campesinas, productores, comités y otros que se benefician de los servicios eco sistémicos del ANP.</t>
  </si>
  <si>
    <t>Campañas de sensibilización</t>
  </si>
  <si>
    <t>Campañas de sensibilización con equipos técnicos de las instituciones involucradas, gastos logísticos, impresión de material de difusión, publicidad radial, televisiva y escrita.</t>
  </si>
  <si>
    <t>ARA, SERFOR, SERNANP, CIMA</t>
  </si>
  <si>
    <t>1.7.2</t>
  </si>
  <si>
    <t>Implementar con recursos necesarios al ente que administra el área, con la finalidad de aumentar el número de personas (guardaparques) que contribuyan a realizar acciones de control y vigilancia.</t>
  </si>
  <si>
    <t>Número de guardaparques</t>
  </si>
  <si>
    <t>Contratación a guardaparques para garantizar el control y vigilancia del área otorgada.</t>
  </si>
  <si>
    <t>1.7.3</t>
  </si>
  <si>
    <t>Planes de gestión comunal</t>
  </si>
  <si>
    <t>Contratación de servicios profesionales para la elaboración de los planes de gestión comunal.</t>
  </si>
  <si>
    <t>1.7.4</t>
  </si>
  <si>
    <t xml:space="preserve">Campañas de promoción y difusión en el ámbito regional y nacional de los circuitos turísticos que existen en la zona de amortiguamiento. acorde al plan maestro del parque.  </t>
  </si>
  <si>
    <t>Campañas de promoción</t>
  </si>
  <si>
    <t>Campañas de promoción que incluye, impresión de material de difusión, publicidad radial, televisiva y escrita.</t>
  </si>
  <si>
    <t>1.7.5</t>
  </si>
  <si>
    <t>Realizar pasantías focalizadas en aquellos sectores claves que se necesita intervenir para disminuir la presión del parque.</t>
  </si>
  <si>
    <t>Pasantías</t>
  </si>
  <si>
    <t>El costo hace referencia a los gastos de pasajes, alimentación y otros para un grupo de 20 productores por pasantía.</t>
  </si>
  <si>
    <t xml:space="preserve">Abarca 274, 520 ha, se encuentra localizado en la región de San Martín y La Libertad. En el ámbito de la Región San Martín, se encuentra situada en la provincia de Mariscal Cáceres (271,635 ha), distritos de Campanilla y Huicungo y en la provincia de Tocache (1565 ha), distrito de pólvora, haciendo un total en la región de San Martín de 273,200 ha. La zona de amortiguamiento cuenta con una extensión de 383,457 ha. El Parque Nacional Rio Abiseo, esta administrado por el Servicio Nacional de Áreas Naturales Protegidas - SERNANP, quien realiza actividades de control y vigilancia, asistencia técnica entre otras actividades. En las zonas de amortiguamiento se encuentran las concesiones de conservación del Alto Huayabamba, el Breo, Maquisapa y Monte Cristo. </t>
  </si>
  <si>
    <t>Productores acentuados dentro de la zona de amortiguamiento del parque, guarda parques, equipo de coordinación del parque nacional.</t>
  </si>
  <si>
    <t>Productores principalmente de cultivos en pequeñas extensiones de cacao, café, ganadería, quienes realizan actividades extractivas y productivas. Guardaparques quienes son los responsables de prevenir que Actors no autorizados ingresen a la ZA del parque. El equipo técnico del parque, quien es el responsable de la administración de los fondos y de la planificación de las intervenciones dentro de sus competencias.</t>
  </si>
  <si>
    <t>1.8.1</t>
  </si>
  <si>
    <t>Promover la planificación comunal en centros poblados en base a la zonificación y zona de amortiguamiento teniendo como base al Plan Maestro (incluye acuerdos de conservación)</t>
  </si>
  <si>
    <t>1.8.2</t>
  </si>
  <si>
    <t>1.8.3</t>
  </si>
  <si>
    <t>Las "Zonas de conservación y recuperación de ecosistemas" son predios rústicos inmatriculados a favor del Estado denominadas identificadas en la ZEE y que son administrados por el Gobierno Regional de San Martin que pueden ser otorgadas en cesión o afectación en uso.</t>
  </si>
  <si>
    <t>Posesionarios acentuados dentro de las ZOCRES.</t>
  </si>
  <si>
    <t>1.9.1</t>
  </si>
  <si>
    <t xml:space="preserve">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t>
  </si>
  <si>
    <t>Ha. con categoría territorial asignada</t>
  </si>
  <si>
    <t>Para la implementación de las intervención será mecesario la contratación de especialistas para realizar las acciones que comtemplen dicha actividad. Gastos logísticos y trámites documentarios.</t>
  </si>
  <si>
    <t>GRSM - DEGT</t>
  </si>
  <si>
    <t>1.9.2</t>
  </si>
  <si>
    <t>Comprende la capacitación en manejo de normatividad forestal y manejo de bosques, contratación de especialistas para tener presencia física en el área, equipamiento e infraestructura.</t>
  </si>
  <si>
    <t xml:space="preserve">N° de responsables de administración que aprueban evaluación de capacitación </t>
  </si>
  <si>
    <t>1.9.3</t>
  </si>
  <si>
    <t>Dependiendo de la categoría forestal a ser aplicada, se realizará un plan/declaración acorde la unidad, en el marco de la ley forestal y fauna silvestre N° 29763.</t>
  </si>
  <si>
    <t>N° Planes / Declaraciones elaborados</t>
  </si>
  <si>
    <t>Se considera la contratación de profesionales para la elaboración de los expedientes y/o declaraciones identificadas en los diferentes procesos.</t>
  </si>
  <si>
    <t>1.9.4</t>
  </si>
  <si>
    <t>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t>
  </si>
  <si>
    <t>Ha. Inscritas</t>
  </si>
  <si>
    <t>Contratación de dos profesioales para agilizar procesos con sunarp.</t>
  </si>
  <si>
    <r>
      <t xml:space="preserve">Las "Tierras sin categoría territorial asignada" son áreas que no poseen ninguna denominación o categoría asignada, que no llegan a superponerse con ninguna otra USA identificada, sin embargo pueden formar parte del alguna de ellas en realación al uso que le proponga, ya que en esta condición se ecuentran zonas con y sin bosques, en la UDT Huallaga Central y Bajo Mayo, abarcan una extención de </t>
    </r>
    <r>
      <rPr>
        <b/>
        <sz val="8"/>
        <color theme="1"/>
        <rFont val="Arial"/>
        <family val="2"/>
      </rPr>
      <t>237,645.44 Ha</t>
    </r>
    <r>
      <rPr>
        <sz val="8"/>
        <color theme="1"/>
        <rFont val="Arial"/>
        <family val="2"/>
      </rPr>
      <t>.</t>
    </r>
  </si>
  <si>
    <t>Diferentes actores dentro de Tierras sin categoría territorial asignada.</t>
  </si>
  <si>
    <t>Personas que la dan un uso particular a estas zonas, ya sea relacionado a los bosques o por lo contrario son ellos, que una vez definida la categoría ordenamiento forestal o título habilitante, se deberá considerar  acorde a la Unidad Socio Ambiental más adecuada de la Unidad de Desarrollo Territorial.</t>
  </si>
  <si>
    <t>1.10.1</t>
  </si>
  <si>
    <t>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t>
  </si>
  <si>
    <t>1.10.2</t>
  </si>
  <si>
    <t>1.10.3</t>
  </si>
  <si>
    <t>Dependiendo de la categoría forestal a ser aplicada, se realizará un plan/declaración acorde a la unidad, en el marco de la ley forestal y fauna silvestre N° 29763.</t>
  </si>
  <si>
    <t>1.10.4</t>
  </si>
  <si>
    <t>1.10.5</t>
  </si>
  <si>
    <t>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t>
  </si>
  <si>
    <t>Hectáreas restauradas</t>
  </si>
  <si>
    <t>El costo incluye la restauración de una hectárea, esta actividad se desarrollara de acuerdo a la metodología propuesta por el ARA, en coordinación con los productores seleccionados.</t>
  </si>
  <si>
    <t>1.11.1</t>
  </si>
  <si>
    <t>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t>
  </si>
  <si>
    <t>Acuerdos con rondas campesinas</t>
  </si>
  <si>
    <t>Reuniones con los diferentes actores involucrados y la sociedad civil para llegar a acuerdos de no deforestación, lo cual incluye  gastos logísticos en general.</t>
  </si>
  <si>
    <t>GRDS, ARA</t>
  </si>
  <si>
    <t>1.11.2</t>
  </si>
  <si>
    <t>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 Esta intervención será apoyada por las organizaciones formales de rondas campesinas rondas nativa si comités de monitoreo.</t>
  </si>
  <si>
    <t xml:space="preserve">Contratación de especialistas para realizar monitoreo de la cobertura de bosque, desde los diferentes órganos competentes. </t>
  </si>
  <si>
    <t>ARA, Serfor, Sernanp</t>
  </si>
  <si>
    <t>1.11.3</t>
  </si>
  <si>
    <t>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t>
  </si>
  <si>
    <t>Kilómetros mejorados</t>
  </si>
  <si>
    <t>Costo promedio por km2 de vía mejorada o asfaltada</t>
  </si>
  <si>
    <t>DRTyTC</t>
  </si>
  <si>
    <t>1.11.4</t>
  </si>
  <si>
    <t>Se cuenta con 160,810 Ha con probabilidad alta y muy alta para restauración, de las cuales 9,430.30 ha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t>
  </si>
  <si>
    <t>1.11.5</t>
  </si>
  <si>
    <t>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t>
  </si>
  <si>
    <t>Centros educativos y postas médicas  implementados</t>
  </si>
  <si>
    <t xml:space="preserve">El presupuesto esta relacionado a la implementación de la infraestructura, mobiliario y materiales educativos necesarios para que se brinde un servicio de calidad a los niños que aún no reciben dicho servicio de manera permanente. El presupuesto esta relacionado a la implementación de la infraestructura, equipos, materiales, insumos necesarios para que se brinde un servicio de calidad a la población que requiere dicho servicio </t>
  </si>
  <si>
    <t>Colegio de ingenieros de San Martín / GRDS</t>
  </si>
  <si>
    <t>1.11.6</t>
  </si>
  <si>
    <t>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t>
  </si>
  <si>
    <t>N° campañas</t>
  </si>
  <si>
    <t>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t>
  </si>
  <si>
    <t>1.11.7</t>
  </si>
  <si>
    <t>Promoción al acceso de la marca con los productores que cumplan los criterios de elegibilidad solicitados por el programa, como una estrategia de ubicar mercados diferenciados para los productos provenientes de estas zonas.</t>
  </si>
  <si>
    <t>N° de empresas que acceden a la marca.</t>
  </si>
  <si>
    <t>El costo incluye: Una inspección anual anunciada,  elaboración de informe de inspección, administración y comunicación, certificación según los estándares de la marca.</t>
  </si>
  <si>
    <t>Dircetur, Drasam</t>
  </si>
  <si>
    <t xml:space="preserve">Total Ppto UDT Huallaga Central y Bajo Mayo </t>
  </si>
  <si>
    <t xml:space="preserve">Esta Unidad Socioeconómica cuenta con 30,808 pequeños productores de las cadenas de cacao, café, palma aceitera, maíz, entre otros; de los cuales 2,878 productores están organizados en asociaciones o cooperativas y 27,930 no están organizados. La población organizada esta agrupada en 28 organizaciones de pequeños productores distribuidas de la siguiente manera : cacao 17 organizaciones con 1800 productores, palma aceitera 5 organizaciones con 792, café 4 organizaciones con 236 productores, plátano 2 organizaciones con 50 productores.
Cuenta con 89,915.30 Ha instaladas con los principales cultivos, de los cuales 30,728.30 ha de palma aceitera, 20,289.50 ha son de cacao, 16,817.5 ha de café, 10,015 ha de arroz, 8,452 ha de plátano, 2,630 ha de MAD, 97 ha de naranja.
</t>
  </si>
  <si>
    <t>Pequeños productores (con cultivos anuales y permanentes en superficies menores a 5 hectáreas y cuya producción está orientado al mercado local y en al caso de cacao y café al mercado exterior).</t>
  </si>
  <si>
    <t xml:space="preserve">UDT Alto Huallaga, comprende la provincia de Tocache y sus distritos: Nuevo Progreso, Pólvora, Shunte, Tocache, Uchiza. </t>
  </si>
  <si>
    <t>3.1.1</t>
  </si>
  <si>
    <t>3.1.2</t>
  </si>
  <si>
    <t>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t>
  </si>
  <si>
    <t>3.1.3</t>
  </si>
  <si>
    <t>3.1.4</t>
  </si>
  <si>
    <t>3.1.5</t>
  </si>
  <si>
    <t>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t>
  </si>
  <si>
    <t>3.1.6</t>
  </si>
  <si>
    <t>3.1.7</t>
  </si>
  <si>
    <t>Goresam</t>
  </si>
  <si>
    <t>3.1.8</t>
  </si>
  <si>
    <t>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t>
  </si>
  <si>
    <t>Acuicultores asistidos</t>
  </si>
  <si>
    <t>Direpro</t>
  </si>
  <si>
    <t>3.1.9</t>
  </si>
  <si>
    <t>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t>
  </si>
  <si>
    <t xml:space="preserve">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t>
  </si>
  <si>
    <t>Direpro, OPIPs</t>
  </si>
  <si>
    <t>3.1.10</t>
  </si>
  <si>
    <t>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t>
  </si>
  <si>
    <t>Drasam, Direpro, OPIPs</t>
  </si>
  <si>
    <t>3.1.11</t>
  </si>
  <si>
    <t>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t>
  </si>
  <si>
    <t>3.1.12</t>
  </si>
  <si>
    <t>3.1.13</t>
  </si>
  <si>
    <t>Drasam, Dircetur, Direpro</t>
  </si>
  <si>
    <t>3.1.14</t>
  </si>
  <si>
    <t>3.1.15</t>
  </si>
  <si>
    <t>3.1.16</t>
  </si>
  <si>
    <t>Implementar y promover la certificación de plantaciones de 8,086 pequeños productores, los cuales tienen 30,728.3 ha. La certificación RSPO permite facilitar el acceso a los mercados de los productos derivados de la palma aceitera.</t>
  </si>
  <si>
    <t>Hectáreas certificadas</t>
  </si>
  <si>
    <t>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
* no incl. Costos de infraestructura, HVC/HCS, costos de insumos y servicios de jornal, remediación y compensación entre otros</t>
  </si>
  <si>
    <t>Expertos RSPO &amp; RSPO</t>
  </si>
  <si>
    <t>Esta Unidad Socioeconómica cuenta con 985 productores arroz, se cuenta con 492.4 ha, los productores de esta zona.</t>
  </si>
  <si>
    <t>Expansión de las actividades agropecuarias, Corrupción, Limitado y poco transparente saneamiento fisico legal de la propiedad agraria, Inversión privada sin salvaguardas y estándares de no deforestación, débil implementación de herramientas de gobernanza y gestión territorial, Migración, Escasos incentivos para producción baja en emisiones, Acceso a financiamiento sin salvaguardas, tráfico de tierras, apertura o mejoramiento de vías de comunicación, limitada capacidad de planificación territorial, proyectos de inversión pública sin estándares ambientales adecuados, precio de tierra, débil control y vigilancia en ocupación del territorio y uso de sus recursos, débil articulación intersectorial y entre niveles de gobierno, sensación de impunidad, percepción de accesibilidad sobre la tierra y precio de la tierra.</t>
  </si>
  <si>
    <t>3.2.1</t>
  </si>
  <si>
    <t>3.2.2</t>
  </si>
  <si>
    <t>3.2.3</t>
  </si>
  <si>
    <t>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t>
  </si>
  <si>
    <t>3.2.4</t>
  </si>
  <si>
    <t>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t>
  </si>
  <si>
    <t>3.2.5</t>
  </si>
  <si>
    <t>3.2.6</t>
  </si>
  <si>
    <t>Organizaciones formalizadas</t>
  </si>
  <si>
    <t>3.2.7</t>
  </si>
  <si>
    <t>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t>
  </si>
  <si>
    <t>3.2.8</t>
  </si>
  <si>
    <t>Cuenta con 11,251.60 ha de pastos instalados (de corte y pastoreo), existen alrededor de 587ganaderos que tienen de 21 cabezas de ganado a más, se registran 323 productores organizados en 8 organizaciones; El 26.52% de ganaderos tienen entre 18 y 40 años, el 72.82% de ganaderos tienen edad promedio entre 41 y 80 años y 0.66 ganaderos tienen más de 81 años. En cuanto a la producción de carne, el 0.13% es destinada para el autoconsumo, 5.28 % es destinada a la venta regional y nacional y el 1.01% es destinada a la venta y al autoconsumo. La producción de leche es abastecida por 578 vacas, las que producen alrededor de 3,487 litros de leche por día. 2.67% de la producción de leche es destinada para el autoconsumo, 3.68% se destinada a la venta, el 2.49 % es para consumo y venta y el 0.28% se destina a programas sociales.</t>
  </si>
  <si>
    <t>Expansión de las actividades agropecuarias, Corrupción, Limitado y poco transparente saneamiento físico legal de la propiedad agraria, Inversión privada sin salvaguardas y estándares de no deforestación, débil implementación de herramientas de gobernanza y gestión territorial, Migración, Escasos incentivos para producción baja en emisiones, Acceso a financiamiento sin salvaguardas, tráfico de tierras, apertura o mejoramiento de vías de comunicación, limitada capacidad de planificación territorial, proyectos de inversión pública sin estándares ambientales adecuados, precio de tierra, débil control y vigilancia en ocupación del territorio y uso de sus recursos, débil articulación intersectorial y entre niveles de gobierno, sensación de impunidad, percepción de accesibilidad sobre la tierra y precio de la tierra.</t>
  </si>
  <si>
    <t>3.3.1</t>
  </si>
  <si>
    <t>3.3.2</t>
  </si>
  <si>
    <t>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t>
  </si>
  <si>
    <t>3.3.3</t>
  </si>
  <si>
    <t>3.3.4</t>
  </si>
  <si>
    <t>Reactivación  , implementación y gestión de las postas de inseminación artificial, importación de material genético (pajillas de semen), capacitación y entrenamiento a inseminadores, transferencia de embriones.</t>
  </si>
  <si>
    <t>Postas Reactivadas</t>
  </si>
  <si>
    <t xml:space="preserve"> Costo por posta reactivada y/o instalada, cada una estará ubicada en un punto estratégico para coberturar la mayor cantidad de ganaderos. Considerando la implementación con tanques criogénicos, materiales diversos, pajillas, técnico especialista, movilidad entre otros. </t>
  </si>
  <si>
    <t>3.3.5</t>
  </si>
  <si>
    <t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t>
  </si>
  <si>
    <t>3.3.6</t>
  </si>
  <si>
    <t>Costo implica la contratación de un profesional para realizar las labores de seguimiento y fortalecimiento de las organizaciones de forma permanente por el periodo de 10 años (120 meses)</t>
  </si>
  <si>
    <t>3.3.7</t>
  </si>
  <si>
    <t>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t>
  </si>
  <si>
    <t>Agroideas, Goresam</t>
  </si>
  <si>
    <t>3.3.8</t>
  </si>
  <si>
    <t>En la zona sur de la Región se ubica la empresa Oleaginosas del Perú S.A - OLPESA, la cual está conformada por la asociación ACEPAT y otros inversionistas privados, OLPESA es la principal acopiadora de los frutos de la palma aceitera de esta zona, para su posterior procesamiento y obtención de derivados, OLPESA comercializa derivados a nivel nacional. Así mismo dentro de este ámbito se ubica la empresa Palmas del espino, empresa del grupo Palmas.</t>
  </si>
  <si>
    <t>Grandes productores y comercializadores de palma aceitera.</t>
  </si>
  <si>
    <t>Grandes productores y empresas de palma aceitera, realizan acopio de materia prima para su posterior transformación y comercialización.</t>
  </si>
  <si>
    <t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t>
  </si>
  <si>
    <t>Brindar asesoramiento y acompañamiento a los productores organizados y no organizados en sus procesos de negociación, este acompañamiento permitirá llegar a buenos acuerdos con las empresas y asegurar que los pequeños productores tengan acceso a precios justos.</t>
  </si>
  <si>
    <t>El costo incluye la contratación de profesionales que se encarguen de identificar propuestas de alianzas comerciales entre productores y empresas privadas.</t>
  </si>
  <si>
    <t>Promover el financiamiento para el desarrollo e implementación de estudios de umbrales de carbono en el suelo y en los bosques.</t>
  </si>
  <si>
    <t xml:space="preserve">Estudios </t>
  </si>
  <si>
    <t xml:space="preserve">Estudio integrado de HCS/HVC incluye: (1) Scooping: Mapas preliminares HCS/HVC, trabajo de campo e informe (2) Informe HCS/HVC, documentos de base del estudio (shapes, base de datos)
*Se sugiere implementación con enfoque jurisdiccional </t>
  </si>
  <si>
    <t>Earth Worm Foundation</t>
  </si>
  <si>
    <t>Se registra 3 concesiones de Conservación con un total de 8,864.11 ha, Bosques del Sinaí con 4,105.98 ha, administrada por Asociación de Agricultores del monte de Sinaí, Bosques Mirador del Huallaga con 1,984.25 ha, administrada por Asociación Agricultores el Mirador del Huallaga, Maná Hermoso con 2,773.88, administrada por Asociación Comunidad Conservando los Bosques de Maná Hermoso Sub Cuenca Río Challuayacu.</t>
  </si>
  <si>
    <t>Representantes legales de concesiones de conservación, población acentuada dentro del área de conservación y en las zonas de amortiguamiento.</t>
  </si>
  <si>
    <t>Actors privados con autorización para conservar una determinada área, pequeños productores de cultivos como café, cacao.</t>
  </si>
  <si>
    <t>3.5.1</t>
  </si>
  <si>
    <t>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t>
  </si>
  <si>
    <t>3.5.2</t>
  </si>
  <si>
    <t>3.5.3</t>
  </si>
  <si>
    <t>3.5.4</t>
  </si>
  <si>
    <t>rutas turísticas promocionados</t>
  </si>
  <si>
    <t>Resumen descripción unidad socioeconómica</t>
  </si>
  <si>
    <t>Cuenta con 9 concesiones forestales con un total de 39,915.99 has, de las cuales 4 están activas con un total de 15,430.30 ha.: Biavo SAC con 1,662.30 ha, dentro de esta área se han deforestado 90.76 ha; Arnulfo Gilberto Ruffner Hidinger con 1,930.33, dentro de esta área se han deforestado 501.39 ha, Extractora Huallaga EIRL con 10,792.59 ha, de las cuales se han deforestado 1,116.66 ha; Madereras Cerro Azul SAC con 1,045.09 ha.</t>
  </si>
  <si>
    <t>Representantes legales de concesiones forestales, productores acentuados en las zonas de amortiguamiento.</t>
  </si>
  <si>
    <t>3.6.1</t>
  </si>
  <si>
    <t>3.6.2</t>
  </si>
  <si>
    <t>3.6.3</t>
  </si>
  <si>
    <t>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puedan acceder a este beneficio.</t>
  </si>
  <si>
    <t>Concesiones reactivas</t>
  </si>
  <si>
    <t xml:space="preserve">Cuenta con 190,649.09 ha, abarca las provincias de Mariscal Cáceres y Tocache; dentro de este ámbito entre los años 2000-2018 se han deforestado 1,381.67 ha. El área tiene una extensión para restauración en prioridades Alta y Muy Alta de 881.40 ha. </t>
  </si>
  <si>
    <t>Productores acentuados dentro de la zona de amortiguamiento de la ACR.</t>
  </si>
  <si>
    <t>Productores principalmente de cultivos en pequeñas extensiones de cacao y café, quienes realizan actividades extractivas y productivas. Guardaparques quienes son los responsables de prevenir que Actors no autorizados ingresen a la ZA del parque. El equipo técnico de PEHCBM, quien es el responsable de la administración de los fondos y de la planificación de las intervenciones dentro de sus competencias.</t>
  </si>
  <si>
    <t>3.7.1</t>
  </si>
  <si>
    <t>Propuesta de lineamientos para aprovechamiento sostenible de los Recursos Naturales Presentes.</t>
  </si>
  <si>
    <t>Lineamientos</t>
  </si>
  <si>
    <t>Contratación de equipo de profesionales para la elaboración de lineamientos de uso y demarcación de la ACR.</t>
  </si>
  <si>
    <t>Ara, serfor, Sernanp</t>
  </si>
  <si>
    <t>3.7.2</t>
  </si>
  <si>
    <t>3.7.3</t>
  </si>
  <si>
    <t>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t>
  </si>
  <si>
    <t>3.7.4</t>
  </si>
  <si>
    <t>Encuentros de productores con la finalidad de promocionar los diferentes sistemas productivos sostenibles a ser replicados en las comunidades.</t>
  </si>
  <si>
    <t>Encuentros</t>
  </si>
  <si>
    <t>3.7.5</t>
  </si>
  <si>
    <t>Campañas de promoción y difusión en el ámbito regional y nacional de los circuitos turísticos que existen en la zona de amortiguamiento.</t>
  </si>
  <si>
    <t>Dircetur, Mincetur</t>
  </si>
  <si>
    <t>3.7.6</t>
  </si>
  <si>
    <t>Actualización y elaboración de planes de gestión comunal de las localidades acentuadas en las zonas de amortiguamiento con la finalidad de orientar adecuadamente la implementación y ejecución de proyectos.</t>
  </si>
  <si>
    <t>3.7.7</t>
  </si>
  <si>
    <t>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t>
  </si>
  <si>
    <t>Proyectos ejecutados</t>
  </si>
  <si>
    <t>Financiamiento para la elaboración de expedientes técnicos y estudios complementarios, así como la ejecución de proyectos de inversión pública o de cooperación que contemplen la recuperación de la cuenca hídrica con la finalidad de conservar el recurso.</t>
  </si>
  <si>
    <t>3.7.8</t>
  </si>
  <si>
    <t>Implementación de planes de negocios para  la Diversificación y consolidación de la oferta turística, de esta manera promover el acondicionamiento y la gestión técnica en torno de los recursos y atractivos priorizados.</t>
  </si>
  <si>
    <r>
      <t>Las "Tierras sin categoría territorial asignada" son áreas que no poseen ninguna denominación o categoría asignada, que no llegan a superponerse con ninguna otra USA identificada, sin embargo pueden formar parte del alguna de ellas en realación al uso que le proponga, ya que en esta condición se ecuentran zonas con y sin bosques, en la UDT Alto Huallaga, abarcan una extención de</t>
    </r>
    <r>
      <rPr>
        <b/>
        <sz val="8"/>
        <color theme="1"/>
        <rFont val="Arial"/>
        <family val="2"/>
      </rPr>
      <t xml:space="preserve"> 37,903.70 Ha.</t>
    </r>
  </si>
  <si>
    <t>3.8.1</t>
  </si>
  <si>
    <t>3.8.2</t>
  </si>
  <si>
    <t>3.8.3</t>
  </si>
  <si>
    <t>3.8.4</t>
  </si>
  <si>
    <t>3.8.5</t>
  </si>
  <si>
    <t>3.9.1</t>
  </si>
  <si>
    <t>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t>
  </si>
  <si>
    <t>GRIS</t>
  </si>
  <si>
    <t>3.9.2</t>
  </si>
  <si>
    <t xml:space="preserve">Los cultivos alternativos promovidos por los programas de cooperación deberán considerar la no ampliación de la frontera agrícola, la no deforestación de bosques primarios y las intervenciones transversales de recuperación de áreas. </t>
  </si>
  <si>
    <t>Reuniones de coordinación</t>
  </si>
  <si>
    <t>Costo para cubrir los gastos logísticos para las reuniones con los diferentes actores involucrados y la sociedad civil para llegar a acuerdos para la implementación de proyectos agroforestales.</t>
  </si>
  <si>
    <t>3.9.3</t>
  </si>
  <si>
    <t>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t>
  </si>
  <si>
    <t>Costo promedio de por km2 de vía mejorada o asfaltada</t>
  </si>
  <si>
    <t>3.9.4</t>
  </si>
  <si>
    <t>Ejecución de proyectos de restauración en las 663 Ha con probabilidad alta y muy alta para desarrollar esta actividad; se cuenta con 401 ha que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t>
  </si>
  <si>
    <t>ARA, SERFOR</t>
  </si>
  <si>
    <t>3.9.5</t>
  </si>
  <si>
    <t>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t>
  </si>
  <si>
    <t>Centros de salud y colegios implementados</t>
  </si>
  <si>
    <t>Construcción e implementación de centros educativos y postas medicas</t>
  </si>
  <si>
    <t>3.9.6</t>
  </si>
  <si>
    <t>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t>
  </si>
  <si>
    <t>N° Campañas</t>
  </si>
  <si>
    <t>GORESAM</t>
  </si>
  <si>
    <t>3.9.7</t>
  </si>
  <si>
    <t>Organizaciones que acceden a la marca</t>
  </si>
  <si>
    <t>Total Ppto UDT  Alto Huallaga</t>
  </si>
  <si>
    <t xml:space="preserve">Programas de inversión privada; </t>
  </si>
  <si>
    <t>Esta Unidad Socioeconómica cuenta con 29,531 pequeños productores de las cadenas de café, cacao, plátano, pitahaya y maracuyá, de los cuales 7,595 productores están organizados en asociaciones o cooperativas y 21,936 no están organizados. la población organizada esta agrupada en 47 organizaciones de pequeños productores distribuidas de la siguiente manera : café 41 organizaciones con 6,462 productores, cacao 5 organizaciones con 1092 productores, plátano 1 organización con 19 productores, maracuyá 1 organización con 22 productores y miel 4 organizaciones con 141 productores.
Cuenta con 103,955.50 Ha instaladas con los principales cultivos, de los cuales 48,160.1  ha son de café, 3,476.4 ha de cacao, 3,605 ha de MAD, 124.5 de naranja, 10,546.5 de plátano.</t>
  </si>
  <si>
    <r>
      <t xml:space="preserve">UDT Alto Mayo, comprende las Provincias de </t>
    </r>
    <r>
      <rPr>
        <b/>
        <sz val="8"/>
        <color theme="1"/>
        <rFont val="Arial"/>
        <family val="2"/>
      </rPr>
      <t>Moyobamba (</t>
    </r>
    <r>
      <rPr>
        <sz val="8"/>
        <color theme="1"/>
        <rFont val="Arial"/>
        <family val="2"/>
      </rPr>
      <t xml:space="preserve">Calzada, Habana, Jepelacio, Moyobamba, Soritor y Yantalo) </t>
    </r>
    <r>
      <rPr>
        <b/>
        <sz val="8"/>
        <color theme="1"/>
        <rFont val="Arial"/>
        <family val="2"/>
      </rPr>
      <t>Rioja (</t>
    </r>
    <r>
      <rPr>
        <sz val="8"/>
        <color theme="1"/>
        <rFont val="Arial"/>
        <family val="2"/>
      </rPr>
      <t>Awajun, Elías Soplin Vargas, Nueva Cajamarca, Pardo Miguel, Posic, Rioja, San Fernando, Yorongos Yuracyacu)</t>
    </r>
  </si>
  <si>
    <t>2.1.1</t>
  </si>
  <si>
    <t>2.1.2</t>
  </si>
  <si>
    <t xml:space="preserve">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t>
  </si>
  <si>
    <t>2.1.3</t>
  </si>
  <si>
    <t>2.1.4</t>
  </si>
  <si>
    <t>2.1.5</t>
  </si>
  <si>
    <t>2.1.6</t>
  </si>
  <si>
    <t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t>
  </si>
  <si>
    <t>2.1.7</t>
  </si>
  <si>
    <t>2.1.8</t>
  </si>
  <si>
    <t xml:space="preserve">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t>
  </si>
  <si>
    <t>2.1.9</t>
  </si>
  <si>
    <t>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t>
  </si>
  <si>
    <t xml:space="preserve">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t>
  </si>
  <si>
    <t>2.1.10</t>
  </si>
  <si>
    <t>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t>
  </si>
  <si>
    <t>2.1.11</t>
  </si>
  <si>
    <t>2.1.12</t>
  </si>
  <si>
    <t>2.1.13</t>
  </si>
  <si>
    <t>2.1.14</t>
  </si>
  <si>
    <t>2.1.15</t>
  </si>
  <si>
    <t>Esta Unidad Socioeconómica cuenta con 3,741 productores arroz, cuenta con 5 organizaciones con un total de 225 productores, el área total destinada a este cultivo es igual 38,043 ha. El alquiler de tierras es una práctica recurrente en la zona, lo cual ocasiona conflictos sociales con las comunidades nativas. La producción es comercializada a través de los molinos, quienes brindan diversos servicios  e insumos a los productores, en forma de créditos, generándole dependencia comercial y financiera a los pequeños productores.</t>
  </si>
  <si>
    <r>
      <t xml:space="preserve">UDT Alto Mayo, comprende las Provincias de </t>
    </r>
    <r>
      <rPr>
        <b/>
        <sz val="8"/>
        <color theme="1"/>
        <rFont val="Arial"/>
        <family val="2"/>
      </rPr>
      <t>Moyobamba</t>
    </r>
    <r>
      <rPr>
        <sz val="8"/>
        <color theme="1"/>
        <rFont val="Arial"/>
        <family val="2"/>
      </rPr>
      <t xml:space="preserve"> (Calzada, Habana, Jepelacio, Moyobamba, Soritor y Yantalo),  </t>
    </r>
    <r>
      <rPr>
        <b/>
        <sz val="8"/>
        <color theme="1"/>
        <rFont val="Arial"/>
        <family val="2"/>
      </rPr>
      <t xml:space="preserve">Rioja </t>
    </r>
    <r>
      <rPr>
        <sz val="8"/>
        <color theme="1"/>
        <rFont val="Arial"/>
        <family val="2"/>
      </rPr>
      <t>(Awajun, Elías Soplin Vargas, Nueva Cajamarca, Pardo Miguel, Posic, Rioja, San Fernando, Yorongos Yuracyacu)</t>
    </r>
  </si>
  <si>
    <t>2.2.1</t>
  </si>
  <si>
    <t>2.2.2</t>
  </si>
  <si>
    <t>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t>
  </si>
  <si>
    <t>El costo Incluye la adquirió de semillas certificadas, los pagos y trámites al CORESE  y los Servicios de Asistencia Técnica especializada. No incluye costos de alquiler de terrenos. Con respecto al fortalecimiento del INIA, se espera que el MINAGRI, asigne un mayor presupuesto para este rubro.</t>
  </si>
  <si>
    <t>2.2.3</t>
  </si>
  <si>
    <t xml:space="preserve">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t>
  </si>
  <si>
    <t>2.2.4</t>
  </si>
  <si>
    <t>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t>
  </si>
  <si>
    <t>2.2.5</t>
  </si>
  <si>
    <t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t>
  </si>
  <si>
    <t>2.2.6</t>
  </si>
  <si>
    <t>2.2.7</t>
  </si>
  <si>
    <t>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t>
  </si>
  <si>
    <t>2.2.8</t>
  </si>
  <si>
    <t>Cuenta con 14,015.50 ha de pastos instalados (de corte y pastoreo), existen alrededor de 1,424 ganaderos que tienen de 21 cabezas de ganado a más, de los cuales el 7%  están organizados y 93% no están organizados; El 26.52% % de ganaderos tienen entre 18 y 40 años, el 72.82%  de ganaderos tienen edad promedio entre 41 y 80 años y 0.66 ganaderos tienen mas de 81 años.. En cuanto a la producción de carne, el 1.26 %  es destinada para el autoconsumo, 20.1 % es destinada a la venta  regional y nacional y el 1.13% es destinada a la venta y al autoconsumo. La producción de leche es abastecida por 891 vacas, las que producen alrededor de 5,554 litros de leche por día. 9% de la producción de leche es destinada para el autoconsumo, 10% se destinada a la venta, el 5.2 % es para consumo y venta y el 1.8% se destina a programas sociales.</t>
  </si>
  <si>
    <r>
      <t>UDT Alto Mayo, comprende las Provincias de</t>
    </r>
    <r>
      <rPr>
        <b/>
        <sz val="8"/>
        <color theme="1"/>
        <rFont val="Arial"/>
        <family val="2"/>
      </rPr>
      <t xml:space="preserve"> Moyobamba</t>
    </r>
    <r>
      <rPr>
        <sz val="8"/>
        <color theme="1"/>
        <rFont val="Arial"/>
        <family val="2"/>
      </rPr>
      <t xml:space="preserve"> (Calzada, Habana, Jepelacio, Moyobamba, Soritor y Yantalo) </t>
    </r>
    <r>
      <rPr>
        <b/>
        <sz val="8"/>
        <color theme="1"/>
        <rFont val="Arial"/>
        <family val="2"/>
      </rPr>
      <t xml:space="preserve">Rioja </t>
    </r>
    <r>
      <rPr>
        <sz val="8"/>
        <color theme="1"/>
        <rFont val="Arial"/>
        <family val="2"/>
      </rPr>
      <t>(Awajun, Elías Soplin Vargas, Nueva Cajamarca, Pardo Miguel, Posic, Rioja, San Fernando, Yorongos Yuracyacu)</t>
    </r>
  </si>
  <si>
    <t>2.3.1</t>
  </si>
  <si>
    <t>2.3.2</t>
  </si>
  <si>
    <t>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t>
  </si>
  <si>
    <t>2.3.3</t>
  </si>
  <si>
    <t>2.3.4</t>
  </si>
  <si>
    <t>Reactivación, implementación y gestión de las postas de inseminación artificial, importación de material genético (pajillas de semen), capacitación y entrenamiento a inseminadores, transferencia de embriones a las granjas de los productores y asistencia técnica.</t>
  </si>
  <si>
    <t xml:space="preserve"> Costo por posta reactivada y/o instalada, cada una estará ubicada en un  punto estratégico para coberturar la mayor cantidad de ganaderos. Considerando la implementación con tanques criogénicos, materiales diversos, pajillas, técnico especialista, movilidad entre otros. </t>
  </si>
  <si>
    <t>2.3.5</t>
  </si>
  <si>
    <t>2.3.6</t>
  </si>
  <si>
    <t>2.3.7</t>
  </si>
  <si>
    <t>2.3.8</t>
  </si>
  <si>
    <t>Se registran 14 CC.NN y 01 Comunidad Campesina (PAZ Y ESPERANZA) de las cuales todas se encuentran titulados, las mismas que detallamos a continuación: CACHIYACU, DORADO, HUASCAYACU, KUSU, MORROYACU, NUEVA JERUSALEN, SAN RAFAEL, SHIMPIYACU, TIWIYACU, YARAU, COMUNIDAD CAMPESINA PAZ Y ESPERANZA, ALTO MAYO, ALTO NARANJILLO, BAJO NARANJILLO y SHAMPUYACU</t>
  </si>
  <si>
    <r>
      <t xml:space="preserve">UDT Alto Mayo, comprende las Provincias de </t>
    </r>
    <r>
      <rPr>
        <b/>
        <sz val="8"/>
        <color theme="1"/>
        <rFont val="Arial"/>
        <family val="2"/>
      </rPr>
      <t>Moyobamba</t>
    </r>
    <r>
      <rPr>
        <sz val="8"/>
        <color theme="1"/>
        <rFont val="Arial"/>
        <family val="2"/>
      </rPr>
      <t xml:space="preserve"> (Calzada, Habana, Jepelacio, Moyobamba, Soritor y Yantalo)</t>
    </r>
    <r>
      <rPr>
        <b/>
        <sz val="8"/>
        <color theme="1"/>
        <rFont val="Arial"/>
        <family val="2"/>
      </rPr>
      <t xml:space="preserve"> Rioja </t>
    </r>
    <r>
      <rPr>
        <sz val="8"/>
        <color theme="1"/>
        <rFont val="Arial"/>
        <family val="2"/>
      </rPr>
      <t>(Awajun, Elías Soplin Vargas, Nueva Cajamarca, Pardo Miguel, Posic, Rioja, San Fernando, Yorongos Yuracyacu)</t>
    </r>
  </si>
  <si>
    <t>Expansión de las actividades agropecuarias, Corrupción, Limitado y poco transparente saneamiento físico legal de la propiedad agraria, Inversión privada sin salvaguardas y estándares de no deforestación, débil implementación de herramientas de gobernanza y gestión territorial, Migración, Escasos incentivos para producción baja en emisiones, Acceso a financiamiento sin salvaguardas, Percepción de accesibilidad sobre la tierra y precio de la tierra, Apertura o mejoramiento de vías de comunicación, tráfico de tierras, limitada capacidad de planificación territorial, proyectos de inversión pública sin estándares ambientales adecuados, débil control y vigilancia en ocupación del territorio y sus recursos, débil catastro rural y saneamiento de las propiedad, actividad económica generadora de empleo, sensación de impunidad.</t>
  </si>
  <si>
    <t>2.4.1</t>
  </si>
  <si>
    <t>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
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t>
  </si>
  <si>
    <t>Porcentaje de conflictos resueltos</t>
  </si>
  <si>
    <t xml:space="preserve">Gastos logísticos y administrativos para implementar reuniones con los actores involucrados, con la finalidad de solucionar los diferentes conflictos entre las CCNN y los productores, así mismo se  brindará asesoramiento legal y técnico a las CCNN para la solución de los conflictos. los gastos incluye la contratación de profesionales como antropólogos, especialistas SIG, Abogados, Especialistas en suelos y especialista social, así mismos pagos de trámites documentarios en Registros Públicos y Dirección de Titulación y catastro rural.  </t>
  </si>
  <si>
    <t>2.4.2</t>
  </si>
  <si>
    <t>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t>
  </si>
  <si>
    <t>2.4.3</t>
  </si>
  <si>
    <t>Se contratará profesionales para el asesoramiento y formulación de planes de negocios de las Comunidades Nativas y Campesinas.</t>
  </si>
  <si>
    <t>2.4.4</t>
  </si>
  <si>
    <t>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t>
  </si>
  <si>
    <t>2.4.5</t>
  </si>
  <si>
    <t>2.4.6</t>
  </si>
  <si>
    <t>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t>
  </si>
  <si>
    <t xml:space="preserve">El costo esta referido a los gastos administrativos y logísticos que impliquen la elaboración del expediente para ser presentado al programa. </t>
  </si>
  <si>
    <t>Gerencia Regional de Desarrollo Social, Programa Geo bosques</t>
  </si>
  <si>
    <t>2.4.7</t>
  </si>
  <si>
    <t xml:space="preserve">Con el soporte de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t>
  </si>
  <si>
    <t>Goresam, MIDIS, DRTyTC, Drasam,Foncodes, Cooperación</t>
  </si>
  <si>
    <t>2.4.8</t>
  </si>
  <si>
    <t>Se registra 4 concesiones de conservación con un total de 9,086.37 ha,  Bosque de Angaiza con 4,979.70, representada por Federación de Pueblos indígenas Kechkuas de la Región San Martín, Tingana con 2,867.74 ha, administrada por Asociación de Conservación de aguajales y renacales del Alto Mayo, Pucawicsa con 818.31 ha, administrada por James Arsenio Carranza Rivera; Bosques de Marona con 419.63 ha, administrada por Rondas Campesinas de Marona.</t>
  </si>
  <si>
    <r>
      <t xml:space="preserve">UDT Alto Mayo, comprende las Provincias de </t>
    </r>
    <r>
      <rPr>
        <b/>
        <sz val="8"/>
        <color theme="1"/>
        <rFont val="Arial"/>
        <family val="2"/>
      </rPr>
      <t>Moyobamba</t>
    </r>
    <r>
      <rPr>
        <sz val="8"/>
        <color theme="1"/>
        <rFont val="Arial"/>
        <family val="2"/>
      </rPr>
      <t xml:space="preserve"> (Calzada, Habana, Jepelacio, Moyobamba, Soritor y Yantalo)</t>
    </r>
    <r>
      <rPr>
        <b/>
        <sz val="8"/>
        <color theme="1"/>
        <rFont val="Arial"/>
        <family val="2"/>
      </rPr>
      <t xml:space="preserve"> Rioja</t>
    </r>
    <r>
      <rPr>
        <sz val="8"/>
        <color theme="1"/>
        <rFont val="Arial"/>
        <family val="2"/>
      </rPr>
      <t xml:space="preserve"> (Awajun, Elías Soplin Vargas, Nueva Cajamarca, Pardo Miguel, Posic, Rioja, San Fernando, Yorongos Yuracyacu)</t>
    </r>
  </si>
  <si>
    <t>2.5.1</t>
  </si>
  <si>
    <t>2.5.2</t>
  </si>
  <si>
    <t>2.5.3</t>
  </si>
  <si>
    <t>2.5.4</t>
  </si>
  <si>
    <t>Cuenta con 176,003.36 ha de las provincias de Moyobamba y Rioja;  dentro de este ámbito entre los años 2000-2018 se han deforestado 7,341.48 ha. La zona de amortiguamiento cuenta con 99,509.35 ha, de las cuales entre los años 2000-2018 se han deforestado 12,149.25 ha lo cual representa el 12% del área de amortiguamiento. esta administrada por el SERNANP, quien realiza actividades  de control y vigilancia, asistencia técnica y otras actividades. Dentro de este ámbito se encuentran las comunidades nativas de Alto Mayo ( 1,264.58 ha) y Cachiyacu (112.85 ha).</t>
  </si>
  <si>
    <t>Productores asentuados dentro de la zona de amortiguamiento de la ACR, guarda parques, equipo de coordinación del BPAM</t>
  </si>
  <si>
    <t>2.6.1</t>
  </si>
  <si>
    <t>2.6.2</t>
  </si>
  <si>
    <t>Campañas de sensibilización en distritos acentuadas en el ámbito del ANP, considerando la participación del ARA, DRASAM, DIRCETUR, GRDS, CGSCM, CGBPAM, PNCB, OSINFOR. Articular acciones de vigilancia y control entre el ente que administra el ANP (SERNANP), cooperantes, población organizada como Juntas vecinales, comités de vigilancia, rondas campesinas, productores, comités y otros que se benefician de los servicios eco sistémicos del ANP</t>
  </si>
  <si>
    <t>2.6.3</t>
  </si>
  <si>
    <t>2.6.4</t>
  </si>
  <si>
    <t>Campañas de promoción y difusión en el ámbito regional y nacional de los circuitos turísticos que existen en la zona de amortiguamiento. acorde al plan maestro del BPAM.  https://es.scribd.com/document/74386745/PLAN-DE-USO-TURISTICO-BPAM</t>
  </si>
  <si>
    <t>2.6.5</t>
  </si>
  <si>
    <t>Realizar pasantías focalizadas en aquellos sectores claves que se necesita intervenir para disminuir la presión al ANP.</t>
  </si>
  <si>
    <t>2.6.6</t>
  </si>
  <si>
    <t>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t>
  </si>
  <si>
    <t>El costo comprende la contratación de profesionales para brindar asistencias técnica en los cultivos priorizados en la zona de intervención.</t>
  </si>
  <si>
    <t>2.6.7</t>
  </si>
  <si>
    <t>Posesionarias asentuados dentro de las ZOCRES.</t>
  </si>
  <si>
    <t>UDT Alto Mayo, comprende las Provincias de Moyobamba (Calzada, Habana, Jepelacio, Moyobamba, Soritor y Yantalo) Rioja (Awajun, Elías Soplin Vargas, Nueva Cajamarca, Pardo Miguel, Posic, Rioja, San Fernando, Yorongos Yuracyacu)</t>
  </si>
  <si>
    <t>2.7.1</t>
  </si>
  <si>
    <t xml:space="preserve">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t>
  </si>
  <si>
    <t>2.7.2</t>
  </si>
  <si>
    <t>2.7.3</t>
  </si>
  <si>
    <t>2.7.4</t>
  </si>
  <si>
    <r>
      <t xml:space="preserve">Las "Tierras sin categoría territorial asignada" son áreas que no poseen ninguna denominación o categoría asignada, que no llegan a superponerse con ninguna otra USA identificada, sin embargo pueden formar parte del alguna de ellas en realación al uso que le proponga, ya que en esta condición se ecuentran zonas con y sin bosques, en la UDT Alto Mayo, abarcan una extención de </t>
    </r>
    <r>
      <rPr>
        <b/>
        <sz val="8"/>
        <color theme="1"/>
        <rFont val="Arial"/>
        <family val="2"/>
      </rPr>
      <t>24,905.19 Ha.</t>
    </r>
  </si>
  <si>
    <t>2.8.1</t>
  </si>
  <si>
    <t>2.8.2</t>
  </si>
  <si>
    <t>2.8.3</t>
  </si>
  <si>
    <t>2.8.4</t>
  </si>
  <si>
    <t>2.8.5</t>
  </si>
  <si>
    <t>Intervenciones Transversales X UDT</t>
  </si>
  <si>
    <t>2.9.1</t>
  </si>
  <si>
    <t>2.9.2</t>
  </si>
  <si>
    <t>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Esta intervención será apoyada por las organizaciones formales de rondas campesinas, rondas campesinas rondas nativas y comités de monitoreo.</t>
  </si>
  <si>
    <t>2.9.3</t>
  </si>
  <si>
    <t>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t>
  </si>
  <si>
    <t>2.9.4</t>
  </si>
  <si>
    <t>En marco de la Zonificación Forestal donde se identificaron zonas de recuperación y tratamiento especial para la restauración de áreas con prioridad alta y muy alta para restauración, utilizando las diferentes metodologías de restauración propuesta por la entidad competente. Las actividades de restauración tendrán como objetivos desarrollar la agroforestería, recuperar servicios eco sistémicos y recuperar zonas productivas.</t>
  </si>
  <si>
    <t>Hectáreas Restauradas</t>
  </si>
  <si>
    <t>2.9.5</t>
  </si>
  <si>
    <t>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t>
  </si>
  <si>
    <t>Centros educativos y postas médicas implementados</t>
  </si>
  <si>
    <t>El presupuesto esta relacionado a la implementación de la infraestructura, mobiliario y materiales educativos necesarios para que se brinde un servicio de calidad a los niños que aún no reciben dicho servicio de manera permanente.</t>
  </si>
  <si>
    <t>2.9.6</t>
  </si>
  <si>
    <t>2.9.7</t>
  </si>
  <si>
    <t>Total Ppto UDT Alto Mayo</t>
  </si>
  <si>
    <t>Esta Unidad Socioeconómica cuenta con 27,107 pequeños productores de las cadenas de cacao, café, palma aceitera, pijuayo para palmito, entre otros; de los cuales 1,405 productores están organizados en asociaciones o cooperativas y 25,700 no están organizados. La población organizada esta agrupada en 6 organizaciones de pequeños productores distribuidas de la siguiente manera : cacao 4 organizaciones con 476 productores, palma aceitera 1 organización con 629 productores y pijuayo para palmito con 300 productores.
Cuenta con 71,598.06 Ha instaladas con los principales cultivos, de los cuales 21,810.56 ha son de cacao, 15,847.5 ha de café, 11,091.40 ha de plátano, 10943.00 ha de arroz, 8,211.60 ha de palma aceitera, 2,985 ha de MAD y 560 ha de pijuayo para palmito.</t>
  </si>
  <si>
    <r>
      <t xml:space="preserve">UDT Bajo Huallaga, comprende las Provincias de </t>
    </r>
    <r>
      <rPr>
        <b/>
        <sz val="8"/>
        <color theme="1"/>
        <rFont val="Arial"/>
        <family val="2"/>
      </rPr>
      <t>Lamas</t>
    </r>
    <r>
      <rPr>
        <sz val="8"/>
        <color theme="1"/>
        <rFont val="Arial"/>
        <family val="2"/>
      </rPr>
      <t xml:space="preserve"> ( Barranquita y Caynarachi) ; y </t>
    </r>
    <r>
      <rPr>
        <b/>
        <sz val="8"/>
        <color theme="1"/>
        <rFont val="Arial"/>
        <family val="2"/>
      </rPr>
      <t xml:space="preserve">San Martín </t>
    </r>
    <r>
      <rPr>
        <sz val="8"/>
        <color theme="1"/>
        <rFont val="Arial"/>
        <family val="2"/>
      </rPr>
      <t>(Chazuta, Chipurana, El Porvenir, Huimbayoc y Papaplaya)</t>
    </r>
  </si>
  <si>
    <t>4.1.1</t>
  </si>
  <si>
    <t>4.1.2</t>
  </si>
  <si>
    <t xml:space="preserve">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t>
  </si>
  <si>
    <t>4.1.3</t>
  </si>
  <si>
    <t>Hectáreas Intervenidas</t>
  </si>
  <si>
    <t>4.1.4</t>
  </si>
  <si>
    <t>Hectáreas fertilizadas</t>
  </si>
  <si>
    <t>4.1.5</t>
  </si>
  <si>
    <t>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t>
  </si>
  <si>
    <t>modulo instalado incluyendo fertilizantes para una campaña</t>
  </si>
  <si>
    <t>4.1.6</t>
  </si>
  <si>
    <t>4.1.7</t>
  </si>
  <si>
    <t>4.1.8</t>
  </si>
  <si>
    <t xml:space="preserve">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t>
  </si>
  <si>
    <t>4.1.9</t>
  </si>
  <si>
    <t>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t>
  </si>
  <si>
    <t>4.1.10</t>
  </si>
  <si>
    <t>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t>
  </si>
  <si>
    <t>4.1.11</t>
  </si>
  <si>
    <t>4.1.12</t>
  </si>
  <si>
    <t>4.1.13</t>
  </si>
  <si>
    <t>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t>
  </si>
  <si>
    <t>4.1.14</t>
  </si>
  <si>
    <t>4.1.15</t>
  </si>
  <si>
    <t>Implementar y promover la certificación de plantaciones de 2161 pequeños productores, los cuales tienen 8,211 ha. La certificación RSPO permite facilitar el acceso a los mercados de los productos derivados de la palma aceitera. Esta intervención forma parte del fortalecimiento de la infraestrucura de la calidad en las cadenas.</t>
  </si>
  <si>
    <t>4.1.16</t>
  </si>
  <si>
    <t>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t>
  </si>
  <si>
    <t>4.1.17</t>
  </si>
  <si>
    <t>Cuenta con 3,795 ha de pastos instalados (de corte y pastoreo), existen alrededor de 1,214 ganaderos que tienen de 21 cabezas de ganado a más, no se registran ganaderos organizados; El 26.52% de ganaderos tienen entre 18 y 40 años, el 72.82% de ganaderos tienen edad promedio entre 41 y 80 años y 0.66 ganaderos tienen más de 81 años. En cuanto a la producción de carne, el 3.7% es destinada para el autoconsumo, 21.3 % es destinada a la venta regional y nacional y el 2.5% es destinada a la venta y al autoconsumo. La producción de leche es abastecida por 2,834 vacas, las que producen alrededor de 15,998 litros de leche por día. 10.3% de la producción de leche es destinada para el autoconsumo, 20.4% se destinada a la venta, el 4.4 % es para consumo y venta y el 0.4% se destina a programas sociales.</t>
  </si>
  <si>
    <t>4.2.1</t>
  </si>
  <si>
    <t>4.2.2</t>
  </si>
  <si>
    <t>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t>
  </si>
  <si>
    <t>4.2.3</t>
  </si>
  <si>
    <t>4.2.4</t>
  </si>
  <si>
    <t>4.2.5</t>
  </si>
  <si>
    <t>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t>
  </si>
  <si>
    <t>4.2.6</t>
  </si>
  <si>
    <t>4.2.7</t>
  </si>
  <si>
    <t>4.2.8</t>
  </si>
  <si>
    <t>Dentro del ámbito de esta UDT, encontramos a la empresa Indupalsa, quien realiza la compra del fruto de la palma aceitera a los productores de la asociación APROPAL y otros productores de la zona, esta empresa realiza el procesamiento y posterior comercialización del aceite crudo de palma a empresas del Norte del país y a Lima. Así mismo se ubica empresas productoras de grandes extensiones como Palmas del Shanusi, quien sería el brazo productor de Industrial del Espino S.A, principal empresa exportadora a nivel nacional.</t>
  </si>
  <si>
    <t>4.3.1</t>
  </si>
  <si>
    <t>4.3.2</t>
  </si>
  <si>
    <t>4.3.3</t>
  </si>
  <si>
    <t>4.3.4</t>
  </si>
  <si>
    <t>En la UDT se registran 47 CC.NN, de las cuales 04 están tituladas (SHAWI LOS FLORES DEL PARAÍSO, IKAMIA AENTS, ATUN PAMPA, MUSHUCK REFORMA); En proceso de reconocimiento: 4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t>
  </si>
  <si>
    <t>Pobladores nativos acentuados en la región, realizan principalmente actividades agrícolas, pero en pequeñas extensiones, carecen de servicios de asistencia técnica y en algunos casos están perdiendo su identidad cultural.</t>
  </si>
  <si>
    <t>4.4.1</t>
  </si>
  <si>
    <t>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
Saneamiento físico legal (georreferenciación, actualización gráfica, e inscripción en registros públicos), en concordancia con la R.M. 0370-2017-MINAGRI, de 2 comunidades nativas: MUSHUCK LLACTA DE CHIPAOTA y  CHARAPILLO.</t>
  </si>
  <si>
    <t>4.4.2</t>
  </si>
  <si>
    <t>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t>
  </si>
  <si>
    <t>4.4.3</t>
  </si>
  <si>
    <t>Drasam, Agroideas, CODEPISAM</t>
  </si>
  <si>
    <t>4.4.4</t>
  </si>
  <si>
    <t>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t>
  </si>
  <si>
    <t>4.4.5</t>
  </si>
  <si>
    <t>Drasam, Direpro, Dircetur, ARA, OPIPs, CODEPISAM</t>
  </si>
  <si>
    <t>4.4.6</t>
  </si>
  <si>
    <t>4.4.7</t>
  </si>
  <si>
    <t>4.4.8</t>
  </si>
  <si>
    <t>Se registra solo una Concesión de Conservación, que cuenta con 1,196.64 ha, esta administrada por la Asociación para la Conservación el Paraíso de Yurilamas, abarca territorio de la provincia de Lamas en el distrito de Caynarachi.</t>
  </si>
  <si>
    <t>4.5.1</t>
  </si>
  <si>
    <t>4.5.2</t>
  </si>
  <si>
    <t>4.5.3</t>
  </si>
  <si>
    <t>4.5.4</t>
  </si>
  <si>
    <t>Cuenta con 147,454.90, abarca las provincias de Lamas y San Martín; dentro de este ámbito entre los años 2000-2018 se han deforestado 2,718.12 ha. Esta administrada por el Proyecto Especial Huallaga Central y Bajo Mayo, quien realiza actividades de control y vigilancia, asistencia técnica y otras actividades. Dentro del área de Conservación se encuentran las siguientes comunidades nativas: Charapillo (84.48 ha), Chumbaquiwi (150.26 ha), Chunchiwui (1,707.65 ha), Nuevo Lamas de Shapaja (1,314.79 ha), Pampa Sacha (2.18 ha) y Yurilamas (1,371.29 ha).</t>
  </si>
  <si>
    <t>Productores acentuados dentro de la zona de amortiguamiento de la ACR, guardaparques, equipo técnico del PEHCBM</t>
  </si>
  <si>
    <t>4.6.1</t>
  </si>
  <si>
    <t>4.6.2</t>
  </si>
  <si>
    <t>4.6.3</t>
  </si>
  <si>
    <t>4.6.4</t>
  </si>
  <si>
    <t>4.6.5</t>
  </si>
  <si>
    <t>Pasantías regionales con productores con la finalidad de conocer  los diferentes sistemas productivos sostenibles a ser replicados en las comunidades.</t>
  </si>
  <si>
    <t>4.6.6</t>
  </si>
  <si>
    <t>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t>
  </si>
  <si>
    <t>4.6.7</t>
  </si>
  <si>
    <t>Implementación de planes de negocios para el desarrollo de rutas turísticas, turismo vivencial comunitario, y otras modalidades de servicios que sean generadoras de ingresos económicos, respetando el medio ambiente.</t>
  </si>
  <si>
    <t>4.6.8</t>
  </si>
  <si>
    <t>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t>
  </si>
  <si>
    <t>4.7.1</t>
  </si>
  <si>
    <t xml:space="preserve">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t>
  </si>
  <si>
    <t>4.7.2</t>
  </si>
  <si>
    <t>4.7.3</t>
  </si>
  <si>
    <t>4.7.4</t>
  </si>
  <si>
    <r>
      <t xml:space="preserve">Las "Tierras sin categoría territorial asignada" son áreas que no poseen ninguna denominación o categoría asignada, que no llegan a superponerse con ninguna otra USA identificada, sin embargo pueden formar parte del alguna de ellas en realación al uso que le proponga, ya que en esta condición se ecuentran zonas con y sin bosques, en la UDT Bajo Huallaga, abarcan una extención de </t>
    </r>
    <r>
      <rPr>
        <b/>
        <sz val="8"/>
        <color theme="1"/>
        <rFont val="Arial"/>
        <family val="2"/>
      </rPr>
      <t>94,597.62 Ha</t>
    </r>
    <r>
      <rPr>
        <sz val="8"/>
        <color theme="1"/>
        <rFont val="Arial"/>
        <family val="2"/>
      </rPr>
      <t>.</t>
    </r>
  </si>
  <si>
    <t>4.8.1</t>
  </si>
  <si>
    <t>4.8.2</t>
  </si>
  <si>
    <t>4.8.3</t>
  </si>
  <si>
    <t>4.8.4</t>
  </si>
  <si>
    <t>4.8.5</t>
  </si>
  <si>
    <t>4.9.1</t>
  </si>
  <si>
    <t>4.9.2</t>
  </si>
  <si>
    <t>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t>
  </si>
  <si>
    <t>4.9.3</t>
  </si>
  <si>
    <t>Ejecución de proyectos de restauración dentro de las áreas con prioridad alta. La GRDE, el ARA y los proyectos especiales a través de sus diferentes direcciones de línea, deberán implementar esta actividad a través de los PIP y actividades propias de las direcciones.</t>
  </si>
  <si>
    <t>4.9.4</t>
  </si>
  <si>
    <t>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t>
  </si>
  <si>
    <t>4.9.5</t>
  </si>
  <si>
    <t>4.9.6</t>
  </si>
  <si>
    <t>Total Ppto UDT Bajo Huallaga</t>
  </si>
  <si>
    <t>Presupuesto en U$$</t>
  </si>
  <si>
    <t>Distribución del Presupuesto del 2025</t>
  </si>
  <si>
    <t>TIPO DE APALANCAMIENTO</t>
  </si>
  <si>
    <t>Tipo de Recurso</t>
  </si>
  <si>
    <t>Programa / Proyecto</t>
  </si>
  <si>
    <t>Componente</t>
  </si>
  <si>
    <t>Cod Componete</t>
  </si>
  <si>
    <t>Enfoque</t>
  </si>
  <si>
    <t>INC</t>
  </si>
  <si>
    <t>NR</t>
  </si>
  <si>
    <t>COMP 8</t>
  </si>
  <si>
    <t>PROTECCIÓN-GOBERNANZA</t>
  </si>
  <si>
    <t>C5</t>
  </si>
  <si>
    <t>COMP 1</t>
  </si>
  <si>
    <t>PRODUCCIÓN</t>
  </si>
  <si>
    <t>C1</t>
  </si>
  <si>
    <t>R</t>
  </si>
  <si>
    <t>C17</t>
  </si>
  <si>
    <t xml:space="preserve">COMP 4 </t>
  </si>
  <si>
    <t>R - COF</t>
  </si>
  <si>
    <t>C12</t>
  </si>
  <si>
    <t>FR</t>
  </si>
  <si>
    <t>C3</t>
  </si>
  <si>
    <t>COMP 11</t>
  </si>
  <si>
    <t>C6</t>
  </si>
  <si>
    <t>C7</t>
  </si>
  <si>
    <t>COMP 2</t>
  </si>
  <si>
    <t>C2</t>
  </si>
  <si>
    <t>COMP 3</t>
  </si>
  <si>
    <t>C9</t>
  </si>
  <si>
    <t>COMP 5</t>
  </si>
  <si>
    <t>PROTECCIÓN</t>
  </si>
  <si>
    <t>C15</t>
  </si>
  <si>
    <t>COMP 6</t>
  </si>
  <si>
    <t>C8</t>
  </si>
  <si>
    <t>COMP 9</t>
  </si>
  <si>
    <t>INCLUSION</t>
  </si>
  <si>
    <t>C14</t>
  </si>
  <si>
    <t>C11</t>
  </si>
  <si>
    <t>HABILITANTE</t>
  </si>
  <si>
    <t>C21</t>
  </si>
  <si>
    <t>C4</t>
  </si>
  <si>
    <t>C10</t>
  </si>
  <si>
    <t>C18</t>
  </si>
  <si>
    <t>COMP 10</t>
  </si>
  <si>
    <t>C20</t>
  </si>
  <si>
    <t>C19</t>
  </si>
  <si>
    <t xml:space="preserve">1. Costos centrales de monitoreo </t>
  </si>
  <si>
    <t xml:space="preserve">Linea de costo </t>
  </si>
  <si>
    <t xml:space="preserve">Costo individual </t>
  </si>
  <si>
    <t>Costo total al 2025</t>
  </si>
  <si>
    <t>Programación de costos</t>
  </si>
  <si>
    <t>Equipo técnico</t>
  </si>
  <si>
    <t>Responsable de la unidad de monitoreo</t>
  </si>
  <si>
    <t>Contratación de especialista senior a tiempo completo con experiencia en la dirección de proyectos por doce meses por cinco años</t>
  </si>
  <si>
    <t xml:space="preserve">Mensual </t>
  </si>
  <si>
    <t xml:space="preserve">Especialista SIG </t>
  </si>
  <si>
    <t>Contratación de especialista SIG para elaborar información geoespacial por doce meses por cinco años</t>
  </si>
  <si>
    <t>Especialista estadístico</t>
  </si>
  <si>
    <t xml:space="preserve">Contratación de especialista estadístico para  analisis sobre avance en resultados, intervenciones y evaluación del proceso de la ERDRBE por doce meses por cinco años </t>
  </si>
  <si>
    <t>Subtotal en nuevos soles</t>
  </si>
  <si>
    <t>Equipos y muebles</t>
  </si>
  <si>
    <t xml:space="preserve">Computadoras </t>
  </si>
  <si>
    <t xml:space="preserve">Tres computadoras portatiles </t>
  </si>
  <si>
    <t xml:space="preserve">Pago unico </t>
  </si>
  <si>
    <t xml:space="preserve">Impresoras </t>
  </si>
  <si>
    <t>Una impresora multifuncional</t>
  </si>
  <si>
    <t>Escritorios y sillas</t>
  </si>
  <si>
    <t xml:space="preserve">Escritorio simple con una silla giratoria x tres unidades de cada uno </t>
  </si>
  <si>
    <t>Pago unico</t>
  </si>
  <si>
    <t xml:space="preserve">Servicios  y materiales de oficina </t>
  </si>
  <si>
    <t>Diseño de dashboard para difundir resultados con actores clave</t>
  </si>
  <si>
    <t>Diseño de dashboard en linea (web del Gobierno Regional)</t>
  </si>
  <si>
    <t>Pago unico al año 1</t>
  </si>
  <si>
    <t>Software de monitoreo (dirección interna de portafolio)</t>
  </si>
  <si>
    <t xml:space="preserve">Diseño de base de datos y flujo de gestión de la ERDRBE </t>
  </si>
  <si>
    <t xml:space="preserve">Internet </t>
  </si>
  <si>
    <t>Servicio basico de internet fibra óptica por sesenta meses</t>
  </si>
  <si>
    <t xml:space="preserve">Suscripción a Google Drive, Zoom y Smartsheets </t>
  </si>
  <si>
    <t xml:space="preserve">Pago anual de servicios de aplicaciones </t>
  </si>
  <si>
    <t xml:space="preserve">Anual </t>
  </si>
  <si>
    <t xml:space="preserve">Materiales de oficina </t>
  </si>
  <si>
    <t>Hojas, lapiceros, tinta para impresoras, copias, refrigerios menores</t>
  </si>
  <si>
    <t xml:space="preserve">Diagramación de reportes y documentos de analisis </t>
  </si>
  <si>
    <t xml:space="preserve">Servicio de diagramación de reportes </t>
  </si>
  <si>
    <t>Por producto a 3 por año</t>
  </si>
  <si>
    <t>Total por cinco años (al 2025)</t>
  </si>
  <si>
    <t xml:space="preserve">2. Costos centrales de implementación de la estrategia </t>
  </si>
  <si>
    <t xml:space="preserve">Coordinador ERDRBE </t>
  </si>
  <si>
    <t xml:space="preserve">Contratación de especialista en gestión territorial por doce meses por cinco años </t>
  </si>
  <si>
    <t xml:space="preserve">Especialista en participación y comunicación para el desarrollo </t>
  </si>
  <si>
    <t>Contratación de comunicador social o especialista en participación por doce meses por cinco años</t>
  </si>
  <si>
    <t>Especialista en salvaguardas</t>
  </si>
  <si>
    <t>Contratación de experto en salvaguardas por doce meses por cinco años</t>
  </si>
  <si>
    <t xml:space="preserve">Asistente técnico logistico </t>
  </si>
  <si>
    <t>Contratación de asistente técnico o logistico por doce meses por cinco años</t>
  </si>
  <si>
    <t>Soportes locales  con Gerencias Territoriales y municipios</t>
  </si>
  <si>
    <t>Contratación de especialistas en desarrollo rural para trabajar como soporte técnico a las gerencias territoriales y municipios por cuatro UDTs</t>
  </si>
  <si>
    <t xml:space="preserve">Cinco computadoras portatiles </t>
  </si>
  <si>
    <t xml:space="preserve">Escritorio simple con una silla giratoria x  cinco unidades de cada uno </t>
  </si>
  <si>
    <t>Reuniones de la Comisión Técnica Regional</t>
  </si>
  <si>
    <t>1. DESCRIPCION DE LA UNIDAD SOCIO AMBIENTAL</t>
  </si>
  <si>
    <t>1.1. UNIDAD DE DESARROLLO TERRITORIAL</t>
  </si>
  <si>
    <t xml:space="preserve"> UDT</t>
  </si>
  <si>
    <t xml:space="preserve">DISTRITOS INCORPORADOS </t>
  </si>
  <si>
    <t>OBSERVACIONES</t>
  </si>
  <si>
    <t>UDT Huallaga Central y Bajo Mayo comprende Provincias de Bellavista, Huallaga, El Dorado, Lamas, Mariscal Cáceres, Picota y San Martín</t>
  </si>
  <si>
    <r>
      <rPr>
        <b/>
        <sz val="7"/>
        <color theme="1"/>
        <rFont val="Arial"/>
        <family val="2"/>
      </rPr>
      <t>Bellavista</t>
    </r>
    <r>
      <rPr>
        <sz val="7"/>
        <color theme="1"/>
        <rFont val="Arial"/>
        <family val="2"/>
      </rPr>
      <t xml:space="preserve">: Alto Biavo, Bajo Biavo, Bellavista, Huallaga, San Pablo, San Rafael.
</t>
    </r>
    <r>
      <rPr>
        <b/>
        <sz val="7"/>
        <color theme="1"/>
        <rFont val="Arial"/>
        <family val="2"/>
      </rPr>
      <t>El Dorado</t>
    </r>
    <r>
      <rPr>
        <sz val="7"/>
        <color theme="1"/>
        <rFont val="Arial"/>
        <family val="2"/>
      </rPr>
      <t xml:space="preserve">: Agua Blanca, San José de Sisa, San Martín, Santa Rosa, Shatoja.
</t>
    </r>
    <r>
      <rPr>
        <b/>
        <sz val="7"/>
        <color theme="1"/>
        <rFont val="Arial"/>
        <family val="2"/>
      </rPr>
      <t>Huallaga:</t>
    </r>
    <r>
      <rPr>
        <sz val="7"/>
        <color theme="1"/>
        <rFont val="Arial"/>
        <family val="2"/>
      </rPr>
      <t xml:space="preserve"> Alto Saposoa, El Eslabón, Piscoyacu, Sacanche, Saposoa, Tingo de Saposoa.
</t>
    </r>
    <r>
      <rPr>
        <b/>
        <sz val="7"/>
        <color theme="1"/>
        <rFont val="Arial"/>
        <family val="2"/>
      </rPr>
      <t>Mariscal Cáceres</t>
    </r>
    <r>
      <rPr>
        <sz val="7"/>
        <color theme="1"/>
        <rFont val="Arial"/>
        <family val="2"/>
      </rPr>
      <t xml:space="preserve">: Campanilla, Huicungo, Pachiza, Pajarillo, Juanjui.
</t>
    </r>
    <r>
      <rPr>
        <b/>
        <sz val="7"/>
        <color theme="1"/>
        <rFont val="Arial"/>
        <family val="2"/>
      </rPr>
      <t>Picota:</t>
    </r>
    <r>
      <rPr>
        <sz val="7"/>
        <color theme="1"/>
        <rFont val="Arial"/>
        <family val="2"/>
      </rPr>
      <t xml:space="preserve"> Buenos Aires, Caspizapa, Picota, Pillunana, Pucacaca, San Cristobal, San Hilarión Shamboyacu, Tingo de Ponaza, Tres Unidos.
</t>
    </r>
    <r>
      <rPr>
        <b/>
        <sz val="7"/>
        <color theme="1"/>
        <rFont val="Arial"/>
        <family val="2"/>
      </rPr>
      <t>San Martín</t>
    </r>
    <r>
      <rPr>
        <sz val="7"/>
        <color theme="1"/>
        <rFont val="Arial"/>
        <family val="2"/>
      </rPr>
      <t xml:space="preserve">: Alberto Leveau, Cacatachi, Juan Guerra, La Banda de Shilcayo, Morales, San Antonio, Sauce, Shapaja, Tarapoto.
</t>
    </r>
    <r>
      <rPr>
        <b/>
        <sz val="7"/>
        <color theme="1"/>
        <rFont val="Arial"/>
        <family val="2"/>
      </rPr>
      <t>Lamas</t>
    </r>
    <r>
      <rPr>
        <sz val="7"/>
        <color theme="1"/>
        <rFont val="Arial"/>
        <family val="2"/>
      </rPr>
      <t xml:space="preserve">: Alonso de Alvarado, Cuñumbuqui, Lamas, Pinto Recodo, Rumizapa, San Roque de Cumbaza, Shanao, Tabalosos, Zapatero.
</t>
    </r>
  </si>
  <si>
    <t xml:space="preserve">
* Comprende un área total de 3,157,011.91 hectáreas, de lo cual el área con potencial productivo (agropecuario, acuícola y forestal) es de 156,696.17 hectáreas, donde se pueden desarrollar los siguientes cultivos : arroz, maíz amarillo duro, achiote, casho, maracuyá, sacha inchi, pasto brachiaria, tomate, girasol, ají habanero, palta, plátano, cúrcuma, mango, cacao, aguaje, bambú, pitahaya, ají charapita, granadilla, yuca, coco, limón, kión, caihua, cocona, mandarina clementina, naranja, papaya, pijuayo, ají cayena, ají tabasco, café y especies foretales caoba, cedro, estoraque, quinilla, shaina, tornillo, marona, bolaina, capirona, paliperro. Así mismo existe potencial ecoturístico tales como zonas de amortiguamiento de Áreas Naturales Protegidas, formaciones geológicas, museos, cuerpos de agua, miradores turísticos y comunidades nativas.
* Cobertura agrícola 368,002.94 hectáreas  de las cuales 123,081.58 hectáreas  tienen los mejores niveles de competitividad (aptitud, potencial productivo, muy buena accesibilidad y fuerza laboral adecuada para el desarrollo de las actividades agroforestales).
* Posee alta accesibilidad y fuerza laboral entre media y alta.
* Restauración Ecosistémica con 163,183.07 Ha con prioridad alta y muy alta.
* Influencia y cercanía de zonas del Parque Nacional Cordillera Azul, ACR Cordillera Escalera y el Parque Nacional Río Abiseo, así mismo las Áreas de Conservación Privada, Larga Vista I, Larga Vista II, Pucunucho y Tambo Ilusión.
* Influencia y cercanía a 27 concesiones forestales, las cuales abarcan un total de 365,317.07 hectáreas.
* Influencia y cercanía a 22 concesiones para conservación y ecoturísmo con un total de 546,114.17 hectáreas.
* Identificación de 491,528.36 hectáraes de Bosque Vulnerable , de los cuales 3,810.32 hectáreas tienen vulnerabilidad alta a ser deforestadas y 14,954.78 hectáreas tienen vulnerabilidad muy alta de ser deforestadas.
* Influencia y cercanía de territorio de CCNN (68,335.85 hectáreas) como: Alto Shamboyacu, Alto Vista Alegre de Shitariyacu, Aviación, Chirik Sacha, Chirikyacu, Chumbakiwi, Chunchiwi, Copal Sacha, Kachipampa, Kawuanasisa, Nuevo Arica de Kachiyacu, Nuevo Lamas de Shapaja, Pampa Sacha, Yuri Lamas.
* Identificación de desafíos económicos como pobreza total (canasta básica de subsistencia menor a 344 soles per cápita) que abarca los distritos de Alto Saposoa, Juan Guerra, Pinto Recodo, Rumizapa y Sauce  con valores entre 61.2 al 69.7 %; los distritos que presentan mayores índices de pobreza extrema alta (canasta básica de subsistencia menor a 183 soles per cápita) son: Alto Saposoa, Juan Guerra, Pinto Recodo y Sauce con valores entre 25.5 y 29.2 %.
* Los desafíos económicos-agrícolas están relacionados a incrementar los rendimientos promedios actuales de los principales cultivos instalados en la zona tales como: café 35 qq/ha, Cacao 2,500 kg/ha, MAD 5,000 kg/ha, plátano 15,000 kg/ha, palma 20,000 kg/ha, arroz 10,000 kg/ha, leche 20/lt leche/vaca/día. 
* Se identifican limitaciones de cobertura en servicios básicos (energía eléctrica, establecimientos de salud, instituciones educativas) en los distritos de Alberto Leveau, Alto Biavo, Bajo Biavo, Buenos Aires, Campanilla, Caspizapa, Cuñumbuqui, Huallaga, Huicungo, Juan Guerra, La banda de Shilcayo, Pachiza, Picota, Pilluana, Pucacaca, San Cristobal, San José de Sisa, San Martín de Alao, San Pablo, Santa Rosa, Saposoa, Sauce, Shamboyacu, Shapaja, Tabalosos, Tingo de Ponaza yTres Unidos.
* Los distritos de Alonzo de Alvarado, Rumizapa, San Pablo, Santa Rosa, Shapaja y Tabalosos, son los que presentan los rangos más altos de desnutrición crónica infantil en niños menores de 5 años, con valores entre 50 al 73.3%
* Influencia y cercanía de acuerdo a la ZEE, con Zonas de Producción por más de 198,208.53 hectáreas, Zona de Protección y Conservación ecológica por 2,302,119.77 hectáreas, Zonas de Recuperación por 648,126.18 hectáreas y Zonas Urbanas por 4,620.40 hectáreas.</t>
  </si>
  <si>
    <t>UDT  Alto Mayo comprende las provincias de Rioja y Moyobamba.</t>
  </si>
  <si>
    <r>
      <rPr>
        <b/>
        <sz val="7"/>
        <color theme="1"/>
        <rFont val="Arial"/>
        <family val="2"/>
      </rPr>
      <t>Moyobamba</t>
    </r>
    <r>
      <rPr>
        <sz val="7"/>
        <color theme="1"/>
        <rFont val="Arial"/>
        <family val="2"/>
      </rPr>
      <t xml:space="preserve">:Calzada, Habana, Jepelacio, Moyobamba, Soritor y Yantalo.
</t>
    </r>
    <r>
      <rPr>
        <b/>
        <sz val="7"/>
        <color theme="1"/>
        <rFont val="Arial"/>
        <family val="2"/>
      </rPr>
      <t>Rioja:</t>
    </r>
    <r>
      <rPr>
        <sz val="7"/>
        <color theme="1"/>
        <rFont val="Arial"/>
        <family val="2"/>
      </rPr>
      <t xml:space="preserve"> Awajun, Elías Soplin Vargas, Nueva Cajamarca, Pardo Miguel, Posic, Rioja, San Fernando, Yorongos Yuracyacu.
</t>
    </r>
  </si>
  <si>
    <t xml:space="preserve">
* Comprende un área total de 661,991.62 hectáreas, de lo cual el área con potencial productivo (agropecuario, acuícola y forestal) es de 137,031.89 hectáreas, donde se pueden desarrollar los siguientes cultivos : arroz, maíz amarillo duro, achiote, casho, maracuyá, sacha inchi, pasto brachiaria, tomate, girasol, ají habanero, palta, plátano, cúrcuma, mango, cacao, aguaje, bambú, pitahaya, ají charapita, granadilla, yuca, coco, limón, kión, caihua, cocona, mandarina clementina, naranja, papaya, pijuayo, ají cayena, ají tabasco, café y especies foretales caoba, cedro, estoraque, quinilla, shaina, tornillo, marona, bolaina, capirona, paliperro. Así mismo existe potencial ecoturístico tales como zonas de amortiguamiento de Áreas Naturales Protegidas, formaciones geológicas, museos, cuerpos de agua, miradores turísticos y comunidades nativas.
* Cobertura agrícola igual 276,083.72 hectáreas  de las cuales 108,128.83 hectáreas  tienen los mejores niveles de competitividad (aptitud, potencial productivo, muy buena accesibilidad y fuerza laboral adecuada para el desarrollo de las actividades agroforestales).
* Posee alta accesibilidad y fuerza laboral entre media y alta.
* Restauración Ecosistémica con 163,183.07 hectáreas con prioridad alta y muy alta.
* Influencia y cercanía de zonas del Bosque de Protección Alto Mayo.
* Influencia y cercanía a 5 concesiones para conservación y ecoturísmo con un total de 13,228.47 hectáreas.
* Identificación de  167,060.22 hectáreas de Bosque Vulnerable , de los cuales 8,508.22 hectáreas tienen vulnerabilidad alta a ser deforestadas 31,453.30 hectáreas tienen vulnerabilidad muy alta de ser deforestadas.
* Influencia y cercanía de territorio a 14 Comunidades Nativas y 01  Comunidad Campesina. 
* Los desafíos económicos-agrícolas están relacionados a incrementar los rendimientos promedios actuales de los principales cultivos instalados en la zona tales como: café 35 qq/ha, Cacao 2,500 kg/ha, plátano 15,000 kg/h, arroz 10,000 kg/ha, leche 20/lt leche/vaca/día. 
* Se identifican limitaciones de cobertura en servicios básicos (energía eléctrica, establecimientos de salud, instituciones educativas) en los distritos de Moyobamba, Nuevo Cajamarca, Soritor y Yorongos.
* Los distritos de Calzada y Pardo Miguel, son los que presentan los rangos más altos de desnutrición crónica infantil en niños menores de 5 años, con valores entre 52.5 al 64.2%
* Influencia y cercanía de acuerdo a la ZEE, con Zonas de Producción por más de 121,688.97 hectáreas, Zona de Protección y Conservación ecológica por 401,043.5 hectáreas, Zonas de Recuperación por 136,875.48 hectáreas y Zonas Urbanas por 2,382.42 hectáreas.</t>
  </si>
  <si>
    <t xml:space="preserve">UDT  Bajo Huallaga comprende las  Provincias  San Martin y Lamas </t>
  </si>
  <si>
    <r>
      <t xml:space="preserve"> </t>
    </r>
    <r>
      <rPr>
        <b/>
        <sz val="7"/>
        <color theme="1"/>
        <rFont val="Arial"/>
        <family val="2"/>
      </rPr>
      <t>Lamas:</t>
    </r>
    <r>
      <rPr>
        <sz val="7"/>
        <color theme="1"/>
        <rFont val="Arial"/>
        <family val="2"/>
      </rPr>
      <t xml:space="preserve"> Barranquita, Caynarachi
</t>
    </r>
    <r>
      <rPr>
        <b/>
        <sz val="7"/>
        <color theme="1"/>
        <rFont val="Arial"/>
        <family val="2"/>
      </rPr>
      <t>San Martín:</t>
    </r>
    <r>
      <rPr>
        <sz val="7"/>
        <color theme="1"/>
        <rFont val="Arial"/>
        <family val="2"/>
      </rPr>
      <t xml:space="preserve">  Chazuta, Chipurana, El Porvenir, Huimbayoc, Papaplaya.</t>
    </r>
  </si>
  <si>
    <t xml:space="preserve">
* Comprende un área total de 690,405.30, hectáreas, de lo cual el área con potencial productivo (agropecuario, acuícola y forestal) es de 31,789.27 hectáreas, donde se pueden desarrollar los siguientes cultivos : arroz, maíz amarillo duro, achiote, casho, maracuyá, sacha inchi, pasto brachiaria, tomate, girasol, ají habanero, palta, plátano, cúrcuma, mango, cacao, aguaje, bambú, pitahaya, ají charapita, granadilla, yuca, coco, limón, kión, caihua, cocona, mandarina clementina, naranja, papaya, pijuayo, ají cayena, ají tabasco, café y especies foretales caoba, cedro, estoraque, quinilla, shaina, tornillo, marona, bolaina, capirona, paliperro. Así mismo existe potencial ecoturístico tales como zonas de amortiguamiento de Áreas Naturales Protegidas, formaciones geológicas, museos, cuerpos de agua, miradores turísticos y comunidades nativas.
* Cobertura agrícola igual 137,075.84 hectáreas  de las cuales 22,167.11 hectáreas  tienen los mejores niveles de competitividad (aptitud, potencial productivo, muy buena accesibilidad y fuerza laboral adecuada para el desarrollo de las actividades agroforestales).
* Posee alta accesibilidad y fuerza laboral entre media y alta.
* Restauración Ecosistémica con 3,078.73 hectáreas con prioridad alta y muy alta.
* Influencia y cercanía de Areas de Coservación Regional Cordillera Azúl y Cordillera Escalera.
* Influencia y cercanía a  4 concesiones forestales con un total de 30,321.24 hectáreas.
* Influencia y cercanía a 4 concesiones para conservación y ecoturísmo con un total de 18,399.16 hectáreas.
* Identificación de  124,464.25 hectáreas de Bosque Vulnerable , de los cuales 14,595.42 hectáreas tienen vulnerabilidad alta a ser deforestadas 19,256.11 hectáreas tienen vulnerabilidad muy alta de ser deforestadas.
* Influencia y cercanía de territorio a  5 Comunidades Nativas. 
* Identificación de desafíos económicos como como pobreza total que abarca los distritos de Barranquita, Chazuta y el Porvenir con valores entre 66.12 al 68.91%; los distritos que presentan mayor índice de pobreza extrema alta son Barranquita, Chazuta y el Porvenir con 22.28-26.59%.
* Los desafíos económicos-agrícolas están relacionados a incrementar los rendimientos promedios actuales de los principales cultivos instalados en la zona tales como: , Cacao 2,500 kg/ha, plátano 15,000 kg/h, arroz 10,000 kg/ha, leche 20/lt leche/vaca/día, palma 20,000 kg/ha.
* Se identifican limitaciones de cobertura en servicios básicos (energía eléctrica, establecimientos de salud, instituciones educativas) en los distritos de Barranquita, Caynarachi, Chazuta, Chipurana, el Porvenir, Huimbayoc y Papaplaya.
* Los distritos de Caynarachi, Chipurana, El Porvenir y Papaplaya, son los que presentan los rangos más altos de desnutrición crónica infantil en niños menores de 5 años, con valores entre 51 -63 %
* Influencia y cercanía de acuerdo a la ZEE, con Zonas de Producción por más de 308,853.62 hectáreas, Zona de Protección y Conservación ecológica por 304,668.69 hectáreas, Zonas de Recuperación por 71,921.69 hectáreas y Zonas Urbanas por 47.36 hectáreas.</t>
  </si>
  <si>
    <t>UDT  Alto Huallaga  (comprende la Provincia de Tocache )</t>
  </si>
  <si>
    <r>
      <rPr>
        <b/>
        <sz val="7"/>
        <color theme="1"/>
        <rFont val="Arial"/>
        <family val="2"/>
      </rPr>
      <t xml:space="preserve">Tocache: </t>
    </r>
    <r>
      <rPr>
        <sz val="7"/>
        <color theme="1"/>
        <rFont val="Arial"/>
        <family val="2"/>
      </rPr>
      <t>Nuevo Progreso, Pólvora, Shunte, Tocache, Uchiza</t>
    </r>
  </si>
  <si>
    <t xml:space="preserve">
* Comprende un área total de 625,313.65 hectáreas, de lo cual el área con potencial productivo (agropecuario, acuícola y forestal) es de 35,300.64 hectáreas, donde se pueden desarrollar los siguientes cultivos : arroz, maíz amarillo duro, achiote, casho, maracuyá, sacha inchi, pasto brachiaria, tomate, girasol, ají habanero, palta, plátano, cúrcuma, mango, cacao, aguaje, bambú, pitahaya, ají charapita, granadilla, yuca, coco, limón, kión, caihua, cocona, mandarina clementina, naranja, papaya, pijuayo, ají cayena, ají tabasco, café y especies foretales caoba, cedro, estoraque, quinilla, shaina, tornillo, marona, bolaina, capirona, paliperro. Así mismo existe potencial ecoturístico tales como zonas de amortiguamiento de Áreas Naturales Protegidas, formaciones geológicas, museos, cuerpos de agua, miradores turísticos y comunidades nativas.
* Cobertura agrícola igual 175,068.22 hectáreas  de las cuales 29,485.69 hectáreas  tienen los mejores niveles de competitividad (aptitud, potencial productivo, muy buena accesibilidad y fuerza laboral adecuada para el desarrollo de las actividades agroforestales).
* Posee alta accesibilidad y fuerza laboral entre media y alta.
* Restauración Ecosistémica de 7,483.09 hectáreas con prioridad alta y muy alta.
* Influencia y cercanía al Area de Conservación Regional Bosque de Shunte y Mishollo.  
* Influencia y cercanía a  11 concesiones forestales con un total de 97,554.58 hectáreas.
* Influencia y cercanía a 5 concesiones para conservación y ecoturísmo con un total de 18,124 hectáreas.
* Identificación de  113,546.46 hectáreas de Bosque Vulnerable , de los cuales 483.29 hectáreas tienen vulnerabilidad alta a ser deforestadas 8,414.04 hectáreas tienen vulnerabilidad muy alta de ser deforestadas. 
* Los desafíos económicos-agrícolas están relacionados a incrementar los rendimientos promedios actuales de los principales cultivos instalados en la zona tales como: Café 35 qq/ha/año, Cacao 2,500 kg/ha, plátano 15,000 kg/h, arroz 10,000 kg/ha, leche 20/lt leche/vaca/día, palma 20,000 kg/ha.
* Se identifican limitaciones de cobertura en servicios básicos (energía eléctrica, establecimientos de salud, instituciones educativas) en los distritos de Nuevo Progreso, Pólvora, Shunte, Tocache y Uchiza.
* El Distrito de Uchiza, presentan los rangos más altos de desnutrición crónica infantil en niños menores de 5 años, con valor igual 50%.
* Influencia y cercanía de acuerdo a la ZEE, con Zonas de Producción por más de 110,320.86 hectáreas, Zona de Protección y Conservación ecológica por 323,127.30 hectáreas, Zonas de Recuperación por 190,692.01 hectáreas y Zonas Urbanas por 481.25 hectáreas.</t>
  </si>
  <si>
    <t>1.2. Unidades Socio Ambientales</t>
  </si>
  <si>
    <t>CÓDIGO</t>
  </si>
  <si>
    <t>UNIDAD SOCIO AMBIENTAL</t>
  </si>
  <si>
    <t xml:space="preserve">UDT </t>
  </si>
  <si>
    <t>DESCRIPCION DETALLADA</t>
  </si>
  <si>
    <t>UDT Huallaga Central y Bajo Mayo</t>
  </si>
  <si>
    <t>Cuenta con 74,562 pequeños productores de las cadenas de café, cacao, plátano, naranja, palma, pijuayo para palmito, entre otros. 10,049 productores están organizados en asociaciones o cooperativas y 64,513 no están organizados. la población organizada esta agrupada en 48 organizaciones de pequeños productores de las cadenas de cacao, café, MAD, naranja y palma aceitera, distribuidos de la siguiente manera : café 10 organizaciones con 1554 productores, cacao 28 organizaciones son 5,990 productores, MAD 7 0rganizaciones con 1,811 productores, naranja 2 organizaciones 65 productores, palma 1 organización con 629 productores
Cuenta con 155,570.2 Ha de con cultivos instalados, de los cuales 41,584.5  ha son de café, 42,718.06 ha de cacao, 41,191 ha de MAD, 5,014.6 ha de palma aceitera, 4,733.85 ha de naranja  y 20,328.25 ha de plátano.
Del total de organizaciones de cacao solo el 14% comercializan al mercadeo exterior, cuentan con infraestructura productiva, acceso a financiamiento y certificaciones orgánicas y  de calidad; el 76% de las organizaciones comercializan al mercado local o nacional, tienen insuficiente infraestructura productiva, no tienen acceso a financiamiento y no cuentan con certificados orgánicos y de calidad.
Del total de organizaciones de café, solo una organización comercializa al mercado exterior, la misma que tienen limitado acceso a financiamiento y deficiente infraestructura productiva; así mismo  9 organizaciones comercializan al mercado local o nacional debido a que cuentan con insuficiente infraestructura productiva, no tienen acceso a financiamiento y no cuentan con certificados de calidad.
En el caso de las organizaciones de productores de MAD, todas comercializan en el mercado local, principalmente a empresas acopiadoras como Don Pollo, La Campaña y Grupo las Brisas.
 En cuanto a los productores de naranja se evidencia la débil organización entre los productores, lo que ocasiona que las empresas de los mercados de Lima que fijan el precio y están distorsionando el mercado y no dejan entrar a otras al negocio, con la excusa de la “mosca de la fruta”, hacen de las suyas en la compra de la naranja en San Martín, llegando al extremo de condicionar al productor en la compra de su producto, con precios muy bajos que no justifican la inversión en la producción. 
Los productores de plátano, no se registra organizaciones de productores, el 90 %de la producción se destina al consumo regional y el 10% a la industria.</t>
  </si>
  <si>
    <t>UDT Alto Mayo</t>
  </si>
  <si>
    <t>Cuenta con 29,531 pequeños productores de las cadenas de café, cacao, plátano, pitahaya y maracuyá, de los cuales 7,595 productores están organizados en asociaciones o cooperativas y 21,936 no están organizados. la población organizada esta agrupada en 47 organizaciones de pequeños productores distribuidas de la siguiente manera : café 41 organizaciones con 6,462 productores, cacao 5 organizaciones con 1092 productores, plátano 1 organización con 19 productores, maracuyá 1 organización con 22 productores y miel 4 organizaciones con 141 productores.
Cuenta con 65,935 Ha instaladas con los principales cultivos, de los cuales 48,160.1  ha son de café, 3,476.4 ha de cacao, 3,605 ha de MAD, 124.5 de naranja, 10,546.5 de plátano.
Del total de organizaciones de cacao, el 100 % comercializan en el mercado regional y nacional, cuentan con deficiente infraestructura productiva, débil acceso a financiamiento y no cuentan con certificaciones orgánicas y  de calidad.
Del total de organizaciones de café, el 23 % comercializa al mercado exterior, así mismo tienen acceso a financiamiento,  e infraestructura productiva  y el 77% de las organizaciones comercializan al mercado local o nacional, así mismo cuentan con insuficiente infraestructura productiva, no tienen acceso a financiamiento y no cuentan con certificados de calidad, evidenciando deficiencias en la gestión de las organizaciones.
En el caso del plátano, solo hay una organización la misma que comercializa el total de su producción al mercado regional y nacional, principalmente para consumo directo. 
La producción de maracuyá está a cargo de una sola organización, quienes destinan la producción al mercado regional en su totalidad.
En cuanto a la apicultura, esta es una cadena que el sector privado esta impulsando y promoviendo, por lo que la miel se destina principalmente al consumo local.</t>
  </si>
  <si>
    <t>UDT Bajo Huallaga</t>
  </si>
  <si>
    <t>Esta Unidad Socioeconómica cuenta con 26,029 pequeños productores de las cadenas de cacao, café, palma aceitera, pijuayo para palmito, entre otros; de los cuales 1,405 productores están organizados en asociaciones o cooperativas y 25,700 no están organizados. La población organizada esta agrupada en 6 organizaciones de pequeños productores distribuidas de la siguiente manera: cacao 4 organizaciones con 476 productores, palma aceitera 1 organización con 629 productores y pijuayo para palmito con 300 productores.
Cuenta con 71,598.06 Ha instaladas con los principales cultivos, de los cuales 21,810.56 ha son de cacao, 15,847.5 ha de café, 11,091.40 ha de plátano, 10943.00 ha de arroz, 8,211.60 ha de palma aceitera, 2,985 ha de MAD y 560 ha de pijuayo para palmito.
De las organizaciones de cacao, solo 1 exporta y 4 de ellas comercializan en el mercado regional y nacional, evidenciando que las organizaciones de cacao de esta UDT, tienen deficiencias en la gestión de la organización ya que no cuentan con certificados de calidad, tienen deficiente infraestructura productiva y no acceden a financiamiento oportuno.
En cuanto a la producción de palma, el 100 % de la producción se destina a la industria de del aceite, el cual es comercializado por empresas privadas.
La organización de palmito, destina su producción a la industria de derivados, los mismos que se comercializan en un 20% en el mercado nacional y en un 80% al mercado exterior.</t>
  </si>
  <si>
    <t>UDT Alto Huallaga</t>
  </si>
  <si>
    <t>Cuenta con 29,823 pequeños productores de las cadenas de cacao, café, palma aceitera, maíz, entre otros; de los cuales 2,878 productores están organizados en asociaciones o cooperativas y 19,915 no están organizados. La población organizada esta agrupada en 28 organizaciones de pequeños productores distribuidas de la siguiente manera: cacao 17 organizaciones con 1800 productores, palma aceitera 5 organizaciones con 792, café 4 organizaciones con 236 productores, plátano 2 organizaciones con 50 productores.
Cuenta con 70,028 Ha instaladas con los principales cultivos, de los cuales 30,728.30 ha de palma aceitera, 20,289.50 ha son de cacao, 16,817.5 ha de café, 10,015 ha de arroz, 8,452 ha de plátano, 2,630 ha de MAD, 97 ha de naranja.
De las 17 organizaciones de cacao, solo 4 exportan al rededor del 80% de su producción, la cual es principalmente cacao en grano seco, estas organizaciones a su vez cuentan con financiamiento, infraestructura productiva y certificaciones orgánicas y de calidad. 
En cuanto a las organizaciones de café, en su totalidad comercializan en el mercado regional a las empresas acopiadoras, todas tienen problemas para acceder a financiamiento, no cuentan con adecuada infraestructura productiva y no cuentan con certificaciones orgánicas y de calidad, demostrando deficiencias en la gestión y gobernanza de las organizaciones cafetaleras en esta UDT.
La palma aceitera en su totalidad se destina a la industria, la empresa representativa es OLPESA, quien tiene como accionista mayoritario a la asociación ACEPAT, las demás organizaciones venden la materia prima a OLPESA y También a Industrias del Espino S.A.
De los más de 4,600 productores de plátano, solo 50 están organizados, de las dos organizaciones solo una comercializa su producción directamente al mercado nacional a la industria y a los supermercados, el resto de la producción se comercializa a través de acopiadores e intermediarios locales, quienes llevan el plátano a los mercados mayoristas de lima para consumo directo.</t>
  </si>
  <si>
    <t>Cuenta con 5,747 productores arroz, cuenta con 2 organizaciones con un total de 100 productores, el área total destinada a este cultivo es igual 29,220 ha, la producción es comercializada a través de los molinos, quienes brindan diversos servicios e insumos a los productores, en forma de créditos, generándole dependencia comercial y financiera a los pequeños productores.</t>
  </si>
  <si>
    <t>Cuenta con 3,741 productores arroz, cuenta con 5 organizaciones con un total de 225 productores, el área total destinada a este cultivo es igual 19,021 ha. El alquiler de tierras es una práctica recurrente en la zona, lo cual ocasiona conflictos sociales con las comunidades nativas. La producción es comercializada a través de los molinos, quienes brindan diversos servicios e insumos a los productores, en forma de créditos, generándole dependencia comercial y financiera a los pequeños productores.</t>
  </si>
  <si>
    <t>Cuenta con 985 productores arroz, se cuenta con 5007 ha, los productores de esta zona.</t>
  </si>
  <si>
    <t>UDT Huallaga Central Y Bajo Mayo</t>
  </si>
  <si>
    <t>Cuenta con 71,251 ha de pastos instalados (de corte y pastoreo), existen alrededor de 2,375 ganaderos que tienen de 21 cabezas de ganado a más de los cuales el 35% están organizados y el 65% no están organizados. El 26.52% de ganaderos tienen entre 18 y 40 años, el 72.82% de ganaderos tienen edad promedio entre 41 y 80 años y 0.66 ganaderos tienen más de 81 años. En cuanto a la producción de carne, el 4 % es destinada para el autoconsumo, el 60.6% es destinada a la venta regional y nacional y el 5.9% es destinada a la venta y al autoconsumo. La producción de leche es abastecida por 5,024 vacas, las que producen alrededor de 27,561 litros de leche por día. El 21.4% de la producción de leche es destinada para el autoconsumo, 32.9 se destinada a la venta, el 9.5 % es para consumo y venta y el 0.4% se destina a programas sociales.</t>
  </si>
  <si>
    <t>Cuenta con 14,015.50 ha de pastos instalados (de corte y pastoreo), existen alrededor de 1,424 ganaderos que tienen de 21 cabezas de ganado a más, de los cuales el 7% están organizados y 93% no están organizados; El 26.52% % de ganaderos tienen entre 18 y 40 años, el 72.82% de ganaderos tienen edad promedio entre 41 y 80 años y 0.66 ganaderos tienen más de 81 años. En cuanto a la producción de carne, el 1.26 % es destinada para el autoconsumo, 20.1 % es destinada a la venta regional y nacional y el 1.13% es destinada a la venta y al autoconsumo. La producción de leche es abastecida por 891 vacas, las que producen alrededor de 5,554 litros de leche por día. 9% de la producción de leche es destinada para el autoconsumo, 10% se destinada a la venta, el 5.2 % es para consumo y venta y el 1.8% se destina a programas sociales.</t>
  </si>
  <si>
    <t>En la zona del bajo Hualllga se encuenta las empresas Industrias de Palma Aceitera de Loreto y San Martín - INDUPALSA, brazo comercial de la asociación Jardines de Palma, tambien se identifica a las empresas Palmas de Shanusi e industrias de Shanusi, que forman parte del grupo palmas que operan en 4 regiones a nivel nacional.</t>
  </si>
  <si>
    <t>Territorio de comunidades nativas</t>
  </si>
  <si>
    <t>Se registran 66  CC.NN con un total de 68,335.85 ha, de las 66 CCNN solo16 CCNN se encuentran tituladas, siendo las siguientes: TORNILLO YAKU ZELANDIA, COPAL SACHA, KAWANA SISA, KICHWA CHIRIK SACHA, NUEVO ARICA DE CACHIYACU, ALTO SHAMBUYACU, YURILAMAS, CHUMBAQUIHUI, KICHWA MUSHUK PURU PURU, PAMPA SACHA, AVIACIÓN, CHIRIKYAKU, CHUNCHIWI, KACHIPAMPA, ALTO VISTA ALEGRE DE SHITARIYACU, KICHWA NUEVO y LAMAS DE SHAPAJA;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t>
  </si>
  <si>
    <t>Se registran 14 CC.NN 148,933.68  y 01 Comunidad Campesina (PAZ Y ESPERANZA) de las cuales todas se encuentran titulados, las mismas que detallamos a continuación: CACHIYACU, DORADO, HUASCAYACU, KUSU, MORROYACU, NUEVA JERUSALEN, SAN RAFAEL, SHIMPIYACU, TIWIYACU, YARAU, COMUNIDAD CAMPESINA PAZ Y ESPERANZA, ALTO MAYO, ALTO NARANJILLO, BAJO NARANJILLO y SHAMPUYACU</t>
  </si>
  <si>
    <t>En la UDT se registran 47 CC.NN con total de 13,762.96 ha, de las 47 CCNN 04 están tituladas (SHAWI LOS FLORES DEL PARAÍSO, IKAMIA AENTS, ATUN PAMPA, MUSHUCK REFORMA); En proceso de reconocimiento: 4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t>
  </si>
  <si>
    <t>Concesiones para Conservación y Ecoturismo</t>
  </si>
  <si>
    <t>Se registra 22 concesiones de conservación con un total de 546,114.17 ha. Alto Huayabamba, Ampinakuna Sacha, Bosques de Angaiza, Bosuques de Acobosay, Chuacullo,  El Breo,  El Gran Simacache, El Quinillal, Huañipillo, Ishichiwi,Jardines Angel del Sol, Las Tres Quebradas, Los Bosques De Pailayco, Maquisapa, Martin Sagrado, Monte Cristo, Ojecillo – Pucushcayacu, Ojos De Agua, Sacha Runa, Sangapillal, Shitariyacu,  Valle Del Biavo, Ojecillo – Pucushcayacu.</t>
  </si>
  <si>
    <t>Se registra 5 concesiones de conservación con un total de 13,228.47 ha,  Bosque de Angaiza con 4,979.70, representada por Federación de Pueblos indígenas Kechkuas de la Región San Martín, Tingana con 2,867.74 ha, administrada por Asociación de Conservación de aguajales y renacales del alto mayo, Pucawicsa con 818.31 ha, administrada por James Arsenio Carranza Rivera; Bosques de Marona con 419.63 ha, administrada por Rondas Campesinas de Marona, bosques de acobosay con 4,857.40 ha.</t>
  </si>
  <si>
    <t>Se registran 4 Concesionea para Conservación, que cuenta con 18,399.16 ha.: Areas inundables Bajo Huallaga con 6,794.85 ha, El Paraíso de Yurilamas con 6,863,30 ha, Sacha Runa 0.04 ha, Yaku Kawsanapa 4,740.96. ha.</t>
  </si>
  <si>
    <t>Se registra 5 concesiones de Conservación con un total de 18,124 ha. Bosques del Sinaí con 7,554.96 ha, Bosques Mirador del Huallaga con 2,408.41 ha, Maná Hermoso con 5,425.96 ha, Bosques de Pacota 1,302.24 ha. Reserva del Tunqui 1,432.43</t>
  </si>
  <si>
    <t>Concesiones Forestales Maderables</t>
  </si>
  <si>
    <t>Se registran 27 concesiones forestales las que cuentan con un área total de 365,317.07 hectáreas. de las cuales solo 8 estan activas, Empresa Forestal COPEFOR con 47,614 ha, Javier Delgado díaz con 5,217 ha, Agrupación Forestal Alto Saposoa SAC con 14,762 ha, Acerradero Victoria SAC  con 39,489.49 ha, Biavo SAC con 36,690.97 ha, Industrial Forestal Tocache SAC, 6,970 ha. Aserradero Tarapoto SAC con 18,191.15 ha, Agrupación Maderera Alto Biavo SAC con 28,173.55.</t>
  </si>
  <si>
    <t>Cuenta con 11 concesiones forestales con un total de 97,554.58 has, de las cuales 4 están activas: Industria Forestal Ruffner SRL con 17,034.64, Extractora Huallaga EIRL con 13,230.31 ha, Consorsio Río Azúl con 13,094.40 ha, Percy Rafel Gibson Frech con 13,554.32.</t>
  </si>
  <si>
    <t xml:space="preserve">Abarca 391,428.33 ha en el ámbito de las provincias de Bellavista, Mariscal Cáceres, Picota; Dentro de este ámbito entre los años 2000-2018 se han deforestado 3,326.65. La zona de amortiguamiento cuenta con 619,770.17 ha, de las cuales entre los años 2000-2018 se han deforestado 156,798.10, lo cual representa el 17% de dicha área. El parque Nacional Cordillera Azul, esta administrado por el Centro de Conservación, Investigación y Manejo de Áreas Naturales - CIMA, quien realiza actividades de control y vigilancia, asistencia técnica y otras actividades. </t>
  </si>
  <si>
    <t>Parque Nacional Río Abiseo</t>
  </si>
  <si>
    <t xml:space="preserve">Bosque de Protección Alto Mayo </t>
  </si>
  <si>
    <t>Cuenta 176,003.36 ha y se ubica en las provincias de Moyobamba y Rioja; dentro de este ámbito entre los años 2000-2018 se han deforestado 7,341.48 ha. La zona de amortiguamiento cuenta con 99,509.35 ha, de las cuales entre los años 2000-2018 se han deforestado 12,149.25 ha lo cual representa el 12% del área de amortiguamiento. esta administrada por el SERNANP, quien realiza actividades de control y vigilancia, asistencia técnica y otras actividades.</t>
  </si>
  <si>
    <t xml:space="preserve">Cuenta con 88,066.84 ha, se ubica en las provincias de Lamas y San Martín; dentro de este ámbito entre los años 2000-2018 se han deforestado 2,718.12 ha. Esta administrada por el Proyecto Especial Huallaga Central y Bajo Mayo, quien realiza actividades de control y vigilancia, asistencia técnica y otras actividades. </t>
  </si>
  <si>
    <t xml:space="preserve">ACR Bosques Shunte Mishollo </t>
  </si>
  <si>
    <t>Cuenta con 173,291.58 ha, se ubica en la provincia Tocache; dentro de este ámbito entre los años 2000-2018 se han deforestado 1,381.67 ha. El área tiene una extensión para restauración en prioridades Alta y Muy Alta de 881.40 ha.</t>
  </si>
  <si>
    <t>Cuenta con 26 ZOCRES, de las cuales  6 están inmatriculados ( Aguanillo - Huallaga con 100 ha, Aguas termales - Huallaga con 521 ha, Alto Shilcayo - San Martín con 61 ha, Gera, Sisa Orégano - Huallaga, El Dorado y Lamas con 34, 543 ha, Juninguillo Yanayacu - Lamas con 1,641 ha, Río Odchque - Indoche - Huallaga y el Dorado con 211 ha). 20 están en proceso de inmatriculación ( Caynarachi - San Martín y Lamas con 3,607 ha, Bella Bosque Seco - Bellavista con 818 ha, Campana Shaminia - El Dorado y Lamas con 17,157 ha, Chambira - Picota con 1,621 ha, Cuenca Alta Huayabamba - Huallaga  con 143,666 ha, Cuenca Sauce - Picota San Martín  con 5,006 ha,  El quinillal - Picota Bellavista con 8,909 ha, Huicungo I - Mariscal Cáceres con 49,255 ha, Huicungo II - Mariscal Cáceres con 2,340 ha, Juanjuicillo - Lamas con 669 ha, Laguna Gemela - Huallaga con 140 ha, Mishquiyacu Ponasa - Picota con 16,718 ha, Quebrada Allcoyacu - El dorado y Bellavista  con 5,144 ha, Tributario del Mayo - Lamas con 5,287 ha, Tributarios del Saposoa - Huallaga con 23,156 ha,  Tributarios de Sisa - El Dorado, Huallaga y Bellavista con 10,803 ha, Upaquihua Pucacaa - Picota y Bellavista con 7,057 ha, Zangapilla 1 - Lamas con 12,445 ha y Zangapilla II - Lamas con 2,919 ha.)</t>
  </si>
  <si>
    <t>Cuenta con  8 ZOCRES, de las cuales  1 está inmatriculada  (Cocha Paichiu Atuncocha Papacocha Cuenca Yurac - San Martín  con 80,544 ha) y 7 están en proceso de inmatriculación ( Alto Caynarachi, Huimbayoc I , Huimbayoc II, Palometa Barranquita, Papaplaya Chipurana, Rumicallarinas, Shapaja Chazuta).</t>
  </si>
  <si>
    <t>Cuenta con 23 ZOCRES, de las cuales 19 están inmatriculados ( Cerro la Shiringa, Gera - Sisa - Organero, Gobernador, Huasta - Cachiyacu, Humedal del Alto Mayo, La Primavera, Juninguillo - Yanayacu, Morro de Calzada, Naciente Río Negro, Naciente Río Aguas Claras, Pantanos de Burrucucha y Gobernador I, Pantanos de Burrucucha y gobernador II,  Paz y Esperanza, Renacal Buenos Aires, Río Odchque Indoche, Rumiyacu - Mishquiyacu, Uquihua - Cuchachi, Urcuyacu. 5 ZOCRES en proceso de inmatriculación ( Desembocadura de los Ríos Serranoyacu, El Maronal, Margen del Río Negro- Romero  Río Potrero, Tributarios Río Soritor).</t>
  </si>
  <si>
    <t>Las "Tierras sin categoría territorial asignada" son áreas que no poseen ninguna denominación o categoría asignada, que no llegan a superponerse con ninguna otra USA identificada, sin embargo pueden formar parte del algunba de ellas en realición al uso que le proponga, ya que en esta condición se ecuentran zonaz con y sin bosques, en la UDT Huallaga Central y Bajo Mayo, abarcan una extención de 94,342.10 Ha.</t>
  </si>
  <si>
    <t>Las "Tierras sin categoría territorial asignada" son áreas que no poseen ninguna denominación o categoría asignada, que no llegan a superponerse con ninguna otra USA identificada, sin embargo pueden formar parte del algunba de ellas en realición al uso que le proponga, ya que en esta condición se ecuentran zonaz con y sin bosques, en la UDT Bajo Huallaga, abarcan una extención de 94,597.62 Ha.</t>
  </si>
  <si>
    <t>Las "Tierras sin categoría territorial asignada" son áreas que no poseen ninguna denominación o categoría asignada, que no llegan a superponerse con ninguna otra USA identificada, sin embargo pueden formar parte del algunba de ellas en realición al uso que le proponga, ya que en esta condición se ecuentran zonaz con y sin bosques, en la UDT Alto Mayo, abarcan una extención de 24,905.19 Ha.</t>
  </si>
  <si>
    <t>Las "Tierras sin categoría territorial asignada" son áreas que no poseen ninguna denominación o categoría asignada, que no llegan a superponerse con ninguna otra USA identificada, sin embargo pueden formar parte del algunba de ellas en realición al uso que le proponga, ya que en esta condición se ecuentran zonaz con y sin bosques, en la UDT Alto Huallaga, abarcan una extención de 37,092.70 Ha.</t>
  </si>
  <si>
    <t>2. LISTA GENERAL DE INTERVENCIONES PROPUESTAS</t>
  </si>
  <si>
    <t>INTERVENCIÓN</t>
  </si>
  <si>
    <t>DESCRIPCIÓN</t>
  </si>
  <si>
    <t>DESCRIPCION</t>
  </si>
  <si>
    <t>Concesiones para conservación y ecoturismo</t>
  </si>
  <si>
    <t>Parque Nacional Rio Abiseo</t>
  </si>
  <si>
    <t>Tierras sin categoria territorial asignada</t>
  </si>
  <si>
    <t>UDT  Huallaga Central y Bajo Mayo</t>
  </si>
  <si>
    <t>Intervenciones transversales</t>
  </si>
  <si>
    <t>UDT  Alto Mayo</t>
  </si>
  <si>
    <t>ZoCREs</t>
  </si>
  <si>
    <t>UDT  Bajo Huallaga</t>
  </si>
  <si>
    <t>Concesiones de conservación y ecoturismo</t>
  </si>
  <si>
    <t>Concesiones de Conservación y Ecoturismo</t>
  </si>
  <si>
    <t>Conseciones Forestales Maderables</t>
  </si>
  <si>
    <t>Intervenciones Transversales</t>
  </si>
  <si>
    <t>Intervenciones Transversales Regionales</t>
  </si>
  <si>
    <t>3. DESCRIPCION DE CAUSAS DIRECTAS E INDIRECTAS</t>
  </si>
  <si>
    <t>TIPO DE CAUSA</t>
  </si>
  <si>
    <t>CATEGORIA</t>
  </si>
  <si>
    <t xml:space="preserve">DEFINICION </t>
  </si>
  <si>
    <t>NOMBRE CORTO</t>
  </si>
  <si>
    <t>Directa</t>
  </si>
  <si>
    <t>Actividades Agropecuarias</t>
  </si>
  <si>
    <t>Roza y quema de bosques para la expansión de actividades agropecuarias de café, cacao, pastos para ganadería, palma aceitera, maíz, arroz, plátano, entre otros. Se realiza sin autorización de cambio de uso o permiso de desbosque. Ejecutado por pequeños productores en áreas menores a 5ha sin titulo de propiedad en tierras de aptitud forestal.</t>
  </si>
  <si>
    <t>Cultivos agropecuarios</t>
  </si>
  <si>
    <t>Indirecta</t>
  </si>
  <si>
    <t>Factores Institucionales y Políticos</t>
  </si>
  <si>
    <t>Uso indebido del cargo de autoridades locales en la legalización de transacciones de compra y venta de tierras, así como autoridades regionales en el otorgamiento de derechos de uso</t>
  </si>
  <si>
    <t>Limitado y poco transparente saneamiento fisico legal de la propiedad agraria</t>
  </si>
  <si>
    <t>Implementación de programas de titulación y saneamiento de predios</t>
  </si>
  <si>
    <t>Saneamiento</t>
  </si>
  <si>
    <t>Infraestructura</t>
  </si>
  <si>
    <t>Presencia de agroindustria para la transformación de los cultivos del plátano, arroz, palma aceitera, cacao, derivados lácteos y fabricación de ladrillo</t>
  </si>
  <si>
    <t>Débil implementación de herramientas de gobernanza y falta de instrumentos de gestión así como el saneamiento de límites departamentales, que garanticen la seguridad jurídica de los bosques con diferentes categorías legales de uso.</t>
  </si>
  <si>
    <t>Factores económicos</t>
  </si>
  <si>
    <t>Aumento del acceso al crédito por parte de agricultores y pequeños empresarios a instituciones financieras y créditos semillas del gobierno regional</t>
  </si>
  <si>
    <t>Financiamiento</t>
  </si>
  <si>
    <t>Factores demográficos y sociales</t>
  </si>
  <si>
    <t>Incremento de pequeños agricultores procedentes de la Sierra y la Costa Norte del país para el desarrollo de la actividad agrícola y el sembrío del cultivo de coca</t>
  </si>
  <si>
    <t>Desarrollo de proyectos de infraestructura agrícola y titulación de tierras, así como la inadecuada implementación de los programas de desarrollo alternativo.</t>
  </si>
  <si>
    <t>Incentivos limitados</t>
  </si>
  <si>
    <t>Otros Factores: Biofísicos, Externos, Contexto Social</t>
  </si>
  <si>
    <t>Condiciones agroecológicas favorables para el desarrollo de cultivos</t>
  </si>
  <si>
    <t>Condiciones agroclimáticas</t>
  </si>
  <si>
    <t>Factores Económicos</t>
  </si>
  <si>
    <t>Aumento de la demanda de productos agropecuarios a nivel internacional (productos no certificados)</t>
  </si>
  <si>
    <t>Mercado Internacional</t>
  </si>
  <si>
    <t>Valor de venta fluctuante de los cultivos agrícolas de la región</t>
  </si>
  <si>
    <t>Valor de venta</t>
  </si>
  <si>
    <t>Débil articulación interinstitucional en el cumplimiento de funciones por parte de instituciones reguladoras y sancionadoras</t>
  </si>
  <si>
    <t xml:space="preserve">Débil articulación </t>
  </si>
  <si>
    <t>Otros Usos</t>
  </si>
  <si>
    <t>Acaparamiento ilegal de tierras para comercializarlas</t>
  </si>
  <si>
    <t>Tráfico de tierras</t>
  </si>
  <si>
    <t>Débil control y vigilancia  en ocupación del territorio y uso de recursos</t>
  </si>
  <si>
    <t>Escasa presencia del estado en sus diferentes niveles en el control de la ocupación y el uso del territorio y de los RRNN</t>
  </si>
  <si>
    <t>Promoción de cadenas de valor como el café y el cacao mediante PIP, así como la inadecuada implementación de programas de incentivos por parte del estado para el mejoramiento de las cadenas productivas de los diferentes cultivos</t>
  </si>
  <si>
    <t>PIPs</t>
  </si>
  <si>
    <t>Percepción de la existencia de tierras libres sin categorías legales de uso</t>
  </si>
  <si>
    <t>Tierras disponibles</t>
  </si>
  <si>
    <t>Mejoramiento de las condiciones de accesibilidad, mediante la implementación del Plan Vial Regional Provincial y Nacional con el mejoramiento y asfaltado de carreteras de categoría regional (Tarapoto - San José de Sisa, Tarapoto - Chazuta, Pongo del Caynarachi - Yarina - El Porvenir  Barranquita, Picota - Shamboyacu, Tocache - Uchiza) entre otras</t>
  </si>
  <si>
    <t>Vías de comunicación</t>
  </si>
  <si>
    <t>Transformación de cultivos</t>
  </si>
  <si>
    <t>Sensación de inoperancia por parte de pequeños agricultores y empresas, por la inacción de las autoridades con competencias reguladoras y sancionadoras</t>
  </si>
  <si>
    <t xml:space="preserve">Impunidad  </t>
  </si>
  <si>
    <t xml:space="preserve">Cooperación </t>
  </si>
  <si>
    <t>Aumento de la demanda de productos agropecuarios a nivel nacional</t>
  </si>
  <si>
    <t>Demanda de productos</t>
  </si>
  <si>
    <t>Asentamientos humanos  (instalación de centros poblados)</t>
  </si>
  <si>
    <t>Cultivos ilícitos</t>
  </si>
  <si>
    <t>PIPs sin salvaguardas</t>
  </si>
  <si>
    <t>Ocupación del territorio</t>
  </si>
  <si>
    <t>Articulación intersectorial</t>
  </si>
  <si>
    <t>Tierras sin categoría</t>
  </si>
  <si>
    <t>Planificación territorial</t>
  </si>
  <si>
    <t>Catastro rural</t>
  </si>
  <si>
    <t>Apertura y/o expansión de superficies para cultivos semipermanentes como la papaya y el plátano</t>
  </si>
  <si>
    <t>Actividad económica</t>
  </si>
  <si>
    <t xml:space="preserve">Cultivos ilícitos </t>
  </si>
  <si>
    <t>Factores tecnológicos</t>
  </si>
  <si>
    <t>Escasa asistencia técnica por parte del estado para mejorar la productividad de los cultivos</t>
  </si>
  <si>
    <t>Asistencia técnica</t>
  </si>
  <si>
    <t>Proyectos de desarrollo alternativo sin adecuadas estrategias de intervención</t>
  </si>
  <si>
    <t>Desarrollo alternativo</t>
  </si>
  <si>
    <t>Acopio,  procesamiento, transformación y comercialización del cultivo de la hoja de coca</t>
  </si>
  <si>
    <t xml:space="preserve">Valor de venta </t>
  </si>
  <si>
    <t>Apertura de áreas para la creación de nuevos Centros Poblados rurales y urbanos</t>
  </si>
  <si>
    <t>Asentamientos humanos</t>
  </si>
  <si>
    <t>Cadenas de Valor</t>
  </si>
  <si>
    <t>Articulación interinstitucional</t>
  </si>
  <si>
    <t>Apertura de nuevas áreas para la construcción de vías de acceso a principales centros de producción Centros Poblados</t>
  </si>
  <si>
    <t xml:space="preserve">Infraestructura </t>
  </si>
  <si>
    <t xml:space="preserve">Planificación territorial </t>
  </si>
  <si>
    <t xml:space="preserve">Tráfico de tierras </t>
  </si>
  <si>
    <t>Limitada capacidad de supervisión en implementación de proyectos de inversión  o actividades municipales</t>
  </si>
  <si>
    <t>Herramientas de Gobernanza</t>
  </si>
  <si>
    <t>REGIÓN SAN MARTÍN:  UNIDAD DE DESARROLLO TERRITORIAL PROVINCIAS Y DISTRITOS</t>
  </si>
  <si>
    <t>PROVINCIA</t>
  </si>
  <si>
    <t xml:space="preserve">DISTRITO </t>
  </si>
  <si>
    <t>EXTENSIÓN</t>
  </si>
  <si>
    <t>FT ALTO HUALLAGA</t>
  </si>
  <si>
    <t>TOCACHE</t>
  </si>
  <si>
    <t>NUEVO PROGRESO</t>
  </si>
  <si>
    <t>POLVORA</t>
  </si>
  <si>
    <t>SHUNTE</t>
  </si>
  <si>
    <t>UCHIZA</t>
  </si>
  <si>
    <t>FT ALTO MAYO</t>
  </si>
  <si>
    <t>MOYOBAMBA</t>
  </si>
  <si>
    <t>CALZADA</t>
  </si>
  <si>
    <t>HABANA</t>
  </si>
  <si>
    <t>JEPELACIO</t>
  </si>
  <si>
    <t>SORITOR</t>
  </si>
  <si>
    <t>YANTALO</t>
  </si>
  <si>
    <t>RIOJA</t>
  </si>
  <si>
    <t>AWAJUN</t>
  </si>
  <si>
    <t>ELIAS SOPLIN VARGAS</t>
  </si>
  <si>
    <t>NUEVA CAJAMARCA</t>
  </si>
  <si>
    <t>PARDO MIGUEL</t>
  </si>
  <si>
    <t>POSIC</t>
  </si>
  <si>
    <t>SAN FERNANDO</t>
  </si>
  <si>
    <t>YORONGOS</t>
  </si>
  <si>
    <t>YURACYACU</t>
  </si>
  <si>
    <t>FT BAJO HUALLAGA</t>
  </si>
  <si>
    <t>LAMAS</t>
  </si>
  <si>
    <t>BARRANQUITA</t>
  </si>
  <si>
    <t>CAYNARACHI</t>
  </si>
  <si>
    <t>SAN MARTIN</t>
  </si>
  <si>
    <t>CHAZUTA</t>
  </si>
  <si>
    <t>CHIPURANA</t>
  </si>
  <si>
    <t>EL PORVENIR</t>
  </si>
  <si>
    <t>HUIMBAYOC</t>
  </si>
  <si>
    <t>PAPAPLAYA</t>
  </si>
  <si>
    <t>FT HUALLAGA CENTRAL</t>
  </si>
  <si>
    <t>BELLAVISTA</t>
  </si>
  <si>
    <t>ALTO BIAVO</t>
  </si>
  <si>
    <t>BAJO BIAVO</t>
  </si>
  <si>
    <t>HUALLAGA</t>
  </si>
  <si>
    <t>SAN PABLO</t>
  </si>
  <si>
    <t>SAN RAFAEL</t>
  </si>
  <si>
    <t>EL DORADO</t>
  </si>
  <si>
    <t>AGUA BLANCA</t>
  </si>
  <si>
    <t>SAN JOSE DE SISA</t>
  </si>
  <si>
    <t>SAN MART├ìN</t>
  </si>
  <si>
    <t>SANTA ROSA</t>
  </si>
  <si>
    <t>SHATOJA</t>
  </si>
  <si>
    <t>ALTO SAPOSOA</t>
  </si>
  <si>
    <t>EL ESLABON</t>
  </si>
  <si>
    <t>PISCOYACU</t>
  </si>
  <si>
    <t>SACANCHE</t>
  </si>
  <si>
    <t>SAPOSOA</t>
  </si>
  <si>
    <t>TINGO DE SAPOSOA</t>
  </si>
  <si>
    <t>ALONSO DE ALVARADO</t>
  </si>
  <si>
    <t>CUÑUMBUQUI</t>
  </si>
  <si>
    <t>PINTO RECODO</t>
  </si>
  <si>
    <t>RUMISAPA</t>
  </si>
  <si>
    <t>SAN ROQUE DE CUMBAZA</t>
  </si>
  <si>
    <t>SHANAO</t>
  </si>
  <si>
    <t>TABALOSOS</t>
  </si>
  <si>
    <t>ZAPATERO</t>
  </si>
  <si>
    <t>MARISCAL CACERES</t>
  </si>
  <si>
    <t>CAMPANILLA</t>
  </si>
  <si>
    <t>HUICUNGO</t>
  </si>
  <si>
    <t>JUANJUI</t>
  </si>
  <si>
    <t>PACHIZA</t>
  </si>
  <si>
    <t>PAJARILLO</t>
  </si>
  <si>
    <t>PICOTA</t>
  </si>
  <si>
    <t>BUENOS AIRES</t>
  </si>
  <si>
    <t>CASPISAPA</t>
  </si>
  <si>
    <t>PILLUANA</t>
  </si>
  <si>
    <t>PUCACACA</t>
  </si>
  <si>
    <t>SAN CRISTOBAL</t>
  </si>
  <si>
    <t>SAN HILARION</t>
  </si>
  <si>
    <t>SHAMBOYACU</t>
  </si>
  <si>
    <t>TINGO DE PONASA</t>
  </si>
  <si>
    <t>TRES UNIDOS</t>
  </si>
  <si>
    <t>ALBERTO LEVEAU</t>
  </si>
  <si>
    <t>CACATACHI</t>
  </si>
  <si>
    <t>JUAN GUERRA</t>
  </si>
  <si>
    <t>LA BANDA DE SHILCAYO</t>
  </si>
  <si>
    <t>MORALES</t>
  </si>
  <si>
    <t>SAN ANTONIO</t>
  </si>
  <si>
    <t>SAUCE</t>
  </si>
  <si>
    <t>SHAPAJA</t>
  </si>
  <si>
    <t>TARAPOTO</t>
  </si>
  <si>
    <t>UDTs</t>
  </si>
  <si>
    <t>Extensión</t>
  </si>
  <si>
    <t>ALTO HUALLAGA</t>
  </si>
  <si>
    <t>ALTO MAYO</t>
  </si>
  <si>
    <t>BAJO HUALLAGA</t>
  </si>
  <si>
    <t>HUALLAGA CENTRAL</t>
  </si>
  <si>
    <t>UNIDAD DE DESARROLLO TERRIORIAL - UDT</t>
  </si>
  <si>
    <t>DISTRITOS DETERMINADOS MEDIANTE METODOLOGÍA DE POLOS DE DESARROLLO</t>
  </si>
  <si>
    <t>UNIDAD SOCIO ECONOMICO AMBIENTAL</t>
  </si>
  <si>
    <t>DISTRITOS</t>
  </si>
  <si>
    <t>UDT Huallaga Central y Bajo Mayo (comprende Provincias de Bellavista,  Huallaga, El Dorado, Lamas, Mariscal Cáceres, Picota y San Martín)</t>
  </si>
  <si>
    <t>FT.1</t>
  </si>
  <si>
    <t>Provincias de Bellavista y sus distritos: Alto Biavo, Bajo Biavo, Huallaga, San Pablo,  San Rafael,  Bellavista; 
El Dorado y sus distritos: Agua Blanca, San José de Sisa, San Martín de Alao, Santa Rosa, Shatoja;  
Lamas y sus distritos: Alonso de Alvarado, Barranquita, Caynarachi, Cuñumbuqui, Lamas,  Pinto Recodo, Rumizapa, San Roque de Cumbaza, Shanao, Tabalosos, Zapatero; Mariscal Cáceres y sus distritos: Campanilla,  Pajarillo, Pachiza, Juanjui  Y Huicungo; 
Picota y sus distritos: Buenos Aires, Cazpizapa, Picota, Pilluana, Pucacaca, San Cristobal, San Hilarión, Shamboyacu, Tingo de Ponasa y Tres Unidos;  
San Martín y sus distritos: Alberto Leveau, Chazuta, Juan Guerra, La Banda de Shilcayo, Morales, San Antonio, Sauce, Shapaja, Tarapoto, Cacatachi; y Huallaga y sus distritos: Alto Saposoa, El Eslabón, Piscoyacu, Sacanche, Saposoa, Tingo de Saposoa.</t>
  </si>
  <si>
    <t>FT.1-USA.1.1</t>
  </si>
  <si>
    <t>USA 1.1.  Tierras de pequeños productores dedicados a la agricultura familiar</t>
  </si>
  <si>
    <t>Campanilla, Huicungo, Pachiza, Juanjui, San Martin de Alao, San José de Sisa, Zapatero, Tabalosos, Shanao, Pucacaca, Saposoa</t>
  </si>
  <si>
    <t>FT.1-USA.1.2</t>
  </si>
  <si>
    <t xml:space="preserve">USA 1.2. Predios privados dedicados a la producción comercial (arroz) </t>
  </si>
  <si>
    <t>San Hilarión, Bajo Biavo, San Rafael, Cacatachi, Bellavista</t>
  </si>
  <si>
    <t>FT.1-USA.1.3</t>
  </si>
  <si>
    <t>USA 1.3. Predios privados para ganadería de leche y carne</t>
  </si>
  <si>
    <t>Juanjui, Campanilla, Bellavista, Saposoa, San Hilarión, Shamboyacu, Tingo de Ponaza, San José de  Sisa, San Martin de Alao, Cuñumbuque, Zapatero, Juan Guerra</t>
  </si>
  <si>
    <t>FT.1-USA.1.5</t>
  </si>
  <si>
    <t>USA 1.5. Tierras de comunidades nativas</t>
  </si>
  <si>
    <t>San José de Sisa, San Martín de Alao, Agua Blanca, Santa Rosa, Lamas, San Roque, Shanao, Tabalosos, Shamboyacu, Tarapoto, Shapaja, Pachiza</t>
  </si>
  <si>
    <t>FT.1-USA.1.6</t>
  </si>
  <si>
    <t xml:space="preserve">USA 1.6. Concesiones de Conservación </t>
  </si>
  <si>
    <t xml:space="preserve">Huicungo, Juanjui, Saposoa, Picota, Tingo de Ponaza, Pucacaca,  Alto Biavo, San Pablo, San Martin de Alao, </t>
  </si>
  <si>
    <t>FT.1-USA.1.7</t>
  </si>
  <si>
    <t>USA 1.7.  Concesiones Forestales Maderables</t>
  </si>
  <si>
    <t xml:space="preserve">Alto Saposoa, Pachiza, Piscoyacu, Campanilla, Alto Biavo, Huicungo, Tres Unidos, Chazuta, </t>
  </si>
  <si>
    <t>FT.1-USA.1.8</t>
  </si>
  <si>
    <t>USA 1.8.  Parque Nacional Cordillera Azul</t>
  </si>
  <si>
    <t>Bellavista, Picota</t>
  </si>
  <si>
    <t>FT.1-USA.1.9</t>
  </si>
  <si>
    <t>USA 1.9. ZOCRES</t>
  </si>
  <si>
    <t xml:space="preserve">Agua Blanca, El Eslabón, Sacanche, Piscoyacu, Saposoa, Alto Saposoa
Juanjui, Huicungo, Pachiza, Tarapoto, San Antonio, La  Banda de Shilcayo, San José de Sisa, Shatoja,  Zapatero, Tabalosos, San Roque de Cumbaza, Rumizapa, Santa Rosa, San Pablo, Bajo Biavo, Picota, San Cristobal, Caspizapa, Pucacaca, Tingo de Ponaza, Shamboyacu, Pilluana y Buenos Aires.
</t>
  </si>
  <si>
    <t>UDT  Alto Mayo (Incluye Provincias de El Dorado, Lamas,  Moyobamba y Rioja)</t>
  </si>
  <si>
    <t>FT.2</t>
  </si>
  <si>
    <t>San Martin de Alao, Alonso de Alvarado, Pinto Recodo, Calzada, Habana, Jepelacio, Moyobamba, Soritor, Yántalo, Awajun, Elías Soplin Vargas, Nuevo Cajamarca, Pardo Miguel, Posic, Rioja, San Fernando, Yorongos, Yuracyacu</t>
  </si>
  <si>
    <t>FT.2-USA.2.1</t>
  </si>
  <si>
    <t>USA 2.1.  Tierras de pequeños productores dedicados a la agricultura familiar</t>
  </si>
  <si>
    <t>San Martin de Alao, Alonso de Alvarado, Pinto Recodo, Calzada,  Jepelacio, Moyobamba, Soritor, Awajun, Elías Soplin Vargas, Nuevo Cajamarca, Pardo Miguel, Posic, Rioja, Yorongos</t>
  </si>
  <si>
    <t>FT.2-USA.2.2</t>
  </si>
  <si>
    <t xml:space="preserve">USA 2.2. Predios privados dedicados a la producción comercial (arroz) </t>
  </si>
  <si>
    <t>Nueva Cajamarca, Yuracyacu, Rioja</t>
  </si>
  <si>
    <t>FT.2-USA.2.3</t>
  </si>
  <si>
    <t>USA 2.3. Predios privados para ganadería de leche y carne</t>
  </si>
  <si>
    <t>Calzada, Elías Soplin Vargas, Nueva Cajamarca, Soritor, Posic, Naranjos</t>
  </si>
  <si>
    <t>FT.2-USA.2.5</t>
  </si>
  <si>
    <t>USA 2.5. Tierras de comunidades nativas</t>
  </si>
  <si>
    <t>Awajun</t>
  </si>
  <si>
    <t>FT.2-USA.2.6</t>
  </si>
  <si>
    <t xml:space="preserve">USA 2.6.  Concesiones de Conservación </t>
  </si>
  <si>
    <t>San Fernando, Posic, Nueva Cajamarca, Moyobamba</t>
  </si>
  <si>
    <t>FT.2-USA.2.8</t>
  </si>
  <si>
    <t xml:space="preserve">USA 2.8.  Bosque de Protección Alto Mayo </t>
  </si>
  <si>
    <t xml:space="preserve">Yorongos, Rioja, Elías Soplin Vargas, Nuevo Cajamarca,  Pardo Miguel,  Moyobamba </t>
  </si>
  <si>
    <t>FT.2-USA.2.9</t>
  </si>
  <si>
    <t>USA 2.9.  ZOCRES</t>
  </si>
  <si>
    <t>San Martin de Alao, Alonso de Alvarado, Pinto Recodo,  Yántalo, Calzada, Soritor, Jepelacio, Moyobamba, Pardo Miguel, Nueva Cajamarca, San Fernando, Yuracyacu, Posic, Elías Soplin Vargas, Rioja, Yorongos.</t>
  </si>
  <si>
    <t>UDT  Bajo Huallaga  (comprende Provincias  San Martin y Lamas)</t>
  </si>
  <si>
    <t>FT.3</t>
  </si>
  <si>
    <t xml:space="preserve"> Barranquita, Caynarachi, Chazuta, Chipurana, El Porvenir, Huimbayoc, Papaplaya</t>
  </si>
  <si>
    <t>FT.3-USA.3.1</t>
  </si>
  <si>
    <t>USA 3.1.  Tierras de pequeños productores dedicados a la agricultura familiar</t>
  </si>
  <si>
    <t>Barranquita, Caynarachi, Chazuta</t>
  </si>
  <si>
    <t>FT.3-USA.3.2</t>
  </si>
  <si>
    <t xml:space="preserve">USA 3.2. Predios privados dedicados a la producción comercial (arroz) </t>
  </si>
  <si>
    <t xml:space="preserve">Barranquita </t>
  </si>
  <si>
    <t>FT.3-USA.3.3</t>
  </si>
  <si>
    <t>USA 3.3. Predios privados para ganadería de leche y carne</t>
  </si>
  <si>
    <t xml:space="preserve"> Barranquita, Caynarachi, Huimbayoc</t>
  </si>
  <si>
    <t>FT.3-USA.3.4</t>
  </si>
  <si>
    <t>USA 3.4. Empresas comercializadoras de palma y sus derivados.</t>
  </si>
  <si>
    <t xml:space="preserve"> Barranquita, Caynarachi,</t>
  </si>
  <si>
    <t>FT.3-USA.3.5</t>
  </si>
  <si>
    <t>USA 3.5. Tierras de comunidades nativas</t>
  </si>
  <si>
    <t xml:space="preserve"> Barranquita, Caynarachi, Chazuta, Chipurana,  Huimbayoc, Papaplaya</t>
  </si>
  <si>
    <t>FT.3-USA.3.6</t>
  </si>
  <si>
    <t xml:space="preserve">USA 3.6. Concesiones de Conservación </t>
  </si>
  <si>
    <t>Porvenir, Chazuta</t>
  </si>
  <si>
    <t>FT.3-USA.3.8</t>
  </si>
  <si>
    <t xml:space="preserve">USA 3.8.  ACR Cordillera Escalera </t>
  </si>
  <si>
    <t>Caynarachi, Barranquita, Chazuta</t>
  </si>
  <si>
    <t>FT.3-USA.3.9</t>
  </si>
  <si>
    <t>USA 3.9. ZOCRES</t>
  </si>
  <si>
    <t>Barranquita, Caynarachi, Chazuta, Chipurana, El Porvenir, Huimbayoc, Papaplaya</t>
  </si>
  <si>
    <t>UDT  Alto Huallaga  (comprende las  Provincias de Bellavista y Tocache )</t>
  </si>
  <si>
    <t>FT.4</t>
  </si>
  <si>
    <t>Alto Biavo, Nuevo Progreso, Pólvora, Shunte, Tocache, Uchiza</t>
  </si>
  <si>
    <t>FT.4-USA.4.1</t>
  </si>
  <si>
    <t>USA 4.1.  Tierras de pequeños productores dedicados a la agricultura familiar</t>
  </si>
  <si>
    <t xml:space="preserve"> Nuevo Progreso, Pólvora, Shunte, Tocache, Uchiza</t>
  </si>
  <si>
    <t>FT.4-USA.4.2</t>
  </si>
  <si>
    <t xml:space="preserve">USA 4.2. Predios privados dedicados a la producción comercial (arroz) </t>
  </si>
  <si>
    <t xml:space="preserve">Tocache, Uchiza, </t>
  </si>
  <si>
    <t>FT.4-USA.4.3</t>
  </si>
  <si>
    <t>USA 4.3. Predios privados para ganadería de leche y carne</t>
  </si>
  <si>
    <t>Tocache, Uchiza, Pólvora, Nuevo Progreso</t>
  </si>
  <si>
    <t>FT.4-USA.4.4</t>
  </si>
  <si>
    <t>USA 4.4. Empresas comercializadoras de palma y sus derivados.</t>
  </si>
  <si>
    <t>Uchiza, Pólvora, Tocache</t>
  </si>
  <si>
    <t>FT.4-USA.4.6</t>
  </si>
  <si>
    <t xml:space="preserve">USA 4.6. Concesiones de Conservación </t>
  </si>
  <si>
    <t>Uchiza, Nuevo Progreso, Pólvora</t>
  </si>
  <si>
    <t>FT.3-USA.4.8</t>
  </si>
  <si>
    <t xml:space="preserve">USA 4.8.  ACR Bosques Shunte Mishollo </t>
  </si>
  <si>
    <t>Shunte</t>
  </si>
  <si>
    <t>FT.3-USA.4.9</t>
  </si>
  <si>
    <t>USA 4.9. ZOCRES</t>
  </si>
  <si>
    <t>Uchiza</t>
  </si>
  <si>
    <t>#  Intervenciones</t>
  </si>
  <si>
    <t>RANKING PRESUPUESTAL POR UNIDAD DE DESARROLLO TERRITORIAL - UDT</t>
  </si>
  <si>
    <t>RANKING PRESUPUESTAL POR UNIDAD SOCIO AMBIENTAL - USA</t>
  </si>
  <si>
    <t>Al 2025 S/</t>
  </si>
  <si>
    <t>RANKING PRESUPUESTAL POR TIPO DE CATEGORÍA</t>
  </si>
  <si>
    <t>COMPONENTES</t>
  </si>
  <si>
    <t>PROGRAMAS</t>
  </si>
  <si>
    <t>CATEGORIAS</t>
  </si>
  <si>
    <t>RANKING PRESUPUESTAL POR COMPONETES DE LOS PROGRAMAS</t>
  </si>
  <si>
    <t>RANKING PRESUPUESTAL POR PROGRAMAS</t>
  </si>
  <si>
    <t>RANKING PRESUPUESTAL POR INTERVENCIONES</t>
  </si>
  <si>
    <t>(EN S/)</t>
  </si>
  <si>
    <t>OBJETIVO DE PROGRAMA / COMPONENTES</t>
  </si>
  <si>
    <t xml:space="preserve">Total Inversión </t>
  </si>
  <si>
    <t>3.4.1</t>
  </si>
  <si>
    <t>3.4.4</t>
  </si>
  <si>
    <t>3.4.3</t>
  </si>
  <si>
    <t>3.4.2</t>
  </si>
  <si>
    <t>Proyectos Temáticos</t>
  </si>
  <si>
    <t>Descripción del Proyecto Temático</t>
  </si>
  <si>
    <t>Asistencia Técnica y Capacitación para incorporar tecnologias que eleven la productividad y calidad de los productos y procesos</t>
  </si>
  <si>
    <t>Acceso al crédito, organizanco a la oferta de productores, capacitándolos y asesorando  educación financiera, desarrollo de productos finacnieros adecuados y asesoria para la  acceso al crédito</t>
  </si>
  <si>
    <t>Formalización de la situacion de legal de los predios, estableciendo medidas facilitadoras</t>
  </si>
  <si>
    <t>Desarrollar en los productores y produtoras capacidades colaborativas y de confianza hacia objetivos comunes</t>
  </si>
  <si>
    <t xml:space="preserve">Recuperación de bosques mediante la recuperación y concervación de los suelos, el aprovechamiento de los serivicios ecosistemicos , manejo forstal, entre otros </t>
  </si>
  <si>
    <t>Generar condiciones para el desarrollo socio económico del territorio</t>
  </si>
  <si>
    <t>Promover la implementacion de iniciativas de turismo, bionegocios, agroforestería, entre los principales, mediante fondo concursables, fortaleciendo la potencial oferta local y facilitando acceso a la informacion de los mercados</t>
  </si>
  <si>
    <t>Contribuir a la sostenilidad de los bosques brindando incentivos financieros</t>
  </si>
  <si>
    <t xml:space="preserve"> 2030 S/</t>
  </si>
  <si>
    <t>Total Inversión de los Programas de las ERDRBE para la Región San Martín</t>
  </si>
  <si>
    <t>PRESUPUESTO DE INVERSIÓN REGIONAL SEGÚN OBJETIVO DE PROGRAMA - COMPONENTES Y POR UDT</t>
  </si>
  <si>
    <t>PRESUPUESTO DE INVERSIÓN REGIONAL SEGÚN OBJETIVO DE PROGRAMA - COMPONENTES Y PROYECCIÓN ANUAL</t>
  </si>
  <si>
    <t xml:space="preserve">PRESUPUESTO DE INVERSIÓN REGIONAL SEGÚN USA  - COMPONENTES -IDEAS PROTENCIALES DE PROYECTOS </t>
  </si>
  <si>
    <t>Presupuesto al 2025</t>
  </si>
  <si>
    <t>Presupuesto</t>
  </si>
  <si>
    <t>Extensión (ha)</t>
  </si>
  <si>
    <t>Adaptación y Mitigación ante el Cambio Climático - SAN MARTÍN</t>
  </si>
  <si>
    <t>Actualización Diaria</t>
  </si>
  <si>
    <t>Fecha de la Consulta: 27-marzo-2020</t>
  </si>
  <si>
    <r>
      <t xml:space="preserve">Año de Ejecución: </t>
    </r>
    <r>
      <rPr>
        <b/>
        <sz val="10"/>
        <color theme="1"/>
        <rFont val="Arial"/>
        <family val="2"/>
      </rPr>
      <t>2020</t>
    </r>
  </si>
  <si>
    <r>
      <t xml:space="preserve">Incluye: </t>
    </r>
    <r>
      <rPr>
        <b/>
        <sz val="10"/>
        <color theme="1"/>
        <rFont val="Arial"/>
        <family val="2"/>
      </rPr>
      <t>Actividades y Proyectos</t>
    </r>
  </si>
  <si>
    <t>Proyecto</t>
  </si>
  <si>
    <t>Ejecución años</t>
  </si>
  <si>
    <t>PIA</t>
  </si>
  <si>
    <t>PIM</t>
  </si>
  <si>
    <t>Certificación</t>
  </si>
  <si>
    <t>Compromiso Anual</t>
  </si>
  <si>
    <t>Ejecución</t>
  </si>
  <si>
    <t>Avance % </t>
  </si>
  <si>
    <t>2014 al 2019</t>
  </si>
  <si>
    <t>Atención de Compromiso Mensual </t>
  </si>
  <si>
    <t>Devengado </t>
  </si>
  <si>
    <t>Girado </t>
  </si>
  <si>
    <t>3000384: AREAS FORESTALES RECUPERADAS QUE CUENTEN CON UN ADECUADO MANEJO FOSRESTAL Y DE FAUNA SILVESTRE</t>
  </si>
  <si>
    <t>3000696: PRODUCTORES Y MANEJADORES FORESTALES Y DE FAUNA SILVESTRE ACCEDEN A SERVICIOS PARA LA CONEXION CON MERCADOS</t>
  </si>
  <si>
    <t>3000737: ESTUDIOS PARA LA ESTIMACION DEL RIESGO DE DESASTRES</t>
  </si>
  <si>
    <t>3000808: ENTIDADES SUPERVISADAS Y FISCALIZADAS EN EL CUMPLIMIENTO DE LOS COMPROMISOS Y LA LEGISLACION AMBIENTAL</t>
  </si>
  <si>
    <t>3000820: AREAS NATURALES PROTEGIDAS CON MECANISMOS PARTICIPATIVOS DE CONSERVACION IMPLEMENTADOS</t>
  </si>
  <si>
    <t>TOTAL EN LOS PROYECTOS DEL NIVEL NACIONAL</t>
  </si>
  <si>
    <t>2147536: RECUPERACION DE AREAS DEFORESTADAS DE LAS SUB CUENCAS ALTAS DE LOS RIOS SISA Y GERA PROVINCIAS DE EL DORADO Y MOYOBAMBA, REGION SAN MARTIN</t>
  </si>
  <si>
    <t>2352797: RECUPERACION DEL SERVICIO ECOSISTEMICO DEL CONTROL DE EROSION DE SUELOS EN LA ZOCRE BOSHUMI Y SU AMBITO DE INFLUENCIA, PROVINCIA DE TOCACHE Y MARISCAL CACERES, REGION SAN MARTIN</t>
  </si>
  <si>
    <t>TOTAL EN LOS PROYECTOS DEL NIVEL REGIONAL</t>
  </si>
  <si>
    <t>2341001: RECUPERACION Y PROTECCION DE MICRO CUENCAS YO ECOSISTEMAS DEGRADADOS DEL, DISTRITO DE SAN ROQUE DE CUMBAZA - LAMAS - SAN MARTIN</t>
  </si>
  <si>
    <t>2342555: RECUPERACION Y PROMOCION DEL USO SOSTENIBLE DE PLANTAS MEDICINALES Y FAUNA SILVESTRE EN COMUNIDADES NATIVAS DE LAS MICROCUENCAS DEL SHANUSI Y CUMBAZA, DISTRITO DE SAN ROQUE DE CUMBAZA - LAMAS - SAN MARTIN</t>
  </si>
  <si>
    <t>3000806: HECTAREAS DE ECOSISTEMAS CONSERVADOS PARA ASEGURAR LA PROVISION SOSTENBILE DE SERVICIOS ECOSISTEMICOS</t>
  </si>
  <si>
    <t>TOTAL EN LOS PROYECTOS DEL NIVEL LOCAL</t>
  </si>
  <si>
    <t>TOTAL DE PROYECTOS DEL AMBITO SAN MARTÍN</t>
  </si>
  <si>
    <t>COSTEO X CADA SALVAGUARDA</t>
  </si>
  <si>
    <t>COSTE CON % DEL CTO Total</t>
  </si>
  <si>
    <t>SECTOR</t>
  </si>
  <si>
    <t>CODIGO</t>
  </si>
  <si>
    <t>PROYECTO</t>
  </si>
  <si>
    <t>DESCRIPTOR</t>
  </si>
  <si>
    <t>COMPONENTE</t>
  </si>
  <si>
    <t>NIVEL DE GOBIERNO</t>
  </si>
  <si>
    <t>EJECUTORA</t>
  </si>
  <si>
    <t>PLANEAMIENTO GUBERNAMENTAL</t>
  </si>
  <si>
    <t>MEJORAMIENTO  DE LOS SERVICIOS DE GESTION TERRITORIAL  DE  LA PROVINCIA DEL HUALLAGA; DEPARTAMENTO SAN MARTIN</t>
  </si>
  <si>
    <t>GESTION</t>
  </si>
  <si>
    <t>Gobierno Regional</t>
  </si>
  <si>
    <t>REGION SAN MARTIN - HUALLAGA CENTRAL Y BAJO MAYO</t>
  </si>
  <si>
    <t>VIVIENDA</t>
  </si>
  <si>
    <t>CREACION DEL CENTRO DE SERVICIOS - TAMBO EN EL CENTRO POBLADO DE DOS DE MAYO, DISTRITO HUICUNGO, PROVINCIA MARISCAL CACERES, DEPARTAMENTO SAN MARTIN</t>
  </si>
  <si>
    <t>TAMBO</t>
  </si>
  <si>
    <t>Gobierno Nacional</t>
  </si>
  <si>
    <t>MINISTERIO DE VIVIENDA, CONSTRUCCION Y SANEAMIENTO- ADM. GENERAL</t>
  </si>
  <si>
    <t>GESTIÓN INTEGRAL DE LA CALIDAD AMBIENTAL</t>
  </si>
  <si>
    <t>RECUPERACION DE ÁREAS VULNERABLES Y DEGRADADAS CON FINES DE PROTECCIÓN Y REGULACIÓN HÍDRICA DE MICROCUENCAS DESTINADAS AL APROVECHAMIENTO SOSTENIBLE DEL AGUA EN LA JURISDICCION   DEL, DISTRITO DE EL ESLABON - HUALLAGA - SAN MARTIN</t>
  </si>
  <si>
    <t>SUELOS DEGRADADOS</t>
  </si>
  <si>
    <t>Gobierno Local</t>
  </si>
  <si>
    <t>MUNICIPALIDAD DISTRITAL DE EL ESLABON</t>
  </si>
  <si>
    <t>PECUARIO</t>
  </si>
  <si>
    <t>MEJORAMIENTO DEL SERVICIO DE CONTROL Y VIGILANCIA DE VACUNOS Y PORCINOS EN LA REGION SAN MARTIN</t>
  </si>
  <si>
    <t>GANADERIA</t>
  </si>
  <si>
    <t>REGION SAN MARTIN-AGRICULTURA</t>
  </si>
  <si>
    <t>RECUPERACION DE ÁREAS DEGRADADAS POR RESIDUOS SÓLIDOS EN EL SECTOR TUNCHIYACU, DISTRITO DE MOYOBAMBA, PROVINCIA DE MOYOBAMBA, DEPARTAMENTO DE SAN MARTÍN.</t>
  </si>
  <si>
    <t>GESTION INTEGRAL DE LA CALIDAD AMBIENTAL</t>
  </si>
  <si>
    <t>RECUPERACION DE ÁREAS DEGRADADAS POR RESIDUOS SÓLIDOS EN EL SECTOR YACUCATINA, DISTRITO DE JUAN GUERRA, PROVINCIA DE SAN MARTÍN, DEPARTAMENTO DE SAN MARTÍN</t>
  </si>
  <si>
    <t>TURISMO</t>
  </si>
  <si>
    <t>MEJORAMIENTO DE LOS SERVICIOS TURÍSTICOS PÚBLICOS EN LA RESERVA ECOLÓGICA SANTA ELENA DISTRITO DE POSIC, PROVINCIA DE RIOJA, DEPARTAMENTO DE SAN MARTÍN</t>
  </si>
  <si>
    <t>SERVICIOS TURISTICOS</t>
  </si>
  <si>
    <t>RECURSOS ORDINARIOS</t>
  </si>
  <si>
    <t>REGION SAN MARTIN-SEDE CENTRAL</t>
  </si>
  <si>
    <t>MEJORAMIENTO DE LOS SERVICIOS TURÍSTICOS PÚBLICOS DE LAS CATARATAS DE CARPISHUYACU , DISTRITO DE LA BANDA DE SHILCAYO, PROVINCIA DE SAN MARTÍN, DEPARTAMENTO SAN MARTÍN</t>
  </si>
  <si>
    <t>DESARROLLO ESTRATÉGICO, CONSERVACIÓN Y APROVECHAMIENTO SOSTENIBLE DEL PATRIMONIO NATURAL</t>
  </si>
  <si>
    <t>RECUPERACION DE SUELOS DEGRADADOS MEDIANTE INSTALACION FORESTAL DEL MARGEN IZQUIERDO DEL RIO CAÑUTO, DISTRITO DE POLVORA - TOCACHE - SAN MARTIN</t>
  </si>
  <si>
    <t>MUNICIPALIDAD DISTRITAL DE POLVORA</t>
  </si>
  <si>
    <t>CIENCIA Y TECNOLOGÍA</t>
  </si>
  <si>
    <t>MEJORAMIENTO DEL SERVICIO DE APOYO AL DESARROLLO PRODUCTIVO DEL CULTIVO DE CACAO EN LA, PROVINCIA DE PICOTA - SAN MARTIN</t>
  </si>
  <si>
    <t>CACAO</t>
  </si>
  <si>
    <t>MUNICIPALIDAD PROVINCIAL DE PICOTA</t>
  </si>
  <si>
    <t>USA 1 PREDIOS AGRARIOS (CAFE, CACAO, ETC)</t>
  </si>
  <si>
    <t>RECUPERACION DEL ECOSISTEMA DEGRADADO DE BOSQUES SECOS EN LAS ÁREAS DE CONSERVACIÓN AMBIENTAL; OJOS DE AGUA, EL QUINILLAL Y VALLE DEL BIAVO PROVINCIAS DE PICOTA Y BELLAVISTA, SAN MARTÍN</t>
  </si>
  <si>
    <t>RECUPERACION DEL ECOSISTEMA DEGRADADO EN EL AREA DE CONSERVACION BOSQUES EL MIRADOR DEL HUALLAGA, DISTRITO DE NUEVO PROGRESO - TOCACHE - SAN MARTIN</t>
  </si>
  <si>
    <t>MUNICIPALIDAD DISTRITAL DE NUEVO PROGRESO</t>
  </si>
  <si>
    <t>RECUPERACION DEL ECOSISTEMA DEGRADADO EN LA MICROCUENCA UQUIHUA- CUCHACHI EN EL DISTRITO DE  RIOJA, PROVINCIA DE RIOJA, REGIÓN SAN MARTÍN</t>
  </si>
  <si>
    <t>MEJORAMIENTO Y AMPLIACION DE LOS SERVICIOS DE APOYO A LA CADENA PRODUCTIVA DE LA APICULTURA , PROVINCIA DE MOYOBAMBA - SAN MARTIN</t>
  </si>
  <si>
    <t>APICULTURA</t>
  </si>
  <si>
    <t>MUNICIPALIDAD PROVINCIAL DE MOYOBAMBA</t>
  </si>
  <si>
    <t>ENERGÍA ELÉCTRICA</t>
  </si>
  <si>
    <t>CREACION DEL SERVICIO DE ENERGIA ELECTRICA EN LAS LOCALIDADES Y SECTORES UBICADOS EN LA ZONA DE INFLUENCIA DEL AREA DE CONSERVACION REGIONAL CORDILLERA ESCALERA, PERTECIENTES A LAS PROVINCIAS DE LAMAS Y SAN MARTIN, REGION SAN MARTIN</t>
  </si>
  <si>
    <t>ACR</t>
  </si>
  <si>
    <t>CREACION DE LOS SERVICIOS DE PROMOCION DE LA INNOVACION PARA LA COMPETITIVIDAD DE LA REGION DE SAN MARTIN</t>
  </si>
  <si>
    <t>RECUPERACION DEL SERVICIO ECOSISTEMICO DE CONTROL DE EROSION DE SUELOS EN EL AREA DE CONSERVACION REGIONAL CORDILLERA ESCALERA Y EN SU ZONA DE INFLUENCIA PROVINCIA DE SAN MARTIN Y LAMAS - SAN MARTIN</t>
  </si>
  <si>
    <t>CANON Y SOBRECANON, REGALIAS, RENTA DE ADUANAS Y PARTICIPACIONES</t>
  </si>
  <si>
    <t>CREACION DE LOS SERVICIOS DE GESTION TERRITORIAL EN 09 DISTRITOS UBICADOS EN LAS PROVINCIAS DE EL DORADO, BELLAVISTA Y PICOTA EN EL DEPARTAMENTO DE SAN MARTIN</t>
  </si>
  <si>
    <t>RECUPERACION DE LA COBERTURA VEGETAL A TRAVES DE LA REFORESTACION EN LAS LOCALIDADES DE SHANAO, MORILLO, SOLO, PUCALLPA, ALTO PUCALPILLO, CONGOMPERA Y SHACAPA EN EL  DISTRITO DE SHANAO - PROVINCIA DE LAMAS - DEPARTAMENTO DE SAN MARTIN</t>
  </si>
  <si>
    <t>SERVICIOS AMBIENTALES</t>
  </si>
  <si>
    <t>MUNICIPALIDAD DISTRITAL DE SHANAO</t>
  </si>
  <si>
    <t>SANEAMIENTO</t>
  </si>
  <si>
    <t>CREACION DEL SERVICIO DE AGUA POTABLE Y SANEAMIENTO DE LA COMUNIDAD  NATIVA  DE CACHIYACU DEL DISTRITO DE MOYOBAMBA - PROVINCIA DE MOYOBAMBA - DEPARTAMENTO DE SAN MARTIN</t>
  </si>
  <si>
    <t>COMUNIDADES NATIVAS</t>
  </si>
  <si>
    <t>USA 4 COMUNIDADES NATIVAS</t>
  </si>
  <si>
    <t>CREACION DEL SERVICIO DE AGUA POTABLE Y SANEAMIENTO DE LA COMUNIDAD NATIVA YARAO DEL DISTRITO DE MOYOBAMBA - PROVINCIA DE MOYOBAMBA - DEPARTAMENTO DE SAN MARTIN</t>
  </si>
  <si>
    <t>CREACION DEL SERVICIO DE AGUA POTABLE Y SANEAMIENTO DE LA COMUNIDAD NATIVA DE MORROYACU DEL DISTRITO DE MOYOBAMBA - PROVINCIA DE MOYOBAMBA - DEPARTAMENTO DE SAN MARTIN</t>
  </si>
  <si>
    <t>MEJORAMIENTO DEL SERVICIO DE AGUA POTABLE Y SANEAMIENTO DE LA COMUNIDAD NATIVA DE SAN RAFAEL DEL DISTRITO DE MOYOBAMBA - PROVINCIA DE MOYOBAMBA - DEPARTAMENTO DE SAN MARTIN</t>
  </si>
  <si>
    <t>CREACION DEL SERVICIO DE AGUA POTABLE Y SANEAMIENTO DE LA COMUNIDAD NATIVA DE NUEVA JERUSALEN DEL DISTRITO DE MOYOBAMBA - PROVINCIA DE MOYOBAMBA - DEPARTAMENTO DE SAN MARTIN</t>
  </si>
  <si>
    <t>DESARROLLO URBANO Y RURAL</t>
  </si>
  <si>
    <t>MEJORAMIENTO DE LA TRANSITABILIDAD PEATONAL Y VEHICULAR EN CALLES Y AVENIDAS A NIVEL DE AFIRMADO EN LA COMUNIDAD NATIVA BAJO NARANJILLO DEL DISTRITO DE AWAJUN - PROVINCIA DE RIOJA - DEPARTAMENTO DE SAN MARTIN</t>
  </si>
  <si>
    <t>MUNICIPALIDAD DISTRITAL DE AWAJUN</t>
  </si>
  <si>
    <t>MEJORAMIENTO DEL SERVICIO DE FOMENTO A LA PRODUCCIÓN ACUICOLA DEL  DISTRITO DE TOCACHE - PROVINCIA DE TOCACHE - DEPARTAMENTO DE SAN MARTIN</t>
  </si>
  <si>
    <t>ACUICULTURA</t>
  </si>
  <si>
    <t>MUNICIPALIDAD PROVINCIAL DE TOCACHE</t>
  </si>
  <si>
    <t>MEJORAMIENTO DE LA CADENA PRODUCTIVA DEL PLÁTANO  EN EL  DISTRITO DE TOCACHE - PROVINCIA DE TOCACHE - DEPARTAMENTO DE SAN MARTIN</t>
  </si>
  <si>
    <t>PLATANO</t>
  </si>
  <si>
    <t>FONDO DE COMPENSACION MUNICIPAL</t>
  </si>
  <si>
    <t>MEJORAMIENTO DE LA CADENA PRODUCTIVA DEL CULTIVO DE PLATANO  EN 5 DISTRITOS DE LA PROVINCIA DE RIOJA -  DISTRITO DE RIOJA - PROVINCIA DE RIOJA - DEPARTAMENTO DE SAN MARTIN</t>
  </si>
  <si>
    <t>MUNICIPALIDAD PROVINCIAL DE RIOJA</t>
  </si>
  <si>
    <t>GESTIÓN</t>
  </si>
  <si>
    <t>MEJORAMIENTO DEL SERVICIO DE FACILITACIÓN, SIMPLIFICACIÓN Y MEJORA REGULATORIA, INTEGRACIÓN DE SERVICIOS DIGITALES, GESTIÓN DE LA ATENCIÓN A CIUDADANOS Y EMPRESAS, Y MEJORA DE LOS SERVICIOS PÚBLICOS DE LA OFICINA REGIONAL DE SEGURIDAD Y DEFENSA NACIONAL DEL GOBIERNO REGIONAL SAN MARTÍN - SEDE CENTRAL, EN EL CENTRO POBLADO DE MOYOBAMBA DEL DISTRITO DE MOYOBAMBA - PROVINCIA DE MOYOBAMBA - DEPARTAMENTO DE SAN MARTIN</t>
  </si>
  <si>
    <t>ASISTENCIA SOCIAL</t>
  </si>
  <si>
    <t>MEJORAMIENTO DE CAPACIDADES DE SEGURIDAD ALIMENTARIA, A TRAVÉS DEL DESARROLLO DE CAPACIDADES DE LAS MADRES DE FAMILIA PARA LA PRODUCCIÓN DE GALLINAS DE CHACRA, EN LA LOCALIDAD DE CACATACHI  Y LOS SECTORES VERDE AMANECER, ROSANAICO, LLANGUARRARCA, SHUCUSHCO, ATUNRUMI, CRUCE DE LAMAS, VENTANILLA Y SAN JOSÉ LA LLANURA, CACATACHI DEL DISTRITO DE CACATACHI - PROVINCIA DE SAN MARTIN - DEPARTAMENTO DE SAN MARTIN</t>
  </si>
  <si>
    <t>SEGURIDAD ALIMENTARIA</t>
  </si>
  <si>
    <t>MUNICIPALIDAD DISTRITAL DE CACATACHI</t>
  </si>
  <si>
    <t>GESTIÓN DE RIESGOS Y EMERGENCIAS</t>
  </si>
  <si>
    <t>ADQUISICIÓN DE EQUIPOS DE BÚSQUEDA Y SALVAMENTO; EN EL(LA) COMPAÑIA DE BOMBEROS  ROBERTO ACEVEDO N° 71  DISTRITO DE MORALES, PROVINCIA SAN MARTIN, DEPARTAMENTO SAN MARTIN</t>
  </si>
  <si>
    <t>INTENDENCIA NACIONAL DE BOMBEROS DEL PERÚ - INBP</t>
  </si>
  <si>
    <t>ADQUISICIÓN DE EQUIPOS DE BÚSQUEDA Y SALVAMENTO; EN EL(LA) COMPAÑIA DE BOMBEROS RIOJA N°162  DISTRITO DE RIOJA, PROVINCIA RIOJA, DEPARTAMENTO SAN MARTIN</t>
  </si>
  <si>
    <t>MEJORAMIENTO Y AMPLIACION DEL SERVICIO DE INFORMACIÓN Y COMUNICACIÓN EN LA MUNICIPALIDAD PROVINCIAL DE MARISCAL CACERES,  DISTRITO DE JUANJUI - PROVINCIA DE MARISCAL CACERES - DEPARTAMENTO DE SAN MARTIN</t>
  </si>
  <si>
    <t>MUNICIPALIDAD PROVINCIAL DE MARISCAL CACERES - JUANJUI</t>
  </si>
  <si>
    <t>MEJORAMIENTO DE LA SEGURIDAD ALIMENTARIA, MEDIANTE SISTEMAS DE DIVERSIFICACIÓN PRODUCTIVA EN 6 DISTRITOS DE LA PROVINCIA DE RIOJA - DEPARTAMENTO DE SAN MARTIN</t>
  </si>
  <si>
    <t>MEJORAMIENTO DEL SERVICIO DE LA COMPETITIVIDAD DE LA CADENA PRODUCTIVA DE CACAO EN LAS LOCALIDADES DEL  DISTRITO DE TOCACHE - PROVINCIA DE TOCACHE - DEPARTAMENTO DE SAN MARTIN</t>
  </si>
  <si>
    <t>MEJORAMIENTO DEL SERVICIO DE APOYO A LA ADOPCION DE TECNOLOGIAS EN ACUICULTURA CON ESPECIES NATIVAS AMAZONICAS, A ACUICULTORES DE LAS 10 PROVINCIAS DEL DEPARTAMENTO DE SAN MARTIN</t>
  </si>
  <si>
    <t>REGION SAN MARTIN-PESQUERIA</t>
  </si>
  <si>
    <t>CREACION DE SERVICIOS TURISTICOS PUBLICOS DEL CORREDOR TURÍSTICO DE LA CUEVA DE CUNCHIHUILLO DEL  DISTRITO DE JUANJUI - PROVINCIA DE MARISCAL CACERES - DEPARTAMENTO DE SAN MARTIN</t>
  </si>
  <si>
    <t>RIEGO</t>
  </si>
  <si>
    <t>MEJORAMIENTO DEL SERVICIO DE AGUA A NIVEL PARCELARIO CON UN SISTEMA DE RIEGO TECNIFICADO EN LA CADENA PRODUCTIVA DE PALMA ACEITERA EN LA LOCALIDAD DE SAN ANTONIO DEL DISTRITO DE CASPISAPA - PROVINCIA DE PICOTA - DEPARTAMENTO DE SAN MARTIN</t>
  </si>
  <si>
    <t>PALMA ACEITERA</t>
  </si>
  <si>
    <t>MEJORAMIENTO DEL SERVICIO DE APOYO A LA CADENA PRODUCTIVA DEL GANADO VACUNO EN EL  DISTRITO DE TOCACHE - PROVINCIA DE TOCACHE - DEPARTAMENTO DE SAN MARTIN</t>
  </si>
  <si>
    <t>USA 3 PREDIOS GANADERIA</t>
  </si>
  <si>
    <t>RECUPERACION DE SUELOS DEGRADADOS MEDIANTE LA FORESTACIÓN EN EL  DISTRITO DE UCHIZA - PROVINCIA DE TOCACHE - DEPARTAMENTO DE SAN MARTIN</t>
  </si>
  <si>
    <t>MUNICIPALIDAD DISTRITAL DE UCHIZA</t>
  </si>
  <si>
    <t>MEJORAMIENTO DE LOS SERVICIOS DE APOYO EN LA CADENA PRODUCTIVA DEL CACAO EN EL  DISTRITO DE UCHIZA - PROVINCIA DE TOCACHE - DEPARTAMENTO DE SAN MARTIN</t>
  </si>
  <si>
    <t>RECUPERACION DE ECOSISTEMAS DEGRADADOS EN 13 COMUNIDADES NATIVAS DE LAS ETNIAS KECHWA Y AWAJUN UBICADAS EN 5 PROVINCIAS DEL DEPARTAMENTO DE SAN MARTIN</t>
  </si>
  <si>
    <t>RECUPERACION DE LOS SERVICIOS ECOSISTEMICOS DE REGULACIÓN HIDRICA Y CONTROL DE EROSIÓN DE SUELOS EN LA ZOCRE NACIENTE DE RIO NEGRO Y EN LA ZONA DE AMORTIGUAMIENTO DEL BOSQUE DE PROTECCIÓN ALTO MAYO EN LA SUBCUENCA DEL RIO YURACYACU.  DISTRITO DE YURACYACU - PROVINCIA DE RIOJA - DEPARTAMENTO DE SAN MARTIN</t>
  </si>
  <si>
    <t>MEJORAMIENTO DEL SERVICIO DE APOYO AL DESARROLLO PRODUCTIVO DE LA CADENA DE VALOR ACUÍCOLA CON PAICHE EN LAS 4 PROVINCIAS DEL DEPARTAMENTO DE SAN MARTIN</t>
  </si>
  <si>
    <t>MEJORAMIENTO DE LA CADENA DE VALOR DEL CULTIVO DE PIÑA (ANANAS COMOSUS) EN EL  DISTRITO DE UCHIZA - PROVINCIA DE TOCACHE - DEPARTAMENTO DE SAN MARTIN</t>
  </si>
  <si>
    <t>PIÑA</t>
  </si>
  <si>
    <t>MEJORAMIENTO DE LOS SERVICIOS DE INNOVACIÓN TECNOLÓGICA  PARA EL APROVECHAMIENTO COMERCIAL DE LOS RESIDUOS ORGÁNICOS DEL PLÁTANO EN LOS 5 DISTRITOS DE LA PROVINCIA DE TOCACHE - DEPARTAMENTO DE SAN MARTIN</t>
  </si>
  <si>
    <t>RECUPERACION DE LOS ECOSISTEMAS DEGRADADOS DE BOSQUE HUMEDO DE COLINA BAJA Y COLINA ALTA EN LA ZOCRE MORRO DE CALZADA EN LOS DISTRITOS DE CALZADA Y YANTALO DE LA  PROVINCIA DE MOYOBAMBA - DEPARTAMENTO DE SAN MARTIN</t>
  </si>
  <si>
    <t>MEJORAMIENTO DE LOS SERVICIOS DE PROMOCIÓN DEL USO SOSTENIBLE DEL UNGURAW UI EN LA COMUNIDAD CAMPESINA PAZ Y ESPERANZA, PROVINCIA DE MOYOBAMBA REGION SAN MARTIN</t>
  </si>
  <si>
    <t>COMUNIDADES CAMPESINAS</t>
  </si>
  <si>
    <t>Emprendimientos sostenibles</t>
  </si>
  <si>
    <t>MEJORAMIENTO DE LA CADENA PRODUCTIVA DEL CACAO Y EL CAFE EN LA LOCALIDAD DE CALZADA, DISTRITO DE CALZADA - MOYOBAMBA - SAN MARTIN</t>
  </si>
  <si>
    <t>MUNICIPALIDAD DISTRITAL DE CALZADA</t>
  </si>
  <si>
    <t>INSTALACION DEL CIRCUITO TURISTICO DEL COMPLEJO ARQUEOLOGICO DE GUAYAQUIL, DISTRITO DE NUEVA CAJAMARCA - RIOJA - SAN MARTIN</t>
  </si>
  <si>
    <t>MUNICIPALIDAD DISTRITAL DE NUEVA CAJAMARCA</t>
  </si>
  <si>
    <t>MEJORAMIENTO DE LOS CULTIVOS DE CAFE Y CACAO MEDIANTE SISTEMAS AGROFORESTALES EN LOS DISTRITOS DE SORITOR, JEPELACIO, MOYOBAMBA, HABANA Y CALZADA, PROVINCIA DE MOYOBAMBA - SAN MARTIN</t>
  </si>
  <si>
    <t>CAFE</t>
  </si>
  <si>
    <t>CREACION DEL SERVICIO DE AGUA POTABLE Y ALCANTARILLADO SANITARIO DE LA COMUNIDAD NATIVA ALTO MAYO DEL DISTRITO DE AWAJUN - PROVINCIA DE RIOJA - DEPARTAMENTO DE SAN MARTIN</t>
  </si>
  <si>
    <t>MEJORAMIENTO DE LA COMPETITIVIDAD EN LA CADENA PRODUCTIVA DEL CACAO A PRODUCTORES DE LAS LOCALIDADES DEL VALLE DEL VALLE DEL ALLCOYACU Y CAÑA BRAVA EN EL DISTRITO DE BELLAVISTA, PROVINCIA DE BELLAVISTA - SAN MARTIN</t>
  </si>
  <si>
    <t>MUNICIPALIDAD PROVINCIAL DE BELLAVISTA</t>
  </si>
  <si>
    <t>MEJORAMIENTO DE LOS SERVICIOS DE APOYO EN LA CADENA PRODUCTIVA DEL CACAO, EN 07 LOCALIDADES, DISTRITO DE SHUNTE - TOCACHE - SAN MARTIN</t>
  </si>
  <si>
    <t>MUNICIPALIDAD DISTRITAL DE SHUNTE</t>
  </si>
  <si>
    <t>RECUPERACION DE SUELOS DEGRADADOS EN LAS MICROCUENCAS DE ISHANGAYACU Y FAUSA SAPINA, DISTRITO DE SAN PABLO - BELLAVISTA - SAN MARTIN</t>
  </si>
  <si>
    <t>MUNICIPALIDAD DISTRITAL DE SAN PABLO</t>
  </si>
  <si>
    <t>MEJORAMIENTO DEL SERVICIO DE APOYO AL DESARROLLO PRODUCTIVO DE LA CADENA DE VALOR DE LA GANADERÌA, A PRODUCTORES ORGANIZADOS DE 10 PROVINCIAS DEL DEPARTAMENTO DE SAN MARTIN</t>
  </si>
  <si>
    <t>MEJORAMIENTO DEL PARQUE PRINCIPAL DE LA COMUNIDAD NATIVA DE AVIACION DEL DISTRITO DE SAN ROQUE DE CUMBAZA - PROVINCIA DE LAMAS - DEPARTAMENTO DE SAN MARTIN</t>
  </si>
  <si>
    <t>MUNICIPALIDAD DISTRITAL DE SAN ROQUE DE CUMBAZA</t>
  </si>
  <si>
    <t>MEJORAMIENTO DEL SERVICIO DE APOYO AL DESARROLLO PRODUCTIVO, DE LA CADENA DE VALOR DE ARROZ, A PRODUCTORES DE LAS 04 JUNTAS DE USUARIOS DE LAS 9 PROVINCIAS DEL DEPARTAMENTO DE SAN MARTIN</t>
  </si>
  <si>
    <t>ARROZ</t>
  </si>
  <si>
    <t>MEJORAMIENTO DEL PARQUE PRINCIPAL DE LA COMUNIDAD NATIVA DE CHIRIKYACU DEL DISTRITO DE SAN ROQUE DE CUMBAZA - PROVINCIA DE LAMAS - DEPARTAMENTO DE SAN MARTIN</t>
  </si>
  <si>
    <t>INDUSTRIA</t>
  </si>
  <si>
    <t>MEJORAMIENTO DEL SERVICIO DE APOYO A LA CADENA PRODUCTIVA DE TRANSFORMACIÓN DEL CACAO EN LAS LOCALIDADES DE BAMBAMARCA, SAPOSOA, SANTA CRUZ Y CHAZUTA, PROVINCIAS DE TOCACHE, EL DORADO, HUALLAGA Y SAN MARTIN, REGIÓN SAN MARTIN</t>
  </si>
  <si>
    <t>MEJORAMIENTO DE LAS CAPACIDADES TÉCNICAS Y TECNOLÓGICAS EN LAS CADENAS PRODUCTIVAS DE CAFÉ Y CACAO EN LOS DISTRITOS DE MOYOBAMBA, JEPELACIO Y YANTALO DE LA  PROVINCIA DE MOYOBAMBA - DEPARTAMENTO DE SAN MARTIN</t>
  </si>
  <si>
    <t>COMERCIO</t>
  </si>
  <si>
    <t>MEJORAMIENTO DE LA CADENA PRODUCTIVA DEL CULTIVO DE CAFÉ EN EL ÁMBITO DEL, DISTRITO DE ALTO SAPOSOA - HUALLAGA - SAN MARTIN</t>
  </si>
  <si>
    <t>MUNICIPALIDAD DISTRITAL DE ALTO SAPOSOA</t>
  </si>
  <si>
    <t>MEJORAMIENTO DEL SERVICIO DE APOYO AL DESARROLLO PRODUCTIVO DEL CULTIVO DE CACAO EN 05 DISTRITOS DE LA, PROVINCIA DE LAMAS - SAN MARTIN</t>
  </si>
  <si>
    <t>MUNICIPALIDAD PROVINCIAL DE LAMAS</t>
  </si>
  <si>
    <t>CREACION DE COCINAS MEJORADAS EN LOS CENTROS POBLADOS DE SAN JUAN DE TANGUMI, SANTA ROSA DE BAJO TANGUMI, SAN FRANCISCO DE BAJO PAJONAL, FAUSTINO MALDONADO Y CALZADA, EN EL  DISTRITO DE CALZADA - PROVINCIA DE MOYOBAMBA - DEPARTAMENTO DE SAN MARTIN</t>
  </si>
  <si>
    <t>COCINAS</t>
  </si>
  <si>
    <t>MEJORAMIENTO DEL SERVICIO DE APOYO AL DESARROLLO PRODUCTIVO DE LA CADENA DE VALOR DE MAÍZ AMARILLO DURO, A PRODUCTORES DE 5 PROVINCIAS DEL DEPARTAMENTO DE SAN MARTIN</t>
  </si>
  <si>
    <t>MAIZ</t>
  </si>
  <si>
    <t>INSTALACION DEL SERVICIO DE AGUA POTABLE Y SANEAMIENTO BASICO DE LA COMUNIDAD NATIVA EL DORADO, DISTRITO DE MOYOBAMBA , PROVINCIA DE MOYOBAMBA, DEPARTAMENTO DE SAN MARTIN</t>
  </si>
  <si>
    <t>PROGRAMA NACIONAL DE SANEAMIENTO RURAL</t>
  </si>
  <si>
    <t>RECUPERACIÓN DE SUELOS DEGRADADOS MEDIANTE LA INSTALACIÓN DE ESPECIES FORESTALES, EN EL DISTRITO DE PÓLVORA, PROVINCIA DE TOCACHE - SAN MARTIN</t>
  </si>
  <si>
    <t>MINAG - ALTO HUALLAGA</t>
  </si>
  <si>
    <t>MEJORAMIENTO Y AMPLIACION DEL SERVICIO DE AGUA POTABLE E INSTALACION DEL SERVICIO DE SANEAMIENTO BASICO EN EL CENTRO POBLADO FLOR DE CAFE , DISTRITO DE SHAMBOYACU - PICOTA - SAN MARTIN</t>
  </si>
  <si>
    <t>MUNICIPALIDAD DISTRITAL DE SHAMBOYACU</t>
  </si>
  <si>
    <t>RECUPERACION DE SUELOS DEGRADADOS MEDIANTE SISTEMA AGROFORESTAL CON FINES DE ESTABLECIMIENTO DE CULTIVOS PERMANENTES, EN EL VALLE DEL MISHOLLO ,DISTRITO DE POLVORA, PROVINCIA DE TOCACHE - SAN MARTIN</t>
  </si>
  <si>
    <t>CREACION DEL SERVICIO TURISTICO DE DISFRUTE DEL PAISAJE, EN EL MIRADOR NATURAL DEL GALLINAZO, DISTRITO DE CABO ALBERTO LEVEAU, PROVINCIA DE SAN MARTIN, DEPARTAMENTO DE SAN MARTIN</t>
  </si>
  <si>
    <t>MEJORAMIENTO DE LA PRODUCCION DE LA PIÑA Y EL CAFE MEDIANTE AGROFORESTERIA EN EL DISTRITO DE YANTALO, PROVINCIA DE MOYOBAMBA - SAN MARTIN</t>
  </si>
  <si>
    <t>CREACION DEL SERVICIO TURISTICO PUBLICO DE DISFRUTE DEL PAISAJE, EN EL MIRADOR NATURAL ALTO AHUASHIYACU, DISTRITO DE LA BANDA DE SHILCAYO, PROVINCIA DE SAN MARTIN, DEPARTAMENTO DE SAN MARTIN</t>
  </si>
  <si>
    <t>MEJORAMIENTO Y AMPLIACION DE LOS SERVICIOS DE PROMOCIÓN DEL ECOTURISMO EN EL CIRCUITO DEL RIO UQUIHUA SECTOR QUILLOSISA; DISTRITO DE RIOJA; PROVINCIA DE RIOJA- SAN MARTIN</t>
  </si>
  <si>
    <t>INSTALACION DE ESPECIES FORESTALES NATIVAS  PARA  RECUPERAR SUELOS DEGRADADOS CON POTENCIAL FORESTAL Y CONSERVACION - ZONA DE RECUPERACION Y CONSERVACION  ECOSISTEMICO - ZOCRE  LOCALIDAD DE CALZADA, DISTRITO DE CALZADA - MOYOBAMBA - SAN MARTIN</t>
  </si>
  <si>
    <t>USA 7 ZOCRES</t>
  </si>
  <si>
    <t>MEJORAMIENTO DE LA CADENA PRODUCTIVA DE GANADERIA BOVINA , PROVINCIA DE MOYOBAMBA - SAN MARTIN</t>
  </si>
  <si>
    <t>MEJORAMIENTO DE LAS CONDICIONES DE VIDA DE LA LOCALIDAD DE ALTO RIOJA, CON LA IMPLEMENTACION DE COCINAS MEJORADAS, DISTRITO DE JEPELACIO-MOYOBAMBA-SAN MARTIN</t>
  </si>
  <si>
    <t>MEJORAMIENTO DEL SERVICIO Y APOYO A LA CADENA PRODUCTIVA DEL CUY (CAVIA PORCELLUS) PARA GARANTIZAR LA SEGURIDAD ALIMENTARIA DE LAS FAMILIAS  DISTRITO DE PICOTA - PROVINCIA DE PICOTA - DEPARTAMENTO DE SAN MARTIN</t>
  </si>
  <si>
    <t>MEJORAMIENTO Y ARTICULACION COMERCIAL DEL PROCESAMIENTO DE LA PIÑA EN CONSERVA EN EL, DISTRITO DE LAMAS, PROVINCIA DE LAMAS - SAN MARTIN</t>
  </si>
  <si>
    <t>MEJORAMIENTO DE PRESTACIÓN DE SERVICIOS DE APOYO A PRODUCTORES DE LA CADENA PRODUCTIVA DE TILAPIA EN LAS 10 PROVINCIAS DE LA REGIÓN SAN MARTIN</t>
  </si>
  <si>
    <t>TILAPIA</t>
  </si>
  <si>
    <t>RECUPERACIÓN DEL SERVICIO ECOSISTEMICO DEL CONTROL DE EROSION DE SUELOS EN LA ZOCRE BOSHUMI Y SU AMBITO DE INFLUENCIA, PROVINCIA DE TOCACHE Y MARISCAL CACERES, REGION SAN MARTIN</t>
  </si>
  <si>
    <t>MEJORAMIENTO DEL SERVICIO TURISTICO DE LA CASCADA SANTA CRUZ, EN EL CENTRO POBLADO DE SANTA CRUZ, DISTRITO DE NUEVO PROGRESO - TOCACHE - SAN MARTIN</t>
  </si>
  <si>
    <t>MEJORAMIENTO DE LOS SERVICIOS PÚBLICOS CULTURALES, DEPORTIVOS, TURÍSTICOS, EDUCATIVOS Y DE SALUD EN LAS LOCALIDADES DEL  DISTRITO DE HUICUNGO - PROVINCIA DE MARISCAL CACERES - DEPARTAMENTO DE SAN MARTIN</t>
  </si>
  <si>
    <t>MUNICIPALIDAD DISTRITAL DE HUICUNGO</t>
  </si>
  <si>
    <t>RECUPERACION DE LOS SERVICIOS ECOSISTEMICOS DE REGULACIÓN HÍDRICA Y CONTROL DE LA EROSION DE SUELOS EN SUB CUENCAS ALTAS DE LA ZONA DE PROTECCION Y CONSERVACION ECOLOGICA (ZOCRE) SISA Y GERA, PROVINCIAS DE EL DORADO Y MOYOBAMBA - REGION SAN MARTIN</t>
  </si>
  <si>
    <t>SUELOS</t>
  </si>
  <si>
    <t>MEJORAMIENTO DE LOS SERVICIOS PÚBLICOS, TURÍSTICOS CULTURALES, DEPORTIVOS, EDUCATIVOS Y DE SALUD EN LAS LOCALIDADES DEL  DISTRITO DE PAJARILLO - PROVINCIA DE MARISCAL CACERES - DEPARTAMENTO DE SAN MARTIN</t>
  </si>
  <si>
    <t>MUNICIPALIDAD DISTRITAL DE PAJARILLO</t>
  </si>
  <si>
    <t>MEJORAMIENTO DEL SERVICIO DE APOYO A LA CADENA PRODUCTIVA DE NARANJA A PRODUCTORES EN LAS PROVINCIAS DE MARISCAL CÁCERES, HUALLAGA Y BELLAVISTA - REGIÓN SAN MARTIN</t>
  </si>
  <si>
    <t>NARANJA</t>
  </si>
  <si>
    <t>MEJORAMIENTO DEL SERVICIO DE APOYO A LA CADENA PRODUCTIVA DE CAFE  EN  ZONAS DE MAYOR INCIDENCIA DE PLAGAS Y ENFERMEDADES A LOS PRODUCTORES DE CINCO PROVINCIAS DE LA REGION SAN MARTIN</t>
  </si>
  <si>
    <t>MEJORAMIENTO DEL SERVICIO DE TRANSFERENCIA DE CONOCIMIENTOS Y TECNOLOGÍAS , EN LA GRANJA GANADERA DE CALZADA DEL DISTRITO DE CALZADA - PROVINCIA DE MOYOBAMBA - DEPARTAMENTO DE SAN MARTIN</t>
  </si>
  <si>
    <t>REGION SAN MARTIN - PROYECTO ESPECIAL ALTO MAYO</t>
  </si>
  <si>
    <t>INSTALACION DE SERVICIOS TECNOLOGICOS EN LA CADENA PRODUCTIVA DEL SECTOR PESQUERO AMAZONICO, EN EL DISTRITO DE LA BANDA DE SHILCAYO, PROVINCIA DE SAN MARTIN, DEPARTAMENTO SAN MARTIN</t>
  </si>
  <si>
    <t>PESCA</t>
  </si>
  <si>
    <t>INSTITUTO TECNOLOGICO DE LA PRODUCCION - ITP</t>
  </si>
  <si>
    <t>MEJORAMIENTO DE CAPACIDADES PARA LA PROMOCION TURISTICA EN EL DISTRITO DE LAMAS , PROVINCIA DE LAMAS - SAN MARTIN</t>
  </si>
  <si>
    <t>ACONDICIONAMIENTO TURISTICO DE LA LAGUNA SAUCE - DISTRITO SAUCE - REGION SAN MARTIN</t>
  </si>
  <si>
    <t>MEJORAMIENTO DE LOS SERVICIOS DE APOYO AL DESARROLLO PRODUCTIVO DE LA CADENA DE CACAO, GUANABANA Y MARACUYA A LOS PRODUCTORES DEL, DISTRITO DE SORITOR - MOYOBAMBA - SAN MARTIN</t>
  </si>
  <si>
    <t>MUNICIPALIDAD DISTRITAL DE SORITOR</t>
  </si>
  <si>
    <t>MEJORAMIENTO DE LOS SERVICIOS DE INNOVACION TECNOLOGICA PARA EL DESARROLLO DE LA CADENA PRODUCTIVA ACUICOLA EN LA LOCALIDAD DE AHUASHIYACU, DISTRITO DE LA BANDA DE SHILCAYO, PROVINCIA DE SAN MARTIN, DEPARTAMENTO DE SAN MARTIN</t>
  </si>
  <si>
    <t>AMPLIACION Y MEJORAMIENTO DE LOS SERVICIOS DE APOYO AL DESARROLLO PRODUCTIVO DE LA CADENA DEL CACAO A LOS PRODUCTORES EN LA REGIÓN SAN MARTIN</t>
  </si>
  <si>
    <t>PRESERVACION DE LOS RECURSOS NATURALES RENOVABLES</t>
  </si>
  <si>
    <t>MEJORAMIENTO DEL SERVICIO DE PROTECCION Y CONSERVACION DE LA ZONA DE AMORTIGUAMIENTO DEL BOSQUE DE PROTECION DEL ALTO MAYO EN LA, PROVINCIA DE RIOJA - SAN MARTIN</t>
  </si>
  <si>
    <t>USA 6 BOSQUE DE PROTECCION ALTO MAYO</t>
  </si>
  <si>
    <t>RECUPERACION DE LOS SERVICIOS AMBIENTALES DE LOS SUELOS DEGRADADOS POR EL CULTIVO DE COCA EN LA CUENCA DEL RIO SAPOSOA, SAPOSOA, PROVINCIA DE HUALLAGA - SAN MARTIN</t>
  </si>
  <si>
    <t>MUNICIPALIDAD PROVINCIAL DE HUALLAGA - SAPOSOA</t>
  </si>
  <si>
    <t>MEJORAMIENTO DE LA PRODUCTIVIDAD Y COMERCIALIZACION DEL CULTIVO DE PLATANO EN 13 LOCALIDADES DE SHUNTE, DISTRITO DE SHUNTE - TOCACHE - SAN MARTIN</t>
  </si>
  <si>
    <t>MEJORAMIENTO DE LOS SERVICIOS TURÍSTICOS DE LAS ORGANIZACIONES DE LA CADENA DE VALOR TURÍSTICA  A TRAVES DE LA PROMOCION DE LOS 4 DESTINOS REGIONALES, EN 4 PROVINCIAS DEL DEPARTAMENTO DE SAN MARTIN</t>
  </si>
  <si>
    <t>MEJORAMIENTO DE LOS SERVICIOS TURISTICOS PUBLICOS DEL RECORRIDO TURISTICO DE LA LOCALIDAD DE LAMAS Y EL BARRIO KECHWA NATIVO WAYKU, PROVINCIA DE LAMAS, REGION SAN MARTIN</t>
  </si>
  <si>
    <t>PLAN COPESCO</t>
  </si>
  <si>
    <t>MEJORAMIENTO DE LAS CAPACIDADES PRODUCTIVAS EN EL CULTIVO DE CAFE MEDIANTE SISTEMAS AGROFORESTALES EN EL VALLE DEL ALTO MAYO, DISTRITO DE SORITOR - MOYOBAMBA - SAN MARTIN</t>
  </si>
  <si>
    <t>MEJORAMIENTO DE CAPACIDADES PARA LA PRODUCCION DE CAFE Y CACAO EN LAS ZONAS DEL ALTO SISA Y ALTO ALAO, DISTRITO DE SAN MARTIN - EL DORADO - SAN MARTIN</t>
  </si>
  <si>
    <t>MUNICIPALIDAD DISTRITAL DE SAN MARTIN</t>
  </si>
  <si>
    <t>PROMOCION DEL MANEJO SOSTENIBLE DEL AGUAJE (MAURITIA FLEXUOSA) EN EL AREA DE CONSERVACION DE AREAS INUNDABLES DEL BAJO HUALLAGA, DISTRITO DE EL PORVENIR, PROVINCIA DE SAN MARTIN, DEPARTAMENTO DE SAN MARTIN</t>
  </si>
  <si>
    <t>AGUAJE</t>
  </si>
  <si>
    <t>REG. SAN MARTIN - PROCEJA</t>
  </si>
  <si>
    <t>MEJORAMIENTO Y PROMOCION DEL ECOTURISMO EN EL CIRCUITO TURISTICO CUEVA DE LOS HUACHAROS - CASCADA DE AGUAS CALIENTES, DISTRITO DE SORITOR - MOYOBAMBA - SAN MARTIN</t>
  </si>
  <si>
    <t>CONSTRUCCION Y MEJORAMIENTO DEL SISTEMA DE AGUA POTABLE Y ALCANTARILLADO DE LAS COMUNIDADES NATIVAS, DISTRITO DE AWAJUN - RIOJA - SAN MARTIN</t>
  </si>
  <si>
    <t>AMPLIACION Y DESARROLLO DE CAPACIDADES PARA INCREMENTAR LA PRODUCCION Y PRODUCTIVIDAD DEL CULTIVO DE CAFE, DISTRITO DE UCHIZA - TOCACHE - SAN MARTIN</t>
  </si>
  <si>
    <t>MEJORAMIENTO DE LOS SERVICIOS TURISTICOS PUBLICOS EN EL MORRO DE CALZADA, DISTRITO DE CALZADA, PROVINCIA DE MOYOBAMBA, DEPARTAMENTO DE SAN MARTIN</t>
  </si>
  <si>
    <t>BASE CONSOLIDADA DE LAS INTERVENCIONES PRESUPUESTADAS, CATEGORIZADAS Y AGREGADAS EN COMPONENTES Y PROGRAMAS</t>
  </si>
  <si>
    <t>Programa Nacional de Conservación de Bosques para la Mitigación del cambio climático</t>
  </si>
  <si>
    <t>PE-G1003</t>
  </si>
  <si>
    <t>PE-L1229</t>
  </si>
  <si>
    <t>PE-L1226</t>
  </si>
  <si>
    <t>PE-L1122</t>
  </si>
  <si>
    <t>MINAGRI</t>
  </si>
  <si>
    <t>RESUMEN DE LOS PROYECTOS DE COOPARACIÓN IDENTIFICADOS PARA LA REGIÓN SAN MARTÍN</t>
  </si>
  <si>
    <t>Programa de regulización, formalizacion y saneamiento de predios</t>
  </si>
  <si>
    <t>Programa de Asistencia Técnicas para incrementar la capacidad productiva de las principaes cadenas</t>
  </si>
  <si>
    <t>Programa de acceso al crédito</t>
  </si>
  <si>
    <t>Programa de promoción de la Asociatividad Empresarial</t>
  </si>
  <si>
    <t>Programa de Asistencia Técnica para la recuperación de bosques</t>
  </si>
  <si>
    <t>Programa de Emprendimientos que coadyuvan a la sostebilidad de los Bossques</t>
  </si>
  <si>
    <t>Programa de incentivos para la protección de bosques</t>
  </si>
  <si>
    <t xml:space="preserve">Programa de Infraestructura para la Competitividad </t>
  </si>
  <si>
    <t>Programa de Mejoramiento de condiciones para el monitoreo</t>
  </si>
  <si>
    <t>Desarrollar capaciades en la poblacion y dotarlo de módulos productivos  en compensación a la participación en el monitorei de su ámbito</t>
  </si>
  <si>
    <t>Programa de Apoyo especializado para la Competitividad</t>
  </si>
  <si>
    <t xml:space="preserve">Velar por la calidad y productividad de los productos y  por el acceso al mercado en condiciones competitivas </t>
  </si>
  <si>
    <t>Programa Anticorrupción</t>
  </si>
  <si>
    <t xml:space="preserve">Establecer los mecanismos,  estrucutras y plan para la participacion activa de la población organizada </t>
  </si>
  <si>
    <t>Programa de Emprendimientos juvenil en base a los recursos natural de la Región</t>
  </si>
  <si>
    <t>identificar iniciativas a partir de desarrollo de capacidades a los emprendedores</t>
  </si>
  <si>
    <t xml:space="preserve"> Al  2025 S/</t>
  </si>
  <si>
    <t xml:space="preserve">  Año 4</t>
  </si>
  <si>
    <t>USA / COMPONENTES DE LA USA / IDEAS DE PROYECTOS</t>
  </si>
  <si>
    <t>Áreas de Riesgo</t>
  </si>
  <si>
    <t># de Salvaguardas</t>
  </si>
  <si>
    <t># de Intervenciones</t>
  </si>
  <si>
    <t>respecto al Costo total de las intervenciones que requieren salvaguardas</t>
  </si>
  <si>
    <t>respecto al Costo total de las intervenciones en general</t>
  </si>
  <si>
    <t>FUENTE</t>
  </si>
  <si>
    <t>PUBLICO</t>
  </si>
  <si>
    <t>Intervenciones transversales x región</t>
  </si>
  <si>
    <t>Intervenciones transversales x UDT</t>
  </si>
  <si>
    <t>USA PREDIOS AGRARIOS ARROZ</t>
  </si>
  <si>
    <r>
      <rPr>
        <sz val="11"/>
        <color theme="1"/>
        <rFont val="Calibri"/>
        <family val="2"/>
        <scheme val="minor"/>
      </rPr>
      <t xml:space="preserve"> </t>
    </r>
    <r>
      <rPr>
        <sz val="8"/>
        <color rgb="FF000000"/>
        <rFont val="Calibri"/>
        <family val="2"/>
      </rPr>
      <t>-</t>
    </r>
    <r>
      <rPr>
        <sz val="8"/>
        <color rgb="FF000000"/>
        <rFont val="Calibri"/>
        <family val="2"/>
      </rPr>
      <t xml:space="preserve">  </t>
    </r>
  </si>
  <si>
    <t xml:space="preserve"> -   </t>
  </si>
  <si>
    <t>USA PEQUEÑOS PREDIOS AGRARIOS (CAFE, CACAO, ETC)</t>
  </si>
  <si>
    <t>TOTAL PUBLICO</t>
  </si>
  <si>
    <t>PRIVADO</t>
  </si>
  <si>
    <t>Proyectos de Inversión Forestal Perú (BID)</t>
  </si>
  <si>
    <t>Gestión sostenible de los bosques amazónicos adoptando medidas frente al cambio climático</t>
  </si>
  <si>
    <t>Intervenciones transversales x  región</t>
  </si>
  <si>
    <t>BOSQUE DE PROTECCION ALTO MAYO</t>
  </si>
  <si>
    <t>PARQUE NACIONAL CORDILLERA AZUL</t>
  </si>
  <si>
    <t>PE-L1232</t>
  </si>
  <si>
    <t>Intercambio de Experiencias sobre la Masificación del Uso del Comprobante de Pago Electrónico (BID)</t>
  </si>
  <si>
    <t>PE-L1233</t>
  </si>
  <si>
    <t>PE-L1234</t>
  </si>
  <si>
    <t>9374</t>
  </si>
  <si>
    <t>Securing the Future of Peru's Natural Protected Areas (FMAM)</t>
  </si>
  <si>
    <t>SERNANP / PROFONANPE</t>
  </si>
  <si>
    <t>96495</t>
  </si>
  <si>
    <t>Declaración Conjunta de Intención de los Gobiernos de la República del Perú, Reino de Noruega, la República Federal de Alemania. (PNUD)</t>
  </si>
  <si>
    <t>MINAM</t>
  </si>
  <si>
    <t>CIENCIA Y TECNOLOGIA</t>
  </si>
  <si>
    <t>2000002257</t>
  </si>
  <si>
    <t>Mejoramiento y Ampliación de los Servicios Públicos para el Desarrollo Productivo Local en los Ámbitos de la Sierra y Selva del Perú (FIDA)</t>
  </si>
  <si>
    <t>ASISTENCIA TECNICA</t>
  </si>
  <si>
    <t>Producción Sostenible de bienes y servicios</t>
  </si>
  <si>
    <t>PEQUEÑOS PREDIOS PRIVADOS AGRARIOS</t>
  </si>
  <si>
    <t>Agricultural Health and Agrifood Safety Development Program Phase II (BID)</t>
  </si>
  <si>
    <t>TECNOLOGIA</t>
  </si>
  <si>
    <t>SENASA</t>
  </si>
  <si>
    <t>Programa Integral de Agua y Saneamiento Rural (PIASAR) - BID</t>
  </si>
  <si>
    <t>Desarrollo  Socioeconómico de la población rural</t>
  </si>
  <si>
    <t>MINISTERIO DE VIVIENDA</t>
  </si>
  <si>
    <t>Project to Improve the Agricultural Statistical Information System and the Agriculture (BID)</t>
  </si>
  <si>
    <t>Desarrollo Unidades Territoriales</t>
  </si>
  <si>
    <t>TOTAL PRIVADO</t>
  </si>
  <si>
    <t>FLUJO PROYECTADO DE POTENCIALES FUENTES DE FINANCIAMIENTO DE LAS ERDRBE</t>
  </si>
  <si>
    <t>TOTAL FUENTES PÚBLICO + PRIVADO</t>
  </si>
  <si>
    <t>PRESUPUESTO DE LA ERDRBE</t>
  </si>
  <si>
    <t>ANÁLISIS GLOBAL</t>
  </si>
  <si>
    <t>ESTADISTICAS DE LAS SALVAGUARDAS PARA LA ERDRBE DE LA REGIÓN SAN MARTÍN</t>
  </si>
  <si>
    <t>(1) Incluye 1.05% del costo directo que corresponde a costos de preinversión y gastos de gestión de cada componente. No incluye los costos centrales de gestión, implementación, monitoreo y salvaguardas.</t>
  </si>
  <si>
    <t>Áreas de Riesgo / Salvaguardas</t>
  </si>
  <si>
    <t>ÁREAS DE RIESGO POR UDT</t>
  </si>
  <si>
    <t>UDTS</t>
  </si>
  <si>
    <t>RESUMEN</t>
  </si>
  <si>
    <t>Interv con Salguardas</t>
  </si>
  <si>
    <t>Total de Salvagurdas</t>
  </si>
  <si>
    <t>Programa de gestión sostenible de los bosques amazónicos frente al cambio climático.</t>
  </si>
  <si>
    <t>Programa de incentivos públicos promoviendo el bienestar sostenible de sus habilitantes</t>
  </si>
  <si>
    <t>Programa de producción y tecnología para el desarrollo sostenible</t>
  </si>
  <si>
    <t>PROGRAMA</t>
  </si>
  <si>
    <t xml:space="preserve">RECURSOS PÚBLICOS IDENTIFICADOS POR NIVEL Y PROGRAMA Y SUS COMPONENTES EN LOS 5 AÑOS </t>
  </si>
  <si>
    <t xml:space="preserve"> 2021</t>
  </si>
  <si>
    <t xml:space="preserve"> 2022</t>
  </si>
  <si>
    <t xml:space="preserve"> 2023</t>
  </si>
  <si>
    <t xml:space="preserve"> 2024</t>
  </si>
  <si>
    <t xml:space="preserve"> 2025</t>
  </si>
  <si>
    <t xml:space="preserve"> TOTAL S/. 2025</t>
  </si>
  <si>
    <t>RECURSOS PÚBLICOS IDENTIFICADOS POR NIVEL, USA Y UDT</t>
  </si>
  <si>
    <t>NIVEL / PROGRAMAS / COMPONENTES</t>
  </si>
  <si>
    <t>RECURSOS PÚBLICOS IDENTIFICADOS POR NIVEL, PROGRAMA , COMPONENTES POR UDT</t>
  </si>
  <si>
    <t>NIVEL / USAs</t>
  </si>
  <si>
    <t>RECURSOS PÚBLICOS POR PROGRAMAS Y COMPONENTES EN LOS 5 AÑOS</t>
  </si>
  <si>
    <t xml:space="preserve"> PROGRAMAS / COMPONENTES</t>
  </si>
  <si>
    <t>RECURSOS PÚBLICOS POR PROGRAMAS Y COMPONENTES POR UDT</t>
  </si>
  <si>
    <t>RECURSOS DE COOPERACIÓN POR PROGRAMAS Y COMPONENTES EN LOS 5 AÑOS</t>
  </si>
  <si>
    <t>PROGRAMSA / COMPONENTES</t>
  </si>
  <si>
    <t>RECURSOS DE COOPERACIÓN POR PROGRAMAS Y COMPONENTES POR UDT</t>
  </si>
  <si>
    <t>2025 Directo</t>
  </si>
  <si>
    <t>2030 Directo</t>
  </si>
  <si>
    <t>Año 1 Cto Directo</t>
  </si>
  <si>
    <t>Año 2 Cto. Directo</t>
  </si>
  <si>
    <t>Año 3 Cto. Directo</t>
  </si>
  <si>
    <t>Año 4 Cto. Directo</t>
  </si>
  <si>
    <t>Año 5 Cto. Directo</t>
  </si>
  <si>
    <t>Costo Indirecto por componente</t>
  </si>
  <si>
    <t># de proyectos diferentes</t>
  </si>
  <si>
    <t xml:space="preserve">Objetivos </t>
  </si>
  <si>
    <t>N° proyectos</t>
  </si>
  <si>
    <t>Total</t>
  </si>
  <si>
    <t>Ciclo de la inversión</t>
  </si>
  <si>
    <t>Fecha del último ciclo de inversión</t>
  </si>
  <si>
    <t xml:space="preserve">Provincia </t>
  </si>
  <si>
    <t>Distrito</t>
  </si>
  <si>
    <t>Avance fisico</t>
  </si>
  <si>
    <t>- TODOS -</t>
  </si>
  <si>
    <t>C</t>
  </si>
  <si>
    <t>E</t>
  </si>
  <si>
    <t>Z</t>
  </si>
  <si>
    <t>Costo actualizado (S/)</t>
  </si>
  <si>
    <t>Devengado acumulado (S/) (al 31 dic. 2020)</t>
  </si>
  <si>
    <t>Monto año 2024 (S/)</t>
  </si>
  <si>
    <t>Monto año 2023 (S/)</t>
  </si>
  <si>
    <t>Monto año 2022 (S/)</t>
  </si>
  <si>
    <t>PIM 2021 (S/)Programación del monto de inversión (S/)</t>
  </si>
  <si>
    <t>Monto año 2021 (S/)</t>
  </si>
  <si>
    <t>F</t>
  </si>
  <si>
    <t>NADA</t>
  </si>
  <si>
    <t>D</t>
  </si>
  <si>
    <t>ORDEN PRELACIÓN(+)</t>
  </si>
  <si>
    <t>*) Orden de Prelación</t>
  </si>
  <si>
    <r>
      <t>A</t>
    </r>
    <r>
      <rPr>
        <sz val="8"/>
        <color rgb="FF31708F"/>
        <rFont val="Open Sans"/>
        <family val="2"/>
      </rPr>
      <t> Las inversiones en proceso de liquidación o aquellas por iniciar liquidación cuya ejecución física ha concluido.</t>
    </r>
  </si>
  <si>
    <r>
      <t>B1</t>
    </r>
    <r>
      <rPr>
        <sz val="8"/>
        <color rgb="FF31708F"/>
        <rFont val="Open Sans"/>
        <family val="2"/>
      </rPr>
      <t> Las inversiones en ejecución física que culminen en el año 1 de la programación multianual de inversiones.</t>
    </r>
  </si>
  <si>
    <r>
      <t>B2</t>
    </r>
    <r>
      <rPr>
        <sz val="8"/>
        <color rgb="FF31708F"/>
        <rFont val="Open Sans"/>
        <family val="2"/>
      </rPr>
      <t> Las inversiones en ejecución física que culminen en el año 2 de la programación multianual de inversiones.</t>
    </r>
  </si>
  <si>
    <r>
      <t>B3</t>
    </r>
    <r>
      <rPr>
        <sz val="8"/>
        <color rgb="FF31708F"/>
        <rFont val="Open Sans"/>
        <family val="2"/>
      </rPr>
      <t> Las inversiones en ejecución física que culminen en el año 3 de la programación multianual de inversiones.</t>
    </r>
  </si>
  <si>
    <r>
      <t>C</t>
    </r>
    <r>
      <rPr>
        <sz val="8"/>
        <color rgb="FF31708F"/>
        <rFont val="Open Sans"/>
        <family val="2"/>
      </rPr>
      <t> Las inversiones en ejecución física cuya culminación exceda el periodo de la programación multianual de inversiones.</t>
    </r>
  </si>
  <si>
    <r>
      <t>D</t>
    </r>
    <r>
      <rPr>
        <sz val="8"/>
        <color rgb="FF31708F"/>
        <rFont val="Open Sans"/>
        <family val="2"/>
      </rPr>
      <t> Las inversiones sin ejecución física y que cuenten con expediente técnico o documento equivalente completo y vigente.</t>
    </r>
  </si>
  <si>
    <r>
      <t>E</t>
    </r>
    <r>
      <rPr>
        <sz val="8"/>
        <color rgb="FF31708F"/>
        <rFont val="Open Sans"/>
        <family val="2"/>
      </rPr>
      <t> Las inversiones sin ejecución física y que cuenten con expediente técnico o documento equivalente en elaboración.</t>
    </r>
  </si>
  <si>
    <r>
      <t>F</t>
    </r>
    <r>
      <rPr>
        <sz val="8"/>
        <color rgb="FF31708F"/>
        <rFont val="Open Sans"/>
        <family val="2"/>
      </rPr>
      <t> Las inversiones sin ejecución física ni financiera que cuenten con aprobación o viabilidad vigente.</t>
    </r>
  </si>
  <si>
    <r>
      <t>G</t>
    </r>
    <r>
      <rPr>
        <sz val="8"/>
        <color rgb="FF31708F"/>
        <rFont val="Open Sans"/>
        <family val="2"/>
      </rPr>
      <t> Las inversiones que se encuentren en formulación y evaluación.</t>
    </r>
  </si>
  <si>
    <r>
      <t>H</t>
    </r>
    <r>
      <rPr>
        <sz val="8"/>
        <color rgb="FF31708F"/>
        <rFont val="Open Sans"/>
        <family val="2"/>
      </rPr>
      <t> Las inversiones que se encuentren registradas en el Banco de Inversiones como ideas.</t>
    </r>
  </si>
  <si>
    <t>RESUMEN DE LOS PROYECTOS PÚBLICOS MULTINIVEL IDENTIFICADOS PARA LA REGIÓN SAN MARTÍN</t>
  </si>
  <si>
    <t>Costo a abril 2020</t>
  </si>
  <si>
    <t>Devengado abril  2020</t>
  </si>
  <si>
    <t>SALDO abril  2020</t>
  </si>
  <si>
    <t>Informacion complementaria del PIM 21 al 31.12.2020</t>
  </si>
  <si>
    <t>Incrementar a 147.4 millones de dólares las exportaciones de la región San Martín</t>
  </si>
  <si>
    <t>Incrementar el rendimiento promedio regional a 80 quintales de café por hectárea</t>
  </si>
  <si>
    <t>Incrementar el  rendimiento promedio regional a 8 t de maíz por hectárea.</t>
  </si>
  <si>
    <t>Incrementar a 1,468,919 de arribos de ciudadanos nacionales y extranjeros a establecimientos de hospedaje (Miles de arribos).</t>
  </si>
  <si>
    <t>Reducir a 2% la proporción de desnutrición crónica infantil en niños menores de 5 años.</t>
  </si>
  <si>
    <t>Reducir a 18% la proporción niños de 6 a 35 meses con anemia.</t>
  </si>
  <si>
    <t>Porcentaje de la población urbano con acceso al servicio de agua mediante red pública</t>
  </si>
  <si>
    <t>Porcentaje de la población rural con acceso al servicio de agua mediante red pública</t>
  </si>
  <si>
    <t>Porcentaje de población urbana que tienen servicio de alcantarillado u otras formas de disposición de excretas</t>
  </si>
  <si>
    <t>Porcentaje de población rural que tienen servicio de alcantarillado u otras formas de disposición de excretas</t>
  </si>
  <si>
    <t>Incrementar a 91% el acceso al servicio de Agua potable</t>
  </si>
  <si>
    <t>Incrementar a 71% el acceso al servicio de saneamiento</t>
  </si>
  <si>
    <t>Ubicar a la Región dentro de los 8 primeros puestos en Competitividad</t>
  </si>
  <si>
    <t>Incrementar el rendimiento promedio regional a 40 t de naranja por hectárea.</t>
  </si>
  <si>
    <t>Rendimiento promedio de naranja (t/ha)</t>
  </si>
  <si>
    <t>Incrementar a 52% el porcentaje de estudiantes de 4° grado de primaria que logran comprender textos escritos.</t>
  </si>
  <si>
    <t>Incrementar a 38% el porcentaje de estudiantes de 4° grado de primaria que logran el aprendizaje en pruebas de matemáticas</t>
  </si>
  <si>
    <t>Incrementar el rendimiento promedio regional a 20 t de palma por hectárea.</t>
  </si>
  <si>
    <t>Incrementar el rendimiento promedio regional a 15 t de plátano por hectárea.</t>
  </si>
  <si>
    <t>Hectárea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</si>
</sst>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7" formatCode="&quot;S/&quot;#,##0.00;\-&quot;S/&quot;#,##0.00"/>
    <numFmt numFmtId="43" formatCode="_-* #,##0.00_-;\-* #,##0.00_-;_-* &quot;-&quot;??_-;_-@_-"/>
    <numFmt numFmtId="164" formatCode="#,##0_ ;[Red]\-#,##0\ "/>
    <numFmt numFmtId="165" formatCode="_ * #,##0_ ;_ * \-#,##0_ ;_ * &quot;-&quot;??_ ;_ @_ "/>
    <numFmt numFmtId="166" formatCode="0.0%"/>
    <numFmt numFmtId="167" formatCode="#,##0.0"/>
    <numFmt numFmtId="168" formatCode="_-* #,##0.00_-;\-* #,##0.00_-;_-* &quot;-&quot;??_-;_-@"/>
    <numFmt numFmtId="169" formatCode="#,##0.00000000"/>
    <numFmt numFmtId="170" formatCode="0.0"/>
    <numFmt numFmtId="171" formatCode="_-* #,##0_-;\-* #,##0_-;_-* &quot;-&quot;??_-;_-@"/>
    <numFmt numFmtId="172" formatCode="_-* #,##0_-;\-* #,##0_-;_-* &quot;-&quot;??_-;_-@_-"/>
    <numFmt numFmtId="173" formatCode="#,##0.0000"/>
    <numFmt numFmtId="174" formatCode="&quot;S/.&quot;#,##0.00"/>
    <numFmt numFmtId="175" formatCode="_(* #,##0_);_(* \(#,##0\);_(* &quot;-&quot;??_);_(@_)"/>
    <numFmt numFmtId="176" formatCode="0.000%"/>
  </numFmts>
  <fonts count="121" x14ac:knownFonts="1">
    <font>
      <sz val="12"/>
      <color theme="1"/>
      <name val="Arial"/>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12"/>
      <color theme="1"/>
      <name val="Calibri"/>
      <family val="2"/>
    </font>
    <font>
      <b/>
      <sz val="8"/>
      <color theme="1"/>
      <name val="Arial"/>
      <family val="2"/>
    </font>
    <font>
      <sz val="10"/>
      <color theme="0"/>
      <name val="Arial"/>
      <family val="2"/>
    </font>
    <font>
      <b/>
      <sz val="11"/>
      <color rgb="FFFFFFFF"/>
      <name val="Arial"/>
      <family val="2"/>
    </font>
    <font>
      <sz val="12"/>
      <name val="Arial"/>
      <family val="2"/>
    </font>
    <font>
      <b/>
      <sz val="11"/>
      <color theme="1"/>
      <name val="Calibri"/>
      <family val="2"/>
    </font>
    <font>
      <sz val="12"/>
      <color theme="1"/>
      <name val="Calibri"/>
      <family val="2"/>
    </font>
    <font>
      <b/>
      <sz val="8"/>
      <color theme="0"/>
      <name val="Arial"/>
      <family val="2"/>
    </font>
    <font>
      <sz val="8"/>
      <color rgb="FFFF0000"/>
      <name val="Arial"/>
      <family val="2"/>
    </font>
    <font>
      <b/>
      <sz val="10"/>
      <color theme="1"/>
      <name val="Arial"/>
      <family val="2"/>
    </font>
    <font>
      <sz val="8"/>
      <color theme="0"/>
      <name val="Arial"/>
      <family val="2"/>
    </font>
    <font>
      <b/>
      <sz val="11"/>
      <color theme="1"/>
      <name val="Arial"/>
      <family val="2"/>
    </font>
    <font>
      <b/>
      <sz val="8"/>
      <color rgb="FF000000"/>
      <name val="Arial"/>
      <family val="2"/>
    </font>
    <font>
      <sz val="8"/>
      <color rgb="FF000000"/>
      <name val="Arial"/>
      <family val="2"/>
    </font>
    <font>
      <b/>
      <sz val="10"/>
      <color theme="1"/>
      <name val="Calibri"/>
      <family val="2"/>
    </font>
    <font>
      <sz val="10"/>
      <color theme="1"/>
      <name val="Arial"/>
      <family val="2"/>
    </font>
    <font>
      <b/>
      <sz val="9"/>
      <color theme="1"/>
      <name val="Arial"/>
      <family val="2"/>
    </font>
    <font>
      <sz val="8"/>
      <name val="Arial"/>
      <family val="2"/>
    </font>
    <font>
      <sz val="10"/>
      <color theme="1"/>
      <name val="Calibri"/>
      <family val="2"/>
    </font>
    <font>
      <b/>
      <sz val="10"/>
      <color theme="1"/>
      <name val="Arial Narrow"/>
      <family val="2"/>
    </font>
    <font>
      <sz val="10"/>
      <color theme="1"/>
      <name val="Arial Narrow"/>
      <family val="2"/>
    </font>
    <font>
      <sz val="12"/>
      <color theme="1"/>
      <name val="Arial"/>
      <family val="2"/>
    </font>
    <font>
      <sz val="10"/>
      <color rgb="FF202124"/>
      <name val="Arial"/>
      <family val="2"/>
    </font>
    <font>
      <sz val="12"/>
      <color theme="1"/>
      <name val="Arial"/>
      <family val="2"/>
    </font>
    <font>
      <sz val="11"/>
      <color theme="1"/>
      <name val="Arial"/>
      <family val="2"/>
    </font>
    <font>
      <sz val="7"/>
      <color theme="1"/>
      <name val="Arial"/>
      <family val="2"/>
    </font>
    <font>
      <b/>
      <sz val="7"/>
      <color theme="1"/>
      <name val="Arial"/>
      <family val="2"/>
    </font>
    <font>
      <sz val="7"/>
      <name val="Arial"/>
      <family val="2"/>
    </font>
    <font>
      <b/>
      <sz val="7"/>
      <color theme="0"/>
      <name val="Arial"/>
      <family val="2"/>
    </font>
    <font>
      <sz val="7"/>
      <color rgb="FFFF0000"/>
      <name val="Arial"/>
      <family val="2"/>
    </font>
    <font>
      <b/>
      <sz val="11"/>
      <color theme="1"/>
      <name val="Calibri"/>
      <family val="2"/>
      <scheme val="minor"/>
    </font>
    <font>
      <b/>
      <sz val="12"/>
      <color theme="1"/>
      <name val="Calibri"/>
      <family val="2"/>
      <scheme val="minor"/>
    </font>
    <font>
      <sz val="12"/>
      <color theme="0"/>
      <name val="Arial"/>
      <family val="2"/>
    </font>
    <font>
      <b/>
      <sz val="12"/>
      <color theme="0"/>
      <name val="Arial"/>
      <family val="2"/>
    </font>
    <font>
      <sz val="8"/>
      <color rgb="FF70AD47"/>
      <name val="Arial"/>
      <family val="2"/>
    </font>
    <font>
      <sz val="8"/>
      <color rgb="FFED7D31"/>
      <name val="Arial"/>
      <family val="2"/>
    </font>
    <font>
      <sz val="8"/>
      <color rgb="FF7030A0"/>
      <name val="Arial"/>
      <family val="2"/>
    </font>
    <font>
      <sz val="12"/>
      <color rgb="FF7030A0"/>
      <name val="Arial"/>
      <family val="2"/>
    </font>
    <font>
      <sz val="11"/>
      <color theme="1"/>
      <name val="Calibri"/>
      <family val="2"/>
    </font>
    <font>
      <sz val="8"/>
      <color rgb="FF0070C0"/>
      <name val="Arial"/>
      <family val="2"/>
    </font>
    <font>
      <sz val="11"/>
      <color rgb="FF70AD47"/>
      <name val="Calibri"/>
      <family val="2"/>
    </font>
    <font>
      <sz val="11"/>
      <color rgb="FF70AD47"/>
      <name val="Arial"/>
      <family val="2"/>
    </font>
    <font>
      <sz val="11"/>
      <name val="Arial"/>
      <family val="2"/>
    </font>
    <font>
      <sz val="11"/>
      <color rgb="FFED7D31"/>
      <name val="Calibri"/>
      <family val="2"/>
    </font>
    <font>
      <sz val="11"/>
      <color rgb="FFED7D31"/>
      <name val="Arial"/>
      <family val="2"/>
    </font>
    <font>
      <sz val="11"/>
      <color rgb="FF7030A0"/>
      <name val="Calibri"/>
      <family val="2"/>
    </font>
    <font>
      <sz val="11"/>
      <color rgb="FF7030A0"/>
      <name val="Arial"/>
      <family val="2"/>
    </font>
    <font>
      <sz val="11"/>
      <color rgb="FFFF0000"/>
      <name val="Calibri"/>
      <family val="2"/>
    </font>
    <font>
      <sz val="11"/>
      <color rgb="FFFF0000"/>
      <name val="Arial"/>
      <family val="2"/>
    </font>
    <font>
      <sz val="7"/>
      <color theme="3"/>
      <name val="Arial"/>
      <family val="2"/>
    </font>
    <font>
      <sz val="9"/>
      <color theme="1"/>
      <name val="Arial"/>
      <family val="2"/>
    </font>
    <font>
      <sz val="9"/>
      <color theme="1"/>
      <name val="Calibri"/>
      <family val="2"/>
    </font>
    <font>
      <b/>
      <sz val="12"/>
      <color theme="1"/>
      <name val="Arial"/>
      <family val="2"/>
    </font>
    <font>
      <b/>
      <sz val="12"/>
      <color rgb="FFFF0000"/>
      <name val="Arial"/>
      <family val="2"/>
    </font>
    <font>
      <sz val="12"/>
      <name val="Calibri"/>
      <family val="2"/>
    </font>
    <font>
      <sz val="12"/>
      <color theme="1"/>
      <name val="Arial"/>
      <family val="2"/>
    </font>
    <font>
      <sz val="9"/>
      <color rgb="FFFF0000"/>
      <name val="Calibri"/>
      <family val="2"/>
    </font>
    <font>
      <sz val="12"/>
      <color rgb="FFFF0000"/>
      <name val="Arial"/>
      <family val="2"/>
    </font>
    <font>
      <sz val="8"/>
      <color rgb="FF00B0F0"/>
      <name val="Arial"/>
      <family val="2"/>
    </font>
    <font>
      <sz val="8"/>
      <color theme="1"/>
      <name val="Arial"/>
      <family val="2"/>
    </font>
    <font>
      <b/>
      <sz val="8"/>
      <color theme="1"/>
      <name val="Arial"/>
      <family val="2"/>
    </font>
    <font>
      <b/>
      <sz val="10"/>
      <color theme="1"/>
      <name val="Arial"/>
      <family val="2"/>
    </font>
    <font>
      <b/>
      <sz val="8"/>
      <name val="Arial"/>
      <family val="2"/>
    </font>
    <font>
      <b/>
      <sz val="12"/>
      <name val="Arial"/>
      <family val="2"/>
    </font>
    <font>
      <sz val="8"/>
      <color rgb="FF000000"/>
      <name val="Arial"/>
      <family val="2"/>
    </font>
    <font>
      <sz val="8"/>
      <color rgb="FFED7D31"/>
      <name val="Arial"/>
      <family val="2"/>
    </font>
    <font>
      <sz val="12"/>
      <color rgb="FFED7D31"/>
      <name val="Arial"/>
      <family val="2"/>
    </font>
    <font>
      <b/>
      <sz val="8"/>
      <color rgb="FFED7D31"/>
      <name val="Arial"/>
      <family val="2"/>
    </font>
    <font>
      <sz val="8"/>
      <color rgb="FF7030A0"/>
      <name val="Arial"/>
      <family val="2"/>
    </font>
    <font>
      <sz val="12"/>
      <color rgb="FF7030A0"/>
      <name val="Arial"/>
      <family val="2"/>
    </font>
    <font>
      <sz val="8"/>
      <color rgb="FF00B0F0"/>
      <name val="Arial"/>
      <family val="2"/>
    </font>
    <font>
      <b/>
      <sz val="9"/>
      <color theme="1"/>
      <name val="Arial"/>
      <family val="2"/>
    </font>
    <font>
      <b/>
      <sz val="12"/>
      <color theme="1"/>
      <name val="Arial"/>
      <family val="2"/>
    </font>
    <font>
      <b/>
      <sz val="9"/>
      <color rgb="FF7030A0"/>
      <name val="Arial"/>
      <family val="2"/>
    </font>
    <font>
      <sz val="12"/>
      <color theme="0"/>
      <name val="Arial"/>
      <family val="2"/>
    </font>
    <font>
      <b/>
      <sz val="12"/>
      <color theme="0"/>
      <name val="Arial"/>
      <family val="2"/>
    </font>
    <font>
      <sz val="12"/>
      <name val="Arial"/>
      <family val="2"/>
    </font>
    <font>
      <b/>
      <sz val="8"/>
      <color rgb="FFFFFFFF"/>
      <name val="Arial"/>
      <family val="2"/>
    </font>
    <font>
      <sz val="8"/>
      <color rgb="FFFFFFFF"/>
      <name val="Arial"/>
      <family val="2"/>
    </font>
    <font>
      <b/>
      <sz val="8"/>
      <color rgb="FF000000"/>
      <name val="Arial"/>
      <family val="2"/>
    </font>
    <font>
      <sz val="12"/>
      <color rgb="FF00B0F0"/>
      <name val="Arial"/>
      <family val="2"/>
    </font>
    <font>
      <sz val="12"/>
      <color rgb="FF000000"/>
      <name val="Arial"/>
      <family val="2"/>
    </font>
    <font>
      <b/>
      <sz val="10"/>
      <color rgb="FF000000"/>
      <name val="Arial"/>
      <family val="2"/>
    </font>
    <font>
      <sz val="9"/>
      <name val="Calibri"/>
      <family val="2"/>
    </font>
    <font>
      <sz val="11"/>
      <name val="Calibri"/>
      <family val="2"/>
    </font>
    <font>
      <b/>
      <sz val="11"/>
      <name val="Calibri"/>
      <family val="2"/>
    </font>
    <font>
      <sz val="16"/>
      <color theme="1"/>
      <name val="Arial"/>
      <family val="2"/>
    </font>
    <font>
      <sz val="16"/>
      <name val="Arial"/>
      <family val="2"/>
    </font>
    <font>
      <b/>
      <sz val="18"/>
      <color theme="1"/>
      <name val="Arial"/>
      <family val="2"/>
    </font>
    <font>
      <b/>
      <sz val="10"/>
      <name val="Arial"/>
      <family val="2"/>
    </font>
    <font>
      <sz val="12"/>
      <color theme="1"/>
      <name val="Arial"/>
      <family val="2"/>
    </font>
    <font>
      <b/>
      <sz val="18"/>
      <color theme="1"/>
      <name val="Arial Narrow"/>
      <family val="2"/>
    </font>
    <font>
      <sz val="18"/>
      <color theme="1"/>
      <name val="Arial Narrow"/>
      <family val="2"/>
    </font>
    <font>
      <b/>
      <sz val="11"/>
      <color theme="1"/>
      <name val="Arial Narrow"/>
      <family val="2"/>
    </font>
    <font>
      <b/>
      <i/>
      <u/>
      <sz val="12"/>
      <color theme="1"/>
      <name val="Arial"/>
      <family val="2"/>
    </font>
    <font>
      <b/>
      <sz val="12"/>
      <name val="Calibri"/>
      <family val="2"/>
    </font>
    <font>
      <b/>
      <sz val="12"/>
      <color theme="1"/>
      <name val="Verdana"/>
      <family val="2"/>
    </font>
    <font>
      <sz val="7.7"/>
      <color theme="1"/>
      <name val="Arial"/>
      <family val="2"/>
    </font>
    <font>
      <sz val="8"/>
      <color theme="1"/>
      <name val="Verdana"/>
      <family val="2"/>
    </font>
    <font>
      <sz val="10"/>
      <color theme="1"/>
      <name val="Calibri"/>
      <family val="2"/>
      <scheme val="minor"/>
    </font>
    <font>
      <sz val="8"/>
      <color rgb="FF000000"/>
      <name val="Calibri"/>
      <family val="2"/>
    </font>
    <font>
      <b/>
      <sz val="12"/>
      <color theme="0"/>
      <name val="Calibri"/>
      <family val="2"/>
      <scheme val="minor"/>
    </font>
    <font>
      <sz val="12"/>
      <color theme="0"/>
      <name val="Calibri"/>
      <family val="2"/>
      <scheme val="minor"/>
    </font>
    <font>
      <b/>
      <sz val="18"/>
      <color theme="1"/>
      <name val="Calibri"/>
      <family val="2"/>
      <scheme val="minor"/>
    </font>
    <font>
      <b/>
      <sz val="12"/>
      <color theme="0" tint="-4.9989318521683403E-2"/>
      <name val="Calibri"/>
      <family val="2"/>
    </font>
    <font>
      <b/>
      <sz val="20"/>
      <color theme="1"/>
      <name val="Calibri"/>
      <family val="2"/>
      <scheme val="minor"/>
    </font>
    <font>
      <sz val="12"/>
      <color theme="1"/>
      <name val="Calibri"/>
      <family val="2"/>
      <scheme val="minor"/>
    </font>
    <font>
      <b/>
      <sz val="10"/>
      <color theme="0"/>
      <name val="Arial"/>
      <family val="2"/>
    </font>
    <font>
      <sz val="12"/>
      <color rgb="FF222222"/>
      <name val="Arial"/>
      <family val="2"/>
    </font>
    <font>
      <b/>
      <sz val="12"/>
      <name val="Times New Roman"/>
      <family val="1"/>
    </font>
    <font>
      <sz val="8"/>
      <color rgb="FF393939"/>
      <name val="Open Sans"/>
    </font>
    <font>
      <sz val="8"/>
      <color rgb="FF393939"/>
      <name val="Open Sans"/>
      <family val="2"/>
    </font>
    <font>
      <sz val="8"/>
      <color rgb="FF31708F"/>
      <name val="Open Sans"/>
      <family val="2"/>
    </font>
    <font>
      <b/>
      <sz val="8"/>
      <color rgb="FF31708F"/>
      <name val="Open Sans"/>
      <family val="2"/>
    </font>
    <font>
      <b/>
      <sz val="26"/>
      <color theme="1"/>
      <name val="Calibri"/>
      <family val="2"/>
      <scheme val="minor"/>
    </font>
    <font>
      <b/>
      <sz val="14"/>
      <color theme="1"/>
      <name val="Arial"/>
      <family val="2"/>
    </font>
  </fonts>
  <fills count="84">
    <fill>
      <patternFill patternType="none"/>
    </fill>
    <fill>
      <patternFill patternType="gray125"/>
    </fill>
    <fill>
      <patternFill patternType="solid">
        <fgColor rgb="FFA8D08D"/>
        <bgColor rgb="FFA8D08D"/>
      </patternFill>
    </fill>
    <fill>
      <patternFill patternType="solid">
        <fgColor rgb="FF548135"/>
        <bgColor rgb="FF548135"/>
      </patternFill>
    </fill>
    <fill>
      <patternFill patternType="solid">
        <fgColor rgb="FF38761D"/>
        <bgColor rgb="FF38761D"/>
      </patternFill>
    </fill>
    <fill>
      <patternFill patternType="solid">
        <fgColor rgb="FF006600"/>
        <bgColor rgb="FF006600"/>
      </patternFill>
    </fill>
    <fill>
      <patternFill patternType="solid">
        <fgColor rgb="FFC5E0B3"/>
        <bgColor rgb="FFC5E0B3"/>
      </patternFill>
    </fill>
    <fill>
      <patternFill patternType="solid">
        <fgColor rgb="FFE2EFD9"/>
        <bgColor rgb="FFE2EFD9"/>
      </patternFill>
    </fill>
    <fill>
      <patternFill patternType="solid">
        <fgColor theme="5"/>
        <bgColor theme="5"/>
      </patternFill>
    </fill>
    <fill>
      <patternFill patternType="solid">
        <fgColor rgb="FFC5C2C2"/>
        <bgColor rgb="FFC5C2C2"/>
      </patternFill>
    </fill>
    <fill>
      <patternFill patternType="solid">
        <fgColor rgb="FFF7CAAC"/>
        <bgColor rgb="FFF7CAAC"/>
      </patternFill>
    </fill>
    <fill>
      <patternFill patternType="solid">
        <fgColor theme="0"/>
        <bgColor theme="0"/>
      </patternFill>
    </fill>
    <fill>
      <patternFill patternType="solid">
        <fgColor rgb="FFFBE4D5"/>
        <bgColor rgb="FFFBE4D5"/>
      </patternFill>
    </fill>
    <fill>
      <patternFill patternType="solid">
        <fgColor rgb="FF2E75B5"/>
        <bgColor rgb="FF2E75B5"/>
      </patternFill>
    </fill>
    <fill>
      <patternFill patternType="solid">
        <fgColor theme="4"/>
        <bgColor theme="4"/>
      </patternFill>
    </fill>
    <fill>
      <patternFill patternType="solid">
        <fgColor rgb="FF8EAADB"/>
        <bgColor rgb="FF8EAADB"/>
      </patternFill>
    </fill>
    <fill>
      <patternFill patternType="solid">
        <fgColor rgb="FFD9E2F3"/>
        <bgColor rgb="FFD9E2F3"/>
      </patternFill>
    </fill>
    <fill>
      <patternFill patternType="solid">
        <fgColor rgb="FFDEEAF6"/>
        <bgColor rgb="FFDEEAF6"/>
      </patternFill>
    </fill>
    <fill>
      <patternFill patternType="solid">
        <fgColor rgb="FFFFC000"/>
        <bgColor rgb="FFFFC000"/>
      </patternFill>
    </fill>
    <fill>
      <patternFill patternType="solid">
        <fgColor rgb="FFFFE598"/>
        <bgColor rgb="FFFFE598"/>
      </patternFill>
    </fill>
    <fill>
      <patternFill patternType="solid">
        <fgColor rgb="FFF9CB9C"/>
        <bgColor rgb="FFF9CB9C"/>
      </patternFill>
    </fill>
    <fill>
      <patternFill patternType="solid">
        <fgColor rgb="FFFFE599"/>
        <bgColor rgb="FFFFE599"/>
      </patternFill>
    </fill>
    <fill>
      <patternFill patternType="solid">
        <fgColor rgb="FF9CC2E5"/>
        <bgColor rgb="FF9CC2E5"/>
      </patternFill>
    </fill>
    <fill>
      <patternFill patternType="solid">
        <fgColor rgb="FFFFFF00"/>
        <bgColor rgb="FFFFFF00"/>
      </patternFill>
    </fill>
    <fill>
      <patternFill patternType="solid">
        <fgColor rgb="FFFFD965"/>
        <bgColor rgb="FFFFD965"/>
      </patternFill>
    </fill>
    <fill>
      <patternFill patternType="solid">
        <fgColor rgb="FFF2F2F2"/>
        <bgColor rgb="FFF2F2F2"/>
      </patternFill>
    </fill>
    <fill>
      <patternFill patternType="solid">
        <fgColor rgb="FF00B050"/>
        <bgColor rgb="FF00B050"/>
      </patternFill>
    </fill>
    <fill>
      <patternFill patternType="solid">
        <fgColor rgb="FFD0CECE"/>
        <bgColor rgb="FFD0CECE"/>
      </patternFill>
    </fill>
    <fill>
      <patternFill patternType="solid">
        <fgColor rgb="FFD9E1F2"/>
        <bgColor rgb="FFD9E1F2"/>
      </patternFill>
    </fill>
    <fill>
      <patternFill patternType="solid">
        <fgColor rgb="FF7B7B7B"/>
        <bgColor rgb="FF7B7B7B"/>
      </patternFill>
    </fill>
    <fill>
      <patternFill patternType="solid">
        <fgColor rgb="FF00B0F0"/>
        <bgColor rgb="FF00B0F0"/>
      </patternFill>
    </fill>
    <fill>
      <patternFill patternType="solid">
        <fgColor rgb="FF7030A0"/>
        <bgColor rgb="FF7030A0"/>
      </patternFill>
    </fill>
    <fill>
      <patternFill patternType="solid">
        <fgColor rgb="FFA5A5A5"/>
        <bgColor rgb="FFA5A5A5"/>
      </patternFill>
    </fill>
    <fill>
      <patternFill patternType="solid">
        <fgColor rgb="FFFFFF0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bgColor rgb="FFD9E2F3"/>
      </patternFill>
    </fill>
    <fill>
      <patternFill patternType="solid">
        <fgColor theme="0"/>
        <bgColor indexed="64"/>
      </patternFill>
    </fill>
    <fill>
      <patternFill patternType="solid">
        <fgColor rgb="FFFFFFFF"/>
        <bgColor indexed="64"/>
      </patternFill>
    </fill>
    <fill>
      <patternFill patternType="solid">
        <fgColor rgb="FFD9E1F2"/>
        <bgColor indexed="64"/>
      </patternFill>
    </fill>
    <fill>
      <patternFill patternType="solid">
        <fgColor rgb="FFFF0000"/>
        <bgColor indexed="64"/>
      </patternFill>
    </fill>
    <fill>
      <patternFill patternType="solid">
        <fgColor rgb="FF7030A0"/>
        <bgColor indexed="64"/>
      </patternFill>
    </fill>
    <fill>
      <patternFill patternType="solid">
        <fgColor theme="6"/>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rgb="FF00B0F0"/>
        <bgColor indexed="64"/>
      </patternFill>
    </fill>
    <fill>
      <patternFill patternType="solid">
        <fgColor rgb="FF00B050"/>
        <bgColor indexed="64"/>
      </patternFill>
    </fill>
    <fill>
      <patternFill patternType="solid">
        <fgColor theme="6" tint="-0.249977111117893"/>
        <bgColor indexed="64"/>
      </patternFill>
    </fill>
    <fill>
      <patternFill patternType="solid">
        <fgColor theme="2" tint="-0.34998626667073579"/>
        <bgColor indexed="64"/>
      </patternFill>
    </fill>
    <fill>
      <patternFill patternType="solid">
        <fgColor theme="2" tint="-0.249977111117893"/>
        <bgColor indexed="64"/>
      </patternFill>
    </fill>
    <fill>
      <patternFill patternType="solid">
        <fgColor rgb="FF0070C0"/>
        <bgColor indexed="64"/>
      </patternFill>
    </fill>
    <fill>
      <patternFill patternType="solid">
        <fgColor rgb="FFFFFF00"/>
        <bgColor rgb="FFFFE598"/>
      </patternFill>
    </fill>
    <fill>
      <patternFill patternType="solid">
        <fgColor rgb="FFBF8F00"/>
        <bgColor indexed="64"/>
      </patternFill>
    </fill>
    <fill>
      <patternFill patternType="solid">
        <fgColor theme="0" tint="-4.9989318521683403E-2"/>
        <bgColor indexed="64"/>
      </patternFill>
    </fill>
    <fill>
      <patternFill patternType="solid">
        <fgColor theme="8"/>
        <bgColor indexed="64"/>
      </patternFill>
    </fill>
    <fill>
      <patternFill patternType="solid">
        <fgColor theme="7"/>
        <bgColor indexed="64"/>
      </patternFill>
    </fill>
    <fill>
      <patternFill patternType="solid">
        <fgColor rgb="FFBDD7EE"/>
        <bgColor indexed="64"/>
      </patternFill>
    </fill>
    <fill>
      <patternFill patternType="solid">
        <fgColor rgb="FFDDEBF7"/>
        <bgColor indexed="64"/>
      </patternFill>
    </fill>
    <fill>
      <patternFill patternType="solid">
        <fgColor rgb="FFF4B084"/>
        <bgColor indexed="64"/>
      </patternFill>
    </fill>
    <fill>
      <patternFill patternType="solid">
        <fgColor rgb="FF8EA9DB"/>
        <bgColor indexed="64"/>
      </patternFill>
    </fill>
    <fill>
      <patternFill patternType="solid">
        <fgColor rgb="FFACB9CA"/>
        <bgColor indexed="64"/>
      </patternFill>
    </fill>
    <fill>
      <patternFill patternType="solid">
        <fgColor rgb="FF2F75B5"/>
        <bgColor indexed="64"/>
      </patternFill>
    </fill>
    <fill>
      <patternFill patternType="solid">
        <fgColor rgb="FFDBDBDB"/>
        <bgColor indexed="64"/>
      </patternFill>
    </fill>
    <fill>
      <patternFill patternType="solid">
        <fgColor rgb="FF9BC2E6"/>
        <bgColor indexed="64"/>
      </patternFill>
    </fill>
    <fill>
      <patternFill patternType="solid">
        <fgColor rgb="FF375623"/>
        <bgColor indexed="64"/>
      </patternFill>
    </fill>
    <fill>
      <patternFill patternType="solid">
        <fgColor theme="7" tint="0.39997558519241921"/>
        <bgColor rgb="FFFFD965"/>
      </patternFill>
    </fill>
    <fill>
      <patternFill patternType="solid">
        <fgColor theme="7" tint="0.39997558519241921"/>
        <bgColor indexed="64"/>
      </patternFill>
    </fill>
    <fill>
      <patternFill patternType="solid">
        <fgColor theme="9" tint="0.39997558519241921"/>
        <bgColor rgb="FFF2F2F2"/>
      </patternFill>
    </fill>
    <fill>
      <patternFill patternType="solid">
        <fgColor theme="9" tint="0.39997558519241921"/>
        <bgColor indexed="64"/>
      </patternFill>
    </fill>
    <fill>
      <patternFill patternType="solid">
        <fgColor theme="8" tint="0.59999389629810485"/>
        <bgColor rgb="FFF2F2F2"/>
      </patternFill>
    </fill>
    <fill>
      <patternFill patternType="solid">
        <fgColor theme="9" tint="-0.499984740745262"/>
        <bgColor indexed="64"/>
      </patternFill>
    </fill>
    <fill>
      <patternFill patternType="solid">
        <fgColor theme="2" tint="-0.14999847407452621"/>
        <bgColor rgb="FFA8D08D"/>
      </patternFill>
    </fill>
    <fill>
      <patternFill patternType="solid">
        <fgColor theme="1" tint="0.499984740745262"/>
        <bgColor rgb="FFE2EFD9"/>
      </patternFill>
    </fill>
    <fill>
      <patternFill patternType="solid">
        <fgColor theme="9" tint="0.79998168889431442"/>
        <bgColor indexed="64"/>
      </patternFill>
    </fill>
    <fill>
      <patternFill patternType="solid">
        <fgColor theme="4" tint="-0.249977111117893"/>
        <bgColor indexed="64"/>
      </patternFill>
    </fill>
    <fill>
      <patternFill patternType="solid">
        <fgColor theme="9" tint="-0.499984740745262"/>
        <bgColor rgb="FFA8D08D"/>
      </patternFill>
    </fill>
    <fill>
      <patternFill patternType="solid">
        <fgColor theme="4" tint="0.39997558519241921"/>
        <bgColor rgb="FFF2F2F2"/>
      </patternFill>
    </fill>
    <fill>
      <patternFill patternType="solid">
        <fgColor rgb="FFF5F5F5"/>
        <bgColor indexed="64"/>
      </patternFill>
    </fill>
    <fill>
      <patternFill patternType="solid">
        <fgColor theme="5" tint="0.39997558519241921"/>
        <bgColor indexed="64"/>
      </patternFill>
    </fill>
    <fill>
      <patternFill patternType="solid">
        <fgColor rgb="FFF9F9F9"/>
        <bgColor indexed="64"/>
      </patternFill>
    </fill>
  </fills>
  <borders count="8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000000"/>
      </left>
      <right style="dotted">
        <color rgb="FF000000"/>
      </right>
      <top style="dotted">
        <color rgb="FF000000"/>
      </top>
      <bottom style="dotted">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top/>
      <bottom style="thin">
        <color rgb="FF00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bottom/>
      <diagonal/>
    </border>
    <border>
      <left style="thin">
        <color theme="1"/>
      </left>
      <right style="thin">
        <color theme="1"/>
      </right>
      <top style="thin">
        <color theme="1"/>
      </top>
      <bottom/>
      <diagonal/>
    </border>
    <border>
      <left style="thin">
        <color rgb="FFA5A5A5"/>
      </left>
      <right/>
      <top style="thin">
        <color rgb="FFA5A5A5"/>
      </top>
      <bottom/>
      <diagonal/>
    </border>
    <border>
      <left/>
      <right style="thin">
        <color rgb="FFA5A5A5"/>
      </right>
      <top style="thin">
        <color rgb="FFA5A5A5"/>
      </top>
      <bottom/>
      <diagonal/>
    </border>
    <border>
      <left/>
      <right style="thin">
        <color theme="1"/>
      </right>
      <top/>
      <bottom/>
      <diagonal/>
    </border>
    <border>
      <left/>
      <right style="thin">
        <color theme="1"/>
      </right>
      <top style="thin">
        <color theme="1"/>
      </top>
      <bottom/>
      <diagonal/>
    </border>
    <border>
      <left/>
      <right style="thin">
        <color rgb="FF000000"/>
      </right>
      <top/>
      <bottom/>
      <diagonal/>
    </border>
    <border>
      <left/>
      <right/>
      <top/>
      <bottom style="thin">
        <color theme="1"/>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theme="1"/>
      </left>
      <right style="thin">
        <color theme="1"/>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rgb="FF000000"/>
      </right>
      <top style="thin">
        <color indexed="64"/>
      </top>
      <bottom style="thin">
        <color indexed="64"/>
      </bottom>
      <diagonal/>
    </border>
    <border>
      <left style="dashed">
        <color auto="1"/>
      </left>
      <right style="dashed">
        <color auto="1"/>
      </right>
      <top style="dashed">
        <color auto="1"/>
      </top>
      <bottom style="dashed">
        <color auto="1"/>
      </bottom>
      <diagonal/>
    </border>
    <border>
      <left style="dashed">
        <color auto="1"/>
      </left>
      <right style="dashed">
        <color auto="1"/>
      </right>
      <top/>
      <bottom style="dashed">
        <color auto="1"/>
      </bottom>
      <diagonal/>
    </border>
    <border>
      <left style="medium">
        <color rgb="FFDDDDDD"/>
      </left>
      <right style="medium">
        <color rgb="FFDDDDDD"/>
      </right>
      <top style="medium">
        <color rgb="FFDDDDDD"/>
      </top>
      <bottom/>
      <diagonal/>
    </border>
    <border>
      <left style="medium">
        <color rgb="FFDDDDDD"/>
      </left>
      <right/>
      <top style="medium">
        <color rgb="FFDDDDDD"/>
      </top>
      <bottom style="medium">
        <color rgb="FFDDDDDD"/>
      </bottom>
      <diagonal/>
    </border>
    <border>
      <left/>
      <right/>
      <top style="medium">
        <color rgb="FFDDDDDD"/>
      </top>
      <bottom style="medium">
        <color rgb="FFDDDDDD"/>
      </bottom>
      <diagonal/>
    </border>
    <border>
      <left/>
      <right style="medium">
        <color rgb="FFDDDDDD"/>
      </right>
      <top style="medium">
        <color rgb="FFDDDDDD"/>
      </top>
      <bottom style="medium">
        <color rgb="FFDDDDDD"/>
      </bottom>
      <diagonal/>
    </border>
    <border>
      <left style="medium">
        <color rgb="FFDDDDDD"/>
      </left>
      <right style="medium">
        <color rgb="FFDDDDDD"/>
      </right>
      <top/>
      <bottom style="medium">
        <color rgb="FFDDDDDD"/>
      </bottom>
      <diagonal/>
    </border>
    <border>
      <left style="medium">
        <color rgb="FFDDDDDD"/>
      </left>
      <right style="medium">
        <color rgb="FFDDDDDD"/>
      </right>
      <top style="medium">
        <color rgb="FFDDDDDD"/>
      </top>
      <bottom style="medium">
        <color rgb="FFDDDDDD"/>
      </bottom>
      <diagonal/>
    </border>
    <border>
      <left/>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thin">
        <color rgb="FF000000"/>
      </left>
      <right/>
      <top style="thin">
        <color indexed="64"/>
      </top>
      <bottom/>
      <diagonal/>
    </border>
    <border>
      <left/>
      <right/>
      <top style="thin">
        <color indexed="64"/>
      </top>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thin">
        <color indexed="64"/>
      </top>
      <bottom/>
      <diagonal/>
    </border>
    <border>
      <left style="thin">
        <color indexed="64"/>
      </left>
      <right style="thin">
        <color rgb="FF000000"/>
      </right>
      <top style="thin">
        <color rgb="FF000000"/>
      </top>
      <bottom style="thin">
        <color rgb="FF000000"/>
      </bottom>
      <diagonal/>
    </border>
    <border>
      <left/>
      <right style="thin">
        <color indexed="64"/>
      </right>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style="thin">
        <color rgb="FF000000"/>
      </bottom>
      <diagonal/>
    </border>
    <border>
      <left style="thin">
        <color rgb="FF000000"/>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diagonal/>
    </border>
    <border>
      <left style="thin">
        <color indexed="64"/>
      </left>
      <right/>
      <top/>
      <bottom style="thin">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dashed">
        <color auto="1"/>
      </left>
      <right style="dashed">
        <color auto="1"/>
      </right>
      <top style="dashed">
        <color auto="1"/>
      </top>
      <bottom/>
      <diagonal/>
    </border>
    <border>
      <left style="dashed">
        <color auto="1"/>
      </left>
      <right style="dashed">
        <color auto="1"/>
      </right>
      <top/>
      <bottom/>
      <diagonal/>
    </border>
  </borders>
  <cellStyleXfs count="10">
    <xf numFmtId="0" fontId="0" fillId="0" borderId="0"/>
    <xf numFmtId="43" fontId="28" fillId="0" borderId="0" applyFont="0" applyFill="0" applyBorder="0" applyAlignment="0" applyProtection="0"/>
    <xf numFmtId="0" fontId="60" fillId="0" borderId="4"/>
    <xf numFmtId="0" fontId="3" fillId="0" borderId="4"/>
    <xf numFmtId="9" fontId="95" fillId="0" borderId="0" applyFont="0" applyFill="0" applyBorder="0" applyAlignment="0" applyProtection="0"/>
    <xf numFmtId="0" fontId="25" fillId="0" borderId="4"/>
    <xf numFmtId="0" fontId="25" fillId="0" borderId="4"/>
    <xf numFmtId="0" fontId="2" fillId="0" borderId="4"/>
    <xf numFmtId="0" fontId="2" fillId="0" borderId="4"/>
    <xf numFmtId="9" fontId="111" fillId="0" borderId="4" applyFont="0" applyFill="0" applyBorder="0" applyAlignment="0" applyProtection="0"/>
  </cellStyleXfs>
  <cellXfs count="1765">
    <xf numFmtId="0" fontId="0" fillId="0" borderId="0" xfId="0" applyFont="1" applyAlignment="1"/>
    <xf numFmtId="0" fontId="4" fillId="0" borderId="0" xfId="0" applyFont="1"/>
    <xf numFmtId="0" fontId="11" fillId="0" borderId="1" xfId="0" applyFont="1" applyBorder="1" applyAlignment="1">
      <alignment horizontal="left"/>
    </xf>
    <xf numFmtId="0" fontId="11" fillId="0" borderId="1" xfId="0" applyFont="1" applyBorder="1" applyAlignment="1">
      <alignment horizontal="center" wrapText="1"/>
    </xf>
    <xf numFmtId="0" fontId="13" fillId="0" borderId="0" xfId="0" applyFont="1"/>
    <xf numFmtId="0" fontId="11" fillId="0" borderId="1" xfId="0" applyFont="1" applyBorder="1" applyAlignment="1">
      <alignment horizontal="center"/>
    </xf>
    <xf numFmtId="165" fontId="11" fillId="0" borderId="1" xfId="0" applyNumberFormat="1" applyFont="1" applyBorder="1"/>
    <xf numFmtId="165" fontId="10" fillId="2" borderId="1" xfId="0" applyNumberFormat="1" applyFont="1" applyFill="1" applyBorder="1" applyAlignment="1">
      <alignment horizontal="center" vertical="center"/>
    </xf>
    <xf numFmtId="0" fontId="10" fillId="2" borderId="1" xfId="0" applyFont="1" applyFill="1" applyBorder="1" applyAlignment="1">
      <alignment horizontal="center"/>
    </xf>
    <xf numFmtId="165" fontId="10" fillId="2" borderId="1" xfId="0" applyNumberFormat="1" applyFont="1" applyFill="1" applyBorder="1" applyAlignment="1">
      <alignment vertical="center"/>
    </xf>
    <xf numFmtId="0" fontId="4" fillId="0" borderId="1" xfId="0" applyFont="1" applyBorder="1"/>
    <xf numFmtId="0" fontId="4" fillId="16"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3" fontId="4" fillId="0" borderId="1" xfId="0" applyNumberFormat="1" applyFont="1" applyBorder="1" applyAlignment="1">
      <alignment horizontal="center" vertical="center" wrapText="1"/>
    </xf>
    <xf numFmtId="0" fontId="4" fillId="17" borderId="1" xfId="0" applyFont="1" applyFill="1" applyBorder="1" applyAlignment="1">
      <alignment horizontal="center" vertical="center" wrapText="1"/>
    </xf>
    <xf numFmtId="0" fontId="4" fillId="0" borderId="0" xfId="0" applyFont="1" applyAlignment="1">
      <alignment horizontal="center" vertical="center"/>
    </xf>
    <xf numFmtId="0" fontId="11" fillId="0" borderId="0" xfId="0" applyFont="1" applyAlignment="1">
      <alignment horizontal="left"/>
    </xf>
    <xf numFmtId="0" fontId="11" fillId="0" borderId="0" xfId="0" applyFont="1"/>
    <xf numFmtId="171" fontId="11" fillId="0" borderId="0" xfId="0" applyNumberFormat="1" applyFont="1"/>
    <xf numFmtId="0" fontId="11" fillId="0" borderId="0" xfId="0" applyFont="1" applyAlignment="1">
      <alignment wrapText="1"/>
    </xf>
    <xf numFmtId="0" fontId="11" fillId="0" borderId="0" xfId="0" applyFont="1" applyAlignment="1">
      <alignment horizontal="center" vertical="center"/>
    </xf>
    <xf numFmtId="0" fontId="4" fillId="0" borderId="0" xfId="0" applyFont="1" applyAlignment="1">
      <alignment horizontal="center"/>
    </xf>
    <xf numFmtId="0" fontId="4" fillId="25" borderId="1" xfId="0" applyFont="1" applyFill="1" applyBorder="1" applyAlignment="1">
      <alignment horizontal="center" vertical="center" wrapText="1"/>
    </xf>
    <xf numFmtId="0" fontId="18" fillId="0" borderId="1" xfId="0" applyFont="1" applyBorder="1" applyAlignment="1">
      <alignment horizontal="center" vertical="center" wrapText="1"/>
    </xf>
    <xf numFmtId="171" fontId="4" fillId="0" borderId="0" xfId="0" applyNumberFormat="1" applyFont="1"/>
    <xf numFmtId="168" fontId="4" fillId="0" borderId="1" xfId="0" applyNumberFormat="1" applyFont="1" applyBorder="1" applyAlignment="1">
      <alignment horizontal="center" vertical="center" wrapText="1"/>
    </xf>
    <xf numFmtId="0" fontId="6" fillId="0" borderId="0" xfId="0" applyFont="1"/>
    <xf numFmtId="171" fontId="4" fillId="0" borderId="1" xfId="0" applyNumberFormat="1" applyFont="1" applyBorder="1" applyAlignment="1">
      <alignment horizontal="center" vertical="center" wrapText="1"/>
    </xf>
    <xf numFmtId="171" fontId="4" fillId="27" borderId="1" xfId="0" applyNumberFormat="1" applyFont="1" applyFill="1" applyBorder="1" applyAlignment="1">
      <alignment vertical="center"/>
    </xf>
    <xf numFmtId="0" fontId="4" fillId="0" borderId="1" xfId="0" applyFont="1" applyBorder="1" applyAlignment="1">
      <alignment vertical="center" wrapText="1"/>
    </xf>
    <xf numFmtId="1" fontId="4" fillId="0" borderId="1" xfId="0" applyNumberFormat="1" applyFont="1" applyBorder="1" applyAlignment="1">
      <alignment horizontal="center" vertical="center" wrapText="1"/>
    </xf>
    <xf numFmtId="0" fontId="4" fillId="0" borderId="1" xfId="0" applyFont="1" applyBorder="1" applyAlignment="1">
      <alignment horizontal="center"/>
    </xf>
    <xf numFmtId="168" fontId="4" fillId="0" borderId="1" xfId="0" applyNumberFormat="1" applyFont="1" applyBorder="1" applyAlignment="1">
      <alignment vertical="center" wrapText="1"/>
    </xf>
    <xf numFmtId="168" fontId="4" fillId="0" borderId="0" xfId="0" applyNumberFormat="1" applyFont="1" applyAlignment="1">
      <alignment horizontal="center" vertical="center" wrapText="1"/>
    </xf>
    <xf numFmtId="0" fontId="4" fillId="0" borderId="0" xfId="0" applyFont="1" applyAlignment="1">
      <alignment vertical="center"/>
    </xf>
    <xf numFmtId="171" fontId="4" fillId="0" borderId="2" xfId="0" applyNumberFormat="1" applyFont="1" applyBorder="1" applyAlignment="1">
      <alignment horizontal="center" vertical="center" wrapText="1"/>
    </xf>
    <xf numFmtId="0" fontId="4" fillId="0" borderId="2" xfId="0" applyFont="1" applyBorder="1" applyAlignment="1">
      <alignment vertical="center" wrapText="1"/>
    </xf>
    <xf numFmtId="0" fontId="18" fillId="0" borderId="0" xfId="0" applyFont="1" applyAlignment="1">
      <alignment horizontal="center" vertical="center" wrapText="1"/>
    </xf>
    <xf numFmtId="168" fontId="4" fillId="0" borderId="1" xfId="0" applyNumberFormat="1" applyFont="1" applyBorder="1" applyAlignment="1">
      <alignment horizontal="center" vertical="center"/>
    </xf>
    <xf numFmtId="171" fontId="6" fillId="15" borderId="1" xfId="0" applyNumberFormat="1" applyFont="1" applyFill="1" applyBorder="1" applyAlignment="1">
      <alignment horizontal="center" vertical="center" wrapText="1"/>
    </xf>
    <xf numFmtId="171" fontId="6" fillId="15" borderId="1" xfId="0" applyNumberFormat="1" applyFont="1" applyFill="1" applyBorder="1" applyAlignment="1">
      <alignment vertical="center"/>
    </xf>
    <xf numFmtId="0" fontId="23" fillId="0" borderId="0" xfId="0" applyFont="1" applyAlignment="1">
      <alignment horizontal="left" vertical="center"/>
    </xf>
    <xf numFmtId="0" fontId="5" fillId="0" borderId="0" xfId="0" applyFont="1" applyAlignment="1">
      <alignment horizontal="left"/>
    </xf>
    <xf numFmtId="165" fontId="11" fillId="0" borderId="0" xfId="0" applyNumberFormat="1" applyFont="1"/>
    <xf numFmtId="0" fontId="5" fillId="2" borderId="1" xfId="0" applyFont="1" applyFill="1" applyBorder="1" applyAlignment="1">
      <alignment horizontal="center"/>
    </xf>
    <xf numFmtId="0" fontId="5" fillId="2" borderId="1" xfId="0" applyFont="1" applyFill="1" applyBorder="1" applyAlignment="1">
      <alignment horizontal="left"/>
    </xf>
    <xf numFmtId="164" fontId="11" fillId="0" borderId="1" xfId="0" applyNumberFormat="1" applyFont="1" applyBorder="1" applyAlignment="1">
      <alignment horizontal="left"/>
    </xf>
    <xf numFmtId="0" fontId="10" fillId="2" borderId="1" xfId="0" applyFont="1" applyFill="1" applyBorder="1" applyAlignment="1">
      <alignment horizontal="left"/>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25" fillId="0" borderId="1" xfId="0" applyFont="1" applyBorder="1" applyAlignment="1">
      <alignment horizontal="center" vertical="center" wrapText="1"/>
    </xf>
    <xf numFmtId="0" fontId="25" fillId="6" borderId="1" xfId="0" applyFont="1" applyFill="1" applyBorder="1" applyAlignment="1">
      <alignment horizontal="left" vertical="center" wrapText="1"/>
    </xf>
    <xf numFmtId="0" fontId="25" fillId="7" borderId="1" xfId="0" applyFont="1" applyFill="1" applyBorder="1" applyAlignment="1">
      <alignment horizontal="left" vertical="center" wrapText="1"/>
    </xf>
    <xf numFmtId="0" fontId="25" fillId="0" borderId="0" xfId="0" applyFont="1" applyAlignment="1">
      <alignment horizontal="left" vertical="center"/>
    </xf>
    <xf numFmtId="0" fontId="25" fillId="0" borderId="0" xfId="0" applyFont="1" applyAlignment="1">
      <alignment horizontal="left" vertical="center" wrapText="1"/>
    </xf>
    <xf numFmtId="0" fontId="23" fillId="0" borderId="0" xfId="0" applyFont="1" applyAlignment="1">
      <alignment horizontal="left" vertical="center" wrapText="1"/>
    </xf>
    <xf numFmtId="0" fontId="25" fillId="0" borderId="0" xfId="0" applyFont="1" applyAlignment="1">
      <alignment horizontal="left"/>
    </xf>
    <xf numFmtId="0" fontId="25" fillId="0" borderId="0" xfId="0" applyFont="1" applyAlignment="1">
      <alignment horizontal="left" wrapText="1"/>
    </xf>
    <xf numFmtId="3" fontId="27" fillId="0" borderId="0" xfId="0" applyNumberFormat="1" applyFont="1" applyAlignment="1"/>
    <xf numFmtId="3" fontId="0" fillId="0" borderId="0" xfId="0" applyNumberFormat="1" applyFont="1" applyAlignment="1"/>
    <xf numFmtId="2" fontId="0" fillId="0" borderId="0" xfId="0" applyNumberFormat="1" applyFont="1" applyAlignment="1"/>
    <xf numFmtId="0" fontId="26" fillId="0" borderId="0" xfId="0" applyFont="1" applyAlignment="1"/>
    <xf numFmtId="0" fontId="4" fillId="0" borderId="4" xfId="0" applyFont="1" applyBorder="1" applyAlignment="1">
      <alignment vertical="center" wrapText="1"/>
    </xf>
    <xf numFmtId="43" fontId="0" fillId="0" borderId="0" xfId="1" applyFont="1" applyAlignment="1"/>
    <xf numFmtId="168" fontId="4" fillId="0" borderId="7"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11" fillId="0" borderId="0" xfId="0" applyFont="1" applyAlignment="1">
      <alignment horizontal="left" vertical="center"/>
    </xf>
    <xf numFmtId="43" fontId="0" fillId="0" borderId="0" xfId="0" applyNumberFormat="1" applyFont="1" applyAlignment="1"/>
    <xf numFmtId="0" fontId="0" fillId="0" borderId="0" xfId="0" applyFont="1" applyAlignment="1"/>
    <xf numFmtId="171" fontId="4" fillId="0" borderId="33" xfId="0" applyNumberFormat="1" applyFont="1" applyBorder="1" applyAlignment="1">
      <alignment horizontal="center" vertical="center"/>
    </xf>
    <xf numFmtId="0" fontId="4" fillId="0" borderId="33" xfId="0" applyFont="1" applyBorder="1" applyAlignment="1">
      <alignment horizontal="center" vertical="center"/>
    </xf>
    <xf numFmtId="3" fontId="4" fillId="0" borderId="3" xfId="0" applyNumberFormat="1" applyFont="1" applyBorder="1" applyAlignment="1">
      <alignment horizontal="center" vertical="center" wrapText="1"/>
    </xf>
    <xf numFmtId="168" fontId="4" fillId="0" borderId="3"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0" fontId="29" fillId="0" borderId="4" xfId="0" applyFont="1" applyFill="1" applyBorder="1" applyAlignment="1"/>
    <xf numFmtId="0" fontId="30" fillId="0" borderId="0" xfId="0" applyFont="1"/>
    <xf numFmtId="0" fontId="30" fillId="0" borderId="0" xfId="0" applyFont="1" applyAlignment="1"/>
    <xf numFmtId="2" fontId="30" fillId="11" borderId="1" xfId="0" applyNumberFormat="1" applyFont="1" applyFill="1" applyBorder="1" applyAlignment="1">
      <alignment horizontal="center" vertical="center"/>
    </xf>
    <xf numFmtId="0" fontId="30" fillId="0" borderId="1" xfId="0" applyFont="1" applyBorder="1" applyAlignment="1">
      <alignment horizontal="center" vertical="center"/>
    </xf>
    <xf numFmtId="167" fontId="30" fillId="0" borderId="0" xfId="0" applyNumberFormat="1" applyFont="1"/>
    <xf numFmtId="0" fontId="30" fillId="0" borderId="1" xfId="0" applyFont="1" applyBorder="1" applyAlignment="1">
      <alignment horizontal="center" vertical="center" wrapText="1"/>
    </xf>
    <xf numFmtId="168" fontId="30" fillId="0" borderId="0" xfId="0" applyNumberFormat="1" applyFont="1"/>
    <xf numFmtId="166" fontId="30" fillId="6" borderId="1" xfId="0" applyNumberFormat="1" applyFont="1" applyFill="1" applyBorder="1" applyAlignment="1">
      <alignment horizontal="center" vertical="center"/>
    </xf>
    <xf numFmtId="0" fontId="30" fillId="0" borderId="0" xfId="0" applyFont="1" applyAlignment="1">
      <alignment horizontal="center" vertical="center"/>
    </xf>
    <xf numFmtId="0" fontId="30" fillId="0" borderId="1" xfId="0" applyFont="1" applyBorder="1" applyAlignment="1">
      <alignment horizontal="left" vertical="center" wrapText="1"/>
    </xf>
    <xf numFmtId="0" fontId="30" fillId="0" borderId="0" xfId="0" applyFont="1" applyAlignment="1">
      <alignment horizontal="center" vertical="center" wrapText="1"/>
    </xf>
    <xf numFmtId="0" fontId="30" fillId="0" borderId="0" xfId="0" applyFont="1" applyAlignment="1">
      <alignment horizontal="left" vertical="center" wrapText="1"/>
    </xf>
    <xf numFmtId="2" fontId="30" fillId="0" borderId="1" xfId="0" applyNumberFormat="1" applyFont="1" applyBorder="1" applyAlignment="1">
      <alignment horizontal="center" vertical="center"/>
    </xf>
    <xf numFmtId="170" fontId="30" fillId="0" borderId="0" xfId="0" applyNumberFormat="1" applyFont="1" applyAlignment="1">
      <alignment horizontal="left" vertical="center" wrapText="1"/>
    </xf>
    <xf numFmtId="0" fontId="18" fillId="33" borderId="1" xfId="0" applyFont="1" applyFill="1" applyBorder="1" applyAlignment="1">
      <alignment horizontal="center" vertical="center" wrapText="1"/>
    </xf>
    <xf numFmtId="0" fontId="30" fillId="0" borderId="0" xfId="0" applyFont="1" applyAlignment="1">
      <alignment vertical="center" wrapText="1"/>
    </xf>
    <xf numFmtId="0" fontId="30" fillId="0" borderId="0" xfId="0" applyFont="1" applyAlignment="1">
      <alignment vertical="center"/>
    </xf>
    <xf numFmtId="0" fontId="31" fillId="0" borderId="0" xfId="0" applyFont="1"/>
    <xf numFmtId="0" fontId="31" fillId="14" borderId="14" xfId="0" applyFont="1" applyFill="1" applyBorder="1" applyAlignment="1">
      <alignment horizontal="center" vertical="center" wrapText="1"/>
    </xf>
    <xf numFmtId="0" fontId="34" fillId="0" borderId="0" xfId="0" applyFont="1" applyAlignment="1">
      <alignment vertical="top"/>
    </xf>
    <xf numFmtId="0" fontId="34" fillId="0" borderId="0" xfId="0" applyFont="1" applyAlignment="1">
      <alignment vertical="top" wrapText="1"/>
    </xf>
    <xf numFmtId="0" fontId="31" fillId="14" borderId="14" xfId="0" applyFont="1" applyFill="1" applyBorder="1" applyAlignment="1">
      <alignment horizontal="center" vertical="center"/>
    </xf>
    <xf numFmtId="0" fontId="31" fillId="14" borderId="22" xfId="0" applyFont="1" applyFill="1" applyBorder="1" applyAlignment="1">
      <alignment horizontal="center" vertical="center" wrapText="1"/>
    </xf>
    <xf numFmtId="0" fontId="30" fillId="0" borderId="18"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28" xfId="0" applyFont="1" applyBorder="1" applyAlignment="1">
      <alignment horizontal="center" vertical="center" wrapText="1"/>
    </xf>
    <xf numFmtId="0" fontId="30" fillId="15" borderId="1" xfId="0" applyFont="1" applyFill="1" applyBorder="1" applyAlignment="1">
      <alignment horizontal="center" vertical="center" wrapText="1"/>
    </xf>
    <xf numFmtId="0" fontId="30" fillId="0" borderId="21" xfId="0" applyFont="1" applyBorder="1" applyAlignment="1">
      <alignment horizontal="center" vertical="center" wrapText="1"/>
    </xf>
    <xf numFmtId="0" fontId="31" fillId="14" borderId="22" xfId="0" applyFont="1" applyFill="1" applyBorder="1" applyAlignment="1">
      <alignment horizontal="center" vertical="center"/>
    </xf>
    <xf numFmtId="0" fontId="34" fillId="0" borderId="0" xfId="0" applyFont="1" applyAlignment="1">
      <alignment vertical="center"/>
    </xf>
    <xf numFmtId="0" fontId="30" fillId="16" borderId="1" xfId="0" applyFont="1" applyFill="1" applyBorder="1" applyAlignment="1">
      <alignment horizontal="center" vertical="center" wrapText="1"/>
    </xf>
    <xf numFmtId="0" fontId="34" fillId="0" borderId="0" xfId="0" applyFont="1" applyAlignment="1">
      <alignment vertical="center" wrapText="1"/>
    </xf>
    <xf numFmtId="0" fontId="30" fillId="16" borderId="2" xfId="0" applyFont="1" applyFill="1" applyBorder="1" applyAlignment="1">
      <alignment horizontal="center" vertical="center" wrapText="1"/>
    </xf>
    <xf numFmtId="0" fontId="30" fillId="14" borderId="14" xfId="0" applyFont="1" applyFill="1" applyBorder="1" applyAlignment="1">
      <alignment horizontal="center"/>
    </xf>
    <xf numFmtId="0" fontId="30" fillId="14" borderId="14" xfId="0" applyFont="1" applyFill="1" applyBorder="1" applyAlignment="1">
      <alignment horizontal="center" vertical="center" wrapText="1"/>
    </xf>
    <xf numFmtId="0" fontId="30" fillId="14" borderId="14" xfId="0" applyFont="1" applyFill="1" applyBorder="1" applyAlignment="1">
      <alignment horizontal="center" vertical="center"/>
    </xf>
    <xf numFmtId="0" fontId="30" fillId="10" borderId="14" xfId="0" applyFont="1" applyFill="1" applyBorder="1" applyAlignment="1">
      <alignment horizontal="center" vertical="center"/>
    </xf>
    <xf numFmtId="0" fontId="30" fillId="10" borderId="14" xfId="0" applyFont="1" applyFill="1" applyBorder="1" applyAlignment="1">
      <alignment horizontal="center" vertical="center" wrapText="1"/>
    </xf>
    <xf numFmtId="0" fontId="30" fillId="0" borderId="14" xfId="0" applyFont="1" applyBorder="1" applyAlignment="1">
      <alignment horizontal="center" vertical="center" wrapText="1"/>
    </xf>
    <xf numFmtId="0" fontId="30" fillId="0" borderId="14" xfId="0" applyFont="1" applyBorder="1" applyAlignment="1">
      <alignment horizontal="center" vertical="center"/>
    </xf>
    <xf numFmtId="0" fontId="30" fillId="10" borderId="14" xfId="0" applyFont="1" applyFill="1" applyBorder="1" applyAlignment="1">
      <alignment vertical="center" wrapText="1"/>
    </xf>
    <xf numFmtId="0" fontId="30" fillId="10" borderId="14" xfId="0" applyFont="1" applyFill="1" applyBorder="1" applyAlignment="1">
      <alignment vertical="center"/>
    </xf>
    <xf numFmtId="0" fontId="30" fillId="10" borderId="22" xfId="0" applyFont="1" applyFill="1" applyBorder="1" applyAlignment="1">
      <alignment horizontal="center" vertical="center"/>
    </xf>
    <xf numFmtId="0" fontId="30" fillId="10" borderId="32" xfId="0" applyFont="1" applyFill="1" applyBorder="1" applyAlignment="1">
      <alignment horizontal="center" vertical="center"/>
    </xf>
    <xf numFmtId="0" fontId="30" fillId="10" borderId="32" xfId="0" applyFont="1" applyFill="1" applyBorder="1" applyAlignment="1">
      <alignment horizontal="center" vertical="center" wrapText="1"/>
    </xf>
    <xf numFmtId="0" fontId="30" fillId="0" borderId="7" xfId="0" applyFont="1" applyBorder="1" applyAlignment="1">
      <alignment horizontal="left" vertical="center" wrapText="1"/>
    </xf>
    <xf numFmtId="0" fontId="31" fillId="14" borderId="33" xfId="0" applyFont="1" applyFill="1" applyBorder="1" applyAlignment="1">
      <alignment horizontal="center" vertical="center"/>
    </xf>
    <xf numFmtId="0" fontId="30" fillId="16" borderId="33" xfId="0" applyFont="1" applyFill="1" applyBorder="1" applyAlignment="1">
      <alignment horizontal="center" vertical="center" wrapText="1"/>
    </xf>
    <xf numFmtId="0" fontId="30" fillId="0" borderId="33" xfId="0" applyFont="1" applyBorder="1" applyAlignment="1">
      <alignment horizontal="left" vertical="center" wrapText="1"/>
    </xf>
    <xf numFmtId="0" fontId="30" fillId="0" borderId="4" xfId="0" applyFont="1" applyBorder="1" applyAlignment="1">
      <alignment horizontal="left" vertical="center" wrapText="1"/>
    </xf>
    <xf numFmtId="167" fontId="30" fillId="11" borderId="5" xfId="0" applyNumberFormat="1" applyFont="1" applyFill="1" applyBorder="1" applyAlignment="1">
      <alignment horizontal="center" vertical="center" wrapText="1"/>
    </xf>
    <xf numFmtId="0" fontId="30" fillId="11" borderId="33" xfId="0" applyFont="1" applyFill="1" applyBorder="1" applyAlignment="1">
      <alignment horizontal="center" vertical="center" wrapText="1"/>
    </xf>
    <xf numFmtId="2" fontId="30" fillId="11" borderId="33" xfId="0" applyNumberFormat="1" applyFont="1" applyFill="1" applyBorder="1" applyAlignment="1">
      <alignment horizontal="center" vertical="center" wrapText="1"/>
    </xf>
    <xf numFmtId="2" fontId="30" fillId="0" borderId="33" xfId="0" applyNumberFormat="1" applyFont="1" applyFill="1" applyBorder="1" applyAlignment="1">
      <alignment horizontal="center" vertical="center" wrapText="1"/>
    </xf>
    <xf numFmtId="0" fontId="30" fillId="0" borderId="33" xfId="0" applyFont="1" applyBorder="1"/>
    <xf numFmtId="166" fontId="30" fillId="12" borderId="33" xfId="0" applyNumberFormat="1" applyFont="1" applyFill="1" applyBorder="1" applyAlignment="1">
      <alignment horizontal="center" vertical="center"/>
    </xf>
    <xf numFmtId="2" fontId="30" fillId="11" borderId="33" xfId="0" applyNumberFormat="1" applyFont="1" applyFill="1" applyBorder="1" applyAlignment="1">
      <alignment horizontal="center" vertical="center"/>
    </xf>
    <xf numFmtId="166" fontId="30" fillId="0" borderId="33" xfId="0" applyNumberFormat="1" applyFont="1" applyFill="1" applyBorder="1" applyAlignment="1">
      <alignment horizontal="center" vertical="center"/>
    </xf>
    <xf numFmtId="2" fontId="30" fillId="0" borderId="33" xfId="0" applyNumberFormat="1" applyFont="1" applyFill="1" applyBorder="1" applyAlignment="1">
      <alignment horizontal="center" vertical="center"/>
    </xf>
    <xf numFmtId="167" fontId="30" fillId="11" borderId="33" xfId="0" applyNumberFormat="1" applyFont="1" applyFill="1" applyBorder="1" applyAlignment="1">
      <alignment horizontal="center" vertical="center" wrapText="1"/>
    </xf>
    <xf numFmtId="167" fontId="30" fillId="0" borderId="33" xfId="0" applyNumberFormat="1" applyFont="1" applyFill="1" applyBorder="1" applyAlignment="1">
      <alignment horizontal="center" vertical="center" wrapText="1"/>
    </xf>
    <xf numFmtId="168" fontId="34" fillId="11" borderId="33" xfId="0" applyNumberFormat="1" applyFont="1" applyFill="1" applyBorder="1" applyAlignment="1">
      <alignment horizontal="center" vertical="center" wrapText="1"/>
    </xf>
    <xf numFmtId="3" fontId="30" fillId="11" borderId="33" xfId="0" applyNumberFormat="1" applyFont="1" applyFill="1" applyBorder="1" applyAlignment="1">
      <alignment horizontal="center" vertical="center" wrapText="1"/>
    </xf>
    <xf numFmtId="3" fontId="30" fillId="0" borderId="33" xfId="0" applyNumberFormat="1" applyFont="1" applyFill="1" applyBorder="1" applyAlignment="1">
      <alignment horizontal="center" vertical="center" wrapText="1"/>
    </xf>
    <xf numFmtId="3" fontId="30" fillId="0" borderId="33" xfId="0" applyNumberFormat="1" applyFont="1" applyBorder="1" applyAlignment="1">
      <alignment horizontal="center" vertical="center"/>
    </xf>
    <xf numFmtId="169" fontId="30" fillId="0" borderId="33" xfId="0" applyNumberFormat="1" applyFont="1" applyBorder="1"/>
    <xf numFmtId="3" fontId="30" fillId="0" borderId="33" xfId="0" applyNumberFormat="1" applyFont="1" applyBorder="1" applyAlignment="1">
      <alignment vertical="center"/>
    </xf>
    <xf numFmtId="0" fontId="30" fillId="11" borderId="33" xfId="0" quotePrefix="1" applyFont="1" applyFill="1" applyBorder="1" applyAlignment="1">
      <alignment horizontal="center" vertical="center" wrapText="1"/>
    </xf>
    <xf numFmtId="168" fontId="30" fillId="11" borderId="33" xfId="0" applyNumberFormat="1" applyFont="1" applyFill="1" applyBorder="1" applyAlignment="1">
      <alignment horizontal="center" vertical="center" wrapText="1"/>
    </xf>
    <xf numFmtId="4" fontId="30" fillId="11" borderId="33" xfId="0" applyNumberFormat="1" applyFont="1" applyFill="1" applyBorder="1" applyAlignment="1">
      <alignment horizontal="center" vertical="center" wrapText="1"/>
    </xf>
    <xf numFmtId="167" fontId="34" fillId="11" borderId="33" xfId="0" applyNumberFormat="1" applyFont="1" applyFill="1" applyBorder="1" applyAlignment="1">
      <alignment horizontal="center" vertical="center" wrapText="1"/>
    </xf>
    <xf numFmtId="167" fontId="34" fillId="0" borderId="33" xfId="0" applyNumberFormat="1" applyFont="1" applyFill="1" applyBorder="1" applyAlignment="1">
      <alignment horizontal="center" vertical="center" wrapText="1"/>
    </xf>
    <xf numFmtId="166" fontId="34" fillId="6" borderId="33" xfId="0" applyNumberFormat="1" applyFont="1" applyFill="1" applyBorder="1" applyAlignment="1">
      <alignment horizontal="center" vertical="center"/>
    </xf>
    <xf numFmtId="2" fontId="34" fillId="11" borderId="33" xfId="0" applyNumberFormat="1" applyFont="1" applyFill="1" applyBorder="1" applyAlignment="1">
      <alignment horizontal="center" vertical="center"/>
    </xf>
    <xf numFmtId="2" fontId="34" fillId="0" borderId="33" xfId="0" applyNumberFormat="1" applyFont="1" applyFill="1" applyBorder="1" applyAlignment="1">
      <alignment horizontal="center" vertical="center"/>
    </xf>
    <xf numFmtId="166" fontId="34" fillId="0" borderId="33" xfId="0" applyNumberFormat="1" applyFont="1" applyFill="1" applyBorder="1" applyAlignment="1">
      <alignment horizontal="center" vertical="center"/>
    </xf>
    <xf numFmtId="167" fontId="30" fillId="0" borderId="33" xfId="0" applyNumberFormat="1" applyFont="1" applyBorder="1" applyAlignment="1">
      <alignment horizontal="center" vertical="center" wrapText="1"/>
    </xf>
    <xf numFmtId="3" fontId="30" fillId="0" borderId="33" xfId="0" applyNumberFormat="1" applyFont="1" applyBorder="1" applyAlignment="1">
      <alignment horizontal="center" vertical="center" wrapText="1"/>
    </xf>
    <xf numFmtId="0" fontId="30" fillId="0" borderId="33" xfId="0" applyFont="1" applyFill="1" applyBorder="1" applyAlignment="1">
      <alignment horizontal="center" vertical="center" wrapText="1"/>
    </xf>
    <xf numFmtId="0" fontId="34" fillId="11" borderId="33" xfId="0" applyFont="1" applyFill="1" applyBorder="1" applyAlignment="1">
      <alignment horizontal="center" vertical="center" wrapText="1"/>
    </xf>
    <xf numFmtId="0" fontId="34" fillId="0" borderId="33" xfId="0" applyFont="1" applyFill="1" applyBorder="1" applyAlignment="1">
      <alignment horizontal="center" vertical="center" wrapText="1"/>
    </xf>
    <xf numFmtId="1" fontId="34" fillId="0" borderId="33" xfId="0" applyNumberFormat="1" applyFont="1" applyFill="1" applyBorder="1" applyAlignment="1">
      <alignment horizontal="center" vertical="center"/>
    </xf>
    <xf numFmtId="9" fontId="30" fillId="0" borderId="33" xfId="0" applyNumberFormat="1" applyFont="1" applyBorder="1" applyAlignment="1">
      <alignment horizontal="center" vertical="center" wrapText="1"/>
    </xf>
    <xf numFmtId="9" fontId="34" fillId="0" borderId="33" xfId="0" applyNumberFormat="1" applyFont="1" applyBorder="1" applyAlignment="1">
      <alignment horizontal="center" vertical="center"/>
    </xf>
    <xf numFmtId="9" fontId="34" fillId="0" borderId="33" xfId="0" applyNumberFormat="1" applyFont="1" applyFill="1" applyBorder="1" applyAlignment="1">
      <alignment horizontal="center" vertical="center"/>
    </xf>
    <xf numFmtId="0" fontId="34" fillId="0" borderId="33" xfId="0" applyFont="1" applyBorder="1"/>
    <xf numFmtId="4" fontId="30" fillId="0" borderId="33" xfId="0" applyNumberFormat="1" applyFont="1" applyFill="1" applyBorder="1" applyAlignment="1">
      <alignment horizontal="center" vertical="center" wrapText="1"/>
    </xf>
    <xf numFmtId="3" fontId="30" fillId="0" borderId="33" xfId="0" applyNumberFormat="1" applyFont="1" applyFill="1" applyBorder="1" applyAlignment="1">
      <alignment horizontal="center" vertical="center"/>
    </xf>
    <xf numFmtId="4" fontId="34" fillId="11" borderId="33" xfId="0" applyNumberFormat="1" applyFont="1" applyFill="1" applyBorder="1" applyAlignment="1">
      <alignment horizontal="center" vertical="center" wrapText="1"/>
    </xf>
    <xf numFmtId="4" fontId="34" fillId="0" borderId="33" xfId="0" applyNumberFormat="1" applyFont="1" applyFill="1" applyBorder="1" applyAlignment="1">
      <alignment horizontal="center" vertical="center"/>
    </xf>
    <xf numFmtId="166" fontId="30" fillId="6" borderId="33" xfId="0" applyNumberFormat="1" applyFont="1" applyFill="1" applyBorder="1" applyAlignment="1">
      <alignment horizontal="center" vertical="center"/>
    </xf>
    <xf numFmtId="4" fontId="30" fillId="0" borderId="33" xfId="0" applyNumberFormat="1" applyFont="1" applyFill="1" applyBorder="1" applyAlignment="1">
      <alignment horizontal="center" vertical="center"/>
    </xf>
    <xf numFmtId="0" fontId="4" fillId="6" borderId="4" xfId="0" applyFont="1" applyFill="1" applyBorder="1" applyAlignment="1">
      <alignment horizontal="center" vertical="center" wrapText="1"/>
    </xf>
    <xf numFmtId="0" fontId="4" fillId="6" borderId="4" xfId="0" applyFont="1" applyFill="1" applyBorder="1" applyAlignment="1">
      <alignment horizontal="left" vertical="center" wrapText="1"/>
    </xf>
    <xf numFmtId="0" fontId="15" fillId="0" borderId="9" xfId="0" applyFont="1" applyBorder="1" applyAlignment="1">
      <alignment vertical="center" textRotation="90"/>
    </xf>
    <xf numFmtId="0" fontId="14" fillId="18" borderId="4" xfId="0" applyFont="1" applyFill="1" applyBorder="1" applyAlignment="1">
      <alignment horizontal="center" vertical="center" wrapText="1"/>
    </xf>
    <xf numFmtId="0" fontId="4" fillId="19" borderId="4" xfId="0" applyFont="1" applyFill="1" applyBorder="1" applyAlignment="1">
      <alignment horizontal="center" vertical="center" wrapText="1"/>
    </xf>
    <xf numFmtId="0" fontId="18" fillId="21" borderId="4" xfId="0" applyFont="1" applyFill="1" applyBorder="1" applyAlignment="1">
      <alignment horizontal="center" vertical="center" wrapText="1"/>
    </xf>
    <xf numFmtId="0" fontId="4" fillId="21" borderId="4"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4" fillId="0" borderId="10" xfId="0" applyFont="1" applyBorder="1" applyAlignment="1">
      <alignment horizontal="center" vertical="center" wrapText="1"/>
    </xf>
    <xf numFmtId="171" fontId="4" fillId="0" borderId="3"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xf numFmtId="3" fontId="4" fillId="0" borderId="7" xfId="0" applyNumberFormat="1" applyFont="1" applyBorder="1" applyAlignment="1">
      <alignment horizontal="center" vertical="center" wrapText="1"/>
    </xf>
    <xf numFmtId="0" fontId="4" fillId="0" borderId="7" xfId="0" applyFont="1" applyBorder="1"/>
    <xf numFmtId="0" fontId="30" fillId="0" borderId="7" xfId="0" applyFont="1" applyBorder="1" applyAlignment="1">
      <alignment horizontal="left" vertical="top" wrapText="1"/>
    </xf>
    <xf numFmtId="0" fontId="30" fillId="10" borderId="4" xfId="0" applyFont="1" applyFill="1" applyBorder="1" applyAlignment="1">
      <alignment vertical="center" wrapText="1"/>
    </xf>
    <xf numFmtId="0" fontId="30" fillId="10" borderId="4" xfId="0" applyFont="1" applyFill="1" applyBorder="1" applyAlignment="1">
      <alignment horizontal="center" vertical="center"/>
    </xf>
    <xf numFmtId="0" fontId="25" fillId="7" borderId="11" xfId="0" applyFont="1" applyFill="1" applyBorder="1" applyAlignment="1">
      <alignment horizontal="left" vertical="center" wrapText="1"/>
    </xf>
    <xf numFmtId="0" fontId="4" fillId="0" borderId="2" xfId="0" applyFont="1" applyBorder="1" applyAlignment="1">
      <alignment horizontal="center" vertical="center" wrapText="1"/>
    </xf>
    <xf numFmtId="0" fontId="0" fillId="0" borderId="0" xfId="0" applyFont="1" applyAlignment="1"/>
    <xf numFmtId="0" fontId="0" fillId="0" borderId="0" xfId="0" pivotButton="1" applyFont="1" applyAlignment="1"/>
    <xf numFmtId="0" fontId="0" fillId="0" borderId="0" xfId="0" applyNumberFormat="1" applyFont="1" applyAlignment="1"/>
    <xf numFmtId="0" fontId="0" fillId="0" borderId="0" xfId="0" applyFont="1" applyAlignment="1">
      <alignment horizontal="left" indent="1"/>
    </xf>
    <xf numFmtId="0" fontId="35" fillId="36" borderId="0" xfId="0" applyFont="1" applyFill="1" applyAlignment="1">
      <alignment horizontal="center"/>
    </xf>
    <xf numFmtId="0" fontId="35" fillId="36" borderId="34" xfId="0" applyFont="1" applyFill="1" applyBorder="1" applyAlignment="1">
      <alignment horizontal="center"/>
    </xf>
    <xf numFmtId="165" fontId="35" fillId="36" borderId="34" xfId="1" applyNumberFormat="1" applyFont="1" applyFill="1" applyBorder="1" applyAlignment="1">
      <alignment horizontal="center"/>
    </xf>
    <xf numFmtId="0" fontId="0" fillId="0" borderId="34" xfId="0" applyBorder="1" applyAlignment="1">
      <alignment horizontal="left"/>
    </xf>
    <xf numFmtId="0" fontId="0" fillId="0" borderId="0" xfId="0" applyAlignment="1">
      <alignment horizontal="left" indent="1"/>
    </xf>
    <xf numFmtId="0" fontId="0" fillId="0" borderId="0" xfId="0" applyAlignment="1">
      <alignment horizontal="left" indent="2"/>
    </xf>
    <xf numFmtId="165" fontId="0" fillId="0" borderId="0" xfId="0" applyNumberFormat="1"/>
    <xf numFmtId="0" fontId="35" fillId="35" borderId="35" xfId="0" applyFont="1" applyFill="1" applyBorder="1" applyAlignment="1">
      <alignment horizontal="left"/>
    </xf>
    <xf numFmtId="165" fontId="35" fillId="35" borderId="35" xfId="0" applyNumberFormat="1" applyFont="1" applyFill="1" applyBorder="1"/>
    <xf numFmtId="0" fontId="35" fillId="0" borderId="4" xfId="0" applyFont="1" applyFill="1" applyBorder="1" applyAlignment="1">
      <alignment horizontal="left"/>
    </xf>
    <xf numFmtId="165" fontId="35" fillId="0" borderId="4" xfId="0" applyNumberFormat="1" applyFont="1" applyFill="1" applyBorder="1"/>
    <xf numFmtId="0" fontId="0" fillId="0" borderId="0" xfId="0" applyFont="1" applyFill="1" applyAlignment="1"/>
    <xf numFmtId="165" fontId="0" fillId="0" borderId="0" xfId="0" applyNumberFormat="1" applyFont="1" applyAlignment="1"/>
    <xf numFmtId="0" fontId="0" fillId="0" borderId="0" xfId="0" applyFont="1" applyAlignment="1">
      <alignment horizontal="left"/>
    </xf>
    <xf numFmtId="10" fontId="0" fillId="0" borderId="0" xfId="0" applyNumberFormat="1" applyFont="1" applyAlignment="1"/>
    <xf numFmtId="172" fontId="0" fillId="0" borderId="0" xfId="0" applyNumberFormat="1" applyFont="1" applyAlignment="1"/>
    <xf numFmtId="0" fontId="0" fillId="0" borderId="0" xfId="0" pivotButton="1" applyFont="1" applyAlignment="1">
      <alignment wrapText="1"/>
    </xf>
    <xf numFmtId="0" fontId="0" fillId="0" borderId="0" xfId="0" applyFont="1" applyAlignment="1">
      <alignment wrapText="1"/>
    </xf>
    <xf numFmtId="0" fontId="0" fillId="0" borderId="0" xfId="0" applyFont="1" applyAlignment="1">
      <alignment horizontal="center" vertical="center" wrapText="1"/>
    </xf>
    <xf numFmtId="172" fontId="36" fillId="34" borderId="33" xfId="1" applyNumberFormat="1" applyFont="1" applyFill="1" applyBorder="1" applyAlignment="1">
      <alignment horizontal="center"/>
    </xf>
    <xf numFmtId="0" fontId="36" fillId="34" borderId="33" xfId="0" applyFont="1" applyFill="1" applyBorder="1" applyAlignment="1">
      <alignment horizontal="center"/>
    </xf>
    <xf numFmtId="0" fontId="0" fillId="38" borderId="0" xfId="0" applyFont="1" applyFill="1" applyAlignment="1">
      <alignment horizontal="left"/>
    </xf>
    <xf numFmtId="172" fontId="0" fillId="38" borderId="0" xfId="0" applyNumberFormat="1" applyFont="1" applyFill="1" applyAlignment="1"/>
    <xf numFmtId="0" fontId="38" fillId="0" borderId="0" xfId="0" applyFont="1" applyAlignment="1">
      <alignment horizontal="center" vertical="center" wrapText="1"/>
    </xf>
    <xf numFmtId="0" fontId="38" fillId="0" borderId="0" xfId="0" applyFont="1" applyAlignment="1">
      <alignment horizontal="center"/>
    </xf>
    <xf numFmtId="172" fontId="0" fillId="34" borderId="0" xfId="0" applyNumberFormat="1" applyFont="1" applyFill="1" applyAlignment="1"/>
    <xf numFmtId="0" fontId="0" fillId="34" borderId="0" xfId="0" applyFont="1" applyFill="1" applyAlignment="1">
      <alignment horizontal="left" wrapText="1"/>
    </xf>
    <xf numFmtId="0" fontId="0" fillId="0" borderId="0" xfId="0" applyFont="1" applyAlignment="1">
      <alignment horizontal="left" wrapText="1"/>
    </xf>
    <xf numFmtId="10" fontId="0" fillId="34" borderId="0" xfId="0" applyNumberFormat="1" applyFont="1" applyFill="1" applyAlignment="1"/>
    <xf numFmtId="0" fontId="0" fillId="0" borderId="0" xfId="0" applyFont="1" applyAlignment="1">
      <alignment horizontal="right"/>
    </xf>
    <xf numFmtId="0" fontId="0" fillId="0" borderId="0" xfId="0" pivotButton="1" applyFont="1" applyAlignment="1">
      <alignment horizontal="left" vertical="center" wrapText="1"/>
    </xf>
    <xf numFmtId="0" fontId="0" fillId="0" borderId="0" xfId="0" applyFont="1" applyAlignment="1">
      <alignment horizontal="left" vertical="center" wrapText="1"/>
    </xf>
    <xf numFmtId="0" fontId="0" fillId="0" borderId="0" xfId="0" applyNumberFormat="1" applyFont="1" applyAlignment="1">
      <alignment wrapText="1"/>
    </xf>
    <xf numFmtId="172" fontId="0" fillId="0" borderId="0" xfId="1" applyNumberFormat="1" applyFont="1" applyAlignment="1"/>
    <xf numFmtId="172" fontId="0" fillId="0" borderId="0" xfId="0" applyNumberFormat="1" applyFont="1" applyAlignment="1">
      <alignment vertical="center"/>
    </xf>
    <xf numFmtId="0" fontId="0" fillId="0" borderId="0" xfId="0" applyFont="1" applyAlignment="1">
      <alignment vertical="center"/>
    </xf>
    <xf numFmtId="0" fontId="37" fillId="0" borderId="0" xfId="0" applyFont="1" applyFill="1" applyAlignment="1">
      <alignment horizontal="center" vertical="center" wrapText="1"/>
    </xf>
    <xf numFmtId="0" fontId="0" fillId="0" borderId="0" xfId="0" applyNumberFormat="1" applyFont="1" applyAlignment="1">
      <alignment horizontal="center" vertical="center"/>
    </xf>
    <xf numFmtId="0" fontId="0" fillId="39" borderId="0" xfId="0" applyFont="1" applyFill="1" applyAlignment="1">
      <alignment horizontal="left" vertical="center" wrapText="1"/>
    </xf>
    <xf numFmtId="172" fontId="0" fillId="39" borderId="0" xfId="0" applyNumberFormat="1" applyFont="1" applyFill="1" applyAlignment="1">
      <alignment vertical="center"/>
    </xf>
    <xf numFmtId="0" fontId="0" fillId="39" borderId="0" xfId="0" applyFont="1" applyFill="1" applyAlignment="1">
      <alignment horizontal="left" wrapText="1"/>
    </xf>
    <xf numFmtId="172" fontId="0" fillId="39" borderId="0" xfId="0" applyNumberFormat="1" applyFont="1" applyFill="1" applyAlignment="1"/>
    <xf numFmtId="0" fontId="0" fillId="38" borderId="0" xfId="0" applyFont="1" applyFill="1" applyAlignment="1">
      <alignment horizontal="left" wrapText="1"/>
    </xf>
    <xf numFmtId="0" fontId="0" fillId="38" borderId="0" xfId="0" applyNumberFormat="1" applyFont="1" applyFill="1" applyAlignment="1"/>
    <xf numFmtId="172" fontId="11" fillId="0" borderId="1" xfId="1" applyNumberFormat="1" applyFont="1" applyBorder="1" applyAlignment="1">
      <alignment horizontal="center"/>
    </xf>
    <xf numFmtId="0" fontId="0" fillId="0" borderId="0" xfId="0" applyFont="1" applyAlignment="1"/>
    <xf numFmtId="171" fontId="4" fillId="0" borderId="4" xfId="0" applyNumberFormat="1" applyFont="1" applyFill="1" applyBorder="1" applyAlignment="1">
      <alignment vertical="center"/>
    </xf>
    <xf numFmtId="0" fontId="0" fillId="0" borderId="0" xfId="0" applyFont="1" applyAlignment="1"/>
    <xf numFmtId="0" fontId="6" fillId="0" borderId="0" xfId="0" applyFont="1" applyAlignment="1">
      <alignment horizontal="left" vertical="center"/>
    </xf>
    <xf numFmtId="0" fontId="30" fillId="40" borderId="4" xfId="0" applyFont="1" applyFill="1" applyBorder="1" applyAlignment="1">
      <alignment horizontal="center" vertical="center" wrapText="1"/>
    </xf>
    <xf numFmtId="0" fontId="32" fillId="41" borderId="4" xfId="0" applyFont="1" applyFill="1" applyBorder="1" applyAlignment="1"/>
    <xf numFmtId="0" fontId="30" fillId="41" borderId="4" xfId="0" applyFont="1" applyFill="1" applyBorder="1" applyAlignment="1">
      <alignment horizontal="left" vertical="center" wrapText="1"/>
    </xf>
    <xf numFmtId="0" fontId="30" fillId="41" borderId="0" xfId="0" applyFont="1" applyFill="1"/>
    <xf numFmtId="0" fontId="30" fillId="41" borderId="0" xfId="0" applyFont="1" applyFill="1" applyAlignment="1">
      <alignment vertical="center" wrapText="1"/>
    </xf>
    <xf numFmtId="0" fontId="30" fillId="41" borderId="0" xfId="0" applyFont="1" applyFill="1" applyAlignment="1">
      <alignment vertical="center"/>
    </xf>
    <xf numFmtId="0" fontId="30" fillId="41" borderId="0" xfId="0" applyFont="1" applyFill="1" applyAlignment="1">
      <alignment horizontal="center" vertical="center"/>
    </xf>
    <xf numFmtId="0" fontId="4"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171" fontId="4" fillId="0" borderId="1" xfId="0" applyNumberFormat="1" applyFont="1" applyFill="1" applyBorder="1" applyAlignment="1">
      <alignment horizontal="center" vertical="center" wrapText="1"/>
    </xf>
    <xf numFmtId="168" fontId="4" fillId="0" borderId="1" xfId="0" applyNumberFormat="1" applyFont="1" applyFill="1" applyBorder="1" applyAlignment="1">
      <alignment horizontal="center" vertical="center" wrapText="1"/>
    </xf>
    <xf numFmtId="168" fontId="4" fillId="0" borderId="3" xfId="0" applyNumberFormat="1"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0" fillId="0" borderId="0" xfId="0" applyFont="1" applyAlignment="1"/>
    <xf numFmtId="0" fontId="30" fillId="16" borderId="29" xfId="0" applyFont="1" applyFill="1" applyBorder="1" applyAlignment="1">
      <alignment horizontal="center" vertical="center" wrapText="1"/>
    </xf>
    <xf numFmtId="0" fontId="0" fillId="0" borderId="0" xfId="0" applyFont="1" applyAlignment="1">
      <alignment horizontal="center"/>
    </xf>
    <xf numFmtId="0" fontId="4" fillId="0" borderId="0" xfId="0" applyFont="1" applyAlignment="1">
      <alignment horizontal="left" indent="1"/>
    </xf>
    <xf numFmtId="0" fontId="18" fillId="0" borderId="1" xfId="0" applyFont="1" applyBorder="1" applyAlignment="1">
      <alignment horizontal="left" vertical="center" wrapText="1" indent="1"/>
    </xf>
    <xf numFmtId="0" fontId="4" fillId="0" borderId="0" xfId="0" applyFont="1" applyAlignment="1">
      <alignment horizontal="left" vertical="center" wrapText="1" indent="1"/>
    </xf>
    <xf numFmtId="168" fontId="4" fillId="0" borderId="0" xfId="0" applyNumberFormat="1" applyFont="1" applyAlignment="1">
      <alignment horizontal="left" vertical="center" wrapText="1" indent="1"/>
    </xf>
    <xf numFmtId="0" fontId="18" fillId="0" borderId="1" xfId="0" applyFont="1" applyFill="1" applyBorder="1" applyAlignment="1">
      <alignment horizontal="left" vertical="center" wrapText="1" indent="1"/>
    </xf>
    <xf numFmtId="0" fontId="4" fillId="0" borderId="0" xfId="0" applyFont="1" applyAlignment="1">
      <alignment horizontal="left" vertical="center" indent="1"/>
    </xf>
    <xf numFmtId="0" fontId="18" fillId="0" borderId="0" xfId="0" applyFont="1" applyAlignment="1">
      <alignment horizontal="left" vertical="center" wrapText="1" indent="1"/>
    </xf>
    <xf numFmtId="0" fontId="25" fillId="7" borderId="1" xfId="0" applyFont="1" applyFill="1" applyBorder="1" applyAlignment="1">
      <alignment horizontal="left" vertical="center"/>
    </xf>
    <xf numFmtId="0" fontId="4" fillId="42" borderId="33" xfId="0" applyFont="1" applyFill="1" applyBorder="1" applyAlignment="1">
      <alignment horizontal="center" vertical="center" wrapText="1"/>
    </xf>
    <xf numFmtId="3" fontId="4" fillId="42" borderId="33" xfId="0" applyNumberFormat="1" applyFont="1" applyFill="1" applyBorder="1" applyAlignment="1">
      <alignment horizontal="center" vertical="center" wrapText="1"/>
    </xf>
    <xf numFmtId="0" fontId="0" fillId="42" borderId="0" xfId="0" applyFont="1" applyFill="1" applyAlignment="1"/>
    <xf numFmtId="0" fontId="0" fillId="0" borderId="4" xfId="0" applyFont="1" applyBorder="1" applyAlignment="1"/>
    <xf numFmtId="0" fontId="39" fillId="0" borderId="4" xfId="0" applyFont="1" applyBorder="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40" fillId="42" borderId="0" xfId="0" applyFont="1" applyFill="1" applyAlignment="1">
      <alignment horizontal="center" vertical="center"/>
    </xf>
    <xf numFmtId="0" fontId="41" fillId="0" borderId="0" xfId="0" applyFont="1" applyAlignment="1">
      <alignment horizontal="center" vertical="center"/>
    </xf>
    <xf numFmtId="0" fontId="42" fillId="0" borderId="4" xfId="0" applyFont="1" applyBorder="1" applyAlignment="1"/>
    <xf numFmtId="0" fontId="42" fillId="0" borderId="0" xfId="0" applyFont="1" applyAlignment="1"/>
    <xf numFmtId="0" fontId="42" fillId="0" borderId="4" xfId="0" applyFont="1" applyBorder="1" applyAlignment="1">
      <alignment horizontal="center" vertical="center"/>
    </xf>
    <xf numFmtId="0" fontId="42" fillId="0" borderId="0" xfId="0" applyFont="1" applyAlignment="1">
      <alignment horizontal="center" vertical="center"/>
    </xf>
    <xf numFmtId="168" fontId="4" fillId="33" borderId="1" xfId="0" applyNumberFormat="1" applyFont="1" applyFill="1" applyBorder="1" applyAlignment="1">
      <alignment horizontal="center" vertical="center" wrapText="1"/>
    </xf>
    <xf numFmtId="0" fontId="4" fillId="49" borderId="0" xfId="0" applyFont="1" applyFill="1" applyAlignment="1">
      <alignment horizontal="center" vertical="center"/>
    </xf>
    <xf numFmtId="0" fontId="4" fillId="50" borderId="0" xfId="0" applyFont="1" applyFill="1" applyAlignment="1">
      <alignment horizontal="center" vertical="center"/>
    </xf>
    <xf numFmtId="0" fontId="4" fillId="33" borderId="0" xfId="0" applyFont="1" applyFill="1" applyAlignment="1">
      <alignment horizontal="center" vertical="center"/>
    </xf>
    <xf numFmtId="0" fontId="0" fillId="0" borderId="0" xfId="0" applyFont="1" applyAlignment="1">
      <alignment horizontal="center" vertical="center"/>
    </xf>
    <xf numFmtId="0" fontId="4" fillId="46" borderId="0" xfId="0" applyFont="1" applyFill="1" applyAlignment="1">
      <alignment horizontal="center" vertical="center"/>
    </xf>
    <xf numFmtId="0" fontId="4" fillId="51" borderId="0" xfId="0" applyFont="1" applyFill="1" applyAlignment="1">
      <alignment horizontal="center" vertical="center"/>
    </xf>
    <xf numFmtId="0" fontId="4" fillId="52" borderId="0" xfId="0" applyFont="1" applyFill="1" applyAlignment="1">
      <alignment horizontal="center" vertical="center"/>
    </xf>
    <xf numFmtId="0" fontId="4" fillId="47" borderId="0" xfId="0" applyFont="1" applyFill="1" applyAlignment="1">
      <alignment horizontal="center" vertical="center"/>
    </xf>
    <xf numFmtId="0" fontId="4" fillId="53" borderId="0" xfId="0" applyFont="1" applyFill="1" applyAlignment="1">
      <alignment horizontal="center" vertical="center"/>
    </xf>
    <xf numFmtId="0" fontId="10" fillId="33" borderId="33" xfId="0" applyFont="1" applyFill="1" applyBorder="1" applyAlignment="1"/>
    <xf numFmtId="0" fontId="10" fillId="47" borderId="33" xfId="0" applyFont="1" applyFill="1" applyBorder="1" applyAlignment="1"/>
    <xf numFmtId="0" fontId="43" fillId="46" borderId="33" xfId="0" applyFont="1" applyFill="1" applyBorder="1" applyAlignment="1">
      <alignment horizontal="left" vertical="center"/>
    </xf>
    <xf numFmtId="0" fontId="29" fillId="0" borderId="0" xfId="0" applyFont="1" applyAlignment="1"/>
    <xf numFmtId="0" fontId="22" fillId="0" borderId="1"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3" xfId="0" applyFont="1" applyBorder="1" applyAlignment="1">
      <alignment horizontal="center" vertical="center"/>
    </xf>
    <xf numFmtId="0" fontId="22" fillId="0" borderId="33" xfId="0" applyFont="1" applyBorder="1" applyAlignment="1">
      <alignment horizontal="center" vertical="center"/>
    </xf>
    <xf numFmtId="0" fontId="22" fillId="0" borderId="1" xfId="0" applyFont="1" applyFill="1" applyBorder="1" applyAlignment="1">
      <alignment horizontal="center" vertical="center" wrapText="1"/>
    </xf>
    <xf numFmtId="0" fontId="22" fillId="0" borderId="33" xfId="0" applyFont="1" applyBorder="1" applyAlignment="1">
      <alignment horizontal="center" vertical="center" wrapText="1"/>
    </xf>
    <xf numFmtId="0" fontId="29" fillId="0" borderId="0" xfId="0" applyFont="1" applyAlignment="1">
      <alignment horizontal="center" vertical="center"/>
    </xf>
    <xf numFmtId="0" fontId="46" fillId="0" borderId="0" xfId="0" applyFont="1" applyAlignment="1"/>
    <xf numFmtId="0" fontId="49" fillId="0" borderId="0" xfId="0" applyFont="1" applyAlignment="1"/>
    <xf numFmtId="0" fontId="51" fillId="0" borderId="0" xfId="0" applyFont="1" applyAlignment="1"/>
    <xf numFmtId="0" fontId="53" fillId="0" borderId="0" xfId="0" applyFont="1" applyAlignment="1"/>
    <xf numFmtId="0" fontId="0" fillId="0" borderId="0" xfId="0" applyFont="1" applyAlignment="1"/>
    <xf numFmtId="0" fontId="15" fillId="0" borderId="4" xfId="0" applyFont="1" applyBorder="1" applyAlignment="1">
      <alignment vertical="center" textRotation="90"/>
    </xf>
    <xf numFmtId="0" fontId="30" fillId="0" borderId="28" xfId="0" applyFont="1" applyFill="1" applyBorder="1" applyAlignment="1">
      <alignment horizontal="center" vertical="center" wrapText="1"/>
    </xf>
    <xf numFmtId="0" fontId="55" fillId="0" borderId="0" xfId="0" applyFont="1" applyAlignment="1">
      <alignment horizontal="center" vertical="center"/>
    </xf>
    <xf numFmtId="0" fontId="55" fillId="0" borderId="0" xfId="0" applyFont="1" applyAlignment="1"/>
    <xf numFmtId="0" fontId="56" fillId="0" borderId="0" xfId="0" applyFont="1" applyAlignment="1">
      <alignment horizontal="left" vertical="center"/>
    </xf>
    <xf numFmtId="0" fontId="56" fillId="0" borderId="0" xfId="0" applyFont="1" applyAlignment="1">
      <alignment horizontal="left"/>
    </xf>
    <xf numFmtId="43" fontId="55" fillId="0" borderId="0" xfId="1" applyFont="1" applyAlignment="1"/>
    <xf numFmtId="0" fontId="11" fillId="0" borderId="4" xfId="0" applyFont="1" applyFill="1" applyBorder="1" applyAlignment="1">
      <alignment horizontal="left"/>
    </xf>
    <xf numFmtId="0" fontId="45" fillId="0" borderId="0" xfId="0" applyFont="1" applyFill="1" applyAlignment="1">
      <alignment horizontal="left"/>
    </xf>
    <xf numFmtId="0" fontId="48" fillId="0" borderId="0" xfId="0" applyFont="1" applyFill="1" applyAlignment="1">
      <alignment horizontal="left"/>
    </xf>
    <xf numFmtId="0" fontId="50" fillId="0" borderId="0" xfId="0" applyFont="1" applyFill="1" applyAlignment="1">
      <alignment horizontal="left"/>
    </xf>
    <xf numFmtId="0" fontId="52" fillId="0" borderId="0" xfId="0" applyFont="1" applyFill="1" applyAlignment="1">
      <alignment horizontal="left"/>
    </xf>
    <xf numFmtId="0" fontId="43" fillId="0" borderId="0" xfId="0" applyFont="1" applyFill="1" applyAlignment="1">
      <alignment horizontal="left"/>
    </xf>
    <xf numFmtId="0" fontId="4" fillId="17" borderId="33" xfId="0" applyFont="1" applyFill="1" applyBorder="1" applyAlignment="1">
      <alignment horizontal="center" vertical="center" wrapText="1"/>
    </xf>
    <xf numFmtId="0" fontId="0" fillId="0" borderId="0" xfId="0" applyFont="1" applyAlignment="1"/>
    <xf numFmtId="0" fontId="30" fillId="0" borderId="33" xfId="0" applyFont="1" applyBorder="1" applyAlignment="1">
      <alignment horizontal="center" vertical="center"/>
    </xf>
    <xf numFmtId="0" fontId="0" fillId="0" borderId="0" xfId="0" applyFont="1" applyAlignment="1"/>
    <xf numFmtId="0" fontId="0" fillId="0" borderId="0" xfId="0" applyFont="1" applyAlignment="1"/>
    <xf numFmtId="0" fontId="57" fillId="0" borderId="0" xfId="0" applyFont="1" applyAlignment="1"/>
    <xf numFmtId="0" fontId="0" fillId="0" borderId="0" xfId="0" applyFont="1" applyAlignment="1">
      <alignment horizontal="center" wrapText="1"/>
    </xf>
    <xf numFmtId="0" fontId="0" fillId="0" borderId="0" xfId="0" applyFont="1" applyAlignment="1">
      <alignment vertical="center" wrapText="1"/>
    </xf>
    <xf numFmtId="0" fontId="0" fillId="0" borderId="0" xfId="0" pivotButton="1" applyFont="1" applyAlignment="1">
      <alignment horizontal="center" vertical="center" wrapText="1"/>
    </xf>
    <xf numFmtId="0" fontId="0" fillId="0" borderId="0" xfId="0" applyFont="1" applyAlignment="1">
      <alignment horizontal="left" wrapText="1" indent="1"/>
    </xf>
    <xf numFmtId="0" fontId="0" fillId="0" borderId="0" xfId="0" applyFont="1" applyAlignment="1">
      <alignment horizontal="left" vertical="center" wrapText="1" indent="1"/>
    </xf>
    <xf numFmtId="0" fontId="43" fillId="49" borderId="33" xfId="0" applyFont="1" applyFill="1" applyBorder="1" applyAlignment="1">
      <alignment vertical="center"/>
    </xf>
    <xf numFmtId="0" fontId="43" fillId="47" borderId="33" xfId="0" applyFont="1" applyFill="1" applyBorder="1" applyAlignment="1">
      <alignment vertical="center"/>
    </xf>
    <xf numFmtId="0" fontId="43" fillId="33" borderId="33" xfId="0" applyFont="1" applyFill="1" applyBorder="1" applyAlignment="1">
      <alignment vertical="center"/>
    </xf>
    <xf numFmtId="0" fontId="43" fillId="44" borderId="33" xfId="0" applyFont="1" applyFill="1" applyBorder="1" applyAlignment="1">
      <alignment vertical="center"/>
    </xf>
    <xf numFmtId="0" fontId="4" fillId="50" borderId="0" xfId="0" applyFont="1" applyFill="1" applyAlignment="1">
      <alignment horizontal="left" vertical="center"/>
    </xf>
    <xf numFmtId="0" fontId="0" fillId="0" borderId="0" xfId="0" pivotButton="1" applyFont="1" applyAlignment="1">
      <alignment horizontal="center" vertical="center"/>
    </xf>
    <xf numFmtId="0" fontId="0" fillId="39" borderId="0" xfId="0" applyNumberFormat="1" applyFont="1" applyFill="1" applyAlignment="1">
      <alignment horizontal="center" vertical="center"/>
    </xf>
    <xf numFmtId="0" fontId="0" fillId="39" borderId="0" xfId="0" applyNumberFormat="1" applyFont="1" applyFill="1" applyAlignment="1">
      <alignment horizontal="center"/>
    </xf>
    <xf numFmtId="0" fontId="0" fillId="0" borderId="0" xfId="0" applyNumberFormat="1" applyFont="1" applyAlignment="1">
      <alignment horizontal="center"/>
    </xf>
    <xf numFmtId="0" fontId="57" fillId="0" borderId="34" xfId="0" applyFont="1" applyBorder="1" applyAlignment="1">
      <alignment horizontal="center" vertical="center" wrapText="1"/>
    </xf>
    <xf numFmtId="172" fontId="57" fillId="0" borderId="34" xfId="0" applyNumberFormat="1" applyFont="1" applyBorder="1" applyAlignment="1">
      <alignment horizontal="left" vertical="center" wrapText="1"/>
    </xf>
    <xf numFmtId="10" fontId="57" fillId="0" borderId="34" xfId="0" applyNumberFormat="1" applyFont="1" applyBorder="1" applyAlignment="1">
      <alignment horizontal="center" vertical="center" wrapText="1"/>
    </xf>
    <xf numFmtId="10" fontId="0" fillId="0" borderId="0" xfId="0" applyNumberFormat="1" applyFont="1" applyAlignment="1">
      <alignment horizontal="center"/>
    </xf>
    <xf numFmtId="172" fontId="0" fillId="0" borderId="0" xfId="0" applyNumberFormat="1" applyFont="1" applyAlignment="1">
      <alignment horizontal="right"/>
    </xf>
    <xf numFmtId="0" fontId="0" fillId="0" borderId="0" xfId="0" applyFont="1" applyAlignment="1"/>
    <xf numFmtId="0" fontId="0" fillId="0" borderId="0" xfId="0" applyFont="1" applyAlignment="1"/>
    <xf numFmtId="0" fontId="4" fillId="0" borderId="4" xfId="0"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left" vertical="center" wrapText="1" indent="1"/>
    </xf>
    <xf numFmtId="168" fontId="4" fillId="0" borderId="4" xfId="0" applyNumberFormat="1" applyFont="1" applyBorder="1" applyAlignment="1">
      <alignment horizontal="center" vertical="center" wrapText="1"/>
    </xf>
    <xf numFmtId="172" fontId="4" fillId="0" borderId="1" xfId="1" applyNumberFormat="1" applyFont="1" applyBorder="1" applyAlignment="1">
      <alignment horizontal="center" vertical="center" wrapText="1"/>
    </xf>
    <xf numFmtId="0" fontId="43" fillId="46" borderId="4" xfId="0" applyFont="1" applyFill="1" applyBorder="1" applyAlignment="1">
      <alignment horizontal="left" vertical="center"/>
    </xf>
    <xf numFmtId="172" fontId="4" fillId="0" borderId="4" xfId="1" applyNumberFormat="1" applyFont="1" applyBorder="1" applyAlignment="1">
      <alignment horizontal="center" vertical="center" wrapText="1"/>
    </xf>
    <xf numFmtId="0" fontId="0" fillId="0" borderId="0" xfId="0" applyFont="1" applyAlignment="1"/>
    <xf numFmtId="0" fontId="30" fillId="0" borderId="4" xfId="0" applyFont="1" applyBorder="1" applyAlignment="1">
      <alignment horizontal="center" vertical="center" wrapText="1"/>
    </xf>
    <xf numFmtId="0" fontId="30" fillId="0" borderId="2" xfId="0" applyFont="1" applyBorder="1" applyAlignment="1">
      <alignment horizontal="center" vertical="center" wrapText="1"/>
    </xf>
    <xf numFmtId="0" fontId="30" fillId="16" borderId="3" xfId="0" applyFont="1" applyFill="1" applyBorder="1" applyAlignment="1">
      <alignment horizontal="center" vertical="center" wrapText="1"/>
    </xf>
    <xf numFmtId="0" fontId="30" fillId="0" borderId="38" xfId="0" applyFont="1" applyBorder="1" applyAlignment="1">
      <alignment horizontal="left" vertical="center" wrapText="1"/>
    </xf>
    <xf numFmtId="0" fontId="30" fillId="16" borderId="36" xfId="0" applyFont="1" applyFill="1" applyBorder="1" applyAlignment="1">
      <alignment horizontal="center" vertical="center" wrapText="1"/>
    </xf>
    <xf numFmtId="0" fontId="30" fillId="16" borderId="30" xfId="0" applyFont="1" applyFill="1" applyBorder="1" applyAlignment="1">
      <alignment horizontal="center" vertical="center" wrapText="1"/>
    </xf>
    <xf numFmtId="3" fontId="4" fillId="0" borderId="0" xfId="0" applyNumberFormat="1" applyFont="1" applyAlignment="1">
      <alignment horizontal="center" vertical="center" wrapText="1"/>
    </xf>
    <xf numFmtId="43" fontId="4" fillId="0" borderId="0" xfId="1" applyFont="1" applyAlignment="1">
      <alignment horizontal="center" vertical="center" wrapText="1"/>
    </xf>
    <xf numFmtId="0" fontId="0" fillId="0" borderId="0" xfId="0" applyFont="1" applyAlignment="1"/>
    <xf numFmtId="0" fontId="4" fillId="0" borderId="0" xfId="0" applyFont="1" applyAlignment="1">
      <alignment horizontal="center" vertical="center" wrapText="1"/>
    </xf>
    <xf numFmtId="0" fontId="0" fillId="0" borderId="0" xfId="0" applyFont="1" applyAlignment="1"/>
    <xf numFmtId="0" fontId="9" fillId="0" borderId="6" xfId="0" applyFont="1" applyFill="1" applyBorder="1" applyAlignment="1"/>
    <xf numFmtId="0" fontId="9" fillId="0" borderId="7" xfId="0" applyFont="1" applyFill="1" applyBorder="1" applyAlignment="1"/>
    <xf numFmtId="3" fontId="4" fillId="0" borderId="1" xfId="0" applyNumberFormat="1" applyFont="1" applyFill="1" applyBorder="1" applyAlignment="1">
      <alignment horizontal="center" vertical="center" wrapText="1"/>
    </xf>
    <xf numFmtId="0" fontId="4" fillId="0" borderId="1" xfId="0" applyFont="1" applyFill="1" applyBorder="1" applyAlignment="1">
      <alignment horizontal="right" vertical="center" wrapText="1"/>
    </xf>
    <xf numFmtId="43" fontId="4" fillId="0" borderId="1" xfId="0" applyNumberFormat="1" applyFont="1" applyBorder="1" applyAlignment="1">
      <alignment horizontal="center" vertical="center" wrapText="1"/>
    </xf>
    <xf numFmtId="0" fontId="22" fillId="0" borderId="1" xfId="0" applyFont="1" applyBorder="1" applyAlignment="1">
      <alignment horizontal="left" vertical="center" wrapText="1" indent="1"/>
    </xf>
    <xf numFmtId="171" fontId="4" fillId="0" borderId="3" xfId="0" applyNumberFormat="1" applyFont="1" applyFill="1" applyBorder="1" applyAlignment="1">
      <alignment horizontal="center" vertical="center" wrapText="1"/>
    </xf>
    <xf numFmtId="0" fontId="22" fillId="0" borderId="1" xfId="0" applyFont="1" applyFill="1" applyBorder="1" applyAlignment="1">
      <alignment horizontal="left" vertical="center" wrapText="1" indent="1"/>
    </xf>
    <xf numFmtId="0" fontId="22" fillId="41" borderId="1" xfId="0" applyFont="1" applyFill="1" applyBorder="1" applyAlignment="1">
      <alignment horizontal="center" vertical="center" wrapText="1"/>
    </xf>
    <xf numFmtId="0" fontId="4" fillId="0" borderId="2" xfId="0" applyFont="1" applyBorder="1" applyAlignment="1">
      <alignment vertical="center"/>
    </xf>
    <xf numFmtId="0" fontId="4" fillId="0" borderId="2" xfId="0" applyFont="1" applyFill="1" applyBorder="1" applyAlignment="1">
      <alignment vertical="center"/>
    </xf>
    <xf numFmtId="0" fontId="10" fillId="47" borderId="36" xfId="0" applyFont="1" applyFill="1" applyBorder="1" applyAlignment="1">
      <alignment vertical="center"/>
    </xf>
    <xf numFmtId="0" fontId="10" fillId="47" borderId="45" xfId="0" applyFont="1" applyFill="1" applyBorder="1" applyAlignment="1">
      <alignment vertical="center"/>
    </xf>
    <xf numFmtId="0" fontId="10" fillId="33" borderId="36" xfId="0" applyFont="1" applyFill="1" applyBorder="1" applyAlignment="1">
      <alignment vertical="center"/>
    </xf>
    <xf numFmtId="0" fontId="10" fillId="33" borderId="45" xfId="0" applyFont="1" applyFill="1" applyBorder="1" applyAlignment="1">
      <alignment vertical="center"/>
    </xf>
    <xf numFmtId="0" fontId="43" fillId="46" borderId="36" xfId="0" applyFont="1" applyFill="1" applyBorder="1" applyAlignment="1">
      <alignment vertical="center"/>
    </xf>
    <xf numFmtId="0" fontId="43" fillId="46" borderId="45" xfId="0" applyFont="1" applyFill="1" applyBorder="1" applyAlignment="1">
      <alignment vertical="center"/>
    </xf>
    <xf numFmtId="0" fontId="0" fillId="0" borderId="0" xfId="0" applyNumberFormat="1" applyFont="1" applyAlignment="1">
      <alignment horizontal="center" vertical="center" wrapText="1"/>
    </xf>
    <xf numFmtId="172" fontId="57" fillId="0" borderId="0" xfId="1" applyNumberFormat="1" applyFont="1" applyAlignment="1"/>
    <xf numFmtId="0" fontId="58" fillId="0" borderId="0" xfId="0" applyFont="1" applyAlignment="1"/>
    <xf numFmtId="43" fontId="58" fillId="0" borderId="0" xfId="1" applyFont="1" applyAlignment="1"/>
    <xf numFmtId="43" fontId="58" fillId="33" borderId="0" xfId="1" applyFont="1" applyFill="1" applyAlignment="1"/>
    <xf numFmtId="0" fontId="58" fillId="33" borderId="0" xfId="0" applyFont="1" applyFill="1" applyAlignment="1"/>
    <xf numFmtId="172" fontId="58" fillId="0" borderId="0" xfId="0" applyNumberFormat="1" applyFont="1" applyFill="1" applyAlignment="1"/>
    <xf numFmtId="0" fontId="0" fillId="0" borderId="0" xfId="0" applyFont="1" applyAlignment="1"/>
    <xf numFmtId="0" fontId="58" fillId="0" borderId="0" xfId="0" applyFont="1" applyAlignment="1">
      <alignment horizontal="center"/>
    </xf>
    <xf numFmtId="0" fontId="0" fillId="0" borderId="0" xfId="0" pivotButton="1" applyFont="1" applyAlignment="1">
      <alignment vertical="center" wrapText="1"/>
    </xf>
    <xf numFmtId="0" fontId="0" fillId="37" borderId="0" xfId="0" applyFont="1" applyFill="1" applyAlignment="1"/>
    <xf numFmtId="0" fontId="0" fillId="0" borderId="0" xfId="0"/>
    <xf numFmtId="0" fontId="0" fillId="0" borderId="0" xfId="0" applyAlignment="1">
      <alignment horizontal="center" vertical="center" wrapText="1"/>
    </xf>
    <xf numFmtId="1" fontId="0" fillId="0" borderId="0" xfId="0" applyNumberFormat="1" applyFont="1" applyAlignment="1"/>
    <xf numFmtId="0" fontId="57" fillId="33" borderId="0" xfId="0" applyFont="1" applyFill="1"/>
    <xf numFmtId="0" fontId="0" fillId="0" borderId="0" xfId="0" applyFont="1" applyAlignment="1"/>
    <xf numFmtId="0" fontId="0" fillId="0" borderId="0" xfId="0" pivotButton="1" applyFont="1" applyAlignment="1">
      <alignment horizontal="center"/>
    </xf>
    <xf numFmtId="0" fontId="6" fillId="0" borderId="0" xfId="0" applyFont="1" applyAlignment="1">
      <alignment horizontal="left" vertical="center" indent="1"/>
    </xf>
    <xf numFmtId="0" fontId="11" fillId="0" borderId="0" xfId="0" applyFont="1" applyAlignment="1">
      <alignment horizontal="left" indent="1"/>
    </xf>
    <xf numFmtId="0" fontId="11" fillId="0" borderId="0" xfId="0" applyFont="1" applyAlignment="1">
      <alignment horizontal="left" vertical="center" indent="1"/>
    </xf>
    <xf numFmtId="171" fontId="11" fillId="0" borderId="0" xfId="0" applyNumberFormat="1" applyFont="1" applyAlignment="1">
      <alignment horizontal="left" indent="1"/>
    </xf>
    <xf numFmtId="168" fontId="11" fillId="0" borderId="0" xfId="0" applyNumberFormat="1" applyFont="1" applyAlignment="1">
      <alignment horizontal="left" indent="1"/>
    </xf>
    <xf numFmtId="3" fontId="11" fillId="0" borderId="0" xfId="0" applyNumberFormat="1" applyFont="1" applyAlignment="1">
      <alignment horizontal="left" indent="1"/>
    </xf>
    <xf numFmtId="172" fontId="11" fillId="0" borderId="0" xfId="1" applyNumberFormat="1" applyFont="1" applyAlignment="1">
      <alignment horizontal="left" indent="1"/>
    </xf>
    <xf numFmtId="171" fontId="11" fillId="0" borderId="0" xfId="0" applyNumberFormat="1" applyFont="1" applyAlignment="1">
      <alignment horizontal="left" vertical="center" indent="1"/>
    </xf>
    <xf numFmtId="0" fontId="11" fillId="0" borderId="0" xfId="0" applyFont="1" applyAlignment="1">
      <alignment horizontal="left" wrapText="1" indent="1"/>
    </xf>
    <xf numFmtId="0" fontId="22" fillId="0" borderId="33" xfId="0" applyFont="1" applyBorder="1" applyAlignment="1">
      <alignment vertical="center"/>
    </xf>
    <xf numFmtId="0" fontId="29" fillId="0" borderId="10" xfId="0" applyFont="1" applyBorder="1" applyAlignment="1"/>
    <xf numFmtId="0" fontId="29" fillId="0" borderId="4" xfId="0" applyFont="1" applyBorder="1" applyAlignment="1"/>
    <xf numFmtId="0" fontId="0" fillId="0" borderId="0" xfId="0" applyFont="1" applyAlignment="1">
      <alignment horizontal="left" indent="2"/>
    </xf>
    <xf numFmtId="0" fontId="22" fillId="0" borderId="10" xfId="0" applyFont="1" applyBorder="1" applyAlignment="1">
      <alignment horizontal="center" vertical="center" wrapText="1"/>
    </xf>
    <xf numFmtId="0" fontId="4" fillId="0" borderId="33" xfId="0" applyFont="1" applyBorder="1" applyAlignment="1">
      <alignment horizontal="center" vertical="center" wrapText="1"/>
    </xf>
    <xf numFmtId="0" fontId="0" fillId="0" borderId="0" xfId="0" applyFont="1" applyAlignment="1"/>
    <xf numFmtId="0" fontId="59" fillId="0" borderId="46" xfId="0" applyFont="1" applyBorder="1" applyAlignment="1">
      <alignment horizontal="left" indent="1"/>
    </xf>
    <xf numFmtId="0" fontId="57" fillId="34" borderId="0" xfId="0" applyFont="1" applyFill="1" applyAlignment="1"/>
    <xf numFmtId="0" fontId="26" fillId="0" borderId="0" xfId="0" applyFont="1" applyAlignment="1">
      <alignment wrapText="1"/>
    </xf>
    <xf numFmtId="0" fontId="57" fillId="36" borderId="0" xfId="0" applyFont="1" applyFill="1" applyAlignment="1">
      <alignment horizontal="center" vertical="center" wrapText="1"/>
    </xf>
    <xf numFmtId="4" fontId="0" fillId="0" borderId="33" xfId="0" applyNumberFormat="1" applyBorder="1"/>
    <xf numFmtId="4" fontId="0" fillId="41" borderId="33" xfId="0" applyNumberFormat="1" applyFill="1" applyBorder="1"/>
    <xf numFmtId="0" fontId="0" fillId="0" borderId="33" xfId="0" applyBorder="1"/>
    <xf numFmtId="4" fontId="0" fillId="0" borderId="0" xfId="0" applyNumberFormat="1" applyFont="1" applyAlignment="1"/>
    <xf numFmtId="0" fontId="0" fillId="33" borderId="0" xfId="0" applyFont="1" applyFill="1" applyAlignment="1">
      <alignment horizontal="left" indent="1"/>
    </xf>
    <xf numFmtId="172" fontId="0" fillId="33" borderId="0" xfId="0" applyNumberFormat="1" applyFont="1" applyFill="1" applyAlignment="1"/>
    <xf numFmtId="0" fontId="0" fillId="0" borderId="4" xfId="2" applyFont="1"/>
    <xf numFmtId="0" fontId="0" fillId="0" borderId="4" xfId="2" applyFont="1" applyAlignment="1">
      <alignment horizontal="center"/>
    </xf>
    <xf numFmtId="174" fontId="26" fillId="41" borderId="33" xfId="2" applyNumberFormat="1" applyFont="1" applyFill="1" applyBorder="1" applyAlignment="1">
      <alignment horizontal="center"/>
    </xf>
    <xf numFmtId="174" fontId="26" fillId="41" borderId="33" xfId="2" applyNumberFormat="1" applyFont="1" applyFill="1" applyBorder="1" applyAlignment="1">
      <alignment horizontal="right"/>
    </xf>
    <xf numFmtId="0" fontId="26" fillId="41" borderId="33" xfId="2" applyFont="1" applyFill="1" applyBorder="1"/>
    <xf numFmtId="0" fontId="26" fillId="41" borderId="33" xfId="2" applyFont="1" applyFill="1" applyBorder="1" applyAlignment="1">
      <alignment horizontal="left"/>
    </xf>
    <xf numFmtId="174" fontId="26" fillId="0" borderId="33" xfId="2" applyNumberFormat="1" applyFont="1" applyBorder="1" applyAlignment="1">
      <alignment horizontal="center"/>
    </xf>
    <xf numFmtId="174" fontId="0" fillId="0" borderId="33" xfId="2" applyNumberFormat="1" applyFont="1" applyBorder="1"/>
    <xf numFmtId="0" fontId="26" fillId="0" borderId="33" xfId="2" applyFont="1" applyBorder="1"/>
    <xf numFmtId="174" fontId="26" fillId="0" borderId="33" xfId="2" applyNumberFormat="1" applyFont="1" applyBorder="1" applyAlignment="1">
      <alignment horizontal="center" vertical="top"/>
    </xf>
    <xf numFmtId="174" fontId="0" fillId="0" borderId="33" xfId="2" applyNumberFormat="1" applyFont="1" applyBorder="1" applyAlignment="1">
      <alignment vertical="top"/>
    </xf>
    <xf numFmtId="0" fontId="0" fillId="0" borderId="33" xfId="2" applyFont="1" applyBorder="1" applyAlignment="1">
      <alignment vertical="top" wrapText="1"/>
    </xf>
    <xf numFmtId="0" fontId="26" fillId="0" borderId="33" xfId="2" applyFont="1" applyBorder="1" applyAlignment="1">
      <alignment vertical="top"/>
    </xf>
    <xf numFmtId="0" fontId="26" fillId="0" borderId="33" xfId="2" applyFont="1" applyBorder="1" applyAlignment="1">
      <alignment vertical="top" wrapText="1"/>
    </xf>
    <xf numFmtId="7" fontId="0" fillId="0" borderId="33" xfId="2" applyNumberFormat="1" applyFont="1" applyBorder="1" applyAlignment="1">
      <alignment vertical="top"/>
    </xf>
    <xf numFmtId="0" fontId="57" fillId="58" borderId="33" xfId="2" applyFont="1" applyFill="1" applyBorder="1" applyAlignment="1">
      <alignment horizontal="center"/>
    </xf>
    <xf numFmtId="0" fontId="26" fillId="0" borderId="4" xfId="2" applyFont="1"/>
    <xf numFmtId="0" fontId="57" fillId="0" borderId="4" xfId="2" applyFont="1"/>
    <xf numFmtId="0" fontId="57" fillId="59" borderId="33" xfId="2" applyFont="1" applyFill="1" applyBorder="1" applyAlignment="1">
      <alignment horizontal="center"/>
    </xf>
    <xf numFmtId="0" fontId="13" fillId="50" borderId="0" xfId="0" applyFont="1" applyFill="1" applyAlignment="1">
      <alignment horizontal="left" vertical="center"/>
    </xf>
    <xf numFmtId="0" fontId="13" fillId="50" borderId="0" xfId="0" applyFont="1" applyFill="1" applyAlignment="1">
      <alignment horizontal="center" vertical="center"/>
    </xf>
    <xf numFmtId="0" fontId="61" fillId="28"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7" xfId="0" applyFont="1" applyBorder="1" applyAlignment="1">
      <alignment horizontal="center" vertical="center" wrapText="1"/>
    </xf>
    <xf numFmtId="0" fontId="13" fillId="0" borderId="1" xfId="0" applyFont="1" applyBorder="1"/>
    <xf numFmtId="0" fontId="62" fillId="0" borderId="0" xfId="0" applyFont="1" applyAlignment="1"/>
    <xf numFmtId="0" fontId="52" fillId="33" borderId="33" xfId="0" applyFont="1" applyFill="1" applyBorder="1" applyAlignment="1">
      <alignment vertical="center"/>
    </xf>
    <xf numFmtId="0" fontId="13" fillId="33" borderId="0" xfId="0" applyFont="1" applyFill="1" applyAlignment="1">
      <alignment horizontal="center" vertical="center"/>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3" fontId="13" fillId="0" borderId="3" xfId="0" applyNumberFormat="1" applyFont="1" applyBorder="1" applyAlignment="1">
      <alignment horizontal="center" vertical="center" wrapText="1"/>
    </xf>
    <xf numFmtId="0" fontId="13" fillId="0" borderId="3" xfId="0" applyFont="1" applyBorder="1" applyAlignment="1">
      <alignment horizontal="center" vertical="center" wrapText="1"/>
    </xf>
    <xf numFmtId="171" fontId="13" fillId="0" borderId="3" xfId="0" applyNumberFormat="1" applyFont="1" applyBorder="1" applyAlignment="1">
      <alignment horizontal="center" vertical="center"/>
    </xf>
    <xf numFmtId="0" fontId="13" fillId="0" borderId="3" xfId="0" applyFont="1" applyBorder="1" applyAlignment="1">
      <alignment horizontal="center" vertical="center"/>
    </xf>
    <xf numFmtId="0" fontId="62" fillId="50" borderId="0" xfId="0" applyFont="1" applyFill="1" applyAlignment="1">
      <alignment horizontal="center" vertical="center"/>
    </xf>
    <xf numFmtId="0" fontId="13" fillId="0" borderId="7" xfId="0" applyFont="1" applyFill="1" applyBorder="1" applyAlignment="1">
      <alignment horizontal="center" vertical="center" wrapText="1"/>
    </xf>
    <xf numFmtId="1" fontId="13" fillId="0" borderId="1" xfId="0" applyNumberFormat="1" applyFont="1" applyBorder="1" applyAlignment="1">
      <alignment horizontal="center" vertical="center"/>
    </xf>
    <xf numFmtId="0" fontId="13" fillId="0" borderId="33" xfId="0" applyFont="1" applyFill="1" applyBorder="1" applyAlignment="1">
      <alignment horizontal="center" vertical="center" wrapText="1"/>
    </xf>
    <xf numFmtId="3" fontId="13" fillId="0" borderId="3" xfId="0" applyNumberFormat="1" applyFont="1" applyFill="1" applyBorder="1" applyAlignment="1">
      <alignment horizontal="center" vertical="center" wrapText="1"/>
    </xf>
    <xf numFmtId="0" fontId="4" fillId="0" borderId="4" xfId="0" applyFont="1" applyBorder="1" applyAlignment="1">
      <alignment horizontal="center" vertical="center" wrapText="1"/>
    </xf>
    <xf numFmtId="0" fontId="0" fillId="0" borderId="46" xfId="0" applyNumberFormat="1" applyFont="1" applyBorder="1" applyAlignment="1">
      <alignment horizontal="center" vertical="center"/>
    </xf>
    <xf numFmtId="0" fontId="0" fillId="0" borderId="46" xfId="0" applyNumberFormat="1" applyFont="1" applyBorder="1" applyAlignment="1">
      <alignment horizontal="center"/>
    </xf>
    <xf numFmtId="0" fontId="0" fillId="0" borderId="46" xfId="0" applyFont="1" applyBorder="1" applyAlignment="1">
      <alignment horizontal="left" vertical="center" wrapText="1"/>
    </xf>
    <xf numFmtId="0" fontId="0" fillId="0" borderId="46" xfId="0" applyFont="1" applyBorder="1" applyAlignment="1">
      <alignment horizontal="left"/>
    </xf>
    <xf numFmtId="0" fontId="41" fillId="16" borderId="1" xfId="0" applyFont="1" applyFill="1" applyBorder="1" applyAlignment="1">
      <alignment horizontal="center" vertical="center" wrapText="1"/>
    </xf>
    <xf numFmtId="0" fontId="63" fillId="16" borderId="1" xfId="0" applyFont="1" applyFill="1" applyBorder="1" applyAlignment="1">
      <alignment horizontal="center" vertical="center" wrapText="1"/>
    </xf>
    <xf numFmtId="0" fontId="44" fillId="16" borderId="1" xfId="0" applyFont="1" applyFill="1" applyBorder="1" applyAlignment="1">
      <alignment horizontal="center" vertical="center" wrapText="1"/>
    </xf>
    <xf numFmtId="0" fontId="0" fillId="0" borderId="1" xfId="0" applyFont="1" applyBorder="1" applyAlignment="1"/>
    <xf numFmtId="0" fontId="64" fillId="0" borderId="4" xfId="0" applyFont="1" applyBorder="1" applyAlignment="1"/>
    <xf numFmtId="0" fontId="64" fillId="0" borderId="0" xfId="0" applyFont="1" applyAlignment="1"/>
    <xf numFmtId="0" fontId="64" fillId="0" borderId="2" xfId="0" applyFont="1" applyBorder="1" applyAlignment="1">
      <alignment vertical="top" wrapText="1"/>
    </xf>
    <xf numFmtId="0" fontId="65" fillId="0" borderId="4" xfId="0" applyFont="1" applyBorder="1" applyAlignment="1">
      <alignment horizontal="center" vertical="top" wrapText="1"/>
    </xf>
    <xf numFmtId="0" fontId="65" fillId="0" borderId="0" xfId="0" applyFont="1" applyAlignment="1">
      <alignment horizontal="center" vertical="top" wrapText="1"/>
    </xf>
    <xf numFmtId="0" fontId="18" fillId="16" borderId="1" xfId="0" applyFont="1" applyFill="1" applyBorder="1" applyAlignment="1">
      <alignment horizontal="center" vertical="center" wrapText="1"/>
    </xf>
    <xf numFmtId="0" fontId="64" fillId="0" borderId="7" xfId="0" applyFont="1" applyBorder="1" applyAlignment="1">
      <alignment vertical="top" wrapText="1"/>
    </xf>
    <xf numFmtId="0" fontId="64" fillId="0" borderId="0" xfId="0" applyFont="1" applyAlignment="1">
      <alignment horizontal="left"/>
    </xf>
    <xf numFmtId="0" fontId="64" fillId="0" borderId="1" xfId="0" applyFont="1" applyBorder="1" applyAlignment="1">
      <alignment horizontal="center"/>
    </xf>
    <xf numFmtId="0" fontId="41" fillId="61" borderId="1" xfId="0" applyFont="1" applyFill="1" applyBorder="1" applyAlignment="1">
      <alignment horizontal="center" vertical="center" wrapText="1"/>
    </xf>
    <xf numFmtId="0" fontId="0" fillId="0" borderId="4" xfId="0" applyFont="1" applyBorder="1" applyAlignment="1">
      <alignment vertical="top"/>
    </xf>
    <xf numFmtId="0" fontId="0" fillId="0" borderId="0" xfId="0" applyFont="1" applyAlignment="1">
      <alignment vertical="top"/>
    </xf>
    <xf numFmtId="0" fontId="41" fillId="17" borderId="1" xfId="0" applyFont="1" applyFill="1" applyBorder="1" applyAlignment="1">
      <alignment horizontal="center" vertical="center" wrapText="1"/>
    </xf>
    <xf numFmtId="0" fontId="41" fillId="17" borderId="3" xfId="0" applyFont="1" applyFill="1" applyBorder="1" applyAlignment="1">
      <alignment horizontal="center" vertical="center" wrapText="1"/>
    </xf>
    <xf numFmtId="0" fontId="18" fillId="17" borderId="1" xfId="0" applyFont="1" applyFill="1" applyBorder="1" applyAlignment="1">
      <alignment horizontal="center" vertical="center" wrapText="1"/>
    </xf>
    <xf numFmtId="0" fontId="65" fillId="0" borderId="4" xfId="0" applyFont="1" applyBorder="1" applyAlignment="1">
      <alignment horizontal="center" vertical="center" wrapText="1"/>
    </xf>
    <xf numFmtId="0" fontId="6" fillId="15" borderId="1" xfId="0" applyFont="1" applyFill="1" applyBorder="1" applyAlignment="1">
      <alignment horizontal="center" vertical="center" wrapText="1"/>
    </xf>
    <xf numFmtId="0" fontId="64" fillId="0" borderId="0" xfId="0" pivotButton="1" applyFont="1" applyAlignment="1">
      <alignment horizontal="center"/>
    </xf>
    <xf numFmtId="0" fontId="6" fillId="0" borderId="0" xfId="0" applyFont="1" applyAlignment="1">
      <alignment horizontal="center" vertical="center" wrapText="1"/>
    </xf>
    <xf numFmtId="0" fontId="0" fillId="0" borderId="5" xfId="0" applyFont="1" applyBorder="1" applyAlignment="1"/>
    <xf numFmtId="0" fontId="64" fillId="0" borderId="7" xfId="0" applyFont="1" applyBorder="1" applyAlignment="1">
      <alignment horizontal="center" vertical="center"/>
    </xf>
    <xf numFmtId="0" fontId="64" fillId="0" borderId="10" xfId="0" applyFont="1" applyBorder="1" applyAlignment="1">
      <alignment horizontal="center" vertical="center"/>
    </xf>
    <xf numFmtId="0" fontId="64" fillId="0" borderId="1" xfId="0" applyFont="1" applyBorder="1" applyAlignment="1">
      <alignment horizontal="center" vertical="center"/>
    </xf>
    <xf numFmtId="0" fontId="64" fillId="0" borderId="27" xfId="0" applyFont="1" applyBorder="1" applyAlignment="1">
      <alignment horizontal="center" vertical="top"/>
    </xf>
    <xf numFmtId="0" fontId="64" fillId="0" borderId="4" xfId="0" applyFont="1" applyBorder="1" applyAlignment="1">
      <alignment vertical="top" wrapText="1"/>
    </xf>
    <xf numFmtId="0" fontId="64" fillId="0" borderId="7" xfId="0" applyFont="1" applyBorder="1" applyAlignment="1">
      <alignment horizontal="center" vertical="top"/>
    </xf>
    <xf numFmtId="0" fontId="64" fillId="0" borderId="7" xfId="0" applyFont="1" applyBorder="1" applyAlignment="1">
      <alignment horizontal="center"/>
    </xf>
    <xf numFmtId="0" fontId="64" fillId="42" borderId="1" xfId="0" applyFont="1" applyFill="1" applyBorder="1" applyAlignment="1">
      <alignment horizontal="center" vertical="center"/>
    </xf>
    <xf numFmtId="0" fontId="64" fillId="42" borderId="7" xfId="0" applyFont="1" applyFill="1" applyBorder="1" applyAlignment="1">
      <alignment horizontal="center" vertical="center"/>
    </xf>
    <xf numFmtId="0" fontId="0" fillId="0" borderId="31" xfId="0" applyFont="1" applyBorder="1" applyAlignment="1"/>
    <xf numFmtId="0" fontId="65" fillId="62" borderId="3" xfId="0" applyFont="1" applyFill="1" applyBorder="1" applyAlignment="1">
      <alignment horizontal="center" vertical="center" wrapText="1"/>
    </xf>
    <xf numFmtId="0" fontId="69" fillId="0" borderId="1" xfId="0" applyFont="1" applyBorder="1" applyAlignment="1">
      <alignment horizontal="left" vertical="top" wrapText="1"/>
    </xf>
    <xf numFmtId="0" fontId="0" fillId="0" borderId="4" xfId="0" applyFont="1" applyBorder="1" applyAlignment="1">
      <alignment horizontal="left"/>
    </xf>
    <xf numFmtId="0" fontId="0" fillId="0" borderId="0" xfId="0" applyFont="1" applyAlignment="1">
      <alignment horizontal="left" vertical="top"/>
    </xf>
    <xf numFmtId="0" fontId="0" fillId="0" borderId="4" xfId="0" applyFont="1" applyBorder="1" applyAlignment="1">
      <alignment horizontal="left" vertical="top"/>
    </xf>
    <xf numFmtId="0" fontId="64" fillId="0" borderId="29" xfId="0" applyFont="1" applyBorder="1" applyAlignment="1">
      <alignment horizontal="left" vertical="top"/>
    </xf>
    <xf numFmtId="0" fontId="0" fillId="0" borderId="7" xfId="0" applyFont="1" applyBorder="1" applyAlignment="1"/>
    <xf numFmtId="0" fontId="64" fillId="42" borderId="27" xfId="0" applyFont="1" applyFill="1" applyBorder="1" applyAlignment="1">
      <alignment horizontal="center" vertical="center"/>
    </xf>
    <xf numFmtId="0" fontId="71" fillId="0" borderId="0" xfId="0" applyFont="1" applyAlignment="1"/>
    <xf numFmtId="0" fontId="71" fillId="0" borderId="4" xfId="0" applyFont="1" applyBorder="1" applyAlignment="1"/>
    <xf numFmtId="0" fontId="70" fillId="0" borderId="5" xfId="0" applyFont="1" applyBorder="1" applyAlignment="1">
      <alignment horizontal="center" vertical="top"/>
    </xf>
    <xf numFmtId="0" fontId="64" fillId="0" borderId="12" xfId="0" applyFont="1" applyBorder="1" applyAlignment="1">
      <alignment horizontal="center" vertical="center"/>
    </xf>
    <xf numFmtId="0" fontId="0" fillId="0" borderId="0" xfId="0" applyFont="1" applyAlignment="1">
      <alignment horizontal="center" vertical="top"/>
    </xf>
    <xf numFmtId="0" fontId="0" fillId="0" borderId="4" xfId="0" applyFont="1" applyBorder="1" applyAlignment="1">
      <alignment horizontal="center" vertical="top"/>
    </xf>
    <xf numFmtId="0" fontId="64" fillId="0" borderId="12" xfId="0" applyFont="1" applyBorder="1" applyAlignment="1">
      <alignment vertical="top" wrapText="1"/>
    </xf>
    <xf numFmtId="0" fontId="0" fillId="64" borderId="1" xfId="0" applyFont="1" applyFill="1" applyBorder="1" applyAlignment="1"/>
    <xf numFmtId="0" fontId="64" fillId="36" borderId="1" xfId="0" applyFont="1" applyFill="1" applyBorder="1" applyAlignment="1">
      <alignment horizontal="center" vertical="center" wrapText="1"/>
    </xf>
    <xf numFmtId="0" fontId="64" fillId="0" borderId="2" xfId="0" applyFont="1" applyBorder="1" applyAlignment="1">
      <alignment vertical="top"/>
    </xf>
    <xf numFmtId="0" fontId="64" fillId="0" borderId="31" xfId="0" applyFont="1" applyBorder="1" applyAlignment="1">
      <alignment vertical="top" wrapText="1"/>
    </xf>
    <xf numFmtId="0" fontId="69" fillId="0" borderId="5" xfId="0" applyFont="1" applyBorder="1" applyAlignment="1">
      <alignment horizontal="center" vertical="top"/>
    </xf>
    <xf numFmtId="0" fontId="64" fillId="0" borderId="9" xfId="0" applyFont="1" applyFill="1" applyBorder="1" applyAlignment="1">
      <alignment horizontal="left" vertical="top"/>
    </xf>
    <xf numFmtId="0" fontId="0" fillId="0" borderId="0" xfId="0" applyFont="1" applyAlignment="1"/>
    <xf numFmtId="0" fontId="0" fillId="0" borderId="0" xfId="0" applyFont="1" applyAlignment="1"/>
    <xf numFmtId="0" fontId="65" fillId="60" borderId="1" xfId="0" applyFont="1" applyFill="1" applyBorder="1" applyAlignment="1">
      <alignment horizontal="center" vertical="center" wrapText="1"/>
    </xf>
    <xf numFmtId="0" fontId="72" fillId="60" borderId="1" xfId="0" applyFont="1" applyFill="1" applyBorder="1" applyAlignment="1">
      <alignment horizontal="center" vertical="center" wrapText="1"/>
    </xf>
    <xf numFmtId="0" fontId="69" fillId="0" borderId="1" xfId="0" applyFont="1" applyFill="1" applyBorder="1" applyAlignment="1">
      <alignment horizontal="left" vertical="top" wrapText="1"/>
    </xf>
    <xf numFmtId="0" fontId="69" fillId="0" borderId="5" xfId="0" applyFont="1" applyFill="1" applyBorder="1" applyAlignment="1">
      <alignment horizontal="left" vertical="top" wrapText="1"/>
    </xf>
    <xf numFmtId="0" fontId="69" fillId="0" borderId="31" xfId="0" applyFont="1" applyFill="1" applyBorder="1" applyAlignment="1">
      <alignment horizontal="left" vertical="top" wrapText="1"/>
    </xf>
    <xf numFmtId="0" fontId="69" fillId="0" borderId="11" xfId="0" applyFont="1" applyFill="1" applyBorder="1" applyAlignment="1">
      <alignment horizontal="left" vertical="top" wrapText="1"/>
    </xf>
    <xf numFmtId="0" fontId="69" fillId="0" borderId="7" xfId="0" applyFont="1" applyFill="1" applyBorder="1" applyAlignment="1">
      <alignment horizontal="left" vertical="top" wrapText="1"/>
    </xf>
    <xf numFmtId="0" fontId="69" fillId="0" borderId="27" xfId="0" applyFont="1" applyFill="1" applyBorder="1" applyAlignment="1">
      <alignment horizontal="left" vertical="top" wrapText="1"/>
    </xf>
    <xf numFmtId="0" fontId="69" fillId="0" borderId="1" xfId="0" applyFont="1" applyFill="1" applyBorder="1" applyAlignment="1">
      <alignment vertical="top" wrapText="1"/>
    </xf>
    <xf numFmtId="0" fontId="69" fillId="0" borderId="5" xfId="0" applyFont="1" applyFill="1" applyBorder="1" applyAlignment="1">
      <alignment vertical="top" wrapText="1"/>
    </xf>
    <xf numFmtId="0" fontId="69" fillId="0" borderId="7" xfId="0" applyFont="1" applyFill="1" applyBorder="1" applyAlignment="1">
      <alignment vertical="top" wrapText="1"/>
    </xf>
    <xf numFmtId="0" fontId="65" fillId="62" borderId="10" xfId="0" applyFont="1" applyFill="1" applyBorder="1" applyAlignment="1">
      <alignment horizontal="center" vertical="center" wrapText="1"/>
    </xf>
    <xf numFmtId="0" fontId="69" fillId="0" borderId="1" xfId="0" applyFont="1" applyFill="1" applyBorder="1" applyAlignment="1">
      <alignment vertical="top"/>
    </xf>
    <xf numFmtId="0" fontId="69" fillId="0" borderId="7" xfId="0" applyFont="1" applyFill="1" applyBorder="1" applyAlignment="1">
      <alignment vertical="top"/>
    </xf>
    <xf numFmtId="0" fontId="69" fillId="0" borderId="1" xfId="0" applyFont="1" applyFill="1" applyBorder="1" applyAlignment="1">
      <alignment horizontal="left" vertical="top"/>
    </xf>
    <xf numFmtId="0" fontId="69" fillId="0" borderId="7" xfId="0" applyFont="1" applyFill="1" applyBorder="1" applyAlignment="1">
      <alignment horizontal="left" vertical="top"/>
    </xf>
    <xf numFmtId="0" fontId="0" fillId="0" borderId="0" xfId="0" applyFont="1" applyAlignment="1"/>
    <xf numFmtId="0" fontId="69" fillId="0" borderId="3" xfId="0" applyFont="1" applyFill="1" applyBorder="1" applyAlignment="1">
      <alignment horizontal="left" vertical="top" wrapText="1"/>
    </xf>
    <xf numFmtId="0" fontId="69" fillId="0" borderId="3" xfId="0" applyFont="1" applyFill="1" applyBorder="1" applyAlignment="1">
      <alignment vertical="top"/>
    </xf>
    <xf numFmtId="0" fontId="69" fillId="0" borderId="10" xfId="0" applyFont="1" applyFill="1" applyBorder="1" applyAlignment="1">
      <alignment vertical="top" wrapText="1"/>
    </xf>
    <xf numFmtId="0" fontId="69" fillId="0" borderId="3" xfId="0" applyFont="1" applyFill="1" applyBorder="1" applyAlignment="1">
      <alignment horizontal="left" vertical="top"/>
    </xf>
    <xf numFmtId="0" fontId="69" fillId="0" borderId="10" xfId="0" applyFont="1" applyFill="1" applyBorder="1" applyAlignment="1">
      <alignment horizontal="left" vertical="top" wrapText="1"/>
    </xf>
    <xf numFmtId="0" fontId="69" fillId="0" borderId="10" xfId="0" applyFont="1" applyFill="1" applyBorder="1" applyAlignment="1">
      <alignment horizontal="left" vertical="top"/>
    </xf>
    <xf numFmtId="0" fontId="0" fillId="0" borderId="0" xfId="0" applyFont="1" applyAlignment="1"/>
    <xf numFmtId="0" fontId="69" fillId="0" borderId="5" xfId="0" applyFont="1" applyFill="1" applyBorder="1" applyAlignment="1">
      <alignment horizontal="left" vertical="top"/>
    </xf>
    <xf numFmtId="0" fontId="69" fillId="0" borderId="3" xfId="0" applyFont="1" applyFill="1" applyBorder="1" applyAlignment="1">
      <alignment vertical="top" wrapText="1"/>
    </xf>
    <xf numFmtId="0" fontId="0" fillId="0" borderId="4" xfId="0" applyFont="1" applyFill="1" applyBorder="1" applyAlignment="1"/>
    <xf numFmtId="0" fontId="0" fillId="0" borderId="1" xfId="0" applyFont="1" applyFill="1" applyBorder="1" applyAlignment="1"/>
    <xf numFmtId="0" fontId="69" fillId="0" borderId="5" xfId="0" applyFont="1" applyFill="1" applyBorder="1" applyAlignment="1">
      <alignment vertical="top"/>
    </xf>
    <xf numFmtId="0" fontId="0" fillId="0" borderId="0" xfId="0" applyFont="1" applyAlignment="1"/>
    <xf numFmtId="0" fontId="64" fillId="0" borderId="0" xfId="0" applyFont="1" applyAlignment="1">
      <alignment vertical="top" wrapText="1"/>
    </xf>
    <xf numFmtId="0" fontId="0" fillId="42" borderId="4" xfId="0" applyFont="1" applyFill="1" applyBorder="1" applyAlignment="1"/>
    <xf numFmtId="0" fontId="64" fillId="42" borderId="1" xfId="0" applyFont="1" applyFill="1" applyBorder="1" applyAlignment="1">
      <alignment vertical="top" wrapText="1"/>
    </xf>
    <xf numFmtId="0" fontId="64" fillId="42" borderId="29" xfId="0" applyFont="1" applyFill="1" applyBorder="1" applyAlignment="1">
      <alignment horizontal="left" vertical="top"/>
    </xf>
    <xf numFmtId="0" fontId="64" fillId="42" borderId="3" xfId="0" applyFont="1" applyFill="1" applyBorder="1" applyAlignment="1">
      <alignment vertical="top" wrapText="1"/>
    </xf>
    <xf numFmtId="0" fontId="64" fillId="42" borderId="1" xfId="0" applyFont="1" applyFill="1" applyBorder="1" applyAlignment="1">
      <alignment horizontal="center" vertical="top"/>
    </xf>
    <xf numFmtId="0" fontId="64" fillId="42" borderId="3" xfId="0" applyFont="1" applyFill="1" applyBorder="1" applyAlignment="1">
      <alignment horizontal="center" vertical="top"/>
    </xf>
    <xf numFmtId="0" fontId="64" fillId="42" borderId="3" xfId="0" applyFont="1" applyFill="1" applyBorder="1" applyAlignment="1">
      <alignment horizontal="left" vertical="top" wrapText="1"/>
    </xf>
    <xf numFmtId="0" fontId="0" fillId="0" borderId="0" xfId="0" applyFont="1" applyAlignment="1"/>
    <xf numFmtId="0" fontId="69" fillId="0" borderId="5" xfId="0" applyFont="1" applyBorder="1" applyAlignment="1">
      <alignment horizontal="left" vertical="top" wrapText="1"/>
    </xf>
    <xf numFmtId="0" fontId="64" fillId="0" borderId="27" xfId="0" applyFont="1" applyBorder="1" applyAlignment="1">
      <alignment horizontal="left" vertical="top" wrapText="1"/>
    </xf>
    <xf numFmtId="0" fontId="64" fillId="0" borderId="31" xfId="0" applyFont="1" applyBorder="1" applyAlignment="1">
      <alignment horizontal="left" vertical="top" wrapText="1"/>
    </xf>
    <xf numFmtId="0" fontId="64" fillId="0" borderId="5" xfId="0" applyFont="1" applyBorder="1" applyAlignment="1">
      <alignment horizontal="left" vertical="top"/>
    </xf>
    <xf numFmtId="0" fontId="0" fillId="0" borderId="0" xfId="0" applyFont="1" applyAlignment="1"/>
    <xf numFmtId="0" fontId="14" fillId="0" borderId="0" xfId="0" applyFont="1" applyFill="1" applyAlignment="1">
      <alignment horizontal="center" vertical="center"/>
    </xf>
    <xf numFmtId="0" fontId="14" fillId="0" borderId="10"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3" xfId="0" applyFont="1" applyFill="1" applyBorder="1" applyAlignment="1">
      <alignment horizontal="center" vertical="center" wrapText="1"/>
    </xf>
    <xf numFmtId="171" fontId="14" fillId="0" borderId="3"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20" fillId="0" borderId="0" xfId="0" applyFont="1" applyFill="1" applyAlignment="1"/>
    <xf numFmtId="0" fontId="0" fillId="0" borderId="0" xfId="0" applyFont="1" applyAlignment="1"/>
    <xf numFmtId="3" fontId="14" fillId="0" borderId="1" xfId="0" applyNumberFormat="1" applyFont="1" applyFill="1" applyBorder="1" applyAlignment="1">
      <alignment horizontal="center" vertical="center" wrapText="1"/>
    </xf>
    <xf numFmtId="3" fontId="0" fillId="0" borderId="0" xfId="0" applyNumberFormat="1" applyFont="1" applyAlignment="1">
      <alignment horizontal="right"/>
    </xf>
    <xf numFmtId="3" fontId="11" fillId="0" borderId="0" xfId="0" applyNumberFormat="1" applyFont="1" applyAlignment="1">
      <alignment horizontal="right" indent="1"/>
    </xf>
    <xf numFmtId="3" fontId="11" fillId="0" borderId="0" xfId="1" applyNumberFormat="1" applyFont="1" applyAlignment="1">
      <alignment horizontal="right" indent="1"/>
    </xf>
    <xf numFmtId="0" fontId="73" fillId="0" borderId="1" xfId="0" applyFont="1" applyBorder="1" applyAlignment="1">
      <alignment vertical="top" wrapText="1"/>
    </xf>
    <xf numFmtId="0" fontId="73" fillId="0" borderId="27" xfId="0" applyFont="1" applyBorder="1" applyAlignment="1">
      <alignment horizontal="left" vertical="top" wrapText="1"/>
    </xf>
    <xf numFmtId="0" fontId="64" fillId="0" borderId="0" xfId="0" applyFont="1" applyAlignment="1">
      <alignment vertical="center"/>
    </xf>
    <xf numFmtId="0" fontId="64" fillId="0" borderId="1" xfId="0" applyFont="1" applyBorder="1" applyAlignment="1">
      <alignment vertical="center"/>
    </xf>
    <xf numFmtId="0" fontId="64" fillId="0" borderId="6" xfId="0" applyFont="1" applyBorder="1" applyAlignment="1">
      <alignment vertical="center"/>
    </xf>
    <xf numFmtId="0" fontId="64" fillId="0" borderId="4" xfId="0" applyFont="1" applyBorder="1" applyAlignment="1">
      <alignment vertical="center"/>
    </xf>
    <xf numFmtId="0" fontId="0" fillId="0" borderId="0" xfId="0" applyFont="1" applyAlignment="1"/>
    <xf numFmtId="0" fontId="66" fillId="0" borderId="0" xfId="0" applyFont="1" applyAlignment="1">
      <alignment horizontal="center"/>
    </xf>
    <xf numFmtId="0" fontId="64" fillId="0" borderId="7" xfId="0" applyFont="1" applyBorder="1" applyAlignment="1">
      <alignment horizontal="left" vertical="top" wrapText="1"/>
    </xf>
    <xf numFmtId="0" fontId="74" fillId="0" borderId="0" xfId="0" applyFont="1" applyAlignment="1"/>
    <xf numFmtId="0" fontId="74" fillId="0" borderId="1" xfId="0" applyFont="1" applyBorder="1" applyAlignment="1"/>
    <xf numFmtId="0" fontId="74" fillId="0" borderId="4" xfId="0" applyFont="1" applyBorder="1" applyAlignment="1"/>
    <xf numFmtId="0" fontId="73" fillId="0" borderId="4" xfId="0" applyFont="1" applyBorder="1" applyAlignment="1">
      <alignment vertical="top" wrapText="1"/>
    </xf>
    <xf numFmtId="0" fontId="73" fillId="0" borderId="0" xfId="0" applyFont="1" applyAlignment="1">
      <alignment vertical="top" wrapText="1"/>
    </xf>
    <xf numFmtId="0" fontId="64" fillId="49" borderId="1" xfId="0" applyFont="1" applyFill="1" applyBorder="1" applyAlignment="1">
      <alignment horizontal="center" vertical="center" wrapText="1"/>
    </xf>
    <xf numFmtId="0" fontId="64" fillId="66" borderId="1" xfId="0" applyFont="1" applyFill="1" applyBorder="1" applyAlignment="1">
      <alignment horizontal="center" vertical="center" wrapText="1"/>
    </xf>
    <xf numFmtId="0" fontId="0" fillId="0" borderId="4" xfId="0" applyFont="1" applyBorder="1" applyAlignment="1">
      <alignment horizontal="center" vertical="center" wrapText="1"/>
    </xf>
    <xf numFmtId="0" fontId="64" fillId="0" borderId="1" xfId="0" applyFont="1" applyBorder="1" applyAlignment="1">
      <alignment horizontal="center" vertical="center" wrapText="1"/>
    </xf>
    <xf numFmtId="0" fontId="0" fillId="0" borderId="4" xfId="0" applyFont="1" applyBorder="1" applyAlignment="1">
      <alignment wrapText="1"/>
    </xf>
    <xf numFmtId="0" fontId="64" fillId="62" borderId="1" xfId="0" applyFont="1" applyFill="1" applyBorder="1" applyAlignment="1">
      <alignment horizontal="center" vertical="center" wrapText="1"/>
    </xf>
    <xf numFmtId="0" fontId="0" fillId="0" borderId="4" xfId="0" applyFont="1" applyBorder="1" applyAlignment="1">
      <alignment vertical="center"/>
    </xf>
    <xf numFmtId="0" fontId="64" fillId="0" borderId="10" xfId="0" applyFont="1" applyBorder="1" applyAlignment="1">
      <alignment horizontal="center" vertical="center" wrapText="1"/>
    </xf>
    <xf numFmtId="0" fontId="64" fillId="42" borderId="1" xfId="0" applyFont="1" applyFill="1" applyBorder="1" applyAlignment="1">
      <alignment horizontal="center" vertical="center" wrapText="1"/>
    </xf>
    <xf numFmtId="0" fontId="64" fillId="0" borderId="31" xfId="0" applyFont="1" applyBorder="1" applyAlignment="1">
      <alignment horizontal="center" vertical="center"/>
    </xf>
    <xf numFmtId="0" fontId="64" fillId="0" borderId="30" xfId="0" applyFont="1" applyBorder="1" applyAlignment="1">
      <alignment horizontal="center" vertical="center"/>
    </xf>
    <xf numFmtId="0" fontId="64" fillId="0" borderId="2" xfId="0" applyFont="1" applyBorder="1" applyAlignment="1">
      <alignment horizontal="center" vertical="center"/>
    </xf>
    <xf numFmtId="0" fontId="64" fillId="0" borderId="29" xfId="0" applyFont="1" applyBorder="1" applyAlignment="1">
      <alignment horizontal="center" vertical="center"/>
    </xf>
    <xf numFmtId="0" fontId="64" fillId="0" borderId="27" xfId="0" applyFont="1" applyBorder="1" applyAlignment="1">
      <alignment horizontal="center" vertical="center"/>
    </xf>
    <xf numFmtId="0" fontId="0" fillId="0" borderId="7" xfId="0" applyFont="1" applyBorder="1" applyAlignment="1">
      <alignment vertical="center"/>
    </xf>
    <xf numFmtId="0" fontId="0" fillId="0" borderId="13" xfId="0" applyFont="1" applyBorder="1" applyAlignment="1">
      <alignment vertical="center"/>
    </xf>
    <xf numFmtId="0" fontId="0" fillId="0" borderId="6" xfId="0" applyFont="1" applyBorder="1" applyAlignment="1">
      <alignment vertical="center"/>
    </xf>
    <xf numFmtId="0" fontId="0" fillId="64" borderId="6" xfId="0" applyFont="1" applyFill="1" applyBorder="1" applyAlignment="1">
      <alignment vertical="center"/>
    </xf>
    <xf numFmtId="0" fontId="0" fillId="0" borderId="2" xfId="0" applyFont="1" applyBorder="1" applyAlignment="1">
      <alignment vertical="center"/>
    </xf>
    <xf numFmtId="0" fontId="64" fillId="64" borderId="1" xfId="0" applyFont="1" applyFill="1" applyBorder="1" applyAlignment="1">
      <alignment horizontal="center" vertical="center" wrapText="1"/>
    </xf>
    <xf numFmtId="0" fontId="64" fillId="64" borderId="10" xfId="0" applyFont="1" applyFill="1" applyBorder="1" applyAlignment="1">
      <alignment horizontal="center" vertical="center" wrapText="1"/>
    </xf>
    <xf numFmtId="0" fontId="74" fillId="0" borderId="6" xfId="0" applyFont="1" applyBorder="1" applyAlignment="1">
      <alignment vertical="center"/>
    </xf>
    <xf numFmtId="0" fontId="65" fillId="60" borderId="7" xfId="0" applyFont="1" applyFill="1" applyBorder="1" applyAlignment="1">
      <alignment horizontal="center" vertical="center" wrapText="1"/>
    </xf>
    <xf numFmtId="0" fontId="0" fillId="0" borderId="5" xfId="0" applyFont="1" applyBorder="1" applyAlignment="1">
      <alignment vertical="center"/>
    </xf>
    <xf numFmtId="0" fontId="0" fillId="0" borderId="1" xfId="0" applyFont="1" applyBorder="1" applyAlignment="1">
      <alignment vertical="center"/>
    </xf>
    <xf numFmtId="0" fontId="0" fillId="0" borderId="1" xfId="0" applyFont="1" applyFill="1" applyBorder="1" applyAlignment="1">
      <alignment vertical="center"/>
    </xf>
    <xf numFmtId="0" fontId="0" fillId="0" borderId="7" xfId="0" applyFont="1" applyFill="1" applyBorder="1" applyAlignment="1">
      <alignment vertical="center"/>
    </xf>
    <xf numFmtId="0" fontId="64" fillId="0" borderId="1" xfId="0" applyFont="1" applyBorder="1" applyAlignment="1">
      <alignment vertical="center" wrapText="1"/>
    </xf>
    <xf numFmtId="0" fontId="64" fillId="0" borderId="10" xfId="0" applyFont="1" applyBorder="1" applyAlignment="1">
      <alignment vertical="center" wrapText="1"/>
    </xf>
    <xf numFmtId="0" fontId="73" fillId="0" borderId="1" xfId="0" applyFont="1" applyBorder="1" applyAlignment="1">
      <alignment vertical="center" wrapText="1"/>
    </xf>
    <xf numFmtId="0" fontId="64" fillId="0" borderId="7" xfId="0" applyFont="1" applyBorder="1" applyAlignment="1">
      <alignment vertical="center" wrapText="1"/>
    </xf>
    <xf numFmtId="0" fontId="64" fillId="0" borderId="1" xfId="0" applyFont="1" applyFill="1" applyBorder="1" applyAlignment="1">
      <alignment horizontal="left" vertical="top" wrapText="1"/>
    </xf>
    <xf numFmtId="0" fontId="69" fillId="64" borderId="7" xfId="0" applyFont="1" applyFill="1" applyBorder="1" applyAlignment="1">
      <alignment vertical="top" wrapText="1"/>
    </xf>
    <xf numFmtId="0" fontId="0" fillId="0" borderId="0" xfId="0" applyFont="1" applyAlignment="1"/>
    <xf numFmtId="0" fontId="22" fillId="64" borderId="1" xfId="0" applyFont="1" applyFill="1" applyBorder="1" applyAlignment="1">
      <alignment horizontal="left" vertical="top" wrapText="1"/>
    </xf>
    <xf numFmtId="172" fontId="65" fillId="0" borderId="0" xfId="0" applyNumberFormat="1" applyFont="1" applyAlignment="1">
      <alignment vertical="top"/>
    </xf>
    <xf numFmtId="172" fontId="65" fillId="0" borderId="4" xfId="0" applyNumberFormat="1" applyFont="1" applyBorder="1" applyAlignment="1">
      <alignment vertical="top"/>
    </xf>
    <xf numFmtId="172" fontId="64" fillId="0" borderId="27" xfId="0" applyNumberFormat="1" applyFont="1" applyBorder="1" applyAlignment="1">
      <alignment horizontal="center" vertical="top" wrapText="1"/>
    </xf>
    <xf numFmtId="172" fontId="64" fillId="0" borderId="31" xfId="0" applyNumberFormat="1" applyFont="1" applyBorder="1" applyAlignment="1">
      <alignment horizontal="center" vertical="top" wrapText="1"/>
    </xf>
    <xf numFmtId="0" fontId="64" fillId="0" borderId="2" xfId="0" applyFont="1" applyBorder="1" applyAlignment="1">
      <alignment horizontal="left" vertical="top" wrapText="1"/>
    </xf>
    <xf numFmtId="172" fontId="65" fillId="60" borderId="1" xfId="0" applyNumberFormat="1" applyFont="1" applyFill="1" applyBorder="1" applyAlignment="1">
      <alignment horizontal="center" vertical="center" wrapText="1"/>
    </xf>
    <xf numFmtId="172" fontId="64" fillId="0" borderId="12" xfId="0" applyNumberFormat="1" applyFont="1" applyBorder="1" applyAlignment="1">
      <alignment horizontal="center" vertical="top" wrapText="1"/>
    </xf>
    <xf numFmtId="172" fontId="64" fillId="0" borderId="10" xfId="0" applyNumberFormat="1" applyFont="1" applyBorder="1" applyAlignment="1">
      <alignment vertical="top" wrapText="1"/>
    </xf>
    <xf numFmtId="172" fontId="64" fillId="0" borderId="31" xfId="0" applyNumberFormat="1" applyFont="1" applyBorder="1" applyAlignment="1">
      <alignment vertical="top" wrapText="1"/>
    </xf>
    <xf numFmtId="172" fontId="64" fillId="0" borderId="27" xfId="0" applyNumberFormat="1" applyFont="1" applyBorder="1" applyAlignment="1">
      <alignment horizontal="left" vertical="top" wrapText="1"/>
    </xf>
    <xf numFmtId="172" fontId="64" fillId="0" borderId="27" xfId="0" applyNumberFormat="1" applyFont="1" applyBorder="1" applyAlignment="1">
      <alignment horizontal="center" vertical="top"/>
    </xf>
    <xf numFmtId="172" fontId="64" fillId="0" borderId="4" xfId="0" applyNumberFormat="1" applyFont="1" applyBorder="1" applyAlignment="1">
      <alignment horizontal="center" vertical="top" wrapText="1"/>
    </xf>
    <xf numFmtId="172" fontId="64" fillId="0" borderId="10" xfId="0" applyNumberFormat="1" applyFont="1" applyBorder="1" applyAlignment="1">
      <alignment horizontal="center" vertical="top" wrapText="1"/>
    </xf>
    <xf numFmtId="0" fontId="75" fillId="0" borderId="1" xfId="0" applyFont="1" applyBorder="1" applyAlignment="1">
      <alignment vertical="top" wrapText="1"/>
    </xf>
    <xf numFmtId="0" fontId="64" fillId="0" borderId="1" xfId="0" applyFont="1" applyFill="1" applyBorder="1" applyAlignment="1">
      <alignment vertical="top" wrapText="1"/>
    </xf>
    <xf numFmtId="0" fontId="64" fillId="0" borderId="2" xfId="0" applyFont="1" applyFill="1" applyBorder="1" applyAlignment="1">
      <alignment vertical="top" wrapText="1"/>
    </xf>
    <xf numFmtId="0" fontId="64" fillId="0" borderId="10" xfId="0" applyFont="1" applyFill="1" applyBorder="1" applyAlignment="1">
      <alignment horizontal="center" vertical="center"/>
    </xf>
    <xf numFmtId="0" fontId="64" fillId="0" borderId="7" xfId="0" applyFont="1" applyFill="1" applyBorder="1" applyAlignment="1">
      <alignment horizontal="center" vertical="center"/>
    </xf>
    <xf numFmtId="0" fontId="64" fillId="0" borderId="1" xfId="0" applyFont="1" applyFill="1" applyBorder="1" applyAlignment="1">
      <alignment horizontal="center" vertical="center"/>
    </xf>
    <xf numFmtId="0" fontId="64" fillId="0" borderId="0" xfId="0" applyFont="1" applyAlignment="1">
      <alignment vertical="top"/>
    </xf>
    <xf numFmtId="0" fontId="65" fillId="60" borderId="29" xfId="0" applyFont="1" applyFill="1" applyBorder="1" applyAlignment="1">
      <alignment vertical="top" wrapText="1"/>
    </xf>
    <xf numFmtId="10" fontId="65" fillId="0" borderId="4" xfId="0" applyNumberFormat="1" applyFont="1" applyFill="1" applyBorder="1" applyAlignment="1">
      <alignment vertical="top"/>
    </xf>
    <xf numFmtId="0" fontId="65" fillId="0" borderId="4" xfId="0" applyFont="1" applyFill="1" applyBorder="1" applyAlignment="1">
      <alignment horizontal="center" vertical="center" wrapText="1"/>
    </xf>
    <xf numFmtId="0" fontId="65" fillId="0" borderId="4" xfId="0" applyFont="1" applyFill="1" applyBorder="1" applyAlignment="1">
      <alignment vertical="center" wrapText="1"/>
    </xf>
    <xf numFmtId="0" fontId="64" fillId="0" borderId="4" xfId="0" applyFont="1" applyFill="1" applyBorder="1" applyAlignment="1"/>
    <xf numFmtId="0" fontId="0" fillId="0" borderId="1" xfId="0" applyFont="1" applyBorder="1" applyAlignment="1">
      <alignment vertical="top"/>
    </xf>
    <xf numFmtId="0" fontId="77" fillId="67" borderId="1" xfId="0" applyFont="1" applyFill="1" applyBorder="1" applyAlignment="1">
      <alignment vertical="top"/>
    </xf>
    <xf numFmtId="0" fontId="0" fillId="0" borderId="1" xfId="0" applyFont="1" applyBorder="1" applyAlignment="1">
      <alignment vertical="top" wrapText="1"/>
    </xf>
    <xf numFmtId="0" fontId="77" fillId="0" borderId="0" xfId="0" applyFont="1" applyAlignment="1"/>
    <xf numFmtId="0" fontId="0" fillId="0" borderId="5" xfId="0" applyFont="1" applyBorder="1" applyAlignment="1">
      <alignment vertical="top" wrapText="1"/>
    </xf>
    <xf numFmtId="0" fontId="64" fillId="0" borderId="1" xfId="0" applyFont="1" applyBorder="1" applyAlignment="1">
      <alignment horizontal="center" vertical="top"/>
    </xf>
    <xf numFmtId="0" fontId="76" fillId="60" borderId="29" xfId="0" applyFont="1" applyFill="1" applyBorder="1" applyAlignment="1">
      <alignment horizontal="center" vertical="center" wrapText="1"/>
    </xf>
    <xf numFmtId="0" fontId="76" fillId="0" borderId="0" xfId="0" applyFont="1" applyAlignment="1">
      <alignment horizontal="center" vertical="center"/>
    </xf>
    <xf numFmtId="0" fontId="76" fillId="0" borderId="4" xfId="0" applyFont="1" applyBorder="1" applyAlignment="1">
      <alignment horizontal="center" vertical="center"/>
    </xf>
    <xf numFmtId="0" fontId="78" fillId="0" borderId="4" xfId="0" applyFont="1" applyBorder="1" applyAlignment="1">
      <alignment horizontal="center" vertical="center"/>
    </xf>
    <xf numFmtId="0" fontId="76" fillId="0" borderId="4" xfId="0" applyFont="1" applyFill="1" applyBorder="1" applyAlignment="1">
      <alignment horizontal="center" vertical="center"/>
    </xf>
    <xf numFmtId="172" fontId="64" fillId="0" borderId="0" xfId="0" applyNumberFormat="1" applyFont="1" applyAlignment="1">
      <alignment vertical="top"/>
    </xf>
    <xf numFmtId="172" fontId="64" fillId="0" borderId="4" xfId="0" applyNumberFormat="1" applyFont="1" applyBorder="1" applyAlignment="1">
      <alignment vertical="top"/>
    </xf>
    <xf numFmtId="172" fontId="64" fillId="60" borderId="1" xfId="0" applyNumberFormat="1" applyFont="1" applyFill="1" applyBorder="1" applyAlignment="1">
      <alignment horizontal="center" vertical="center" wrapText="1"/>
    </xf>
    <xf numFmtId="172" fontId="64" fillId="0" borderId="11" xfId="0" applyNumberFormat="1" applyFont="1" applyBorder="1" applyAlignment="1">
      <alignment vertical="top"/>
    </xf>
    <xf numFmtId="172" fontId="64" fillId="0" borderId="5" xfId="0" applyNumberFormat="1" applyFont="1" applyBorder="1" applyAlignment="1">
      <alignment vertical="top"/>
    </xf>
    <xf numFmtId="172" fontId="64" fillId="0" borderId="7" xfId="0" applyNumberFormat="1" applyFont="1" applyBorder="1" applyAlignment="1">
      <alignment vertical="top"/>
    </xf>
    <xf numFmtId="172" fontId="64" fillId="0" borderId="31" xfId="0" applyNumberFormat="1" applyFont="1" applyBorder="1" applyAlignment="1">
      <alignment vertical="top"/>
    </xf>
    <xf numFmtId="172" fontId="64" fillId="0" borderId="27" xfId="0" applyNumberFormat="1" applyFont="1" applyBorder="1" applyAlignment="1">
      <alignment vertical="top"/>
    </xf>
    <xf numFmtId="172" fontId="64" fillId="0" borderId="10" xfId="0" applyNumberFormat="1" applyFont="1" applyBorder="1" applyAlignment="1">
      <alignment vertical="top"/>
    </xf>
    <xf numFmtId="0" fontId="64" fillId="0" borderId="29" xfId="0" applyFont="1" applyBorder="1" applyAlignment="1">
      <alignment horizontal="center" vertical="top" wrapText="1"/>
    </xf>
    <xf numFmtId="0" fontId="0" fillId="0" borderId="0" xfId="0" applyFont="1" applyAlignment="1"/>
    <xf numFmtId="0" fontId="80" fillId="34" borderId="0" xfId="0" applyFont="1" applyFill="1" applyAlignment="1"/>
    <xf numFmtId="0" fontId="80" fillId="34" borderId="0" xfId="0" applyFont="1" applyFill="1" applyAlignment="1">
      <alignment horizontal="left" vertical="center" wrapText="1"/>
    </xf>
    <xf numFmtId="0" fontId="77" fillId="0" borderId="0" xfId="0" pivotButton="1" applyFont="1" applyAlignment="1">
      <alignment horizontal="center" vertical="center" wrapText="1"/>
    </xf>
    <xf numFmtId="0" fontId="80" fillId="37" borderId="0" xfId="0" applyFont="1" applyFill="1" applyAlignment="1">
      <alignment horizontal="center" wrapText="1"/>
    </xf>
    <xf numFmtId="0" fontId="80" fillId="37" borderId="0" xfId="0" applyFont="1" applyFill="1" applyAlignment="1"/>
    <xf numFmtId="0" fontId="80" fillId="37" borderId="0" xfId="0" applyNumberFormat="1" applyFont="1" applyFill="1" applyAlignment="1"/>
    <xf numFmtId="0" fontId="79" fillId="37" borderId="0" xfId="0" applyFont="1" applyFill="1" applyAlignment="1">
      <alignment horizontal="center" vertical="center" wrapText="1"/>
    </xf>
    <xf numFmtId="0" fontId="80" fillId="37" borderId="0" xfId="0" applyNumberFormat="1" applyFont="1" applyFill="1" applyAlignment="1">
      <alignment horizontal="center"/>
    </xf>
    <xf numFmtId="0" fontId="80" fillId="37" borderId="0" xfId="0" applyFont="1" applyFill="1" applyAlignment="1">
      <alignment horizontal="center" vertical="center"/>
    </xf>
    <xf numFmtId="0" fontId="80" fillId="37" borderId="0" xfId="0" applyFont="1" applyFill="1" applyAlignment="1">
      <alignment horizontal="center" vertical="center" wrapText="1"/>
    </xf>
    <xf numFmtId="0" fontId="79" fillId="37" borderId="0" xfId="0" applyFont="1" applyFill="1" applyAlignment="1"/>
    <xf numFmtId="172" fontId="80" fillId="37" borderId="0" xfId="0" applyNumberFormat="1" applyFont="1" applyFill="1" applyAlignment="1"/>
    <xf numFmtId="10" fontId="80" fillId="37" borderId="0" xfId="0" applyNumberFormat="1" applyFont="1" applyFill="1" applyAlignment="1"/>
    <xf numFmtId="0" fontId="79" fillId="37" borderId="0" xfId="0" applyFont="1" applyFill="1" applyAlignment="1">
      <alignment horizontal="center"/>
    </xf>
    <xf numFmtId="0" fontId="80" fillId="37" borderId="0" xfId="0" applyFont="1" applyFill="1" applyAlignment="1">
      <alignment horizontal="center"/>
    </xf>
    <xf numFmtId="10" fontId="80" fillId="37" borderId="0" xfId="0" applyNumberFormat="1" applyFont="1" applyFill="1" applyAlignment="1">
      <alignment horizontal="center"/>
    </xf>
    <xf numFmtId="172" fontId="80" fillId="37" borderId="0" xfId="0" applyNumberFormat="1" applyFont="1" applyFill="1" applyAlignment="1">
      <alignment horizontal="right"/>
    </xf>
    <xf numFmtId="172" fontId="79" fillId="37" borderId="0" xfId="0" applyNumberFormat="1" applyFont="1" applyFill="1" applyAlignment="1"/>
    <xf numFmtId="172" fontId="81" fillId="0" borderId="0" xfId="0" applyNumberFormat="1" applyFont="1" applyFill="1" applyAlignment="1"/>
    <xf numFmtId="10" fontId="81" fillId="0" borderId="0" xfId="0" applyNumberFormat="1" applyFont="1" applyFill="1" applyAlignment="1"/>
    <xf numFmtId="0" fontId="81" fillId="0" borderId="0" xfId="0" applyFont="1" applyFill="1" applyAlignment="1">
      <alignment horizontal="left" indent="1"/>
    </xf>
    <xf numFmtId="172" fontId="81" fillId="0" borderId="0" xfId="0" applyNumberFormat="1" applyFont="1" applyFill="1" applyAlignment="1">
      <alignment horizontal="center" vertical="center"/>
    </xf>
    <xf numFmtId="10" fontId="81" fillId="0" borderId="0" xfId="0" applyNumberFormat="1" applyFont="1" applyFill="1" applyAlignment="1">
      <alignment horizontal="center" vertical="center"/>
    </xf>
    <xf numFmtId="172" fontId="64" fillId="0" borderId="9" xfId="0" applyNumberFormat="1" applyFont="1" applyBorder="1" applyAlignment="1">
      <alignment vertical="top"/>
    </xf>
    <xf numFmtId="0" fontId="64" fillId="44" borderId="1" xfId="0" applyFont="1" applyFill="1" applyBorder="1" applyAlignment="1">
      <alignment horizontal="center" vertical="center" wrapText="1"/>
    </xf>
    <xf numFmtId="0" fontId="64" fillId="63" borderId="2" xfId="0" applyFont="1" applyFill="1" applyBorder="1" applyAlignment="1">
      <alignment horizontal="center" vertical="center" wrapText="1"/>
    </xf>
    <xf numFmtId="0" fontId="83" fillId="68" borderId="4" xfId="0" applyFont="1" applyFill="1" applyBorder="1" applyAlignment="1">
      <alignment horizontal="center" vertical="center" wrapText="1"/>
    </xf>
    <xf numFmtId="0" fontId="82" fillId="68" borderId="4" xfId="0" applyFont="1" applyFill="1" applyBorder="1" applyAlignment="1">
      <alignment horizontal="center" vertical="center" wrapText="1"/>
    </xf>
    <xf numFmtId="0" fontId="0" fillId="0" borderId="1" xfId="0" applyFont="1" applyBorder="1" applyAlignment="1">
      <alignment horizontal="center" vertical="top" wrapText="1"/>
    </xf>
    <xf numFmtId="0" fontId="64" fillId="0" borderId="3" xfId="0" applyFont="1" applyFill="1" applyBorder="1" applyAlignment="1">
      <alignment horizontal="center" vertical="top"/>
    </xf>
    <xf numFmtId="0" fontId="0" fillId="0" borderId="3" xfId="0" applyFont="1" applyBorder="1" applyAlignment="1">
      <alignment horizontal="center" vertical="top"/>
    </xf>
    <xf numFmtId="0" fontId="0" fillId="0" borderId="3" xfId="0" applyFont="1" applyBorder="1" applyAlignment="1">
      <alignment vertical="top"/>
    </xf>
    <xf numFmtId="0" fontId="0" fillId="0" borderId="3" xfId="0" applyFont="1" applyBorder="1" applyAlignment="1">
      <alignment vertical="top" wrapText="1"/>
    </xf>
    <xf numFmtId="0" fontId="0" fillId="0" borderId="3" xfId="0" applyFont="1" applyBorder="1" applyAlignment="1">
      <alignment horizontal="center" vertical="top" wrapText="1"/>
    </xf>
    <xf numFmtId="172" fontId="64" fillId="0" borderId="30" xfId="0" applyNumberFormat="1" applyFont="1" applyBorder="1" applyAlignment="1">
      <alignment vertical="top"/>
    </xf>
    <xf numFmtId="0" fontId="75" fillId="0" borderId="31" xfId="0" applyFont="1" applyBorder="1" applyAlignment="1">
      <alignment vertical="top" wrapText="1"/>
    </xf>
    <xf numFmtId="0" fontId="75" fillId="0" borderId="7" xfId="0" applyFont="1" applyBorder="1" applyAlignment="1">
      <alignment vertical="top" wrapText="1"/>
    </xf>
    <xf numFmtId="0" fontId="75" fillId="0" borderId="7" xfId="0" applyFont="1" applyBorder="1" applyAlignment="1">
      <alignment horizontal="left" vertical="top" wrapText="1"/>
    </xf>
    <xf numFmtId="0" fontId="75" fillId="0" borderId="10" xfId="0" applyFont="1" applyBorder="1" applyAlignment="1">
      <alignment vertical="top" wrapText="1"/>
    </xf>
    <xf numFmtId="0" fontId="75" fillId="42" borderId="7" xfId="0" applyFont="1" applyFill="1" applyBorder="1" applyAlignment="1">
      <alignment vertical="top" wrapText="1"/>
    </xf>
    <xf numFmtId="0" fontId="64" fillId="34" borderId="2" xfId="0" applyFont="1" applyFill="1" applyBorder="1" applyAlignment="1">
      <alignment horizontal="center" vertical="center" wrapText="1"/>
    </xf>
    <xf numFmtId="0" fontId="64" fillId="65" borderId="2" xfId="0" applyFont="1" applyFill="1" applyBorder="1" applyAlignment="1">
      <alignment horizontal="center" vertical="center" wrapText="1"/>
    </xf>
    <xf numFmtId="172" fontId="64" fillId="0" borderId="27" xfId="0" applyNumberFormat="1" applyFont="1" applyFill="1" applyBorder="1" applyAlignment="1">
      <alignment horizontal="center" vertical="top"/>
    </xf>
    <xf numFmtId="0" fontId="75" fillId="0" borderId="13" xfId="0" applyFont="1" applyFill="1" applyBorder="1" applyAlignment="1">
      <alignment horizontal="left" vertical="top" wrapText="1"/>
    </xf>
    <xf numFmtId="0" fontId="75" fillId="0" borderId="7" xfId="0" applyFont="1" applyFill="1" applyBorder="1" applyAlignment="1">
      <alignment horizontal="left" vertical="top" wrapText="1"/>
    </xf>
    <xf numFmtId="0" fontId="75" fillId="0" borderId="31" xfId="0" applyFont="1" applyFill="1" applyBorder="1" applyAlignment="1">
      <alignment vertical="top" wrapText="1"/>
    </xf>
    <xf numFmtId="0" fontId="75" fillId="0" borderId="7" xfId="0" applyFont="1" applyFill="1" applyBorder="1" applyAlignment="1">
      <alignment vertical="top" wrapText="1"/>
    </xf>
    <xf numFmtId="0" fontId="75" fillId="0" borderId="31" xfId="0" applyFont="1" applyFill="1" applyBorder="1" applyAlignment="1">
      <alignment horizontal="left" vertical="top" wrapText="1"/>
    </xf>
    <xf numFmtId="0" fontId="85" fillId="0" borderId="4" xfId="0" applyFont="1" applyBorder="1" applyAlignment="1"/>
    <xf numFmtId="0" fontId="85" fillId="0" borderId="0" xfId="0" applyFont="1" applyAlignment="1"/>
    <xf numFmtId="0" fontId="75" fillId="0" borderId="10" xfId="0" applyFont="1" applyFill="1" applyBorder="1" applyAlignment="1">
      <alignment horizontal="left" vertical="top" wrapText="1"/>
    </xf>
    <xf numFmtId="0" fontId="75" fillId="0" borderId="27" xfId="0" applyFont="1" applyFill="1" applyBorder="1" applyAlignment="1">
      <alignment horizontal="left" vertical="top" wrapText="1"/>
    </xf>
    <xf numFmtId="0" fontId="75" fillId="0" borderId="4" xfId="0" applyFont="1" applyBorder="1" applyAlignment="1">
      <alignment vertical="top" wrapText="1"/>
    </xf>
    <xf numFmtId="172" fontId="64" fillId="0" borderId="4" xfId="0" applyNumberFormat="1" applyFont="1" applyFill="1" applyBorder="1" applyAlignment="1">
      <alignment horizontal="center" vertical="top" wrapText="1"/>
    </xf>
    <xf numFmtId="0" fontId="75" fillId="0" borderId="6" xfId="0" applyFont="1" applyBorder="1" applyAlignment="1">
      <alignment vertical="top" wrapText="1"/>
    </xf>
    <xf numFmtId="172" fontId="75" fillId="0" borderId="12" xfId="0" applyNumberFormat="1" applyFont="1" applyBorder="1" applyAlignment="1">
      <alignment horizontal="center" vertical="top" wrapText="1"/>
    </xf>
    <xf numFmtId="0" fontId="75" fillId="0" borderId="6" xfId="0" applyFont="1" applyFill="1" applyBorder="1" applyAlignment="1">
      <alignment vertical="top" wrapText="1"/>
    </xf>
    <xf numFmtId="0" fontId="75" fillId="0" borderId="27" xfId="0" applyFont="1" applyFill="1" applyBorder="1" applyAlignment="1">
      <alignment vertical="top" wrapText="1"/>
    </xf>
    <xf numFmtId="172" fontId="64" fillId="0" borderId="1" xfId="0" applyNumberFormat="1" applyFont="1" applyBorder="1" applyAlignment="1">
      <alignment horizontal="center" vertical="top" wrapText="1"/>
    </xf>
    <xf numFmtId="172" fontId="64" fillId="0" borderId="27" xfId="0" applyNumberFormat="1" applyFont="1" applyFill="1" applyBorder="1" applyAlignment="1">
      <alignment horizontal="center" vertical="top" wrapText="1"/>
    </xf>
    <xf numFmtId="0" fontId="84" fillId="60" borderId="1" xfId="0" applyFont="1" applyFill="1" applyBorder="1" applyAlignment="1">
      <alignment horizontal="center" vertical="center" wrapText="1"/>
    </xf>
    <xf numFmtId="0" fontId="75" fillId="0" borderId="1" xfId="0" applyFont="1" applyFill="1" applyBorder="1" applyAlignment="1">
      <alignment vertical="top" wrapText="1"/>
    </xf>
    <xf numFmtId="172" fontId="64" fillId="0" borderId="1" xfId="0" applyNumberFormat="1" applyFont="1" applyFill="1" applyBorder="1" applyAlignment="1">
      <alignment horizontal="center" vertical="top" wrapText="1"/>
    </xf>
    <xf numFmtId="172" fontId="69" fillId="0" borderId="1" xfId="0" applyNumberFormat="1" applyFont="1" applyBorder="1" applyAlignment="1">
      <alignment horizontal="center" vertical="top" wrapText="1"/>
    </xf>
    <xf numFmtId="0" fontId="75" fillId="0" borderId="1" xfId="0" applyFont="1" applyFill="1" applyBorder="1" applyAlignment="1">
      <alignment horizontal="left" vertical="top" wrapText="1"/>
    </xf>
    <xf numFmtId="0" fontId="75" fillId="0" borderId="12" xfId="0" applyFont="1" applyFill="1" applyBorder="1" applyAlignment="1">
      <alignment vertical="top" wrapText="1"/>
    </xf>
    <xf numFmtId="0" fontId="75" fillId="0" borderId="27" xfId="0" applyFont="1" applyBorder="1" applyAlignment="1">
      <alignment vertical="top" wrapText="1"/>
    </xf>
    <xf numFmtId="0" fontId="86" fillId="0" borderId="0" xfId="0" applyFont="1" applyAlignment="1"/>
    <xf numFmtId="0" fontId="87" fillId="0" borderId="4" xfId="0" applyFont="1" applyBorder="1" applyAlignment="1">
      <alignment horizontal="center"/>
    </xf>
    <xf numFmtId="0" fontId="86" fillId="0" borderId="4" xfId="0" applyFont="1" applyBorder="1" applyAlignment="1"/>
    <xf numFmtId="0" fontId="69" fillId="0" borderId="5" xfId="0" applyFont="1" applyBorder="1" applyAlignment="1">
      <alignment vertical="top" wrapText="1"/>
    </xf>
    <xf numFmtId="0" fontId="69" fillId="0" borderId="1" xfId="0" applyFont="1" applyBorder="1" applyAlignment="1">
      <alignment vertical="top" wrapText="1"/>
    </xf>
    <xf numFmtId="0" fontId="69" fillId="0" borderId="3" xfId="0" applyFont="1" applyBorder="1" applyAlignment="1">
      <alignment horizontal="left" vertical="top" wrapText="1"/>
    </xf>
    <xf numFmtId="0" fontId="69" fillId="42" borderId="3" xfId="0" applyFont="1" applyFill="1" applyBorder="1" applyAlignment="1">
      <alignment vertical="top" wrapText="1"/>
    </xf>
    <xf numFmtId="0" fontId="69" fillId="0" borderId="30" xfId="0" applyFont="1" applyFill="1" applyBorder="1" applyAlignment="1">
      <alignment vertical="top" wrapText="1"/>
    </xf>
    <xf numFmtId="0" fontId="69" fillId="0" borderId="2" xfId="0" applyFont="1" applyFill="1" applyBorder="1" applyAlignment="1">
      <alignment vertical="top" wrapText="1"/>
    </xf>
    <xf numFmtId="172" fontId="64" fillId="0" borderId="12" xfId="0" applyNumberFormat="1" applyFont="1" applyFill="1" applyBorder="1" applyAlignment="1">
      <alignment horizontal="center" vertical="top" wrapText="1"/>
    </xf>
    <xf numFmtId="0" fontId="12" fillId="0" borderId="9" xfId="0" applyFont="1" applyBorder="1" applyAlignment="1">
      <alignment vertical="center" textRotation="90"/>
    </xf>
    <xf numFmtId="0" fontId="22" fillId="50" borderId="33" xfId="0" applyFont="1" applyFill="1" applyBorder="1" applyAlignment="1">
      <alignment horizontal="left" vertical="center"/>
    </xf>
    <xf numFmtId="0" fontId="22" fillId="50" borderId="33" xfId="0" applyFont="1" applyFill="1" applyBorder="1" applyAlignment="1">
      <alignment horizontal="center" vertical="center"/>
    </xf>
    <xf numFmtId="0" fontId="88" fillId="28" borderId="33" xfId="0" applyFont="1" applyFill="1" applyBorder="1" applyAlignment="1">
      <alignment horizontal="center" vertical="center" wrapText="1"/>
    </xf>
    <xf numFmtId="0" fontId="89" fillId="49" borderId="33" xfId="0" applyFont="1" applyFill="1" applyBorder="1" applyAlignment="1">
      <alignment vertical="center"/>
    </xf>
    <xf numFmtId="0" fontId="22" fillId="49" borderId="33" xfId="0" applyFont="1" applyFill="1" applyBorder="1" applyAlignment="1">
      <alignment horizontal="center" vertical="center"/>
    </xf>
    <xf numFmtId="0" fontId="89" fillId="46" borderId="33" xfId="0" applyFont="1" applyFill="1" applyBorder="1" applyAlignment="1">
      <alignment horizontal="left" vertical="center"/>
    </xf>
    <xf numFmtId="0" fontId="22" fillId="52" borderId="33" xfId="0" applyFont="1" applyFill="1" applyBorder="1" applyAlignment="1">
      <alignment horizontal="center" vertical="center"/>
    </xf>
    <xf numFmtId="0" fontId="9" fillId="50" borderId="33" xfId="0" applyFont="1" applyFill="1" applyBorder="1" applyAlignment="1">
      <alignment horizontal="center" vertical="center"/>
    </xf>
    <xf numFmtId="0" fontId="9" fillId="49" borderId="33" xfId="0" applyFont="1" applyFill="1" applyBorder="1" applyAlignment="1">
      <alignment horizontal="center" vertical="center"/>
    </xf>
    <xf numFmtId="0" fontId="89" fillId="33" borderId="33" xfId="0" applyFont="1" applyFill="1" applyBorder="1" applyAlignment="1">
      <alignment vertical="center"/>
    </xf>
    <xf numFmtId="0" fontId="22" fillId="33" borderId="33" xfId="0" applyFont="1" applyFill="1" applyBorder="1" applyAlignment="1">
      <alignment horizontal="center" vertical="center"/>
    </xf>
    <xf numFmtId="0" fontId="22" fillId="54" borderId="33" xfId="0" applyFont="1" applyFill="1" applyBorder="1" applyAlignment="1">
      <alignment horizontal="center" vertical="center" wrapText="1"/>
    </xf>
    <xf numFmtId="0" fontId="22" fillId="43" borderId="33" xfId="0" applyFont="1" applyFill="1" applyBorder="1" applyAlignment="1">
      <alignment horizontal="center" vertical="center"/>
    </xf>
    <xf numFmtId="0" fontId="22" fillId="44" borderId="33" xfId="0" applyFont="1" applyFill="1" applyBorder="1" applyAlignment="1">
      <alignment horizontal="left" vertical="center"/>
    </xf>
    <xf numFmtId="0" fontId="22" fillId="44" borderId="33" xfId="0" applyFont="1" applyFill="1" applyBorder="1" applyAlignment="1">
      <alignment horizontal="center" vertical="center"/>
    </xf>
    <xf numFmtId="0" fontId="9" fillId="44" borderId="33" xfId="0" applyFont="1" applyFill="1" applyBorder="1" applyAlignment="1">
      <alignment horizontal="center" vertical="center"/>
    </xf>
    <xf numFmtId="0" fontId="90" fillId="33" borderId="33" xfId="0" applyFont="1" applyFill="1" applyBorder="1" applyAlignment="1"/>
    <xf numFmtId="0" fontId="22" fillId="43" borderId="33" xfId="0" applyFont="1" applyFill="1" applyBorder="1" applyAlignment="1">
      <alignment vertical="center"/>
    </xf>
    <xf numFmtId="0" fontId="90" fillId="44" borderId="33" xfId="0" applyFont="1" applyFill="1" applyBorder="1" applyAlignment="1">
      <alignment vertical="center"/>
    </xf>
    <xf numFmtId="0" fontId="90" fillId="56" borderId="33" xfId="0" applyFont="1" applyFill="1" applyBorder="1" applyAlignment="1">
      <alignment vertical="center"/>
    </xf>
    <xf numFmtId="0" fontId="3" fillId="0" borderId="4" xfId="3"/>
    <xf numFmtId="0" fontId="0" fillId="0" borderId="0" xfId="0" applyFont="1" applyAlignment="1"/>
    <xf numFmtId="0" fontId="4" fillId="0" borderId="1" xfId="0" applyFont="1" applyFill="1" applyBorder="1" applyAlignment="1">
      <alignment horizontal="left" vertical="center" wrapText="1" indent="1"/>
    </xf>
    <xf numFmtId="0" fontId="22" fillId="42" borderId="1" xfId="0" applyFont="1" applyFill="1" applyBorder="1" applyAlignment="1">
      <alignment horizontal="left" vertical="center" wrapText="1" indent="1"/>
    </xf>
    <xf numFmtId="0" fontId="4" fillId="0" borderId="1" xfId="0" applyFont="1" applyBorder="1" applyAlignment="1">
      <alignment horizontal="left" vertical="center" wrapText="1" indent="1"/>
    </xf>
    <xf numFmtId="0" fontId="4" fillId="0" borderId="33" xfId="0" applyFont="1" applyFill="1" applyBorder="1" applyAlignment="1">
      <alignment horizontal="left" vertical="center" wrapText="1" indent="1"/>
    </xf>
    <xf numFmtId="0" fontId="4" fillId="42" borderId="33" xfId="0" applyFont="1" applyFill="1" applyBorder="1" applyAlignment="1">
      <alignment horizontal="left" vertical="center" wrapText="1" indent="1"/>
    </xf>
    <xf numFmtId="0" fontId="4" fillId="0" borderId="3" xfId="0" applyFont="1" applyBorder="1" applyAlignment="1">
      <alignment horizontal="left" vertical="center" wrapText="1" indent="1"/>
    </xf>
    <xf numFmtId="0" fontId="4" fillId="0" borderId="33" xfId="0" applyFont="1" applyBorder="1" applyAlignment="1">
      <alignment horizontal="left" vertical="center" wrapText="1" indent="1"/>
    </xf>
    <xf numFmtId="0" fontId="19" fillId="0" borderId="4" xfId="0" applyFont="1" applyFill="1" applyBorder="1" applyAlignment="1">
      <alignment horizontal="left" vertical="center" indent="1"/>
    </xf>
    <xf numFmtId="0" fontId="11" fillId="0" borderId="33" xfId="0" applyFont="1" applyBorder="1" applyAlignment="1">
      <alignment horizontal="left" vertical="center" indent="1"/>
    </xf>
    <xf numFmtId="0" fontId="10" fillId="33" borderId="33" xfId="0" applyFont="1" applyFill="1" applyBorder="1" applyAlignment="1">
      <alignment horizontal="left" indent="1"/>
    </xf>
    <xf numFmtId="0" fontId="10" fillId="47" borderId="33" xfId="0" applyFont="1" applyFill="1" applyBorder="1" applyAlignment="1">
      <alignment horizontal="left" indent="1"/>
    </xf>
    <xf numFmtId="0" fontId="10" fillId="48" borderId="33" xfId="0" applyFont="1" applyFill="1" applyBorder="1" applyAlignment="1">
      <alignment horizontal="left" indent="1"/>
    </xf>
    <xf numFmtId="0" fontId="10" fillId="49" borderId="33" xfId="0" applyFont="1" applyFill="1" applyBorder="1" applyAlignment="1">
      <alignment horizontal="left" indent="1"/>
    </xf>
    <xf numFmtId="0" fontId="10" fillId="44" borderId="33" xfId="0" applyFont="1" applyFill="1" applyBorder="1" applyAlignment="1">
      <alignment horizontal="left" indent="1"/>
    </xf>
    <xf numFmtId="0" fontId="43" fillId="46" borderId="33" xfId="0" applyFont="1" applyFill="1" applyBorder="1" applyAlignment="1">
      <alignment horizontal="left" vertical="center" indent="1"/>
    </xf>
    <xf numFmtId="0" fontId="29" fillId="0" borderId="0" xfId="0" applyFont="1" applyAlignment="1">
      <alignment horizontal="left" indent="1"/>
    </xf>
    <xf numFmtId="0" fontId="56" fillId="0" borderId="0" xfId="0" applyFont="1" applyAlignment="1">
      <alignment horizontal="left" vertical="center" indent="1"/>
    </xf>
    <xf numFmtId="0" fontId="13" fillId="0" borderId="1" xfId="0" applyFont="1" applyFill="1" applyBorder="1" applyAlignment="1">
      <alignment horizontal="left" vertical="center" wrapText="1" indent="1"/>
    </xf>
    <xf numFmtId="0" fontId="13" fillId="0" borderId="3" xfId="0" applyFont="1" applyFill="1" applyBorder="1" applyAlignment="1">
      <alignment horizontal="left" vertical="center" wrapText="1" indent="1"/>
    </xf>
    <xf numFmtId="0" fontId="13" fillId="0" borderId="40" xfId="0" applyFont="1" applyFill="1" applyBorder="1" applyAlignment="1">
      <alignment horizontal="left" vertical="center" wrapText="1" indent="1"/>
    </xf>
    <xf numFmtId="0" fontId="68" fillId="0" borderId="33" xfId="0" applyFont="1" applyBorder="1" applyAlignment="1"/>
    <xf numFmtId="0" fontId="67" fillId="0" borderId="33" xfId="0" applyFont="1" applyBorder="1" applyAlignment="1">
      <alignment horizontal="center" vertical="center"/>
    </xf>
    <xf numFmtId="0" fontId="6" fillId="25" borderId="1" xfId="0" applyFont="1" applyFill="1" applyBorder="1" applyAlignment="1">
      <alignment horizontal="center" vertical="center" wrapText="1"/>
    </xf>
    <xf numFmtId="0" fontId="68" fillId="33" borderId="6" xfId="0" applyFont="1" applyFill="1" applyBorder="1" applyAlignment="1">
      <alignment horizontal="left" indent="1"/>
    </xf>
    <xf numFmtId="0" fontId="68" fillId="33" borderId="7" xfId="0" applyFont="1" applyFill="1" applyBorder="1" applyAlignment="1">
      <alignment horizontal="left" indent="1"/>
    </xf>
    <xf numFmtId="0" fontId="6" fillId="0" borderId="0" xfId="0" applyFont="1" applyAlignment="1">
      <alignment horizontal="center" vertical="center"/>
    </xf>
    <xf numFmtId="0" fontId="22" fillId="0" borderId="1" xfId="0" applyFont="1" applyFill="1" applyBorder="1" applyAlignment="1">
      <alignment horizontal="left" vertical="center" wrapText="1" indent="2"/>
    </xf>
    <xf numFmtId="0" fontId="9" fillId="33" borderId="6" xfId="0" applyFont="1" applyFill="1" applyBorder="1" applyAlignment="1">
      <alignment horizontal="left" indent="1"/>
    </xf>
    <xf numFmtId="0" fontId="9" fillId="33" borderId="7" xfId="0" applyFont="1" applyFill="1" applyBorder="1" applyAlignment="1">
      <alignment horizontal="left" indent="1"/>
    </xf>
    <xf numFmtId="0" fontId="6" fillId="25" borderId="5" xfId="0" applyFont="1" applyFill="1" applyBorder="1" applyAlignment="1">
      <alignment horizontal="center" vertical="center" wrapText="1"/>
    </xf>
    <xf numFmtId="0" fontId="14" fillId="33" borderId="2" xfId="0" applyFont="1" applyFill="1" applyBorder="1" applyAlignment="1">
      <alignment horizontal="left" vertical="center" indent="1"/>
    </xf>
    <xf numFmtId="0" fontId="94" fillId="33" borderId="6" xfId="0" applyFont="1" applyFill="1" applyBorder="1" applyAlignment="1">
      <alignment horizontal="left" indent="1"/>
    </xf>
    <xf numFmtId="0" fontId="94" fillId="33" borderId="7" xfId="0" applyFont="1" applyFill="1" applyBorder="1" applyAlignment="1">
      <alignment horizontal="left" indent="1"/>
    </xf>
    <xf numFmtId="0" fontId="4" fillId="0" borderId="3" xfId="0" applyFont="1" applyFill="1" applyBorder="1" applyAlignment="1">
      <alignment horizontal="left" vertical="center" wrapText="1" indent="1"/>
    </xf>
    <xf numFmtId="0" fontId="32" fillId="0" borderId="4" xfId="0" applyFont="1" applyBorder="1" applyAlignment="1"/>
    <xf numFmtId="0" fontId="33" fillId="5" borderId="33" xfId="0" applyFont="1" applyFill="1" applyBorder="1" applyAlignment="1">
      <alignment horizontal="center" vertical="center" wrapText="1"/>
    </xf>
    <xf numFmtId="0" fontId="30" fillId="10" borderId="33" xfId="0" applyFont="1" applyFill="1" applyBorder="1" applyAlignment="1">
      <alignment horizontal="center" vertical="center" wrapText="1"/>
    </xf>
    <xf numFmtId="0" fontId="30" fillId="2" borderId="33" xfId="0" applyFont="1" applyFill="1" applyBorder="1" applyAlignment="1">
      <alignment horizontal="center" vertical="center" wrapText="1"/>
    </xf>
    <xf numFmtId="0" fontId="5" fillId="0" borderId="0" xfId="0" applyFont="1" applyAlignment="1">
      <alignment horizontal="center"/>
    </xf>
    <xf numFmtId="0" fontId="0" fillId="0" borderId="0" xfId="0" applyFont="1" applyAlignment="1"/>
    <xf numFmtId="0" fontId="9" fillId="0" borderId="6" xfId="0" applyFont="1" applyBorder="1" applyAlignment="1"/>
    <xf numFmtId="0" fontId="9" fillId="0" borderId="7" xfId="0" applyFont="1" applyBorder="1" applyAlignment="1"/>
    <xf numFmtId="0" fontId="9" fillId="0" borderId="4" xfId="0" applyFont="1" applyBorder="1" applyAlignment="1"/>
    <xf numFmtId="0" fontId="6" fillId="20" borderId="4" xfId="0" applyFont="1" applyFill="1" applyBorder="1" applyAlignment="1">
      <alignment horizontal="center" vertical="center" wrapText="1"/>
    </xf>
    <xf numFmtId="0" fontId="77" fillId="0" borderId="1" xfId="0" applyFont="1" applyBorder="1" applyAlignment="1">
      <alignment horizontal="center" vertical="center"/>
    </xf>
    <xf numFmtId="0" fontId="0" fillId="0" borderId="2" xfId="0" applyFont="1" applyBorder="1" applyAlignment="1">
      <alignment horizontal="center" vertical="top"/>
    </xf>
    <xf numFmtId="0" fontId="66" fillId="0" borderId="4" xfId="0" applyFont="1" applyBorder="1" applyAlignment="1">
      <alignment horizontal="center"/>
    </xf>
    <xf numFmtId="172" fontId="64" fillId="0" borderId="1" xfId="0" applyNumberFormat="1" applyFont="1" applyBorder="1" applyAlignment="1">
      <alignment horizontal="center" vertical="top"/>
    </xf>
    <xf numFmtId="0" fontId="64" fillId="0" borderId="1" xfId="0" applyFont="1" applyBorder="1" applyAlignment="1">
      <alignment vertical="top"/>
    </xf>
    <xf numFmtId="0" fontId="76" fillId="0" borderId="2" xfId="0" applyFont="1" applyBorder="1" applyAlignment="1">
      <alignment horizontal="center" vertical="center" wrapText="1"/>
    </xf>
    <xf numFmtId="0" fontId="64" fillId="0" borderId="1" xfId="0" applyFont="1" applyBorder="1" applyAlignment="1">
      <alignment horizontal="left" vertical="top" wrapText="1"/>
    </xf>
    <xf numFmtId="0" fontId="64" fillId="0" borderId="5" xfId="0" applyFont="1" applyBorder="1" applyAlignment="1">
      <alignment horizontal="left" vertical="top" wrapText="1"/>
    </xf>
    <xf numFmtId="0" fontId="64" fillId="0" borderId="3" xfId="0" applyFont="1" applyBorder="1" applyAlignment="1">
      <alignment vertical="top" wrapText="1"/>
    </xf>
    <xf numFmtId="0" fontId="64" fillId="0" borderId="11" xfId="0" applyFont="1" applyBorder="1" applyAlignment="1">
      <alignment vertical="top" wrapText="1"/>
    </xf>
    <xf numFmtId="0" fontId="64" fillId="0" borderId="3" xfId="0" applyFont="1" applyBorder="1" applyAlignment="1">
      <alignment horizontal="left" vertical="top" wrapText="1"/>
    </xf>
    <xf numFmtId="0" fontId="64" fillId="0" borderId="11" xfId="0" applyFont="1" applyBorder="1" applyAlignment="1">
      <alignment horizontal="left" vertical="top" wrapText="1"/>
    </xf>
    <xf numFmtId="0" fontId="64" fillId="0" borderId="1" xfId="0" applyFont="1" applyBorder="1" applyAlignment="1">
      <alignment vertical="top" wrapText="1"/>
    </xf>
    <xf numFmtId="0" fontId="64" fillId="0" borderId="3" xfId="0" applyFont="1" applyBorder="1" applyAlignment="1">
      <alignment vertical="top"/>
    </xf>
    <xf numFmtId="0" fontId="64" fillId="0" borderId="5" xfId="0" applyFont="1" applyBorder="1" applyAlignment="1">
      <alignment vertical="top"/>
    </xf>
    <xf numFmtId="0" fontId="64" fillId="0" borderId="5" xfId="0" applyFont="1" applyBorder="1" applyAlignment="1">
      <alignment vertical="top" wrapText="1"/>
    </xf>
    <xf numFmtId="0" fontId="64" fillId="64" borderId="1" xfId="0" applyFont="1" applyFill="1" applyBorder="1" applyAlignment="1">
      <alignment horizontal="left" vertical="top" wrapText="1"/>
    </xf>
    <xf numFmtId="0" fontId="64" fillId="0" borderId="1" xfId="0" applyFont="1" applyBorder="1" applyAlignment="1">
      <alignment horizontal="center" vertical="top" wrapText="1"/>
    </xf>
    <xf numFmtId="0" fontId="64" fillId="0" borderId="3" xfId="0" applyFont="1" applyFill="1" applyBorder="1" applyAlignment="1">
      <alignment horizontal="left" vertical="top" wrapText="1"/>
    </xf>
    <xf numFmtId="0" fontId="64" fillId="0" borderId="5" xfId="0" applyFont="1" applyFill="1" applyBorder="1" applyAlignment="1">
      <alignment horizontal="left" vertical="top" wrapText="1"/>
    </xf>
    <xf numFmtId="0" fontId="64" fillId="0" borderId="3" xfId="0" applyFont="1" applyFill="1" applyBorder="1" applyAlignment="1">
      <alignment vertical="top" wrapText="1"/>
    </xf>
    <xf numFmtId="0" fontId="64" fillId="0" borderId="30" xfId="0" applyFont="1" applyBorder="1" applyAlignment="1">
      <alignment vertical="top" wrapText="1"/>
    </xf>
    <xf numFmtId="0" fontId="64" fillId="0" borderId="9" xfId="0" applyFont="1" applyBorder="1" applyAlignment="1">
      <alignment horizontal="left" vertical="top" wrapText="1"/>
    </xf>
    <xf numFmtId="0" fontId="64" fillId="0" borderId="30" xfId="0" applyFont="1" applyBorder="1" applyAlignment="1">
      <alignment horizontal="left" vertical="top" wrapText="1"/>
    </xf>
    <xf numFmtId="0" fontId="64" fillId="42" borderId="1" xfId="0" applyFont="1" applyFill="1" applyBorder="1" applyAlignment="1">
      <alignment horizontal="left" vertical="top" wrapText="1"/>
    </xf>
    <xf numFmtId="0" fontId="64" fillId="0" borderId="1" xfId="0" applyFont="1" applyBorder="1" applyAlignment="1">
      <alignment horizontal="left" vertical="top"/>
    </xf>
    <xf numFmtId="0" fontId="64" fillId="64" borderId="1" xfId="0" applyFont="1" applyFill="1" applyBorder="1" applyAlignment="1">
      <alignment horizontal="center" vertical="top"/>
    </xf>
    <xf numFmtId="0" fontId="64" fillId="64" borderId="1" xfId="0" applyFont="1" applyFill="1" applyBorder="1" applyAlignment="1">
      <alignment horizontal="left" vertical="top"/>
    </xf>
    <xf numFmtId="0" fontId="64" fillId="0" borderId="3" xfId="0" applyFont="1" applyBorder="1" applyAlignment="1">
      <alignment horizontal="center" vertical="top"/>
    </xf>
    <xf numFmtId="0" fontId="64" fillId="0" borderId="11" xfId="0" applyFont="1" applyBorder="1" applyAlignment="1">
      <alignment horizontal="center" vertical="top"/>
    </xf>
    <xf numFmtId="0" fontId="64" fillId="0" borderId="5" xfId="0" applyFont="1" applyBorder="1" applyAlignment="1">
      <alignment horizontal="center" vertical="top"/>
    </xf>
    <xf numFmtId="0" fontId="0" fillId="0" borderId="1" xfId="0" applyFont="1" applyBorder="1" applyAlignment="1">
      <alignment horizontal="center" vertical="top"/>
    </xf>
    <xf numFmtId="0" fontId="77" fillId="67" borderId="1" xfId="0" applyFont="1" applyFill="1" applyBorder="1" applyAlignment="1">
      <alignment horizontal="center" vertical="top"/>
    </xf>
    <xf numFmtId="0" fontId="9" fillId="0" borderId="7" xfId="0" applyFont="1" applyBorder="1" applyAlignment="1">
      <alignment horizontal="left" indent="1"/>
    </xf>
    <xf numFmtId="0" fontId="6" fillId="25" borderId="3" xfId="0" applyFont="1" applyFill="1" applyBorder="1" applyAlignment="1">
      <alignment horizontal="center" vertical="center" wrapText="1"/>
    </xf>
    <xf numFmtId="0" fontId="30" fillId="15" borderId="3" xfId="0" applyFont="1" applyFill="1" applyBorder="1" applyAlignment="1">
      <alignment horizontal="center" vertical="center" wrapText="1"/>
    </xf>
    <xf numFmtId="0" fontId="30" fillId="0" borderId="33" xfId="0" applyFont="1" applyBorder="1" applyAlignment="1">
      <alignment horizontal="center" vertical="center" wrapText="1"/>
    </xf>
    <xf numFmtId="0" fontId="20" fillId="33" borderId="2" xfId="0" applyFont="1" applyFill="1" applyBorder="1" applyAlignment="1">
      <alignment horizontal="left" vertical="center" indent="1"/>
    </xf>
    <xf numFmtId="0" fontId="4" fillId="0" borderId="1" xfId="0" applyFont="1" applyFill="1" applyBorder="1" applyAlignment="1">
      <alignment horizontal="left" vertical="center" wrapText="1" indent="2"/>
    </xf>
    <xf numFmtId="0" fontId="18" fillId="0" borderId="1" xfId="0" applyFont="1" applyFill="1" applyBorder="1" applyAlignment="1">
      <alignment horizontal="left" vertical="center" wrapText="1" indent="2"/>
    </xf>
    <xf numFmtId="0" fontId="4" fillId="0" borderId="2" xfId="0" applyFont="1" applyFill="1" applyBorder="1" applyAlignment="1">
      <alignment horizontal="left" vertical="center" wrapText="1" indent="1"/>
    </xf>
    <xf numFmtId="0" fontId="9" fillId="0" borderId="33" xfId="0" applyFont="1" applyBorder="1" applyAlignment="1"/>
    <xf numFmtId="0" fontId="4" fillId="0" borderId="2" xfId="0" applyFont="1" applyBorder="1" applyAlignment="1">
      <alignment horizontal="left" vertical="center" wrapText="1" indent="1"/>
    </xf>
    <xf numFmtId="0" fontId="9" fillId="0" borderId="6" xfId="0" applyFont="1" applyBorder="1" applyAlignment="1">
      <alignment horizontal="left" indent="1"/>
    </xf>
    <xf numFmtId="0" fontId="0" fillId="0" borderId="0" xfId="0" applyFont="1" applyAlignment="1"/>
    <xf numFmtId="0" fontId="22" fillId="0" borderId="33" xfId="0" applyFont="1" applyBorder="1" applyAlignment="1">
      <alignment horizontal="left" vertical="center" wrapText="1" indent="1"/>
    </xf>
    <xf numFmtId="0" fontId="55" fillId="0" borderId="0" xfId="0" applyFont="1" applyAlignment="1">
      <alignment horizontal="left" indent="1"/>
    </xf>
    <xf numFmtId="0" fontId="13" fillId="0" borderId="7"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43" xfId="0" applyFont="1" applyFill="1" applyBorder="1" applyAlignment="1">
      <alignment horizontal="left" vertical="center" wrapText="1" indent="1"/>
    </xf>
    <xf numFmtId="172" fontId="4" fillId="0" borderId="33" xfId="1" applyNumberFormat="1" applyFont="1" applyBorder="1" applyAlignment="1">
      <alignment horizontal="center" vertical="center" wrapText="1"/>
    </xf>
    <xf numFmtId="172" fontId="22" fillId="0" borderId="33" xfId="1" applyNumberFormat="1" applyFont="1" applyBorder="1" applyAlignment="1">
      <alignment horizontal="center" vertical="center"/>
    </xf>
    <xf numFmtId="172" fontId="0" fillId="0" borderId="4" xfId="1" applyNumberFormat="1" applyFont="1" applyBorder="1" applyAlignment="1"/>
    <xf numFmtId="172" fontId="29" fillId="0" borderId="0" xfId="1" applyNumberFormat="1" applyFont="1" applyAlignment="1"/>
    <xf numFmtId="172" fontId="55" fillId="0" borderId="0" xfId="1" applyNumberFormat="1" applyFont="1" applyAlignment="1"/>
    <xf numFmtId="172" fontId="13" fillId="0" borderId="1" xfId="1" applyNumberFormat="1" applyFont="1" applyBorder="1" applyAlignment="1">
      <alignment horizontal="center" vertical="center"/>
    </xf>
    <xf numFmtId="172" fontId="13" fillId="0" borderId="3" xfId="1" applyNumberFormat="1" applyFont="1" applyBorder="1" applyAlignment="1">
      <alignment horizontal="center" vertical="center" wrapText="1"/>
    </xf>
    <xf numFmtId="172" fontId="13" fillId="0" borderId="29" xfId="1" applyNumberFormat="1" applyFont="1" applyFill="1" applyBorder="1" applyAlignment="1">
      <alignment horizontal="center" vertical="center" wrapText="1"/>
    </xf>
    <xf numFmtId="172" fontId="4" fillId="42" borderId="33" xfId="1" applyNumberFormat="1" applyFont="1" applyFill="1" applyBorder="1" applyAlignment="1">
      <alignment vertical="center" wrapText="1"/>
    </xf>
    <xf numFmtId="172" fontId="22" fillId="0" borderId="33" xfId="1" applyNumberFormat="1" applyFont="1" applyBorder="1" applyAlignment="1">
      <alignment vertical="center"/>
    </xf>
    <xf numFmtId="172" fontId="4" fillId="15" borderId="5" xfId="1" applyNumberFormat="1" applyFont="1" applyFill="1" applyBorder="1" applyAlignment="1">
      <alignment vertical="center"/>
    </xf>
    <xf numFmtId="172" fontId="16" fillId="2" borderId="1" xfId="1" applyNumberFormat="1" applyFont="1" applyFill="1" applyBorder="1" applyAlignment="1">
      <alignment horizontal="center" vertical="center" wrapText="1"/>
    </xf>
    <xf numFmtId="172" fontId="4" fillId="0" borderId="0" xfId="1" applyNumberFormat="1" applyFont="1"/>
    <xf numFmtId="172" fontId="13" fillId="0" borderId="5" xfId="1" applyNumberFormat="1" applyFont="1" applyBorder="1" applyAlignment="1">
      <alignment vertical="center" wrapText="1"/>
    </xf>
    <xf numFmtId="172" fontId="13" fillId="0" borderId="5" xfId="1" applyNumberFormat="1" applyFont="1" applyFill="1" applyBorder="1" applyAlignment="1">
      <alignment horizontal="center" vertical="center" wrapText="1"/>
    </xf>
    <xf numFmtId="172" fontId="13" fillId="0" borderId="27" xfId="1" applyNumberFormat="1" applyFont="1" applyFill="1" applyBorder="1" applyAlignment="1">
      <alignment vertical="center" wrapText="1"/>
    </xf>
    <xf numFmtId="172" fontId="13" fillId="0" borderId="11" xfId="1" applyNumberFormat="1" applyFont="1" applyFill="1" applyBorder="1" applyAlignment="1">
      <alignment vertical="center" wrapText="1"/>
    </xf>
    <xf numFmtId="172" fontId="13" fillId="0" borderId="3" xfId="1" applyNumberFormat="1" applyFont="1" applyFill="1" applyBorder="1" applyAlignment="1">
      <alignment horizontal="center" vertical="center" wrapText="1"/>
    </xf>
    <xf numFmtId="0" fontId="18" fillId="0" borderId="33" xfId="0" applyFont="1" applyBorder="1" applyAlignment="1">
      <alignment horizontal="center" vertical="center" wrapText="1"/>
    </xf>
    <xf numFmtId="172" fontId="4" fillId="0" borderId="33" xfId="1" applyNumberFormat="1" applyFont="1" applyBorder="1" applyAlignment="1">
      <alignment horizontal="center" vertical="center"/>
    </xf>
    <xf numFmtId="0" fontId="4" fillId="0" borderId="33" xfId="0" applyFont="1" applyBorder="1"/>
    <xf numFmtId="0" fontId="22" fillId="42" borderId="33" xfId="0" applyFont="1" applyFill="1" applyBorder="1" applyAlignment="1">
      <alignment horizontal="left" vertical="center" wrapText="1" indent="1"/>
    </xf>
    <xf numFmtId="0" fontId="18" fillId="42" borderId="33" xfId="0" applyFont="1" applyFill="1" applyBorder="1" applyAlignment="1">
      <alignment horizontal="center" vertical="center" wrapText="1"/>
    </xf>
    <xf numFmtId="0" fontId="4" fillId="42" borderId="33" xfId="0" applyFont="1" applyFill="1" applyBorder="1" applyAlignment="1">
      <alignment horizontal="center" vertical="center"/>
    </xf>
    <xf numFmtId="172" fontId="4" fillId="42" borderId="33" xfId="1" applyNumberFormat="1" applyFont="1" applyFill="1" applyBorder="1" applyAlignment="1">
      <alignment horizontal="center" vertical="center"/>
    </xf>
    <xf numFmtId="0" fontId="4" fillId="42" borderId="33" xfId="0" applyFont="1" applyFill="1" applyBorder="1"/>
    <xf numFmtId="172" fontId="4" fillId="0" borderId="33" xfId="1" applyNumberFormat="1" applyFont="1" applyBorder="1" applyAlignment="1">
      <alignment vertical="center"/>
    </xf>
    <xf numFmtId="172" fontId="4" fillId="0" borderId="33" xfId="1" applyNumberFormat="1" applyFont="1" applyBorder="1" applyAlignment="1">
      <alignment vertical="center" wrapText="1"/>
    </xf>
    <xf numFmtId="172" fontId="4" fillId="0" borderId="33" xfId="1" applyNumberFormat="1" applyFont="1" applyFill="1" applyBorder="1" applyAlignment="1">
      <alignment horizontal="center" vertical="center" wrapText="1"/>
    </xf>
    <xf numFmtId="172" fontId="4" fillId="0" borderId="33" xfId="1" applyNumberFormat="1" applyFont="1" applyFill="1" applyBorder="1" applyAlignment="1">
      <alignment vertical="center" wrapText="1"/>
    </xf>
    <xf numFmtId="49" fontId="22" fillId="0" borderId="33" xfId="0" applyNumberFormat="1" applyFont="1" applyFill="1" applyBorder="1" applyAlignment="1">
      <alignment horizontal="left" vertical="center" wrapText="1" indent="1"/>
    </xf>
    <xf numFmtId="0" fontId="40" fillId="0" borderId="33" xfId="0" applyFont="1" applyBorder="1" applyAlignment="1">
      <alignment horizontal="center" vertical="center"/>
    </xf>
    <xf numFmtId="3" fontId="22" fillId="0" borderId="33" xfId="0" applyNumberFormat="1" applyFont="1" applyBorder="1" applyAlignment="1">
      <alignment horizontal="center" vertical="center" wrapText="1"/>
    </xf>
    <xf numFmtId="0" fontId="40" fillId="42" borderId="33" xfId="0" applyFont="1" applyFill="1" applyBorder="1" applyAlignment="1">
      <alignment horizontal="center" vertical="center"/>
    </xf>
    <xf numFmtId="0" fontId="22" fillId="42" borderId="33" xfId="0" applyFont="1" applyFill="1" applyBorder="1" applyAlignment="1">
      <alignment horizontal="center" vertical="center"/>
    </xf>
    <xf numFmtId="172" fontId="22" fillId="42" borderId="33" xfId="1" applyNumberFormat="1" applyFont="1" applyFill="1" applyBorder="1" applyAlignment="1">
      <alignment horizontal="center" vertical="center"/>
    </xf>
    <xf numFmtId="172" fontId="40" fillId="42" borderId="33" xfId="1" applyNumberFormat="1" applyFont="1" applyFill="1" applyBorder="1" applyAlignment="1">
      <alignment horizontal="center" vertical="center"/>
    </xf>
    <xf numFmtId="3" fontId="22" fillId="42" borderId="33" xfId="0" applyNumberFormat="1" applyFont="1" applyFill="1" applyBorder="1" applyAlignment="1">
      <alignment horizontal="center" vertical="center" wrapText="1"/>
    </xf>
    <xf numFmtId="0" fontId="41" fillId="0" borderId="33" xfId="0" applyFont="1" applyBorder="1" applyAlignment="1">
      <alignment horizontal="center" vertical="center"/>
    </xf>
    <xf numFmtId="0" fontId="42" fillId="0" borderId="33" xfId="0" applyFont="1" applyBorder="1" applyAlignment="1"/>
    <xf numFmtId="172" fontId="42" fillId="0" borderId="33" xfId="1" applyNumberFormat="1" applyFont="1" applyBorder="1" applyAlignment="1"/>
    <xf numFmtId="0" fontId="4" fillId="0" borderId="33" xfId="0" applyFont="1" applyFill="1" applyBorder="1" applyAlignment="1">
      <alignment horizontal="center" vertical="center"/>
    </xf>
    <xf numFmtId="0" fontId="42" fillId="45" borderId="33" xfId="0" applyFont="1" applyFill="1" applyBorder="1" applyAlignment="1"/>
    <xf numFmtId="0" fontId="42" fillId="0" borderId="33" xfId="0" applyFont="1" applyBorder="1" applyAlignment="1">
      <alignment horizontal="center" vertical="center"/>
    </xf>
    <xf numFmtId="0" fontId="9" fillId="0" borderId="33" xfId="0" applyFont="1" applyBorder="1" applyAlignment="1">
      <alignment horizontal="center" vertical="center"/>
    </xf>
    <xf numFmtId="0" fontId="4" fillId="0" borderId="33" xfId="0" applyFont="1" applyBorder="1" applyAlignment="1">
      <alignment horizontal="left" vertical="center" indent="1"/>
    </xf>
    <xf numFmtId="0" fontId="39" fillId="0" borderId="33" xfId="0" applyFont="1" applyBorder="1" applyAlignment="1">
      <alignment horizontal="center" vertical="center"/>
    </xf>
    <xf numFmtId="0" fontId="22" fillId="0" borderId="33" xfId="0" applyFont="1" applyFill="1" applyBorder="1" applyAlignment="1">
      <alignment horizontal="center" vertical="center"/>
    </xf>
    <xf numFmtId="172" fontId="22" fillId="0" borderId="33" xfId="1" applyNumberFormat="1" applyFont="1" applyFill="1" applyBorder="1" applyAlignment="1">
      <alignment horizontal="center" vertical="center"/>
    </xf>
    <xf numFmtId="0" fontId="22" fillId="0" borderId="33" xfId="0" applyFont="1" applyFill="1" applyBorder="1" applyAlignment="1">
      <alignment horizontal="left" vertical="center" wrapText="1" indent="1"/>
    </xf>
    <xf numFmtId="172" fontId="22" fillId="42" borderId="33" xfId="1" applyNumberFormat="1" applyFont="1" applyFill="1" applyBorder="1" applyAlignment="1">
      <alignment horizontal="center" vertical="center" wrapText="1"/>
    </xf>
    <xf numFmtId="0" fontId="93" fillId="24" borderId="44" xfId="0" applyFont="1" applyFill="1" applyBorder="1" applyAlignment="1">
      <alignment vertical="center"/>
    </xf>
    <xf numFmtId="0" fontId="93" fillId="24" borderId="4" xfId="0" applyFont="1" applyFill="1" applyBorder="1" applyAlignment="1">
      <alignment vertical="center"/>
    </xf>
    <xf numFmtId="0" fontId="93" fillId="69" borderId="4" xfId="0" applyFont="1" applyFill="1" applyBorder="1" applyAlignment="1">
      <alignment vertical="center"/>
    </xf>
    <xf numFmtId="0" fontId="4" fillId="70" borderId="0" xfId="0" applyFont="1" applyFill="1"/>
    <xf numFmtId="0" fontId="6" fillId="25" borderId="33" xfId="0" applyFont="1" applyFill="1" applyBorder="1" applyAlignment="1">
      <alignment horizontal="center" vertical="center" wrapText="1"/>
    </xf>
    <xf numFmtId="0" fontId="68" fillId="33" borderId="6" xfId="0" applyFont="1" applyFill="1" applyBorder="1" applyAlignment="1">
      <alignment horizontal="left" indent="2"/>
    </xf>
    <xf numFmtId="0" fontId="6" fillId="0" borderId="0" xfId="0" applyFont="1" applyAlignment="1">
      <alignment horizontal="left" vertical="center" wrapText="1" indent="1"/>
    </xf>
    <xf numFmtId="0" fontId="9" fillId="33" borderId="6" xfId="0" applyFont="1" applyFill="1" applyBorder="1" applyAlignment="1">
      <alignment horizontal="left" indent="2"/>
    </xf>
    <xf numFmtId="0" fontId="4" fillId="0" borderId="4" xfId="0" applyFont="1" applyBorder="1" applyAlignment="1">
      <alignment horizontal="left" vertical="center" wrapText="1" indent="1"/>
    </xf>
    <xf numFmtId="0" fontId="6" fillId="71" borderId="1" xfId="0" applyFont="1" applyFill="1" applyBorder="1" applyAlignment="1">
      <alignment horizontal="center" vertical="center" wrapText="1"/>
    </xf>
    <xf numFmtId="0" fontId="6" fillId="71" borderId="3" xfId="0" applyFont="1" applyFill="1" applyBorder="1" applyAlignment="1">
      <alignment horizontal="center" vertical="center" wrapText="1"/>
    </xf>
    <xf numFmtId="0" fontId="6" fillId="71" borderId="29" xfId="0" applyFont="1" applyFill="1" applyBorder="1" applyAlignment="1">
      <alignment horizontal="center" vertical="center" wrapText="1"/>
    </xf>
    <xf numFmtId="0" fontId="94" fillId="33" borderId="6" xfId="0" applyFont="1" applyFill="1" applyBorder="1" applyAlignment="1">
      <alignment horizontal="left" indent="2"/>
    </xf>
    <xf numFmtId="0" fontId="9" fillId="0" borderId="6" xfId="0" applyFont="1" applyFill="1" applyBorder="1" applyAlignment="1">
      <alignment horizontal="left" indent="1"/>
    </xf>
    <xf numFmtId="0" fontId="9" fillId="0" borderId="0" xfId="0" applyFont="1" applyAlignment="1"/>
    <xf numFmtId="0" fontId="59" fillId="0" borderId="46" xfId="0" applyFont="1" applyFill="1" applyBorder="1" applyAlignment="1">
      <alignment horizontal="left" indent="1"/>
    </xf>
    <xf numFmtId="0" fontId="9" fillId="0" borderId="0" xfId="0" applyFont="1" applyFill="1" applyAlignment="1"/>
    <xf numFmtId="0" fontId="59" fillId="0" borderId="0" xfId="0" applyFont="1" applyAlignment="1">
      <alignment horizontal="left" indent="1"/>
    </xf>
    <xf numFmtId="0" fontId="59" fillId="0" borderId="47" xfId="0" applyFont="1" applyBorder="1" applyAlignment="1">
      <alignment horizontal="left" indent="1"/>
    </xf>
    <xf numFmtId="0" fontId="22" fillId="0" borderId="4" xfId="0" applyFont="1" applyFill="1" applyBorder="1" applyAlignment="1">
      <alignment horizontal="left" vertical="center" wrapText="1" indent="1"/>
    </xf>
    <xf numFmtId="0" fontId="59" fillId="0" borderId="0" xfId="0" applyFont="1" applyAlignment="1">
      <alignment horizontal="left" vertical="center" indent="1"/>
    </xf>
    <xf numFmtId="3" fontId="59" fillId="0" borderId="0" xfId="0" applyNumberFormat="1" applyFont="1" applyAlignment="1">
      <alignment horizontal="left" indent="1"/>
    </xf>
    <xf numFmtId="0" fontId="59" fillId="0" borderId="0" xfId="0" applyFont="1" applyAlignment="1">
      <alignment horizontal="center" vertical="center"/>
    </xf>
    <xf numFmtId="0" fontId="11" fillId="0" borderId="0" xfId="0" applyFont="1" applyFill="1" applyAlignment="1">
      <alignment horizontal="center"/>
    </xf>
    <xf numFmtId="172" fontId="11" fillId="0" borderId="0" xfId="1" applyNumberFormat="1" applyFont="1" applyFill="1" applyAlignment="1">
      <alignment horizontal="center"/>
    </xf>
    <xf numFmtId="171" fontId="11" fillId="0" borderId="0" xfId="0" applyNumberFormat="1" applyFont="1" applyFill="1" applyAlignment="1">
      <alignment horizontal="center"/>
    </xf>
    <xf numFmtId="0" fontId="11" fillId="0" borderId="4" xfId="0" applyFont="1" applyFill="1" applyBorder="1" applyAlignment="1">
      <alignment horizontal="center"/>
    </xf>
    <xf numFmtId="0" fontId="0" fillId="0" borderId="0" xfId="0" applyFont="1" applyFill="1" applyAlignment="1">
      <alignment horizontal="center"/>
    </xf>
    <xf numFmtId="0" fontId="0" fillId="0" borderId="0" xfId="0" applyAlignment="1">
      <alignment wrapText="1"/>
    </xf>
    <xf numFmtId="0" fontId="64" fillId="0" borderId="5" xfId="0" applyFont="1" applyBorder="1" applyAlignment="1">
      <alignment horizontal="left" vertical="top" wrapText="1"/>
    </xf>
    <xf numFmtId="0" fontId="64" fillId="0" borderId="3" xfId="0" applyFont="1" applyBorder="1" applyAlignment="1">
      <alignment horizontal="center" vertical="top" wrapText="1"/>
    </xf>
    <xf numFmtId="0" fontId="64" fillId="0" borderId="3" xfId="0" applyFont="1" applyFill="1" applyBorder="1" applyAlignment="1">
      <alignment vertical="top" wrapText="1"/>
    </xf>
    <xf numFmtId="0" fontId="64" fillId="0" borderId="3" xfId="0" applyFont="1" applyFill="1" applyBorder="1" applyAlignment="1">
      <alignment horizontal="left" vertical="top" wrapText="1"/>
    </xf>
    <xf numFmtId="0" fontId="64" fillId="0" borderId="5" xfId="0" applyFont="1" applyFill="1" applyBorder="1" applyAlignment="1">
      <alignment horizontal="left" vertical="top" wrapText="1"/>
    </xf>
    <xf numFmtId="0" fontId="64" fillId="0" borderId="1" xfId="0" applyFont="1" applyBorder="1" applyAlignment="1">
      <alignment horizontal="left" vertical="top" wrapText="1"/>
    </xf>
    <xf numFmtId="0" fontId="64" fillId="64" borderId="1" xfId="0" applyFont="1" applyFill="1" applyBorder="1" applyAlignment="1">
      <alignment horizontal="left" vertical="top" wrapText="1"/>
    </xf>
    <xf numFmtId="0" fontId="64" fillId="0" borderId="1" xfId="0" applyFont="1" applyBorder="1" applyAlignment="1">
      <alignment vertical="top" wrapText="1"/>
    </xf>
    <xf numFmtId="172" fontId="0" fillId="0" borderId="46" xfId="0" applyNumberFormat="1" applyFont="1" applyBorder="1" applyAlignment="1">
      <alignment vertical="center"/>
    </xf>
    <xf numFmtId="172" fontId="0" fillId="0" borderId="46" xfId="0" applyNumberFormat="1" applyFont="1" applyBorder="1" applyAlignment="1"/>
    <xf numFmtId="0" fontId="97" fillId="0" borderId="0" xfId="0" applyFont="1"/>
    <xf numFmtId="0" fontId="0" fillId="0" borderId="0" xfId="0" pivotButton="1" applyAlignment="1">
      <alignment horizontal="center" vertical="center" wrapText="1"/>
    </xf>
    <xf numFmtId="0" fontId="0" fillId="74" borderId="0" xfId="0" applyFont="1" applyFill="1" applyAlignment="1">
      <alignment horizontal="left" vertical="center" wrapText="1"/>
    </xf>
    <xf numFmtId="0" fontId="14" fillId="0" borderId="3" xfId="0" applyFont="1" applyFill="1" applyBorder="1" applyAlignment="1">
      <alignment horizontal="left" vertical="center" wrapText="1" indent="1"/>
    </xf>
    <xf numFmtId="0" fontId="9" fillId="0" borderId="0" xfId="0" applyFont="1" applyAlignment="1">
      <alignment horizontal="left" indent="1"/>
    </xf>
    <xf numFmtId="3" fontId="0" fillId="0" borderId="0" xfId="0" applyNumberFormat="1" applyFont="1" applyAlignment="1">
      <alignment vertical="center"/>
    </xf>
    <xf numFmtId="3" fontId="0" fillId="74" borderId="0" xfId="0" applyNumberFormat="1" applyFont="1" applyFill="1" applyAlignment="1">
      <alignment horizontal="left" vertical="center" indent="3"/>
    </xf>
    <xf numFmtId="3" fontId="0" fillId="74" borderId="0" xfId="0" applyNumberFormat="1" applyFont="1" applyFill="1" applyAlignment="1">
      <alignment vertical="center"/>
    </xf>
    <xf numFmtId="0" fontId="26" fillId="0" borderId="0" xfId="0" applyFont="1"/>
    <xf numFmtId="0" fontId="0" fillId="0" borderId="0" xfId="0" applyAlignment="1">
      <alignment vertical="center"/>
    </xf>
    <xf numFmtId="0" fontId="0" fillId="0" borderId="0" xfId="0" pivotButton="1" applyAlignment="1">
      <alignment vertical="center"/>
    </xf>
    <xf numFmtId="0" fontId="96" fillId="0" borderId="0" xfId="0" applyFont="1" applyAlignment="1"/>
    <xf numFmtId="0" fontId="98" fillId="0" borderId="0" xfId="0" applyFont="1" applyAlignment="1"/>
    <xf numFmtId="172" fontId="0" fillId="0" borderId="0" xfId="0" applyNumberFormat="1" applyFont="1" applyAlignment="1">
      <alignment horizontal="center" vertical="center"/>
    </xf>
    <xf numFmtId="0" fontId="0" fillId="0" borderId="4" xfId="0" applyBorder="1"/>
    <xf numFmtId="0" fontId="0" fillId="0" borderId="4" xfId="0" applyFill="1" applyBorder="1"/>
    <xf numFmtId="0" fontId="99" fillId="0" borderId="4" xfId="0" applyFont="1" applyFill="1" applyBorder="1" applyAlignment="1">
      <alignment vertical="center"/>
    </xf>
    <xf numFmtId="0" fontId="0" fillId="0" borderId="4" xfId="0" applyFill="1" applyBorder="1" applyAlignment="1">
      <alignment vertical="center"/>
    </xf>
    <xf numFmtId="0" fontId="26" fillId="0" borderId="4" xfId="0" applyFont="1" applyFill="1" applyBorder="1"/>
    <xf numFmtId="10" fontId="0" fillId="0" borderId="4" xfId="4" applyNumberFormat="1" applyFont="1" applyFill="1" applyBorder="1" applyAlignment="1"/>
    <xf numFmtId="3" fontId="0" fillId="0" borderId="0" xfId="0" applyNumberFormat="1" applyFont="1" applyAlignment="1">
      <alignment horizontal="left"/>
    </xf>
    <xf numFmtId="3" fontId="0" fillId="0" borderId="0" xfId="0" applyNumberFormat="1" applyFont="1" applyAlignment="1">
      <alignment horizontal="left" indent="1"/>
    </xf>
    <xf numFmtId="0" fontId="100" fillId="75" borderId="1" xfId="0" applyFont="1" applyFill="1" applyBorder="1" applyAlignment="1">
      <alignment horizontal="center" vertical="center" wrapText="1"/>
    </xf>
    <xf numFmtId="0" fontId="5" fillId="2" borderId="3" xfId="0" applyFont="1" applyFill="1" applyBorder="1" applyAlignment="1">
      <alignment horizontal="left" vertical="center" wrapText="1"/>
    </xf>
    <xf numFmtId="0" fontId="11" fillId="0" borderId="1" xfId="0" applyFont="1" applyBorder="1" applyAlignment="1">
      <alignment horizontal="left" indent="1"/>
    </xf>
    <xf numFmtId="0" fontId="11" fillId="0" borderId="33" xfId="0" applyFont="1" applyBorder="1" applyAlignment="1">
      <alignment horizontal="left"/>
    </xf>
    <xf numFmtId="172" fontId="0" fillId="0" borderId="33" xfId="1" applyNumberFormat="1" applyFont="1" applyBorder="1" applyAlignment="1"/>
    <xf numFmtId="0" fontId="11" fillId="76" borderId="1" xfId="0" applyFont="1" applyFill="1" applyBorder="1" applyAlignment="1">
      <alignment horizontal="center" wrapText="1"/>
    </xf>
    <xf numFmtId="165" fontId="90" fillId="75" borderId="1" xfId="0" applyNumberFormat="1" applyFont="1" applyFill="1" applyBorder="1" applyAlignment="1">
      <alignment horizontal="center" vertical="center"/>
    </xf>
    <xf numFmtId="0" fontId="90" fillId="75" borderId="1" xfId="0" applyFont="1" applyFill="1" applyBorder="1" applyAlignment="1">
      <alignment horizontal="center"/>
    </xf>
    <xf numFmtId="165" fontId="90" fillId="75" borderId="1" xfId="0" applyNumberFormat="1" applyFont="1" applyFill="1" applyBorder="1" applyAlignment="1">
      <alignment vertical="center"/>
    </xf>
    <xf numFmtId="0" fontId="102" fillId="42" borderId="0" xfId="0" applyFont="1" applyFill="1"/>
    <xf numFmtId="0" fontId="8" fillId="74" borderId="48" xfId="0" applyFont="1" applyFill="1" applyBorder="1" applyAlignment="1">
      <alignment horizontal="center" vertical="center"/>
    </xf>
    <xf numFmtId="0" fontId="8" fillId="74" borderId="52" xfId="0" applyFont="1" applyFill="1" applyBorder="1" applyAlignment="1">
      <alignment horizontal="center" vertical="center"/>
    </xf>
    <xf numFmtId="0" fontId="8" fillId="74" borderId="53" xfId="0" applyFont="1" applyFill="1" applyBorder="1" applyAlignment="1">
      <alignment horizontal="center" vertical="center" wrapText="1"/>
    </xf>
    <xf numFmtId="0" fontId="8" fillId="74" borderId="53" xfId="0" applyFont="1" applyFill="1" applyBorder="1" applyAlignment="1">
      <alignment horizontal="center" vertical="center"/>
    </xf>
    <xf numFmtId="0" fontId="20" fillId="42" borderId="53" xfId="0" applyFont="1" applyFill="1" applyBorder="1" applyAlignment="1">
      <alignment horizontal="left" wrapText="1" indent="1"/>
    </xf>
    <xf numFmtId="3" fontId="20" fillId="42" borderId="53" xfId="0" applyNumberFormat="1" applyFont="1" applyFill="1" applyBorder="1" applyAlignment="1">
      <alignment horizontal="right"/>
    </xf>
    <xf numFmtId="9" fontId="20" fillId="42" borderId="53" xfId="4" applyFont="1" applyFill="1" applyBorder="1" applyAlignment="1">
      <alignment horizontal="center"/>
    </xf>
    <xf numFmtId="0" fontId="20" fillId="42" borderId="0" xfId="0" applyFont="1" applyFill="1"/>
    <xf numFmtId="3" fontId="20" fillId="42" borderId="53" xfId="0" applyNumberFormat="1" applyFont="1" applyFill="1" applyBorder="1" applyAlignment="1">
      <alignment horizontal="right" wrapText="1"/>
    </xf>
    <xf numFmtId="0" fontId="20" fillId="42" borderId="53" xfId="0" applyFont="1" applyFill="1" applyBorder="1" applyAlignment="1">
      <alignment horizontal="right" wrapText="1"/>
    </xf>
    <xf numFmtId="0" fontId="14" fillId="38" borderId="53" xfId="0" applyFont="1" applyFill="1" applyBorder="1" applyAlignment="1">
      <alignment horizontal="center" wrapText="1"/>
    </xf>
    <xf numFmtId="3" fontId="14" fillId="38" borderId="53" xfId="0" applyNumberFormat="1" applyFont="1" applyFill="1" applyBorder="1" applyAlignment="1">
      <alignment horizontal="right" wrapText="1"/>
    </xf>
    <xf numFmtId="9" fontId="14" fillId="42" borderId="53" xfId="4" applyFont="1" applyFill="1" applyBorder="1" applyAlignment="1">
      <alignment horizontal="center"/>
    </xf>
    <xf numFmtId="0" fontId="14" fillId="42" borderId="0" xfId="0" applyFont="1" applyFill="1"/>
    <xf numFmtId="0" fontId="20" fillId="42" borderId="0" xfId="0" applyFont="1" applyFill="1" applyAlignment="1">
      <alignment horizontal="left" indent="1"/>
    </xf>
    <xf numFmtId="0" fontId="20" fillId="42" borderId="53" xfId="0" applyFont="1" applyFill="1" applyBorder="1" applyAlignment="1">
      <alignment horizontal="right"/>
    </xf>
    <xf numFmtId="3" fontId="6" fillId="73" borderId="31" xfId="0" applyNumberFormat="1" applyFont="1" applyFill="1" applyBorder="1" applyAlignment="1">
      <alignment vertical="center" wrapText="1"/>
    </xf>
    <xf numFmtId="172" fontId="4" fillId="0" borderId="11" xfId="0" applyNumberFormat="1" applyFont="1" applyBorder="1" applyAlignment="1">
      <alignment vertical="top" wrapText="1"/>
    </xf>
    <xf numFmtId="10" fontId="4" fillId="0" borderId="27" xfId="0" applyNumberFormat="1" applyFont="1" applyBorder="1" applyAlignment="1">
      <alignment horizontal="center" vertical="top"/>
    </xf>
    <xf numFmtId="172" fontId="4" fillId="0" borderId="31" xfId="0" applyNumberFormat="1" applyFont="1" applyBorder="1" applyAlignment="1">
      <alignment horizontal="center" vertical="top"/>
    </xf>
    <xf numFmtId="10" fontId="4" fillId="0" borderId="9" xfId="0" applyNumberFormat="1" applyFont="1" applyBorder="1" applyAlignment="1">
      <alignment horizontal="center" vertical="top"/>
    </xf>
    <xf numFmtId="172" fontId="4" fillId="0" borderId="30" xfId="0" applyNumberFormat="1" applyFont="1" applyBorder="1" applyAlignment="1">
      <alignment vertical="top"/>
    </xf>
    <xf numFmtId="172" fontId="4" fillId="0" borderId="4" xfId="0" applyNumberFormat="1" applyFont="1" applyBorder="1" applyAlignment="1">
      <alignment horizontal="center" vertical="top"/>
    </xf>
    <xf numFmtId="10" fontId="4" fillId="0" borderId="4" xfId="0" applyNumberFormat="1" applyFont="1" applyBorder="1" applyAlignment="1">
      <alignment horizontal="center" vertical="top"/>
    </xf>
    <xf numFmtId="172" fontId="6" fillId="0" borderId="4" xfId="0" applyNumberFormat="1" applyFont="1" applyBorder="1" applyAlignment="1">
      <alignment horizontal="center" vertical="top"/>
    </xf>
    <xf numFmtId="172" fontId="6" fillId="0" borderId="27" xfId="0" applyNumberFormat="1" applyFont="1" applyBorder="1" applyAlignment="1">
      <alignment horizontal="center" vertical="top"/>
    </xf>
    <xf numFmtId="172" fontId="4" fillId="0" borderId="27" xfId="0" applyNumberFormat="1" applyFont="1" applyBorder="1" applyAlignment="1">
      <alignment horizontal="center" vertical="top"/>
    </xf>
    <xf numFmtId="172" fontId="6" fillId="0" borderId="31" xfId="0" applyNumberFormat="1" applyFont="1" applyBorder="1" applyAlignment="1">
      <alignment horizontal="center" vertical="top"/>
    </xf>
    <xf numFmtId="172" fontId="6" fillId="0" borderId="10" xfId="0" applyNumberFormat="1" applyFont="1" applyBorder="1" applyAlignment="1">
      <alignment horizontal="center" vertical="top"/>
    </xf>
    <xf numFmtId="172" fontId="4" fillId="0" borderId="1" xfId="0" applyNumberFormat="1" applyFont="1" applyBorder="1" applyAlignment="1">
      <alignment horizontal="center" vertical="top"/>
    </xf>
    <xf numFmtId="172" fontId="6" fillId="0" borderId="1" xfId="0" applyNumberFormat="1" applyFont="1" applyBorder="1" applyAlignment="1">
      <alignment horizontal="center" vertical="top"/>
    </xf>
    <xf numFmtId="172" fontId="4" fillId="0" borderId="12" xfId="0" applyNumberFormat="1" applyFont="1" applyBorder="1" applyAlignment="1">
      <alignment horizontal="center" vertical="top" wrapText="1"/>
    </xf>
    <xf numFmtId="172" fontId="4" fillId="0" borderId="31" xfId="0" applyNumberFormat="1" applyFont="1" applyBorder="1" applyAlignment="1">
      <alignment horizontal="center" vertical="top" wrapText="1"/>
    </xf>
    <xf numFmtId="172" fontId="4" fillId="0" borderId="13" xfId="0" applyNumberFormat="1" applyFont="1" applyBorder="1" applyAlignment="1">
      <alignment horizontal="center" vertical="top" wrapText="1"/>
    </xf>
    <xf numFmtId="172" fontId="4" fillId="0" borderId="13" xfId="0" applyNumberFormat="1" applyFont="1" applyBorder="1" applyAlignment="1">
      <alignment horizontal="center" vertical="top"/>
    </xf>
    <xf numFmtId="172" fontId="6" fillId="0" borderId="13" xfId="0" applyNumberFormat="1" applyFont="1" applyBorder="1" applyAlignment="1">
      <alignment horizontal="center" vertical="top"/>
    </xf>
    <xf numFmtId="172" fontId="4" fillId="0" borderId="12" xfId="0" applyNumberFormat="1" applyFont="1" applyBorder="1" applyAlignment="1">
      <alignment horizontal="center" vertical="top"/>
    </xf>
    <xf numFmtId="172" fontId="4" fillId="0" borderId="10" xfId="0" applyNumberFormat="1" applyFont="1" applyBorder="1" applyAlignment="1">
      <alignment horizontal="center" vertical="top"/>
    </xf>
    <xf numFmtId="10" fontId="4" fillId="0" borderId="1" xfId="0" applyNumberFormat="1" applyFont="1" applyBorder="1" applyAlignment="1">
      <alignment horizontal="center" vertical="top"/>
    </xf>
    <xf numFmtId="0" fontId="0" fillId="0" borderId="1" xfId="0" applyBorder="1"/>
    <xf numFmtId="172" fontId="4" fillId="0" borderId="27" xfId="0" applyNumberFormat="1" applyFont="1" applyBorder="1" applyAlignment="1">
      <alignment horizontal="center" vertical="top" wrapText="1"/>
    </xf>
    <xf numFmtId="172" fontId="4" fillId="0" borderId="4" xfId="0" applyNumberFormat="1" applyFont="1" applyBorder="1" applyAlignment="1">
      <alignment horizontal="center" vertical="top" wrapText="1"/>
    </xf>
    <xf numFmtId="172" fontId="4" fillId="0" borderId="7" xfId="0" applyNumberFormat="1" applyFont="1" applyBorder="1" applyAlignment="1">
      <alignment vertical="top"/>
    </xf>
    <xf numFmtId="172" fontId="6" fillId="0" borderId="7" xfId="0" applyNumberFormat="1" applyFont="1" applyBorder="1" applyAlignment="1">
      <alignment vertical="top"/>
    </xf>
    <xf numFmtId="172" fontId="4" fillId="0" borderId="10" xfId="0" applyNumberFormat="1" applyFont="1" applyBorder="1" applyAlignment="1">
      <alignment horizontal="center" vertical="top" wrapText="1"/>
    </xf>
    <xf numFmtId="172" fontId="6" fillId="0" borderId="31" xfId="0" applyNumberFormat="1" applyFont="1" applyBorder="1" applyAlignment="1">
      <alignment vertical="top"/>
    </xf>
    <xf numFmtId="172" fontId="4" fillId="0" borderId="31" xfId="0" applyNumberFormat="1" applyFont="1" applyBorder="1" applyAlignment="1">
      <alignment vertical="top"/>
    </xf>
    <xf numFmtId="172" fontId="4" fillId="0" borderId="27" xfId="0" applyNumberFormat="1" applyFont="1" applyBorder="1" applyAlignment="1">
      <alignment vertical="top"/>
    </xf>
    <xf numFmtId="172" fontId="6" fillId="0" borderId="27" xfId="0" applyNumberFormat="1" applyFont="1" applyBorder="1" applyAlignment="1">
      <alignment vertical="top"/>
    </xf>
    <xf numFmtId="172" fontId="4" fillId="0" borderId="10" xfId="0" applyNumberFormat="1" applyFont="1" applyBorder="1" applyAlignment="1">
      <alignment vertical="top"/>
    </xf>
    <xf numFmtId="172" fontId="6" fillId="0" borderId="10" xfId="0" applyNumberFormat="1" applyFont="1" applyBorder="1" applyAlignment="1">
      <alignment vertical="top"/>
    </xf>
    <xf numFmtId="172" fontId="6" fillId="0" borderId="0" xfId="0" applyNumberFormat="1" applyFont="1" applyAlignment="1">
      <alignment vertical="top"/>
    </xf>
    <xf numFmtId="172" fontId="64" fillId="0" borderId="0" xfId="1" applyNumberFormat="1" applyFont="1" applyAlignment="1">
      <alignment vertical="top"/>
    </xf>
    <xf numFmtId="172" fontId="66" fillId="0" borderId="4" xfId="1" applyNumberFormat="1" applyFont="1" applyBorder="1" applyAlignment="1">
      <alignment horizontal="center"/>
    </xf>
    <xf numFmtId="172" fontId="64" fillId="0" borderId="4" xfId="1" applyNumberFormat="1" applyFont="1" applyBorder="1" applyAlignment="1">
      <alignment vertical="top"/>
    </xf>
    <xf numFmtId="172" fontId="64" fillId="60" borderId="1" xfId="1" applyNumberFormat="1" applyFont="1" applyFill="1" applyBorder="1" applyAlignment="1">
      <alignment horizontal="center" vertical="center" wrapText="1"/>
    </xf>
    <xf numFmtId="172" fontId="64" fillId="0" borderId="11" xfId="1" applyNumberFormat="1" applyFont="1" applyBorder="1" applyAlignment="1">
      <alignment vertical="top"/>
    </xf>
    <xf numFmtId="172" fontId="64" fillId="0" borderId="1" xfId="1" applyNumberFormat="1" applyFont="1" applyBorder="1" applyAlignment="1">
      <alignment vertical="top"/>
    </xf>
    <xf numFmtId="172" fontId="64" fillId="0" borderId="9" xfId="1" applyNumberFormat="1" applyFont="1" applyBorder="1" applyAlignment="1">
      <alignment vertical="top"/>
    </xf>
    <xf numFmtId="172" fontId="64" fillId="0" borderId="5" xfId="1" applyNumberFormat="1" applyFont="1" applyBorder="1" applyAlignment="1">
      <alignment vertical="top"/>
    </xf>
    <xf numFmtId="10" fontId="64" fillId="0" borderId="4" xfId="0" applyNumberFormat="1" applyFont="1" applyFill="1" applyBorder="1" applyAlignment="1">
      <alignment vertical="top"/>
    </xf>
    <xf numFmtId="0" fontId="64" fillId="0" borderId="0" xfId="0" applyFont="1" applyAlignment="1">
      <alignment horizontal="left" indent="1"/>
    </xf>
    <xf numFmtId="0" fontId="66" fillId="0" borderId="4" xfId="0" applyFont="1" applyBorder="1" applyAlignment="1">
      <alignment horizontal="left" indent="1"/>
    </xf>
    <xf numFmtId="0" fontId="64" fillId="0" borderId="4" xfId="0" applyFont="1" applyBorder="1" applyAlignment="1">
      <alignment horizontal="left" indent="1"/>
    </xf>
    <xf numFmtId="0" fontId="0" fillId="0" borderId="4" xfId="0" applyFont="1" applyBorder="1" applyAlignment="1">
      <alignment horizontal="left" indent="1"/>
    </xf>
    <xf numFmtId="0" fontId="65" fillId="60" borderId="3" xfId="0" applyFont="1" applyFill="1" applyBorder="1" applyAlignment="1">
      <alignment horizontal="left" vertical="center" wrapText="1" indent="1"/>
    </xf>
    <xf numFmtId="0" fontId="65" fillId="60" borderId="29" xfId="0" applyFont="1" applyFill="1" applyBorder="1" applyAlignment="1">
      <alignment horizontal="left" vertical="center" wrapText="1" indent="1"/>
    </xf>
    <xf numFmtId="0" fontId="64" fillId="0" borderId="1" xfId="0" applyFont="1" applyBorder="1" applyAlignment="1">
      <alignment horizontal="left" vertical="top" wrapText="1" indent="1"/>
    </xf>
    <xf numFmtId="0" fontId="18" fillId="0" borderId="1" xfId="0" applyFont="1" applyBorder="1" applyAlignment="1">
      <alignment horizontal="left" vertical="top" wrapText="1" indent="1"/>
    </xf>
    <xf numFmtId="0" fontId="69" fillId="0" borderId="1" xfId="0" applyFont="1" applyBorder="1" applyAlignment="1">
      <alignment horizontal="left" vertical="top" wrapText="1" indent="1"/>
    </xf>
    <xf numFmtId="0" fontId="64" fillId="0" borderId="3" xfId="0" applyFont="1" applyBorder="1" applyAlignment="1">
      <alignment horizontal="left" vertical="top" wrapText="1" indent="1"/>
    </xf>
    <xf numFmtId="0" fontId="64" fillId="0" borderId="2" xfId="0" applyFont="1" applyBorder="1" applyAlignment="1">
      <alignment horizontal="left" vertical="top" wrapText="1" indent="1"/>
    </xf>
    <xf numFmtId="0" fontId="64" fillId="0" borderId="7" xfId="0" applyFont="1" applyBorder="1" applyAlignment="1">
      <alignment horizontal="left" vertical="top" wrapText="1" indent="1"/>
    </xf>
    <xf numFmtId="0" fontId="64" fillId="0" borderId="5" xfId="0" applyFont="1" applyBorder="1" applyAlignment="1">
      <alignment horizontal="left" vertical="top" wrapText="1" indent="1"/>
    </xf>
    <xf numFmtId="0" fontId="64" fillId="0" borderId="1" xfId="0" applyFont="1" applyBorder="1" applyAlignment="1">
      <alignment horizontal="left" vertical="top" indent="1"/>
    </xf>
    <xf numFmtId="0" fontId="64" fillId="0" borderId="3" xfId="0" applyFont="1" applyBorder="1" applyAlignment="1">
      <alignment horizontal="left" vertical="top" indent="1"/>
    </xf>
    <xf numFmtId="0" fontId="64" fillId="0" borderId="11" xfId="0" applyFont="1" applyBorder="1" applyAlignment="1">
      <alignment horizontal="left" vertical="top" indent="1"/>
    </xf>
    <xf numFmtId="0" fontId="64" fillId="0" borderId="5" xfId="0" applyFont="1" applyBorder="1" applyAlignment="1">
      <alignment horizontal="left" vertical="top" indent="1"/>
    </xf>
    <xf numFmtId="0" fontId="22" fillId="64" borderId="1" xfId="0" applyFont="1" applyFill="1" applyBorder="1" applyAlignment="1">
      <alignment horizontal="left" vertical="top" wrapText="1" indent="1"/>
    </xf>
    <xf numFmtId="0" fontId="64" fillId="64" borderId="1" xfId="0" applyFont="1" applyFill="1" applyBorder="1" applyAlignment="1">
      <alignment horizontal="left" vertical="top" wrapText="1" indent="1"/>
    </xf>
    <xf numFmtId="0" fontId="69" fillId="64" borderId="7" xfId="0" applyFont="1" applyFill="1" applyBorder="1" applyAlignment="1">
      <alignment horizontal="left" vertical="top" wrapText="1" indent="1"/>
    </xf>
    <xf numFmtId="0" fontId="22" fillId="0" borderId="1" xfId="0" applyFont="1" applyBorder="1" applyAlignment="1">
      <alignment horizontal="left" vertical="top" wrapText="1" indent="1"/>
    </xf>
    <xf numFmtId="172" fontId="6" fillId="0" borderId="0" xfId="1" applyNumberFormat="1" applyFont="1" applyAlignment="1">
      <alignment vertical="top"/>
    </xf>
    <xf numFmtId="0" fontId="26" fillId="0" borderId="0" xfId="0" applyFont="1" applyAlignment="1">
      <alignment horizontal="left"/>
    </xf>
    <xf numFmtId="0" fontId="20" fillId="0" borderId="4" xfId="0" applyFont="1" applyBorder="1" applyAlignment="1">
      <alignment horizontal="center"/>
    </xf>
    <xf numFmtId="0" fontId="26" fillId="34" borderId="4" xfId="0" applyFont="1" applyFill="1" applyBorder="1" applyAlignment="1">
      <alignment horizontal="left"/>
    </xf>
    <xf numFmtId="0" fontId="4" fillId="34" borderId="1" xfId="0" applyFont="1" applyFill="1" applyBorder="1" applyAlignment="1">
      <alignment horizontal="center" vertical="center" wrapText="1"/>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4" fillId="0" borderId="5" xfId="0" applyFont="1" applyBorder="1" applyAlignment="1">
      <alignment horizontal="center" vertical="top" wrapText="1"/>
    </xf>
    <xf numFmtId="0" fontId="4" fillId="0" borderId="5" xfId="0" applyFont="1" applyBorder="1" applyAlignment="1">
      <alignment horizontal="center" vertical="top"/>
    </xf>
    <xf numFmtId="0" fontId="4" fillId="0" borderId="5" xfId="0" applyFont="1" applyBorder="1" applyAlignment="1">
      <alignment horizontal="left" vertical="top" wrapText="1"/>
    </xf>
    <xf numFmtId="0" fontId="4" fillId="0" borderId="11" xfId="0" applyFont="1" applyBorder="1" applyAlignment="1">
      <alignment horizontal="left" vertical="top" wrapText="1"/>
    </xf>
    <xf numFmtId="0" fontId="4" fillId="0" borderId="11" xfId="0" applyFont="1" applyBorder="1" applyAlignment="1">
      <alignment horizontal="center" vertical="top"/>
    </xf>
    <xf numFmtId="172" fontId="4" fillId="0" borderId="1" xfId="0" applyNumberFormat="1" applyFont="1" applyBorder="1" applyAlignment="1">
      <alignment vertical="top" wrapText="1"/>
    </xf>
    <xf numFmtId="0" fontId="4" fillId="0" borderId="5" xfId="0" applyFont="1" applyFill="1" applyBorder="1" applyAlignment="1">
      <alignment horizontal="left" vertical="top" wrapText="1"/>
    </xf>
    <xf numFmtId="175" fontId="4" fillId="0" borderId="11" xfId="0" applyNumberFormat="1" applyFont="1" applyBorder="1" applyAlignment="1">
      <alignment horizontal="left" vertical="top" wrapText="1"/>
    </xf>
    <xf numFmtId="175" fontId="4" fillId="0" borderId="5" xfId="0" applyNumberFormat="1" applyFont="1" applyBorder="1" applyAlignment="1">
      <alignment horizontal="left" vertical="top" wrapText="1"/>
    </xf>
    <xf numFmtId="0" fontId="4" fillId="64" borderId="5" xfId="0" applyFont="1" applyFill="1" applyBorder="1" applyAlignment="1">
      <alignment horizontal="left" vertical="top" wrapText="1"/>
    </xf>
    <xf numFmtId="0" fontId="4" fillId="0" borderId="5" xfId="0" applyFont="1" applyFill="1" applyBorder="1" applyAlignment="1">
      <alignment horizontal="center" vertical="top" wrapText="1"/>
    </xf>
    <xf numFmtId="0" fontId="4" fillId="64" borderId="1" xfId="0" applyFont="1" applyFill="1" applyBorder="1" applyAlignment="1">
      <alignment horizontal="left" vertical="top" wrapText="1"/>
    </xf>
    <xf numFmtId="172" fontId="4" fillId="0" borderId="5" xfId="0" applyNumberFormat="1" applyFont="1" applyBorder="1" applyAlignment="1">
      <alignment horizontal="center" vertical="top"/>
    </xf>
    <xf numFmtId="0" fontId="26" fillId="0" borderId="4" xfId="0" applyFont="1" applyBorder="1" applyAlignment="1">
      <alignment horizontal="left"/>
    </xf>
    <xf numFmtId="172" fontId="26" fillId="0" borderId="0" xfId="1" applyNumberFormat="1" applyFont="1" applyAlignment="1">
      <alignment horizontal="left"/>
    </xf>
    <xf numFmtId="172" fontId="20" fillId="0" borderId="4" xfId="1" applyNumberFormat="1" applyFont="1" applyBorder="1" applyAlignment="1">
      <alignment horizontal="center"/>
    </xf>
    <xf numFmtId="172" fontId="26" fillId="34" borderId="4" xfId="1" applyNumberFormat="1" applyFont="1" applyFill="1" applyBorder="1" applyAlignment="1">
      <alignment horizontal="left"/>
    </xf>
    <xf numFmtId="172" fontId="4" fillId="34" borderId="1" xfId="1" applyNumberFormat="1" applyFont="1" applyFill="1" applyBorder="1" applyAlignment="1">
      <alignment horizontal="center" vertical="center" wrapText="1"/>
    </xf>
    <xf numFmtId="172" fontId="4" fillId="0" borderId="11" xfId="1" applyNumberFormat="1" applyFont="1" applyBorder="1" applyAlignment="1">
      <alignment vertical="top" wrapText="1"/>
    </xf>
    <xf numFmtId="172" fontId="4" fillId="0" borderId="1" xfId="1" applyNumberFormat="1" applyFont="1" applyBorder="1" applyAlignment="1">
      <alignment horizontal="left" vertical="top" wrapText="1"/>
    </xf>
    <xf numFmtId="172" fontId="4" fillId="0" borderId="1" xfId="1" applyNumberFormat="1" applyFont="1" applyBorder="1" applyAlignment="1">
      <alignment horizontal="left" vertical="top"/>
    </xf>
    <xf numFmtId="172" fontId="4" fillId="0" borderId="5" xfId="1" applyNumberFormat="1" applyFont="1" applyBorder="1" applyAlignment="1">
      <alignment horizontal="center" vertical="top" wrapText="1"/>
    </xf>
    <xf numFmtId="172" fontId="4" fillId="0" borderId="5" xfId="1" applyNumberFormat="1" applyFont="1" applyBorder="1" applyAlignment="1">
      <alignment horizontal="center" vertical="top"/>
    </xf>
    <xf numFmtId="172" fontId="4" fillId="0" borderId="5" xfId="1" applyNumberFormat="1" applyFont="1" applyBorder="1" applyAlignment="1">
      <alignment horizontal="left" vertical="top" wrapText="1"/>
    </xf>
    <xf numFmtId="172" fontId="4" fillId="0" borderId="11" xfId="1" applyNumberFormat="1" applyFont="1" applyBorder="1" applyAlignment="1">
      <alignment horizontal="left" vertical="top" wrapText="1"/>
    </xf>
    <xf numFmtId="172" fontId="4" fillId="0" borderId="11" xfId="1" applyNumberFormat="1" applyFont="1" applyBorder="1" applyAlignment="1">
      <alignment horizontal="center" vertical="top"/>
    </xf>
    <xf numFmtId="172" fontId="4" fillId="0" borderId="5" xfId="1" applyNumberFormat="1" applyFont="1" applyFill="1" applyBorder="1" applyAlignment="1">
      <alignment horizontal="left" vertical="top" wrapText="1"/>
    </xf>
    <xf numFmtId="172" fontId="4" fillId="0" borderId="1" xfId="1" applyNumberFormat="1" applyFont="1" applyBorder="1" applyAlignment="1">
      <alignment vertical="top"/>
    </xf>
    <xf numFmtId="172" fontId="4" fillId="64" borderId="5" xfId="1" applyNumberFormat="1" applyFont="1" applyFill="1" applyBorder="1" applyAlignment="1">
      <alignment horizontal="left" vertical="top" wrapText="1"/>
    </xf>
    <xf numFmtId="172" fontId="4" fillId="0" borderId="5" xfId="1" applyNumberFormat="1" applyFont="1" applyFill="1" applyBorder="1" applyAlignment="1">
      <alignment horizontal="center" vertical="top" wrapText="1"/>
    </xf>
    <xf numFmtId="172" fontId="4" fillId="64" borderId="1" xfId="1" applyNumberFormat="1" applyFont="1" applyFill="1" applyBorder="1" applyAlignment="1">
      <alignment horizontal="left" vertical="top" wrapText="1"/>
    </xf>
    <xf numFmtId="172" fontId="26" fillId="0" borderId="4" xfId="1" applyNumberFormat="1" applyFont="1" applyBorder="1" applyAlignment="1">
      <alignment horizontal="left"/>
    </xf>
    <xf numFmtId="0" fontId="64" fillId="0" borderId="7" xfId="0" applyFont="1" applyBorder="1" applyAlignment="1">
      <alignment horizontal="center" vertical="top" wrapText="1"/>
    </xf>
    <xf numFmtId="172" fontId="4" fillId="0" borderId="33" xfId="0" applyNumberFormat="1" applyFont="1" applyBorder="1" applyAlignment="1">
      <alignment vertical="top"/>
    </xf>
    <xf numFmtId="172" fontId="64" fillId="0" borderId="6" xfId="0" applyNumberFormat="1" applyFont="1" applyBorder="1" applyAlignment="1">
      <alignment vertical="top" wrapText="1"/>
    </xf>
    <xf numFmtId="0" fontId="0" fillId="0" borderId="65" xfId="0" applyBorder="1"/>
    <xf numFmtId="172" fontId="4" fillId="0" borderId="67" xfId="0" applyNumberFormat="1" applyFont="1" applyBorder="1" applyAlignment="1">
      <alignment horizontal="center" vertical="top"/>
    </xf>
    <xf numFmtId="0" fontId="4" fillId="0" borderId="72" xfId="0" applyFont="1" applyBorder="1" applyAlignment="1">
      <alignment vertical="top" wrapText="1"/>
    </xf>
    <xf numFmtId="0" fontId="4" fillId="0" borderId="73" xfId="0" applyFont="1" applyBorder="1" applyAlignment="1">
      <alignment vertical="top" wrapText="1"/>
    </xf>
    <xf numFmtId="0" fontId="0" fillId="0" borderId="40" xfId="0" applyBorder="1"/>
    <xf numFmtId="172" fontId="4" fillId="0" borderId="41" xfId="0" applyNumberFormat="1" applyFont="1" applyBorder="1" applyAlignment="1">
      <alignment horizontal="center" vertical="top"/>
    </xf>
    <xf numFmtId="172" fontId="4" fillId="0" borderId="74" xfId="0" applyNumberFormat="1" applyFont="1" applyBorder="1" applyAlignment="1">
      <alignment horizontal="center" vertical="top"/>
    </xf>
    <xf numFmtId="172" fontId="4" fillId="0" borderId="42" xfId="0" applyNumberFormat="1" applyFont="1" applyBorder="1" applyAlignment="1">
      <alignment horizontal="center" vertical="top"/>
    </xf>
    <xf numFmtId="10" fontId="4" fillId="0" borderId="33" xfId="0" applyNumberFormat="1" applyFont="1" applyBorder="1" applyAlignment="1">
      <alignment horizontal="center" vertical="top"/>
    </xf>
    <xf numFmtId="172" fontId="4" fillId="0" borderId="29" xfId="0" applyNumberFormat="1" applyFont="1" applyBorder="1" applyAlignment="1">
      <alignment horizontal="center" vertical="center"/>
    </xf>
    <xf numFmtId="172" fontId="4" fillId="0" borderId="74" xfId="0" applyNumberFormat="1" applyFont="1" applyBorder="1" applyAlignment="1">
      <alignment horizontal="center" vertical="center"/>
    </xf>
    <xf numFmtId="172" fontId="4" fillId="0" borderId="42" xfId="0" applyNumberFormat="1" applyFont="1" applyBorder="1" applyAlignment="1">
      <alignment vertical="top"/>
    </xf>
    <xf numFmtId="10" fontId="4" fillId="0" borderId="40" xfId="0" applyNumberFormat="1" applyFont="1" applyBorder="1" applyAlignment="1">
      <alignment horizontal="center" vertical="top"/>
    </xf>
    <xf numFmtId="172" fontId="6" fillId="0" borderId="40" xfId="0" applyNumberFormat="1" applyFont="1" applyBorder="1" applyAlignment="1">
      <alignment horizontal="center" vertical="top"/>
    </xf>
    <xf numFmtId="172" fontId="6" fillId="0" borderId="41" xfId="0" applyNumberFormat="1" applyFont="1" applyBorder="1" applyAlignment="1">
      <alignment horizontal="center" vertical="top"/>
    </xf>
    <xf numFmtId="172" fontId="6" fillId="0" borderId="42" xfId="0" applyNumberFormat="1" applyFont="1" applyBorder="1" applyAlignment="1">
      <alignment horizontal="center" vertical="top"/>
    </xf>
    <xf numFmtId="172" fontId="4" fillId="0" borderId="42" xfId="0" applyNumberFormat="1" applyFont="1" applyBorder="1" applyAlignment="1">
      <alignment horizontal="left" vertical="top"/>
    </xf>
    <xf numFmtId="172" fontId="4" fillId="0" borderId="41" xfId="0" applyNumberFormat="1" applyFont="1" applyBorder="1" applyAlignment="1">
      <alignment horizontal="left" vertical="top"/>
    </xf>
    <xf numFmtId="172" fontId="6" fillId="0" borderId="42" xfId="0" applyNumberFormat="1" applyFont="1" applyBorder="1" applyAlignment="1">
      <alignment horizontal="left" vertical="top"/>
    </xf>
    <xf numFmtId="172" fontId="4" fillId="0" borderId="33" xfId="0" applyNumberFormat="1" applyFont="1" applyBorder="1" applyAlignment="1">
      <alignment vertical="top" wrapText="1"/>
    </xf>
    <xf numFmtId="172" fontId="4" fillId="0" borderId="33" xfId="1" applyNumberFormat="1" applyFont="1" applyBorder="1" applyAlignment="1">
      <alignment vertical="top" wrapText="1"/>
    </xf>
    <xf numFmtId="172" fontId="64" fillId="0" borderId="33" xfId="1" applyNumberFormat="1" applyFont="1" applyBorder="1" applyAlignment="1">
      <alignment vertical="top"/>
    </xf>
    <xf numFmtId="172" fontId="64" fillId="0" borderId="33" xfId="0" applyNumberFormat="1" applyFont="1" applyBorder="1" applyAlignment="1">
      <alignment vertical="top"/>
    </xf>
    <xf numFmtId="172" fontId="6" fillId="0" borderId="33" xfId="0" applyNumberFormat="1" applyFont="1" applyBorder="1" applyAlignment="1">
      <alignment horizontal="center" vertical="top"/>
    </xf>
    <xf numFmtId="172" fontId="4" fillId="0" borderId="11" xfId="0" applyNumberFormat="1" applyFont="1" applyFill="1" applyBorder="1" applyAlignment="1">
      <alignment vertical="top" wrapText="1"/>
    </xf>
    <xf numFmtId="172" fontId="4" fillId="0" borderId="11" xfId="1" applyNumberFormat="1" applyFont="1" applyFill="1" applyBorder="1" applyAlignment="1">
      <alignment vertical="top" wrapText="1"/>
    </xf>
    <xf numFmtId="0" fontId="64" fillId="0" borderId="76" xfId="0" applyFont="1" applyBorder="1" applyAlignment="1">
      <alignment horizontal="left" vertical="top" wrapText="1" indent="1"/>
    </xf>
    <xf numFmtId="0" fontId="64" fillId="0" borderId="76" xfId="0" applyFont="1" applyBorder="1" applyAlignment="1">
      <alignment horizontal="left" vertical="top" wrapText="1"/>
    </xf>
    <xf numFmtId="172" fontId="4" fillId="0" borderId="77" xfId="0" applyNumberFormat="1" applyFont="1" applyBorder="1" applyAlignment="1">
      <alignment vertical="top" wrapText="1"/>
    </xf>
    <xf numFmtId="172" fontId="4" fillId="0" borderId="77" xfId="1" applyNumberFormat="1" applyFont="1" applyBorder="1" applyAlignment="1">
      <alignment vertical="top" wrapText="1"/>
    </xf>
    <xf numFmtId="172" fontId="64" fillId="0" borderId="77" xfId="1" applyNumberFormat="1" applyFont="1" applyBorder="1" applyAlignment="1">
      <alignment vertical="top"/>
    </xf>
    <xf numFmtId="0" fontId="64" fillId="0" borderId="1" xfId="0" applyFont="1" applyFill="1" applyBorder="1" applyAlignment="1">
      <alignment vertical="top"/>
    </xf>
    <xf numFmtId="0" fontId="64" fillId="0" borderId="1" xfId="0" applyFont="1" applyFill="1" applyBorder="1" applyAlignment="1">
      <alignment horizontal="left" vertical="top" wrapText="1" indent="1"/>
    </xf>
    <xf numFmtId="172" fontId="64" fillId="0" borderId="11" xfId="1" applyNumberFormat="1" applyFont="1" applyFill="1" applyBorder="1" applyAlignment="1">
      <alignment vertical="top"/>
    </xf>
    <xf numFmtId="172" fontId="64" fillId="0" borderId="11" xfId="0" applyNumberFormat="1" applyFont="1" applyFill="1" applyBorder="1" applyAlignment="1">
      <alignment vertical="top"/>
    </xf>
    <xf numFmtId="10" fontId="4" fillId="0" borderId="27" xfId="0" applyNumberFormat="1" applyFont="1" applyFill="1" applyBorder="1" applyAlignment="1">
      <alignment horizontal="center" vertical="top"/>
    </xf>
    <xf numFmtId="172" fontId="6" fillId="0" borderId="31" xfId="0" applyNumberFormat="1" applyFont="1" applyFill="1" applyBorder="1" applyAlignment="1">
      <alignment horizontal="center" vertical="top"/>
    </xf>
    <xf numFmtId="172" fontId="6" fillId="0" borderId="10" xfId="0" applyNumberFormat="1" applyFont="1" applyFill="1" applyBorder="1" applyAlignment="1">
      <alignment horizontal="center" vertical="top"/>
    </xf>
    <xf numFmtId="172" fontId="64" fillId="0" borderId="5" xfId="1" applyNumberFormat="1" applyFont="1" applyFill="1" applyBorder="1" applyAlignment="1">
      <alignment vertical="top"/>
    </xf>
    <xf numFmtId="172" fontId="64" fillId="0" borderId="5" xfId="0" applyNumberFormat="1" applyFont="1" applyFill="1" applyBorder="1" applyAlignment="1">
      <alignment vertical="top"/>
    </xf>
    <xf numFmtId="172" fontId="4" fillId="0" borderId="31" xfId="0" applyNumberFormat="1" applyFont="1" applyFill="1" applyBorder="1" applyAlignment="1">
      <alignment horizontal="center" vertical="top"/>
    </xf>
    <xf numFmtId="172" fontId="64" fillId="0" borderId="31" xfId="0" applyNumberFormat="1" applyFont="1" applyFill="1" applyBorder="1" applyAlignment="1">
      <alignment vertical="top"/>
    </xf>
    <xf numFmtId="0" fontId="64" fillId="0" borderId="3" xfId="0" applyFont="1" applyFill="1" applyBorder="1" applyAlignment="1">
      <alignment horizontal="left" vertical="top" wrapText="1" indent="1"/>
    </xf>
    <xf numFmtId="0" fontId="4" fillId="0" borderId="1" xfId="0" applyFont="1" applyFill="1" applyBorder="1" applyAlignment="1">
      <alignment horizontal="center" vertical="top"/>
    </xf>
    <xf numFmtId="172" fontId="4" fillId="0" borderId="1" xfId="1" applyNumberFormat="1" applyFont="1" applyFill="1" applyBorder="1" applyAlignment="1">
      <alignment horizontal="center" vertical="top"/>
    </xf>
    <xf numFmtId="172" fontId="64" fillId="0" borderId="1" xfId="1" applyNumberFormat="1" applyFont="1" applyFill="1" applyBorder="1" applyAlignment="1">
      <alignment vertical="top"/>
    </xf>
    <xf numFmtId="172" fontId="64" fillId="0" borderId="1" xfId="0" applyNumberFormat="1" applyFont="1" applyFill="1" applyBorder="1" applyAlignment="1">
      <alignment vertical="top"/>
    </xf>
    <xf numFmtId="172" fontId="6" fillId="0" borderId="7" xfId="0" applyNumberFormat="1" applyFont="1" applyFill="1" applyBorder="1" applyAlignment="1">
      <alignment horizontal="center" vertical="top"/>
    </xf>
    <xf numFmtId="172" fontId="4" fillId="0" borderId="7" xfId="0" applyNumberFormat="1" applyFont="1" applyFill="1" applyBorder="1" applyAlignment="1">
      <alignment horizontal="center" vertical="top"/>
    </xf>
    <xf numFmtId="0" fontId="64" fillId="0" borderId="4" xfId="0" applyFont="1" applyFill="1" applyBorder="1" applyAlignment="1">
      <alignment vertical="top"/>
    </xf>
    <xf numFmtId="0" fontId="76" fillId="0" borderId="0" xfId="0" applyFont="1" applyFill="1" applyAlignment="1">
      <alignment horizontal="center" vertical="center"/>
    </xf>
    <xf numFmtId="0" fontId="64" fillId="0" borderId="0" xfId="0" applyFont="1" applyFill="1" applyAlignment="1">
      <alignment vertical="top"/>
    </xf>
    <xf numFmtId="0" fontId="20" fillId="0" borderId="46" xfId="0" applyFont="1" applyBorder="1" applyAlignment="1">
      <alignment horizontal="left" vertical="center" indent="1"/>
    </xf>
    <xf numFmtId="0" fontId="20" fillId="0" borderId="0" xfId="0" applyFont="1" applyAlignment="1">
      <alignment vertical="center"/>
    </xf>
    <xf numFmtId="0" fontId="20" fillId="0" borderId="0" xfId="0" applyFont="1" applyAlignment="1">
      <alignment horizontal="left" vertical="center" indent="1"/>
    </xf>
    <xf numFmtId="165" fontId="20" fillId="0" borderId="0" xfId="1" applyNumberFormat="1" applyFont="1" applyFill="1" applyAlignment="1">
      <alignment vertical="center"/>
    </xf>
    <xf numFmtId="0" fontId="26" fillId="0" borderId="0" xfId="0" applyFont="1" applyAlignment="1">
      <alignment horizontal="center" vertical="center"/>
    </xf>
    <xf numFmtId="0" fontId="93" fillId="0" borderId="0" xfId="0" applyFont="1" applyAlignment="1"/>
    <xf numFmtId="0" fontId="104" fillId="0" borderId="0" xfId="0" applyFont="1"/>
    <xf numFmtId="0" fontId="9" fillId="0" borderId="0" xfId="0" applyFont="1" applyFill="1" applyAlignment="1">
      <alignment horizontal="left" indent="1"/>
    </xf>
    <xf numFmtId="0" fontId="0" fillId="0" borderId="0" xfId="0" applyFont="1" applyAlignment="1"/>
    <xf numFmtId="0" fontId="0" fillId="0" borderId="0" xfId="0" applyFont="1" applyAlignment="1"/>
    <xf numFmtId="0" fontId="0" fillId="0" borderId="0" xfId="0" applyFont="1" applyAlignment="1"/>
    <xf numFmtId="0" fontId="64" fillId="0" borderId="5" xfId="0" applyFont="1" applyFill="1" applyBorder="1" applyAlignment="1">
      <alignment horizontal="left" vertical="top" wrapText="1"/>
    </xf>
    <xf numFmtId="172" fontId="0" fillId="0" borderId="0" xfId="1" applyNumberFormat="1" applyFont="1"/>
    <xf numFmtId="3" fontId="0" fillId="0" borderId="0" xfId="0" applyNumberFormat="1" applyFont="1" applyFill="1" applyAlignment="1"/>
    <xf numFmtId="3" fontId="0" fillId="0" borderId="0" xfId="0" applyNumberFormat="1" applyFont="1" applyFill="1" applyAlignment="1">
      <alignment vertical="center"/>
    </xf>
    <xf numFmtId="176" fontId="6" fillId="33" borderId="4" xfId="0" applyNumberFormat="1" applyFont="1" applyFill="1" applyBorder="1" applyAlignment="1">
      <alignment vertical="top"/>
    </xf>
    <xf numFmtId="0" fontId="4" fillId="36" borderId="1" xfId="0" applyFont="1" applyFill="1" applyBorder="1" applyAlignment="1">
      <alignment horizontal="center" vertical="center" wrapText="1"/>
    </xf>
    <xf numFmtId="172" fontId="20" fillId="0" borderId="0" xfId="1" applyNumberFormat="1" applyFont="1" applyAlignment="1">
      <alignment vertical="top"/>
    </xf>
    <xf numFmtId="172" fontId="20" fillId="0" borderId="0" xfId="0" applyNumberFormat="1" applyFont="1" applyAlignment="1">
      <alignment vertical="top"/>
    </xf>
    <xf numFmtId="172" fontId="20" fillId="0" borderId="4" xfId="0" applyNumberFormat="1" applyFont="1" applyBorder="1" applyAlignment="1">
      <alignment horizontal="center" vertical="top"/>
    </xf>
    <xf numFmtId="172" fontId="14" fillId="0" borderId="4" xfId="0" applyNumberFormat="1" applyFont="1" applyBorder="1" applyAlignment="1">
      <alignment horizontal="center" vertical="top"/>
    </xf>
    <xf numFmtId="172" fontId="14" fillId="0" borderId="0" xfId="0" applyNumberFormat="1" applyFont="1" applyAlignment="1">
      <alignment vertical="top"/>
    </xf>
    <xf numFmtId="172" fontId="20" fillId="33" borderId="0" xfId="1" applyNumberFormat="1" applyFont="1" applyFill="1" applyAlignment="1">
      <alignment vertical="top"/>
    </xf>
    <xf numFmtId="172" fontId="20" fillId="33" borderId="0" xfId="0" applyNumberFormat="1" applyFont="1" applyFill="1" applyAlignment="1">
      <alignment vertical="top"/>
    </xf>
    <xf numFmtId="10" fontId="20" fillId="0" borderId="4" xfId="0" applyNumberFormat="1" applyFont="1" applyBorder="1" applyAlignment="1">
      <alignment horizontal="center" vertical="top"/>
    </xf>
    <xf numFmtId="172" fontId="20" fillId="33" borderId="4" xfId="0" applyNumberFormat="1" applyFont="1" applyFill="1" applyBorder="1" applyAlignment="1">
      <alignment vertical="top"/>
    </xf>
    <xf numFmtId="172" fontId="14" fillId="33" borderId="0" xfId="0" applyNumberFormat="1" applyFont="1" applyFill="1" applyAlignment="1">
      <alignment vertical="top"/>
    </xf>
    <xf numFmtId="10" fontId="20" fillId="34" borderId="0" xfId="4" applyNumberFormat="1" applyFont="1" applyFill="1" applyAlignment="1">
      <alignment vertical="top"/>
    </xf>
    <xf numFmtId="10" fontId="14" fillId="34" borderId="0" xfId="4" applyNumberFormat="1" applyFont="1" applyFill="1" applyAlignment="1">
      <alignment vertical="top"/>
    </xf>
    <xf numFmtId="10" fontId="14" fillId="0" borderId="4" xfId="4" applyNumberFormat="1" applyFont="1" applyBorder="1" applyAlignment="1">
      <alignment horizontal="center" vertical="top"/>
    </xf>
    <xf numFmtId="165" fontId="0" fillId="0" borderId="33" xfId="1" applyNumberFormat="1" applyFont="1" applyBorder="1" applyAlignment="1">
      <alignment vertical="center"/>
    </xf>
    <xf numFmtId="165" fontId="35" fillId="0" borderId="33" xfId="1" applyNumberFormat="1" applyFont="1" applyBorder="1" applyAlignment="1">
      <alignment vertical="center"/>
    </xf>
    <xf numFmtId="0" fontId="0" fillId="0" borderId="46" xfId="0" applyBorder="1" applyAlignment="1">
      <alignment horizontal="left" vertical="center" indent="1"/>
    </xf>
    <xf numFmtId="165" fontId="0" fillId="0" borderId="46" xfId="1" applyNumberFormat="1" applyFont="1" applyBorder="1" applyAlignment="1">
      <alignment horizontal="left" vertical="center" indent="1"/>
    </xf>
    <xf numFmtId="165" fontId="35" fillId="0" borderId="46" xfId="1" applyNumberFormat="1" applyFont="1" applyBorder="1" applyAlignment="1">
      <alignment horizontal="left" vertical="center" indent="1"/>
    </xf>
    <xf numFmtId="0" fontId="57" fillId="0" borderId="0" xfId="0" applyFont="1" applyAlignment="1">
      <alignment vertical="center"/>
    </xf>
    <xf numFmtId="0" fontId="35" fillId="72" borderId="33" xfId="0" applyFont="1" applyFill="1" applyBorder="1" applyAlignment="1">
      <alignment horizontal="center" vertical="center"/>
    </xf>
    <xf numFmtId="0" fontId="35" fillId="72" borderId="33" xfId="0" applyFont="1" applyFill="1" applyBorder="1" applyAlignment="1">
      <alignment horizontal="center" vertical="center" wrapText="1"/>
    </xf>
    <xf numFmtId="0" fontId="0" fillId="0" borderId="33" xfId="0" applyBorder="1" applyAlignment="1">
      <alignment horizontal="left" vertical="center" indent="1"/>
    </xf>
    <xf numFmtId="0" fontId="0" fillId="0" borderId="33" xfId="0" applyBorder="1" applyAlignment="1">
      <alignment horizontal="left" vertical="center" wrapText="1" indent="1"/>
    </xf>
    <xf numFmtId="0" fontId="0" fillId="0" borderId="33" xfId="0" quotePrefix="1" applyBorder="1" applyAlignment="1">
      <alignment horizontal="left" vertical="center" indent="1"/>
    </xf>
    <xf numFmtId="0" fontId="26" fillId="0" borderId="0" xfId="0" applyFont="1" applyAlignment="1">
      <alignment vertical="center"/>
    </xf>
    <xf numFmtId="0" fontId="36" fillId="0" borderId="0" xfId="0" applyFont="1" applyAlignment="1">
      <alignment vertical="center"/>
    </xf>
    <xf numFmtId="0" fontId="36" fillId="0" borderId="4" xfId="0" applyFont="1" applyBorder="1" applyAlignment="1">
      <alignment horizontal="center" vertical="center"/>
    </xf>
    <xf numFmtId="0" fontId="106" fillId="78" borderId="33" xfId="0" applyFont="1" applyFill="1" applyBorder="1" applyAlignment="1">
      <alignment horizontal="center" vertical="center"/>
    </xf>
    <xf numFmtId="0" fontId="26" fillId="0" borderId="4" xfId="0" applyFont="1" applyBorder="1" applyAlignment="1">
      <alignment horizontal="left" vertical="center" indent="1"/>
    </xf>
    <xf numFmtId="0" fontId="26" fillId="0" borderId="33" xfId="0" applyFont="1" applyBorder="1" applyAlignment="1">
      <alignment horizontal="left" vertical="center" indent="1"/>
    </xf>
    <xf numFmtId="165" fontId="26" fillId="0" borderId="33" xfId="1" applyNumberFormat="1" applyFont="1" applyBorder="1" applyAlignment="1">
      <alignment vertical="center"/>
    </xf>
    <xf numFmtId="9" fontId="26" fillId="0" borderId="33" xfId="4" applyFont="1" applyBorder="1" applyAlignment="1">
      <alignment vertical="center"/>
    </xf>
    <xf numFmtId="165" fontId="36" fillId="0" borderId="33" xfId="1" applyNumberFormat="1" applyFont="1" applyBorder="1" applyAlignment="1">
      <alignment vertical="center"/>
    </xf>
    <xf numFmtId="0" fontId="26" fillId="0" borderId="33" xfId="0" applyFont="1" applyBorder="1" applyAlignment="1">
      <alignment vertical="center"/>
    </xf>
    <xf numFmtId="0" fontId="26" fillId="0" borderId="33" xfId="0" applyFont="1" applyBorder="1" applyAlignment="1">
      <alignment horizontal="left" vertical="center" wrapText="1" indent="1"/>
    </xf>
    <xf numFmtId="0" fontId="36" fillId="0" borderId="4" xfId="0" applyFont="1" applyBorder="1" applyAlignment="1">
      <alignment horizontal="left" vertical="center" indent="1"/>
    </xf>
    <xf numFmtId="0" fontId="26" fillId="77" borderId="33" xfId="0" applyFont="1" applyFill="1" applyBorder="1" applyAlignment="1">
      <alignment horizontal="left" vertical="center" indent="1"/>
    </xf>
    <xf numFmtId="0" fontId="36" fillId="77" borderId="33" xfId="0" applyFont="1" applyFill="1" applyBorder="1" applyAlignment="1">
      <alignment horizontal="left" vertical="center" indent="1"/>
    </xf>
    <xf numFmtId="165" fontId="36" fillId="77" borderId="33" xfId="1" applyNumberFormat="1" applyFont="1" applyFill="1" applyBorder="1" applyAlignment="1">
      <alignment vertical="center"/>
    </xf>
    <xf numFmtId="9" fontId="36" fillId="77" borderId="33" xfId="4" applyFont="1" applyFill="1" applyBorder="1" applyAlignment="1">
      <alignment vertical="center"/>
    </xf>
    <xf numFmtId="0" fontId="36" fillId="0" borderId="4" xfId="0" applyFont="1" applyBorder="1" applyAlignment="1">
      <alignment vertical="center"/>
    </xf>
    <xf numFmtId="0" fontId="26" fillId="38" borderId="33" xfId="0" applyFont="1" applyFill="1" applyBorder="1" applyAlignment="1">
      <alignment horizontal="left" vertical="center" indent="1"/>
    </xf>
    <xf numFmtId="0" fontId="36" fillId="38" borderId="33" xfId="0" applyFont="1" applyFill="1" applyBorder="1" applyAlignment="1">
      <alignment horizontal="left" vertical="center" indent="1"/>
    </xf>
    <xf numFmtId="165" fontId="36" fillId="38" borderId="33" xfId="1" applyNumberFormat="1" applyFont="1" applyFill="1" applyBorder="1" applyAlignment="1">
      <alignment vertical="center"/>
    </xf>
    <xf numFmtId="9" fontId="36" fillId="38" borderId="33" xfId="4" applyFont="1" applyFill="1" applyBorder="1" applyAlignment="1">
      <alignment vertical="center"/>
    </xf>
    <xf numFmtId="165" fontId="36" fillId="0" borderId="4" xfId="1" applyNumberFormat="1" applyFont="1" applyFill="1" applyBorder="1" applyAlignment="1">
      <alignment vertical="center"/>
    </xf>
    <xf numFmtId="0" fontId="26" fillId="0" borderId="4" xfId="0" applyFont="1" applyBorder="1" applyAlignment="1">
      <alignment vertical="center"/>
    </xf>
    <xf numFmtId="165" fontId="26" fillId="0" borderId="33" xfId="0" applyNumberFormat="1" applyFont="1" applyBorder="1" applyAlignment="1">
      <alignment vertical="center"/>
    </xf>
    <xf numFmtId="0" fontId="106" fillId="78" borderId="33" xfId="0" applyFont="1" applyFill="1" applyBorder="1" applyAlignment="1">
      <alignment vertical="center"/>
    </xf>
    <xf numFmtId="0" fontId="107" fillId="78" borderId="33" xfId="0" applyFont="1" applyFill="1" applyBorder="1" applyAlignment="1">
      <alignment horizontal="left" vertical="center" indent="1"/>
    </xf>
    <xf numFmtId="165" fontId="106" fillId="78" borderId="33" xfId="0" applyNumberFormat="1" applyFont="1" applyFill="1" applyBorder="1" applyAlignment="1">
      <alignment vertical="center"/>
    </xf>
    <xf numFmtId="9" fontId="106" fillId="78" borderId="33" xfId="4" applyFont="1" applyFill="1" applyBorder="1" applyAlignment="1">
      <alignment vertical="center"/>
    </xf>
    <xf numFmtId="0" fontId="26" fillId="0" borderId="33" xfId="0" applyFont="1" applyBorder="1" applyAlignment="1">
      <alignment horizontal="center" vertical="center"/>
    </xf>
    <xf numFmtId="165" fontId="106" fillId="78" borderId="42" xfId="1" applyNumberFormat="1" applyFont="1" applyFill="1" applyBorder="1" applyAlignment="1">
      <alignment vertical="center"/>
    </xf>
    <xf numFmtId="9" fontId="26" fillId="0" borderId="0" xfId="4" applyFont="1" applyAlignment="1">
      <alignment vertical="center"/>
    </xf>
    <xf numFmtId="9" fontId="26" fillId="0" borderId="33" xfId="4" applyFont="1" applyBorder="1" applyAlignment="1">
      <alignment horizontal="center" vertical="center"/>
    </xf>
    <xf numFmtId="9" fontId="36" fillId="34" borderId="42" xfId="4" applyFont="1" applyFill="1" applyBorder="1" applyAlignment="1">
      <alignment horizontal="center" vertical="center"/>
    </xf>
    <xf numFmtId="165" fontId="26" fillId="0" borderId="0" xfId="0" applyNumberFormat="1" applyFont="1" applyAlignment="1">
      <alignment vertical="center"/>
    </xf>
    <xf numFmtId="0" fontId="26" fillId="0" borderId="4" xfId="0" applyFont="1" applyFill="1" applyBorder="1" applyAlignment="1">
      <alignment vertical="center"/>
    </xf>
    <xf numFmtId="0" fontId="106" fillId="0" borderId="4" xfId="0" applyFont="1" applyFill="1" applyBorder="1" applyAlignment="1">
      <alignment vertical="center"/>
    </xf>
    <xf numFmtId="0" fontId="106" fillId="0" borderId="4" xfId="0" applyFont="1" applyFill="1" applyBorder="1" applyAlignment="1">
      <alignment horizontal="center" vertical="center"/>
    </xf>
    <xf numFmtId="165" fontId="106" fillId="0" borderId="4" xfId="1" applyNumberFormat="1" applyFont="1" applyFill="1" applyBorder="1" applyAlignment="1">
      <alignment vertical="center"/>
    </xf>
    <xf numFmtId="9" fontId="106" fillId="0" borderId="4" xfId="4" applyFont="1" applyFill="1" applyBorder="1" applyAlignment="1">
      <alignment vertical="center"/>
    </xf>
    <xf numFmtId="165" fontId="26" fillId="0" borderId="0" xfId="0" applyNumberFormat="1" applyFont="1" applyFill="1" applyAlignment="1">
      <alignment vertical="center"/>
    </xf>
    <xf numFmtId="0" fontId="26" fillId="0" borderId="0" xfId="0" applyFont="1" applyFill="1" applyAlignment="1">
      <alignment vertical="center"/>
    </xf>
    <xf numFmtId="172" fontId="26" fillId="0" borderId="0" xfId="1" applyNumberFormat="1" applyFont="1" applyAlignment="1">
      <alignment vertical="center"/>
    </xf>
    <xf numFmtId="0" fontId="37" fillId="0" borderId="4" xfId="0" applyFont="1" applyFill="1" applyBorder="1" applyAlignment="1">
      <alignment vertical="center"/>
    </xf>
    <xf numFmtId="0" fontId="0" fillId="0" borderId="0" xfId="0" applyFont="1" applyAlignment="1"/>
    <xf numFmtId="0" fontId="57" fillId="0" borderId="0" xfId="0" applyFont="1" applyAlignment="1">
      <alignment horizontal="center"/>
    </xf>
    <xf numFmtId="0" fontId="11" fillId="0" borderId="33" xfId="0" applyFont="1" applyBorder="1" applyAlignment="1">
      <alignment horizontal="left" indent="1"/>
    </xf>
    <xf numFmtId="0" fontId="109" fillId="79" borderId="1" xfId="0" applyFont="1" applyFill="1" applyBorder="1" applyAlignment="1">
      <alignment horizontal="center" vertical="center" wrapText="1"/>
    </xf>
    <xf numFmtId="0" fontId="0" fillId="0" borderId="33" xfId="0" applyBorder="1" applyAlignment="1">
      <alignment horizontal="center"/>
    </xf>
    <xf numFmtId="0" fontId="109" fillId="79" borderId="3" xfId="0" applyFont="1" applyFill="1" applyBorder="1" applyAlignment="1">
      <alignment horizontal="center" vertical="center" wrapText="1"/>
    </xf>
    <xf numFmtId="0" fontId="0" fillId="0" borderId="33" xfId="0" applyFont="1" applyBorder="1" applyAlignment="1">
      <alignment horizontal="center"/>
    </xf>
    <xf numFmtId="0" fontId="0" fillId="0" borderId="0" xfId="0" applyFont="1" applyAlignment="1"/>
    <xf numFmtId="0" fontId="26" fillId="0" borderId="46" xfId="0" applyFont="1" applyBorder="1" applyAlignment="1">
      <alignment horizontal="left" vertical="center" indent="1"/>
    </xf>
    <xf numFmtId="9" fontId="0" fillId="0" borderId="0" xfId="4" applyFont="1" applyAlignment="1"/>
    <xf numFmtId="0" fontId="110" fillId="0" borderId="4" xfId="5" applyFont="1" applyAlignment="1"/>
    <xf numFmtId="0" fontId="110" fillId="0" borderId="4" xfId="6" applyFont="1"/>
    <xf numFmtId="0" fontId="110" fillId="0" borderId="0" xfId="0" applyFont="1"/>
    <xf numFmtId="0" fontId="2" fillId="0" borderId="4" xfId="7"/>
    <xf numFmtId="0" fontId="2" fillId="0" borderId="4" xfId="8"/>
    <xf numFmtId="0" fontId="0" fillId="0" borderId="0" xfId="0" applyFont="1" applyAlignment="1"/>
    <xf numFmtId="3" fontId="6" fillId="73" borderId="13" xfId="0" applyNumberFormat="1" applyFont="1" applyFill="1" applyBorder="1" applyAlignment="1">
      <alignment horizontal="center" vertical="center" wrapText="1"/>
    </xf>
    <xf numFmtId="172" fontId="38" fillId="80" borderId="47" xfId="1" applyNumberFormat="1" applyFont="1" applyFill="1" applyBorder="1" applyAlignment="1">
      <alignment horizontal="center" vertical="center" wrapText="1"/>
    </xf>
    <xf numFmtId="10" fontId="93" fillId="33" borderId="4" xfId="9" applyNumberFormat="1" applyFont="1" applyFill="1" applyAlignment="1">
      <alignment wrapText="1"/>
    </xf>
    <xf numFmtId="10" fontId="57" fillId="0" borderId="4" xfId="4" applyNumberFormat="1" applyFont="1" applyFill="1" applyBorder="1" applyAlignment="1"/>
    <xf numFmtId="0" fontId="14" fillId="33" borderId="0" xfId="0" applyFont="1" applyFill="1" applyAlignment="1">
      <alignment horizontal="center" wrapText="1"/>
    </xf>
    <xf numFmtId="0" fontId="20" fillId="0" borderId="0" xfId="0" applyFont="1" applyAlignment="1">
      <alignment horizontal="right" vertical="center" indent="1"/>
    </xf>
    <xf numFmtId="0" fontId="112" fillId="78" borderId="0" xfId="0" applyFont="1" applyFill="1" applyAlignment="1">
      <alignment vertical="center"/>
    </xf>
    <xf numFmtId="0" fontId="112" fillId="78" borderId="0" xfId="0" applyFont="1" applyFill="1" applyAlignment="1">
      <alignment horizontal="left" vertical="center" indent="1"/>
    </xf>
    <xf numFmtId="0" fontId="112" fillId="78" borderId="0" xfId="0" applyFont="1" applyFill="1" applyAlignment="1">
      <alignment horizontal="right" vertical="center" indent="1"/>
    </xf>
    <xf numFmtId="0" fontId="14" fillId="33" borderId="0" xfId="0" applyFont="1" applyFill="1"/>
    <xf numFmtId="0" fontId="14" fillId="0" borderId="0" xfId="0" applyFont="1" applyFill="1" applyAlignment="1">
      <alignment horizontal="center" wrapText="1"/>
    </xf>
    <xf numFmtId="0" fontId="20" fillId="0" borderId="0" xfId="0" applyFont="1" applyAlignment="1">
      <alignment vertical="center" wrapText="1"/>
    </xf>
    <xf numFmtId="9" fontId="30" fillId="0" borderId="33" xfId="0" applyNumberFormat="1" applyFont="1" applyFill="1" applyBorder="1" applyAlignment="1">
      <alignment horizontal="center" vertical="center" wrapText="1"/>
    </xf>
    <xf numFmtId="9" fontId="30" fillId="0" borderId="33" xfId="0" applyNumberFormat="1" applyFont="1" applyFill="1" applyBorder="1" applyAlignment="1">
      <alignment horizontal="center" vertical="center"/>
    </xf>
    <xf numFmtId="168" fontId="30" fillId="0" borderId="33" xfId="0" applyNumberFormat="1" applyFont="1" applyFill="1" applyBorder="1" applyAlignment="1">
      <alignment horizontal="center" vertical="center" wrapText="1"/>
    </xf>
    <xf numFmtId="173" fontId="30" fillId="0" borderId="33" xfId="0" applyNumberFormat="1" applyFont="1" applyFill="1" applyBorder="1" applyAlignment="1">
      <alignment horizontal="center" vertical="center" wrapText="1"/>
    </xf>
    <xf numFmtId="0" fontId="30" fillId="0" borderId="0" xfId="0" applyFont="1" applyFill="1" applyAlignment="1"/>
    <xf numFmtId="0" fontId="30" fillId="0" borderId="33" xfId="0" applyFont="1" applyFill="1" applyBorder="1" applyAlignment="1">
      <alignment horizontal="center" vertical="center"/>
    </xf>
    <xf numFmtId="0" fontId="113" fillId="0" borderId="0" xfId="0" applyFont="1" applyAlignment="1">
      <alignment horizontal="justify" vertical="center"/>
    </xf>
    <xf numFmtId="0" fontId="26" fillId="0" borderId="0" xfId="0" applyFont="1" applyAlignment="1">
      <alignment horizontal="center" vertical="center" wrapText="1"/>
    </xf>
    <xf numFmtId="172" fontId="20" fillId="0" borderId="0" xfId="1" applyNumberFormat="1" applyFont="1" applyAlignment="1">
      <alignment vertical="center" wrapText="1"/>
    </xf>
    <xf numFmtId="0" fontId="20" fillId="0" borderId="33" xfId="0" applyFont="1" applyBorder="1" applyAlignment="1">
      <alignment vertical="center" wrapText="1"/>
    </xf>
    <xf numFmtId="0" fontId="94" fillId="82" borderId="33" xfId="0" applyFont="1" applyFill="1" applyBorder="1" applyAlignment="1">
      <alignment horizontal="center" vertical="center" wrapText="1"/>
    </xf>
    <xf numFmtId="172" fontId="0" fillId="0" borderId="46" xfId="1" applyNumberFormat="1" applyFont="1" applyBorder="1" applyAlignment="1">
      <alignment horizontal="left" vertical="center" indent="1"/>
    </xf>
    <xf numFmtId="0" fontId="20" fillId="0" borderId="0" xfId="0" applyFont="1" applyAlignment="1">
      <alignment horizontal="center" vertical="center"/>
    </xf>
    <xf numFmtId="1" fontId="20" fillId="0" borderId="0" xfId="0" applyNumberFormat="1" applyFont="1" applyAlignment="1">
      <alignment horizontal="center" vertical="center"/>
    </xf>
    <xf numFmtId="1" fontId="35" fillId="72" borderId="46" xfId="0" applyNumberFormat="1" applyFont="1" applyFill="1" applyBorder="1" applyAlignment="1">
      <alignment horizontal="center" vertical="center"/>
    </xf>
    <xf numFmtId="1" fontId="0" fillId="0" borderId="46" xfId="0" applyNumberFormat="1" applyBorder="1" applyAlignment="1">
      <alignment horizontal="center" vertical="center"/>
    </xf>
    <xf numFmtId="1" fontId="112" fillId="78" borderId="0" xfId="0" applyNumberFormat="1" applyFont="1" applyFill="1" applyAlignment="1">
      <alignment horizontal="center" vertical="center"/>
    </xf>
    <xf numFmtId="0" fontId="0" fillId="0" borderId="46" xfId="0" applyFill="1" applyBorder="1" applyAlignment="1">
      <alignment horizontal="left" vertical="center" indent="1"/>
    </xf>
    <xf numFmtId="0" fontId="26" fillId="0" borderId="46" xfId="0" applyFont="1" applyFill="1" applyBorder="1" applyAlignment="1">
      <alignment horizontal="left" vertical="center" indent="1"/>
    </xf>
    <xf numFmtId="0" fontId="20" fillId="0" borderId="0" xfId="0" applyFont="1" applyFill="1" applyAlignment="1">
      <alignment horizontal="left" vertical="center" indent="1"/>
    </xf>
    <xf numFmtId="0" fontId="20" fillId="0" borderId="46" xfId="0" applyFont="1" applyFill="1" applyBorder="1" applyAlignment="1">
      <alignment horizontal="left" vertical="center" indent="1"/>
    </xf>
    <xf numFmtId="165" fontId="0" fillId="0" borderId="46" xfId="1" applyNumberFormat="1" applyFont="1" applyFill="1" applyBorder="1" applyAlignment="1">
      <alignment horizontal="left" vertical="center" indent="1"/>
    </xf>
    <xf numFmtId="0" fontId="20" fillId="0" borderId="33" xfId="0" applyFont="1" applyFill="1" applyBorder="1" applyAlignment="1">
      <alignment vertical="center" wrapText="1"/>
    </xf>
    <xf numFmtId="0" fontId="20" fillId="0" borderId="0" xfId="0" applyFont="1" applyFill="1" applyAlignment="1">
      <alignment vertical="center"/>
    </xf>
    <xf numFmtId="0" fontId="118" fillId="0" borderId="0" xfId="0" applyFont="1" applyAlignment="1"/>
    <xf numFmtId="172" fontId="115" fillId="81" borderId="46" xfId="1" applyNumberFormat="1" applyFont="1" applyFill="1" applyBorder="1" applyAlignment="1">
      <alignment horizontal="right" vertical="top" wrapText="1"/>
    </xf>
    <xf numFmtId="172" fontId="20" fillId="0" borderId="46" xfId="1" applyNumberFormat="1" applyFont="1" applyBorder="1" applyAlignment="1">
      <alignment horizontal="center" vertical="center"/>
    </xf>
    <xf numFmtId="172" fontId="20" fillId="0" borderId="46" xfId="1" applyNumberFormat="1" applyFont="1" applyBorder="1" applyAlignment="1">
      <alignment vertical="center"/>
    </xf>
    <xf numFmtId="0" fontId="20" fillId="0" borderId="46" xfId="0" applyFont="1" applyBorder="1" applyAlignment="1">
      <alignment horizontal="center" vertical="center"/>
    </xf>
    <xf numFmtId="172" fontId="116" fillId="81" borderId="46" xfId="1" applyNumberFormat="1" applyFont="1" applyFill="1" applyBorder="1" applyAlignment="1">
      <alignment horizontal="right" vertical="top" wrapText="1"/>
    </xf>
    <xf numFmtId="172" fontId="116" fillId="83" borderId="46" xfId="1" applyNumberFormat="1" applyFont="1" applyFill="1" applyBorder="1" applyAlignment="1">
      <alignment horizontal="right" vertical="top" wrapText="1"/>
    </xf>
    <xf numFmtId="0" fontId="35" fillId="72" borderId="46" xfId="0" applyFont="1" applyFill="1" applyBorder="1" applyAlignment="1">
      <alignment horizontal="center" vertical="center"/>
    </xf>
    <xf numFmtId="0" fontId="104" fillId="0" borderId="0" xfId="0" applyFont="1" applyFill="1"/>
    <xf numFmtId="0" fontId="119" fillId="0" borderId="0" xfId="0" applyFont="1" applyFill="1"/>
    <xf numFmtId="1" fontId="20" fillId="0" borderId="0" xfId="0" applyNumberFormat="1" applyFont="1" applyFill="1" applyAlignment="1">
      <alignment horizontal="center" vertical="center"/>
    </xf>
    <xf numFmtId="0" fontId="20" fillId="0" borderId="0" xfId="0" applyFont="1" applyFill="1" applyAlignment="1">
      <alignment vertical="center" wrapText="1"/>
    </xf>
    <xf numFmtId="0" fontId="26" fillId="0" borderId="0" xfId="0" applyFont="1" applyFill="1" applyAlignment="1">
      <alignment horizontal="center" vertical="center" wrapText="1"/>
    </xf>
    <xf numFmtId="0" fontId="20" fillId="0" borderId="4" xfId="0" applyFont="1" applyBorder="1" applyAlignment="1">
      <alignment vertical="center" wrapText="1"/>
    </xf>
    <xf numFmtId="0" fontId="26" fillId="0" borderId="4" xfId="0" applyFont="1" applyBorder="1" applyAlignment="1">
      <alignment horizontal="center" vertical="center" wrapText="1"/>
    </xf>
    <xf numFmtId="172" fontId="20" fillId="0" borderId="4" xfId="1" applyNumberFormat="1" applyFont="1" applyBorder="1" applyAlignment="1">
      <alignment vertical="center" wrapText="1"/>
    </xf>
    <xf numFmtId="0" fontId="94" fillId="82" borderId="38" xfId="0" applyFont="1" applyFill="1" applyBorder="1" applyAlignment="1">
      <alignment horizontal="center" vertical="center" wrapText="1"/>
    </xf>
    <xf numFmtId="0" fontId="20" fillId="0" borderId="4" xfId="0" applyFont="1" applyFill="1" applyBorder="1" applyAlignment="1">
      <alignment vertical="center" wrapText="1"/>
    </xf>
    <xf numFmtId="0" fontId="26" fillId="0" borderId="4" xfId="0" applyFont="1" applyFill="1" applyBorder="1" applyAlignment="1">
      <alignment horizontal="center" vertical="center" wrapText="1"/>
    </xf>
    <xf numFmtId="0" fontId="94" fillId="0" borderId="4" xfId="0" applyFont="1" applyFill="1" applyBorder="1" applyAlignment="1">
      <alignment horizontal="center" vertical="center" wrapText="1"/>
    </xf>
    <xf numFmtId="172" fontId="20" fillId="0" borderId="4" xfId="1" applyNumberFormat="1" applyFont="1" applyFill="1" applyBorder="1" applyAlignment="1">
      <alignment vertical="center" wrapText="1"/>
    </xf>
    <xf numFmtId="0" fontId="114" fillId="33" borderId="46" xfId="0" applyFont="1" applyFill="1" applyBorder="1" applyAlignment="1">
      <alignment horizontal="center" vertical="center" wrapText="1"/>
    </xf>
    <xf numFmtId="0" fontId="94" fillId="33" borderId="46" xfId="0" applyFont="1" applyFill="1" applyBorder="1" applyAlignment="1">
      <alignment horizontal="center" vertical="center" wrapText="1"/>
    </xf>
    <xf numFmtId="0" fontId="20" fillId="0" borderId="46" xfId="0" applyFont="1" applyBorder="1" applyAlignment="1">
      <alignment vertical="center" wrapText="1"/>
    </xf>
    <xf numFmtId="172" fontId="20" fillId="0" borderId="46" xfId="1" applyNumberFormat="1" applyFont="1" applyBorder="1" applyAlignment="1">
      <alignment vertical="center" wrapText="1"/>
    </xf>
    <xf numFmtId="0" fontId="20" fillId="0" borderId="46" xfId="0" applyFont="1" applyFill="1" applyBorder="1" applyAlignment="1">
      <alignment vertical="center" wrapText="1"/>
    </xf>
    <xf numFmtId="0" fontId="30" fillId="0" borderId="33" xfId="0" applyFont="1" applyBorder="1" applyAlignment="1">
      <alignment horizontal="center" vertical="center" wrapText="1"/>
    </xf>
    <xf numFmtId="0" fontId="120" fillId="0" borderId="0" xfId="0" applyFont="1" applyAlignment="1">
      <alignment vertical="center"/>
    </xf>
    <xf numFmtId="9" fontId="30" fillId="11" borderId="33" xfId="4" applyFont="1" applyFill="1" applyBorder="1" applyAlignment="1">
      <alignment horizontal="center" vertical="center"/>
    </xf>
    <xf numFmtId="166" fontId="30" fillId="0" borderId="0" xfId="0" applyNumberFormat="1" applyFont="1"/>
    <xf numFmtId="166" fontId="30" fillId="11" borderId="33" xfId="0" applyNumberFormat="1" applyFont="1" applyFill="1" applyBorder="1" applyAlignment="1">
      <alignment horizontal="center" vertical="center" wrapText="1"/>
    </xf>
    <xf numFmtId="166" fontId="30" fillId="11" borderId="33" xfId="4" applyNumberFormat="1" applyFont="1" applyFill="1" applyBorder="1" applyAlignment="1">
      <alignment horizontal="center" vertical="center" wrapText="1"/>
    </xf>
    <xf numFmtId="166" fontId="30" fillId="12" borderId="33" xfId="4" applyNumberFormat="1" applyFont="1" applyFill="1" applyBorder="1" applyAlignment="1">
      <alignment horizontal="center" vertical="center"/>
    </xf>
    <xf numFmtId="166" fontId="30" fillId="0" borderId="33" xfId="4" applyNumberFormat="1" applyFont="1" applyFill="1" applyBorder="1" applyAlignment="1">
      <alignment horizontal="center" vertical="center" wrapText="1"/>
    </xf>
    <xf numFmtId="166" fontId="30" fillId="0" borderId="33" xfId="4" applyNumberFormat="1" applyFont="1" applyFill="1" applyBorder="1" applyAlignment="1">
      <alignment horizontal="center" vertical="center"/>
    </xf>
    <xf numFmtId="166" fontId="30" fillId="0" borderId="0" xfId="0" applyNumberFormat="1" applyFont="1" applyAlignment="1"/>
    <xf numFmtId="0" fontId="30" fillId="0" borderId="33" xfId="0" applyFont="1" applyBorder="1" applyAlignment="1">
      <alignment horizontal="center" vertical="center" wrapText="1"/>
    </xf>
    <xf numFmtId="4" fontId="32" fillId="11" borderId="33" xfId="0" applyNumberFormat="1" applyFont="1" applyFill="1" applyBorder="1" applyAlignment="1">
      <alignment horizontal="center" vertical="center" wrapText="1"/>
    </xf>
    <xf numFmtId="2" fontId="32" fillId="11" borderId="33" xfId="0" applyNumberFormat="1" applyFont="1" applyFill="1" applyBorder="1" applyAlignment="1">
      <alignment horizontal="center" vertical="center"/>
    </xf>
    <xf numFmtId="2" fontId="30" fillId="41" borderId="33" xfId="0" applyNumberFormat="1" applyFont="1" applyFill="1" applyBorder="1" applyAlignment="1">
      <alignment horizontal="center" vertical="center"/>
    </xf>
    <xf numFmtId="166" fontId="30" fillId="41" borderId="33" xfId="0" applyNumberFormat="1" applyFont="1" applyFill="1" applyBorder="1" applyAlignment="1">
      <alignment horizontal="center" vertical="center"/>
    </xf>
    <xf numFmtId="4" fontId="30" fillId="41" borderId="33" xfId="0" applyNumberFormat="1" applyFont="1" applyFill="1" applyBorder="1" applyAlignment="1">
      <alignment horizontal="center" vertical="center"/>
    </xf>
    <xf numFmtId="0" fontId="30" fillId="10" borderId="33" xfId="0" applyFont="1" applyFill="1" applyBorder="1" applyAlignment="1">
      <alignment horizontal="left" vertical="center" wrapText="1"/>
    </xf>
    <xf numFmtId="166" fontId="30" fillId="10" borderId="33" xfId="0" applyNumberFormat="1" applyFont="1" applyFill="1" applyBorder="1" applyAlignment="1">
      <alignment horizontal="left" vertical="center" wrapText="1"/>
    </xf>
    <xf numFmtId="0" fontId="30" fillId="2" borderId="33" xfId="0" applyFont="1" applyFill="1" applyBorder="1" applyAlignment="1">
      <alignment horizontal="left" vertical="center" wrapText="1"/>
    </xf>
    <xf numFmtId="0" fontId="30" fillId="19" borderId="33" xfId="0" applyFont="1" applyFill="1" applyBorder="1" applyAlignment="1">
      <alignment horizontal="left" vertical="center" wrapText="1"/>
    </xf>
    <xf numFmtId="0" fontId="32" fillId="19" borderId="33" xfId="0" applyFont="1" applyFill="1" applyBorder="1" applyAlignment="1">
      <alignment horizontal="left" vertical="center" wrapText="1"/>
    </xf>
    <xf numFmtId="0" fontId="22" fillId="41" borderId="33" xfId="0" applyFont="1" applyFill="1" applyBorder="1" applyAlignment="1">
      <alignment horizontal="center" vertical="center" wrapText="1"/>
    </xf>
    <xf numFmtId="172" fontId="22" fillId="41" borderId="33" xfId="1" applyNumberFormat="1" applyFont="1" applyFill="1" applyBorder="1" applyAlignment="1">
      <alignment horizontal="center" vertical="center"/>
    </xf>
    <xf numFmtId="0" fontId="4" fillId="41" borderId="33" xfId="0" applyFont="1" applyFill="1" applyBorder="1" applyAlignment="1">
      <alignment horizontal="center" vertical="center" wrapText="1"/>
    </xf>
    <xf numFmtId="0" fontId="4" fillId="41" borderId="33" xfId="0" applyFont="1" applyFill="1" applyBorder="1" applyAlignment="1">
      <alignment horizontal="center" vertical="center"/>
    </xf>
    <xf numFmtId="172" fontId="4" fillId="41" borderId="33" xfId="1" applyNumberFormat="1" applyFont="1" applyFill="1" applyBorder="1" applyAlignment="1">
      <alignment horizontal="center" vertical="center"/>
    </xf>
    <xf numFmtId="0" fontId="4" fillId="33" borderId="1" xfId="0" applyFont="1" applyFill="1" applyBorder="1" applyAlignment="1">
      <alignment horizontal="center" vertical="center" wrapText="1"/>
    </xf>
    <xf numFmtId="0" fontId="30" fillId="9" borderId="33" xfId="0" applyFont="1" applyFill="1" applyBorder="1" applyAlignment="1">
      <alignment horizontal="center" vertical="center" wrapText="1"/>
    </xf>
    <xf numFmtId="0" fontId="32" fillId="0" borderId="33" xfId="0" applyFont="1" applyBorder="1" applyAlignment="1"/>
    <xf numFmtId="0" fontId="30" fillId="10" borderId="33" xfId="0" applyFont="1" applyFill="1" applyBorder="1" applyAlignment="1">
      <alignment horizontal="center" vertical="center" wrapText="1"/>
    </xf>
    <xf numFmtId="0" fontId="30" fillId="2" borderId="33" xfId="0" applyFont="1" applyFill="1" applyBorder="1" applyAlignment="1">
      <alignment horizontal="left" vertical="center" wrapText="1"/>
    </xf>
    <xf numFmtId="0" fontId="32" fillId="0" borderId="33" xfId="0" applyFont="1" applyBorder="1" applyAlignment="1">
      <alignment horizontal="left"/>
    </xf>
    <xf numFmtId="0" fontId="33" fillId="5" borderId="33" xfId="0" applyFont="1" applyFill="1" applyBorder="1" applyAlignment="1">
      <alignment horizontal="center" vertical="center" wrapText="1"/>
    </xf>
    <xf numFmtId="0" fontId="30" fillId="19" borderId="40" xfId="0" applyFont="1" applyFill="1" applyBorder="1" applyAlignment="1">
      <alignment horizontal="center" vertical="center" wrapText="1"/>
    </xf>
    <xf numFmtId="0" fontId="30" fillId="19" borderId="41" xfId="0" applyFont="1" applyFill="1" applyBorder="1" applyAlignment="1">
      <alignment horizontal="center" vertical="center" wrapText="1"/>
    </xf>
    <xf numFmtId="0" fontId="30" fillId="19" borderId="42"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19" borderId="40" xfId="0" applyFont="1" applyFill="1" applyBorder="1" applyAlignment="1">
      <alignment horizontal="left" vertical="center" wrapText="1"/>
    </xf>
    <xf numFmtId="0" fontId="30" fillId="19" borderId="42" xfId="0" applyFont="1" applyFill="1" applyBorder="1" applyAlignment="1">
      <alignment horizontal="left" vertical="center" wrapText="1"/>
    </xf>
    <xf numFmtId="0" fontId="57" fillId="0" borderId="4" xfId="0" applyFont="1" applyBorder="1" applyAlignment="1">
      <alignment horizontal="center" vertical="center" wrapText="1"/>
    </xf>
    <xf numFmtId="0" fontId="68" fillId="0" borderId="4" xfId="0" applyFont="1" applyBorder="1" applyAlignment="1"/>
    <xf numFmtId="0" fontId="36" fillId="34" borderId="36" xfId="0" applyFont="1" applyFill="1" applyBorder="1" applyAlignment="1">
      <alignment horizontal="center"/>
    </xf>
    <xf numFmtId="0" fontId="36" fillId="34" borderId="37" xfId="0" applyFont="1" applyFill="1" applyBorder="1" applyAlignment="1">
      <alignment horizontal="center"/>
    </xf>
    <xf numFmtId="0" fontId="36" fillId="34" borderId="38" xfId="0" applyFont="1" applyFill="1" applyBorder="1" applyAlignment="1">
      <alignment horizontal="center"/>
    </xf>
    <xf numFmtId="0" fontId="5" fillId="0" borderId="0" xfId="0" applyFont="1" applyAlignment="1">
      <alignment horizontal="center"/>
    </xf>
    <xf numFmtId="0" fontId="0" fillId="0" borderId="0" xfId="0" applyFont="1" applyAlignment="1"/>
    <xf numFmtId="0" fontId="57" fillId="0" borderId="0" xfId="0" applyFont="1" applyAlignment="1">
      <alignment horizontal="center" vertical="center" wrapText="1"/>
    </xf>
    <xf numFmtId="0" fontId="20" fillId="49" borderId="0" xfId="0" applyFont="1" applyFill="1" applyAlignment="1">
      <alignment horizontal="center" vertical="center" wrapText="1"/>
    </xf>
    <xf numFmtId="0" fontId="41" fillId="16" borderId="2" xfId="0" applyFont="1" applyFill="1" applyBorder="1" applyAlignment="1">
      <alignment horizontal="center" vertical="center" wrapText="1"/>
    </xf>
    <xf numFmtId="0" fontId="42" fillId="0" borderId="6" xfId="0" applyFont="1" applyBorder="1" applyAlignment="1"/>
    <xf numFmtId="0" fontId="42" fillId="0" borderId="7" xfId="0" applyFont="1" applyBorder="1" applyAlignment="1"/>
    <xf numFmtId="0" fontId="4" fillId="16" borderId="2" xfId="0" applyFont="1" applyFill="1" applyBorder="1" applyAlignment="1">
      <alignment horizontal="center" vertical="center" wrapText="1"/>
    </xf>
    <xf numFmtId="0" fontId="9" fillId="0" borderId="6" xfId="0" applyFont="1" applyBorder="1" applyAlignment="1"/>
    <xf numFmtId="0" fontId="9" fillId="0" borderId="7" xfId="0" applyFont="1" applyBorder="1" applyAlignment="1"/>
    <xf numFmtId="0" fontId="17" fillId="0" borderId="0" xfId="0" applyFont="1" applyAlignment="1">
      <alignment horizontal="center" vertical="center"/>
    </xf>
    <xf numFmtId="0" fontId="17" fillId="20" borderId="4" xfId="0" applyFont="1" applyFill="1" applyBorder="1" applyAlignment="1">
      <alignment horizontal="center" vertical="center"/>
    </xf>
    <xf numFmtId="0" fontId="9" fillId="0" borderId="4" xfId="0" applyFont="1" applyBorder="1" applyAlignment="1"/>
    <xf numFmtId="0" fontId="4" fillId="0" borderId="12" xfId="0" applyFont="1" applyBorder="1" applyAlignment="1">
      <alignment horizontal="center" vertical="center" wrapText="1"/>
    </xf>
    <xf numFmtId="0" fontId="15" fillId="14" borderId="4"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0" borderId="4" xfId="0" applyFont="1" applyBorder="1" applyAlignment="1">
      <alignment wrapText="1"/>
    </xf>
    <xf numFmtId="0" fontId="6" fillId="15" borderId="6" xfId="0" applyFont="1" applyFill="1" applyBorder="1" applyAlignment="1">
      <alignment horizontal="center" vertical="center" wrapText="1"/>
    </xf>
    <xf numFmtId="0" fontId="68" fillId="0" borderId="6" xfId="0" applyFont="1" applyBorder="1" applyAlignment="1"/>
    <xf numFmtId="0" fontId="68" fillId="0" borderId="7" xfId="0" applyFont="1" applyBorder="1" applyAlignment="1"/>
    <xf numFmtId="0" fontId="6" fillId="15" borderId="2" xfId="0" applyFont="1" applyFill="1" applyBorder="1" applyAlignment="1">
      <alignment horizontal="center" vertical="center" wrapText="1"/>
    </xf>
    <xf numFmtId="0" fontId="6" fillId="19" borderId="4" xfId="0" applyFont="1" applyFill="1" applyBorder="1" applyAlignment="1">
      <alignment horizontal="center" vertical="center" wrapText="1"/>
    </xf>
    <xf numFmtId="0" fontId="16" fillId="18" borderId="4" xfId="0" applyFont="1" applyFill="1" applyBorder="1" applyAlignment="1">
      <alignment horizontal="center" vertical="center" wrapText="1"/>
    </xf>
    <xf numFmtId="0" fontId="6" fillId="20" borderId="4" xfId="0" applyFont="1" applyFill="1" applyBorder="1" applyAlignment="1">
      <alignment horizontal="center" vertical="center" wrapText="1"/>
    </xf>
    <xf numFmtId="0" fontId="7" fillId="13" borderId="12" xfId="0" applyFont="1" applyFill="1" applyBorder="1" applyAlignment="1">
      <alignment horizontal="center" vertical="center" textRotation="90" wrapText="1"/>
    </xf>
    <xf numFmtId="0" fontId="7" fillId="13" borderId="4" xfId="0" applyFont="1" applyFill="1" applyBorder="1" applyAlignment="1">
      <alignment horizontal="center" vertical="center" textRotation="90" wrapText="1"/>
    </xf>
    <xf numFmtId="0" fontId="6" fillId="25" borderId="33" xfId="0" applyFont="1" applyFill="1" applyBorder="1" applyAlignment="1">
      <alignment horizontal="center" vertical="center" wrapText="1"/>
    </xf>
    <xf numFmtId="0" fontId="68" fillId="0" borderId="33" xfId="0" applyFont="1" applyBorder="1" applyAlignment="1"/>
    <xf numFmtId="0" fontId="67" fillId="25" borderId="33" xfId="0" applyFont="1" applyFill="1" applyBorder="1" applyAlignment="1">
      <alignment horizontal="center" vertical="center" wrapText="1"/>
    </xf>
    <xf numFmtId="0" fontId="6" fillId="25" borderId="27" xfId="0" applyFont="1" applyFill="1" applyBorder="1" applyAlignment="1">
      <alignment horizontal="center" vertical="center" wrapText="1"/>
    </xf>
    <xf numFmtId="0" fontId="68" fillId="0" borderId="27" xfId="0" applyFont="1" applyBorder="1" applyAlignment="1"/>
    <xf numFmtId="0" fontId="6" fillId="25" borderId="11" xfId="0" applyFont="1" applyFill="1" applyBorder="1" applyAlignment="1">
      <alignment horizontal="center" vertical="center" wrapText="1"/>
    </xf>
    <xf numFmtId="0" fontId="68" fillId="0" borderId="11" xfId="0" applyFont="1" applyBorder="1" applyAlignment="1">
      <alignment horizontal="center"/>
    </xf>
    <xf numFmtId="0" fontId="68" fillId="0" borderId="11" xfId="0" applyFont="1" applyBorder="1" applyAlignment="1"/>
    <xf numFmtId="172" fontId="6" fillId="71" borderId="11" xfId="1" applyNumberFormat="1" applyFont="1" applyFill="1" applyBorder="1" applyAlignment="1">
      <alignment horizontal="center" vertical="center" wrapText="1"/>
    </xf>
    <xf numFmtId="172" fontId="68" fillId="72" borderId="11" xfId="1" applyNumberFormat="1" applyFont="1" applyFill="1" applyBorder="1" applyAlignment="1"/>
    <xf numFmtId="0" fontId="6" fillId="71" borderId="30" xfId="0" applyFont="1" applyFill="1" applyBorder="1" applyAlignment="1">
      <alignment horizontal="center" vertical="center" wrapText="1"/>
    </xf>
    <xf numFmtId="0" fontId="68" fillId="72" borderId="31" xfId="0" applyFont="1" applyFill="1" applyBorder="1" applyAlignment="1"/>
    <xf numFmtId="0" fontId="68" fillId="72" borderId="13" xfId="0" applyFont="1" applyFill="1" applyBorder="1" applyAlignment="1"/>
    <xf numFmtId="0" fontId="39" fillId="0" borderId="33" xfId="0" applyFont="1" applyBorder="1" applyAlignment="1">
      <alignment horizontal="center" vertical="center"/>
    </xf>
    <xf numFmtId="0" fontId="16" fillId="2" borderId="2" xfId="0" applyFont="1" applyFill="1" applyBorder="1" applyAlignment="1">
      <alignment horizontal="center" vertical="center" wrapText="1"/>
    </xf>
    <xf numFmtId="0" fontId="47" fillId="0" borderId="7" xfId="0" applyFont="1" applyBorder="1" applyAlignment="1"/>
    <xf numFmtId="0" fontId="6" fillId="15" borderId="5" xfId="0" applyFont="1" applyFill="1" applyBorder="1" applyAlignment="1">
      <alignment horizontal="center" vertical="center" wrapText="1"/>
    </xf>
    <xf numFmtId="0" fontId="22" fillId="0" borderId="5" xfId="0" applyFont="1" applyBorder="1" applyAlignment="1"/>
    <xf numFmtId="0" fontId="22" fillId="0" borderId="33" xfId="0" applyFont="1" applyBorder="1" applyAlignment="1">
      <alignment horizontal="center" vertical="center"/>
    </xf>
    <xf numFmtId="0" fontId="6" fillId="71" borderId="11" xfId="0" applyFont="1" applyFill="1" applyBorder="1" applyAlignment="1">
      <alignment horizontal="center" vertical="center" wrapText="1"/>
    </xf>
    <xf numFmtId="0" fontId="68" fillId="72" borderId="11" xfId="0" applyFont="1" applyFill="1" applyBorder="1" applyAlignment="1"/>
    <xf numFmtId="0" fontId="6" fillId="71" borderId="11" xfId="0" applyFont="1" applyFill="1" applyBorder="1" applyAlignment="1">
      <alignment horizontal="left" vertical="center" wrapText="1" indent="1"/>
    </xf>
    <xf numFmtId="0" fontId="68" fillId="72" borderId="11" xfId="0" applyFont="1" applyFill="1" applyBorder="1" applyAlignment="1">
      <alignment horizontal="left" indent="1"/>
    </xf>
    <xf numFmtId="0" fontId="4" fillId="50" borderId="4" xfId="0" applyFont="1" applyFill="1" applyBorder="1" applyAlignment="1">
      <alignment horizontal="center" vertical="center" wrapText="1"/>
    </xf>
    <xf numFmtId="0" fontId="4" fillId="50" borderId="27" xfId="0" applyFont="1" applyFill="1" applyBorder="1" applyAlignment="1">
      <alignment horizontal="center" vertical="center" wrapText="1"/>
    </xf>
    <xf numFmtId="0" fontId="43" fillId="49" borderId="44" xfId="0" applyFont="1" applyFill="1" applyBorder="1" applyAlignment="1">
      <alignment horizontal="center" vertical="center" wrapText="1"/>
    </xf>
    <xf numFmtId="0" fontId="43" fillId="49" borderId="27" xfId="0" applyFont="1" applyFill="1" applyBorder="1" applyAlignment="1">
      <alignment horizontal="center" vertical="center" wrapText="1"/>
    </xf>
    <xf numFmtId="0" fontId="10" fillId="47" borderId="36" xfId="0" applyFont="1" applyFill="1" applyBorder="1" applyAlignment="1">
      <alignment horizontal="center" vertical="center"/>
    </xf>
    <xf numFmtId="0" fontId="10" fillId="47" borderId="45" xfId="0" applyFont="1" applyFill="1" applyBorder="1" applyAlignment="1">
      <alignment horizontal="center" vertical="center"/>
    </xf>
    <xf numFmtId="0" fontId="10" fillId="33" borderId="36" xfId="0" applyFont="1" applyFill="1" applyBorder="1" applyAlignment="1">
      <alignment horizontal="center" vertical="center"/>
    </xf>
    <xf numFmtId="0" fontId="10" fillId="33" borderId="45" xfId="0" applyFont="1" applyFill="1" applyBorder="1" applyAlignment="1">
      <alignment horizontal="center" vertical="center"/>
    </xf>
    <xf numFmtId="0" fontId="6" fillId="22" borderId="2" xfId="0" applyFont="1" applyFill="1" applyBorder="1" applyAlignment="1">
      <alignment horizontal="center" vertical="center"/>
    </xf>
    <xf numFmtId="0" fontId="4" fillId="0" borderId="2" xfId="0" applyFont="1" applyBorder="1" applyAlignment="1">
      <alignment horizontal="left" vertical="center" wrapText="1" indent="1"/>
    </xf>
    <xf numFmtId="0" fontId="9" fillId="0" borderId="6" xfId="0" applyFont="1" applyBorder="1" applyAlignment="1">
      <alignment horizontal="left" indent="1"/>
    </xf>
    <xf numFmtId="0" fontId="9" fillId="0" borderId="7" xfId="0" applyFont="1" applyBorder="1" applyAlignment="1">
      <alignment horizontal="left" indent="1"/>
    </xf>
    <xf numFmtId="0" fontId="6" fillId="0" borderId="3" xfId="0" applyFont="1" applyBorder="1" applyAlignment="1">
      <alignment horizontal="center" vertical="center"/>
    </xf>
    <xf numFmtId="0" fontId="68" fillId="0" borderId="5" xfId="0" applyFont="1" applyBorder="1" applyAlignment="1"/>
    <xf numFmtId="0" fontId="6" fillId="25" borderId="11" xfId="0" applyFont="1" applyFill="1" applyBorder="1" applyAlignment="1">
      <alignment horizontal="left" vertical="center" wrapText="1" indent="1"/>
    </xf>
    <xf numFmtId="0" fontId="68" fillId="0" borderId="5" xfId="0" applyFont="1" applyBorder="1" applyAlignment="1">
      <alignment horizontal="left" indent="1"/>
    </xf>
    <xf numFmtId="0" fontId="6" fillId="25" borderId="3" xfId="0" applyFont="1" applyFill="1" applyBorder="1" applyAlignment="1">
      <alignment horizontal="center" vertical="center" wrapText="1"/>
    </xf>
    <xf numFmtId="0" fontId="6" fillId="71" borderId="3" xfId="0" applyFont="1" applyFill="1" applyBorder="1" applyAlignment="1">
      <alignment horizontal="center" vertical="center" wrapText="1"/>
    </xf>
    <xf numFmtId="0" fontId="68" fillId="72" borderId="5" xfId="0" applyFont="1" applyFill="1" applyBorder="1" applyAlignment="1"/>
    <xf numFmtId="0" fontId="68" fillId="72" borderId="5" xfId="0" applyFont="1" applyFill="1" applyBorder="1" applyAlignment="1">
      <alignment horizontal="center"/>
    </xf>
    <xf numFmtId="0" fontId="6" fillId="71" borderId="2" xfId="0" applyFont="1" applyFill="1" applyBorder="1" applyAlignment="1">
      <alignment horizontal="center" vertical="center" wrapText="1"/>
    </xf>
    <xf numFmtId="0" fontId="68" fillId="72" borderId="7" xfId="0" applyFont="1" applyFill="1" applyBorder="1" applyAlignment="1"/>
    <xf numFmtId="0" fontId="68" fillId="72" borderId="6" xfId="0" applyFont="1" applyFill="1" applyBorder="1" applyAlignment="1"/>
    <xf numFmtId="0" fontId="6" fillId="22" borderId="2" xfId="0" applyFont="1" applyFill="1" applyBorder="1" applyAlignment="1">
      <alignment horizontal="center" vertical="center" wrapText="1"/>
    </xf>
    <xf numFmtId="0" fontId="21" fillId="15" borderId="2" xfId="0" applyFont="1" applyFill="1" applyBorder="1" applyAlignment="1">
      <alignment horizontal="center" vertical="center" wrapText="1"/>
    </xf>
    <xf numFmtId="0" fontId="91" fillId="15" borderId="2" xfId="0" applyFont="1" applyFill="1" applyBorder="1" applyAlignment="1">
      <alignment horizontal="center" vertical="center" wrapText="1"/>
    </xf>
    <xf numFmtId="0" fontId="92" fillId="0" borderId="6" xfId="0" applyFont="1" applyBorder="1" applyAlignment="1"/>
    <xf numFmtId="0" fontId="92" fillId="0" borderId="7" xfId="0" applyFont="1" applyBorder="1" applyAlignment="1"/>
    <xf numFmtId="0" fontId="6" fillId="25" borderId="3" xfId="0" applyFont="1" applyFill="1" applyBorder="1" applyAlignment="1">
      <alignment horizontal="left" vertical="center" wrapText="1" indent="1"/>
    </xf>
    <xf numFmtId="0" fontId="6" fillId="25" borderId="2" xfId="0" applyFont="1" applyFill="1" applyBorder="1" applyAlignment="1">
      <alignment horizontal="center" vertical="center" wrapText="1"/>
    </xf>
    <xf numFmtId="0" fontId="4" fillId="25" borderId="3" xfId="0" applyFont="1" applyFill="1" applyBorder="1" applyAlignment="1">
      <alignment horizontal="center" vertical="center" wrapText="1"/>
    </xf>
    <xf numFmtId="0" fontId="9" fillId="0" borderId="5" xfId="0" applyFont="1" applyBorder="1" applyAlignment="1"/>
    <xf numFmtId="0" fontId="4" fillId="25" borderId="2" xfId="0" applyFont="1" applyFill="1" applyBorder="1" applyAlignment="1">
      <alignment horizontal="center" vertical="center" wrapText="1"/>
    </xf>
    <xf numFmtId="0" fontId="14" fillId="0" borderId="0" xfId="0" applyFont="1" applyAlignment="1">
      <alignment horizontal="left" vertical="center"/>
    </xf>
    <xf numFmtId="0" fontId="20" fillId="0" borderId="0" xfId="0" applyFont="1" applyAlignment="1"/>
    <xf numFmtId="0" fontId="93" fillId="24" borderId="44" xfId="0" applyFont="1" applyFill="1" applyBorder="1" applyAlignment="1">
      <alignment horizontal="center" vertical="center"/>
    </xf>
    <xf numFmtId="0" fontId="93" fillId="24" borderId="4" xfId="0" applyFont="1" applyFill="1" applyBorder="1" applyAlignment="1">
      <alignment horizontal="center" vertical="center"/>
    </xf>
    <xf numFmtId="0" fontId="4" fillId="16" borderId="3" xfId="0" applyFont="1" applyFill="1" applyBorder="1" applyAlignment="1">
      <alignment horizontal="center" vertical="center"/>
    </xf>
    <xf numFmtId="0" fontId="4" fillId="25" borderId="11" xfId="0" applyFont="1" applyFill="1" applyBorder="1" applyAlignment="1">
      <alignment horizontal="center" vertical="center" wrapText="1"/>
    </xf>
    <xf numFmtId="0" fontId="4" fillId="25" borderId="11" xfId="0" applyFont="1" applyFill="1" applyBorder="1" applyAlignment="1">
      <alignment horizontal="left" vertical="center" wrapText="1" indent="1"/>
    </xf>
    <xf numFmtId="0" fontId="9" fillId="0" borderId="5" xfId="0" applyFont="1" applyBorder="1" applyAlignment="1">
      <alignment horizontal="left" indent="1"/>
    </xf>
    <xf numFmtId="0" fontId="6" fillId="25" borderId="30" xfId="0" applyFont="1" applyFill="1" applyBorder="1" applyAlignment="1">
      <alignment horizontal="center" vertical="center" wrapText="1"/>
    </xf>
    <xf numFmtId="0" fontId="68" fillId="0" borderId="13" xfId="0" applyFont="1" applyBorder="1" applyAlignment="1"/>
    <xf numFmtId="0" fontId="68" fillId="0" borderId="31" xfId="0" applyFont="1" applyBorder="1" applyAlignment="1"/>
    <xf numFmtId="0" fontId="9" fillId="0" borderId="11" xfId="0" applyFont="1" applyBorder="1" applyAlignment="1"/>
    <xf numFmtId="0" fontId="4" fillId="0" borderId="2" xfId="0" applyFont="1" applyBorder="1" applyAlignment="1">
      <alignment horizontal="left" vertical="center" wrapText="1"/>
    </xf>
    <xf numFmtId="0" fontId="4" fillId="22" borderId="2" xfId="0" applyFont="1" applyFill="1" applyBorder="1" applyAlignment="1">
      <alignment horizontal="center" vertical="center"/>
    </xf>
    <xf numFmtId="0" fontId="4" fillId="15" borderId="2" xfId="0" applyFont="1" applyFill="1" applyBorder="1" applyAlignment="1">
      <alignment horizontal="center" vertical="center" wrapText="1"/>
    </xf>
    <xf numFmtId="0" fontId="4" fillId="22" borderId="2" xfId="0" applyFont="1" applyFill="1" applyBorder="1" applyAlignment="1">
      <alignment horizontal="center" vertical="center" wrapText="1"/>
    </xf>
    <xf numFmtId="0" fontId="9" fillId="0" borderId="10" xfId="0" applyFont="1" applyBorder="1" applyAlignment="1"/>
    <xf numFmtId="0" fontId="6" fillId="71" borderId="3" xfId="0" applyFont="1" applyFill="1" applyBorder="1" applyAlignment="1">
      <alignment horizontal="left" vertical="center" wrapText="1" indent="1"/>
    </xf>
    <xf numFmtId="0" fontId="68" fillId="72" borderId="5" xfId="0" applyFont="1" applyFill="1" applyBorder="1" applyAlignment="1">
      <alignment horizontal="left" indent="1"/>
    </xf>
    <xf numFmtId="0" fontId="20" fillId="15" borderId="2" xfId="0" applyFont="1" applyFill="1" applyBorder="1" applyAlignment="1">
      <alignment horizontal="center" vertical="center" wrapText="1"/>
    </xf>
    <xf numFmtId="0" fontId="9" fillId="0" borderId="6" xfId="0" applyFont="1" applyBorder="1" applyAlignment="1">
      <alignment indent="1"/>
    </xf>
    <xf numFmtId="0" fontId="9" fillId="0" borderId="7" xfId="0" applyFont="1" applyBorder="1" applyAlignment="1">
      <alignment indent="1"/>
    </xf>
    <xf numFmtId="0" fontId="26" fillId="15" borderId="2" xfId="0" applyFont="1" applyFill="1" applyBorder="1" applyAlignment="1">
      <alignment horizontal="center" vertical="center" wrapText="1"/>
    </xf>
    <xf numFmtId="0" fontId="68" fillId="0" borderId="5" xfId="0" applyFont="1" applyBorder="1" applyAlignment="1">
      <alignment horizontal="center"/>
    </xf>
    <xf numFmtId="0" fontId="9" fillId="0" borderId="5" xfId="0" applyFont="1" applyBorder="1" applyAlignment="1">
      <alignment horizontal="center"/>
    </xf>
    <xf numFmtId="0" fontId="26" fillId="57" borderId="33" xfId="2" applyFont="1" applyFill="1" applyBorder="1" applyAlignment="1">
      <alignment horizontal="center"/>
    </xf>
    <xf numFmtId="0" fontId="0" fillId="57" borderId="33" xfId="2" applyFont="1" applyFill="1" applyBorder="1" applyAlignment="1">
      <alignment horizontal="center"/>
    </xf>
    <xf numFmtId="174" fontId="0" fillId="57" borderId="36" xfId="2" applyNumberFormat="1" applyFont="1" applyFill="1" applyBorder="1" applyAlignment="1">
      <alignment horizontal="center"/>
    </xf>
    <xf numFmtId="174" fontId="0" fillId="57" borderId="38" xfId="2" applyNumberFormat="1" applyFont="1" applyFill="1" applyBorder="1" applyAlignment="1">
      <alignment horizontal="center"/>
    </xf>
    <xf numFmtId="0" fontId="57" fillId="57" borderId="33" xfId="2" applyFont="1" applyFill="1" applyBorder="1" applyAlignment="1">
      <alignment horizontal="center"/>
    </xf>
    <xf numFmtId="174" fontId="57" fillId="57" borderId="36" xfId="2" applyNumberFormat="1" applyFont="1" applyFill="1" applyBorder="1" applyAlignment="1">
      <alignment horizontal="center"/>
    </xf>
    <xf numFmtId="174" fontId="57" fillId="57" borderId="38" xfId="2" applyNumberFormat="1" applyFont="1" applyFill="1" applyBorder="1" applyAlignment="1">
      <alignment horizontal="center"/>
    </xf>
    <xf numFmtId="0" fontId="57" fillId="57" borderId="36" xfId="2" applyFont="1" applyFill="1" applyBorder="1" applyAlignment="1">
      <alignment horizontal="left"/>
    </xf>
    <xf numFmtId="0" fontId="57" fillId="57" borderId="37" xfId="2" applyFont="1" applyFill="1" applyBorder="1" applyAlignment="1">
      <alignment horizontal="left"/>
    </xf>
    <xf numFmtId="0" fontId="57" fillId="57" borderId="38" xfId="2" applyFont="1" applyFill="1" applyBorder="1" applyAlignment="1">
      <alignment horizontal="left"/>
    </xf>
    <xf numFmtId="3" fontId="6" fillId="73" borderId="13" xfId="0" applyNumberFormat="1" applyFont="1" applyFill="1" applyBorder="1" applyAlignment="1">
      <alignment horizontal="center" vertical="center" wrapText="1"/>
    </xf>
    <xf numFmtId="9" fontId="93" fillId="0" borderId="4" xfId="9" applyFont="1" applyFill="1" applyAlignment="1">
      <alignment horizontal="center" wrapText="1"/>
    </xf>
    <xf numFmtId="0" fontId="16" fillId="34" borderId="0" xfId="0" applyFont="1" applyFill="1" applyAlignment="1">
      <alignment horizontal="center" vertical="center" wrapText="1"/>
    </xf>
    <xf numFmtId="0" fontId="98" fillId="0" borderId="0" xfId="0" applyFont="1" applyAlignment="1">
      <alignment horizontal="center"/>
    </xf>
    <xf numFmtId="0" fontId="96" fillId="0" borderId="0" xfId="0" applyFont="1" applyAlignment="1">
      <alignment horizontal="center"/>
    </xf>
    <xf numFmtId="0" fontId="10" fillId="0" borderId="3" xfId="0" applyFont="1" applyBorder="1" applyAlignment="1">
      <alignment horizontal="center" vertical="center"/>
    </xf>
    <xf numFmtId="0" fontId="9" fillId="0" borderId="11" xfId="0" applyFont="1" applyBorder="1"/>
    <xf numFmtId="0" fontId="9" fillId="0" borderId="5" xfId="0" applyFont="1" applyBorder="1"/>
    <xf numFmtId="0" fontId="6" fillId="42" borderId="0" xfId="0" applyFont="1" applyFill="1" applyAlignment="1">
      <alignment wrapText="1"/>
    </xf>
    <xf numFmtId="0" fontId="101" fillId="42" borderId="0" xfId="0" applyFont="1" applyFill="1" applyAlignment="1">
      <alignment wrapText="1"/>
    </xf>
    <xf numFmtId="0" fontId="103" fillId="42" borderId="0" xfId="0" applyFont="1" applyFill="1" applyAlignment="1">
      <alignment wrapText="1"/>
    </xf>
    <xf numFmtId="0" fontId="102" fillId="42" borderId="0" xfId="0" applyFont="1" applyFill="1" applyAlignment="1">
      <alignment wrapText="1"/>
    </xf>
    <xf numFmtId="0" fontId="4" fillId="42" borderId="0" xfId="0" applyFont="1" applyFill="1" applyAlignment="1">
      <alignment wrapText="1"/>
    </xf>
    <xf numFmtId="0" fontId="8" fillId="74" borderId="48" xfId="0" applyFont="1" applyFill="1" applyBorder="1" applyAlignment="1">
      <alignment horizontal="center" vertical="center" wrapText="1"/>
    </xf>
    <xf numFmtId="0" fontId="8" fillId="74" borderId="52" xfId="0" applyFont="1" applyFill="1" applyBorder="1" applyAlignment="1">
      <alignment horizontal="center" vertical="center" wrapText="1"/>
    </xf>
    <xf numFmtId="0" fontId="8" fillId="74" borderId="48" xfId="0" applyFont="1" applyFill="1" applyBorder="1" applyAlignment="1">
      <alignment horizontal="center" vertical="center"/>
    </xf>
    <xf numFmtId="0" fontId="8" fillId="74" borderId="52" xfId="0" applyFont="1" applyFill="1" applyBorder="1" applyAlignment="1">
      <alignment horizontal="center" vertical="center"/>
    </xf>
    <xf numFmtId="0" fontId="8" fillId="74" borderId="49" xfId="0" applyFont="1" applyFill="1" applyBorder="1" applyAlignment="1">
      <alignment horizontal="center" vertical="center" wrapText="1"/>
    </xf>
    <xf numFmtId="0" fontId="8" fillId="74" borderId="50" xfId="0" applyFont="1" applyFill="1" applyBorder="1" applyAlignment="1">
      <alignment horizontal="center" vertical="center" wrapText="1"/>
    </xf>
    <xf numFmtId="0" fontId="8" fillId="74" borderId="51" xfId="0" applyFont="1" applyFill="1" applyBorder="1" applyAlignment="1">
      <alignment horizontal="center" vertical="center" wrapText="1"/>
    </xf>
    <xf numFmtId="172" fontId="20" fillId="0" borderId="78" xfId="1" applyNumberFormat="1" applyFont="1" applyFill="1" applyBorder="1" applyAlignment="1">
      <alignment horizontal="center" vertical="center" wrapText="1"/>
    </xf>
    <xf numFmtId="172" fontId="20" fillId="0" borderId="79" xfId="1" applyNumberFormat="1" applyFont="1" applyFill="1" applyBorder="1" applyAlignment="1">
      <alignment horizontal="center" vertical="center" wrapText="1"/>
    </xf>
    <xf numFmtId="172" fontId="20" fillId="0" borderId="47" xfId="1" applyNumberFormat="1" applyFont="1" applyFill="1" applyBorder="1" applyAlignment="1">
      <alignment horizontal="center" vertical="center" wrapText="1"/>
    </xf>
    <xf numFmtId="172" fontId="0" fillId="0" borderId="78" xfId="1" applyNumberFormat="1" applyFont="1" applyBorder="1" applyAlignment="1">
      <alignment horizontal="center" vertical="center"/>
    </xf>
    <xf numFmtId="172" fontId="0" fillId="0" borderId="79" xfId="1" applyNumberFormat="1" applyFont="1" applyBorder="1" applyAlignment="1">
      <alignment horizontal="center" vertical="center"/>
    </xf>
    <xf numFmtId="172" fontId="0" fillId="0" borderId="47" xfId="1" applyNumberFormat="1" applyFont="1" applyBorder="1" applyAlignment="1">
      <alignment horizontal="center" vertical="center"/>
    </xf>
    <xf numFmtId="172" fontId="0" fillId="0" borderId="46" xfId="1" applyNumberFormat="1" applyFont="1" applyBorder="1" applyAlignment="1">
      <alignment horizontal="center" vertical="center"/>
    </xf>
    <xf numFmtId="172" fontId="0" fillId="0" borderId="78" xfId="1" applyNumberFormat="1" applyFont="1" applyFill="1" applyBorder="1" applyAlignment="1">
      <alignment horizontal="center" vertical="center"/>
    </xf>
    <xf numFmtId="172" fontId="0" fillId="0" borderId="79" xfId="1" applyNumberFormat="1" applyFont="1" applyFill="1" applyBorder="1" applyAlignment="1">
      <alignment horizontal="center" vertical="center"/>
    </xf>
    <xf numFmtId="172" fontId="0" fillId="0" borderId="47" xfId="1" applyNumberFormat="1" applyFont="1" applyFill="1" applyBorder="1" applyAlignment="1">
      <alignment horizontal="center" vertical="center"/>
    </xf>
    <xf numFmtId="0" fontId="108" fillId="0" borderId="0" xfId="0" applyFont="1" applyAlignment="1">
      <alignment horizontal="center" vertical="center"/>
    </xf>
    <xf numFmtId="0" fontId="64" fillId="0" borderId="3" xfId="0" applyFont="1" applyBorder="1" applyAlignment="1">
      <alignment horizontal="center" vertical="top" wrapText="1"/>
    </xf>
    <xf numFmtId="0" fontId="64" fillId="0" borderId="11" xfId="0" applyFont="1" applyBorder="1" applyAlignment="1">
      <alignment horizontal="center" vertical="top" wrapText="1"/>
    </xf>
    <xf numFmtId="0" fontId="64" fillId="0" borderId="1" xfId="0" applyFont="1" applyBorder="1" applyAlignment="1">
      <alignment horizontal="left" vertical="top" wrapText="1"/>
    </xf>
    <xf numFmtId="0" fontId="64" fillId="0" borderId="3" xfId="0" applyFont="1" applyBorder="1" applyAlignment="1">
      <alignment horizontal="left" vertical="top" wrapText="1"/>
    </xf>
    <xf numFmtId="0" fontId="64" fillId="0" borderId="11" xfId="0" applyFont="1" applyBorder="1" applyAlignment="1">
      <alignment horizontal="left" vertical="top" wrapText="1"/>
    </xf>
    <xf numFmtId="0" fontId="64" fillId="0" borderId="3" xfId="0" applyFont="1" applyFill="1" applyBorder="1" applyAlignment="1">
      <alignment horizontal="left" vertical="top" wrapText="1"/>
    </xf>
    <xf numFmtId="0" fontId="64" fillId="0" borderId="11" xfId="0" applyFont="1" applyFill="1" applyBorder="1" applyAlignment="1">
      <alignment horizontal="left" vertical="top" wrapText="1"/>
    </xf>
    <xf numFmtId="0" fontId="64" fillId="0" borderId="5" xfId="0" applyFont="1" applyFill="1" applyBorder="1" applyAlignment="1">
      <alignment horizontal="left" vertical="top" wrapText="1"/>
    </xf>
    <xf numFmtId="0" fontId="64" fillId="0" borderId="5" xfId="0" applyFont="1" applyBorder="1" applyAlignment="1">
      <alignment horizontal="center" vertical="top" wrapText="1"/>
    </xf>
    <xf numFmtId="0" fontId="64" fillId="0" borderId="1" xfId="0" applyFont="1" applyFill="1" applyBorder="1" applyAlignment="1">
      <alignment horizontal="center" vertical="top" wrapText="1"/>
    </xf>
    <xf numFmtId="0" fontId="64" fillId="0" borderId="1" xfId="0" applyFont="1" applyFill="1" applyBorder="1" applyAlignment="1">
      <alignment horizontal="left" vertical="top" wrapText="1"/>
    </xf>
    <xf numFmtId="0" fontId="64" fillId="0" borderId="1" xfId="0" applyFont="1" applyFill="1" applyBorder="1" applyAlignment="1">
      <alignment horizontal="left" vertical="top"/>
    </xf>
    <xf numFmtId="0" fontId="64" fillId="0" borderId="3" xfId="0" applyFont="1" applyFill="1" applyBorder="1" applyAlignment="1">
      <alignment horizontal="center" vertical="top"/>
    </xf>
    <xf numFmtId="0" fontId="64" fillId="0" borderId="11" xfId="0" applyFont="1" applyFill="1" applyBorder="1" applyAlignment="1">
      <alignment horizontal="center" vertical="top"/>
    </xf>
    <xf numFmtId="0" fontId="64" fillId="0" borderId="5" xfId="0" applyFont="1" applyFill="1" applyBorder="1" applyAlignment="1">
      <alignment horizontal="center" vertical="top"/>
    </xf>
    <xf numFmtId="0" fontId="64" fillId="0" borderId="1" xfId="0" applyFont="1" applyFill="1" applyBorder="1" applyAlignment="1">
      <alignment horizontal="center" vertical="top"/>
    </xf>
    <xf numFmtId="0" fontId="64" fillId="0" borderId="3" xfId="0" applyFont="1" applyFill="1" applyBorder="1" applyAlignment="1">
      <alignment horizontal="center" vertical="top" wrapText="1"/>
    </xf>
    <xf numFmtId="0" fontId="64" fillId="0" borderId="5" xfId="0" applyFont="1" applyFill="1" applyBorder="1" applyAlignment="1">
      <alignment horizontal="center" vertical="top" wrapText="1"/>
    </xf>
    <xf numFmtId="0" fontId="64" fillId="0" borderId="11" xfId="0" applyFont="1" applyFill="1" applyBorder="1" applyAlignment="1">
      <alignment horizontal="center" vertical="top" wrapText="1"/>
    </xf>
    <xf numFmtId="0" fontId="64" fillId="0" borderId="3" xfId="0" applyFont="1" applyBorder="1" applyAlignment="1">
      <alignment horizontal="center" vertical="top"/>
    </xf>
    <xf numFmtId="0" fontId="64" fillId="0" borderId="11" xfId="0" applyFont="1" applyBorder="1" applyAlignment="1">
      <alignment horizontal="center" vertical="top"/>
    </xf>
    <xf numFmtId="0" fontId="64" fillId="0" borderId="5" xfId="0" applyFont="1" applyBorder="1" applyAlignment="1">
      <alignment horizontal="center" vertical="top"/>
    </xf>
    <xf numFmtId="172" fontId="64" fillId="0" borderId="3" xfId="0" applyNumberFormat="1" applyFont="1" applyFill="1" applyBorder="1" applyAlignment="1">
      <alignment horizontal="center" vertical="top" wrapText="1"/>
    </xf>
    <xf numFmtId="172" fontId="64" fillId="0" borderId="11" xfId="0" applyNumberFormat="1" applyFont="1" applyFill="1" applyBorder="1" applyAlignment="1">
      <alignment horizontal="center" vertical="top" wrapText="1"/>
    </xf>
    <xf numFmtId="172" fontId="64" fillId="0" borderId="5" xfId="0" applyNumberFormat="1" applyFont="1" applyFill="1" applyBorder="1" applyAlignment="1">
      <alignment horizontal="center" vertical="top" wrapText="1"/>
    </xf>
    <xf numFmtId="0" fontId="64" fillId="0" borderId="5" xfId="0" applyFont="1" applyBorder="1" applyAlignment="1">
      <alignment horizontal="left" vertical="top" wrapText="1"/>
    </xf>
    <xf numFmtId="175" fontId="65" fillId="0" borderId="3" xfId="0" applyNumberFormat="1" applyFont="1" applyBorder="1" applyAlignment="1">
      <alignment horizontal="left" vertical="top" wrapText="1"/>
    </xf>
    <xf numFmtId="175" fontId="65" fillId="0" borderId="11" xfId="0" applyNumberFormat="1" applyFont="1" applyBorder="1" applyAlignment="1">
      <alignment horizontal="left" vertical="top" wrapText="1"/>
    </xf>
    <xf numFmtId="175" fontId="65" fillId="0" borderId="5" xfId="0" applyNumberFormat="1" applyFont="1" applyBorder="1" applyAlignment="1">
      <alignment horizontal="left" vertical="top" wrapText="1"/>
    </xf>
    <xf numFmtId="0" fontId="64" fillId="0" borderId="3" xfId="0" applyFont="1" applyBorder="1" applyAlignment="1">
      <alignment horizontal="left" vertical="top" wrapText="1" indent="1"/>
    </xf>
    <xf numFmtId="0" fontId="64" fillId="0" borderId="11" xfId="0" applyFont="1" applyBorder="1" applyAlignment="1">
      <alignment horizontal="left" vertical="top" wrapText="1" indent="1"/>
    </xf>
    <xf numFmtId="0" fontId="64" fillId="0" borderId="5" xfId="0" applyFont="1" applyBorder="1" applyAlignment="1">
      <alignment horizontal="left" vertical="top" wrapText="1" indent="1"/>
    </xf>
    <xf numFmtId="172" fontId="64" fillId="0" borderId="29" xfId="0" applyNumberFormat="1" applyFont="1" applyBorder="1" applyAlignment="1">
      <alignment horizontal="left" vertical="top" wrapText="1"/>
    </xf>
    <xf numFmtId="172" fontId="64" fillId="0" borderId="9" xfId="0" applyNumberFormat="1" applyFont="1" applyBorder="1" applyAlignment="1">
      <alignment horizontal="left" vertical="top" wrapText="1"/>
    </xf>
    <xf numFmtId="175" fontId="64" fillId="0" borderId="3" xfId="0" applyNumberFormat="1" applyFont="1" applyBorder="1" applyAlignment="1">
      <alignment horizontal="center" vertical="top" wrapText="1"/>
    </xf>
    <xf numFmtId="175" fontId="64" fillId="0" borderId="5" xfId="0" applyNumberFormat="1" applyFont="1" applyBorder="1" applyAlignment="1">
      <alignment horizontal="center" vertical="top" wrapText="1"/>
    </xf>
    <xf numFmtId="0" fontId="64" fillId="0" borderId="3" xfId="0" applyFont="1" applyBorder="1" applyAlignment="1">
      <alignment vertical="top" wrapText="1"/>
    </xf>
    <xf numFmtId="0" fontId="64" fillId="0" borderId="11" xfId="0" applyFont="1" applyBorder="1" applyAlignment="1">
      <alignment vertical="top" wrapText="1"/>
    </xf>
    <xf numFmtId="0" fontId="64" fillId="0" borderId="5" xfId="0" applyFont="1" applyBorder="1" applyAlignment="1">
      <alignment vertical="top" wrapText="1"/>
    </xf>
    <xf numFmtId="0" fontId="77" fillId="67" borderId="1" xfId="0" applyFont="1" applyFill="1" applyBorder="1" applyAlignment="1">
      <alignment horizontal="center" vertical="top"/>
    </xf>
    <xf numFmtId="0" fontId="0" fillId="0" borderId="2" xfId="0" applyFont="1" applyBorder="1" applyAlignment="1">
      <alignment horizontal="center" vertical="top"/>
    </xf>
    <xf numFmtId="0" fontId="0" fillId="0" borderId="7" xfId="0" applyFont="1" applyBorder="1" applyAlignment="1">
      <alignment horizontal="center" vertical="top"/>
    </xf>
    <xf numFmtId="175" fontId="0" fillId="0" borderId="2" xfId="0" applyNumberFormat="1" applyFont="1" applyBorder="1" applyAlignment="1">
      <alignment horizontal="center" vertical="center"/>
    </xf>
    <xf numFmtId="175" fontId="0" fillId="0" borderId="7" xfId="0" applyNumberFormat="1" applyFont="1" applyBorder="1" applyAlignment="1">
      <alignment horizontal="center" vertical="center"/>
    </xf>
    <xf numFmtId="0" fontId="64" fillId="0" borderId="29" xfId="0" applyFont="1" applyBorder="1" applyAlignment="1">
      <alignment horizontal="left" vertical="top" wrapText="1"/>
    </xf>
    <xf numFmtId="0" fontId="64" fillId="0" borderId="9" xfId="0" applyFont="1" applyBorder="1" applyAlignment="1">
      <alignment horizontal="left" vertical="top" wrapText="1"/>
    </xf>
    <xf numFmtId="0" fontId="64" fillId="0" borderId="30" xfId="0" applyFont="1" applyBorder="1" applyAlignment="1">
      <alignment horizontal="left" vertical="top" wrapText="1"/>
    </xf>
    <xf numFmtId="0" fontId="64" fillId="0" borderId="63" xfId="0" applyFont="1" applyBorder="1" applyAlignment="1">
      <alignment horizontal="left" vertical="top" wrapText="1"/>
    </xf>
    <xf numFmtId="0" fontId="64" fillId="0" borderId="66" xfId="0" applyFont="1" applyBorder="1" applyAlignment="1">
      <alignment horizontal="left" vertical="top" wrapText="1"/>
    </xf>
    <xf numFmtId="0" fontId="64" fillId="0" borderId="68" xfId="0" applyFont="1" applyBorder="1" applyAlignment="1">
      <alignment horizontal="left" vertical="top" wrapText="1"/>
    </xf>
    <xf numFmtId="0" fontId="64" fillId="0" borderId="64" xfId="0" applyFont="1" applyBorder="1" applyAlignment="1">
      <alignment horizontal="left" vertical="top" wrapText="1"/>
    </xf>
    <xf numFmtId="0" fontId="64" fillId="0" borderId="69" xfId="0" applyFont="1" applyBorder="1" applyAlignment="1">
      <alignment horizontal="left" vertical="top" wrapText="1"/>
    </xf>
    <xf numFmtId="0" fontId="64" fillId="0" borderId="70" xfId="0" applyFont="1" applyBorder="1" applyAlignment="1">
      <alignment horizontal="left" vertical="top" wrapText="1"/>
    </xf>
    <xf numFmtId="0" fontId="64" fillId="0" borderId="2" xfId="0" applyFont="1" applyBorder="1" applyAlignment="1">
      <alignment horizontal="left" vertical="top" wrapText="1"/>
    </xf>
    <xf numFmtId="0" fontId="64" fillId="0" borderId="71" xfId="0" applyFont="1" applyBorder="1" applyAlignment="1">
      <alignment horizontal="left" vertical="top" wrapText="1"/>
    </xf>
    <xf numFmtId="0" fontId="0" fillId="0" borderId="29" xfId="0" applyFont="1" applyBorder="1" applyAlignment="1">
      <alignment horizontal="center" vertical="top"/>
    </xf>
    <xf numFmtId="0" fontId="0" fillId="0" borderId="10" xfId="0" applyFont="1" applyBorder="1" applyAlignment="1">
      <alignment horizontal="center" vertical="top"/>
    </xf>
    <xf numFmtId="175" fontId="0" fillId="0" borderId="29" xfId="0" applyNumberFormat="1" applyFont="1" applyBorder="1" applyAlignment="1">
      <alignment horizontal="center" vertical="center"/>
    </xf>
    <xf numFmtId="175" fontId="0" fillId="0" borderId="10" xfId="0" applyNumberFormat="1" applyFont="1" applyBorder="1" applyAlignment="1">
      <alignment horizontal="center" vertical="center"/>
    </xf>
    <xf numFmtId="0" fontId="0" fillId="0" borderId="1" xfId="0" applyFont="1" applyBorder="1" applyAlignment="1">
      <alignment horizontal="center" vertical="top"/>
    </xf>
    <xf numFmtId="175" fontId="0" fillId="0" borderId="1" xfId="0" applyNumberFormat="1" applyFont="1" applyBorder="1" applyAlignment="1">
      <alignment horizontal="center" vertical="center"/>
    </xf>
    <xf numFmtId="175" fontId="0" fillId="0" borderId="30" xfId="0" applyNumberFormat="1" applyFont="1" applyBorder="1" applyAlignment="1">
      <alignment horizontal="center" vertical="center"/>
    </xf>
    <xf numFmtId="175" fontId="0" fillId="0" borderId="31" xfId="0" applyNumberFormat="1" applyFont="1" applyBorder="1" applyAlignment="1">
      <alignment horizontal="center" vertical="center"/>
    </xf>
    <xf numFmtId="0" fontId="0" fillId="0" borderId="5" xfId="0" applyFont="1" applyBorder="1" applyAlignment="1">
      <alignment horizontal="center" vertical="top"/>
    </xf>
    <xf numFmtId="0" fontId="64" fillId="0" borderId="29" xfId="0" applyFont="1" applyBorder="1" applyAlignment="1">
      <alignment horizontal="left" vertical="top" wrapText="1" indent="1"/>
    </xf>
    <xf numFmtId="0" fontId="64" fillId="0" borderId="9" xfId="0" applyFont="1" applyBorder="1" applyAlignment="1">
      <alignment horizontal="left" vertical="top" wrapText="1" indent="1"/>
    </xf>
    <xf numFmtId="0" fontId="64" fillId="0" borderId="30" xfId="0" applyFont="1" applyBorder="1" applyAlignment="1">
      <alignment horizontal="left" vertical="top" wrapText="1" indent="1"/>
    </xf>
    <xf numFmtId="0" fontId="64" fillId="0" borderId="3" xfId="0" applyFont="1" applyFill="1" applyBorder="1" applyAlignment="1">
      <alignment horizontal="left" vertical="top" wrapText="1" indent="1"/>
    </xf>
    <xf numFmtId="0" fontId="64" fillId="0" borderId="11" xfId="0" applyFont="1" applyFill="1" applyBorder="1" applyAlignment="1">
      <alignment horizontal="left" vertical="top" wrapText="1" indent="1"/>
    </xf>
    <xf numFmtId="0" fontId="64" fillId="0" borderId="5" xfId="0" applyFont="1" applyFill="1" applyBorder="1" applyAlignment="1">
      <alignment horizontal="left" vertical="top" wrapText="1" indent="1"/>
    </xf>
    <xf numFmtId="0" fontId="64" fillId="0" borderId="3" xfId="0" applyFont="1" applyBorder="1" applyAlignment="1">
      <alignment vertical="top"/>
    </xf>
    <xf numFmtId="0" fontId="64" fillId="0" borderId="11" xfId="0" applyFont="1" applyBorder="1" applyAlignment="1">
      <alignment vertical="top"/>
    </xf>
    <xf numFmtId="0" fontId="64" fillId="0" borderId="5" xfId="0" applyFont="1" applyBorder="1" applyAlignment="1">
      <alignment vertical="top"/>
    </xf>
    <xf numFmtId="0" fontId="64" fillId="64" borderId="3" xfId="0" applyFont="1" applyFill="1" applyBorder="1" applyAlignment="1">
      <alignment horizontal="left" vertical="top" wrapText="1" indent="1"/>
    </xf>
    <xf numFmtId="0" fontId="64" fillId="64" borderId="11" xfId="0" applyFont="1" applyFill="1" applyBorder="1" applyAlignment="1">
      <alignment horizontal="left" vertical="top" wrapText="1" indent="1"/>
    </xf>
    <xf numFmtId="0" fontId="64" fillId="64" borderId="5" xfId="0" applyFont="1" applyFill="1" applyBorder="1" applyAlignment="1">
      <alignment horizontal="left" vertical="top" wrapText="1" indent="1"/>
    </xf>
    <xf numFmtId="0" fontId="64" fillId="0" borderId="1" xfId="0" applyFont="1" applyFill="1" applyBorder="1" applyAlignment="1">
      <alignment horizontal="left" vertical="top" wrapText="1" indent="1"/>
    </xf>
    <xf numFmtId="0" fontId="64" fillId="0" borderId="1" xfId="0" applyFont="1" applyBorder="1" applyAlignment="1">
      <alignment horizontal="left" vertical="top" wrapText="1" indent="1"/>
    </xf>
    <xf numFmtId="172" fontId="65" fillId="0" borderId="29" xfId="0" applyNumberFormat="1" applyFont="1" applyBorder="1" applyAlignment="1">
      <alignment horizontal="left" vertical="top" wrapText="1" indent="1"/>
    </xf>
    <xf numFmtId="172" fontId="65" fillId="0" borderId="9" xfId="0" applyNumberFormat="1" applyFont="1" applyBorder="1" applyAlignment="1">
      <alignment horizontal="left" vertical="top" wrapText="1" indent="1"/>
    </xf>
    <xf numFmtId="0" fontId="64" fillId="0" borderId="29" xfId="0" applyFont="1" applyBorder="1" applyAlignment="1">
      <alignment horizontal="center" vertical="top" wrapText="1"/>
    </xf>
    <xf numFmtId="0" fontId="64" fillId="0" borderId="9" xfId="0" applyFont="1" applyBorder="1" applyAlignment="1">
      <alignment horizontal="center" vertical="top" wrapText="1"/>
    </xf>
    <xf numFmtId="0" fontId="64" fillId="0" borderId="30" xfId="0" applyFont="1" applyBorder="1" applyAlignment="1">
      <alignment horizontal="center" vertical="top" wrapText="1"/>
    </xf>
    <xf numFmtId="175" fontId="65" fillId="0" borderId="3" xfId="0" applyNumberFormat="1" applyFont="1" applyBorder="1" applyAlignment="1">
      <alignment vertical="top"/>
    </xf>
    <xf numFmtId="175" fontId="65" fillId="0" borderId="5" xfId="0" applyNumberFormat="1" applyFont="1" applyBorder="1" applyAlignment="1">
      <alignment vertical="top"/>
    </xf>
    <xf numFmtId="175" fontId="64" fillId="0" borderId="3" xfId="0" applyNumberFormat="1" applyFont="1" applyBorder="1" applyAlignment="1">
      <alignment horizontal="left" vertical="top" wrapText="1" indent="1"/>
    </xf>
    <xf numFmtId="175" fontId="64" fillId="0" borderId="5" xfId="0" applyNumberFormat="1" applyFont="1" applyBorder="1" applyAlignment="1">
      <alignment horizontal="left" vertical="top" wrapText="1" indent="1"/>
    </xf>
    <xf numFmtId="0" fontId="76" fillId="0" borderId="27" xfId="0" applyFont="1" applyFill="1" applyBorder="1" applyAlignment="1">
      <alignment horizontal="center" vertical="center"/>
    </xf>
    <xf numFmtId="0" fontId="76" fillId="0" borderId="1" xfId="0" applyFont="1" applyFill="1" applyBorder="1" applyAlignment="1">
      <alignment horizontal="center" vertical="center" wrapText="1"/>
    </xf>
    <xf numFmtId="0" fontId="64" fillId="0" borderId="3" xfId="0" applyFont="1" applyFill="1" applyBorder="1" applyAlignment="1">
      <alignment vertical="top"/>
    </xf>
    <xf numFmtId="0" fontId="64" fillId="0" borderId="5" xfId="0" applyFont="1" applyFill="1" applyBorder="1" applyAlignment="1">
      <alignment vertical="top"/>
    </xf>
    <xf numFmtId="0" fontId="64" fillId="0" borderId="1" xfId="0" applyFont="1" applyFill="1" applyBorder="1" applyAlignment="1">
      <alignment vertical="top"/>
    </xf>
    <xf numFmtId="0" fontId="64" fillId="0" borderId="1" xfId="0" applyFont="1" applyFill="1" applyBorder="1" applyAlignment="1">
      <alignment vertical="top" wrapText="1"/>
    </xf>
    <xf numFmtId="0" fontId="65" fillId="65" borderId="1" xfId="0" applyFont="1" applyFill="1" applyBorder="1" applyAlignment="1">
      <alignment horizontal="center" vertical="center" wrapText="1"/>
    </xf>
    <xf numFmtId="0" fontId="65" fillId="66" borderId="3" xfId="0" applyFont="1" applyFill="1" applyBorder="1" applyAlignment="1">
      <alignment horizontal="center" vertical="center" wrapText="1"/>
    </xf>
    <xf numFmtId="0" fontId="65" fillId="34" borderId="1" xfId="0" applyFont="1" applyFill="1" applyBorder="1" applyAlignment="1">
      <alignment horizontal="center" vertical="center" wrapText="1"/>
    </xf>
    <xf numFmtId="0" fontId="65" fillId="36" borderId="1" xfId="0" applyFont="1" applyFill="1" applyBorder="1" applyAlignment="1">
      <alignment horizontal="center" vertical="center" wrapText="1"/>
    </xf>
    <xf numFmtId="0" fontId="65" fillId="44" borderId="1" xfId="0" applyFont="1" applyFill="1" applyBorder="1" applyAlignment="1">
      <alignment horizontal="center" vertical="center" wrapText="1"/>
    </xf>
    <xf numFmtId="0" fontId="65" fillId="62" borderId="1" xfId="0" applyFont="1" applyFill="1" applyBorder="1" applyAlignment="1">
      <alignment horizontal="center" vertical="center" wrapText="1"/>
    </xf>
    <xf numFmtId="0" fontId="65" fillId="63" borderId="1" xfId="0" applyFont="1" applyFill="1" applyBorder="1" applyAlignment="1">
      <alignment horizontal="center" vertical="center" wrapText="1"/>
    </xf>
    <xf numFmtId="0" fontId="65" fillId="49" borderId="1" xfId="0" applyFont="1" applyFill="1" applyBorder="1" applyAlignment="1">
      <alignment horizontal="center" vertical="center" wrapText="1"/>
    </xf>
    <xf numFmtId="0" fontId="64" fillId="0" borderId="1" xfId="0" applyFont="1" applyFill="1" applyBorder="1" applyAlignment="1">
      <alignment horizontal="left" vertical="top" indent="1"/>
    </xf>
    <xf numFmtId="0" fontId="64" fillId="0" borderId="3" xfId="0" applyFont="1" applyFill="1" applyBorder="1" applyAlignment="1">
      <alignment vertical="top" wrapText="1"/>
    </xf>
    <xf numFmtId="0" fontId="64" fillId="0" borderId="5" xfId="0" applyFont="1" applyFill="1" applyBorder="1" applyAlignment="1">
      <alignment vertical="top" wrapText="1"/>
    </xf>
    <xf numFmtId="0" fontId="22" fillId="0" borderId="1" xfId="0" applyFont="1" applyBorder="1" applyAlignment="1">
      <alignment horizontal="left" vertical="top" wrapText="1" indent="1"/>
    </xf>
    <xf numFmtId="0" fontId="64" fillId="64" borderId="3" xfId="0" applyFont="1" applyFill="1" applyBorder="1" applyAlignment="1">
      <alignment horizontal="left" vertical="top" wrapText="1"/>
    </xf>
    <xf numFmtId="0" fontId="64" fillId="64" borderId="11" xfId="0" applyFont="1" applyFill="1" applyBorder="1" applyAlignment="1">
      <alignment horizontal="left" vertical="top" wrapText="1"/>
    </xf>
    <xf numFmtId="0" fontId="64" fillId="64" borderId="5" xfId="0" applyFont="1" applyFill="1" applyBorder="1" applyAlignment="1">
      <alignment horizontal="left" vertical="top" wrapText="1"/>
    </xf>
    <xf numFmtId="0" fontId="64" fillId="0" borderId="1" xfId="0" applyFont="1" applyBorder="1" applyAlignment="1">
      <alignment vertical="top"/>
    </xf>
    <xf numFmtId="0" fontId="64" fillId="0" borderId="1" xfId="0" applyFont="1" applyBorder="1" applyAlignment="1">
      <alignment horizontal="center" vertical="top" wrapText="1"/>
    </xf>
    <xf numFmtId="0" fontId="69" fillId="42" borderId="1" xfId="0" applyFont="1" applyFill="1" applyBorder="1" applyAlignment="1">
      <alignment horizontal="left" vertical="top" wrapText="1" indent="1"/>
    </xf>
    <xf numFmtId="0" fontId="64" fillId="42" borderId="1" xfId="0" applyFont="1" applyFill="1" applyBorder="1" applyAlignment="1">
      <alignment horizontal="left" vertical="top" wrapText="1" indent="1"/>
    </xf>
    <xf numFmtId="0" fontId="64" fillId="0" borderId="1" xfId="0" applyFont="1" applyBorder="1" applyAlignment="1">
      <alignment horizontal="left" vertical="top"/>
    </xf>
    <xf numFmtId="0" fontId="64" fillId="0" borderId="29" xfId="0" applyFont="1" applyBorder="1" applyAlignment="1">
      <alignment vertical="top" wrapText="1"/>
    </xf>
    <xf numFmtId="0" fontId="64" fillId="0" borderId="9" xfId="0" applyFont="1" applyBorder="1" applyAlignment="1">
      <alignment vertical="top" wrapText="1"/>
    </xf>
    <xf numFmtId="0" fontId="64" fillId="0" borderId="30" xfId="0" applyFont="1" applyBorder="1" applyAlignment="1">
      <alignment vertical="top" wrapText="1"/>
    </xf>
    <xf numFmtId="0" fontId="64" fillId="0" borderId="1" xfId="0" applyFont="1" applyBorder="1" applyAlignment="1">
      <alignment vertical="top" wrapText="1"/>
    </xf>
    <xf numFmtId="0" fontId="64" fillId="0" borderId="11" xfId="0" applyFont="1" applyFill="1" applyBorder="1" applyAlignment="1">
      <alignment vertical="top"/>
    </xf>
    <xf numFmtId="172" fontId="4" fillId="0" borderId="1" xfId="1" applyNumberFormat="1" applyFont="1" applyBorder="1" applyAlignment="1">
      <alignment horizontal="left" vertical="top" wrapText="1"/>
    </xf>
    <xf numFmtId="172" fontId="64" fillId="0" borderId="1" xfId="1" applyNumberFormat="1" applyFont="1" applyBorder="1" applyAlignment="1">
      <alignment horizontal="left" vertical="top" wrapText="1"/>
    </xf>
    <xf numFmtId="172" fontId="4" fillId="0" borderId="9" xfId="0" applyNumberFormat="1" applyFont="1" applyBorder="1" applyAlignment="1">
      <alignment horizontal="center" vertical="top" wrapText="1"/>
    </xf>
    <xf numFmtId="172" fontId="4" fillId="0" borderId="30" xfId="0" applyNumberFormat="1" applyFont="1" applyBorder="1" applyAlignment="1">
      <alignment horizontal="center" vertical="top" wrapText="1"/>
    </xf>
    <xf numFmtId="175" fontId="65" fillId="0" borderId="3" xfId="0" applyNumberFormat="1" applyFont="1" applyFill="1" applyBorder="1" applyAlignment="1">
      <alignment vertical="top"/>
    </xf>
    <xf numFmtId="175" fontId="65" fillId="0" borderId="11" xfId="0" applyNumberFormat="1" applyFont="1" applyFill="1" applyBorder="1" applyAlignment="1">
      <alignment vertical="top"/>
    </xf>
    <xf numFmtId="175" fontId="65" fillId="0" borderId="5" xfId="0" applyNumberFormat="1" applyFont="1" applyFill="1" applyBorder="1" applyAlignment="1">
      <alignment vertical="top"/>
    </xf>
    <xf numFmtId="175" fontId="64" fillId="0" borderId="3" xfId="0" applyNumberFormat="1" applyFont="1" applyFill="1" applyBorder="1" applyAlignment="1">
      <alignment horizontal="left" vertical="top" wrapText="1" indent="1"/>
    </xf>
    <xf numFmtId="175" fontId="64" fillId="0" borderId="11" xfId="0" applyNumberFormat="1" applyFont="1" applyFill="1" applyBorder="1" applyAlignment="1">
      <alignment horizontal="left" vertical="top" wrapText="1" indent="1"/>
    </xf>
    <xf numFmtId="175" fontId="64" fillId="0" borderId="5" xfId="0" applyNumberFormat="1" applyFont="1" applyFill="1" applyBorder="1" applyAlignment="1">
      <alignment horizontal="left" vertical="top" wrapText="1" indent="1"/>
    </xf>
    <xf numFmtId="175" fontId="65" fillId="0" borderId="3" xfId="0" applyNumberFormat="1" applyFont="1" applyBorder="1" applyAlignment="1">
      <alignment horizontal="left" vertical="top" wrapText="1" indent="1"/>
    </xf>
    <xf numFmtId="175" fontId="65" fillId="0" borderId="11" xfId="0" applyNumberFormat="1" applyFont="1" applyBorder="1" applyAlignment="1">
      <alignment horizontal="left" vertical="top" wrapText="1" indent="1"/>
    </xf>
    <xf numFmtId="175" fontId="65" fillId="0" borderId="5" xfId="0" applyNumberFormat="1" applyFont="1" applyBorder="1" applyAlignment="1">
      <alignment horizontal="left" vertical="top" wrapText="1" indent="1"/>
    </xf>
    <xf numFmtId="175" fontId="65" fillId="0" borderId="11" xfId="0" applyNumberFormat="1" applyFont="1" applyBorder="1" applyAlignment="1">
      <alignment vertical="top"/>
    </xf>
    <xf numFmtId="175" fontId="77" fillId="0" borderId="1" xfId="0" applyNumberFormat="1" applyFont="1" applyBorder="1" applyAlignment="1">
      <alignment horizontal="center" vertical="center"/>
    </xf>
    <xf numFmtId="0" fontId="77" fillId="0" borderId="1" xfId="0" applyFont="1" applyBorder="1" applyAlignment="1">
      <alignment horizontal="center" vertical="center"/>
    </xf>
    <xf numFmtId="0" fontId="0" fillId="0" borderId="6" xfId="0" applyFont="1" applyBorder="1" applyAlignment="1">
      <alignment horizontal="center" vertical="top"/>
    </xf>
    <xf numFmtId="172" fontId="64" fillId="0" borderId="3" xfId="0" applyNumberFormat="1" applyFont="1" applyBorder="1" applyAlignment="1">
      <alignment horizontal="center" vertical="top" wrapText="1"/>
    </xf>
    <xf numFmtId="172" fontId="64" fillId="0" borderId="5" xfId="0" applyNumberFormat="1" applyFont="1" applyBorder="1" applyAlignment="1">
      <alignment horizontal="center" vertical="top" wrapText="1"/>
    </xf>
    <xf numFmtId="0" fontId="93" fillId="0" borderId="4" xfId="0" applyFont="1" applyBorder="1" applyAlignment="1">
      <alignment horizontal="center"/>
    </xf>
    <xf numFmtId="172" fontId="64" fillId="0" borderId="56" xfId="1" applyNumberFormat="1" applyFont="1" applyBorder="1" applyAlignment="1">
      <alignment horizontal="center" vertical="top"/>
    </xf>
    <xf numFmtId="172" fontId="64" fillId="0" borderId="59" xfId="1" applyNumberFormat="1" applyFont="1" applyBorder="1" applyAlignment="1">
      <alignment horizontal="center" vertical="top"/>
    </xf>
    <xf numFmtId="172" fontId="64" fillId="0" borderId="61" xfId="1" applyNumberFormat="1" applyFont="1" applyBorder="1" applyAlignment="1">
      <alignment horizontal="center" vertical="top"/>
    </xf>
    <xf numFmtId="172" fontId="64" fillId="0" borderId="9" xfId="1" applyNumberFormat="1" applyFont="1" applyBorder="1" applyAlignment="1">
      <alignment horizontal="center" vertical="top"/>
    </xf>
    <xf numFmtId="0" fontId="18" fillId="0" borderId="1" xfId="0" applyFont="1" applyBorder="1" applyAlignment="1">
      <alignment horizontal="left" vertical="top" wrapText="1" inden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172" fontId="4" fillId="0" borderId="5" xfId="1" applyNumberFormat="1" applyFont="1" applyBorder="1" applyAlignment="1">
      <alignment horizontal="left" vertical="top" wrapText="1"/>
    </xf>
    <xf numFmtId="172" fontId="64" fillId="0" borderId="5" xfId="1" applyNumberFormat="1" applyFont="1" applyBorder="1" applyAlignment="1">
      <alignment horizontal="left" vertical="top" wrapText="1"/>
    </xf>
    <xf numFmtId="172" fontId="4" fillId="0" borderId="55" xfId="1" applyNumberFormat="1" applyFont="1" applyBorder="1" applyAlignment="1">
      <alignment horizontal="center" vertical="top" wrapText="1"/>
    </xf>
    <xf numFmtId="172" fontId="4" fillId="0" borderId="58" xfId="1" applyNumberFormat="1" applyFont="1" applyBorder="1" applyAlignment="1">
      <alignment horizontal="center" vertical="top" wrapText="1"/>
    </xf>
    <xf numFmtId="172" fontId="64" fillId="0" borderId="56" xfId="0" applyNumberFormat="1" applyFont="1" applyBorder="1" applyAlignment="1">
      <alignment horizontal="center" vertical="top"/>
    </xf>
    <xf numFmtId="172" fontId="64" fillId="0" borderId="59" xfId="0" applyNumberFormat="1" applyFont="1" applyBorder="1" applyAlignment="1">
      <alignment horizontal="center" vertical="top"/>
    </xf>
    <xf numFmtId="172" fontId="4" fillId="0" borderId="57" xfId="0" applyNumberFormat="1" applyFont="1" applyBorder="1" applyAlignment="1">
      <alignment horizontal="center" vertical="top"/>
    </xf>
    <xf numFmtId="172" fontId="4" fillId="0" borderId="60" xfId="0" applyNumberFormat="1" applyFont="1" applyBorder="1" applyAlignment="1">
      <alignment horizontal="center" vertical="top"/>
    </xf>
    <xf numFmtId="172" fontId="4" fillId="0" borderId="56" xfId="0" applyNumberFormat="1" applyFont="1" applyBorder="1" applyAlignment="1">
      <alignment horizontal="center" vertical="top"/>
    </xf>
    <xf numFmtId="172" fontId="4" fillId="0" borderId="59" xfId="0" applyNumberFormat="1" applyFont="1" applyBorder="1" applyAlignment="1">
      <alignment horizontal="center" vertical="top"/>
    </xf>
    <xf numFmtId="172" fontId="4" fillId="0" borderId="3" xfId="0" applyNumberFormat="1" applyFont="1" applyBorder="1" applyAlignment="1">
      <alignment horizontal="center" vertical="top" wrapText="1"/>
    </xf>
    <xf numFmtId="172" fontId="4" fillId="0" borderId="11" xfId="0" applyNumberFormat="1" applyFont="1" applyBorder="1" applyAlignment="1">
      <alignment horizontal="center" vertical="top" wrapText="1"/>
    </xf>
    <xf numFmtId="172" fontId="4" fillId="0" borderId="56" xfId="1" applyNumberFormat="1" applyFont="1" applyBorder="1" applyAlignment="1">
      <alignment horizontal="center" vertical="top" wrapText="1"/>
    </xf>
    <xf numFmtId="172" fontId="4" fillId="0" borderId="11" xfId="1" applyNumberFormat="1" applyFont="1" applyBorder="1" applyAlignment="1">
      <alignment horizontal="center" vertical="top" wrapText="1"/>
    </xf>
    <xf numFmtId="172" fontId="64" fillId="0" borderId="43" xfId="0" applyNumberFormat="1" applyFont="1" applyBorder="1" applyAlignment="1">
      <alignment horizontal="center" vertical="top"/>
    </xf>
    <xf numFmtId="172" fontId="64" fillId="0" borderId="75" xfId="0" applyNumberFormat="1" applyFont="1" applyBorder="1" applyAlignment="1">
      <alignment horizontal="center" vertical="top"/>
    </xf>
    <xf numFmtId="10" fontId="4" fillId="0" borderId="62" xfId="0" applyNumberFormat="1" applyFont="1" applyBorder="1" applyAlignment="1">
      <alignment horizontal="center" vertical="top"/>
    </xf>
    <xf numFmtId="10" fontId="4" fillId="0" borderId="54" xfId="0" applyNumberFormat="1" applyFont="1" applyBorder="1" applyAlignment="1">
      <alignment horizontal="center" vertical="top"/>
    </xf>
    <xf numFmtId="0" fontId="0" fillId="0" borderId="40" xfId="0" applyBorder="1" applyAlignment="1">
      <alignment horizontal="center"/>
    </xf>
    <xf numFmtId="0" fontId="0" fillId="0" borderId="42" xfId="0" applyBorder="1" applyAlignment="1">
      <alignment horizontal="center"/>
    </xf>
    <xf numFmtId="0" fontId="57" fillId="0" borderId="0" xfId="0" applyFont="1" applyAlignment="1">
      <alignment horizontal="center"/>
    </xf>
    <xf numFmtId="0" fontId="30" fillId="0" borderId="33" xfId="0" applyFont="1" applyBorder="1" applyAlignment="1">
      <alignment horizontal="center" vertical="center" wrapText="1"/>
    </xf>
    <xf numFmtId="0" fontId="30" fillId="15" borderId="3" xfId="0" applyFont="1" applyFill="1" applyBorder="1" applyAlignment="1">
      <alignment horizontal="center" vertical="center" wrapText="1"/>
    </xf>
    <xf numFmtId="0" fontId="32" fillId="0" borderId="11" xfId="0" applyFont="1" applyBorder="1" applyAlignment="1">
      <alignment horizontal="center" vertical="center" wrapText="1"/>
    </xf>
    <xf numFmtId="0" fontId="32" fillId="0" borderId="5" xfId="0" applyFont="1" applyBorder="1" applyAlignment="1">
      <alignment horizontal="center" vertical="center" wrapText="1"/>
    </xf>
    <xf numFmtId="0" fontId="30" fillId="0" borderId="2" xfId="0" applyFont="1" applyBorder="1" applyAlignment="1">
      <alignment horizontal="left" vertical="center" wrapText="1"/>
    </xf>
    <xf numFmtId="0" fontId="32" fillId="0" borderId="7" xfId="0" applyFont="1" applyBorder="1" applyAlignment="1"/>
    <xf numFmtId="0" fontId="30" fillId="55" borderId="3" xfId="0" applyFont="1" applyFill="1" applyBorder="1" applyAlignment="1">
      <alignment horizontal="center" vertical="center"/>
    </xf>
    <xf numFmtId="0" fontId="32" fillId="33" borderId="11" xfId="0" applyFont="1" applyFill="1" applyBorder="1" applyAlignment="1"/>
    <xf numFmtId="0" fontId="32" fillId="33" borderId="5" xfId="0" applyFont="1" applyFill="1" applyBorder="1" applyAlignment="1"/>
    <xf numFmtId="0" fontId="30" fillId="0" borderId="3" xfId="0" applyFont="1" applyBorder="1" applyAlignment="1">
      <alignment horizontal="center" vertical="center" wrapText="1"/>
    </xf>
    <xf numFmtId="0" fontId="32" fillId="0" borderId="11" xfId="0" applyFont="1" applyBorder="1" applyAlignment="1"/>
    <xf numFmtId="0" fontId="32" fillId="0" borderId="5" xfId="0" applyFont="1" applyBorder="1" applyAlignment="1"/>
    <xf numFmtId="0" fontId="30" fillId="0" borderId="3" xfId="0" applyFont="1" applyBorder="1" applyAlignment="1">
      <alignment horizontal="center" vertical="center"/>
    </xf>
    <xf numFmtId="0" fontId="32" fillId="0" borderId="31" xfId="0" applyFont="1" applyBorder="1" applyAlignment="1"/>
    <xf numFmtId="0" fontId="31" fillId="14" borderId="33" xfId="0" applyFont="1" applyFill="1" applyBorder="1" applyAlignment="1">
      <alignment horizontal="center" vertical="center" wrapText="1"/>
    </xf>
    <xf numFmtId="0" fontId="32" fillId="0" borderId="11" xfId="0" applyFont="1" applyBorder="1" applyAlignment="1">
      <alignment horizontal="center" vertical="center"/>
    </xf>
    <xf numFmtId="0" fontId="32" fillId="0" borderId="5" xfId="0" applyFont="1" applyBorder="1" applyAlignment="1">
      <alignment horizontal="center" vertical="center"/>
    </xf>
    <xf numFmtId="0" fontId="30" fillId="0" borderId="15" xfId="0" applyFont="1" applyBorder="1" applyAlignment="1">
      <alignment horizontal="left" vertical="center" wrapText="1"/>
    </xf>
    <xf numFmtId="0" fontId="32" fillId="0" borderId="16" xfId="0" applyFont="1" applyBorder="1" applyAlignment="1"/>
    <xf numFmtId="0" fontId="54" fillId="0" borderId="2" xfId="0" applyFont="1" applyBorder="1" applyAlignment="1">
      <alignment horizontal="left" vertical="center" wrapText="1"/>
    </xf>
    <xf numFmtId="0" fontId="30" fillId="0" borderId="2" xfId="0" applyFont="1" applyFill="1" applyBorder="1" applyAlignment="1">
      <alignment horizontal="left" vertical="center" wrapText="1"/>
    </xf>
    <xf numFmtId="0" fontId="32" fillId="0" borderId="7" xfId="0" applyFont="1" applyFill="1" applyBorder="1" applyAlignment="1"/>
    <xf numFmtId="0" fontId="30" fillId="0" borderId="29" xfId="0" applyFont="1" applyBorder="1" applyAlignment="1">
      <alignment horizontal="left" vertical="center" wrapText="1"/>
    </xf>
    <xf numFmtId="0" fontId="32" fillId="0" borderId="10" xfId="0" applyFont="1" applyBorder="1" applyAlignment="1"/>
    <xf numFmtId="0" fontId="30" fillId="0" borderId="29" xfId="0" applyFont="1" applyBorder="1" applyAlignment="1">
      <alignment horizontal="center" vertical="center" wrapText="1"/>
    </xf>
    <xf numFmtId="0" fontId="32" fillId="0" borderId="9" xfId="0" applyFont="1" applyBorder="1" applyAlignment="1"/>
    <xf numFmtId="0" fontId="32" fillId="0" borderId="39" xfId="0" applyFont="1" applyBorder="1" applyAlignment="1"/>
    <xf numFmtId="0" fontId="30" fillId="26" borderId="4" xfId="0" applyFont="1" applyFill="1" applyBorder="1" applyAlignment="1">
      <alignment horizontal="center" vertical="center"/>
    </xf>
    <xf numFmtId="0" fontId="32" fillId="0" borderId="4" xfId="0" applyFont="1" applyBorder="1" applyAlignment="1"/>
    <xf numFmtId="0" fontId="30" fillId="15" borderId="33" xfId="0" applyFont="1" applyFill="1" applyBorder="1" applyAlignment="1">
      <alignment horizontal="center" vertical="center" wrapText="1"/>
    </xf>
    <xf numFmtId="0" fontId="30" fillId="31" borderId="27" xfId="0" applyFont="1" applyFill="1" applyBorder="1" applyAlignment="1">
      <alignment horizontal="center" vertical="center"/>
    </xf>
    <xf numFmtId="0" fontId="32" fillId="0" borderId="27" xfId="0" applyFont="1" applyBorder="1" applyAlignment="1"/>
    <xf numFmtId="0" fontId="30" fillId="15" borderId="11" xfId="0" applyFont="1" applyFill="1" applyBorder="1" applyAlignment="1">
      <alignment horizontal="center" vertical="center" wrapText="1"/>
    </xf>
    <xf numFmtId="0" fontId="30" fillId="15" borderId="22" xfId="0" applyFont="1" applyFill="1" applyBorder="1" applyAlignment="1">
      <alignment horizontal="center" vertical="center" wrapText="1"/>
    </xf>
    <xf numFmtId="0" fontId="32" fillId="0" borderId="32" xfId="0" applyFont="1" applyBorder="1" applyAlignment="1"/>
    <xf numFmtId="0" fontId="32" fillId="0" borderId="18" xfId="0" applyFont="1" applyBorder="1" applyAlignment="1"/>
    <xf numFmtId="0" fontId="30" fillId="0" borderId="22" xfId="0" applyFont="1" applyBorder="1" applyAlignment="1">
      <alignment horizontal="center" vertical="center" wrapText="1"/>
    </xf>
    <xf numFmtId="0" fontId="30" fillId="0" borderId="17" xfId="0" applyFont="1" applyBorder="1" applyAlignment="1">
      <alignment horizontal="left" vertical="center" wrapText="1"/>
    </xf>
    <xf numFmtId="0" fontId="32" fillId="0" borderId="26" xfId="0" applyFont="1" applyBorder="1" applyAlignment="1"/>
    <xf numFmtId="0" fontId="32" fillId="0" borderId="21" xfId="0" applyFont="1" applyBorder="1" applyAlignment="1"/>
    <xf numFmtId="0" fontId="32" fillId="0" borderId="25" xfId="0" applyFont="1" applyBorder="1" applyAlignment="1"/>
    <xf numFmtId="0" fontId="32" fillId="0" borderId="19" xfId="0" applyFont="1" applyBorder="1" applyAlignment="1"/>
    <xf numFmtId="0" fontId="32" fillId="0" borderId="20" xfId="0" applyFont="1" applyBorder="1" applyAlignment="1"/>
    <xf numFmtId="0" fontId="31" fillId="14" borderId="23" xfId="0" applyFont="1" applyFill="1" applyBorder="1" applyAlignment="1">
      <alignment horizontal="center" vertical="center"/>
    </xf>
    <xf numFmtId="0" fontId="32" fillId="0" borderId="24" xfId="0" applyFont="1" applyBorder="1" applyAlignment="1"/>
    <xf numFmtId="0" fontId="30" fillId="0" borderId="19" xfId="0" applyFont="1" applyBorder="1" applyAlignment="1">
      <alignment horizontal="left" vertical="center" wrapText="1"/>
    </xf>
    <xf numFmtId="0" fontId="31" fillId="14" borderId="15" xfId="0" applyFont="1" applyFill="1" applyBorder="1" applyAlignment="1">
      <alignment horizontal="center" vertical="center"/>
    </xf>
    <xf numFmtId="0" fontId="30" fillId="16" borderId="40" xfId="0" applyFont="1" applyFill="1" applyBorder="1" applyAlignment="1">
      <alignment horizontal="center" vertical="center" wrapText="1"/>
    </xf>
    <xf numFmtId="0" fontId="30" fillId="16" borderId="42"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5" xfId="0" applyFont="1" applyBorder="1" applyAlignment="1">
      <alignment horizontal="center" vertical="center" wrapText="1"/>
    </xf>
    <xf numFmtId="0" fontId="30" fillId="24" borderId="4" xfId="0" applyFont="1" applyFill="1" applyBorder="1" applyAlignment="1">
      <alignment horizontal="center" vertical="center"/>
    </xf>
    <xf numFmtId="0" fontId="30" fillId="29" borderId="25" xfId="0" applyFont="1" applyFill="1" applyBorder="1" applyAlignment="1">
      <alignment horizontal="center" vertical="center"/>
    </xf>
    <xf numFmtId="0" fontId="30" fillId="15" borderId="32" xfId="0" applyFont="1" applyFill="1" applyBorder="1" applyAlignment="1">
      <alignment horizontal="center" vertical="center" wrapText="1"/>
    </xf>
    <xf numFmtId="0" fontId="30" fillId="30" borderId="25" xfId="0" applyFont="1" applyFill="1" applyBorder="1" applyAlignment="1">
      <alignment horizontal="center" vertical="center"/>
    </xf>
    <xf numFmtId="0" fontId="30" fillId="23" borderId="25" xfId="0" applyFont="1" applyFill="1" applyBorder="1" applyAlignment="1">
      <alignment horizontal="center" vertical="center"/>
    </xf>
    <xf numFmtId="0" fontId="30" fillId="8" borderId="25" xfId="0" applyFont="1" applyFill="1" applyBorder="1" applyAlignment="1">
      <alignment horizontal="center" vertical="center"/>
    </xf>
    <xf numFmtId="0" fontId="30" fillId="32" borderId="3" xfId="0" applyFont="1" applyFill="1" applyBorder="1" applyAlignment="1">
      <alignment horizontal="center" vertical="center"/>
    </xf>
    <xf numFmtId="0" fontId="30" fillId="32" borderId="11" xfId="0" applyFont="1" applyFill="1" applyBorder="1" applyAlignment="1">
      <alignment horizontal="center" vertical="center"/>
    </xf>
    <xf numFmtId="0" fontId="30" fillId="19" borderId="3" xfId="0" applyFont="1" applyFill="1" applyBorder="1" applyAlignment="1">
      <alignment horizontal="center" vertical="center"/>
    </xf>
    <xf numFmtId="0" fontId="30" fillId="15" borderId="3" xfId="0" applyFont="1" applyFill="1" applyBorder="1" applyAlignment="1">
      <alignment horizontal="center" vertical="center"/>
    </xf>
    <xf numFmtId="0" fontId="24" fillId="0" borderId="3"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3" xfId="0" applyFont="1" applyBorder="1" applyAlignment="1">
      <alignment horizontal="left" vertical="center" wrapText="1"/>
    </xf>
  </cellXfs>
  <cellStyles count="10">
    <cellStyle name="Millares" xfId="1" builtinId="3"/>
    <cellStyle name="Normal" xfId="0" builtinId="0"/>
    <cellStyle name="Normal 2" xfId="2"/>
    <cellStyle name="Normal 2 2 2" xfId="6"/>
    <cellStyle name="Normal 3" xfId="3"/>
    <cellStyle name="Normal 3 2 2" xfId="7"/>
    <cellStyle name="Normal 3 5" xfId="8"/>
    <cellStyle name="Normal 8" xfId="5"/>
    <cellStyle name="Porcentaje" xfId="4" builtinId="5"/>
    <cellStyle name="Porcentaje 2 2" xfId="9"/>
  </cellStyles>
  <dxfs count="2117">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horizontal="center"/>
    </dxf>
    <dxf>
      <numFmt numFmtId="172" formatCode="_-* #,##0_-;\-* #,##0_-;_-* &quot;-&quot;??_-;_-@_-"/>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wrapText="1"/>
    </dxf>
    <dxf>
      <alignment wrapText="1" indent="0"/>
    </dxf>
    <dxf>
      <alignment wrapText="1" indent="0"/>
    </dxf>
    <dxf>
      <alignment wrapText="1" indent="0"/>
    </dxf>
    <dxf>
      <alignment vertical="center"/>
    </dxf>
    <dxf>
      <alignment horizontal="center"/>
    </dxf>
    <dxf>
      <numFmt numFmtId="172" formatCode="_-* #,##0_-;\-* #,##0_-;_-* &quot;-&quot;??_-;_-@_-"/>
    </dxf>
    <dxf>
      <numFmt numFmtId="172" formatCode="_-* #,##0_-;\-* #,##0_-;_-* &quot;-&quot;??_-;_-@_-"/>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wrapText="1" indent="0"/>
    </dxf>
    <dxf>
      <alignment wrapText="1" indent="0"/>
    </dxf>
    <dxf>
      <alignment vertical="center"/>
    </dxf>
    <dxf>
      <alignment horizontal="center"/>
    </dxf>
    <dxf>
      <numFmt numFmtId="172" formatCode="_-* #,##0_-;\-* #,##0_-;_-* &quot;-&quot;??_-;_-@_-"/>
    </dxf>
    <dxf>
      <numFmt numFmtId="172" formatCode="_-* #,##0_-;\-* #,##0_-;_-* &quot;-&quot;??_-;_-@_-"/>
    </dxf>
    <dxf>
      <alignment wrapText="1"/>
    </dxf>
    <dxf>
      <alignment wrapText="1"/>
    </dxf>
    <dxf>
      <alignment wrapText="1" indent="0"/>
    </dxf>
    <dxf>
      <alignment wrapText="1" indent="0"/>
    </dxf>
    <dxf>
      <alignment vertical="center"/>
    </dxf>
    <dxf>
      <alignment horizontal="center"/>
    </dxf>
    <dxf>
      <numFmt numFmtId="14" formatCode="0.00%"/>
    </dxf>
    <dxf>
      <numFmt numFmtId="172" formatCode="_-* #,##0_-;\-* #,##0_-;_-* &quot;-&quot;??_-;_-@_-"/>
    </dxf>
    <dxf>
      <numFmt numFmtId="172" formatCode="_-* #,##0_-;\-* #,##0_-;_-* &quot;-&quot;??_-;_-@_-"/>
    </dxf>
    <dxf>
      <numFmt numFmtId="172" formatCode="_-* #,##0_-;\-* #,##0_-;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horizontal="center"/>
    </dxf>
    <dxf>
      <numFmt numFmtId="14" formatCode="0.00%"/>
    </dxf>
    <dxf>
      <numFmt numFmtId="172" formatCode="_-* #,##0_-;\-* #,##0_-;_-* &quot;-&quot;??_-;_-@_-"/>
    </dxf>
    <dxf>
      <numFmt numFmtId="172" formatCode="_-* #,##0_-;\-* #,##0_-;_-* &quot;-&quot;??_-;_-@_-"/>
    </dxf>
    <dxf>
      <numFmt numFmtId="172" formatCode="_-* #,##0_-;\-* #,##0_-;_-* &quot;-&quot;??_-;_-@_-"/>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wrapText="1"/>
    </dxf>
    <dxf>
      <alignment wrapText="1" indent="0"/>
    </dxf>
    <dxf>
      <alignment wrapText="1" indent="0"/>
    </dxf>
    <dxf>
      <alignment wrapText="1" indent="0"/>
    </dxf>
    <dxf>
      <alignment vertical="center"/>
    </dxf>
    <dxf>
      <alignment horizontal="center"/>
    </dxf>
    <dxf>
      <numFmt numFmtId="172" formatCode="_-* #,##0_-;\-* #,##0_-;_-* &quot;-&quot;??_-;_-@_-"/>
    </dxf>
    <dxf>
      <numFmt numFmtId="172" formatCode="_-* #,##0_-;\-* #,##0_-;_-* &quot;-&quot;??_-;_-@_-"/>
    </dxf>
    <dxf>
      <alignment horizontal="center"/>
    </dxf>
    <dxf>
      <alignment horizontal="center"/>
    </dxf>
    <dxf>
      <numFmt numFmtId="14" formatCode="0.00%"/>
    </dxf>
    <dxf>
      <numFmt numFmtId="172" formatCode="_-* #,##0_-;\-* #,##0_-;_-* &quot;-&quot;??_-;_-@_-"/>
    </dxf>
    <dxf>
      <alignment wrapText="0"/>
    </dxf>
    <dxf>
      <alignment wrapText="0"/>
    </dxf>
    <dxf>
      <alignment wrapText="0"/>
    </dxf>
    <dxf>
      <alignment wrapText="0"/>
    </dxf>
    <dxf>
      <alignment wrapText="0"/>
    </dxf>
    <dxf>
      <alignment wrapText="0"/>
    </dxf>
    <dxf>
      <alignment wrapText="0"/>
    </dxf>
    <dxf>
      <alignment wrapTex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vertical="center"/>
    </dxf>
    <dxf>
      <alignment vertical="center"/>
    </dxf>
    <dxf>
      <alignment horizontal="center"/>
    </dxf>
    <dxf>
      <alignment relativeIndent="1"/>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vertical="center"/>
    </dxf>
    <dxf>
      <alignment vertical="center"/>
    </dxf>
    <dxf>
      <alignment horizontal="center"/>
    </dxf>
    <dxf>
      <alignment relativeIndent="1"/>
    </dxf>
    <dxf>
      <alignment wrapText="0"/>
    </dxf>
    <dxf>
      <alignment wrapText="0"/>
    </dxf>
    <dxf>
      <alignment wrapText="0"/>
    </dxf>
    <dxf>
      <alignment wrapText="1" indent="0"/>
    </dxf>
    <dxf>
      <alignment wrapText="1" indent="0"/>
    </dxf>
    <dxf>
      <alignment wrapText="1" indent="0"/>
    </dxf>
    <dxf>
      <alignment horizontal="center"/>
    </dxf>
    <dxf>
      <alignment horizontal="center"/>
    </dxf>
    <dxf>
      <alignment vertical="center"/>
    </dxf>
    <dxf>
      <alignment vertical="center"/>
    </dxf>
    <dxf>
      <alignment horizontal="center"/>
    </dxf>
    <dxf>
      <alignment relativeIndent="1"/>
    </dxf>
    <dxf>
      <alignment wrapText="0"/>
    </dxf>
    <dxf>
      <alignment wrapText="0"/>
    </dxf>
    <dxf>
      <alignment wrapText="0"/>
    </dxf>
    <dxf>
      <alignment wrapText="1" indent="0"/>
    </dxf>
    <dxf>
      <alignment wrapText="1" indent="0"/>
    </dxf>
    <dxf>
      <alignment wrapText="1" indent="0"/>
    </dxf>
    <dxf>
      <alignment horizontal="center"/>
    </dxf>
    <dxf>
      <alignment horizontal="center"/>
    </dxf>
    <dxf>
      <alignment vertical="center"/>
    </dxf>
    <dxf>
      <alignment vertical="center"/>
    </dxf>
    <dxf>
      <alignment horizontal="center"/>
    </dxf>
    <dxf>
      <alignment horizontal="center"/>
    </dxf>
    <dxf>
      <alignment vertical="center"/>
    </dxf>
    <dxf>
      <alignment horizontal="center"/>
    </dxf>
    <dxf>
      <alignment vertical="center"/>
    </dxf>
    <dxf>
      <numFmt numFmtId="172" formatCode="_-* #,##0_-;\-* #,##0_-;_-* &quot;-&quot;??_-;_-@_-"/>
    </dxf>
    <dxf>
      <numFmt numFmtId="172" formatCode="_-* #,##0_-;\-* #,##0_-;_-* &quot;-&quot;??_-;_-@_-"/>
    </dxf>
    <dxf>
      <numFmt numFmtId="172" formatCode="_-* #,##0_-;\-* #,##0_-;_-* &quot;-&quot;??_-;_-@_-"/>
    </dxf>
    <dxf>
      <fill>
        <patternFill patternType="none">
          <bgColor auto="1"/>
        </patternFill>
      </fill>
    </dxf>
    <dxf>
      <fill>
        <patternFill patternType="none">
          <bgColor auto="1"/>
        </patternFill>
      </fill>
    </dxf>
    <dxf>
      <fill>
        <patternFill patternType="none">
          <bgColor auto="1"/>
        </patternFill>
      </fill>
    </dxf>
    <dxf>
      <alignment relativeIndent="1"/>
    </dxf>
    <dxf>
      <alignment horizontal="general" indent="0"/>
    </dxf>
    <dxf>
      <numFmt numFmtId="3" formatCode="#,##0"/>
    </dxf>
    <dxf>
      <alignment horizontal="center"/>
    </dxf>
    <dxf>
      <alignment vertical="center"/>
    </dxf>
    <dxf>
      <alignment vertical="center" indent="0"/>
    </dxf>
    <dxf>
      <alignment vertical="center" indent="0"/>
    </dxf>
    <dxf>
      <alignment horizontal="left" readingOrder="0"/>
    </dxf>
    <dxf>
      <alignment vertic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wrapText="1" readingOrder="0"/>
    </dxf>
    <dxf>
      <alignment wrapText="1" indent="0" readingOrder="0"/>
    </dxf>
    <dxf>
      <alignment horizontal="center" readingOrder="0"/>
    </dxf>
    <dxf>
      <alignment horizontal="general" readingOrder="0"/>
    </dxf>
    <dxf>
      <alignment horizontal="center" readingOrder="0"/>
    </dxf>
    <dxf>
      <alignment vertical="center" readingOrder="0"/>
    </dxf>
    <dxf>
      <alignment vertical="center" readingOrder="0"/>
    </dxf>
    <dxf>
      <alignment relativeIndent="1" readingOrder="0"/>
    </dxf>
    <dxf>
      <alignment relativeIndent="1" readingOrder="0"/>
    </dxf>
    <dxf>
      <alignment horizontal="left" relativeIndent="1" readingOrder="0"/>
    </dxf>
    <dxf>
      <alignment horizontal="left" relativeIndent="1" readingOrder="0"/>
    </dxf>
    <dxf>
      <alignment vertical="center" indent="0" readingOrder="0"/>
    </dxf>
    <dxf>
      <alignment vertical="center" indent="0" readingOrder="0"/>
    </dxf>
    <dxf>
      <alignment horizontal="center" readingOrder="0"/>
    </dxf>
    <dxf>
      <fill>
        <patternFill patternType="solid">
          <bgColor theme="9" tint="-0.499984740745262"/>
        </patternFill>
      </fill>
    </dxf>
    <dxf>
      <fill>
        <patternFill patternType="solid">
          <bgColor theme="9" tint="-0.499984740745262"/>
        </patternFill>
      </fill>
    </dxf>
    <dxf>
      <alignment horizontal="center" readingOrder="0"/>
    </dxf>
    <dxf>
      <numFmt numFmtId="172" formatCode="_-* #,##0_-;\-* #,##0_-;_-* &quot;-&quot;??_-;_-@_-"/>
    </dxf>
    <dxf>
      <numFmt numFmtId="172" formatCode="_-* #,##0_-;\-* #,##0_-;_-* &quot;-&quot;??_-;_-@_-"/>
    </dxf>
    <dxf>
      <numFmt numFmtId="177" formatCode="_-* #,##0.0_-;\-* #,##0.0_-;_-* &quot;-&quot;??_-;_-@_-"/>
    </dxf>
    <dxf>
      <numFmt numFmtId="177" formatCode="_-* #,##0.0_-;\-* #,##0.0_-;_-* &quot;-&quot;??_-;_-@_-"/>
    </dxf>
    <dxf>
      <alignment vertical="cent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left" readingOrder="0"/>
    </dxf>
    <dxf>
      <alignment horizontal="center" readingOrder="0"/>
    </dxf>
    <dxf>
      <alignment vertical="center" readingOrder="0"/>
    </dxf>
    <dxf>
      <alignment horizontal="center" readingOrder="0"/>
    </dxf>
    <dxf>
      <alignment horizontal="general" readingOrder="0"/>
    </dxf>
    <dxf>
      <alignment horizontal="center" readingOrder="0"/>
    </dxf>
    <dxf>
      <alignment vertical="center" readingOrder="0"/>
    </dxf>
    <dxf>
      <alignment vertical="center" readingOrder="0"/>
    </dxf>
    <dxf>
      <alignment relativeIndent="1" readingOrder="0"/>
    </dxf>
    <dxf>
      <alignment relativeIndent="1" readingOrder="0"/>
    </dxf>
    <dxf>
      <alignment relativeIndent="1" readingOrder="0"/>
    </dxf>
    <dxf>
      <alignment relativeIndent="1" readingOrder="0"/>
    </dxf>
    <dxf>
      <alignment horizontal="left" relativeIndent="1" readingOrder="0"/>
    </dxf>
    <dxf>
      <alignment horizontal="left" relativeIndent="1" readingOrder="0"/>
    </dxf>
    <dxf>
      <alignment vertical="center" indent="0" readingOrder="0"/>
    </dxf>
    <dxf>
      <alignment vertical="center" indent="0" readingOrder="0"/>
    </dxf>
    <dxf>
      <alignment horizontal="center" readingOrder="0"/>
    </dxf>
    <dxf>
      <alignment relativeIndent="1" readingOrder="0"/>
    </dxf>
    <dxf>
      <alignment relativeIndent="1" readingOrder="0"/>
    </dxf>
    <dxf>
      <alignment relativeIndent="1" readingOrder="0"/>
    </dxf>
    <dxf>
      <alignment relativeIndent="1" readingOrder="0"/>
    </dxf>
    <dxf>
      <alignment relativeIndent="1" readingOrder="0"/>
    </dxf>
    <dxf>
      <alignment relativeIndent="1" readingOrder="0"/>
    </dxf>
    <dxf>
      <fill>
        <patternFill patternType="solid">
          <bgColor theme="9" tint="-0.499984740745262"/>
        </patternFill>
      </fill>
    </dxf>
    <dxf>
      <fill>
        <patternFill patternType="solid">
          <bgColor theme="9" tint="-0.499984740745262"/>
        </patternFill>
      </fill>
    </dxf>
    <dxf>
      <alignment horizontal="center" readingOrder="0"/>
    </dxf>
    <dxf>
      <numFmt numFmtId="172" formatCode="_-* #,##0_-;\-* #,##0_-;_-* &quot;-&quot;??_-;_-@_-"/>
    </dxf>
    <dxf>
      <numFmt numFmtId="177" formatCode="_-* #,##0.0_-;\-* #,##0.0_-;_-* &quot;-&quot;??_-;_-@_-"/>
    </dxf>
    <dxf>
      <alignment horizontal="center"/>
    </dxf>
    <dxf>
      <alignment relativeIndent="1"/>
    </dxf>
    <dxf>
      <border>
        <left style="dashed">
          <color auto="1"/>
        </left>
        <right style="dashed">
          <color auto="1"/>
        </right>
        <top style="dashed">
          <color auto="1"/>
        </top>
        <bottom style="dashed">
          <color auto="1"/>
        </bottom>
        <vertical style="dashed">
          <color auto="1"/>
        </vertical>
        <horizontal style="dashed">
          <color auto="1"/>
        </horizontal>
      </border>
    </dxf>
    <dxf>
      <border>
        <left style="dashed">
          <color auto="1"/>
        </left>
        <right style="dashed">
          <color auto="1"/>
        </right>
        <top style="dashed">
          <color auto="1"/>
        </top>
        <bottom style="dashed">
          <color auto="1"/>
        </bottom>
        <vertical style="dashed">
          <color auto="1"/>
        </vertical>
        <horizontal style="dashed">
          <color auto="1"/>
        </horizontal>
      </border>
    </dxf>
    <dxf>
      <alignment vertical="center"/>
    </dxf>
    <dxf>
      <alignment vertical="center"/>
    </dxf>
    <dxf>
      <alignment wrapText="1"/>
    </dxf>
    <dxf>
      <alignment wrapText="1"/>
    </dxf>
    <dxf>
      <alignment wrapText="1"/>
    </dxf>
    <dxf>
      <alignment wrapText="1" indent="0"/>
    </dxf>
    <dxf>
      <alignment wrapText="1" indent="0"/>
    </dxf>
    <dxf>
      <alignment horizontal="center"/>
    </dxf>
    <dxf>
      <alignment horizontal="center"/>
    </dxf>
    <dxf>
      <alignment vertical="center"/>
    </dxf>
    <dxf>
      <alignment vertical="center"/>
    </dxf>
    <dxf>
      <alignment horizontal="center"/>
    </dxf>
    <dxf>
      <alignment horizontal="center"/>
    </dxf>
    <dxf>
      <numFmt numFmtId="172" formatCode="_-* #,##0_-;\-* #,##0_-;_-* &quot;-&quot;??_-;_-@_-"/>
    </dxf>
    <dxf>
      <numFmt numFmtId="172" formatCode="_-* #,##0_-;\-* #,##0_-;_-* &quot;-&quot;??_-;_-@_-"/>
    </dxf>
    <dxf>
      <alignment vertical="center"/>
    </dxf>
    <dxf>
      <alignment relativeIndent="1"/>
    </dxf>
    <dxf>
      <border>
        <left style="dashed">
          <color auto="1"/>
        </left>
        <right style="dashed">
          <color auto="1"/>
        </right>
        <top style="dashed">
          <color auto="1"/>
        </top>
        <bottom style="dashed">
          <color auto="1"/>
        </bottom>
        <vertical style="dashed">
          <color auto="1"/>
        </vertical>
        <horizontal style="dashed">
          <color auto="1"/>
        </horizontal>
      </border>
    </dxf>
    <dxf>
      <border>
        <left style="dashed">
          <color auto="1"/>
        </left>
        <right style="dashed">
          <color auto="1"/>
        </right>
        <top style="dashed">
          <color auto="1"/>
        </top>
        <bottom style="dashed">
          <color auto="1"/>
        </bottom>
        <vertical style="dashed">
          <color auto="1"/>
        </vertical>
        <horizontal style="dashed">
          <color auto="1"/>
        </horizontal>
      </border>
    </dxf>
    <dxf>
      <alignment vertical="center"/>
    </dxf>
    <dxf>
      <alignment vertical="center"/>
    </dxf>
    <dxf>
      <alignment wrapText="1"/>
    </dxf>
    <dxf>
      <alignment wrapText="1"/>
    </dxf>
    <dxf>
      <alignment wrapText="1"/>
    </dxf>
    <dxf>
      <alignment wrapText="1" indent="0"/>
    </dxf>
    <dxf>
      <alignment wrapText="1" indent="0"/>
    </dxf>
    <dxf>
      <alignment wrapText="1" indent="0"/>
    </dxf>
    <dxf>
      <alignment horizontal="center"/>
    </dxf>
    <dxf>
      <alignment horizontal="center"/>
    </dxf>
    <dxf>
      <alignment vertical="center"/>
    </dxf>
    <dxf>
      <alignment vertical="center"/>
    </dxf>
    <dxf>
      <alignment horizontal="center"/>
    </dxf>
    <dxf>
      <alignment horizontal="center"/>
    </dxf>
    <dxf>
      <numFmt numFmtId="172" formatCode="_-* #,##0_-;\-* #,##0_-;_-* &quot;-&quot;??_-;_-@_-"/>
    </dxf>
    <dxf>
      <numFmt numFmtId="172" formatCode="_-* #,##0_-;\-* #,##0_-;_-* &quot;-&quot;??_-;_-@_-"/>
    </dxf>
    <dxf>
      <alignment horizontal="center"/>
    </dxf>
    <dxf>
      <alignment relativeIndent="1"/>
    </dxf>
    <dxf>
      <alignment horizontal="center"/>
    </dxf>
    <dxf>
      <alignment wrapText="1"/>
    </dxf>
    <dxf>
      <alignment wrapText="1"/>
    </dxf>
    <dxf>
      <alignment wrapText="1" indent="0"/>
    </dxf>
    <dxf>
      <alignment wrapText="1" indent="0"/>
    </dxf>
    <dxf>
      <alignment horizontal="center"/>
    </dxf>
    <dxf>
      <alignment horizontal="center"/>
    </dxf>
    <dxf>
      <alignment vertical="center"/>
    </dxf>
    <dxf>
      <alignment vertical="center"/>
    </dxf>
    <dxf>
      <alignment horizontal="center"/>
    </dxf>
    <dxf>
      <alignment horizontal="center"/>
    </dxf>
    <dxf>
      <numFmt numFmtId="172" formatCode="_-* #,##0_-;\-* #,##0_-;_-* &quot;-&quot;??_-;_-@_-"/>
    </dxf>
    <dxf>
      <numFmt numFmtId="172" formatCode="_-* #,##0_-;\-* #,##0_-;_-* &quot;-&quot;??_-;_-@_-"/>
    </dxf>
    <dxf>
      <alignment horizontal="center"/>
    </dxf>
    <dxf>
      <alignment wrapText="1"/>
    </dxf>
    <dxf>
      <alignment wrapText="1"/>
    </dxf>
    <dxf>
      <alignment wrapText="1" indent="0"/>
    </dxf>
    <dxf>
      <alignment wrapText="1" indent="0"/>
    </dxf>
    <dxf>
      <alignment horizontal="center"/>
    </dxf>
    <dxf>
      <alignment horizontal="center"/>
    </dxf>
    <dxf>
      <alignment vertical="center"/>
    </dxf>
    <dxf>
      <alignment vertical="center"/>
    </dxf>
    <dxf>
      <alignment horizontal="center"/>
    </dxf>
    <dxf>
      <alignment horizontal="center"/>
    </dxf>
    <dxf>
      <numFmt numFmtId="172" formatCode="_-* #,##0_-;\-* #,##0_-;_-* &quot;-&quot;??_-;_-@_-"/>
    </dxf>
    <dxf>
      <numFmt numFmtId="172" formatCode="_-* #,##0_-;\-* #,##0_-;_-* &quot;-&quot;??_-;_-@_-"/>
    </dxf>
    <dxf>
      <alignment horizontal="center"/>
    </dxf>
    <dxf>
      <alignment relativeIndent="1"/>
    </dxf>
    <dxf>
      <alignment wrapText="1"/>
    </dxf>
    <dxf>
      <alignment wrapText="1"/>
    </dxf>
    <dxf>
      <alignment wrapText="1" indent="0"/>
    </dxf>
    <dxf>
      <alignment wrapText="1" indent="0"/>
    </dxf>
    <dxf>
      <alignment horizontal="center"/>
    </dxf>
    <dxf>
      <alignment horizontal="center"/>
    </dxf>
    <dxf>
      <alignment vertical="center"/>
    </dxf>
    <dxf>
      <alignment vertical="center"/>
    </dxf>
    <dxf>
      <alignment horizontal="center"/>
    </dxf>
    <dxf>
      <alignment horizontal="center"/>
    </dxf>
    <dxf>
      <numFmt numFmtId="172" formatCode="_-* #,##0_-;\-* #,##0_-;_-* &quot;-&quot;??_-;_-@_-"/>
    </dxf>
    <dxf>
      <numFmt numFmtId="172" formatCode="_-* #,##0_-;\-* #,##0_-;_-* &quot;-&quot;??_-;_-@_-"/>
    </dxf>
    <dxf>
      <alignment horizontal="center"/>
    </dxf>
    <dxf>
      <alignment relativeIndent="1"/>
    </dxf>
    <dxf>
      <alignment wrapText="1"/>
    </dxf>
    <dxf>
      <alignment wrapText="1"/>
    </dxf>
    <dxf>
      <alignment wrapText="1" indent="0"/>
    </dxf>
    <dxf>
      <alignment wrapText="1" indent="0"/>
    </dxf>
    <dxf>
      <alignment horizontal="center"/>
    </dxf>
    <dxf>
      <alignment horizontal="center"/>
    </dxf>
    <dxf>
      <alignment vertical="center"/>
    </dxf>
    <dxf>
      <alignment vertical="center"/>
    </dxf>
    <dxf>
      <alignment horizontal="center"/>
    </dxf>
    <dxf>
      <alignment horizontal="center"/>
    </dxf>
    <dxf>
      <numFmt numFmtId="172" formatCode="_-* #,##0_-;\-* #,##0_-;_-* &quot;-&quot;??_-;_-@_-"/>
    </dxf>
    <dxf>
      <numFmt numFmtId="172" formatCode="_-* #,##0_-;\-* #,##0_-;_-* &quot;-&quot;??_-;_-@_-"/>
    </dxf>
    <dxf>
      <font>
        <b val="0"/>
        <i val="0"/>
        <strike val="0"/>
        <condense val="0"/>
        <extend val="0"/>
        <outline val="0"/>
        <shadow val="0"/>
        <u val="none"/>
        <vertAlign val="baseline"/>
        <sz val="12"/>
        <color theme="1"/>
        <name val="Calibri"/>
        <scheme val="none"/>
      </font>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none"/>
      </font>
      <numFmt numFmtId="171" formatCode="_-* #,##0_-;\-* #,##0_-;_-* &quot;-&quot;??_-;_-@"/>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none"/>
      </font>
      <numFmt numFmtId="171" formatCode="_-* #,##0_-;\-* #,##0_-;_-* &quot;-&quot;??_-;_-@"/>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none"/>
      </font>
      <numFmt numFmtId="171" formatCode="_-* #,##0_-;\-* #,##0_-;_-* &quot;-&quot;??_-;_-@"/>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none"/>
      </font>
      <numFmt numFmtId="171" formatCode="_-* #,##0_-;\-* #,##0_-;_-* &quot;-&quot;??_-;_-@"/>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none"/>
      </font>
      <numFmt numFmtId="171" formatCode="_-* #,##0_-;\-* #,##0_-;_-* &quot;-&quot;??_-;_-@"/>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none"/>
      </font>
      <numFmt numFmtId="171" formatCode="_-* #,##0_-;\-* #,##0_-;_-* &quot;-&quot;??_-;_-@"/>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3" formatCode="#,##0"/>
      <alignment horizontal="right" vertical="bottom" textRotation="0" wrapText="0" indent="1" justifyLastLine="0" shrinkToFit="0" readingOrder="0"/>
    </dxf>
    <dxf>
      <font>
        <b val="0"/>
        <i val="0"/>
        <strike val="0"/>
        <condense val="0"/>
        <extend val="0"/>
        <outline val="0"/>
        <shadow val="0"/>
        <u val="none"/>
        <vertAlign val="baseline"/>
        <sz val="12"/>
        <color theme="1"/>
        <name val="Calibri"/>
        <scheme val="none"/>
      </font>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171" formatCode="_-* #,##0_-;\-* #,##0_-;_-* &quot;-&quot;??_-;_-@"/>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171" formatCode="_-* #,##0_-;\-* #,##0_-;_-* &quot;-&quot;??_-;_-@"/>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171" formatCode="_-* #,##0_-;\-* #,##0_-;_-* &quot;-&quot;??_-;_-@"/>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numFmt numFmtId="171" formatCode="_-* #,##0_-;\-* #,##0_-;_-* &quot;-&quot;??_-;_-@"/>
      <alignment horizontal="left" vertical="bottom" textRotation="0" wrapText="0" indent="1" justifyLastLine="0" shrinkToFit="0" readingOrder="0"/>
    </dxf>
    <dxf>
      <font>
        <b val="0"/>
        <i val="0"/>
        <strike val="0"/>
        <condense val="0"/>
        <extend val="0"/>
        <outline val="0"/>
        <shadow val="0"/>
        <u val="none"/>
        <vertAlign val="baseline"/>
        <sz val="12"/>
        <color auto="1"/>
        <name val="Calibri"/>
        <scheme val="none"/>
      </font>
      <alignment horizontal="left" vertical="center" textRotation="0" wrapText="0" indent="1" justifyLastLine="0" shrinkToFit="0" readingOrder="0"/>
    </dxf>
    <dxf>
      <font>
        <b val="0"/>
        <i val="0"/>
        <strike val="0"/>
        <condense val="0"/>
        <extend val="0"/>
        <outline val="0"/>
        <shadow val="0"/>
        <u val="none"/>
        <vertAlign val="baseline"/>
        <sz val="12"/>
        <color auto="1"/>
        <name val="Calibri"/>
        <scheme val="none"/>
      </font>
      <alignment horizontal="left" vertical="center" textRotation="0" wrapText="0" indent="1" justifyLastLine="0" shrinkToFit="0" readingOrder="0"/>
    </dxf>
    <dxf>
      <font>
        <b val="0"/>
        <i val="0"/>
        <strike val="0"/>
        <condense val="0"/>
        <extend val="0"/>
        <outline val="0"/>
        <shadow val="0"/>
        <u val="none"/>
        <vertAlign val="baseline"/>
        <sz val="12"/>
        <color auto="1"/>
        <name val="Calibri"/>
        <scheme val="none"/>
      </font>
      <alignment horizontal="left" vertical="bottom" textRotation="0" wrapText="0" indent="1" justifyLastLine="0" shrinkToFit="0" readingOrder="0"/>
    </dxf>
    <dxf>
      <font>
        <b val="0"/>
        <i val="0"/>
        <strike val="0"/>
        <condense val="0"/>
        <extend val="0"/>
        <outline val="0"/>
        <shadow val="0"/>
        <u val="none"/>
        <vertAlign val="baseline"/>
        <sz val="12"/>
        <color auto="1"/>
        <name val="Calibri"/>
        <scheme val="none"/>
      </font>
      <alignment horizontal="left" vertical="bottom" textRotation="0" wrapText="0" indent="1" justifyLastLine="0" shrinkToFit="0" readingOrder="0"/>
    </dxf>
    <dxf>
      <font>
        <b val="0"/>
        <i val="0"/>
        <strike val="0"/>
        <condense val="0"/>
        <extend val="0"/>
        <outline val="0"/>
        <shadow val="0"/>
        <u val="none"/>
        <vertAlign val="baseline"/>
        <sz val="12"/>
        <color auto="1"/>
        <name val="Calibri"/>
        <scheme val="none"/>
      </font>
      <alignment horizontal="left" vertical="bottom" textRotation="0" wrapText="0" relativeIndent="1" justifyLastLine="0" shrinkToFit="0" readingOrder="0"/>
      <border diagonalUp="0" diagonalDown="0" outline="0">
        <left style="dashed">
          <color auto="1"/>
        </left>
        <right style="dashed">
          <color auto="1"/>
        </right>
        <top style="dashed">
          <color auto="1"/>
        </top>
        <bottom style="dashed">
          <color auto="1"/>
        </bottom>
      </border>
    </dxf>
    <dxf>
      <font>
        <b val="0"/>
        <i val="0"/>
        <strike val="0"/>
        <condense val="0"/>
        <extend val="0"/>
        <outline val="0"/>
        <shadow val="0"/>
        <u val="none"/>
        <vertAlign val="baseline"/>
        <sz val="12"/>
        <color auto="1"/>
        <name val="Calibri"/>
        <scheme val="none"/>
      </font>
      <alignment horizontal="left" vertical="bottom" textRotation="0" wrapText="0" indent="0" justifyLastLine="0" shrinkToFit="0" readingOrder="0"/>
      <border diagonalUp="0" diagonalDown="0" outline="0">
        <left style="dashed">
          <color auto="1"/>
        </left>
        <right/>
        <top style="dashed">
          <color auto="1"/>
        </top>
        <bottom style="dashed">
          <color auto="1"/>
        </bottom>
      </border>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right style="dashed">
          <color auto="1"/>
        </right>
        <top style="dashed">
          <color auto="1"/>
        </top>
        <bottom style="dashed">
          <color auto="1"/>
        </bottom>
      </border>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left" vertical="bottom" textRotation="0" wrapText="0" relativeIndent="1" justifyLastLine="0" shrinkToFit="0" readingOrder="0"/>
      <border diagonalUp="0" diagonalDown="0" outline="0">
        <left style="dashed">
          <color auto="1"/>
        </left>
        <right style="dashed">
          <color auto="1"/>
        </right>
        <top style="dashed">
          <color auto="1"/>
        </top>
        <bottom style="dashed">
          <color auto="1"/>
        </bottom>
      </border>
    </dxf>
    <dxf>
      <font>
        <b val="0"/>
        <i val="0"/>
        <strike val="0"/>
        <condense val="0"/>
        <extend val="0"/>
        <outline val="0"/>
        <shadow val="0"/>
        <u val="none"/>
        <vertAlign val="baseline"/>
        <sz val="12"/>
        <color auto="1"/>
        <name val="Calibri"/>
        <scheme val="none"/>
      </font>
      <alignment horizontal="left" vertical="bottom" textRotation="0" wrapText="0" indent="0" justifyLastLine="0" shrinkToFit="0" readingOrder="0"/>
      <border diagonalUp="0" diagonalDown="0" outline="0">
        <left style="dashed">
          <color auto="1"/>
        </left>
        <right/>
        <top style="dashed">
          <color auto="1"/>
        </top>
        <bottom style="dashed">
          <color auto="1"/>
        </bottom>
      </border>
    </dxf>
    <dxf>
      <font>
        <b val="0"/>
        <i val="0"/>
        <strike val="0"/>
        <condense val="0"/>
        <extend val="0"/>
        <outline val="0"/>
        <shadow val="0"/>
        <u val="none"/>
        <vertAlign val="baseline"/>
        <sz val="12"/>
        <color auto="1"/>
        <name val="Calibri"/>
        <scheme val="none"/>
      </font>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alignment horizontal="left" vertical="bottom" textRotation="0" wrapText="1" indent="1" justifyLastLine="0" shrinkToFit="0" readingOrder="0"/>
    </dxf>
    <dxf>
      <font>
        <b val="0"/>
        <i val="0"/>
        <strike val="0"/>
        <condense val="0"/>
        <extend val="0"/>
        <outline val="0"/>
        <shadow val="0"/>
        <u val="none"/>
        <vertAlign val="baseline"/>
        <sz val="12"/>
        <color theme="1"/>
        <name val="Calibri"/>
        <scheme val="none"/>
      </font>
      <alignment horizontal="left" vertical="center" textRotation="0" wrapText="0" indent="1" justifyLastLine="0" shrinkToFit="0" readingOrder="0"/>
    </dxf>
    <dxf>
      <font>
        <b val="0"/>
        <i val="0"/>
        <strike val="0"/>
        <condense val="0"/>
        <extend val="0"/>
        <outline val="0"/>
        <shadow val="0"/>
        <u val="none"/>
        <vertAlign val="baseline"/>
        <sz val="12"/>
        <color theme="1"/>
        <name val="Calibri"/>
        <scheme val="none"/>
      </font>
      <alignment horizontal="left" vertical="center" textRotation="0" wrapText="0" indent="1" justifyLastLine="0" shrinkToFit="0" readingOrder="0"/>
    </dxf>
    <dxf>
      <font>
        <b val="0"/>
        <i val="0"/>
        <strike val="0"/>
        <condense val="0"/>
        <extend val="0"/>
        <outline val="0"/>
        <shadow val="0"/>
        <u val="none"/>
        <vertAlign val="baseline"/>
        <sz val="12"/>
        <color theme="1"/>
        <name val="Calibri"/>
        <scheme val="none"/>
      </font>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alignment horizontal="left" vertical="bottom" textRotation="0" wrapText="0" indent="1" justifyLastLine="0" shrinkToFit="0" readingOrder="0"/>
    </dxf>
    <dxf>
      <font>
        <b val="0"/>
        <i val="0"/>
        <strike val="0"/>
        <condense val="0"/>
        <extend val="0"/>
        <outline val="0"/>
        <shadow val="0"/>
        <u val="none"/>
        <vertAlign val="baseline"/>
        <sz val="12"/>
        <color theme="1"/>
        <name val="Calibri"/>
        <scheme val="none"/>
      </font>
      <alignment horizontal="left" vertical="bottom" textRotation="0" wrapText="0" indent="1" justifyLastLine="0" shrinkToFit="0" readingOrder="0"/>
    </dxf>
    <dxf>
      <font>
        <b/>
        <i val="0"/>
        <strike val="0"/>
        <condense val="0"/>
        <extend val="0"/>
        <outline val="0"/>
        <shadow val="0"/>
        <u val="none"/>
        <vertAlign val="baseline"/>
        <sz val="10"/>
        <color theme="1"/>
        <name val="Arial"/>
        <scheme val="none"/>
      </font>
      <fill>
        <patternFill patternType="none">
          <fgColor indexed="64"/>
          <bgColor rgb="FF2F75B5"/>
        </patternFill>
      </fill>
      <alignment horizontal="center" vertical="center" textRotation="0" wrapText="1" indent="0" justifyLastLine="0" shrinkToFit="0" readingOrder="0"/>
      <border diagonalUp="0" diagonalDown="0">
        <left style="thin">
          <color rgb="FF000000"/>
        </left>
        <right style="thin">
          <color rgb="FF000000"/>
        </right>
        <top/>
        <bottom/>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72" formatCode="_-* #,##0_-;\-* #,##0_-;_-* &quot;-&quot;??_-;_-@_-"/>
    </dxf>
    <dxf>
      <alignment vertical="center"/>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wrapText="1"/>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72" formatCode="_-* #,##0_-;\-* #,##0_-;_-* &quot;-&quot;??_-;_-@_-"/>
    </dxf>
    <dxf>
      <alignment vertical="center"/>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72" formatCode="_-* #,##0_-;\-* #,##0_-;_-* &quot;-&quot;??_-;_-@_-"/>
    </dxf>
    <dxf>
      <alignment vertical="center"/>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72" formatCode="_-* #,##0_-;\-* #,##0_-;_-* &quot;-&quot;??_-;_-@_-"/>
    </dxf>
    <dxf>
      <alignment vertical="center"/>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72" formatCode="_-* #,##0_-;\-* #,##0_-;_-* &quot;-&quot;??_-;_-@_-"/>
    </dxf>
    <dxf>
      <alignment vertical="center"/>
    </dxf>
    <dxf>
      <alignment wrapText="1"/>
    </dxf>
    <dxf>
      <alignment wrapText="1"/>
    </dxf>
    <dxf>
      <font>
        <b/>
      </font>
      <fill>
        <patternFill patternType="solid">
          <fgColor indexed="64"/>
          <bgColor rgb="FFFFC000"/>
        </patternFill>
      </fill>
    </dxf>
    <dxf>
      <alignment wrapText="1"/>
    </dxf>
    <dxf>
      <numFmt numFmtId="172" formatCode="_-* #,##0_-;\-* #,##0_-;_-* &quot;-&quot;??_-;_-@_-"/>
    </dxf>
    <dxf>
      <alignment wrapText="1"/>
    </dxf>
    <dxf>
      <alignment wrapText="1"/>
    </dxf>
    <dxf>
      <alignment wrapText="1"/>
    </dxf>
    <dxf>
      <alignment vertical="center"/>
    </dxf>
    <dxf>
      <alignment vertical="center"/>
    </dxf>
    <dxf>
      <alignment wrapText="1"/>
    </dxf>
    <dxf>
      <numFmt numFmtId="172" formatCode="_-* #,##0_-;\-* #,##0_-;_-* &quot;-&quot;??_-;_-@_-"/>
    </dxf>
    <dxf>
      <alignment wrapText="1"/>
    </dxf>
    <dxf>
      <alignment wrapText="1"/>
    </dxf>
    <dxf>
      <alignment wrapText="1"/>
    </dxf>
    <dxf>
      <alignment vertical="center"/>
    </dxf>
    <dxf>
      <alignment wrapText="1"/>
    </dxf>
    <dxf>
      <numFmt numFmtId="172" formatCode="_-* #,##0_-;\-* #,##0_-;_-* &quot;-&quot;??_-;_-@_-"/>
    </dxf>
    <dxf>
      <alignment wrapText="1"/>
    </dxf>
    <dxf>
      <alignment wrapText="1"/>
    </dxf>
    <dxf>
      <alignment wrapText="1"/>
    </dxf>
    <dxf>
      <font>
        <b/>
      </font>
      <fill>
        <patternFill patternType="solid">
          <fgColor indexed="64"/>
          <bgColor rgb="FFFFC000"/>
        </patternFill>
      </fill>
    </dxf>
    <dxf>
      <alignment wrapText="1"/>
    </dxf>
    <dxf>
      <numFmt numFmtId="172" formatCode="_-* #,##0_-;\-* #,##0_-;_-* &quot;-&quot;??_-;_-@_-"/>
    </dxf>
    <dxf>
      <alignment wrapText="1"/>
    </dxf>
    <dxf>
      <alignment wrapText="1"/>
    </dxf>
    <dxf>
      <alignment wrapText="1"/>
    </dxf>
    <dxf>
      <font>
        <b/>
      </font>
      <fill>
        <patternFill patternType="solid">
          <fgColor indexed="64"/>
          <bgColor rgb="FFFFC000"/>
        </patternFill>
      </fill>
    </dxf>
    <dxf>
      <alignment wrapText="1"/>
    </dxf>
    <dxf>
      <numFmt numFmtId="172" formatCode="_-* #,##0_-;\-* #,##0_-;_-* &quot;-&quot;??_-;_-@_-"/>
    </dxf>
    <dxf>
      <alignment wrapText="1"/>
    </dxf>
    <dxf>
      <alignment wrapText="1"/>
    </dxf>
    <dxf>
      <alignment wrapText="1"/>
    </dxf>
    <dxf>
      <font>
        <sz val="8"/>
      </font>
    </dxf>
    <dxf>
      <font>
        <sz val="8"/>
      </font>
    </dxf>
    <dxf>
      <alignment horizontal="center"/>
    </dxf>
    <dxf>
      <alignment horizontal="center"/>
    </dxf>
    <dxf>
      <numFmt numFmtId="172" formatCode="_-* #,##0_-;\-* #,##0_-;_-* &quot;-&quot;??_-;_-@_-"/>
    </dxf>
    <dxf>
      <alignment relativeIndent="-1"/>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vertical="center"/>
    </dxf>
    <dxf>
      <numFmt numFmtId="172" formatCode="_-* #,##0_-;\-* #,##0_-;_-* &quot;-&quot;??_-;_-@_-"/>
    </dxf>
    <dxf>
      <alignment wrapText="0"/>
    </dxf>
    <dxf>
      <alignment vertical="bottom"/>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0" indent="0"/>
    </dxf>
    <dxf>
      <alignment horizontal="left" relativeIndent="1"/>
    </dxf>
    <dxf>
      <alignment horizontal="general" indent="0"/>
    </dxf>
    <dxf>
      <alignment horizontal="left" relativeIndent="1"/>
    </dxf>
    <dxf>
      <alignment horizontal="left" relativeIndent="1"/>
    </dxf>
    <dxf>
      <alignment horizontal="left" relativeIndent="1"/>
    </dxf>
    <dxf>
      <alignment relativeIndent="1"/>
    </dxf>
    <dxf>
      <alignment horizontal="left" relativeInden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horizontal="left"/>
    </dxf>
    <dxf>
      <alignment horizontal="left"/>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bottom"/>
    </dxf>
    <dxf>
      <alignment horizontal="genera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0" indent="0"/>
    </dxf>
    <dxf>
      <alignment wrapText="0" indent="0"/>
    </dxf>
    <dxf>
      <alignment relativeIndent="1"/>
    </dxf>
    <dxf>
      <alignment relativeIndent="1"/>
    </dxf>
    <dxf>
      <alignment relativeIndent="1"/>
    </dxf>
    <dxf>
      <alignment relativeIndent="1"/>
    </dxf>
    <dxf>
      <alignment relativeIndent="1"/>
    </dxf>
    <dxf>
      <alignment relativeIndent="1"/>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wrapText="1"/>
    </dxf>
    <dxf>
      <alignment wrapText="1"/>
    </dxf>
    <dxf>
      <alignment wrapText="1"/>
    </dxf>
    <dxf>
      <numFmt numFmtId="1" formatCode="0"/>
    </dxf>
    <dxf>
      <alignment horizontal="center"/>
    </dxf>
    <dxf>
      <alignment horizontal="center"/>
    </dxf>
    <dxf>
      <alignment horizontal="center"/>
    </dxf>
    <dxf>
      <alignment vertical="center"/>
    </dxf>
    <dxf>
      <alignment vertical="center"/>
    </dxf>
    <dxf>
      <alignment vertical="center"/>
    </dxf>
    <dxf>
      <border>
        <left style="dashed">
          <color auto="1"/>
        </left>
        <right style="dashed">
          <color auto="1"/>
        </right>
        <top style="dashed">
          <color auto="1"/>
        </top>
        <bottom style="dashed">
          <color auto="1"/>
        </bottom>
        <vertical style="dashed">
          <color auto="1"/>
        </vertical>
        <horizontal style="dashed">
          <color auto="1"/>
        </horizontal>
      </border>
    </dxf>
    <dxf>
      <border>
        <left style="dashed">
          <color auto="1"/>
        </left>
        <right style="dashed">
          <color auto="1"/>
        </right>
        <top style="dashed">
          <color auto="1"/>
        </top>
        <bottom style="dashed">
          <color auto="1"/>
        </bottom>
        <vertical style="dashed">
          <color auto="1"/>
        </vertical>
        <horizontal style="dashed">
          <color auto="1"/>
        </horizontal>
      </border>
    </dxf>
    <dxf>
      <border>
        <left style="dashed">
          <color auto="1"/>
        </left>
        <right style="dashed">
          <color auto="1"/>
        </right>
        <top style="dashed">
          <color auto="1"/>
        </top>
        <bottom style="dashed">
          <color auto="1"/>
        </bottom>
        <vertical style="dashed">
          <color auto="1"/>
        </vertical>
        <horizontal style="dashed">
          <color auto="1"/>
        </horizontal>
      </border>
    </dxf>
    <dxf>
      <alignment horizontal="center"/>
    </dxf>
    <dxf>
      <alignment wrapText="1"/>
    </dxf>
    <dxf>
      <alignment horizontal="center"/>
    </dxf>
    <dxf>
      <alignment vertical="center"/>
    </dxf>
    <dxf>
      <alignment horizontal="left"/>
    </dxf>
    <dxf>
      <alignment wrapText="1"/>
    </dxf>
    <dxf>
      <alignment wrapText="1"/>
    </dxf>
    <dxf>
      <alignment wrapText="1"/>
    </dxf>
    <dxf>
      <alignment horizont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b/>
      </font>
    </dxf>
    <dxf>
      <font>
        <b/>
      </font>
    </dxf>
    <dxf>
      <alignment horizontal="center" indent="0"/>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fill>
        <patternFill>
          <bgColor rgb="FFFFC000"/>
        </patternFill>
      </fill>
    </dxf>
    <dxf>
      <fill>
        <patternFill>
          <bgColor rgb="FFFFC000"/>
        </patternFill>
      </fill>
    </dxf>
    <dxf>
      <font>
        <color theme="0"/>
      </font>
    </dxf>
    <dxf>
      <font>
        <color theme="0"/>
      </font>
    </dxf>
    <dxf>
      <alignment horizontal="center"/>
    </dxf>
    <dxf>
      <alignment vertical="center"/>
    </dxf>
    <dxf>
      <alignment vertical="center"/>
    </dxf>
    <dxf>
      <alignment horizontal="center"/>
    </dxf>
    <dxf>
      <font>
        <b/>
      </font>
    </dxf>
    <dxf>
      <alignment horizontal="center"/>
    </dxf>
    <dxf>
      <alignment horizontal="center"/>
    </dxf>
    <dxf>
      <alignment vertical="center"/>
    </dxf>
    <dxf>
      <alignment vertical="center"/>
    </dxf>
    <dxf>
      <alignment vertical="center"/>
    </dxf>
    <dxf>
      <alignment wrapText="1"/>
    </dxf>
    <dxf>
      <alignment wrapText="1"/>
    </dxf>
    <dxf>
      <alignment vertical="bottom"/>
    </dxf>
    <dxf>
      <alignment vertical="center"/>
    </dxf>
    <dxf>
      <alignment vertical="center"/>
    </dxf>
    <dxf>
      <alignment vertical="center"/>
    </dxf>
    <dxf>
      <alignment vertical="center"/>
    </dxf>
    <dxf>
      <alignment vertical="center"/>
    </dxf>
    <dxf>
      <alignment horizontal="left"/>
    </dxf>
    <dxf>
      <alignment horizontal="left"/>
    </dxf>
    <dxf>
      <alignment horizontal="left"/>
    </dxf>
    <dxf>
      <alignment horizontal="left"/>
    </dxf>
    <dxf>
      <alignment horizontal="left"/>
    </dxf>
    <dxf>
      <alignment wrapText="1"/>
    </dxf>
    <dxf>
      <alignment wrapText="1"/>
    </dxf>
    <dxf>
      <alignment wrapText="1"/>
    </dxf>
    <dxf>
      <numFmt numFmtId="172" formatCode="_-* #,##0_-;\-* #,##0_-;_-* &quot;-&quot;??_-;_-@_-"/>
    </dxf>
    <dxf>
      <fill>
        <patternFill patternType="solid">
          <bgColor rgb="FFFFFF00"/>
        </patternFill>
      </fill>
    </dxf>
    <dxf>
      <fill>
        <patternFill patternType="solid">
          <bgColor rgb="FFFFFF00"/>
        </patternFill>
      </fill>
    </dxf>
    <dxf>
      <alignment relativeIndent="1"/>
    </dxf>
    <dxf>
      <alignment horizontal="center"/>
    </dxf>
    <dxf>
      <alignment horizontal="center"/>
    </dxf>
    <dxf>
      <alignment horizontal="center"/>
    </dxf>
    <dxf>
      <alignment vertical="center"/>
    </dxf>
    <dxf>
      <alignment vertical="center"/>
    </dxf>
    <dxf>
      <alignment vertical="center"/>
    </dxf>
    <dxf>
      <alignment wrapText="1"/>
    </dxf>
    <dxf>
      <alignment wrapText="1"/>
    </dxf>
    <dxf>
      <numFmt numFmtId="172" formatCode="_-* #,##0_-;\-* #,##0_-;_-* &quot;-&quot;??_-;_-@_-"/>
    </dxf>
    <dxf>
      <font>
        <color theme="0"/>
      </font>
    </dxf>
    <dxf>
      <font>
        <color theme="0"/>
      </font>
    </dxf>
    <dxf>
      <font>
        <color theme="0"/>
      </font>
    </dxf>
    <dxf>
      <font>
        <color theme="0"/>
      </font>
    </dxf>
    <dxf>
      <font>
        <color theme="0"/>
      </font>
    </dxf>
    <dxf>
      <font>
        <color theme="0"/>
      </font>
    </dxf>
    <dxf>
      <font>
        <color theme="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9" tint="0.39997558519241921"/>
        </patternFill>
      </fill>
    </dxf>
    <dxf>
      <fill>
        <patternFill patternType="none">
          <fgColor indexed="64"/>
          <bgColor indexed="65"/>
        </patternFill>
      </fill>
    </dxf>
    <dxf>
      <alignment horizontal="center"/>
    </dxf>
    <dxf>
      <font>
        <b/>
      </font>
    </dxf>
    <dxf>
      <font>
        <b/>
      </font>
    </dxf>
    <dxf>
      <fill>
        <patternFill patternType="solid">
          <bgColor theme="8" tint="-0.249977111117893"/>
        </patternFill>
      </fill>
    </dxf>
    <dxf>
      <fill>
        <patternFill patternType="solid">
          <bgColor theme="8" tint="-0.249977111117893"/>
        </patternFill>
      </fill>
    </dxf>
    <dxf>
      <font>
        <color theme="0"/>
      </font>
    </dxf>
    <dxf>
      <font>
        <color theme="0"/>
      </font>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patternType="solid">
          <bgColor theme="9" tint="0.39997558519241921"/>
        </patternFill>
      </fill>
    </dxf>
    <dxf>
      <fill>
        <patternFill patternType="solid">
          <bgColor theme="9" tint="0.39997558519241921"/>
        </patternFill>
      </fill>
    </dxf>
    <dxf>
      <alignment relativeIndent="1"/>
    </dxf>
    <dxf>
      <alignment horizontal="center"/>
    </dxf>
    <dxf>
      <alignment horizontal="center"/>
    </dxf>
    <dxf>
      <alignment horizontal="center"/>
    </dxf>
    <dxf>
      <alignment horizontal="center"/>
    </dxf>
    <dxf>
      <alignment horizontal="center"/>
    </dxf>
    <dxf>
      <alignment horizontal="center"/>
    </dxf>
    <dxf>
      <alignment horizontal="center"/>
    </dxf>
    <dxf>
      <numFmt numFmtId="14" formatCode="0.00%"/>
    </dxf>
    <dxf>
      <numFmt numFmtId="172" formatCode="_-* #,##0_-;\-* #,##0_-;_-* &quot;-&quot;??_-;_-@_-"/>
    </dxf>
    <dxf>
      <fill>
        <patternFill>
          <bgColor theme="8" tint="0.59996337778862885"/>
        </patternFill>
      </fill>
    </dxf>
    <dxf>
      <fill>
        <patternFill patternType="none">
          <bgColor auto="1"/>
        </patternFill>
      </fill>
    </dxf>
    <dxf>
      <fill>
        <patternFill>
          <bgColor theme="0"/>
        </patternFill>
      </fill>
    </dxf>
    <dxf>
      <fill>
        <patternFill>
          <bgColor theme="8" tint="0.59996337778862885"/>
        </patternFill>
      </fill>
    </dxf>
    <dxf>
      <fill>
        <patternFill>
          <bgColor theme="9" tint="0.39994506668294322"/>
        </patternFill>
      </fill>
    </dxf>
    <dxf>
      <fill>
        <patternFill>
          <bgColor theme="8" tint="0.59996337778862885"/>
        </patternFill>
      </fill>
    </dxf>
    <dxf>
      <fill>
        <patternFill patternType="none">
          <bgColor auto="1"/>
        </patternFill>
      </fill>
    </dxf>
    <dxf>
      <fill>
        <patternFill>
          <bgColor theme="9" tint="0.39994506668294322"/>
        </patternFill>
      </fill>
    </dxf>
    <dxf>
      <numFmt numFmtId="35" formatCode="_-* #,##0.00_-;\-* #,##0.00_-;_-* &quot;-&quot;??_-;_-@_-"/>
    </dxf>
    <dxf>
      <alignment relativeInden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2" formatCode="_-* #,##0_-;\-* #,##0_-;_-* &quot;-&quot;??_-;_-@_-"/>
    </dxf>
    <dxf>
      <numFmt numFmtId="172" formatCode="_-* #,##0_-;\-* #,##0_-;_-* &quot;-&quot;??_-;_-@_-"/>
    </dxf>
    <dxf>
      <numFmt numFmtId="172" formatCode="_-* #,##0_-;\-* #,##0_-;_-* &quot;-&quot;??_-;_-@_-"/>
    </dxf>
    <dxf>
      <numFmt numFmtId="172" formatCode="_-* #,##0_-;\-* #,##0_-;_-* &quot;-&quot;??_-;_-@_-"/>
    </dxf>
    <dxf>
      <numFmt numFmtId="172" formatCode="_-* #,##0_-;\-* #,##0_-;_-* &quot;-&quot;??_-;_-@_-"/>
    </dxf>
    <dxf>
      <alignment horizontal="center"/>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ont>
        <b/>
      </font>
    </dxf>
    <dxf>
      <font>
        <b/>
      </font>
    </dxf>
    <dxf>
      <font>
        <color theme="0"/>
      </font>
    </dxf>
    <dxf>
      <font>
        <color theme="0"/>
      </font>
    </dxf>
    <dxf>
      <fill>
        <patternFill patternType="solid">
          <bgColor theme="8" tint="-0.249977111117893"/>
        </patternFill>
      </fill>
    </dxf>
    <dxf>
      <fill>
        <patternFill patternType="solid">
          <bgColor theme="8" tint="-0.249977111117893"/>
        </patternFill>
      </fill>
    </dxf>
    <dxf>
      <font>
        <color theme="0"/>
      </font>
    </dxf>
    <dxf>
      <font>
        <color theme="0"/>
      </font>
    </dxf>
    <dxf>
      <font>
        <color theme="0"/>
      </font>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numFmt numFmtId="172" formatCode="_-* #,##0_-;\-* #,##0_-;_-* &quot;-&quot;??_-;_-@_-"/>
    </dxf>
    <dxf>
      <fill>
        <patternFill>
          <bgColor theme="9" tint="0.59996337778862885"/>
        </patternFill>
      </fill>
    </dxf>
    <dxf>
      <alignment horizontal="center"/>
    </dxf>
    <dxf>
      <fill>
        <patternFill patternType="solid">
          <bgColor theme="8" tint="-0.249977111117893"/>
        </patternFill>
      </fill>
    </dxf>
    <dxf>
      <fill>
        <patternFill patternType="solid">
          <bgColor theme="8" tint="-0.249977111117893"/>
        </patternFill>
      </fill>
    </dxf>
    <dxf>
      <font>
        <color theme="0"/>
      </font>
    </dxf>
    <dxf>
      <font>
        <color theme="0"/>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8" tint="-0.249977111117893"/>
        </patternFill>
      </fill>
    </dxf>
    <dxf>
      <fill>
        <patternFill patternType="solid">
          <bgColor theme="8" tint="-0.249977111117893"/>
        </patternFill>
      </fill>
    </dxf>
    <dxf>
      <font>
        <color theme="0"/>
      </font>
    </dxf>
    <dxf>
      <font>
        <color theme="0"/>
      </font>
    </dxf>
    <dxf>
      <numFmt numFmtId="172" formatCode="_-* #,##0_-;\-* #,##0_-;_-* &quot;-&quot;??_-;_-@_-"/>
    </dxf>
    <dxf>
      <alignment relativeIndent="-1"/>
    </dxf>
    <dxf>
      <alignment relativeIndent="-1"/>
    </dxf>
    <dxf>
      <alignment relativeIndent="-1"/>
    </dxf>
    <dxf>
      <alignment horizontal="right"/>
    </dxf>
    <dxf>
      <alignment horizontal="right"/>
    </dxf>
    <dxf>
      <alignment horizontal="right"/>
    </dxf>
    <dxf>
      <alignment horizontal="right"/>
    </dxf>
    <dxf>
      <numFmt numFmtId="14" formatCode="0.0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ont>
        <b/>
      </font>
    </dxf>
    <dxf>
      <font>
        <b/>
      </font>
    </dxf>
    <dxf>
      <font>
        <color theme="0"/>
      </font>
    </dxf>
    <dxf>
      <font>
        <color theme="0"/>
      </font>
    </dxf>
    <dxf>
      <fill>
        <patternFill patternType="solid">
          <bgColor theme="8" tint="-0.249977111117893"/>
        </patternFill>
      </fill>
    </dxf>
    <dxf>
      <fill>
        <patternFill patternType="solid">
          <bgColor theme="8" tint="-0.249977111117893"/>
        </patternFill>
      </fill>
    </dxf>
    <dxf>
      <alignment horizontal="center"/>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font>
        <color theme="0"/>
      </font>
    </dxf>
    <dxf>
      <font>
        <color theme="0"/>
      </font>
    </dxf>
    <dxf>
      <font>
        <color theme="0"/>
      </font>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numFmt numFmtId="172" formatCode="_-* #,##0_-;\-* #,##0_-;_-* &quot;-&quot;??_-;_-@_-"/>
    </dxf>
    <dxf>
      <alignment horizontal="center"/>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alignment horizontal="center"/>
    </dxf>
    <dxf>
      <alignment horizontal="center"/>
    </dxf>
    <dxf>
      <font>
        <b/>
      </font>
    </dxf>
    <dxf>
      <font>
        <b/>
      </font>
    </dxf>
    <dxf>
      <font>
        <color theme="0"/>
      </font>
    </dxf>
    <dxf>
      <font>
        <color theme="0"/>
      </font>
    </dxf>
    <dxf>
      <fill>
        <patternFill patternType="solid">
          <bgColor theme="8" tint="-0.249977111117893"/>
        </patternFill>
      </fill>
    </dxf>
    <dxf>
      <fill>
        <patternFill patternType="solid">
          <bgColor theme="8" tint="-0.249977111117893"/>
        </patternFill>
      </fill>
    </dxf>
    <dxf>
      <font>
        <color theme="0"/>
      </font>
    </dxf>
    <dxf>
      <font>
        <color theme="0"/>
      </font>
    </dxf>
    <dxf>
      <fill>
        <patternFill patternType="solid">
          <bgColor theme="8" tint="-0.249977111117893"/>
        </patternFill>
      </fill>
    </dxf>
    <dxf>
      <fill>
        <patternFill patternType="solid">
          <bgColor theme="8" tint="-0.249977111117893"/>
        </patternFill>
      </fill>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numFmt numFmtId="172" formatCode="_-* #,##0_-;\-* #,##0_-;_-* &quot;-&quot;??_-;_-@_-"/>
    </dxf>
    <dxf>
      <fill>
        <patternFill>
          <bgColor theme="9" tint="0.59996337778862885"/>
        </patternFill>
      </fill>
    </dxf>
    <dxf>
      <fill>
        <patternFill>
          <bgColor theme="8" tint="0.59996337778862885"/>
        </patternFill>
      </fill>
    </dxf>
    <dxf>
      <alignment horizontal="right"/>
    </dxf>
    <dxf>
      <alignment horizontal="center"/>
    </dxf>
    <dxf>
      <alignment vertical="center" wrapText="1"/>
    </dxf>
    <dxf>
      <alignment vertical="center" wrapText="1"/>
    </dxf>
    <dxf>
      <alignment vertical="center" wrapText="1"/>
    </dxf>
    <dxf>
      <alignment vertical="center" wrapText="1"/>
    </dxf>
    <dxf>
      <alignment vertical="center" wrapText="1"/>
    </dxf>
    <dxf>
      <alignment vertical="center" wrapText="1"/>
    </dxf>
    <dxf>
      <alignment horizontal="center"/>
    </dxf>
    <dxf>
      <alignment horizontal="center"/>
    </dxf>
    <dxf>
      <alignment wrapText="1"/>
    </dxf>
    <dxf>
      <alignment wrapText="1"/>
    </dxf>
    <dxf>
      <alignment wrapText="1"/>
    </dxf>
    <dxf>
      <alignment wrapText="1"/>
    </dxf>
    <dxf>
      <font>
        <color theme="0"/>
      </font>
    </dxf>
    <dxf>
      <fill>
        <patternFill patternType="solid">
          <bgColor theme="8" tint="-0.249977111117893"/>
        </patternFill>
      </fill>
    </dxf>
    <dxf>
      <alignment horizontal="center"/>
    </dxf>
    <dxf>
      <numFmt numFmtId="14" formatCode="0.00%"/>
    </dxf>
    <dxf>
      <font>
        <color theme="0"/>
      </font>
    </dxf>
    <dxf>
      <font>
        <color theme="0"/>
      </font>
    </dxf>
    <dxf>
      <fill>
        <patternFill patternType="solid">
          <bgColor theme="8" tint="-0.249977111117893"/>
        </patternFill>
      </fill>
    </dxf>
    <dxf>
      <fill>
        <patternFill patternType="solid">
          <bgColor theme="8" tint="-0.249977111117893"/>
        </patternFill>
      </fill>
    </dxf>
    <dxf>
      <font>
        <b/>
      </font>
    </dxf>
    <dxf>
      <font>
        <b/>
      </font>
    </dxf>
    <dxf>
      <font>
        <b/>
      </font>
    </dxf>
    <dxf>
      <font>
        <b/>
      </font>
    </dxf>
    <dxf>
      <font>
        <color theme="0"/>
      </font>
    </dxf>
    <dxf>
      <font>
        <color theme="0"/>
      </font>
    </dxf>
    <dxf>
      <fill>
        <patternFill patternType="solid">
          <bgColor theme="8" tint="-0.249977111117893"/>
        </patternFill>
      </fill>
    </dxf>
    <dxf>
      <fill>
        <patternFill patternType="solid">
          <bgColor theme="8" tint="-0.249977111117893"/>
        </patternFill>
      </fill>
    </dxf>
    <dxf>
      <alignment horizontal="center"/>
    </dxf>
    <dxf>
      <alignment horizontal="center"/>
    </dxf>
    <dxf>
      <alignment vertical="center"/>
    </dxf>
    <dxf>
      <font>
        <color theme="0"/>
      </font>
    </dxf>
    <dxf>
      <fill>
        <patternFill patternType="solid">
          <bgColor theme="8" tint="-0.249977111117893"/>
        </patternFill>
      </fill>
    </dxf>
    <dxf>
      <font>
        <color theme="0"/>
      </font>
    </dxf>
    <dxf>
      <fill>
        <patternFill patternType="solid">
          <bgColor theme="8" tint="-0.249977111117893"/>
        </patternFill>
      </fill>
    </dxf>
    <dxf>
      <font>
        <b/>
      </font>
    </dxf>
    <dxf>
      <alignment horizontal="center"/>
    </dxf>
    <dxf>
      <alignment vertical="center"/>
    </dxf>
    <dxf>
      <numFmt numFmtId="172" formatCode="_-* #,##0_-;\-* #,##0_-;_-* &quot;-&quot;??_-;_-@_-"/>
    </dxf>
    <dxf>
      <alignment wrapText="1"/>
    </dxf>
    <dxf>
      <alignment wrapText="1"/>
    </dxf>
    <dxf>
      <alignment wrapText="1"/>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alignment horizontal="center"/>
    </dxf>
    <dxf>
      <alignment vertical="center"/>
    </dxf>
    <dxf>
      <alignment relativeIndent="1"/>
    </dxf>
    <dxf>
      <alignment horizontal="center"/>
    </dxf>
    <dxf>
      <font>
        <b/>
      </font>
    </dxf>
    <dxf>
      <font>
        <b/>
      </font>
    </dxf>
    <dxf>
      <font>
        <color theme="0"/>
      </font>
    </dxf>
    <dxf>
      <font>
        <color theme="0"/>
      </font>
    </dxf>
    <dxf>
      <fill>
        <patternFill patternType="solid">
          <bgColor theme="8" tint="-0.249977111117893"/>
        </patternFill>
      </fill>
    </dxf>
    <dxf>
      <fill>
        <patternFill patternType="solid">
          <bgColor theme="8" tint="-0.249977111117893"/>
        </patternFill>
      </fill>
    </dxf>
    <dxf>
      <font>
        <color theme="0"/>
      </font>
    </dxf>
    <dxf>
      <font>
        <color theme="0"/>
      </font>
    </dxf>
    <dxf>
      <font>
        <color theme="0"/>
      </font>
    </dxf>
    <dxf>
      <fill>
        <patternFill patternType="solid">
          <bgColor theme="8" tint="-0.249977111117893"/>
        </patternFill>
      </fill>
    </dxf>
    <dxf>
      <fill>
        <patternFill patternType="solid">
          <bgColor theme="8" tint="-0.249977111117893"/>
        </patternFill>
      </fill>
    </dxf>
    <dxf>
      <fill>
        <patternFill patternType="solid">
          <bgColor theme="8" tint="-0.249977111117893"/>
        </patternFill>
      </fill>
    </dxf>
    <dxf>
      <alignment horizontal="center"/>
    </dxf>
    <dxf>
      <alignment horizontal="center"/>
    </dxf>
    <dxf>
      <alignment horizontal="center"/>
    </dxf>
    <dxf>
      <alignment vertical="center"/>
    </dxf>
    <dxf>
      <alignment vertical="center"/>
    </dxf>
    <dxf>
      <alignment vertical="center"/>
    </dxf>
    <dxf>
      <alignment wrapText="1"/>
    </dxf>
    <dxf>
      <alignment wrapText="1"/>
    </dxf>
    <dxf>
      <alignment wrapText="1"/>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color theme="0"/>
      </font>
    </dxf>
    <dxf>
      <font>
        <color theme="0"/>
      </font>
    </dxf>
    <dxf>
      <fill>
        <patternFill patternType="solid">
          <bgColor theme="8" tint="-0.249977111117893"/>
        </patternFill>
      </fill>
    </dxf>
    <dxf>
      <fill>
        <patternFill patternType="solid">
          <bgColor theme="8" tint="-0.249977111117893"/>
        </patternFill>
      </fill>
    </dxf>
    <dxf>
      <font>
        <b/>
      </font>
    </dxf>
    <dxf>
      <font>
        <b/>
      </font>
    </dxf>
    <dxf>
      <alignment horizontal="center"/>
    </dxf>
    <dxf>
      <font>
        <color theme="0"/>
      </font>
    </dxf>
    <dxf>
      <font>
        <color theme="0"/>
      </font>
    </dxf>
    <dxf>
      <fill>
        <patternFill patternType="solid">
          <bgColor theme="8" tint="-0.249977111117893"/>
        </patternFill>
      </fill>
    </dxf>
    <dxf>
      <fill>
        <patternFill patternType="solid">
          <bgColor theme="8" tint="-0.249977111117893"/>
        </patternFill>
      </fill>
    </dxf>
    <dxf>
      <font>
        <b/>
      </font>
    </dxf>
    <dxf>
      <font>
        <b/>
      </font>
    </dxf>
    <dxf>
      <alignment horizontal="center"/>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border>
        <top style="thin">
          <color theme="4"/>
        </top>
        <bottom style="thin">
          <color theme="4"/>
        </bottom>
      </border>
    </dxf>
    <dxf>
      <border>
        <top style="thin">
          <color theme="4"/>
        </top>
        <bottom style="thin">
          <color theme="4"/>
        </bottom>
      </border>
    </dxf>
    <dxf>
      <font>
        <color theme="4"/>
      </font>
    </dxf>
    <dxf>
      <font>
        <b/>
        <color theme="1"/>
      </font>
    </dxf>
    <dxf>
      <font>
        <color theme="4"/>
      </font>
    </dxf>
    <dxf>
      <font>
        <b/>
        <color theme="1"/>
      </font>
      <fill>
        <patternFill>
          <bgColor theme="7" tint="0.79998168889431442"/>
        </patternFill>
      </fill>
    </dxf>
    <dxf>
      <fill>
        <patternFill patternType="solid">
          <fgColor theme="4" tint="0.79998168889431442"/>
          <bgColor theme="4" tint="0.79998168889431442"/>
        </patternFill>
      </fill>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fill>
        <patternFill patternType="solid">
          <fgColor theme="4" tint="0.79998168889431442"/>
          <bgColor theme="4" tint="0.79998168889431442"/>
        </patternFill>
      </fill>
      <border>
        <top style="thin">
          <color theme="4" tint="0.59999389629810485"/>
        </top>
        <bottom style="thin">
          <color theme="4" tint="0.59999389629810485"/>
        </bottom>
      </border>
    </dxf>
    <dxf>
      <font>
        <b/>
        <i val="0"/>
        <color theme="0"/>
      </font>
      <fill>
        <patternFill patternType="solid">
          <fgColor theme="0"/>
          <bgColor theme="8" tint="-0.499984740745262"/>
        </patternFill>
      </fill>
      <border>
        <top style="thin">
          <color theme="4"/>
        </top>
        <bottom style="thin">
          <color theme="4"/>
        </bottom>
      </border>
    </dxf>
    <dxf>
      <font>
        <b/>
        <i val="0"/>
        <color theme="0"/>
      </font>
      <fill>
        <patternFill>
          <bgColor theme="8" tint="-0.499984740745262"/>
        </patternFill>
      </fill>
      <border>
        <top style="thin">
          <color theme="4"/>
        </top>
        <bottom style="thin">
          <color theme="4"/>
        </bottom>
      </border>
    </dxf>
    <dxf>
      <font>
        <color theme="1"/>
      </font>
      <border>
        <horizontal style="thin">
          <color theme="4" tint="0.79998168889431442"/>
        </horizontal>
      </border>
    </dxf>
    <dxf>
      <font>
        <b/>
        <i val="0"/>
        <color theme="0"/>
      </font>
      <fill>
        <patternFill>
          <bgColor theme="8" tint="-0.24994659260841701"/>
        </patternFill>
      </fill>
    </dxf>
    <dxf>
      <font>
        <b/>
        <i val="0"/>
        <color theme="0"/>
      </font>
      <fill>
        <patternFill>
          <bgColor theme="8" tint="-0.24994659260841701"/>
        </patternFill>
      </fill>
    </dxf>
    <dxf>
      <font>
        <b/>
        <i val="0"/>
      </font>
      <fill>
        <patternFill>
          <bgColor theme="9" tint="0.79998168889431442"/>
        </patternFill>
      </fill>
    </dxf>
    <dxf>
      <font>
        <b/>
        <i/>
      </font>
      <fill>
        <patternFill>
          <bgColor rgb="FF00B050"/>
        </patternFill>
      </fill>
    </dxf>
    <dxf>
      <fill>
        <patternFill>
          <bgColor theme="8" tint="0.39994506668294322"/>
        </patternFill>
      </fill>
    </dxf>
    <dxf>
      <fill>
        <patternFill>
          <bgColor rgb="FF0070C0"/>
        </patternFill>
      </fill>
    </dxf>
    <dxf>
      <fill>
        <patternFill>
          <bgColor rgb="FF92D050"/>
        </patternFill>
      </fill>
    </dxf>
    <dxf>
      <font>
        <b/>
        <i val="0"/>
        <color theme="0"/>
      </font>
      <fill>
        <patternFill>
          <bgColor theme="8" tint="-0.24994659260841701"/>
        </patternFill>
      </fill>
    </dxf>
    <dxf>
      <font>
        <b/>
        <i val="0"/>
        <color theme="0"/>
      </font>
      <fill>
        <patternFill>
          <bgColor theme="8" tint="-0.499984740745262"/>
        </patternFill>
      </fill>
    </dxf>
    <dxf>
      <font>
        <b/>
        <i val="0"/>
        <color theme="0"/>
      </font>
      <fill>
        <patternFill>
          <bgColor theme="8" tint="-0.499984740745262"/>
        </patternFill>
      </fill>
    </dxf>
    <dxf>
      <font>
        <b/>
        <i val="0"/>
        <color theme="0"/>
      </font>
      <fill>
        <patternFill>
          <bgColor theme="8" tint="-0.24994659260841701"/>
        </patternFill>
      </fill>
    </dxf>
    <dxf>
      <font>
        <b/>
        <i val="0"/>
        <color theme="0"/>
      </font>
      <fill>
        <patternFill>
          <bgColor theme="8" tint="-0.24994659260841701"/>
        </patternFill>
      </fill>
    </dxf>
    <dxf>
      <font>
        <b/>
        <i val="0"/>
      </font>
      <fill>
        <patternFill>
          <bgColor theme="9" tint="0.79998168889431442"/>
        </patternFill>
      </fill>
    </dxf>
    <dxf>
      <font>
        <b/>
        <i/>
      </font>
      <fill>
        <patternFill>
          <bgColor rgb="FF00B050"/>
        </patternFill>
      </fill>
    </dxf>
    <dxf>
      <font>
        <b/>
        <i val="0"/>
        <color theme="0"/>
      </font>
      <fill>
        <patternFill>
          <bgColor theme="8" tint="-0.499984740745262"/>
        </patternFill>
      </fill>
    </dxf>
    <dxf>
      <font>
        <b/>
        <i val="0"/>
        <color theme="0"/>
      </font>
      <fill>
        <patternFill>
          <bgColor theme="8" tint="-0.499984740745262"/>
        </patternFill>
      </fill>
    </dxf>
    <dxf>
      <font>
        <b/>
        <i val="0"/>
        <color theme="0"/>
      </font>
      <fill>
        <patternFill>
          <bgColor theme="8" tint="-0.24994659260841701"/>
        </patternFill>
      </fill>
    </dxf>
    <dxf>
      <font>
        <b/>
        <i val="0"/>
        <color theme="0"/>
      </font>
      <fill>
        <patternFill>
          <bgColor theme="8" tint="-0.24994659260841701"/>
        </patternFill>
      </fill>
    </dxf>
    <dxf>
      <font>
        <b/>
        <i val="0"/>
      </font>
      <fill>
        <patternFill>
          <bgColor theme="9" tint="0.39994506668294322"/>
        </patternFill>
      </fill>
    </dxf>
    <dxf>
      <font>
        <b/>
        <i/>
      </font>
      <fill>
        <patternFill>
          <bgColor rgb="FF00B050"/>
        </patternFill>
      </fill>
    </dxf>
    <dxf>
      <font>
        <b/>
        <i val="0"/>
        <color theme="0"/>
      </font>
      <fill>
        <patternFill>
          <bgColor theme="8" tint="-0.499984740745262"/>
        </patternFill>
      </fill>
    </dxf>
    <dxf>
      <font>
        <b/>
        <i val="0"/>
        <color theme="0"/>
      </font>
      <fill>
        <patternFill>
          <bgColor theme="8" tint="-0.499984740745262"/>
        </patternFill>
      </fill>
    </dxf>
  </dxfs>
  <tableStyles count="4" defaultTableStyle="TableStyleMedium2" defaultPivotStyle="PivotStyleLight16">
    <tableStyle name="Estilo de tabla dinámica 1" table="0" count="6">
      <tableStyleElement type="headerRow" dxfId="2116"/>
      <tableStyleElement type="totalRow" dxfId="2115"/>
      <tableStyleElement type="firstRowSubheading" dxfId="2114"/>
      <tableStyleElement type="secondRowSubheading" dxfId="2113"/>
      <tableStyleElement type="pageFieldLabels" dxfId="2112"/>
      <tableStyleElement type="pageFieldValues" dxfId="2111"/>
    </tableStyle>
    <tableStyle name="Estilo de tabla dinámica 1 2" table="0" count="6">
      <tableStyleElement type="headerRow" dxfId="2110"/>
      <tableStyleElement type="totalRow" dxfId="2109"/>
      <tableStyleElement type="firstRowSubheading" dxfId="2108"/>
      <tableStyleElement type="secondRowSubheading" dxfId="2107"/>
      <tableStyleElement type="pageFieldLabels" dxfId="2106"/>
      <tableStyleElement type="pageFieldValues" dxfId="2105"/>
    </tableStyle>
    <tableStyle name="Estilo de tabla dinámica 1 2 2" table="0" count="10">
      <tableStyleElement type="headerRow" dxfId="2104"/>
      <tableStyleElement type="totalRow" dxfId="2103"/>
      <tableStyleElement type="firstColumn" dxfId="2102"/>
      <tableStyleElement type="firstColumnStripe" dxfId="2101"/>
      <tableStyleElement type="firstSubtotalColumn" dxfId="2100"/>
      <tableStyleElement type="firstSubtotalRow" dxfId="2099"/>
      <tableStyleElement type="firstRowSubheading" dxfId="2098"/>
      <tableStyleElement type="secondRowSubheading" dxfId="2097"/>
      <tableStyleElement type="pageFieldLabels" dxfId="2096"/>
      <tableStyleElement type="pageFieldValues" dxfId="2095"/>
    </tableStyle>
    <tableStyle name="PivotStyleLight2 2" table="0" count="11">
      <tableStyleElement type="wholeTable" dxfId="2094"/>
      <tableStyleElement type="headerRow" dxfId="2093"/>
      <tableStyleElement type="totalRow" dxfId="2092"/>
      <tableStyleElement type="firstRowStripe" dxfId="2091"/>
      <tableStyleElement type="firstColumnStripe" dxfId="2090"/>
      <tableStyleElement type="firstSubtotalRow" dxfId="2089"/>
      <tableStyleElement type="secondSubtotalRow" dxfId="2088"/>
      <tableStyleElement type="firstRowSubheading" dxfId="2087"/>
      <tableStyleElement type="secondRowSubheading" dxfId="2086"/>
      <tableStyleElement type="pageFieldLabels" dxfId="2085"/>
      <tableStyleElement type="pageFieldValues" dxfId="2084"/>
    </tableStyle>
  </tableStyles>
  <colors>
    <mruColors>
      <color rgb="FF0366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2"/></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2.xml"/><Relationship Id="rId50" Type="http://schemas.openxmlformats.org/officeDocument/2006/relationships/pivotCacheDefinition" Target="pivotCache/pivotCacheDefinition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pivotCacheDefinition" Target="pivotCache/pivotCacheDefinition8.xml"/><Relationship Id="rId66" Type="http://schemas.microsoft.com/office/2017/10/relationships/person" Target="persons/person.xml"/><Relationship Id="rId5" Type="http://schemas.openxmlformats.org/officeDocument/2006/relationships/worksheet" Target="worksheets/sheet5.xml"/><Relationship Id="rId61" Type="http://customschemas.google.com/relationships/workbookmetadata" Target="metadata"/><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3.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pivotCacheDefinition" Target="pivotCache/pivotCacheDefinition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9.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7.xml"/><Relationship Id="rId6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E"/>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clustered"/>
        <c:varyColors val="0"/>
        <c:ser>
          <c:idx val="0"/>
          <c:order val="0"/>
          <c:tx>
            <c:v>Programas de inversión pública</c:v>
          </c:tx>
          <c:spPr>
            <a:solidFill>
              <a:schemeClr val="accent1"/>
            </a:solidFill>
            <a:ln>
              <a:noFill/>
            </a:ln>
            <a:effectLst/>
          </c:spPr>
          <c:invertIfNegative val="0"/>
          <c:cat>
            <c:strLit>
              <c:ptCount val="5"/>
              <c:pt idx="0">
                <c:v>UDT HUALLAGA CENTRAL Y BAJO MAYO</c:v>
              </c:pt>
              <c:pt idx="1">
                <c:v>UDT ALTO MAYO</c:v>
              </c:pt>
              <c:pt idx="2">
                <c:v>UDT BAJO HUALLAGA</c:v>
              </c:pt>
              <c:pt idx="3">
                <c:v>UDT ALTO HUALLAGA </c:v>
              </c:pt>
              <c:pt idx="4">
                <c:v>REGIONAL</c:v>
              </c:pt>
            </c:strLit>
          </c:cat>
          <c:val>
            <c:numLit>
              <c:formatCode>General</c:formatCode>
              <c:ptCount val="5"/>
              <c:pt idx="0">
                <c:v>28</c:v>
              </c:pt>
              <c:pt idx="1">
                <c:v>27</c:v>
              </c:pt>
              <c:pt idx="2">
                <c:v>25</c:v>
              </c:pt>
              <c:pt idx="3">
                <c:v>24</c:v>
              </c:pt>
              <c:pt idx="4">
                <c:v>12</c:v>
              </c:pt>
            </c:numLit>
          </c:val>
          <c:extLst xmlns:c16r2="http://schemas.microsoft.com/office/drawing/2015/06/chart">
            <c:ext xmlns:c16="http://schemas.microsoft.com/office/drawing/2014/chart" uri="{C3380CC4-5D6E-409C-BE32-E72D297353CC}">
              <c16:uniqueId val="{00000000-1BA6-4CE5-B114-F59C747FC654}"/>
            </c:ext>
          </c:extLst>
        </c:ser>
        <c:ser>
          <c:idx val="1"/>
          <c:order val="1"/>
          <c:tx>
            <c:v>Programas de inversión privada</c:v>
          </c:tx>
          <c:spPr>
            <a:solidFill>
              <a:schemeClr val="accent2"/>
            </a:solidFill>
            <a:ln>
              <a:noFill/>
            </a:ln>
            <a:effectLst/>
          </c:spPr>
          <c:invertIfNegative val="0"/>
          <c:cat>
            <c:strLit>
              <c:ptCount val="5"/>
              <c:pt idx="0">
                <c:v>UDT HUALLAGA CENTRAL Y BAJO MAYO</c:v>
              </c:pt>
              <c:pt idx="1">
                <c:v>UDT ALTO MAYO</c:v>
              </c:pt>
              <c:pt idx="2">
                <c:v>UDT BAJO HUALLAGA</c:v>
              </c:pt>
              <c:pt idx="3">
                <c:v>UDT ALTO HUALLAGA </c:v>
              </c:pt>
              <c:pt idx="4">
                <c:v>REGIONAL</c:v>
              </c:pt>
            </c:strLit>
          </c:cat>
          <c:val>
            <c:numLit>
              <c:formatCode>General</c:formatCode>
              <c:ptCount val="5"/>
              <c:pt idx="0">
                <c:v>18</c:v>
              </c:pt>
              <c:pt idx="1">
                <c:v>14</c:v>
              </c:pt>
              <c:pt idx="2">
                <c:v>16</c:v>
              </c:pt>
              <c:pt idx="3">
                <c:v>17</c:v>
              </c:pt>
              <c:pt idx="4">
                <c:v>8</c:v>
              </c:pt>
            </c:numLit>
          </c:val>
          <c:extLst xmlns:c16r2="http://schemas.microsoft.com/office/drawing/2015/06/chart">
            <c:ext xmlns:c16="http://schemas.microsoft.com/office/drawing/2014/chart" uri="{C3380CC4-5D6E-409C-BE32-E72D297353CC}">
              <c16:uniqueId val="{00000001-1BA6-4CE5-B114-F59C747FC654}"/>
            </c:ext>
          </c:extLst>
        </c:ser>
        <c:ser>
          <c:idx val="2"/>
          <c:order val="2"/>
          <c:tx>
            <c:v>Control y vigilancia</c:v>
          </c:tx>
          <c:spPr>
            <a:solidFill>
              <a:schemeClr val="accent3"/>
            </a:solidFill>
            <a:ln>
              <a:noFill/>
            </a:ln>
            <a:effectLst/>
          </c:spPr>
          <c:invertIfNegative val="0"/>
          <c:cat>
            <c:strLit>
              <c:ptCount val="5"/>
              <c:pt idx="0">
                <c:v>UDT HUALLAGA CENTRAL Y BAJO MAYO</c:v>
              </c:pt>
              <c:pt idx="1">
                <c:v>UDT ALTO MAYO</c:v>
              </c:pt>
              <c:pt idx="2">
                <c:v>UDT BAJO HUALLAGA</c:v>
              </c:pt>
              <c:pt idx="3">
                <c:v>UDT ALTO HUALLAGA </c:v>
              </c:pt>
              <c:pt idx="4">
                <c:v>REGIONAL</c:v>
              </c:pt>
            </c:strLit>
          </c:cat>
          <c:val>
            <c:numLit>
              <c:formatCode>General</c:formatCode>
              <c:ptCount val="5"/>
              <c:pt idx="0">
                <c:v>9</c:v>
              </c:pt>
              <c:pt idx="1">
                <c:v>9</c:v>
              </c:pt>
              <c:pt idx="2">
                <c:v>8</c:v>
              </c:pt>
              <c:pt idx="3">
                <c:v>8</c:v>
              </c:pt>
              <c:pt idx="4">
                <c:v>10</c:v>
              </c:pt>
            </c:numLit>
          </c:val>
          <c:extLst xmlns:c16r2="http://schemas.microsoft.com/office/drawing/2015/06/chart">
            <c:ext xmlns:c16="http://schemas.microsoft.com/office/drawing/2014/chart" uri="{C3380CC4-5D6E-409C-BE32-E72D297353CC}">
              <c16:uniqueId val="{00000002-1BA6-4CE5-B114-F59C747FC654}"/>
            </c:ext>
          </c:extLst>
        </c:ser>
        <c:ser>
          <c:idx val="3"/>
          <c:order val="3"/>
          <c:tx>
            <c:v>Invasiones</c:v>
          </c:tx>
          <c:spPr>
            <a:solidFill>
              <a:schemeClr val="accent4"/>
            </a:solidFill>
            <a:ln>
              <a:noFill/>
            </a:ln>
            <a:effectLst/>
          </c:spPr>
          <c:invertIfNegative val="0"/>
          <c:cat>
            <c:strLit>
              <c:ptCount val="5"/>
              <c:pt idx="0">
                <c:v>UDT HUALLAGA CENTRAL Y BAJO MAYO</c:v>
              </c:pt>
              <c:pt idx="1">
                <c:v>UDT ALTO MAYO</c:v>
              </c:pt>
              <c:pt idx="2">
                <c:v>UDT BAJO HUALLAGA</c:v>
              </c:pt>
              <c:pt idx="3">
                <c:v>UDT ALTO HUALLAGA </c:v>
              </c:pt>
              <c:pt idx="4">
                <c:v>REGIONAL</c:v>
              </c:pt>
            </c:strLit>
          </c:cat>
          <c:val>
            <c:numLit>
              <c:formatCode>General</c:formatCode>
              <c:ptCount val="5"/>
              <c:pt idx="0">
                <c:v>10</c:v>
              </c:pt>
              <c:pt idx="1">
                <c:v>9</c:v>
              </c:pt>
              <c:pt idx="2">
                <c:v>9</c:v>
              </c:pt>
              <c:pt idx="3">
                <c:v>7</c:v>
              </c:pt>
              <c:pt idx="4">
                <c:v>0</c:v>
              </c:pt>
            </c:numLit>
          </c:val>
          <c:extLst xmlns:c16r2="http://schemas.microsoft.com/office/drawing/2015/06/chart">
            <c:ext xmlns:c16="http://schemas.microsoft.com/office/drawing/2014/chart" uri="{C3380CC4-5D6E-409C-BE32-E72D297353CC}">
              <c16:uniqueId val="{00000003-1BA6-4CE5-B114-F59C747FC654}"/>
            </c:ext>
          </c:extLst>
        </c:ser>
        <c:ser>
          <c:idx val="4"/>
          <c:order val="4"/>
          <c:tx>
            <c:v>Ingresos y Capital</c:v>
          </c:tx>
          <c:spPr>
            <a:solidFill>
              <a:schemeClr val="accent5"/>
            </a:solidFill>
            <a:ln>
              <a:noFill/>
            </a:ln>
            <a:effectLst/>
          </c:spPr>
          <c:invertIfNegative val="0"/>
          <c:cat>
            <c:strLit>
              <c:ptCount val="5"/>
              <c:pt idx="0">
                <c:v>UDT HUALLAGA CENTRAL Y BAJO MAYO</c:v>
              </c:pt>
              <c:pt idx="1">
                <c:v>UDT ALTO MAYO</c:v>
              </c:pt>
              <c:pt idx="2">
                <c:v>UDT BAJO HUALLAGA</c:v>
              </c:pt>
              <c:pt idx="3">
                <c:v>UDT ALTO HUALLAGA </c:v>
              </c:pt>
              <c:pt idx="4">
                <c:v>REGIONAL</c:v>
              </c:pt>
            </c:strLit>
          </c:cat>
          <c:val>
            <c:numLit>
              <c:formatCode>General</c:formatCode>
              <c:ptCount val="5"/>
              <c:pt idx="0">
                <c:v>5</c:v>
              </c:pt>
              <c:pt idx="1">
                <c:v>7</c:v>
              </c:pt>
              <c:pt idx="2">
                <c:v>6</c:v>
              </c:pt>
              <c:pt idx="3">
                <c:v>7</c:v>
              </c:pt>
              <c:pt idx="4">
                <c:v>3</c:v>
              </c:pt>
            </c:numLit>
          </c:val>
          <c:extLst xmlns:c16r2="http://schemas.microsoft.com/office/drawing/2015/06/chart">
            <c:ext xmlns:c16="http://schemas.microsoft.com/office/drawing/2014/chart" uri="{C3380CC4-5D6E-409C-BE32-E72D297353CC}">
              <c16:uniqueId val="{00000004-1BA6-4CE5-B114-F59C747FC654}"/>
            </c:ext>
          </c:extLst>
        </c:ser>
        <c:ser>
          <c:idx val="5"/>
          <c:order val="5"/>
          <c:tx>
            <c:v>Corrupción</c:v>
          </c:tx>
          <c:spPr>
            <a:solidFill>
              <a:schemeClr val="accent6"/>
            </a:solidFill>
            <a:ln>
              <a:noFill/>
            </a:ln>
            <a:effectLst/>
          </c:spPr>
          <c:invertIfNegative val="0"/>
          <c:cat>
            <c:strLit>
              <c:ptCount val="5"/>
              <c:pt idx="0">
                <c:v>UDT HUALLAGA CENTRAL Y BAJO MAYO</c:v>
              </c:pt>
              <c:pt idx="1">
                <c:v>UDT ALTO MAYO</c:v>
              </c:pt>
              <c:pt idx="2">
                <c:v>UDT BAJO HUALLAGA</c:v>
              </c:pt>
              <c:pt idx="3">
                <c:v>UDT ALTO HUALLAGA </c:v>
              </c:pt>
              <c:pt idx="4">
                <c:v>REGIONAL</c:v>
              </c:pt>
            </c:strLit>
          </c:cat>
          <c:val>
            <c:numLit>
              <c:formatCode>General</c:formatCode>
              <c:ptCount val="5"/>
              <c:pt idx="0">
                <c:v>0</c:v>
              </c:pt>
              <c:pt idx="1">
                <c:v>0</c:v>
              </c:pt>
              <c:pt idx="2">
                <c:v>0</c:v>
              </c:pt>
              <c:pt idx="3">
                <c:v>0</c:v>
              </c:pt>
              <c:pt idx="4">
                <c:v>5</c:v>
              </c:pt>
            </c:numLit>
          </c:val>
          <c:extLst xmlns:c16r2="http://schemas.microsoft.com/office/drawing/2015/06/chart">
            <c:ext xmlns:c16="http://schemas.microsoft.com/office/drawing/2014/chart" uri="{C3380CC4-5D6E-409C-BE32-E72D297353CC}">
              <c16:uniqueId val="{00000005-1BA6-4CE5-B114-F59C747FC654}"/>
            </c:ext>
          </c:extLst>
        </c:ser>
        <c:dLbls>
          <c:showLegendKey val="0"/>
          <c:showVal val="0"/>
          <c:showCatName val="0"/>
          <c:showSerName val="0"/>
          <c:showPercent val="0"/>
          <c:showBubbleSize val="0"/>
        </c:dLbls>
        <c:gapWidth val="219"/>
        <c:overlap val="-27"/>
        <c:axId val="1658483648"/>
        <c:axId val="1658482560"/>
      </c:barChart>
      <c:catAx>
        <c:axId val="165848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658482560"/>
        <c:crosses val="autoZero"/>
        <c:auto val="1"/>
        <c:lblAlgn val="ctr"/>
        <c:lblOffset val="100"/>
        <c:noMultiLvlLbl val="0"/>
      </c:catAx>
      <c:valAx>
        <c:axId val="165848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658483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extLst xmlns:c16r2="http://schemas.microsoft.com/office/drawing/2015/06/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outEnd"/>
          <c:showLegendKey val="0"/>
          <c:showVal val="0"/>
          <c:showCatName val="1"/>
          <c:showSerName val="0"/>
          <c:showPercent val="1"/>
          <c:showBubbleSize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outEnd"/>
          <c:showLegendKey val="0"/>
          <c:showVal val="0"/>
          <c:showCatName val="1"/>
          <c:showSerName val="0"/>
          <c:showPercent val="1"/>
          <c:showBubbleSize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marker>
          <c:symbol val="none"/>
        </c:marker>
        <c:dLbl>
          <c:idx val="0"/>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outEnd"/>
          <c:showLegendKey val="0"/>
          <c:showVal val="0"/>
          <c:showCatName val="1"/>
          <c:showSerName val="0"/>
          <c:showPercent val="1"/>
          <c:showBubbleSize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marker>
          <c:symbol val="none"/>
        </c:marker>
        <c:dLbl>
          <c:idx val="0"/>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outEnd"/>
          <c:showLegendKey val="0"/>
          <c:showVal val="0"/>
          <c:showCatName val="1"/>
          <c:showSerName val="0"/>
          <c:showPercent val="1"/>
          <c:showBubbleSize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119082079812421E-2"/>
          <c:y val="9.0277777777777776E-2"/>
          <c:w val="0.63680894411104727"/>
          <c:h val="0.79861111111111116"/>
        </c:manualLayout>
      </c:layout>
      <c:pie3DChart>
        <c:varyColors val="1"/>
        <c:ser>
          <c:idx val="0"/>
          <c:order val="0"/>
          <c:tx>
            <c:v>Total</c:v>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CE46-4672-989A-C952F1A52B43}"/>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CE46-4672-989A-C952F1A52B43}"/>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CE46-4672-989A-C952F1A52B43}"/>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CE46-4672-989A-C952F1A52B43}"/>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CE46-4672-989A-C952F1A52B43}"/>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CE46-4672-989A-C952F1A52B43}"/>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Lit>
              <c:ptCount val="5"/>
              <c:pt idx="0">
                <c:v>Control y vigilancia</c:v>
              </c:pt>
              <c:pt idx="1">
                <c:v>Ingresos y Capital</c:v>
              </c:pt>
              <c:pt idx="2">
                <c:v>Invasiones</c:v>
              </c:pt>
              <c:pt idx="3">
                <c:v>Programas de inversión privada</c:v>
              </c:pt>
              <c:pt idx="4">
                <c:v>Programas de inversión pública</c:v>
              </c:pt>
            </c:strLit>
          </c:cat>
          <c:val>
            <c:numLit>
              <c:formatCode>General</c:formatCode>
              <c:ptCount val="5"/>
              <c:pt idx="0">
                <c:v>8</c:v>
              </c:pt>
              <c:pt idx="1">
                <c:v>7</c:v>
              </c:pt>
              <c:pt idx="2">
                <c:v>7</c:v>
              </c:pt>
              <c:pt idx="3">
                <c:v>17</c:v>
              </c:pt>
              <c:pt idx="4">
                <c:v>24</c:v>
              </c:pt>
            </c:numLit>
          </c:val>
          <c:extLst xmlns:c16r2="http://schemas.microsoft.com/office/drawing/2015/06/chart">
            <c:ext xmlns:c16="http://schemas.microsoft.com/office/drawing/2014/chart" uri="{C3380CC4-5D6E-409C-BE32-E72D297353CC}">
              <c16:uniqueId val="{0000000C-CE46-4672-989A-C952F1A52B43}"/>
            </c:ext>
          </c:extLst>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PE"/>
              <a:t>REGIÓN SAN MARTÍN</a:t>
            </a:r>
            <a:r>
              <a:rPr lang="es-PE" baseline="0"/>
              <a:t> PRESUPUESTO VS NÚMERO DE INTERVENCIONES</a:t>
            </a:r>
            <a:endParaRPr lang="es-PE"/>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PE"/>
        </a:p>
      </c:txPr>
    </c:title>
    <c:autoTitleDeleted val="0"/>
    <c:plotArea>
      <c:layout/>
      <c:barChart>
        <c:barDir val="col"/>
        <c:grouping val="clustered"/>
        <c:varyColors val="0"/>
        <c:ser>
          <c:idx val="1"/>
          <c:order val="1"/>
          <c:tx>
            <c:strRef>
              <c:f>[1]Estadistica!$M$3</c:f>
              <c:strCache>
                <c:ptCount val="1"/>
                <c:pt idx="0">
                  <c:v>Presupuesto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[1]Estadistica!$K$4:$K$8</c:f>
              <c:strCache>
                <c:ptCount val="5"/>
                <c:pt idx="0">
                  <c:v>1. UDT ALTO HUALLAGA</c:v>
                </c:pt>
                <c:pt idx="1">
                  <c:v>2. UDT ALTO MAYO</c:v>
                </c:pt>
                <c:pt idx="2">
                  <c:v>3. UDT BAJO HUALLAGA</c:v>
                </c:pt>
                <c:pt idx="3">
                  <c:v>4. UDT HUALLAGA CENTRAL</c:v>
                </c:pt>
                <c:pt idx="4">
                  <c:v>TRANSVERSAL REGIONAL</c:v>
                </c:pt>
              </c:strCache>
            </c:strRef>
          </c:cat>
          <c:val>
            <c:numRef>
              <c:f>[1]Estadistica!$M$4:$M$8</c:f>
              <c:numCache>
                <c:formatCode>General</c:formatCode>
                <c:ptCount val="5"/>
                <c:pt idx="0">
                  <c:v>480567669.95654762</c:v>
                </c:pt>
                <c:pt idx="1">
                  <c:v>574358823.90087414</c:v>
                </c:pt>
                <c:pt idx="2">
                  <c:v>460533750.57873452</c:v>
                </c:pt>
                <c:pt idx="3">
                  <c:v>1338088318.1214883</c:v>
                </c:pt>
                <c:pt idx="4">
                  <c:v>124911309</c:v>
                </c:pt>
              </c:numCache>
            </c:numRef>
          </c:val>
          <c:extLst xmlns:c16r2="http://schemas.microsoft.com/office/drawing/2015/06/chart">
            <c:ext xmlns:c16="http://schemas.microsoft.com/office/drawing/2014/chart" uri="{C3380CC4-5D6E-409C-BE32-E72D297353CC}">
              <c16:uniqueId val="{00000000-C830-42BA-81D7-C4F5A8F7BBC2}"/>
            </c:ext>
          </c:extLst>
        </c:ser>
        <c:dLbls>
          <c:showLegendKey val="0"/>
          <c:showVal val="0"/>
          <c:showCatName val="0"/>
          <c:showSerName val="0"/>
          <c:showPercent val="0"/>
          <c:showBubbleSize val="0"/>
        </c:dLbls>
        <c:gapWidth val="150"/>
        <c:axId val="1414954512"/>
        <c:axId val="1414949616"/>
      </c:barChart>
      <c:lineChart>
        <c:grouping val="standard"/>
        <c:varyColors val="0"/>
        <c:ser>
          <c:idx val="0"/>
          <c:order val="0"/>
          <c:tx>
            <c:strRef>
              <c:f>[1]Estadistica!$L$3</c:f>
              <c:strCache>
                <c:ptCount val="1"/>
                <c:pt idx="0">
                  <c:v>Intervenciones</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[1]Estadistica!$K$4:$K$8</c:f>
              <c:strCache>
                <c:ptCount val="5"/>
                <c:pt idx="0">
                  <c:v>1. UDT ALTO HUALLAGA</c:v>
                </c:pt>
                <c:pt idx="1">
                  <c:v>2. UDT ALTO MAYO</c:v>
                </c:pt>
                <c:pt idx="2">
                  <c:v>3. UDT BAJO HUALLAGA</c:v>
                </c:pt>
                <c:pt idx="3">
                  <c:v>4. UDT HUALLAGA CENTRAL</c:v>
                </c:pt>
                <c:pt idx="4">
                  <c:v>TRANSVERSAL REGIONAL</c:v>
                </c:pt>
              </c:strCache>
            </c:strRef>
          </c:cat>
          <c:val>
            <c:numRef>
              <c:f>[1]Estadistica!$L$4:$L$8</c:f>
              <c:numCache>
                <c:formatCode>General</c:formatCode>
                <c:ptCount val="5"/>
                <c:pt idx="0">
                  <c:v>63</c:v>
                </c:pt>
                <c:pt idx="1">
                  <c:v>66</c:v>
                </c:pt>
                <c:pt idx="2">
                  <c:v>64</c:v>
                </c:pt>
                <c:pt idx="3">
                  <c:v>70</c:v>
                </c:pt>
                <c:pt idx="4">
                  <c:v>38</c:v>
                </c:pt>
              </c:numCache>
            </c:numRef>
          </c:val>
          <c:smooth val="0"/>
          <c:extLst xmlns:c16r2="http://schemas.microsoft.com/office/drawing/2015/06/chart">
            <c:ext xmlns:c16="http://schemas.microsoft.com/office/drawing/2014/chart" uri="{C3380CC4-5D6E-409C-BE32-E72D297353CC}">
              <c16:uniqueId val="{00000001-C830-42BA-81D7-C4F5A8F7BBC2}"/>
            </c:ext>
          </c:extLst>
        </c:ser>
        <c:dLbls>
          <c:showLegendKey val="0"/>
          <c:showVal val="0"/>
          <c:showCatName val="0"/>
          <c:showSerName val="0"/>
          <c:showPercent val="0"/>
          <c:showBubbleSize val="0"/>
        </c:dLbls>
        <c:marker val="1"/>
        <c:smooth val="0"/>
        <c:axId val="1414951792"/>
        <c:axId val="1414951248"/>
      </c:lineChart>
      <c:catAx>
        <c:axId val="14149545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PE"/>
          </a:p>
        </c:txPr>
        <c:crossAx val="1414949616"/>
        <c:crosses val="autoZero"/>
        <c:auto val="1"/>
        <c:lblAlgn val="ctr"/>
        <c:lblOffset val="100"/>
        <c:noMultiLvlLbl val="0"/>
      </c:catAx>
      <c:valAx>
        <c:axId val="1414949616"/>
        <c:scaling>
          <c:orientation val="minMax"/>
        </c:scaling>
        <c:delete val="0"/>
        <c:axPos val="l"/>
        <c:majorGridlines>
          <c:spPr>
            <a:ln w="9525" cap="flat" cmpd="sng" algn="ctr">
              <a:solidFill>
                <a:schemeClr val="lt1">
                  <a:lumMod val="95000"/>
                  <a:alpha val="10000"/>
                </a:schemeClr>
              </a:solidFill>
              <a:round/>
            </a:ln>
            <a:effectLst/>
          </c:spPr>
        </c:majorGridlines>
        <c:numFmt formatCode="&quot;S/&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PE"/>
          </a:p>
        </c:txPr>
        <c:crossAx val="1414954512"/>
        <c:crosses val="autoZero"/>
        <c:crossBetween val="between"/>
      </c:valAx>
      <c:valAx>
        <c:axId val="141495124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PE"/>
          </a:p>
        </c:txPr>
        <c:crossAx val="1414951792"/>
        <c:crosses val="max"/>
        <c:crossBetween val="between"/>
      </c:valAx>
      <c:catAx>
        <c:axId val="1414951792"/>
        <c:scaling>
          <c:orientation val="minMax"/>
        </c:scaling>
        <c:delete val="1"/>
        <c:axPos val="b"/>
        <c:numFmt formatCode="General" sourceLinked="1"/>
        <c:majorTickMark val="none"/>
        <c:minorTickMark val="none"/>
        <c:tickLblPos val="nextTo"/>
        <c:crossAx val="1414951248"/>
        <c:crosses val="autoZero"/>
        <c:auto val="1"/>
        <c:lblAlgn val="ctr"/>
        <c:lblOffset val="100"/>
        <c:noMultiLvlLbl val="0"/>
      </c:cat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P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4. Intervenciones UDT - HCBM'!A1"/><Relationship Id="rId13" Type="http://schemas.openxmlformats.org/officeDocument/2006/relationships/hyperlink" Target="#'Intervenciones UDT- BH'!A1"/><Relationship Id="rId18" Type="http://schemas.openxmlformats.org/officeDocument/2006/relationships/hyperlink" Target="#'10. Ranking'!A1"/><Relationship Id="rId26" Type="http://schemas.openxmlformats.org/officeDocument/2006/relationships/hyperlink" Target="#'16. Base Pytos Cooperaci&#243;n'!A1"/><Relationship Id="rId3" Type="http://schemas.openxmlformats.org/officeDocument/2006/relationships/hyperlink" Target="#'1.Metas Pol&#237;tica SM'!A1"/><Relationship Id="rId21" Type="http://schemas.openxmlformats.org/officeDocument/2006/relationships/hyperlink" Target="#'12 Presup x USA -Compo -Pytos'!A1"/><Relationship Id="rId7" Type="http://schemas.openxmlformats.org/officeDocument/2006/relationships/hyperlink" Target="#'3.Intervenciones Transv. Region'!A1"/><Relationship Id="rId12" Type="http://schemas.openxmlformats.org/officeDocument/2006/relationships/hyperlink" Target="#'5. Intervenciones UDT - AH'!A1"/><Relationship Id="rId17" Type="http://schemas.openxmlformats.org/officeDocument/2006/relationships/hyperlink" Target="#'9. Costos Centrales'!A1"/><Relationship Id="rId25" Type="http://schemas.openxmlformats.org/officeDocument/2006/relationships/hyperlink" Target="#'15. BAse Pytos - Inviette.pe'!A1"/><Relationship Id="rId2" Type="http://schemas.openxmlformats.org/officeDocument/2006/relationships/image" Target="../media/image2.png"/><Relationship Id="rId16" Type="http://schemas.openxmlformats.org/officeDocument/2006/relationships/hyperlink" Target="#'8. BASE  CONSOLIDADA'!A1"/><Relationship Id="rId20" Type="http://schemas.openxmlformats.org/officeDocument/2006/relationships/hyperlink" Target="#'11. Presup x Progra-Componete'!A1"/><Relationship Id="rId29" Type="http://schemas.openxmlformats.org/officeDocument/2006/relationships/hyperlink" Target="#'19. Estad&#237;sticas Salvaguardas'!A1"/><Relationship Id="rId1" Type="http://schemas.openxmlformats.org/officeDocument/2006/relationships/image" Target="../media/image1.png"/><Relationship Id="rId6" Type="http://schemas.openxmlformats.org/officeDocument/2006/relationships/hyperlink" Target="#'Intervenciones Transv. Regional'!A1"/><Relationship Id="rId11" Type="http://schemas.openxmlformats.org/officeDocument/2006/relationships/hyperlink" Target="#'Intervenciones UDT - AH'!A1"/><Relationship Id="rId24" Type="http://schemas.openxmlformats.org/officeDocument/2006/relationships/hyperlink" Target="#'15. Base Pytos - Invierte.pe'!A1"/><Relationship Id="rId5" Type="http://schemas.openxmlformats.org/officeDocument/2006/relationships/hyperlink" Target="#'2.Teor&#237;a de Cambio San Mart&#237;n'!A1"/><Relationship Id="rId15" Type="http://schemas.openxmlformats.org/officeDocument/2006/relationships/hyperlink" Target="#'BASE  CONSOLIDADA'!A1"/><Relationship Id="rId23" Type="http://schemas.openxmlformats.org/officeDocument/2006/relationships/hyperlink" Target="#'14. Gasto en cambio clim&#225;tico'!A1"/><Relationship Id="rId28" Type="http://schemas.openxmlformats.org/officeDocument/2006/relationships/hyperlink" Target="#'17. Flujo'!A1"/><Relationship Id="rId10" Type="http://schemas.openxmlformats.org/officeDocument/2006/relationships/hyperlink" Target="#'6. Intervenciones UDT- AM'!A1"/><Relationship Id="rId19" Type="http://schemas.openxmlformats.org/officeDocument/2006/relationships/hyperlink" Target="#'11. Presup x Progra-Componente'!A1"/><Relationship Id="rId4" Type="http://schemas.openxmlformats.org/officeDocument/2006/relationships/hyperlink" Target="#'Teor&#237;a de Cambio San Mart&#237;n'!A1"/><Relationship Id="rId9" Type="http://schemas.openxmlformats.org/officeDocument/2006/relationships/hyperlink" Target="#'Intervenciones UDT- AM'!A1"/><Relationship Id="rId14" Type="http://schemas.openxmlformats.org/officeDocument/2006/relationships/hyperlink" Target="#'7. Intervenciones UDT- BH'!A1"/><Relationship Id="rId22" Type="http://schemas.openxmlformats.org/officeDocument/2006/relationships/hyperlink" Target="#'13. ESTADISTICAS'!A1"/><Relationship Id="rId27" Type="http://schemas.openxmlformats.org/officeDocument/2006/relationships/hyperlink" Target="#'18. Salvaguardas'!A1"/><Relationship Id="rId30" Type="http://schemas.openxmlformats.org/officeDocument/2006/relationships/hyperlink" Target="#'20 Estad Recursos Potenciales'!A1"/></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ciones!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ciones!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ciones!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strucciones!A1"/><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ciones!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ciones!A1"/></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ciones!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ciones!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ciones!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ciones!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ciones!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14</xdr:col>
      <xdr:colOff>692727</xdr:colOff>
      <xdr:row>17</xdr:row>
      <xdr:rowOff>0</xdr:rowOff>
    </xdr:to>
    <xdr:sp macro="" textlink="">
      <xdr:nvSpPr>
        <xdr:cNvPr id="36" name="Rectángulo 35">
          <a:extLst>
            <a:ext uri="{FF2B5EF4-FFF2-40B4-BE49-F238E27FC236}">
              <a16:creationId xmlns="" xmlns:a16="http://schemas.microsoft.com/office/drawing/2014/main" id="{A5781A87-93EA-40BF-9F0B-BD7DD27FC23C}"/>
            </a:ext>
          </a:extLst>
        </xdr:cNvPr>
        <xdr:cNvSpPr/>
      </xdr:nvSpPr>
      <xdr:spPr>
        <a:xfrm>
          <a:off x="0" y="0"/>
          <a:ext cx="14561127" cy="3238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1</xdr:col>
      <xdr:colOff>0</xdr:colOff>
      <xdr:row>0</xdr:row>
      <xdr:rowOff>0</xdr:rowOff>
    </xdr:from>
    <xdr:to>
      <xdr:col>5</xdr:col>
      <xdr:colOff>498475</xdr:colOff>
      <xdr:row>9</xdr:row>
      <xdr:rowOff>10913</xdr:rowOff>
    </xdr:to>
    <xdr:pic>
      <xdr:nvPicPr>
        <xdr:cNvPr id="33" name="Imagen 32">
          <a:extLst>
            <a:ext uri="{FF2B5EF4-FFF2-40B4-BE49-F238E27FC236}">
              <a16:creationId xmlns="" xmlns:a16="http://schemas.microsoft.com/office/drawing/2014/main" id="{7286D200-C6D8-4AC8-94DA-C5D01B54F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62675" cy="1725413"/>
        </a:xfrm>
        <a:prstGeom prst="rect">
          <a:avLst/>
        </a:prstGeom>
      </xdr:spPr>
    </xdr:pic>
    <xdr:clientData/>
  </xdr:twoCellAnchor>
  <xdr:twoCellAnchor editAs="oneCell">
    <xdr:from>
      <xdr:col>7</xdr:col>
      <xdr:colOff>969817</xdr:colOff>
      <xdr:row>0</xdr:row>
      <xdr:rowOff>0</xdr:rowOff>
    </xdr:from>
    <xdr:to>
      <xdr:col>14</xdr:col>
      <xdr:colOff>277092</xdr:colOff>
      <xdr:row>10</xdr:row>
      <xdr:rowOff>176646</xdr:rowOff>
    </xdr:to>
    <xdr:pic>
      <xdr:nvPicPr>
        <xdr:cNvPr id="35" name="Imagen 34">
          <a:extLst>
            <a:ext uri="{FF2B5EF4-FFF2-40B4-BE49-F238E27FC236}">
              <a16:creationId xmlns="" xmlns:a16="http://schemas.microsoft.com/office/drawing/2014/main" id="{BB07A4F4-9D31-4CA1-A63C-C0ADE256D37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478" t="14539" r="5080" b="5306"/>
        <a:stretch/>
      </xdr:blipFill>
      <xdr:spPr>
        <a:xfrm>
          <a:off x="7904017" y="0"/>
          <a:ext cx="6431975" cy="2081646"/>
        </a:xfrm>
        <a:prstGeom prst="rect">
          <a:avLst/>
        </a:prstGeom>
      </xdr:spPr>
    </xdr:pic>
    <xdr:clientData/>
  </xdr:twoCellAnchor>
  <xdr:twoCellAnchor>
    <xdr:from>
      <xdr:col>1</xdr:col>
      <xdr:colOff>0</xdr:colOff>
      <xdr:row>10</xdr:row>
      <xdr:rowOff>76201</xdr:rowOff>
    </xdr:from>
    <xdr:to>
      <xdr:col>14</xdr:col>
      <xdr:colOff>694765</xdr:colOff>
      <xdr:row>16</xdr:row>
      <xdr:rowOff>159983</xdr:rowOff>
    </xdr:to>
    <xdr:sp macro="" textlink="">
      <xdr:nvSpPr>
        <xdr:cNvPr id="38" name="Cuadro de texto 1">
          <a:extLst>
            <a:ext uri="{FF2B5EF4-FFF2-40B4-BE49-F238E27FC236}">
              <a16:creationId xmlns="" xmlns:a16="http://schemas.microsoft.com/office/drawing/2014/main" id="{76EA1BCB-514B-43F0-B9EC-D9F24580102D}"/>
            </a:ext>
          </a:extLst>
        </xdr:cNvPr>
        <xdr:cNvSpPr txBox="1"/>
      </xdr:nvSpPr>
      <xdr:spPr>
        <a:xfrm>
          <a:off x="0" y="1885951"/>
          <a:ext cx="14296465" cy="1169632"/>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400"/>
            </a:spcAft>
          </a:pPr>
          <a:r>
            <a:rPr lang="es-PE" sz="2800" b="1">
              <a:solidFill>
                <a:srgbClr val="036653"/>
              </a:solidFill>
              <a:effectLst/>
              <a:latin typeface="Cambia"/>
              <a:ea typeface="Arial" panose="020B0604020202020204" pitchFamily="34" charset="0"/>
              <a:cs typeface="Arial" panose="020B0604020202020204" pitchFamily="34" charset="0"/>
            </a:rPr>
            <a:t>Plan</a:t>
          </a:r>
          <a:r>
            <a:rPr lang="es-PE" sz="2800" b="1" baseline="0">
              <a:solidFill>
                <a:srgbClr val="036653"/>
              </a:solidFill>
              <a:effectLst/>
              <a:latin typeface="Cambia"/>
              <a:ea typeface="Arial" panose="020B0604020202020204" pitchFamily="34" charset="0"/>
              <a:cs typeface="Arial" panose="020B0604020202020204" pitchFamily="34" charset="0"/>
            </a:rPr>
            <a:t> de Inversión de la </a:t>
          </a:r>
          <a:r>
            <a:rPr lang="es-PE" sz="2800" b="1">
              <a:solidFill>
                <a:srgbClr val="036653"/>
              </a:solidFill>
              <a:effectLst/>
              <a:latin typeface="Cambia"/>
              <a:ea typeface="Arial" panose="020B0604020202020204" pitchFamily="34" charset="0"/>
              <a:cs typeface="Arial" panose="020B0604020202020204" pitchFamily="34" charset="0"/>
            </a:rPr>
            <a:t>Estrategia Regional de Desarrollo Rural Bajo en Emisiones de San Martín - Tomo II</a:t>
          </a:r>
          <a:endParaRPr lang="es-PE" sz="1400">
            <a:effectLst/>
            <a:latin typeface="Cambria" panose="02040503050406030204" pitchFamily="18" charset="0"/>
            <a:ea typeface="Cambria" panose="02040503050406030204" pitchFamily="18" charset="0"/>
            <a:cs typeface="Cambria" panose="02040503050406030204" pitchFamily="18" charset="0"/>
          </a:endParaRPr>
        </a:p>
      </xdr:txBody>
    </xdr:sp>
    <xdr:clientData/>
  </xdr:twoCellAnchor>
  <xdr:twoCellAnchor>
    <xdr:from>
      <xdr:col>1</xdr:col>
      <xdr:colOff>0</xdr:colOff>
      <xdr:row>14</xdr:row>
      <xdr:rowOff>97491</xdr:rowOff>
    </xdr:from>
    <xdr:to>
      <xdr:col>14</xdr:col>
      <xdr:colOff>627528</xdr:colOff>
      <xdr:row>17</xdr:row>
      <xdr:rowOff>0</xdr:rowOff>
    </xdr:to>
    <xdr:sp macro="" textlink="">
      <xdr:nvSpPr>
        <xdr:cNvPr id="39" name="Cuadro de texto 5">
          <a:extLst>
            <a:ext uri="{FF2B5EF4-FFF2-40B4-BE49-F238E27FC236}">
              <a16:creationId xmlns="" xmlns:a16="http://schemas.microsoft.com/office/drawing/2014/main" id="{EE883760-D221-4B11-A9DF-E28C30F12957}"/>
            </a:ext>
          </a:extLst>
        </xdr:cNvPr>
        <xdr:cNvSpPr txBox="1"/>
      </xdr:nvSpPr>
      <xdr:spPr>
        <a:xfrm>
          <a:off x="11206" y="2764491"/>
          <a:ext cx="14484722" cy="8413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spcAft>
              <a:spcPts val="400"/>
            </a:spcAft>
          </a:pPr>
          <a:r>
            <a:rPr lang="es-PE" sz="2400">
              <a:solidFill>
                <a:srgbClr val="036653"/>
              </a:solidFill>
              <a:effectLst/>
              <a:latin typeface="Cambia"/>
              <a:ea typeface="Caveat"/>
              <a:cs typeface="Caveat"/>
            </a:rPr>
            <a:t>Transformando nuestro territorio para una región competitiva, inclusiva y sostenible</a:t>
          </a:r>
          <a:endParaRPr lang="es-PE" sz="1400">
            <a:effectLst/>
            <a:latin typeface="Cambria" panose="02040503050406030204" pitchFamily="18" charset="0"/>
            <a:ea typeface="Cambria" panose="02040503050406030204" pitchFamily="18" charset="0"/>
            <a:cs typeface="Cambria" panose="02040503050406030204" pitchFamily="18" charset="0"/>
          </a:endParaRPr>
        </a:p>
      </xdr:txBody>
    </xdr:sp>
    <xdr:clientData/>
  </xdr:twoCellAnchor>
  <xdr:twoCellAnchor>
    <xdr:from>
      <xdr:col>1</xdr:col>
      <xdr:colOff>0</xdr:colOff>
      <xdr:row>17</xdr:row>
      <xdr:rowOff>57150</xdr:rowOff>
    </xdr:from>
    <xdr:to>
      <xdr:col>14</xdr:col>
      <xdr:colOff>685800</xdr:colOff>
      <xdr:row>17</xdr:row>
      <xdr:rowOff>57150</xdr:rowOff>
    </xdr:to>
    <xdr:cxnSp macro="">
      <xdr:nvCxnSpPr>
        <xdr:cNvPr id="40" name="Straight Connector 18" descr="Decorative line">
          <a:extLst>
            <a:ext uri="{FF2B5EF4-FFF2-40B4-BE49-F238E27FC236}">
              <a16:creationId xmlns="" xmlns:a16="http://schemas.microsoft.com/office/drawing/2014/main" id="{EDCA7D86-326A-4E58-B740-96627C8EE033}"/>
            </a:ext>
          </a:extLst>
        </xdr:cNvPr>
        <xdr:cNvCxnSpPr>
          <a:cxnSpLocks/>
        </xdr:cNvCxnSpPr>
      </xdr:nvCxnSpPr>
      <xdr:spPr>
        <a:xfrm>
          <a:off x="0" y="3295650"/>
          <a:ext cx="1455420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95250</xdr:colOff>
      <xdr:row>17</xdr:row>
      <xdr:rowOff>142876</xdr:rowOff>
    </xdr:from>
    <xdr:ext cx="12439651" cy="1162050"/>
    <xdr:sp macro="" textlink="">
      <xdr:nvSpPr>
        <xdr:cNvPr id="42" name="CuadroTexto 41">
          <a:extLst>
            <a:ext uri="{FF2B5EF4-FFF2-40B4-BE49-F238E27FC236}">
              <a16:creationId xmlns="" xmlns:a16="http://schemas.microsoft.com/office/drawing/2014/main" id="{D76EC749-18A4-41C4-9485-B00EFD224073}"/>
            </a:ext>
          </a:extLst>
        </xdr:cNvPr>
        <xdr:cNvSpPr txBox="1"/>
      </xdr:nvSpPr>
      <xdr:spPr>
        <a:xfrm>
          <a:off x="2076450" y="3381376"/>
          <a:ext cx="12439651" cy="1162050"/>
        </a:xfrm>
        <a:prstGeom prst="rect">
          <a:avLst/>
        </a:prstGeom>
        <a:noFill/>
        <a:ln w="28575">
          <a:solidFill>
            <a:schemeClr val="accent6">
              <a:lumMod val="50000"/>
            </a:schemeClr>
          </a:solidFill>
          <a:prstDash val="lgDashDot"/>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200">
              <a:solidFill>
                <a:sysClr val="windowText" lastClr="000000"/>
              </a:solidFill>
              <a:effectLst/>
              <a:latin typeface="Segoe UI" panose="020B0502040204020203" pitchFamily="34" charset="0"/>
              <a:ea typeface="+mn-ea"/>
              <a:cs typeface="Segoe UI" panose="020B0502040204020203" pitchFamily="34" charset="0"/>
            </a:rPr>
            <a:t>Esta</a:t>
          </a:r>
          <a:r>
            <a:rPr lang="es-PE" sz="1200" baseline="0">
              <a:solidFill>
                <a:sysClr val="windowText" lastClr="000000"/>
              </a:solidFill>
              <a:effectLst/>
              <a:latin typeface="Segoe UI" panose="020B0502040204020203" pitchFamily="34" charset="0"/>
              <a:ea typeface="+mn-ea"/>
              <a:cs typeface="Segoe UI" panose="020B0502040204020203" pitchFamily="34" charset="0"/>
            </a:rPr>
            <a:t> </a:t>
          </a:r>
          <a:r>
            <a:rPr lang="es-PE" sz="1200">
              <a:solidFill>
                <a:sysClr val="windowText" lastClr="000000"/>
              </a:solidFill>
              <a:effectLst/>
              <a:latin typeface="Segoe UI" panose="020B0502040204020203" pitchFamily="34" charset="0"/>
              <a:ea typeface="+mn-ea"/>
              <a:cs typeface="Segoe UI" panose="020B0502040204020203" pitchFamily="34" charset="0"/>
            </a:rPr>
            <a:t>herramienta de Excel forma parte del Plan</a:t>
          </a:r>
          <a:r>
            <a:rPr lang="es-PE" sz="1200" baseline="0">
              <a:solidFill>
                <a:sysClr val="windowText" lastClr="000000"/>
              </a:solidFill>
              <a:effectLst/>
              <a:latin typeface="Segoe UI" panose="020B0502040204020203" pitchFamily="34" charset="0"/>
              <a:ea typeface="+mn-ea"/>
              <a:cs typeface="Segoe UI" panose="020B0502040204020203" pitchFamily="34" charset="0"/>
            </a:rPr>
            <a:t> de Inversión de</a:t>
          </a:r>
          <a:r>
            <a:rPr lang="es-PE" sz="1200">
              <a:solidFill>
                <a:sysClr val="windowText" lastClr="000000"/>
              </a:solidFill>
              <a:effectLst/>
              <a:latin typeface="Segoe UI" panose="020B0502040204020203" pitchFamily="34" charset="0"/>
              <a:ea typeface="+mn-ea"/>
              <a:cs typeface="Segoe UI" panose="020B0502040204020203" pitchFamily="34" charset="0"/>
            </a:rPr>
            <a:t> la Estrategia Regional de Desarrollo Rural Bajo en Emisiones de San Martín, y tiene por objetivo servir como referencia y consulta del presupuesto</a:t>
          </a:r>
          <a:r>
            <a:rPr lang="es-PE" sz="1200" baseline="0">
              <a:solidFill>
                <a:sysClr val="windowText" lastClr="000000"/>
              </a:solidFill>
              <a:effectLst/>
              <a:latin typeface="Segoe UI" panose="020B0502040204020203" pitchFamily="34" charset="0"/>
              <a:ea typeface="+mn-ea"/>
              <a:cs typeface="Segoe UI" panose="020B0502040204020203" pitchFamily="34" charset="0"/>
            </a:rPr>
            <a:t> de las intervenciones y su presentación en programas y componentes propuestas a nivel de unidad departamental, de unidad de desarrollo territorial y unidades socioambientales.  El formato de trabajo en Excel permitirá que los implementadores de la Estrategia puedan incorporar actualizaciones periodicas y mejoras a las intervenciones a nivel de metas y costos propuestas de manera dinámica y sencilla con la actualiazción actomática de bases y tablas de consulta. </a:t>
          </a:r>
          <a:endParaRPr lang="es-PE" sz="12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oneCellAnchor>
    <xdr:from>
      <xdr:col>1</xdr:col>
      <xdr:colOff>0</xdr:colOff>
      <xdr:row>17</xdr:row>
      <xdr:rowOff>142876</xdr:rowOff>
    </xdr:from>
    <xdr:ext cx="1990725" cy="1162049"/>
    <xdr:sp macro="" textlink="">
      <xdr:nvSpPr>
        <xdr:cNvPr id="43" name="CuadroTexto 42">
          <a:extLst>
            <a:ext uri="{FF2B5EF4-FFF2-40B4-BE49-F238E27FC236}">
              <a16:creationId xmlns="" xmlns:a16="http://schemas.microsoft.com/office/drawing/2014/main" id="{687A9A88-9400-4184-BE45-64171784EFB4}"/>
            </a:ext>
          </a:extLst>
        </xdr:cNvPr>
        <xdr:cNvSpPr txBox="1"/>
      </xdr:nvSpPr>
      <xdr:spPr>
        <a:xfrm>
          <a:off x="0" y="3381376"/>
          <a:ext cx="1990725" cy="1162049"/>
        </a:xfrm>
        <a:prstGeom prst="rect">
          <a:avLst/>
        </a:prstGeom>
        <a:noFill/>
        <a:ln w="285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2800">
              <a:solidFill>
                <a:sysClr val="windowText" lastClr="000000"/>
              </a:solidFill>
              <a:effectLst/>
              <a:latin typeface="Rockwell" panose="02060603020205020403" pitchFamily="18" charset="0"/>
              <a:ea typeface="+mn-ea"/>
              <a:cs typeface="Segoe UI" panose="020B0502040204020203" pitchFamily="34" charset="0"/>
            </a:rPr>
            <a:t>OBJETIVO:</a:t>
          </a:r>
        </a:p>
      </xdr:txBody>
    </xdr:sp>
    <xdr:clientData/>
  </xdr:oneCellAnchor>
  <xdr:oneCellAnchor>
    <xdr:from>
      <xdr:col>1</xdr:col>
      <xdr:colOff>0</xdr:colOff>
      <xdr:row>24</xdr:row>
      <xdr:rowOff>95250</xdr:rowOff>
    </xdr:from>
    <xdr:ext cx="14525625" cy="333296"/>
    <xdr:sp macro="" textlink="">
      <xdr:nvSpPr>
        <xdr:cNvPr id="45" name="CuadroTexto 44">
          <a:extLst>
            <a:ext uri="{FF2B5EF4-FFF2-40B4-BE49-F238E27FC236}">
              <a16:creationId xmlns="" xmlns:a16="http://schemas.microsoft.com/office/drawing/2014/main" id="{8935BF16-0B92-4B59-AE66-95E51F8FC4E7}"/>
            </a:ext>
          </a:extLst>
        </xdr:cNvPr>
        <xdr:cNvSpPr txBox="1"/>
      </xdr:nvSpPr>
      <xdr:spPr>
        <a:xfrm>
          <a:off x="0" y="4667250"/>
          <a:ext cx="14525625" cy="333296"/>
        </a:xfrm>
        <a:prstGeom prst="rect">
          <a:avLst/>
        </a:prstGeom>
        <a:solidFill>
          <a:schemeClr val="bg1">
            <a:lumMod val="95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s-PE" sz="1600" b="1">
              <a:solidFill>
                <a:srgbClr val="036653"/>
              </a:solidFill>
              <a:latin typeface="Rockwell" panose="02060603020205020403" pitchFamily="18" charset="0"/>
            </a:rPr>
            <a:t>ÍNDICE DE CONTENIDOS</a:t>
          </a:r>
        </a:p>
      </xdr:txBody>
    </xdr:sp>
    <xdr:clientData/>
  </xdr:oneCellAnchor>
  <xdr:twoCellAnchor>
    <xdr:from>
      <xdr:col>1</xdr:col>
      <xdr:colOff>0</xdr:colOff>
      <xdr:row>26</xdr:row>
      <xdr:rowOff>171450</xdr:rowOff>
    </xdr:from>
    <xdr:to>
      <xdr:col>4</xdr:col>
      <xdr:colOff>933450</xdr:colOff>
      <xdr:row>34</xdr:row>
      <xdr:rowOff>28575</xdr:rowOff>
    </xdr:to>
    <xdr:grpSp>
      <xdr:nvGrpSpPr>
        <xdr:cNvPr id="72" name="Grupo 71">
          <a:hlinkClick xmlns:r="http://schemas.openxmlformats.org/officeDocument/2006/relationships" r:id="rId3"/>
          <a:extLst>
            <a:ext uri="{FF2B5EF4-FFF2-40B4-BE49-F238E27FC236}">
              <a16:creationId xmlns="" xmlns:a16="http://schemas.microsoft.com/office/drawing/2014/main" id="{A5376F95-773D-4C49-B7E4-0E3189937DA0}"/>
            </a:ext>
          </a:extLst>
        </xdr:cNvPr>
        <xdr:cNvGrpSpPr/>
      </xdr:nvGrpSpPr>
      <xdr:grpSpPr>
        <a:xfrm>
          <a:off x="539750" y="5124450"/>
          <a:ext cx="5584825" cy="1381125"/>
          <a:chOff x="0" y="5124450"/>
          <a:chExt cx="4895850" cy="1381125"/>
        </a:xfrm>
      </xdr:grpSpPr>
      <xdr:sp macro="" textlink="">
        <xdr:nvSpPr>
          <xdr:cNvPr id="44" name="Rectangle 16" descr="Background">
            <a:extLst>
              <a:ext uri="{FF2B5EF4-FFF2-40B4-BE49-F238E27FC236}">
                <a16:creationId xmlns="" xmlns:a16="http://schemas.microsoft.com/office/drawing/2014/main" id="{C996FAD9-4BFA-47D7-85E2-69244CCB8ABA}"/>
              </a:ext>
            </a:extLst>
          </xdr:cNvPr>
          <xdr:cNvSpPr/>
        </xdr:nvSpPr>
        <xdr:spPr>
          <a:xfrm>
            <a:off x="0" y="51244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46" name="Step" descr="Click the cell with the number 100">
            <a:extLst>
              <a:ext uri="{FF2B5EF4-FFF2-40B4-BE49-F238E27FC236}">
                <a16:creationId xmlns="" xmlns:a16="http://schemas.microsoft.com/office/drawing/2014/main" id="{2F6082B3-69BE-464B-8F8D-99CB387269ED}"/>
              </a:ext>
            </a:extLst>
          </xdr:cNvPr>
          <xdr:cNvSpPr txBox="1"/>
        </xdr:nvSpPr>
        <xdr:spPr>
          <a:xfrm>
            <a:off x="534086" y="5562600"/>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Metas de Política Pública al 2030. </a:t>
            </a:r>
          </a:p>
        </xdr:txBody>
      </xdr:sp>
      <xdr:sp macro="" textlink="">
        <xdr:nvSpPr>
          <xdr:cNvPr id="47" name="Oval 24" descr="1">
            <a:extLst>
              <a:ext uri="{FF2B5EF4-FFF2-40B4-BE49-F238E27FC236}">
                <a16:creationId xmlns="" xmlns:a16="http://schemas.microsoft.com/office/drawing/2014/main" id="{67D38F8B-7978-4803-82BC-00F18E1BD101}"/>
              </a:ext>
            </a:extLst>
          </xdr:cNvPr>
          <xdr:cNvSpPr/>
        </xdr:nvSpPr>
        <xdr:spPr>
          <a:xfrm>
            <a:off x="123825" y="5560834"/>
            <a:ext cx="374532" cy="37077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a:t>
            </a:r>
          </a:p>
        </xdr:txBody>
      </xdr:sp>
    </xdr:grpSp>
    <xdr:clientData/>
  </xdr:twoCellAnchor>
  <xdr:twoCellAnchor>
    <xdr:from>
      <xdr:col>1</xdr:col>
      <xdr:colOff>0</xdr:colOff>
      <xdr:row>25</xdr:row>
      <xdr:rowOff>180975</xdr:rowOff>
    </xdr:from>
    <xdr:to>
      <xdr:col>2</xdr:col>
      <xdr:colOff>828675</xdr:colOff>
      <xdr:row>25</xdr:row>
      <xdr:rowOff>180975</xdr:rowOff>
    </xdr:to>
    <xdr:cxnSp macro="">
      <xdr:nvCxnSpPr>
        <xdr:cNvPr id="48" name="Straight Connector 18" descr="Decorative line">
          <a:extLst>
            <a:ext uri="{FF2B5EF4-FFF2-40B4-BE49-F238E27FC236}">
              <a16:creationId xmlns="" xmlns:a16="http://schemas.microsoft.com/office/drawing/2014/main" id="{70054606-18A2-48A8-A720-63061E457011}"/>
            </a:ext>
          </a:extLst>
        </xdr:cNvPr>
        <xdr:cNvCxnSpPr>
          <a:cxnSpLocks/>
        </xdr:cNvCxnSpPr>
      </xdr:nvCxnSpPr>
      <xdr:spPr>
        <a:xfrm>
          <a:off x="28575" y="4943475"/>
          <a:ext cx="278130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990599</xdr:colOff>
      <xdr:row>26</xdr:row>
      <xdr:rowOff>177727</xdr:rowOff>
    </xdr:from>
    <xdr:to>
      <xdr:col>14</xdr:col>
      <xdr:colOff>657224</xdr:colOff>
      <xdr:row>34</xdr:row>
      <xdr:rowOff>38100</xdr:rowOff>
    </xdr:to>
    <xdr:sp macro="" textlink="">
      <xdr:nvSpPr>
        <xdr:cNvPr id="64" name="Rectangle 16" descr="Background">
          <a:extLst>
            <a:ext uri="{FF2B5EF4-FFF2-40B4-BE49-F238E27FC236}">
              <a16:creationId xmlns="" xmlns:a16="http://schemas.microsoft.com/office/drawing/2014/main" id="{508382D4-4232-46E6-B620-E43C3D384E2B}"/>
            </a:ext>
          </a:extLst>
        </xdr:cNvPr>
        <xdr:cNvSpPr/>
      </xdr:nvSpPr>
      <xdr:spPr>
        <a:xfrm>
          <a:off x="4952999" y="5130727"/>
          <a:ext cx="9572625" cy="138437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27</xdr:row>
      <xdr:rowOff>76202</xdr:rowOff>
    </xdr:from>
    <xdr:ext cx="9296400" cy="1190624"/>
    <xdr:sp macro="" textlink="">
      <xdr:nvSpPr>
        <xdr:cNvPr id="65" name="CuadroTexto 64">
          <a:extLst>
            <a:ext uri="{FF2B5EF4-FFF2-40B4-BE49-F238E27FC236}">
              <a16:creationId xmlns="" xmlns:a16="http://schemas.microsoft.com/office/drawing/2014/main" id="{599AB596-32AA-4C15-969D-01F77B75924B}"/>
            </a:ext>
          </a:extLst>
        </xdr:cNvPr>
        <xdr:cNvSpPr txBox="1"/>
      </xdr:nvSpPr>
      <xdr:spPr>
        <a:xfrm>
          <a:off x="5133975" y="521970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Contiene</a:t>
          </a:r>
          <a:r>
            <a:rPr lang="es-PE" sz="1500" baseline="0">
              <a:solidFill>
                <a:sysClr val="windowText" lastClr="000000"/>
              </a:solidFill>
              <a:effectLst/>
              <a:latin typeface="Segoe UI" panose="020B0502040204020203" pitchFamily="34" charset="0"/>
              <a:ea typeface="+mn-ea"/>
              <a:cs typeface="Segoe UI" panose="020B0502040204020203" pitchFamily="34" charset="0"/>
            </a:rPr>
            <a:t> el detalle de las metas de política pública, considerando información de linea base, indicadores, medios de verificación y metas anuales al 2030. Esta sección muestra además la articulación con la visión país y la visión del plan de desarrollo regional concertado de San Martín</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4</xdr:col>
      <xdr:colOff>990599</xdr:colOff>
      <xdr:row>35</xdr:row>
      <xdr:rowOff>0</xdr:rowOff>
    </xdr:from>
    <xdr:to>
      <xdr:col>14</xdr:col>
      <xdr:colOff>657224</xdr:colOff>
      <xdr:row>41</xdr:row>
      <xdr:rowOff>152400</xdr:rowOff>
    </xdr:to>
    <xdr:sp macro="" textlink="">
      <xdr:nvSpPr>
        <xdr:cNvPr id="67" name="Rectangle 16" descr="Background">
          <a:extLst>
            <a:ext uri="{FF2B5EF4-FFF2-40B4-BE49-F238E27FC236}">
              <a16:creationId xmlns="" xmlns:a16="http://schemas.microsoft.com/office/drawing/2014/main" id="{7C4421F7-9B83-4BA9-9981-1B6446E48A4A}"/>
            </a:ext>
          </a:extLst>
        </xdr:cNvPr>
        <xdr:cNvSpPr/>
      </xdr:nvSpPr>
      <xdr:spPr>
        <a:xfrm>
          <a:off x="4952999" y="6769027"/>
          <a:ext cx="9572625" cy="138437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35</xdr:row>
      <xdr:rowOff>2</xdr:rowOff>
    </xdr:from>
    <xdr:ext cx="9296400" cy="1190624"/>
    <xdr:sp macro="" textlink="">
      <xdr:nvSpPr>
        <xdr:cNvPr id="68" name="CuadroTexto 67">
          <a:extLst>
            <a:ext uri="{FF2B5EF4-FFF2-40B4-BE49-F238E27FC236}">
              <a16:creationId xmlns="" xmlns:a16="http://schemas.microsoft.com/office/drawing/2014/main" id="{78D37C96-0AFE-48AC-A1CF-DD6FD0987305}"/>
            </a:ext>
          </a:extLst>
        </xdr:cNvPr>
        <xdr:cNvSpPr txBox="1"/>
      </xdr:nvSpPr>
      <xdr:spPr>
        <a:xfrm>
          <a:off x="5133975" y="685800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Esquema</a:t>
          </a:r>
          <a:r>
            <a:rPr lang="es-PE" sz="1500" baseline="0">
              <a:solidFill>
                <a:sysClr val="windowText" lastClr="000000"/>
              </a:solidFill>
              <a:effectLst/>
              <a:latin typeface="Segoe UI" panose="020B0502040204020203" pitchFamily="34" charset="0"/>
              <a:ea typeface="+mn-ea"/>
              <a:cs typeface="Segoe UI" panose="020B0502040204020203" pitchFamily="34" charset="0"/>
            </a:rPr>
            <a:t> que describe el problema público abordado, sus principales causas (para un analisis completo ver sección sobre problema público en el documento narrativo de la Estrategia Regional de Desarollo Rural Bajo en Emisiones), la visión, objetivos y meta de la política regional de desarrollo rural y las intervenciones necesarias para conseguir este cambio. </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35</xdr:row>
      <xdr:rowOff>0</xdr:rowOff>
    </xdr:from>
    <xdr:to>
      <xdr:col>4</xdr:col>
      <xdr:colOff>933450</xdr:colOff>
      <xdr:row>41</xdr:row>
      <xdr:rowOff>142875</xdr:rowOff>
    </xdr:to>
    <xdr:grpSp>
      <xdr:nvGrpSpPr>
        <xdr:cNvPr id="73" name="Grupo 72">
          <a:hlinkClick xmlns:r="http://schemas.openxmlformats.org/officeDocument/2006/relationships" r:id="rId4"/>
          <a:extLst>
            <a:ext uri="{FF2B5EF4-FFF2-40B4-BE49-F238E27FC236}">
              <a16:creationId xmlns="" xmlns:a16="http://schemas.microsoft.com/office/drawing/2014/main" id="{1494A78E-4A14-4909-8508-E83CCEA161FA}"/>
            </a:ext>
          </a:extLst>
        </xdr:cNvPr>
        <xdr:cNvGrpSpPr/>
      </xdr:nvGrpSpPr>
      <xdr:grpSpPr>
        <a:xfrm>
          <a:off x="539750" y="6667500"/>
          <a:ext cx="5584825" cy="1285875"/>
          <a:chOff x="0" y="6629400"/>
          <a:chExt cx="4895850" cy="1381125"/>
        </a:xfrm>
      </xdr:grpSpPr>
      <xdr:sp macro="" textlink="">
        <xdr:nvSpPr>
          <xdr:cNvPr id="66" name="Rectangle 16" descr="Background">
            <a:extLst>
              <a:ext uri="{FF2B5EF4-FFF2-40B4-BE49-F238E27FC236}">
                <a16:creationId xmlns="" xmlns:a16="http://schemas.microsoft.com/office/drawing/2014/main" id="{6C7515FA-2EC0-4389-9E42-D48E123A0D4A}"/>
              </a:ext>
            </a:extLst>
          </xdr:cNvPr>
          <xdr:cNvSpPr/>
        </xdr:nvSpPr>
        <xdr:spPr>
          <a:xfrm>
            <a:off x="0" y="662940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0" name="Step" descr="Click the cell with the number 100">
            <a:hlinkClick xmlns:r="http://schemas.openxmlformats.org/officeDocument/2006/relationships" r:id="rId5"/>
            <a:extLst>
              <a:ext uri="{FF2B5EF4-FFF2-40B4-BE49-F238E27FC236}">
                <a16:creationId xmlns="" xmlns:a16="http://schemas.microsoft.com/office/drawing/2014/main" id="{F72660DC-0FDA-49DD-9161-BCBEA0EFB6E5}"/>
              </a:ext>
            </a:extLst>
          </xdr:cNvPr>
          <xdr:cNvSpPr txBox="1"/>
        </xdr:nvSpPr>
        <xdr:spPr>
          <a:xfrm>
            <a:off x="534086" y="7086600"/>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Teoría de cambio. </a:t>
            </a:r>
          </a:p>
        </xdr:txBody>
      </xdr:sp>
      <xdr:sp macro="" textlink="">
        <xdr:nvSpPr>
          <xdr:cNvPr id="51" name="Oval 24" descr="1">
            <a:hlinkClick xmlns:r="http://schemas.openxmlformats.org/officeDocument/2006/relationships" r:id="rId5"/>
            <a:extLst>
              <a:ext uri="{FF2B5EF4-FFF2-40B4-BE49-F238E27FC236}">
                <a16:creationId xmlns="" xmlns:a16="http://schemas.microsoft.com/office/drawing/2014/main" id="{2EF8CED3-4130-4BEC-BEDD-776210E84E03}"/>
              </a:ext>
            </a:extLst>
          </xdr:cNvPr>
          <xdr:cNvSpPr/>
        </xdr:nvSpPr>
        <xdr:spPr>
          <a:xfrm>
            <a:off x="123825" y="7075309"/>
            <a:ext cx="374532" cy="37077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2</a:t>
            </a:r>
          </a:p>
        </xdr:txBody>
      </xdr:sp>
    </xdr:grpSp>
    <xdr:clientData/>
  </xdr:twoCellAnchor>
  <xdr:twoCellAnchor>
    <xdr:from>
      <xdr:col>4</xdr:col>
      <xdr:colOff>990599</xdr:colOff>
      <xdr:row>43</xdr:row>
      <xdr:rowOff>25327</xdr:rowOff>
    </xdr:from>
    <xdr:to>
      <xdr:col>14</xdr:col>
      <xdr:colOff>657224</xdr:colOff>
      <xdr:row>50</xdr:row>
      <xdr:rowOff>76200</xdr:rowOff>
    </xdr:to>
    <xdr:sp macro="" textlink="">
      <xdr:nvSpPr>
        <xdr:cNvPr id="70" name="Rectangle 16" descr="Background">
          <a:extLst>
            <a:ext uri="{FF2B5EF4-FFF2-40B4-BE49-F238E27FC236}">
              <a16:creationId xmlns="" xmlns:a16="http://schemas.microsoft.com/office/drawing/2014/main" id="{8854BC11-7D63-4CF6-A7C6-25424F80F575}"/>
            </a:ext>
          </a:extLst>
        </xdr:cNvPr>
        <xdr:cNvSpPr/>
      </xdr:nvSpPr>
      <xdr:spPr>
        <a:xfrm>
          <a:off x="4952999" y="8407327"/>
          <a:ext cx="9572625" cy="138437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43</xdr:row>
      <xdr:rowOff>114302</xdr:rowOff>
    </xdr:from>
    <xdr:ext cx="9296400" cy="1190624"/>
    <xdr:sp macro="" textlink="">
      <xdr:nvSpPr>
        <xdr:cNvPr id="71" name="CuadroTexto 70">
          <a:extLst>
            <a:ext uri="{FF2B5EF4-FFF2-40B4-BE49-F238E27FC236}">
              <a16:creationId xmlns="" xmlns:a16="http://schemas.microsoft.com/office/drawing/2014/main" id="{5C9E25EA-A66D-4FC6-87A0-121E6669EDD2}"/>
            </a:ext>
          </a:extLst>
        </xdr:cNvPr>
        <xdr:cNvSpPr txBox="1"/>
      </xdr:nvSpPr>
      <xdr:spPr>
        <a:xfrm>
          <a:off x="5133975" y="849630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Se</a:t>
          </a:r>
          <a:r>
            <a:rPr lang="es-PE" sz="1500" baseline="0">
              <a:solidFill>
                <a:sysClr val="windowText" lastClr="000000"/>
              </a:solidFill>
              <a:effectLst/>
              <a:latin typeface="Segoe UI" panose="020B0502040204020203" pitchFamily="34" charset="0"/>
              <a:ea typeface="+mn-ea"/>
              <a:cs typeface="Segoe UI" panose="020B0502040204020203" pitchFamily="34" charset="0"/>
            </a:rPr>
            <a:t> describen todas </a:t>
          </a:r>
          <a:r>
            <a:rPr lang="es-PE" sz="1500">
              <a:solidFill>
                <a:sysClr val="windowText" lastClr="000000"/>
              </a:solidFill>
              <a:effectLst/>
              <a:latin typeface="Segoe UI" panose="020B0502040204020203" pitchFamily="34" charset="0"/>
              <a:ea typeface="+mn-ea"/>
              <a:cs typeface="Segoe UI" panose="020B0502040204020203" pitchFamily="34" charset="0"/>
            </a:rPr>
            <a:t>las intervenciones transversales a nivel departamental</a:t>
          </a:r>
          <a:r>
            <a:rPr lang="es-PE" sz="1500" baseline="0">
              <a:solidFill>
                <a:sysClr val="windowText" lastClr="000000"/>
              </a:solidFill>
              <a:effectLst/>
              <a:latin typeface="Segoe UI" panose="020B0502040204020203" pitchFamily="34" charset="0"/>
              <a:ea typeface="+mn-ea"/>
              <a:cs typeface="Segoe UI" panose="020B0502040204020203" pitchFamily="34" charset="0"/>
            </a:rPr>
            <a:t> necesarias </a:t>
          </a:r>
          <a:r>
            <a:rPr lang="es-PE" sz="1500">
              <a:solidFill>
                <a:sysClr val="windowText" lastClr="000000"/>
              </a:solidFill>
              <a:effectLst/>
              <a:latin typeface="Segoe UI" panose="020B0502040204020203" pitchFamily="34" charset="0"/>
              <a:ea typeface="+mn-ea"/>
              <a:cs typeface="Segoe UI" panose="020B0502040204020203" pitchFamily="34" charset="0"/>
            </a:rPr>
            <a:t>para alcanzar los objetivos de política</a:t>
          </a:r>
          <a:r>
            <a:rPr lang="es-PE" sz="1500" baseline="0">
              <a:solidFill>
                <a:sysClr val="windowText" lastClr="000000"/>
              </a:solidFill>
              <a:effectLst/>
              <a:latin typeface="Segoe UI" panose="020B0502040204020203" pitchFamily="34" charset="0"/>
              <a:ea typeface="+mn-ea"/>
              <a:cs typeface="Segoe UI" panose="020B0502040204020203" pitchFamily="34" charset="0"/>
            </a:rPr>
            <a:t> pública propuestos incluyendo </a:t>
          </a:r>
          <a:r>
            <a:rPr lang="es-PE" sz="1500">
              <a:solidFill>
                <a:sysClr val="windowText" lastClr="000000"/>
              </a:solidFill>
              <a:effectLst/>
              <a:latin typeface="Segoe UI" panose="020B0502040204020203" pitchFamily="34" charset="0"/>
              <a:ea typeface="+mn-ea"/>
              <a:cs typeface="Segoe UI" panose="020B0502040204020203" pitchFamily="34" charset="0"/>
            </a:rPr>
            <a:t>descripciones detalladas,</a:t>
          </a:r>
          <a:r>
            <a:rPr lang="es-PE" sz="1500" baseline="0">
              <a:solidFill>
                <a:sysClr val="windowText" lastClr="000000"/>
              </a:solidFill>
              <a:effectLst/>
              <a:latin typeface="Segoe UI" panose="020B0502040204020203" pitchFamily="34" charset="0"/>
              <a:ea typeface="+mn-ea"/>
              <a:cs typeface="Segoe UI" panose="020B0502040204020203" pitchFamily="34" charset="0"/>
            </a:rPr>
            <a:t> </a:t>
          </a:r>
          <a:r>
            <a:rPr lang="es-PE" sz="1500">
              <a:solidFill>
                <a:sysClr val="windowText" lastClr="000000"/>
              </a:solidFill>
              <a:effectLst/>
              <a:latin typeface="Segoe UI" panose="020B0502040204020203" pitchFamily="34" charset="0"/>
              <a:ea typeface="+mn-ea"/>
              <a:cs typeface="Segoe UI" panose="020B0502040204020203" pitchFamily="34" charset="0"/>
            </a:rPr>
            <a:t>indicadores, metas, costos y presupuesto al 2025 y al 2030,</a:t>
          </a:r>
          <a:r>
            <a:rPr lang="es-PE" sz="1500" baseline="0">
              <a:solidFill>
                <a:sysClr val="windowText" lastClr="000000"/>
              </a:solidFill>
              <a:effectLst/>
              <a:latin typeface="Segoe UI" panose="020B0502040204020203" pitchFamily="34" charset="0"/>
              <a:ea typeface="+mn-ea"/>
              <a:cs typeface="Segoe UI" panose="020B0502040204020203" pitchFamily="34" charset="0"/>
            </a:rPr>
            <a:t> con una propuesta de un crononagrama de los 5 primeros años. </a:t>
          </a:r>
          <a:r>
            <a:rPr lang="es-PE" sz="1500">
              <a:solidFill>
                <a:sysClr val="windowText" lastClr="000000"/>
              </a:solidFill>
              <a:effectLst/>
              <a:latin typeface="Segoe UI" panose="020B0502040204020203" pitchFamily="34" charset="0"/>
              <a:ea typeface="+mn-ea"/>
              <a:cs typeface="Segoe UI" panose="020B0502040204020203" pitchFamily="34" charset="0"/>
            </a:rPr>
            <a:t>Estas intervenciones son consideradas como condiciones habilitantes para que la estrategia se implemente correctamente</a:t>
          </a:r>
          <a:r>
            <a:rPr lang="es-PE" sz="1500" baseline="0">
              <a:solidFill>
                <a:sysClr val="windowText" lastClr="000000"/>
              </a:solidFill>
              <a:effectLst/>
              <a:latin typeface="Segoe UI" panose="020B0502040204020203" pitchFamily="34" charset="0"/>
              <a:ea typeface="+mn-ea"/>
              <a:cs typeface="Segoe UI" panose="020B0502040204020203" pitchFamily="34" charset="0"/>
            </a:rPr>
            <a:t>.</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43</xdr:row>
      <xdr:rowOff>19050</xdr:rowOff>
    </xdr:from>
    <xdr:to>
      <xdr:col>4</xdr:col>
      <xdr:colOff>933450</xdr:colOff>
      <xdr:row>50</xdr:row>
      <xdr:rowOff>66675</xdr:rowOff>
    </xdr:to>
    <xdr:grpSp>
      <xdr:nvGrpSpPr>
        <xdr:cNvPr id="74" name="Grupo 73">
          <a:hlinkClick xmlns:r="http://schemas.openxmlformats.org/officeDocument/2006/relationships" r:id="rId6"/>
          <a:extLst>
            <a:ext uri="{FF2B5EF4-FFF2-40B4-BE49-F238E27FC236}">
              <a16:creationId xmlns="" xmlns:a16="http://schemas.microsoft.com/office/drawing/2014/main" id="{4EE8AAFF-F5B5-4CDC-84A0-317259491EF9}"/>
            </a:ext>
          </a:extLst>
        </xdr:cNvPr>
        <xdr:cNvGrpSpPr/>
      </xdr:nvGrpSpPr>
      <xdr:grpSpPr>
        <a:xfrm>
          <a:off x="539750" y="8210550"/>
          <a:ext cx="5584825" cy="1381125"/>
          <a:chOff x="0" y="8134350"/>
          <a:chExt cx="4895850" cy="1381125"/>
        </a:xfrm>
      </xdr:grpSpPr>
      <xdr:sp macro="" textlink="">
        <xdr:nvSpPr>
          <xdr:cNvPr id="69" name="Rectangle 16" descr="Background">
            <a:extLst>
              <a:ext uri="{FF2B5EF4-FFF2-40B4-BE49-F238E27FC236}">
                <a16:creationId xmlns="" xmlns:a16="http://schemas.microsoft.com/office/drawing/2014/main" id="{3D6E875F-5C1E-482E-B6AE-2EFB53C65669}"/>
              </a:ext>
            </a:extLst>
          </xdr:cNvPr>
          <xdr:cNvSpPr/>
        </xdr:nvSpPr>
        <xdr:spPr>
          <a:xfrm>
            <a:off x="0" y="81343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2" name="Step" descr="Click the cell with the number 100">
            <a:hlinkClick xmlns:r="http://schemas.openxmlformats.org/officeDocument/2006/relationships" r:id="rId7"/>
            <a:extLst>
              <a:ext uri="{FF2B5EF4-FFF2-40B4-BE49-F238E27FC236}">
                <a16:creationId xmlns="" xmlns:a16="http://schemas.microsoft.com/office/drawing/2014/main" id="{1BFA45B4-734F-4CB1-BFCA-C91FED067C58}"/>
              </a:ext>
            </a:extLst>
          </xdr:cNvPr>
          <xdr:cNvSpPr txBox="1"/>
        </xdr:nvSpPr>
        <xdr:spPr>
          <a:xfrm>
            <a:off x="534086" y="8572500"/>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Intervenciones transversales regionales. </a:t>
            </a:r>
          </a:p>
        </xdr:txBody>
      </xdr:sp>
      <xdr:sp macro="" textlink="">
        <xdr:nvSpPr>
          <xdr:cNvPr id="53" name="Oval 24" descr="1">
            <a:hlinkClick xmlns:r="http://schemas.openxmlformats.org/officeDocument/2006/relationships" r:id="rId7"/>
            <a:extLst>
              <a:ext uri="{FF2B5EF4-FFF2-40B4-BE49-F238E27FC236}">
                <a16:creationId xmlns="" xmlns:a16="http://schemas.microsoft.com/office/drawing/2014/main" id="{E2D41AA7-96BC-47C8-A0B8-C041F3DA60F7}"/>
              </a:ext>
            </a:extLst>
          </xdr:cNvPr>
          <xdr:cNvSpPr/>
        </xdr:nvSpPr>
        <xdr:spPr>
          <a:xfrm>
            <a:off x="123825" y="8570734"/>
            <a:ext cx="374532" cy="37077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3</a:t>
            </a:r>
          </a:p>
        </xdr:txBody>
      </xdr:sp>
    </xdr:grpSp>
    <xdr:clientData/>
  </xdr:twoCellAnchor>
  <xdr:twoCellAnchor>
    <xdr:from>
      <xdr:col>4</xdr:col>
      <xdr:colOff>967739</xdr:colOff>
      <xdr:row>51</xdr:row>
      <xdr:rowOff>0</xdr:rowOff>
    </xdr:from>
    <xdr:to>
      <xdr:col>14</xdr:col>
      <xdr:colOff>657224</xdr:colOff>
      <xdr:row>58</xdr:row>
      <xdr:rowOff>228600</xdr:rowOff>
    </xdr:to>
    <xdr:sp macro="" textlink="">
      <xdr:nvSpPr>
        <xdr:cNvPr id="75" name="Rectangle 16" descr="Background">
          <a:extLst>
            <a:ext uri="{FF2B5EF4-FFF2-40B4-BE49-F238E27FC236}">
              <a16:creationId xmlns="" xmlns:a16="http://schemas.microsoft.com/office/drawing/2014/main" id="{6082A5A1-D0AE-4616-AD62-BEE35CE637BD}"/>
            </a:ext>
          </a:extLst>
        </xdr:cNvPr>
        <xdr:cNvSpPr/>
      </xdr:nvSpPr>
      <xdr:spPr>
        <a:xfrm>
          <a:off x="4853939" y="9550327"/>
          <a:ext cx="9404985" cy="164154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133350</xdr:colOff>
      <xdr:row>51</xdr:row>
      <xdr:rowOff>0</xdr:rowOff>
    </xdr:from>
    <xdr:ext cx="9296400" cy="1590673"/>
    <xdr:sp macro="" textlink="">
      <xdr:nvSpPr>
        <xdr:cNvPr id="76" name="CuadroTexto 75">
          <a:extLst>
            <a:ext uri="{FF2B5EF4-FFF2-40B4-BE49-F238E27FC236}">
              <a16:creationId xmlns="" xmlns:a16="http://schemas.microsoft.com/office/drawing/2014/main" id="{47267F2F-BC0E-45AB-9D5F-07BE9D22D543}"/>
            </a:ext>
          </a:extLst>
        </xdr:cNvPr>
        <xdr:cNvSpPr txBox="1"/>
      </xdr:nvSpPr>
      <xdr:spPr>
        <a:xfrm>
          <a:off x="4991100" y="9582151"/>
          <a:ext cx="9296400" cy="1590673"/>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450">
              <a:solidFill>
                <a:sysClr val="windowText" lastClr="000000"/>
              </a:solidFill>
              <a:effectLst/>
              <a:latin typeface="Segoe UI" panose="020B0502040204020203" pitchFamily="34" charset="0"/>
              <a:ea typeface="+mn-ea"/>
              <a:cs typeface="Segoe UI" panose="020B0502040204020203" pitchFamily="34" charset="0"/>
            </a:rPr>
            <a:t>Contiene todas las intervenciones transversales para</a:t>
          </a:r>
          <a:r>
            <a:rPr lang="es-PE" sz="1450" baseline="0">
              <a:solidFill>
                <a:sysClr val="windowText" lastClr="000000"/>
              </a:solidFill>
              <a:effectLst/>
              <a:latin typeface="Segoe UI" panose="020B0502040204020203" pitchFamily="34" charset="0"/>
              <a:ea typeface="+mn-ea"/>
              <a:cs typeface="Segoe UI" panose="020B0502040204020203" pitchFamily="34" charset="0"/>
            </a:rPr>
            <a:t> la UDT Huallaga Central y Bajo Mayo y las especificas a nivel de unidad socioambiental. En esta sección puede encontrarse descripciones detalladas de cada intervención, </a:t>
          </a:r>
          <a:r>
            <a:rPr lang="es-PE" sz="1450" baseline="0" noProof="0">
              <a:solidFill>
                <a:sysClr val="windowText" lastClr="000000"/>
              </a:solidFill>
              <a:effectLst/>
              <a:latin typeface="Segoe UI" panose="020B0502040204020203" pitchFamily="34" charset="0"/>
              <a:ea typeface="+mn-ea"/>
              <a:cs typeface="Segoe UI" panose="020B0502040204020203" pitchFamily="34" charset="0"/>
            </a:rPr>
            <a:t>indicadores, metas, costos y presupuesto al 2025 y al 2030, con una propuesta de un crononagrama de los 5 primeros años. </a:t>
          </a:r>
          <a:r>
            <a:rPr lang="es-PE" sz="1450" baseline="0">
              <a:solidFill>
                <a:sysClr val="windowText" lastClr="000000"/>
              </a:solidFill>
              <a:effectLst/>
              <a:latin typeface="Segoe UI" panose="020B0502040204020203" pitchFamily="34" charset="0"/>
              <a:ea typeface="+mn-ea"/>
              <a:cs typeface="Segoe UI" panose="020B0502040204020203" pitchFamily="34" charset="0"/>
            </a:rPr>
            <a:t>Estas intervenciones están empaquetadas de manera diferenciada por usos de la tierra y grupos de actores, de tal manera que cada actor logre el cambio deseado; también se le asigno una categoría con fines de agregación en programas y componentes.</a:t>
          </a:r>
        </a:p>
      </xdr:txBody>
    </xdr:sp>
    <xdr:clientData/>
  </xdr:oneCellAnchor>
  <xdr:twoCellAnchor>
    <xdr:from>
      <xdr:col>1</xdr:col>
      <xdr:colOff>0</xdr:colOff>
      <xdr:row>51</xdr:row>
      <xdr:rowOff>0</xdr:rowOff>
    </xdr:from>
    <xdr:to>
      <xdr:col>4</xdr:col>
      <xdr:colOff>933450</xdr:colOff>
      <xdr:row>58</xdr:row>
      <xdr:rowOff>228600</xdr:rowOff>
    </xdr:to>
    <xdr:grpSp>
      <xdr:nvGrpSpPr>
        <xdr:cNvPr id="81" name="Grupo 80">
          <a:hlinkClick xmlns:r="http://schemas.openxmlformats.org/officeDocument/2006/relationships" r:id="rId8"/>
          <a:extLst>
            <a:ext uri="{FF2B5EF4-FFF2-40B4-BE49-F238E27FC236}">
              <a16:creationId xmlns="" xmlns:a16="http://schemas.microsoft.com/office/drawing/2014/main" id="{AE039048-5EA3-4941-AE63-05B02339097C}"/>
            </a:ext>
          </a:extLst>
        </xdr:cNvPr>
        <xdr:cNvGrpSpPr/>
      </xdr:nvGrpSpPr>
      <xdr:grpSpPr>
        <a:xfrm>
          <a:off x="539750" y="9715500"/>
          <a:ext cx="5584825" cy="1673225"/>
          <a:chOff x="0" y="10039350"/>
          <a:chExt cx="4895850" cy="1381125"/>
        </a:xfrm>
      </xdr:grpSpPr>
      <xdr:sp macro="" textlink="">
        <xdr:nvSpPr>
          <xdr:cNvPr id="78" name="Rectangle 16" descr="Background">
            <a:extLst>
              <a:ext uri="{FF2B5EF4-FFF2-40B4-BE49-F238E27FC236}">
                <a16:creationId xmlns="" xmlns:a16="http://schemas.microsoft.com/office/drawing/2014/main" id="{EAD77769-6E49-41B3-AE18-96AB97AAE41D}"/>
              </a:ext>
            </a:extLst>
          </xdr:cNvPr>
          <xdr:cNvSpPr/>
        </xdr:nvSpPr>
        <xdr:spPr>
          <a:xfrm>
            <a:off x="0" y="100393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4" name="Step" descr="Click the cell with the number 100">
            <a:hlinkClick xmlns:r="http://schemas.openxmlformats.org/officeDocument/2006/relationships" r:id="rId8"/>
            <a:extLst>
              <a:ext uri="{FF2B5EF4-FFF2-40B4-BE49-F238E27FC236}">
                <a16:creationId xmlns="" xmlns:a16="http://schemas.microsoft.com/office/drawing/2014/main" id="{46D23B06-C144-4CF4-BA8E-CEB7047C679F}"/>
              </a:ext>
            </a:extLst>
          </xdr:cNvPr>
          <xdr:cNvSpPr txBox="1"/>
        </xdr:nvSpPr>
        <xdr:spPr>
          <a:xfrm>
            <a:off x="543611" y="10487025"/>
            <a:ext cx="428556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Intervenciones UDT Huallaga Central y Bajo Mayo. </a:t>
            </a:r>
          </a:p>
        </xdr:txBody>
      </xdr:sp>
      <xdr:sp macro="" textlink="">
        <xdr:nvSpPr>
          <xdr:cNvPr id="55" name="Oval 24" descr="1">
            <a:extLst>
              <a:ext uri="{FF2B5EF4-FFF2-40B4-BE49-F238E27FC236}">
                <a16:creationId xmlns="" xmlns:a16="http://schemas.microsoft.com/office/drawing/2014/main" id="{612D1942-8ED9-4F39-860B-CC0140A445AB}"/>
              </a:ext>
            </a:extLst>
          </xdr:cNvPr>
          <xdr:cNvSpPr/>
        </xdr:nvSpPr>
        <xdr:spPr>
          <a:xfrm>
            <a:off x="133350" y="10523359"/>
            <a:ext cx="374532" cy="37077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4</a:t>
            </a:r>
          </a:p>
        </xdr:txBody>
      </xdr:sp>
    </xdr:grpSp>
    <xdr:clientData/>
  </xdr:twoCellAnchor>
  <xdr:twoCellAnchor>
    <xdr:from>
      <xdr:col>4</xdr:col>
      <xdr:colOff>967739</xdr:colOff>
      <xdr:row>59</xdr:row>
      <xdr:rowOff>63427</xdr:rowOff>
    </xdr:from>
    <xdr:to>
      <xdr:col>14</xdr:col>
      <xdr:colOff>657224</xdr:colOff>
      <xdr:row>67</xdr:row>
      <xdr:rowOff>276225</xdr:rowOff>
    </xdr:to>
    <xdr:sp macro="" textlink="">
      <xdr:nvSpPr>
        <xdr:cNvPr id="82" name="Rectangle 16" descr="Background">
          <a:extLst>
            <a:ext uri="{FF2B5EF4-FFF2-40B4-BE49-F238E27FC236}">
              <a16:creationId xmlns="" xmlns:a16="http://schemas.microsoft.com/office/drawing/2014/main" id="{AA57BD77-E084-4B24-9D5A-CFDEB4A067C7}"/>
            </a:ext>
          </a:extLst>
        </xdr:cNvPr>
        <xdr:cNvSpPr/>
      </xdr:nvSpPr>
      <xdr:spPr>
        <a:xfrm>
          <a:off x="4853939" y="10988602"/>
          <a:ext cx="9595485" cy="16605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twoCellAnchor>
    <xdr:from>
      <xdr:col>1</xdr:col>
      <xdr:colOff>0</xdr:colOff>
      <xdr:row>59</xdr:row>
      <xdr:rowOff>57150</xdr:rowOff>
    </xdr:from>
    <xdr:to>
      <xdr:col>4</xdr:col>
      <xdr:colOff>933450</xdr:colOff>
      <xdr:row>67</xdr:row>
      <xdr:rowOff>352425</xdr:rowOff>
    </xdr:to>
    <xdr:grpSp>
      <xdr:nvGrpSpPr>
        <xdr:cNvPr id="88" name="Grupo 87">
          <a:hlinkClick xmlns:r="http://schemas.openxmlformats.org/officeDocument/2006/relationships" r:id="rId9"/>
          <a:extLst>
            <a:ext uri="{FF2B5EF4-FFF2-40B4-BE49-F238E27FC236}">
              <a16:creationId xmlns="" xmlns:a16="http://schemas.microsoft.com/office/drawing/2014/main" id="{5D3B74BC-D321-44F9-A9D2-5B785DFA9EB8}"/>
            </a:ext>
          </a:extLst>
        </xdr:cNvPr>
        <xdr:cNvGrpSpPr/>
      </xdr:nvGrpSpPr>
      <xdr:grpSpPr>
        <a:xfrm>
          <a:off x="539750" y="11534775"/>
          <a:ext cx="5584825" cy="1819275"/>
          <a:chOff x="0" y="11677650"/>
          <a:chExt cx="4895850" cy="1381125"/>
        </a:xfrm>
      </xdr:grpSpPr>
      <xdr:sp macro="" textlink="">
        <xdr:nvSpPr>
          <xdr:cNvPr id="85" name="Rectangle 16" descr="Background">
            <a:extLst>
              <a:ext uri="{FF2B5EF4-FFF2-40B4-BE49-F238E27FC236}">
                <a16:creationId xmlns="" xmlns:a16="http://schemas.microsoft.com/office/drawing/2014/main" id="{BE2EAC44-1EE9-4414-BE70-5C067FA83236}"/>
              </a:ext>
            </a:extLst>
          </xdr:cNvPr>
          <xdr:cNvSpPr/>
        </xdr:nvSpPr>
        <xdr:spPr>
          <a:xfrm>
            <a:off x="0" y="116776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6" name="Step" descr="Click the cell with the number 100">
            <a:hlinkClick xmlns:r="http://schemas.openxmlformats.org/officeDocument/2006/relationships" r:id="rId10"/>
            <a:extLst>
              <a:ext uri="{FF2B5EF4-FFF2-40B4-BE49-F238E27FC236}">
                <a16:creationId xmlns="" xmlns:a16="http://schemas.microsoft.com/office/drawing/2014/main" id="{C4D76154-E8A6-45C2-B202-9EF82859E571}"/>
              </a:ext>
            </a:extLst>
          </xdr:cNvPr>
          <xdr:cNvSpPr txBox="1"/>
        </xdr:nvSpPr>
        <xdr:spPr>
          <a:xfrm>
            <a:off x="543611" y="12211050"/>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Intervenciones UDT Alto Mayo. </a:t>
            </a:r>
          </a:p>
        </xdr:txBody>
      </xdr:sp>
      <xdr:sp macro="" textlink="">
        <xdr:nvSpPr>
          <xdr:cNvPr id="57" name="Oval 24" descr="1">
            <a:hlinkClick xmlns:r="http://schemas.openxmlformats.org/officeDocument/2006/relationships" r:id="rId10"/>
            <a:extLst>
              <a:ext uri="{FF2B5EF4-FFF2-40B4-BE49-F238E27FC236}">
                <a16:creationId xmlns="" xmlns:a16="http://schemas.microsoft.com/office/drawing/2014/main" id="{424910AD-DB9E-4D2B-AEBF-49C2A200D008}"/>
              </a:ext>
            </a:extLst>
          </xdr:cNvPr>
          <xdr:cNvSpPr/>
        </xdr:nvSpPr>
        <xdr:spPr>
          <a:xfrm>
            <a:off x="133350" y="12218809"/>
            <a:ext cx="374532" cy="37077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5</a:t>
            </a:r>
          </a:p>
        </xdr:txBody>
      </xdr:sp>
    </xdr:grpSp>
    <xdr:clientData/>
  </xdr:twoCellAnchor>
  <xdr:twoCellAnchor>
    <xdr:from>
      <xdr:col>4</xdr:col>
      <xdr:colOff>967739</xdr:colOff>
      <xdr:row>68</xdr:row>
      <xdr:rowOff>15801</xdr:rowOff>
    </xdr:from>
    <xdr:to>
      <xdr:col>14</xdr:col>
      <xdr:colOff>657224</xdr:colOff>
      <xdr:row>76</xdr:row>
      <xdr:rowOff>219075</xdr:rowOff>
    </xdr:to>
    <xdr:sp macro="" textlink="">
      <xdr:nvSpPr>
        <xdr:cNvPr id="89" name="Rectangle 16" descr="Background">
          <a:extLst>
            <a:ext uri="{FF2B5EF4-FFF2-40B4-BE49-F238E27FC236}">
              <a16:creationId xmlns="" xmlns:a16="http://schemas.microsoft.com/office/drawing/2014/main" id="{F782D693-2E88-421C-8D04-53FFF8129AC0}"/>
            </a:ext>
          </a:extLst>
        </xdr:cNvPr>
        <xdr:cNvSpPr/>
      </xdr:nvSpPr>
      <xdr:spPr>
        <a:xfrm>
          <a:off x="4853939" y="12788826"/>
          <a:ext cx="9595485" cy="1651074"/>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twoCellAnchor>
    <xdr:from>
      <xdr:col>1</xdr:col>
      <xdr:colOff>0</xdr:colOff>
      <xdr:row>68</xdr:row>
      <xdr:rowOff>9525</xdr:rowOff>
    </xdr:from>
    <xdr:to>
      <xdr:col>4</xdr:col>
      <xdr:colOff>933450</xdr:colOff>
      <xdr:row>76</xdr:row>
      <xdr:rowOff>200025</xdr:rowOff>
    </xdr:to>
    <xdr:grpSp>
      <xdr:nvGrpSpPr>
        <xdr:cNvPr id="95" name="Grupo 94">
          <a:hlinkClick xmlns:r="http://schemas.openxmlformats.org/officeDocument/2006/relationships" r:id="rId11"/>
          <a:extLst>
            <a:ext uri="{FF2B5EF4-FFF2-40B4-BE49-F238E27FC236}">
              <a16:creationId xmlns="" xmlns:a16="http://schemas.microsoft.com/office/drawing/2014/main" id="{79729953-BE62-4705-9EEE-C78EEB7412B1}"/>
            </a:ext>
          </a:extLst>
        </xdr:cNvPr>
        <xdr:cNvGrpSpPr/>
      </xdr:nvGrpSpPr>
      <xdr:grpSpPr>
        <a:xfrm>
          <a:off x="539750" y="13408025"/>
          <a:ext cx="5584825" cy="1714500"/>
          <a:chOff x="0" y="13344525"/>
          <a:chExt cx="4895850" cy="1381125"/>
        </a:xfrm>
      </xdr:grpSpPr>
      <xdr:sp macro="" textlink="">
        <xdr:nvSpPr>
          <xdr:cNvPr id="92" name="Rectangle 16" descr="Background">
            <a:extLst>
              <a:ext uri="{FF2B5EF4-FFF2-40B4-BE49-F238E27FC236}">
                <a16:creationId xmlns="" xmlns:a16="http://schemas.microsoft.com/office/drawing/2014/main" id="{AFE8AE98-BD67-4534-A5CD-0D9EF32ECE90}"/>
              </a:ext>
            </a:extLst>
          </xdr:cNvPr>
          <xdr:cNvSpPr/>
        </xdr:nvSpPr>
        <xdr:spPr>
          <a:xfrm>
            <a:off x="0" y="13344525"/>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58" name="Step" descr="Click the cell with the number 100">
            <a:hlinkClick xmlns:r="http://schemas.openxmlformats.org/officeDocument/2006/relationships" r:id="rId12"/>
            <a:extLst>
              <a:ext uri="{FF2B5EF4-FFF2-40B4-BE49-F238E27FC236}">
                <a16:creationId xmlns="" xmlns:a16="http://schemas.microsoft.com/office/drawing/2014/main" id="{2448DEBB-8D52-4B2A-819A-E29822530E56}"/>
              </a:ext>
            </a:extLst>
          </xdr:cNvPr>
          <xdr:cNvSpPr txBox="1"/>
        </xdr:nvSpPr>
        <xdr:spPr>
          <a:xfrm>
            <a:off x="553136" y="13811250"/>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Intervenciones UDT Alto Huallaga. </a:t>
            </a:r>
          </a:p>
        </xdr:txBody>
      </xdr:sp>
      <xdr:sp macro="" textlink="">
        <xdr:nvSpPr>
          <xdr:cNvPr id="59" name="Oval 24" descr="1">
            <a:hlinkClick xmlns:r="http://schemas.openxmlformats.org/officeDocument/2006/relationships" r:id="rId12"/>
            <a:extLst>
              <a:ext uri="{FF2B5EF4-FFF2-40B4-BE49-F238E27FC236}">
                <a16:creationId xmlns="" xmlns:a16="http://schemas.microsoft.com/office/drawing/2014/main" id="{8E061B4D-98B9-4AFC-984B-C61E9A11319F}"/>
              </a:ext>
            </a:extLst>
          </xdr:cNvPr>
          <xdr:cNvSpPr/>
        </xdr:nvSpPr>
        <xdr:spPr>
          <a:xfrm>
            <a:off x="142875" y="13809484"/>
            <a:ext cx="374532" cy="37077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6</a:t>
            </a:r>
          </a:p>
        </xdr:txBody>
      </xdr:sp>
    </xdr:grpSp>
    <xdr:clientData/>
  </xdr:twoCellAnchor>
  <xdr:twoCellAnchor>
    <xdr:from>
      <xdr:col>4</xdr:col>
      <xdr:colOff>967739</xdr:colOff>
      <xdr:row>77</xdr:row>
      <xdr:rowOff>25326</xdr:rowOff>
    </xdr:from>
    <xdr:to>
      <xdr:col>14</xdr:col>
      <xdr:colOff>657224</xdr:colOff>
      <xdr:row>85</xdr:row>
      <xdr:rowOff>285750</xdr:rowOff>
    </xdr:to>
    <xdr:sp macro="" textlink="">
      <xdr:nvSpPr>
        <xdr:cNvPr id="96" name="Rectangle 16" descr="Background">
          <a:extLst>
            <a:ext uri="{FF2B5EF4-FFF2-40B4-BE49-F238E27FC236}">
              <a16:creationId xmlns="" xmlns:a16="http://schemas.microsoft.com/office/drawing/2014/main" id="{BC9FC88F-1920-4297-ABCA-2D52828B67B6}"/>
            </a:ext>
          </a:extLst>
        </xdr:cNvPr>
        <xdr:cNvSpPr/>
      </xdr:nvSpPr>
      <xdr:spPr>
        <a:xfrm>
          <a:off x="4853939" y="14570001"/>
          <a:ext cx="9595485" cy="1708224"/>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twoCellAnchor>
    <xdr:from>
      <xdr:col>1</xdr:col>
      <xdr:colOff>0</xdr:colOff>
      <xdr:row>77</xdr:row>
      <xdr:rowOff>19049</xdr:rowOff>
    </xdr:from>
    <xdr:to>
      <xdr:col>4</xdr:col>
      <xdr:colOff>933450</xdr:colOff>
      <xdr:row>85</xdr:row>
      <xdr:rowOff>285750</xdr:rowOff>
    </xdr:to>
    <xdr:grpSp>
      <xdr:nvGrpSpPr>
        <xdr:cNvPr id="102" name="Grupo 101">
          <a:hlinkClick xmlns:r="http://schemas.openxmlformats.org/officeDocument/2006/relationships" r:id="rId13"/>
          <a:extLst>
            <a:ext uri="{FF2B5EF4-FFF2-40B4-BE49-F238E27FC236}">
              <a16:creationId xmlns="" xmlns:a16="http://schemas.microsoft.com/office/drawing/2014/main" id="{3D3E1C89-DF85-4058-A565-DCEBD1429CC2}"/>
            </a:ext>
          </a:extLst>
        </xdr:cNvPr>
        <xdr:cNvGrpSpPr/>
      </xdr:nvGrpSpPr>
      <xdr:grpSpPr>
        <a:xfrm>
          <a:off x="539750" y="15259049"/>
          <a:ext cx="5584825" cy="1790701"/>
          <a:chOff x="0" y="15068550"/>
          <a:chExt cx="4895850" cy="1381125"/>
        </a:xfrm>
      </xdr:grpSpPr>
      <xdr:sp macro="" textlink="">
        <xdr:nvSpPr>
          <xdr:cNvPr id="99" name="Rectangle 16" descr="Background">
            <a:extLst>
              <a:ext uri="{FF2B5EF4-FFF2-40B4-BE49-F238E27FC236}">
                <a16:creationId xmlns="" xmlns:a16="http://schemas.microsoft.com/office/drawing/2014/main" id="{DE853301-3A52-4B89-9260-ED93B47E0D15}"/>
              </a:ext>
            </a:extLst>
          </xdr:cNvPr>
          <xdr:cNvSpPr/>
        </xdr:nvSpPr>
        <xdr:spPr>
          <a:xfrm>
            <a:off x="0" y="150685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60" name="Step" descr="Click the cell with the number 100">
            <a:hlinkClick xmlns:r="http://schemas.openxmlformats.org/officeDocument/2006/relationships" r:id="rId14"/>
            <a:extLst>
              <a:ext uri="{FF2B5EF4-FFF2-40B4-BE49-F238E27FC236}">
                <a16:creationId xmlns="" xmlns:a16="http://schemas.microsoft.com/office/drawing/2014/main" id="{83BD1968-3979-479D-B686-06204D3AD760}"/>
              </a:ext>
            </a:extLst>
          </xdr:cNvPr>
          <xdr:cNvSpPr txBox="1"/>
        </xdr:nvSpPr>
        <xdr:spPr>
          <a:xfrm>
            <a:off x="534086" y="155352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Intervenciones UDT Bajo Huallaga. </a:t>
            </a:r>
          </a:p>
        </xdr:txBody>
      </xdr:sp>
      <xdr:sp macro="" textlink="">
        <xdr:nvSpPr>
          <xdr:cNvPr id="61" name="Oval 24" descr="1">
            <a:hlinkClick xmlns:r="http://schemas.openxmlformats.org/officeDocument/2006/relationships" r:id="rId14"/>
            <a:extLst>
              <a:ext uri="{FF2B5EF4-FFF2-40B4-BE49-F238E27FC236}">
                <a16:creationId xmlns="" xmlns:a16="http://schemas.microsoft.com/office/drawing/2014/main" id="{DCBDE45A-692A-473C-9D3E-DDB806ED7624}"/>
              </a:ext>
            </a:extLst>
          </xdr:cNvPr>
          <xdr:cNvSpPr/>
        </xdr:nvSpPr>
        <xdr:spPr>
          <a:xfrm>
            <a:off x="123825" y="15543034"/>
            <a:ext cx="374532" cy="37077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7</a:t>
            </a:r>
          </a:p>
        </xdr:txBody>
      </xdr:sp>
    </xdr:grpSp>
    <xdr:clientData/>
  </xdr:twoCellAnchor>
  <xdr:twoCellAnchor>
    <xdr:from>
      <xdr:col>4</xdr:col>
      <xdr:colOff>967739</xdr:colOff>
      <xdr:row>86</xdr:row>
      <xdr:rowOff>25326</xdr:rowOff>
    </xdr:from>
    <xdr:to>
      <xdr:col>14</xdr:col>
      <xdr:colOff>657224</xdr:colOff>
      <xdr:row>94</xdr:row>
      <xdr:rowOff>76199</xdr:rowOff>
    </xdr:to>
    <xdr:sp macro="" textlink="">
      <xdr:nvSpPr>
        <xdr:cNvPr id="103" name="Rectangle 16" descr="Background">
          <a:extLst>
            <a:ext uri="{FF2B5EF4-FFF2-40B4-BE49-F238E27FC236}">
              <a16:creationId xmlns="" xmlns:a16="http://schemas.microsoft.com/office/drawing/2014/main" id="{1F3AA2C7-B2DF-4B3A-8DCC-A9CF6746EA31}"/>
            </a:ext>
          </a:extLst>
        </xdr:cNvPr>
        <xdr:cNvSpPr/>
      </xdr:nvSpPr>
      <xdr:spPr>
        <a:xfrm>
          <a:off x="4853939" y="16313076"/>
          <a:ext cx="9595485" cy="149867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86</xdr:row>
      <xdr:rowOff>114302</xdr:rowOff>
    </xdr:from>
    <xdr:ext cx="9296400" cy="1314448"/>
    <xdr:sp macro="" textlink="">
      <xdr:nvSpPr>
        <xdr:cNvPr id="104" name="CuadroTexto 103">
          <a:extLst>
            <a:ext uri="{FF2B5EF4-FFF2-40B4-BE49-F238E27FC236}">
              <a16:creationId xmlns="" xmlns:a16="http://schemas.microsoft.com/office/drawing/2014/main" id="{A34BB3E0-A2EC-4FA5-98F5-6616A524BDBC}"/>
            </a:ext>
          </a:extLst>
        </xdr:cNvPr>
        <xdr:cNvSpPr txBox="1"/>
      </xdr:nvSpPr>
      <xdr:spPr>
        <a:xfrm>
          <a:off x="5038725" y="16402052"/>
          <a:ext cx="9296400" cy="1314448"/>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Matriz que consolida</a:t>
          </a:r>
          <a:r>
            <a:rPr lang="es-PE" sz="1500" baseline="0">
              <a:solidFill>
                <a:sysClr val="windowText" lastClr="000000"/>
              </a:solidFill>
              <a:effectLst/>
              <a:latin typeface="Segoe UI" panose="020B0502040204020203" pitchFamily="34" charset="0"/>
              <a:ea typeface="+mn-ea"/>
              <a:cs typeface="Segoe UI" panose="020B0502040204020203" pitchFamily="34" charset="0"/>
            </a:rPr>
            <a:t> todas las intervenciones propuestas (transversales regionales, por UDT y por USA), su descripción, metas e indicadores al 2025 y 2030, costo de cada entervencion y sus alineamientos a tipos de categoría, componentes y programas en la cual se presenta el Plan de Inversion. De esta base se deriva las pricipales tablas de análisis (tablas dinámicas).</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86</xdr:row>
      <xdr:rowOff>19050</xdr:rowOff>
    </xdr:from>
    <xdr:to>
      <xdr:col>4</xdr:col>
      <xdr:colOff>933450</xdr:colOff>
      <xdr:row>94</xdr:row>
      <xdr:rowOff>114300</xdr:rowOff>
    </xdr:to>
    <xdr:grpSp>
      <xdr:nvGrpSpPr>
        <xdr:cNvPr id="109" name="Grupo 108">
          <a:hlinkClick xmlns:r="http://schemas.openxmlformats.org/officeDocument/2006/relationships" r:id="rId15"/>
          <a:extLst>
            <a:ext uri="{FF2B5EF4-FFF2-40B4-BE49-F238E27FC236}">
              <a16:creationId xmlns="" xmlns:a16="http://schemas.microsoft.com/office/drawing/2014/main" id="{96712916-6F45-446C-A995-1A176F025A3B}"/>
            </a:ext>
          </a:extLst>
        </xdr:cNvPr>
        <xdr:cNvGrpSpPr/>
      </xdr:nvGrpSpPr>
      <xdr:grpSpPr>
        <a:xfrm>
          <a:off x="539750" y="17179925"/>
          <a:ext cx="5584825" cy="1619250"/>
          <a:chOff x="0" y="16783050"/>
          <a:chExt cx="4895850" cy="1381125"/>
        </a:xfrm>
      </xdr:grpSpPr>
      <xdr:sp macro="" textlink="">
        <xdr:nvSpPr>
          <xdr:cNvPr id="106" name="Rectangle 16" descr="Background">
            <a:extLst>
              <a:ext uri="{FF2B5EF4-FFF2-40B4-BE49-F238E27FC236}">
                <a16:creationId xmlns="" xmlns:a16="http://schemas.microsoft.com/office/drawing/2014/main" id="{CFCE6552-9CBE-456C-B597-EC87A72EAA78}"/>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62" name="Step" descr="Click the cell with the number 100">
            <a:hlinkClick xmlns:r="http://schemas.openxmlformats.org/officeDocument/2006/relationships" r:id="rId16"/>
            <a:extLst>
              <a:ext uri="{FF2B5EF4-FFF2-40B4-BE49-F238E27FC236}">
                <a16:creationId xmlns="" xmlns:a16="http://schemas.microsoft.com/office/drawing/2014/main" id="{8CEEAA99-149C-4058-BBD0-4B2462A2CD19}"/>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Base Consolidada. </a:t>
            </a:r>
          </a:p>
        </xdr:txBody>
      </xdr:sp>
      <xdr:sp macro="" textlink="">
        <xdr:nvSpPr>
          <xdr:cNvPr id="63" name="Oval 24" descr="1">
            <a:hlinkClick xmlns:r="http://schemas.openxmlformats.org/officeDocument/2006/relationships" r:id="rId16"/>
            <a:extLst>
              <a:ext uri="{FF2B5EF4-FFF2-40B4-BE49-F238E27FC236}">
                <a16:creationId xmlns="" xmlns:a16="http://schemas.microsoft.com/office/drawing/2014/main" id="{6E7F5F7F-F45A-47EC-AFB9-3C94F0270DA9}"/>
              </a:ext>
            </a:extLst>
          </xdr:cNvPr>
          <xdr:cNvSpPr/>
        </xdr:nvSpPr>
        <xdr:spPr>
          <a:xfrm>
            <a:off x="123825" y="17286109"/>
            <a:ext cx="374532" cy="37077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8</a:t>
            </a:r>
          </a:p>
        </xdr:txBody>
      </xdr:sp>
    </xdr:grpSp>
    <xdr:clientData/>
  </xdr:twoCellAnchor>
  <xdr:oneCellAnchor>
    <xdr:from>
      <xdr:col>5</xdr:col>
      <xdr:colOff>133350</xdr:colOff>
      <xdr:row>59</xdr:row>
      <xdr:rowOff>171449</xdr:rowOff>
    </xdr:from>
    <xdr:ext cx="9296400" cy="1562101"/>
    <xdr:sp macro="" textlink="">
      <xdr:nvSpPr>
        <xdr:cNvPr id="79" name="CuadroTexto 78">
          <a:extLst>
            <a:ext uri="{FF2B5EF4-FFF2-40B4-BE49-F238E27FC236}">
              <a16:creationId xmlns="" xmlns:a16="http://schemas.microsoft.com/office/drawing/2014/main" id="{AB93F70F-95C4-4291-8BB2-9402129E15A4}"/>
            </a:ext>
          </a:extLst>
        </xdr:cNvPr>
        <xdr:cNvSpPr txBox="1"/>
      </xdr:nvSpPr>
      <xdr:spPr>
        <a:xfrm>
          <a:off x="4991100" y="11096624"/>
          <a:ext cx="9296400" cy="1562101"/>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450">
              <a:solidFill>
                <a:sysClr val="windowText" lastClr="000000"/>
              </a:solidFill>
              <a:effectLst/>
              <a:latin typeface="Segoe UI" panose="020B0502040204020203" pitchFamily="34" charset="0"/>
              <a:ea typeface="+mn-ea"/>
              <a:cs typeface="Segoe UI" panose="020B0502040204020203" pitchFamily="34" charset="0"/>
            </a:rPr>
            <a:t>Contiene todas las intervenciones transversales para</a:t>
          </a:r>
          <a:r>
            <a:rPr lang="es-PE" sz="1450" baseline="0">
              <a:solidFill>
                <a:sysClr val="windowText" lastClr="000000"/>
              </a:solidFill>
              <a:effectLst/>
              <a:latin typeface="Segoe UI" panose="020B0502040204020203" pitchFamily="34" charset="0"/>
              <a:ea typeface="+mn-ea"/>
              <a:cs typeface="Segoe UI" panose="020B0502040204020203" pitchFamily="34" charset="0"/>
            </a:rPr>
            <a:t> la UDT Alto Mayo y las especificas a nivel de unidad socioambiental. </a:t>
          </a:r>
          <a:r>
            <a:rPr kumimoji="0" lang="es-PE" sz="145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En esta sección puede encontrarse descripciones detalladas de cada intervención, indicadores, metas, costos y presupuesto al 2025 y al 2030, con una propuesta de un crononagrama de los 5 primeros años. Estas intervenciones están empaquetadas de manera diferenciada por usos de la tierra y grupos de actores, de tal manera que cada actor logre el cambio deseado; también se le asigno una categoría con fines de agregación en programas y componentes.</a:t>
          </a:r>
          <a:endParaRPr lang="es-PE" sz="145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oneCellAnchor>
    <xdr:from>
      <xdr:col>5</xdr:col>
      <xdr:colOff>152400</xdr:colOff>
      <xdr:row>68</xdr:row>
      <xdr:rowOff>19049</xdr:rowOff>
    </xdr:from>
    <xdr:ext cx="9296400" cy="1590676"/>
    <xdr:sp macro="" textlink="">
      <xdr:nvSpPr>
        <xdr:cNvPr id="80" name="CuadroTexto 79">
          <a:extLst>
            <a:ext uri="{FF2B5EF4-FFF2-40B4-BE49-F238E27FC236}">
              <a16:creationId xmlns="" xmlns:a16="http://schemas.microsoft.com/office/drawing/2014/main" id="{22DB004A-2399-4553-B421-CFFD36D15E28}"/>
            </a:ext>
          </a:extLst>
        </xdr:cNvPr>
        <xdr:cNvSpPr txBox="1"/>
      </xdr:nvSpPr>
      <xdr:spPr>
        <a:xfrm>
          <a:off x="5010150" y="12792074"/>
          <a:ext cx="9296400" cy="1590676"/>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450">
              <a:solidFill>
                <a:sysClr val="windowText" lastClr="000000"/>
              </a:solidFill>
              <a:effectLst/>
              <a:latin typeface="Segoe UI" panose="020B0502040204020203" pitchFamily="34" charset="0"/>
              <a:ea typeface="+mn-ea"/>
              <a:cs typeface="Segoe UI" panose="020B0502040204020203" pitchFamily="34" charset="0"/>
            </a:rPr>
            <a:t>Contiene todas las intervenciones transversales para</a:t>
          </a:r>
          <a:r>
            <a:rPr lang="es-PE" sz="1450" baseline="0">
              <a:solidFill>
                <a:sysClr val="windowText" lastClr="000000"/>
              </a:solidFill>
              <a:effectLst/>
              <a:latin typeface="Segoe UI" panose="020B0502040204020203" pitchFamily="34" charset="0"/>
              <a:ea typeface="+mn-ea"/>
              <a:cs typeface="Segoe UI" panose="020B0502040204020203" pitchFamily="34" charset="0"/>
            </a:rPr>
            <a:t> la UDT Alto Huallaga y las especificas a nivel de unidad socioambiental. </a:t>
          </a:r>
          <a:r>
            <a:rPr kumimoji="0" lang="es-PE" sz="145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En esta sección puede encontrarse descripciones detalladas de cada intervención, indicadores, metas, costos y presupuesto al 2025 y al 2030, con una propuesta de un crononagrama de los 5 primeros años. Estas intervenciones están empaquetadas de manera diferenciada por usos de la tierra y grupos de actores, de tal manera que cada actor logre el cambio deseado; también se le asigno una categoría con fines de agregación en programas y componentes.</a:t>
          </a:r>
          <a:endParaRPr lang="es-PE" sz="145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oneCellAnchor>
    <xdr:from>
      <xdr:col>5</xdr:col>
      <xdr:colOff>161925</xdr:colOff>
      <xdr:row>77</xdr:row>
      <xdr:rowOff>9525</xdr:rowOff>
    </xdr:from>
    <xdr:ext cx="9296400" cy="1562100"/>
    <xdr:sp macro="" textlink="">
      <xdr:nvSpPr>
        <xdr:cNvPr id="84" name="CuadroTexto 83">
          <a:extLst>
            <a:ext uri="{FF2B5EF4-FFF2-40B4-BE49-F238E27FC236}">
              <a16:creationId xmlns="" xmlns:a16="http://schemas.microsoft.com/office/drawing/2014/main" id="{A59F3FE9-C8DF-4681-B65A-5E01B555B13B}"/>
            </a:ext>
          </a:extLst>
        </xdr:cNvPr>
        <xdr:cNvSpPr txBox="1"/>
      </xdr:nvSpPr>
      <xdr:spPr>
        <a:xfrm>
          <a:off x="5019675" y="14478000"/>
          <a:ext cx="9296400" cy="1562100"/>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450">
              <a:solidFill>
                <a:sysClr val="windowText" lastClr="000000"/>
              </a:solidFill>
              <a:effectLst/>
              <a:latin typeface="Segoe UI" panose="020B0502040204020203" pitchFamily="34" charset="0"/>
              <a:ea typeface="+mn-ea"/>
              <a:cs typeface="Segoe UI" panose="020B0502040204020203" pitchFamily="34" charset="0"/>
            </a:rPr>
            <a:t>Contiene todas las intervenciones transversales para</a:t>
          </a:r>
          <a:r>
            <a:rPr lang="es-PE" sz="1450" baseline="0">
              <a:solidFill>
                <a:sysClr val="windowText" lastClr="000000"/>
              </a:solidFill>
              <a:effectLst/>
              <a:latin typeface="Segoe UI" panose="020B0502040204020203" pitchFamily="34" charset="0"/>
              <a:ea typeface="+mn-ea"/>
              <a:cs typeface="Segoe UI" panose="020B0502040204020203" pitchFamily="34" charset="0"/>
            </a:rPr>
            <a:t> la UDT Bajo Huallaga y las especificas a nivel de unidad socioambiental. </a:t>
          </a:r>
          <a:r>
            <a:rPr kumimoji="0" lang="es-PE" sz="145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En esta sección puede encontrarse descripciones detalladas de cada intervención, indicadores, metas, costos y presupuesto al 2025 y al 2030, con una propuesta de un crononagrama de los 5 primeros años. Estas intervenciones están empaquetadas de manera diferenciada por usos de la tierra y grupos de actores, de tal manera que cada actor logre el cambio deseado; también se le asigno una categoría con fines de agregación en programas y componentes.</a:t>
          </a:r>
          <a:endParaRPr lang="es-PE" sz="145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4</xdr:col>
      <xdr:colOff>990599</xdr:colOff>
      <xdr:row>95</xdr:row>
      <xdr:rowOff>25327</xdr:rowOff>
    </xdr:from>
    <xdr:to>
      <xdr:col>14</xdr:col>
      <xdr:colOff>657224</xdr:colOff>
      <xdr:row>102</xdr:row>
      <xdr:rowOff>76200</xdr:rowOff>
    </xdr:to>
    <xdr:sp macro="" textlink="">
      <xdr:nvSpPr>
        <xdr:cNvPr id="77" name="Rectangle 16" descr="Background">
          <a:extLst>
            <a:ext uri="{FF2B5EF4-FFF2-40B4-BE49-F238E27FC236}">
              <a16:creationId xmlns="" xmlns:a16="http://schemas.microsoft.com/office/drawing/2014/main" id="{FF493C7E-E257-496F-938A-1B148551B7C4}"/>
            </a:ext>
          </a:extLst>
        </xdr:cNvPr>
        <xdr:cNvSpPr/>
      </xdr:nvSpPr>
      <xdr:spPr>
        <a:xfrm>
          <a:off x="4853939" y="16236877"/>
          <a:ext cx="9404985" cy="13176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95</xdr:row>
      <xdr:rowOff>114302</xdr:rowOff>
    </xdr:from>
    <xdr:ext cx="9296400" cy="1190624"/>
    <xdr:sp macro="" textlink="">
      <xdr:nvSpPr>
        <xdr:cNvPr id="83" name="CuadroTexto 82">
          <a:extLst>
            <a:ext uri="{FF2B5EF4-FFF2-40B4-BE49-F238E27FC236}">
              <a16:creationId xmlns="" xmlns:a16="http://schemas.microsoft.com/office/drawing/2014/main" id="{0C48EAB2-D3B6-4193-8CD6-ACE42C86194B}"/>
            </a:ext>
          </a:extLst>
        </xdr:cNvPr>
        <xdr:cNvSpPr txBox="1"/>
      </xdr:nvSpPr>
      <xdr:spPr>
        <a:xfrm>
          <a:off x="5038725" y="1632585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Cuadros</a:t>
          </a:r>
          <a:r>
            <a:rPr lang="es-PE" sz="1500" baseline="0">
              <a:solidFill>
                <a:sysClr val="windowText" lastClr="000000"/>
              </a:solidFill>
              <a:effectLst/>
              <a:latin typeface="Segoe UI" panose="020B0502040204020203" pitchFamily="34" charset="0"/>
              <a:ea typeface="+mn-ea"/>
              <a:cs typeface="Segoe UI" panose="020B0502040204020203" pitchFamily="34" charset="0"/>
            </a:rPr>
            <a:t> presentando el costo del equipo mínimo y su equipamiento básico que se estima necesario para iniciar el proceso de implmentación y monitoreo de las ERDRBE con una proyección de presupuesto a 5 años. Cada programa / proyecto a implementarse contará con sus costos operativos y monitoreo.</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95</xdr:row>
      <xdr:rowOff>19050</xdr:rowOff>
    </xdr:from>
    <xdr:to>
      <xdr:col>4</xdr:col>
      <xdr:colOff>933450</xdr:colOff>
      <xdr:row>102</xdr:row>
      <xdr:rowOff>66675</xdr:rowOff>
    </xdr:to>
    <xdr:grpSp>
      <xdr:nvGrpSpPr>
        <xdr:cNvPr id="86" name="Grupo 85">
          <a:hlinkClick xmlns:r="http://schemas.openxmlformats.org/officeDocument/2006/relationships" r:id="rId15"/>
          <a:extLst>
            <a:ext uri="{FF2B5EF4-FFF2-40B4-BE49-F238E27FC236}">
              <a16:creationId xmlns="" xmlns:a16="http://schemas.microsoft.com/office/drawing/2014/main" id="{C4C18B22-4EBF-4E76-B1AA-B98A97C0BDC9}"/>
            </a:ext>
          </a:extLst>
        </xdr:cNvPr>
        <xdr:cNvGrpSpPr/>
      </xdr:nvGrpSpPr>
      <xdr:grpSpPr>
        <a:xfrm>
          <a:off x="539750" y="18894425"/>
          <a:ext cx="5584825" cy="1381125"/>
          <a:chOff x="0" y="16783050"/>
          <a:chExt cx="4895850" cy="1381125"/>
        </a:xfrm>
      </xdr:grpSpPr>
      <xdr:sp macro="" textlink="">
        <xdr:nvSpPr>
          <xdr:cNvPr id="87" name="Rectangle 16" descr="Background">
            <a:extLst>
              <a:ext uri="{FF2B5EF4-FFF2-40B4-BE49-F238E27FC236}">
                <a16:creationId xmlns="" xmlns:a16="http://schemas.microsoft.com/office/drawing/2014/main" id="{1AA2C195-479C-4CBD-A9CC-9A5E9ED5AA77}"/>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90" name="Step" descr="Click the cell with the number 100">
            <a:hlinkClick xmlns:r="http://schemas.openxmlformats.org/officeDocument/2006/relationships" r:id="rId17"/>
            <a:extLst>
              <a:ext uri="{FF2B5EF4-FFF2-40B4-BE49-F238E27FC236}">
                <a16:creationId xmlns="" xmlns:a16="http://schemas.microsoft.com/office/drawing/2014/main" id="{6D6A17A8-9EC7-4292-8FD9-6B2B245771C2}"/>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Costos Centrales de Implementación y monitoreo de la ERDRBE.</a:t>
            </a:r>
          </a:p>
        </xdr:txBody>
      </xdr:sp>
      <xdr:sp macro="" textlink="">
        <xdr:nvSpPr>
          <xdr:cNvPr id="91" name="Oval 24" descr="1">
            <a:hlinkClick xmlns:r="http://schemas.openxmlformats.org/officeDocument/2006/relationships" r:id="rId17"/>
            <a:extLst>
              <a:ext uri="{FF2B5EF4-FFF2-40B4-BE49-F238E27FC236}">
                <a16:creationId xmlns="" xmlns:a16="http://schemas.microsoft.com/office/drawing/2014/main" id="{18ECA214-D371-4C67-BD45-9ABD8724EE4B}"/>
              </a:ext>
            </a:extLst>
          </xdr:cNvPr>
          <xdr:cNvSpPr/>
        </xdr:nvSpPr>
        <xdr:spPr>
          <a:xfrm>
            <a:off x="123825" y="17286109"/>
            <a:ext cx="374532" cy="37077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9</a:t>
            </a:r>
          </a:p>
        </xdr:txBody>
      </xdr:sp>
    </xdr:grpSp>
    <xdr:clientData/>
  </xdr:twoCellAnchor>
  <xdr:twoCellAnchor>
    <xdr:from>
      <xdr:col>4</xdr:col>
      <xdr:colOff>990599</xdr:colOff>
      <xdr:row>103</xdr:row>
      <xdr:rowOff>25327</xdr:rowOff>
    </xdr:from>
    <xdr:to>
      <xdr:col>14</xdr:col>
      <xdr:colOff>657224</xdr:colOff>
      <xdr:row>110</xdr:row>
      <xdr:rowOff>76200</xdr:rowOff>
    </xdr:to>
    <xdr:sp macro="" textlink="">
      <xdr:nvSpPr>
        <xdr:cNvPr id="93" name="Rectangle 16" descr="Background">
          <a:extLst>
            <a:ext uri="{FF2B5EF4-FFF2-40B4-BE49-F238E27FC236}">
              <a16:creationId xmlns="" xmlns:a16="http://schemas.microsoft.com/office/drawing/2014/main" id="{608077E2-3793-4E78-8823-17AB205BA5D8}"/>
            </a:ext>
          </a:extLst>
        </xdr:cNvPr>
        <xdr:cNvSpPr/>
      </xdr:nvSpPr>
      <xdr:spPr>
        <a:xfrm>
          <a:off x="4853939" y="16236877"/>
          <a:ext cx="9404985" cy="13176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103</xdr:row>
      <xdr:rowOff>114302</xdr:rowOff>
    </xdr:from>
    <xdr:ext cx="9296400" cy="1190624"/>
    <xdr:sp macro="" textlink="">
      <xdr:nvSpPr>
        <xdr:cNvPr id="94" name="CuadroTexto 93">
          <a:extLst>
            <a:ext uri="{FF2B5EF4-FFF2-40B4-BE49-F238E27FC236}">
              <a16:creationId xmlns="" xmlns:a16="http://schemas.microsoft.com/office/drawing/2014/main" id="{A637CAB8-1BC5-408B-A2B6-EE288014268D}"/>
            </a:ext>
          </a:extLst>
        </xdr:cNvPr>
        <xdr:cNvSpPr txBox="1"/>
      </xdr:nvSpPr>
      <xdr:spPr>
        <a:xfrm>
          <a:off x="5038725" y="1632585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Aquí se ha concentrado 5 tipos de ranking general</a:t>
          </a:r>
          <a:r>
            <a:rPr lang="es-PE" sz="1500" baseline="0">
              <a:solidFill>
                <a:sysClr val="windowText" lastClr="000000"/>
              </a:solidFill>
              <a:effectLst/>
              <a:latin typeface="Segoe UI" panose="020B0502040204020203" pitchFamily="34" charset="0"/>
              <a:ea typeface="+mn-ea"/>
              <a:cs typeface="Segoe UI" panose="020B0502040204020203" pitchFamily="34" charset="0"/>
            </a:rPr>
            <a:t> </a:t>
          </a:r>
          <a:r>
            <a:rPr lang="es-PE" sz="1500">
              <a:solidFill>
                <a:sysClr val="windowText" lastClr="000000"/>
              </a:solidFill>
              <a:effectLst/>
              <a:latin typeface="Segoe UI" panose="020B0502040204020203" pitchFamily="34" charset="0"/>
              <a:ea typeface="+mn-ea"/>
              <a:cs typeface="Segoe UI" panose="020B0502040204020203" pitchFamily="34" charset="0"/>
            </a:rPr>
            <a:t>prespuestal</a:t>
          </a:r>
          <a:r>
            <a:rPr lang="es-PE" sz="1500" baseline="0">
              <a:solidFill>
                <a:sysClr val="windowText" lastClr="000000"/>
              </a:solidFill>
              <a:effectLst/>
              <a:latin typeface="Segoe UI" panose="020B0502040204020203" pitchFamily="34" charset="0"/>
              <a:ea typeface="+mn-ea"/>
              <a:cs typeface="Segoe UI" panose="020B0502040204020203" pitchFamily="34" charset="0"/>
            </a:rPr>
            <a:t> a nivel de: </a:t>
          </a:r>
        </a:p>
        <a:p>
          <a:pPr marL="0" marR="0" lvl="0" indent="0" defTabSz="914400" eaLnBrk="1" fontAlgn="auto" latinLnBrk="0" hangingPunct="1">
            <a:lnSpc>
              <a:spcPct val="100000"/>
            </a:lnSpc>
            <a:spcBef>
              <a:spcPts val="0"/>
            </a:spcBef>
            <a:spcAft>
              <a:spcPts val="0"/>
            </a:spcAft>
            <a:buClrTx/>
            <a:buSzTx/>
            <a:buFontTx/>
            <a:buNone/>
            <a:tabLst/>
            <a:defRPr/>
          </a:pPr>
          <a:r>
            <a:rPr lang="es-PE" sz="1500" baseline="0">
              <a:solidFill>
                <a:sysClr val="windowText" lastClr="000000"/>
              </a:solidFill>
              <a:effectLst/>
              <a:latin typeface="Segoe UI" panose="020B0502040204020203" pitchFamily="34" charset="0"/>
              <a:ea typeface="+mn-ea"/>
              <a:cs typeface="Segoe UI" panose="020B0502040204020203" pitchFamily="34" charset="0"/>
            </a:rPr>
            <a:t>- UDT 			</a:t>
          </a:r>
          <a:r>
            <a:rPr kumimoji="0" lang="es-PE" sz="15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 USA			-  Categoría</a:t>
          </a:r>
        </a:p>
        <a:p>
          <a:pPr marL="0" marR="0" lvl="0" indent="0" defTabSz="914400" eaLnBrk="1" fontAlgn="auto" latinLnBrk="0" hangingPunct="1">
            <a:lnSpc>
              <a:spcPct val="100000"/>
            </a:lnSpc>
            <a:spcBef>
              <a:spcPts val="0"/>
            </a:spcBef>
            <a:spcAft>
              <a:spcPts val="0"/>
            </a:spcAft>
            <a:buClrTx/>
            <a:buSzTx/>
            <a:buFontTx/>
            <a:buNone/>
            <a:tabLst/>
            <a:defRPr/>
          </a:pPr>
          <a:r>
            <a:rPr kumimoji="0" lang="es-PE" sz="15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 Componentes 		- P</a:t>
          </a:r>
          <a:r>
            <a:rPr lang="es-PE" sz="1500" baseline="0">
              <a:solidFill>
                <a:sysClr val="windowText" lastClr="000000"/>
              </a:solidFill>
              <a:effectLst/>
              <a:latin typeface="Segoe UI" panose="020B0502040204020203" pitchFamily="34" charset="0"/>
              <a:ea typeface="+mn-ea"/>
              <a:cs typeface="Segoe UI" panose="020B0502040204020203" pitchFamily="34" charset="0"/>
            </a:rPr>
            <a:t>rogramas		-  Intervenciones</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103</xdr:row>
      <xdr:rowOff>19050</xdr:rowOff>
    </xdr:from>
    <xdr:to>
      <xdr:col>4</xdr:col>
      <xdr:colOff>933450</xdr:colOff>
      <xdr:row>110</xdr:row>
      <xdr:rowOff>66675</xdr:rowOff>
    </xdr:to>
    <xdr:grpSp>
      <xdr:nvGrpSpPr>
        <xdr:cNvPr id="97" name="Grupo 96">
          <a:hlinkClick xmlns:r="http://schemas.openxmlformats.org/officeDocument/2006/relationships" r:id="rId15"/>
          <a:extLst>
            <a:ext uri="{FF2B5EF4-FFF2-40B4-BE49-F238E27FC236}">
              <a16:creationId xmlns="" xmlns:a16="http://schemas.microsoft.com/office/drawing/2014/main" id="{53DC8070-C067-4A97-97F2-DC6E679F4938}"/>
            </a:ext>
          </a:extLst>
        </xdr:cNvPr>
        <xdr:cNvGrpSpPr/>
      </xdr:nvGrpSpPr>
      <xdr:grpSpPr>
        <a:xfrm>
          <a:off x="539750" y="20418425"/>
          <a:ext cx="5584825" cy="1381125"/>
          <a:chOff x="0" y="16783050"/>
          <a:chExt cx="4895850" cy="1381125"/>
        </a:xfrm>
      </xdr:grpSpPr>
      <xdr:sp macro="" textlink="">
        <xdr:nvSpPr>
          <xdr:cNvPr id="98" name="Rectangle 16" descr="Background">
            <a:extLst>
              <a:ext uri="{FF2B5EF4-FFF2-40B4-BE49-F238E27FC236}">
                <a16:creationId xmlns="" xmlns:a16="http://schemas.microsoft.com/office/drawing/2014/main" id="{66F202EF-A8FE-49F1-90DD-0A8665CDCD06}"/>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00" name="Step" descr="Click the cell with the number 100">
            <a:hlinkClick xmlns:r="http://schemas.openxmlformats.org/officeDocument/2006/relationships" r:id="rId18"/>
            <a:extLst>
              <a:ext uri="{FF2B5EF4-FFF2-40B4-BE49-F238E27FC236}">
                <a16:creationId xmlns="" xmlns:a16="http://schemas.microsoft.com/office/drawing/2014/main" id="{D8CC2A5E-EDCA-4DE9-A0B7-50CE8207F6DD}"/>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Ranking Presupuestal - varios</a:t>
            </a:r>
          </a:p>
        </xdr:txBody>
      </xdr:sp>
      <xdr:sp macro="" textlink="">
        <xdr:nvSpPr>
          <xdr:cNvPr id="101" name="Oval 24" descr="1">
            <a:hlinkClick xmlns:r="http://schemas.openxmlformats.org/officeDocument/2006/relationships" r:id="rId18"/>
            <a:extLst>
              <a:ext uri="{FF2B5EF4-FFF2-40B4-BE49-F238E27FC236}">
                <a16:creationId xmlns="" xmlns:a16="http://schemas.microsoft.com/office/drawing/2014/main" id="{AC57CD99-7B8A-441B-82FB-8A877BB3AA99}"/>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10</a:t>
            </a:r>
          </a:p>
        </xdr:txBody>
      </xdr:sp>
    </xdr:grpSp>
    <xdr:clientData/>
  </xdr:twoCellAnchor>
  <xdr:twoCellAnchor>
    <xdr:from>
      <xdr:col>4</xdr:col>
      <xdr:colOff>990599</xdr:colOff>
      <xdr:row>111</xdr:row>
      <xdr:rowOff>25327</xdr:rowOff>
    </xdr:from>
    <xdr:to>
      <xdr:col>14</xdr:col>
      <xdr:colOff>657224</xdr:colOff>
      <xdr:row>118</xdr:row>
      <xdr:rowOff>76200</xdr:rowOff>
    </xdr:to>
    <xdr:sp macro="" textlink="">
      <xdr:nvSpPr>
        <xdr:cNvPr id="125" name="Rectangle 16" descr="Background">
          <a:extLst>
            <a:ext uri="{FF2B5EF4-FFF2-40B4-BE49-F238E27FC236}">
              <a16:creationId xmlns="" xmlns:a16="http://schemas.microsoft.com/office/drawing/2014/main" id="{32067247-AF72-4471-A017-0A6ECA7FE01E}"/>
            </a:ext>
          </a:extLst>
        </xdr:cNvPr>
        <xdr:cNvSpPr/>
      </xdr:nvSpPr>
      <xdr:spPr>
        <a:xfrm>
          <a:off x="4853939" y="19856377"/>
          <a:ext cx="9595485" cy="13176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111</xdr:row>
      <xdr:rowOff>114302</xdr:rowOff>
    </xdr:from>
    <xdr:ext cx="9296400" cy="1190624"/>
    <xdr:sp macro="" textlink="">
      <xdr:nvSpPr>
        <xdr:cNvPr id="126" name="CuadroTexto 125">
          <a:extLst>
            <a:ext uri="{FF2B5EF4-FFF2-40B4-BE49-F238E27FC236}">
              <a16:creationId xmlns="" xmlns:a16="http://schemas.microsoft.com/office/drawing/2014/main" id="{F8451CCD-565F-406D-A16F-B0E0D7EB113B}"/>
            </a:ext>
          </a:extLst>
        </xdr:cNvPr>
        <xdr:cNvSpPr txBox="1"/>
      </xdr:nvSpPr>
      <xdr:spPr>
        <a:xfrm>
          <a:off x="5038725" y="1994535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Se cuenta son dos tablas</a:t>
          </a:r>
          <a:r>
            <a:rPr lang="es-PE" sz="1500" baseline="0">
              <a:solidFill>
                <a:sysClr val="windowText" lastClr="000000"/>
              </a:solidFill>
              <a:effectLst/>
              <a:latin typeface="Segoe UI" panose="020B0502040204020203" pitchFamily="34" charset="0"/>
              <a:ea typeface="+mn-ea"/>
              <a:cs typeface="Segoe UI" panose="020B0502040204020203" pitchFamily="34" charset="0"/>
            </a:rPr>
            <a:t> dinámicas que puestra el presupuesto organizado por los Programas que responden a los objetivos de la estrategia y sus compomentes, la primera tabla nos permite visualizar los presuentos a nivel decada UDT; y la segunda tabla la misma estructura de presupuesto pero según proyección de inversión por años, con la opción de ver que intrevneciones agrupa cada compoente.</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111</xdr:row>
      <xdr:rowOff>19050</xdr:rowOff>
    </xdr:from>
    <xdr:to>
      <xdr:col>4</xdr:col>
      <xdr:colOff>933450</xdr:colOff>
      <xdr:row>118</xdr:row>
      <xdr:rowOff>66675</xdr:rowOff>
    </xdr:to>
    <xdr:grpSp>
      <xdr:nvGrpSpPr>
        <xdr:cNvPr id="127" name="Grupo 126">
          <a:hlinkClick xmlns:r="http://schemas.openxmlformats.org/officeDocument/2006/relationships" r:id="rId15"/>
          <a:extLst>
            <a:ext uri="{FF2B5EF4-FFF2-40B4-BE49-F238E27FC236}">
              <a16:creationId xmlns="" xmlns:a16="http://schemas.microsoft.com/office/drawing/2014/main" id="{5BA20F52-D9EC-470A-8B07-55B627B0C427}"/>
            </a:ext>
          </a:extLst>
        </xdr:cNvPr>
        <xdr:cNvGrpSpPr/>
      </xdr:nvGrpSpPr>
      <xdr:grpSpPr>
        <a:xfrm>
          <a:off x="539750" y="21942425"/>
          <a:ext cx="5584825" cy="1381125"/>
          <a:chOff x="0" y="16783050"/>
          <a:chExt cx="4895850" cy="1381125"/>
        </a:xfrm>
      </xdr:grpSpPr>
      <xdr:sp macro="" textlink="">
        <xdr:nvSpPr>
          <xdr:cNvPr id="128" name="Rectangle 16" descr="Background">
            <a:extLst>
              <a:ext uri="{FF2B5EF4-FFF2-40B4-BE49-F238E27FC236}">
                <a16:creationId xmlns="" xmlns:a16="http://schemas.microsoft.com/office/drawing/2014/main" id="{65A130B5-3713-4F91-ADEF-54CFA1991892}"/>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29" name="Step" descr="Click the cell with the number 100">
            <a:hlinkClick xmlns:r="http://schemas.openxmlformats.org/officeDocument/2006/relationships" r:id="rId19"/>
            <a:extLst>
              <a:ext uri="{FF2B5EF4-FFF2-40B4-BE49-F238E27FC236}">
                <a16:creationId xmlns="" xmlns:a16="http://schemas.microsoft.com/office/drawing/2014/main" id="{ECE7DED1-840B-4EC3-8E10-CFFCF3D787CD}"/>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Prespuesto según Programas y sus componentes</a:t>
            </a:r>
          </a:p>
        </xdr:txBody>
      </xdr:sp>
      <xdr:sp macro="" textlink="">
        <xdr:nvSpPr>
          <xdr:cNvPr id="130" name="Oval 24" descr="1">
            <a:hlinkClick xmlns:r="http://schemas.openxmlformats.org/officeDocument/2006/relationships" r:id="rId20"/>
            <a:extLst>
              <a:ext uri="{FF2B5EF4-FFF2-40B4-BE49-F238E27FC236}">
                <a16:creationId xmlns="" xmlns:a16="http://schemas.microsoft.com/office/drawing/2014/main" id="{1E87C4A8-23EB-4EDD-B8AC-48D4BD8FE764}"/>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11</a:t>
            </a:r>
          </a:p>
        </xdr:txBody>
      </xdr:sp>
    </xdr:grpSp>
    <xdr:clientData/>
  </xdr:twoCellAnchor>
  <xdr:twoCellAnchor>
    <xdr:from>
      <xdr:col>4</xdr:col>
      <xdr:colOff>990599</xdr:colOff>
      <xdr:row>119</xdr:row>
      <xdr:rowOff>25327</xdr:rowOff>
    </xdr:from>
    <xdr:to>
      <xdr:col>14</xdr:col>
      <xdr:colOff>657224</xdr:colOff>
      <xdr:row>126</xdr:row>
      <xdr:rowOff>76200</xdr:rowOff>
    </xdr:to>
    <xdr:sp macro="" textlink="">
      <xdr:nvSpPr>
        <xdr:cNvPr id="131" name="Rectangle 16" descr="Background">
          <a:extLst>
            <a:ext uri="{FF2B5EF4-FFF2-40B4-BE49-F238E27FC236}">
              <a16:creationId xmlns="" xmlns:a16="http://schemas.microsoft.com/office/drawing/2014/main" id="{DB8C28B0-6F60-4FCF-8867-5328C8110172}"/>
            </a:ext>
          </a:extLst>
        </xdr:cNvPr>
        <xdr:cNvSpPr/>
      </xdr:nvSpPr>
      <xdr:spPr>
        <a:xfrm>
          <a:off x="4853939" y="19856377"/>
          <a:ext cx="9595485" cy="13176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119</xdr:row>
      <xdr:rowOff>114302</xdr:rowOff>
    </xdr:from>
    <xdr:ext cx="9296400" cy="1190624"/>
    <xdr:sp macro="" textlink="">
      <xdr:nvSpPr>
        <xdr:cNvPr id="132" name="CuadroTexto 131">
          <a:extLst>
            <a:ext uri="{FF2B5EF4-FFF2-40B4-BE49-F238E27FC236}">
              <a16:creationId xmlns="" xmlns:a16="http://schemas.microsoft.com/office/drawing/2014/main" id="{95AFF84E-10BE-4C4D-98A4-6506C3CF6917}"/>
            </a:ext>
          </a:extLst>
        </xdr:cNvPr>
        <xdr:cNvSpPr txBox="1"/>
      </xdr:nvSpPr>
      <xdr:spPr>
        <a:xfrm>
          <a:off x="5038725" y="1994535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Se tiene una tabla dinámina que</a:t>
          </a:r>
          <a:r>
            <a:rPr lang="es-PE" sz="1500" baseline="0">
              <a:solidFill>
                <a:sysClr val="windowText" lastClr="000000"/>
              </a:solidFill>
              <a:effectLst/>
              <a:latin typeface="Segoe UI" panose="020B0502040204020203" pitchFamily="34" charset="0"/>
              <a:ea typeface="+mn-ea"/>
              <a:cs typeface="Segoe UI" panose="020B0502040204020203" pitchFamily="34" charset="0"/>
            </a:rPr>
            <a:t> nos permite seleccionar una UDT y ver para cada USA sus componentes y para cada de ellos que proyectos ideas se puden proponer en relación a las intervenciones propuestas</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119</xdr:row>
      <xdr:rowOff>19050</xdr:rowOff>
    </xdr:from>
    <xdr:to>
      <xdr:col>4</xdr:col>
      <xdr:colOff>933450</xdr:colOff>
      <xdr:row>126</xdr:row>
      <xdr:rowOff>66675</xdr:rowOff>
    </xdr:to>
    <xdr:grpSp>
      <xdr:nvGrpSpPr>
        <xdr:cNvPr id="133" name="Grupo 132">
          <a:hlinkClick xmlns:r="http://schemas.openxmlformats.org/officeDocument/2006/relationships" r:id="rId15"/>
          <a:extLst>
            <a:ext uri="{FF2B5EF4-FFF2-40B4-BE49-F238E27FC236}">
              <a16:creationId xmlns="" xmlns:a16="http://schemas.microsoft.com/office/drawing/2014/main" id="{52634DF9-43A4-46B6-B325-546ECFCC522F}"/>
            </a:ext>
          </a:extLst>
        </xdr:cNvPr>
        <xdr:cNvGrpSpPr/>
      </xdr:nvGrpSpPr>
      <xdr:grpSpPr>
        <a:xfrm>
          <a:off x="539750" y="23466425"/>
          <a:ext cx="5584825" cy="1381125"/>
          <a:chOff x="0" y="16783050"/>
          <a:chExt cx="4895850" cy="1381125"/>
        </a:xfrm>
      </xdr:grpSpPr>
      <xdr:sp macro="" textlink="">
        <xdr:nvSpPr>
          <xdr:cNvPr id="134" name="Rectangle 16" descr="Background">
            <a:extLst>
              <a:ext uri="{FF2B5EF4-FFF2-40B4-BE49-F238E27FC236}">
                <a16:creationId xmlns="" xmlns:a16="http://schemas.microsoft.com/office/drawing/2014/main" id="{C888849F-4179-4481-949A-BEF7B11A035B}"/>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35" name="Step" descr="Click the cell with the number 100">
            <a:hlinkClick xmlns:r="http://schemas.openxmlformats.org/officeDocument/2006/relationships" r:id="rId21"/>
            <a:extLst>
              <a:ext uri="{FF2B5EF4-FFF2-40B4-BE49-F238E27FC236}">
                <a16:creationId xmlns="" xmlns:a16="http://schemas.microsoft.com/office/drawing/2014/main" id="{EEE66875-34E9-45C7-91E6-FC4B5B875549}"/>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Presupuesto según Unidad socio ambiantal - componentes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36" name="Oval 24" descr="1">
            <a:hlinkClick xmlns:r="http://schemas.openxmlformats.org/officeDocument/2006/relationships" r:id="rId21"/>
            <a:extLst>
              <a:ext uri="{FF2B5EF4-FFF2-40B4-BE49-F238E27FC236}">
                <a16:creationId xmlns="" xmlns:a16="http://schemas.microsoft.com/office/drawing/2014/main" id="{070707AD-C854-466C-AE63-09F67359CD7C}"/>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12</a:t>
            </a:r>
          </a:p>
        </xdr:txBody>
      </xdr:sp>
    </xdr:grpSp>
    <xdr:clientData/>
  </xdr:twoCellAnchor>
  <xdr:twoCellAnchor>
    <xdr:from>
      <xdr:col>4</xdr:col>
      <xdr:colOff>990599</xdr:colOff>
      <xdr:row>127</xdr:row>
      <xdr:rowOff>25327</xdr:rowOff>
    </xdr:from>
    <xdr:to>
      <xdr:col>14</xdr:col>
      <xdr:colOff>657224</xdr:colOff>
      <xdr:row>134</xdr:row>
      <xdr:rowOff>76200</xdr:rowOff>
    </xdr:to>
    <xdr:sp macro="" textlink="">
      <xdr:nvSpPr>
        <xdr:cNvPr id="137" name="Rectangle 16" descr="Background">
          <a:extLst>
            <a:ext uri="{FF2B5EF4-FFF2-40B4-BE49-F238E27FC236}">
              <a16:creationId xmlns="" xmlns:a16="http://schemas.microsoft.com/office/drawing/2014/main" id="{78834E78-6EF7-4268-AE26-ACE534F8282A}"/>
            </a:ext>
          </a:extLst>
        </xdr:cNvPr>
        <xdr:cNvSpPr/>
      </xdr:nvSpPr>
      <xdr:spPr>
        <a:xfrm>
          <a:off x="4853939" y="19856377"/>
          <a:ext cx="9595485" cy="13176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127</xdr:row>
      <xdr:rowOff>114302</xdr:rowOff>
    </xdr:from>
    <xdr:ext cx="9296400" cy="1190624"/>
    <xdr:sp macro="" textlink="">
      <xdr:nvSpPr>
        <xdr:cNvPr id="138" name="CuadroTexto 137">
          <a:extLst>
            <a:ext uri="{FF2B5EF4-FFF2-40B4-BE49-F238E27FC236}">
              <a16:creationId xmlns="" xmlns:a16="http://schemas.microsoft.com/office/drawing/2014/main" id="{A15BCEE2-BF83-44CB-AB2E-299CA11390B9}"/>
            </a:ext>
          </a:extLst>
        </xdr:cNvPr>
        <xdr:cNvSpPr txBox="1"/>
      </xdr:nvSpPr>
      <xdr:spPr>
        <a:xfrm>
          <a:off x="5038725" y="1994535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Se</a:t>
          </a:r>
          <a:r>
            <a:rPr lang="es-PE" sz="1500" baseline="0">
              <a:solidFill>
                <a:sysClr val="windowText" lastClr="000000"/>
              </a:solidFill>
              <a:effectLst/>
              <a:latin typeface="Segoe UI" panose="020B0502040204020203" pitchFamily="34" charset="0"/>
              <a:ea typeface="+mn-ea"/>
              <a:cs typeface="Segoe UI" panose="020B0502040204020203" pitchFamily="34" charset="0"/>
            </a:rPr>
            <a:t> presenta un cuadro con la estadística del número de intervenciones para cada unidad de desarollo territorial (UDT), el número de provicias y distritos que conforman la UDT, mla extensión territorial y el presupuesto directo acumulado al 2025</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127</xdr:row>
      <xdr:rowOff>19050</xdr:rowOff>
    </xdr:from>
    <xdr:to>
      <xdr:col>4</xdr:col>
      <xdr:colOff>933450</xdr:colOff>
      <xdr:row>134</xdr:row>
      <xdr:rowOff>66675</xdr:rowOff>
    </xdr:to>
    <xdr:grpSp>
      <xdr:nvGrpSpPr>
        <xdr:cNvPr id="139" name="Grupo 138">
          <a:hlinkClick xmlns:r="http://schemas.openxmlformats.org/officeDocument/2006/relationships" r:id="rId15"/>
          <a:extLst>
            <a:ext uri="{FF2B5EF4-FFF2-40B4-BE49-F238E27FC236}">
              <a16:creationId xmlns="" xmlns:a16="http://schemas.microsoft.com/office/drawing/2014/main" id="{CA7BE9A8-B51C-4D69-9EEF-65DA230ECA6A}"/>
            </a:ext>
          </a:extLst>
        </xdr:cNvPr>
        <xdr:cNvGrpSpPr/>
      </xdr:nvGrpSpPr>
      <xdr:grpSpPr>
        <a:xfrm>
          <a:off x="539750" y="24990425"/>
          <a:ext cx="5584825" cy="1381125"/>
          <a:chOff x="0" y="16783050"/>
          <a:chExt cx="4895850" cy="1381125"/>
        </a:xfrm>
      </xdr:grpSpPr>
      <xdr:sp macro="" textlink="">
        <xdr:nvSpPr>
          <xdr:cNvPr id="140" name="Rectangle 16" descr="Background">
            <a:extLst>
              <a:ext uri="{FF2B5EF4-FFF2-40B4-BE49-F238E27FC236}">
                <a16:creationId xmlns="" xmlns:a16="http://schemas.microsoft.com/office/drawing/2014/main" id="{26318927-AADB-435B-A351-8704C7609378}"/>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41" name="Step" descr="Click the cell with the number 100">
            <a:hlinkClick xmlns:r="http://schemas.openxmlformats.org/officeDocument/2006/relationships" r:id="rId22"/>
            <a:extLst>
              <a:ext uri="{FF2B5EF4-FFF2-40B4-BE49-F238E27FC236}">
                <a16:creationId xmlns="" xmlns:a16="http://schemas.microsoft.com/office/drawing/2014/main" id="{1FE0DEA9-0820-45CE-88AE-43CA304E6E2E}"/>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Estadísticas</a:t>
            </a:r>
          </a:p>
        </xdr:txBody>
      </xdr:sp>
      <xdr:sp macro="" textlink="">
        <xdr:nvSpPr>
          <xdr:cNvPr id="142" name="Oval 24" descr="1">
            <a:hlinkClick xmlns:r="http://schemas.openxmlformats.org/officeDocument/2006/relationships" r:id="rId22"/>
            <a:extLst>
              <a:ext uri="{FF2B5EF4-FFF2-40B4-BE49-F238E27FC236}">
                <a16:creationId xmlns="" xmlns:a16="http://schemas.microsoft.com/office/drawing/2014/main" id="{7A47D7E5-3CAD-4A1A-80E5-DCE1C1839938}"/>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13</a:t>
            </a:r>
          </a:p>
        </xdr:txBody>
      </xdr:sp>
    </xdr:grpSp>
    <xdr:clientData/>
  </xdr:twoCellAnchor>
  <xdr:twoCellAnchor>
    <xdr:from>
      <xdr:col>4</xdr:col>
      <xdr:colOff>990599</xdr:colOff>
      <xdr:row>135</xdr:row>
      <xdr:rowOff>25327</xdr:rowOff>
    </xdr:from>
    <xdr:to>
      <xdr:col>14</xdr:col>
      <xdr:colOff>657224</xdr:colOff>
      <xdr:row>142</xdr:row>
      <xdr:rowOff>0</xdr:rowOff>
    </xdr:to>
    <xdr:sp macro="" textlink="">
      <xdr:nvSpPr>
        <xdr:cNvPr id="143" name="Rectangle 16" descr="Background">
          <a:extLst>
            <a:ext uri="{FF2B5EF4-FFF2-40B4-BE49-F238E27FC236}">
              <a16:creationId xmlns="" xmlns:a16="http://schemas.microsoft.com/office/drawing/2014/main" id="{E22D8589-252C-4564-A2D3-D17934DF2E47}"/>
            </a:ext>
          </a:extLst>
        </xdr:cNvPr>
        <xdr:cNvSpPr/>
      </xdr:nvSpPr>
      <xdr:spPr>
        <a:xfrm>
          <a:off x="4853939" y="24742702"/>
          <a:ext cx="9595485" cy="13176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135</xdr:row>
      <xdr:rowOff>114302</xdr:rowOff>
    </xdr:from>
    <xdr:ext cx="9296400" cy="1190624"/>
    <xdr:sp macro="" textlink="">
      <xdr:nvSpPr>
        <xdr:cNvPr id="144" name="CuadroTexto 143">
          <a:extLst>
            <a:ext uri="{FF2B5EF4-FFF2-40B4-BE49-F238E27FC236}">
              <a16:creationId xmlns="" xmlns:a16="http://schemas.microsoft.com/office/drawing/2014/main" id="{3EA12FFE-1210-4FE5-BB90-1B12FCBE548F}"/>
            </a:ext>
          </a:extLst>
        </xdr:cNvPr>
        <xdr:cNvSpPr txBox="1"/>
      </xdr:nvSpPr>
      <xdr:spPr>
        <a:xfrm>
          <a:off x="5038725" y="24831677"/>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Se</a:t>
          </a:r>
          <a:r>
            <a:rPr lang="es-PE" sz="1500" baseline="0">
              <a:solidFill>
                <a:sysClr val="windowText" lastClr="000000"/>
              </a:solidFill>
              <a:effectLst/>
              <a:latin typeface="Segoe UI" panose="020B0502040204020203" pitchFamily="34" charset="0"/>
              <a:ea typeface="+mn-ea"/>
              <a:cs typeface="Segoe UI" panose="020B0502040204020203" pitchFamily="34" charset="0"/>
            </a:rPr>
            <a:t> presenta un cuadro con </a:t>
          </a:r>
          <a:r>
            <a:rPr kumimoji="0" lang="es-PE" sz="1500" b="0" i="0" u="none" strike="noStrike" kern="0" cap="none" spc="0" normalizeH="0" baseline="0" noProof="0">
              <a:ln>
                <a:noFill/>
              </a:ln>
              <a:solidFill>
                <a:sysClr val="windowText" lastClr="000000"/>
              </a:solidFill>
              <a:effectLst/>
              <a:uLnTx/>
              <a:uFillTx/>
              <a:latin typeface="Segoe UI" panose="020B0502040204020203" pitchFamily="34" charset="0"/>
              <a:ea typeface="+mn-ea"/>
              <a:cs typeface="Segoe UI" panose="020B0502040204020203" pitchFamily="34" charset="0"/>
            </a:rPr>
            <a:t>el gasto público  en  Cambio Climático Multinivel</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135</xdr:row>
      <xdr:rowOff>19050</xdr:rowOff>
    </xdr:from>
    <xdr:to>
      <xdr:col>4</xdr:col>
      <xdr:colOff>933450</xdr:colOff>
      <xdr:row>142</xdr:row>
      <xdr:rowOff>0</xdr:rowOff>
    </xdr:to>
    <xdr:grpSp>
      <xdr:nvGrpSpPr>
        <xdr:cNvPr id="145" name="Grupo 144">
          <a:hlinkClick xmlns:r="http://schemas.openxmlformats.org/officeDocument/2006/relationships" r:id="rId15"/>
          <a:extLst>
            <a:ext uri="{FF2B5EF4-FFF2-40B4-BE49-F238E27FC236}">
              <a16:creationId xmlns="" xmlns:a16="http://schemas.microsoft.com/office/drawing/2014/main" id="{3D4978D3-E05A-412D-9984-42805C765C6F}"/>
            </a:ext>
          </a:extLst>
        </xdr:cNvPr>
        <xdr:cNvGrpSpPr/>
      </xdr:nvGrpSpPr>
      <xdr:grpSpPr>
        <a:xfrm>
          <a:off x="539750" y="26514425"/>
          <a:ext cx="5584825" cy="1346200"/>
          <a:chOff x="0" y="16783050"/>
          <a:chExt cx="4895850" cy="1381125"/>
        </a:xfrm>
      </xdr:grpSpPr>
      <xdr:sp macro="" textlink="">
        <xdr:nvSpPr>
          <xdr:cNvPr id="146" name="Rectangle 16" descr="Background">
            <a:extLst>
              <a:ext uri="{FF2B5EF4-FFF2-40B4-BE49-F238E27FC236}">
                <a16:creationId xmlns="" xmlns:a16="http://schemas.microsoft.com/office/drawing/2014/main" id="{03BD9175-EF31-4EDF-BF6B-80E551935A7D}"/>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47" name="Step" descr="Click the cell with the number 100">
            <a:hlinkClick xmlns:r="http://schemas.openxmlformats.org/officeDocument/2006/relationships" r:id="rId23"/>
            <a:extLst>
              <a:ext uri="{FF2B5EF4-FFF2-40B4-BE49-F238E27FC236}">
                <a16:creationId xmlns="" xmlns:a16="http://schemas.microsoft.com/office/drawing/2014/main" id="{2B2C28E4-A8F7-452D-A3F9-36085FB60B90}"/>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Gasto en Cambio Climático </a:t>
            </a:r>
          </a:p>
        </xdr:txBody>
      </xdr:sp>
      <xdr:sp macro="" textlink="">
        <xdr:nvSpPr>
          <xdr:cNvPr id="148" name="Oval 24" descr="1">
            <a:hlinkClick xmlns:r="http://schemas.openxmlformats.org/officeDocument/2006/relationships" r:id="rId23"/>
            <a:extLst>
              <a:ext uri="{FF2B5EF4-FFF2-40B4-BE49-F238E27FC236}">
                <a16:creationId xmlns="" xmlns:a16="http://schemas.microsoft.com/office/drawing/2014/main" id="{B2805E3B-B903-424C-AE16-8FBE55F88BAB}"/>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14</a:t>
            </a:r>
          </a:p>
        </xdr:txBody>
      </xdr:sp>
    </xdr:grpSp>
    <xdr:clientData/>
  </xdr:twoCellAnchor>
  <xdr:twoCellAnchor>
    <xdr:from>
      <xdr:col>4</xdr:col>
      <xdr:colOff>990599</xdr:colOff>
      <xdr:row>142</xdr:row>
      <xdr:rowOff>25327</xdr:rowOff>
    </xdr:from>
    <xdr:to>
      <xdr:col>14</xdr:col>
      <xdr:colOff>657224</xdr:colOff>
      <xdr:row>149</xdr:row>
      <xdr:rowOff>0</xdr:rowOff>
    </xdr:to>
    <xdr:sp macro="" textlink="">
      <xdr:nvSpPr>
        <xdr:cNvPr id="149" name="Rectangle 16" descr="Background">
          <a:extLst>
            <a:ext uri="{FF2B5EF4-FFF2-40B4-BE49-F238E27FC236}">
              <a16:creationId xmlns="" xmlns:a16="http://schemas.microsoft.com/office/drawing/2014/main" id="{FCFDA402-34CB-4468-8B39-D25B971AC76B}"/>
            </a:ext>
          </a:extLst>
        </xdr:cNvPr>
        <xdr:cNvSpPr/>
      </xdr:nvSpPr>
      <xdr:spPr>
        <a:xfrm>
          <a:off x="4853939" y="24742702"/>
          <a:ext cx="9595485" cy="13176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142</xdr:row>
      <xdr:rowOff>114302</xdr:rowOff>
    </xdr:from>
    <xdr:ext cx="9296400" cy="1190624"/>
    <xdr:sp macro="" textlink="">
      <xdr:nvSpPr>
        <xdr:cNvPr id="150" name="CuadroTexto 149">
          <a:extLst>
            <a:ext uri="{FF2B5EF4-FFF2-40B4-BE49-F238E27FC236}">
              <a16:creationId xmlns="" xmlns:a16="http://schemas.microsoft.com/office/drawing/2014/main" id="{B6C89744-8403-484E-B698-D991D7BD3B1D}"/>
            </a:ext>
          </a:extLst>
        </xdr:cNvPr>
        <xdr:cNvSpPr txBox="1"/>
      </xdr:nvSpPr>
      <xdr:spPr>
        <a:xfrm>
          <a:off x="5038725" y="24831677"/>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Se</a:t>
          </a:r>
          <a:r>
            <a:rPr lang="es-PE" sz="1500" baseline="0">
              <a:solidFill>
                <a:sysClr val="windowText" lastClr="000000"/>
              </a:solidFill>
              <a:effectLst/>
              <a:latin typeface="Segoe UI" panose="020B0502040204020203" pitchFamily="34" charset="0"/>
              <a:ea typeface="+mn-ea"/>
              <a:cs typeface="Segoe UI" panose="020B0502040204020203" pitchFamily="34" charset="0"/>
            </a:rPr>
            <a:t> presenta matri con los proyectos públicos del invierte .pe, por UDT y USA ......</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142</xdr:row>
      <xdr:rowOff>19050</xdr:rowOff>
    </xdr:from>
    <xdr:to>
      <xdr:col>4</xdr:col>
      <xdr:colOff>933450</xdr:colOff>
      <xdr:row>149</xdr:row>
      <xdr:rowOff>0</xdr:rowOff>
    </xdr:to>
    <xdr:grpSp>
      <xdr:nvGrpSpPr>
        <xdr:cNvPr id="151" name="Grupo 150">
          <a:hlinkClick xmlns:r="http://schemas.openxmlformats.org/officeDocument/2006/relationships" r:id="rId15"/>
          <a:extLst>
            <a:ext uri="{FF2B5EF4-FFF2-40B4-BE49-F238E27FC236}">
              <a16:creationId xmlns="" xmlns:a16="http://schemas.microsoft.com/office/drawing/2014/main" id="{8A36F9C2-1B63-4221-8154-8577DD3F4292}"/>
            </a:ext>
          </a:extLst>
        </xdr:cNvPr>
        <xdr:cNvGrpSpPr/>
      </xdr:nvGrpSpPr>
      <xdr:grpSpPr>
        <a:xfrm>
          <a:off x="539750" y="27879675"/>
          <a:ext cx="5584825" cy="1441450"/>
          <a:chOff x="0" y="16783050"/>
          <a:chExt cx="4895850" cy="1381125"/>
        </a:xfrm>
      </xdr:grpSpPr>
      <xdr:sp macro="" textlink="">
        <xdr:nvSpPr>
          <xdr:cNvPr id="152" name="Rectangle 16" descr="Background">
            <a:extLst>
              <a:ext uri="{FF2B5EF4-FFF2-40B4-BE49-F238E27FC236}">
                <a16:creationId xmlns="" xmlns:a16="http://schemas.microsoft.com/office/drawing/2014/main" id="{2A400C82-A753-4A83-A454-6119344FEDD0}"/>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53" name="Step" descr="Click the cell with the number 100">
            <a:hlinkClick xmlns:r="http://schemas.openxmlformats.org/officeDocument/2006/relationships" r:id="rId24"/>
            <a:extLst>
              <a:ext uri="{FF2B5EF4-FFF2-40B4-BE49-F238E27FC236}">
                <a16:creationId xmlns="" xmlns:a16="http://schemas.microsoft.com/office/drawing/2014/main" id="{D03E6301-C81F-4C6B-B6D8-70F474CCBCDB}"/>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Base de Proyectos Públicos - Invierte.pe</a:t>
            </a:r>
          </a:p>
        </xdr:txBody>
      </xdr:sp>
      <xdr:sp macro="" textlink="">
        <xdr:nvSpPr>
          <xdr:cNvPr id="154" name="Oval 24" descr="1">
            <a:hlinkClick xmlns:r="http://schemas.openxmlformats.org/officeDocument/2006/relationships" r:id="rId25"/>
            <a:extLst>
              <a:ext uri="{FF2B5EF4-FFF2-40B4-BE49-F238E27FC236}">
                <a16:creationId xmlns="" xmlns:a16="http://schemas.microsoft.com/office/drawing/2014/main" id="{32C510CA-4A62-45A2-9606-DA08F1A39C71}"/>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15</a:t>
            </a:r>
          </a:p>
        </xdr:txBody>
      </xdr:sp>
    </xdr:grpSp>
    <xdr:clientData/>
  </xdr:twoCellAnchor>
  <xdr:twoCellAnchor>
    <xdr:from>
      <xdr:col>4</xdr:col>
      <xdr:colOff>990599</xdr:colOff>
      <xdr:row>149</xdr:row>
      <xdr:rowOff>25327</xdr:rowOff>
    </xdr:from>
    <xdr:to>
      <xdr:col>14</xdr:col>
      <xdr:colOff>657224</xdr:colOff>
      <xdr:row>156</xdr:row>
      <xdr:rowOff>76200</xdr:rowOff>
    </xdr:to>
    <xdr:sp macro="" textlink="">
      <xdr:nvSpPr>
        <xdr:cNvPr id="155" name="Rectangle 16" descr="Background">
          <a:extLst>
            <a:ext uri="{FF2B5EF4-FFF2-40B4-BE49-F238E27FC236}">
              <a16:creationId xmlns="" xmlns:a16="http://schemas.microsoft.com/office/drawing/2014/main" id="{136FD5C3-613C-479E-86DE-0A4FB0EA7820}"/>
            </a:ext>
          </a:extLst>
        </xdr:cNvPr>
        <xdr:cNvSpPr/>
      </xdr:nvSpPr>
      <xdr:spPr>
        <a:xfrm>
          <a:off x="4853939" y="24742702"/>
          <a:ext cx="9595485" cy="131769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149</xdr:row>
      <xdr:rowOff>114302</xdr:rowOff>
    </xdr:from>
    <xdr:ext cx="9296400" cy="1190624"/>
    <xdr:sp macro="" textlink="">
      <xdr:nvSpPr>
        <xdr:cNvPr id="156" name="CuadroTexto 155">
          <a:extLst>
            <a:ext uri="{FF2B5EF4-FFF2-40B4-BE49-F238E27FC236}">
              <a16:creationId xmlns="" xmlns:a16="http://schemas.microsoft.com/office/drawing/2014/main" id="{B5641D7F-09A7-453F-A28C-FFC18758030F}"/>
            </a:ext>
          </a:extLst>
        </xdr:cNvPr>
        <xdr:cNvSpPr txBox="1"/>
      </xdr:nvSpPr>
      <xdr:spPr>
        <a:xfrm>
          <a:off x="5038725" y="24831677"/>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Se</a:t>
          </a:r>
          <a:r>
            <a:rPr lang="es-PE" sz="1500" baseline="0">
              <a:solidFill>
                <a:sysClr val="windowText" lastClr="000000"/>
              </a:solidFill>
              <a:effectLst/>
              <a:latin typeface="Segoe UI" panose="020B0502040204020203" pitchFamily="34" charset="0"/>
              <a:ea typeface="+mn-ea"/>
              <a:cs typeface="Segoe UI" panose="020B0502040204020203" pitchFamily="34" charset="0"/>
            </a:rPr>
            <a:t> presenta matriz con el mapeo de recursos de cooperación .................</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149</xdr:row>
      <xdr:rowOff>19050</xdr:rowOff>
    </xdr:from>
    <xdr:to>
      <xdr:col>4</xdr:col>
      <xdr:colOff>933450</xdr:colOff>
      <xdr:row>156</xdr:row>
      <xdr:rowOff>66675</xdr:rowOff>
    </xdr:to>
    <xdr:grpSp>
      <xdr:nvGrpSpPr>
        <xdr:cNvPr id="157" name="Grupo 156">
          <a:hlinkClick xmlns:r="http://schemas.openxmlformats.org/officeDocument/2006/relationships" r:id="rId15"/>
          <a:extLst>
            <a:ext uri="{FF2B5EF4-FFF2-40B4-BE49-F238E27FC236}">
              <a16:creationId xmlns="" xmlns:a16="http://schemas.microsoft.com/office/drawing/2014/main" id="{3A54D2EA-F2D4-4F21-8E2D-E3073F5CE80A}"/>
            </a:ext>
          </a:extLst>
        </xdr:cNvPr>
        <xdr:cNvGrpSpPr/>
      </xdr:nvGrpSpPr>
      <xdr:grpSpPr>
        <a:xfrm>
          <a:off x="539750" y="29340175"/>
          <a:ext cx="5584825" cy="1381125"/>
          <a:chOff x="0" y="16783050"/>
          <a:chExt cx="4895850" cy="1381125"/>
        </a:xfrm>
      </xdr:grpSpPr>
      <xdr:sp macro="" textlink="">
        <xdr:nvSpPr>
          <xdr:cNvPr id="158" name="Rectangle 16" descr="Background">
            <a:extLst>
              <a:ext uri="{FF2B5EF4-FFF2-40B4-BE49-F238E27FC236}">
                <a16:creationId xmlns="" xmlns:a16="http://schemas.microsoft.com/office/drawing/2014/main" id="{AB143963-3F94-42FD-B941-9F80FE687DA0}"/>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59" name="Step" descr="Click the cell with the number 100">
            <a:hlinkClick xmlns:r="http://schemas.openxmlformats.org/officeDocument/2006/relationships" r:id="rId26"/>
            <a:extLst>
              <a:ext uri="{FF2B5EF4-FFF2-40B4-BE49-F238E27FC236}">
                <a16:creationId xmlns="" xmlns:a16="http://schemas.microsoft.com/office/drawing/2014/main" id="{518D2F05-04F0-447C-9AD3-8535EBE055DC}"/>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Base de Proyectos de Cooperación</a:t>
            </a:r>
          </a:p>
        </xdr:txBody>
      </xdr:sp>
      <xdr:sp macro="" textlink="">
        <xdr:nvSpPr>
          <xdr:cNvPr id="160" name="Oval 24" descr="1">
            <a:hlinkClick xmlns:r="http://schemas.openxmlformats.org/officeDocument/2006/relationships" r:id="rId26"/>
            <a:extLst>
              <a:ext uri="{FF2B5EF4-FFF2-40B4-BE49-F238E27FC236}">
                <a16:creationId xmlns="" xmlns:a16="http://schemas.microsoft.com/office/drawing/2014/main" id="{2A7A7BEC-9EB5-4F77-BDB9-838AE9E60A4D}"/>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16</a:t>
            </a:r>
          </a:p>
        </xdr:txBody>
      </xdr:sp>
    </xdr:grpSp>
    <xdr:clientData/>
  </xdr:twoCellAnchor>
  <xdr:twoCellAnchor>
    <xdr:from>
      <xdr:col>4</xdr:col>
      <xdr:colOff>990599</xdr:colOff>
      <xdr:row>165</xdr:row>
      <xdr:rowOff>25327</xdr:rowOff>
    </xdr:from>
    <xdr:to>
      <xdr:col>14</xdr:col>
      <xdr:colOff>657224</xdr:colOff>
      <xdr:row>172</xdr:row>
      <xdr:rowOff>76200</xdr:rowOff>
    </xdr:to>
    <xdr:sp macro="" textlink="">
      <xdr:nvSpPr>
        <xdr:cNvPr id="108" name="Rectangle 16" descr="Background">
          <a:extLst>
            <a:ext uri="{FF2B5EF4-FFF2-40B4-BE49-F238E27FC236}">
              <a16:creationId xmlns="" xmlns:a16="http://schemas.microsoft.com/office/drawing/2014/main" id="{4581E7F8-4BF9-4AF3-8A3A-81473C8E98FC}"/>
            </a:ext>
          </a:extLst>
        </xdr:cNvPr>
        <xdr:cNvSpPr/>
      </xdr:nvSpPr>
      <xdr:spPr>
        <a:xfrm>
          <a:off x="4828539" y="27368427"/>
          <a:ext cx="9531985" cy="129547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165</xdr:row>
      <xdr:rowOff>114302</xdr:rowOff>
    </xdr:from>
    <xdr:ext cx="9296400" cy="1190624"/>
    <xdr:sp macro="" textlink="">
      <xdr:nvSpPr>
        <xdr:cNvPr id="110" name="CuadroTexto 109">
          <a:extLst>
            <a:ext uri="{FF2B5EF4-FFF2-40B4-BE49-F238E27FC236}">
              <a16:creationId xmlns="" xmlns:a16="http://schemas.microsoft.com/office/drawing/2014/main" id="{AC648AEE-B201-4466-AED0-8C3D2BA63138}"/>
            </a:ext>
          </a:extLst>
        </xdr:cNvPr>
        <xdr:cNvSpPr txBox="1"/>
      </xdr:nvSpPr>
      <xdr:spPr>
        <a:xfrm>
          <a:off x="5006975" y="2745740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Tabla con el costeo de las</a:t>
          </a:r>
          <a:r>
            <a:rPr lang="es-PE" sz="1500" baseline="0">
              <a:solidFill>
                <a:sysClr val="windowText" lastClr="000000"/>
              </a:solidFill>
              <a:effectLst/>
              <a:latin typeface="Segoe UI" panose="020B0502040204020203" pitchFamily="34" charset="0"/>
              <a:ea typeface="+mn-ea"/>
              <a:cs typeface="Segoe UI" panose="020B0502040204020203" pitchFamily="34" charset="0"/>
            </a:rPr>
            <a:t> salvaguardas necesarias para la intevenciones que al implementarse pueden generar algún tipo ed reisgo se analizan 8 tipos de riesgo, y par acad uno de ellos se tiene una tabla codificad. se encuentra al lado izquierdo de la hoja</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165</xdr:row>
      <xdr:rowOff>19050</xdr:rowOff>
    </xdr:from>
    <xdr:to>
      <xdr:col>4</xdr:col>
      <xdr:colOff>933450</xdr:colOff>
      <xdr:row>172</xdr:row>
      <xdr:rowOff>66675</xdr:rowOff>
    </xdr:to>
    <xdr:grpSp>
      <xdr:nvGrpSpPr>
        <xdr:cNvPr id="111" name="Grupo 110">
          <a:hlinkClick xmlns:r="http://schemas.openxmlformats.org/officeDocument/2006/relationships" r:id="rId15"/>
          <a:extLst>
            <a:ext uri="{FF2B5EF4-FFF2-40B4-BE49-F238E27FC236}">
              <a16:creationId xmlns="" xmlns:a16="http://schemas.microsoft.com/office/drawing/2014/main" id="{FF4755DB-9DF4-42C9-A9EB-223DB2D6DE0E}"/>
            </a:ext>
          </a:extLst>
        </xdr:cNvPr>
        <xdr:cNvGrpSpPr/>
      </xdr:nvGrpSpPr>
      <xdr:grpSpPr>
        <a:xfrm>
          <a:off x="539750" y="32388175"/>
          <a:ext cx="5584825" cy="1381125"/>
          <a:chOff x="0" y="16783050"/>
          <a:chExt cx="4895850" cy="1381125"/>
        </a:xfrm>
      </xdr:grpSpPr>
      <xdr:sp macro="" textlink="">
        <xdr:nvSpPr>
          <xdr:cNvPr id="112" name="Rectangle 16" descr="Background">
            <a:extLst>
              <a:ext uri="{FF2B5EF4-FFF2-40B4-BE49-F238E27FC236}">
                <a16:creationId xmlns="" xmlns:a16="http://schemas.microsoft.com/office/drawing/2014/main" id="{52833697-8C7A-4D92-BA40-FC891912C89B}"/>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13" name="Step" descr="Click the cell with the number 100">
            <a:hlinkClick xmlns:r="http://schemas.openxmlformats.org/officeDocument/2006/relationships" r:id="rId27"/>
            <a:extLst>
              <a:ext uri="{FF2B5EF4-FFF2-40B4-BE49-F238E27FC236}">
                <a16:creationId xmlns="" xmlns:a16="http://schemas.microsoft.com/office/drawing/2014/main" id="{72A8401F-F409-4543-A6AD-F638299C5EDB}"/>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Costeo de las Salvaguardas </a:t>
            </a:r>
          </a:p>
        </xdr:txBody>
      </xdr:sp>
      <xdr:sp macro="" textlink="">
        <xdr:nvSpPr>
          <xdr:cNvPr id="114" name="Oval 24" descr="1">
            <a:hlinkClick xmlns:r="http://schemas.openxmlformats.org/officeDocument/2006/relationships" r:id="rId27"/>
            <a:extLst>
              <a:ext uri="{FF2B5EF4-FFF2-40B4-BE49-F238E27FC236}">
                <a16:creationId xmlns="" xmlns:a16="http://schemas.microsoft.com/office/drawing/2014/main" id="{4894729A-B8D7-4BAB-B751-61F9C29A0B85}"/>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18</a:t>
            </a:r>
          </a:p>
        </xdr:txBody>
      </xdr:sp>
    </xdr:grpSp>
    <xdr:clientData/>
  </xdr:twoCellAnchor>
  <xdr:twoCellAnchor>
    <xdr:from>
      <xdr:col>4</xdr:col>
      <xdr:colOff>990599</xdr:colOff>
      <xdr:row>157</xdr:row>
      <xdr:rowOff>25327</xdr:rowOff>
    </xdr:from>
    <xdr:to>
      <xdr:col>14</xdr:col>
      <xdr:colOff>657224</xdr:colOff>
      <xdr:row>164</xdr:row>
      <xdr:rowOff>76200</xdr:rowOff>
    </xdr:to>
    <xdr:sp macro="" textlink="">
      <xdr:nvSpPr>
        <xdr:cNvPr id="115" name="Rectangle 16" descr="Background">
          <a:extLst>
            <a:ext uri="{FF2B5EF4-FFF2-40B4-BE49-F238E27FC236}">
              <a16:creationId xmlns="" xmlns:a16="http://schemas.microsoft.com/office/drawing/2014/main" id="{C74D2E75-23AA-411C-9A9D-48BDAC443D92}"/>
            </a:ext>
          </a:extLst>
        </xdr:cNvPr>
        <xdr:cNvSpPr/>
      </xdr:nvSpPr>
      <xdr:spPr>
        <a:xfrm>
          <a:off x="4828539" y="27571627"/>
          <a:ext cx="9531985" cy="129547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157</xdr:row>
      <xdr:rowOff>114302</xdr:rowOff>
    </xdr:from>
    <xdr:ext cx="9296400" cy="1190624"/>
    <xdr:sp macro="" textlink="">
      <xdr:nvSpPr>
        <xdr:cNvPr id="116" name="CuadroTexto 115">
          <a:extLst>
            <a:ext uri="{FF2B5EF4-FFF2-40B4-BE49-F238E27FC236}">
              <a16:creationId xmlns="" xmlns:a16="http://schemas.microsoft.com/office/drawing/2014/main" id="{DE82EE4C-6AAD-466C-8E66-7F2E24DA3637}"/>
            </a:ext>
          </a:extLst>
        </xdr:cNvPr>
        <xdr:cNvSpPr txBox="1"/>
      </xdr:nvSpPr>
      <xdr:spPr>
        <a:xfrm>
          <a:off x="5006975" y="2766060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Se</a:t>
          </a:r>
          <a:r>
            <a:rPr lang="es-PE" sz="1500" baseline="0">
              <a:solidFill>
                <a:sysClr val="windowText" lastClr="000000"/>
              </a:solidFill>
              <a:effectLst/>
              <a:latin typeface="Segoe UI" panose="020B0502040204020203" pitchFamily="34" charset="0"/>
              <a:ea typeface="+mn-ea"/>
              <a:cs typeface="Segoe UI" panose="020B0502040204020203" pitchFamily="34" charset="0"/>
            </a:rPr>
            <a:t> presenta el flujo de recursos públicos y de coopercaión  vs presupuesto a nivel de UDTs, sólo como refrencia pues los flujos cambian continuamente.</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157</xdr:row>
      <xdr:rowOff>19050</xdr:rowOff>
    </xdr:from>
    <xdr:to>
      <xdr:col>4</xdr:col>
      <xdr:colOff>933450</xdr:colOff>
      <xdr:row>164</xdr:row>
      <xdr:rowOff>66675</xdr:rowOff>
    </xdr:to>
    <xdr:grpSp>
      <xdr:nvGrpSpPr>
        <xdr:cNvPr id="117" name="Grupo 116">
          <a:hlinkClick xmlns:r="http://schemas.openxmlformats.org/officeDocument/2006/relationships" r:id="rId15"/>
          <a:extLst>
            <a:ext uri="{FF2B5EF4-FFF2-40B4-BE49-F238E27FC236}">
              <a16:creationId xmlns="" xmlns:a16="http://schemas.microsoft.com/office/drawing/2014/main" id="{57C95418-4D7F-4217-A2E7-9CAF8B4ED9AF}"/>
            </a:ext>
          </a:extLst>
        </xdr:cNvPr>
        <xdr:cNvGrpSpPr/>
      </xdr:nvGrpSpPr>
      <xdr:grpSpPr>
        <a:xfrm>
          <a:off x="539750" y="30864175"/>
          <a:ext cx="5584825" cy="1381125"/>
          <a:chOff x="0" y="16783050"/>
          <a:chExt cx="4895850" cy="1381125"/>
        </a:xfrm>
      </xdr:grpSpPr>
      <xdr:sp macro="" textlink="">
        <xdr:nvSpPr>
          <xdr:cNvPr id="118" name="Rectangle 16" descr="Background">
            <a:extLst>
              <a:ext uri="{FF2B5EF4-FFF2-40B4-BE49-F238E27FC236}">
                <a16:creationId xmlns="" xmlns:a16="http://schemas.microsoft.com/office/drawing/2014/main" id="{0E2CCCA5-CEF4-4D91-890F-48C409D45346}"/>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19" name="Step" descr="Click the cell with the number 100">
            <a:hlinkClick xmlns:r="http://schemas.openxmlformats.org/officeDocument/2006/relationships" r:id="rId28"/>
            <a:extLst>
              <a:ext uri="{FF2B5EF4-FFF2-40B4-BE49-F238E27FC236}">
                <a16:creationId xmlns="" xmlns:a16="http://schemas.microsoft.com/office/drawing/2014/main" id="{71EAE628-2EC5-466A-AE45-7566DCBC8A57}"/>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FLUJO</a:t>
            </a:r>
          </a:p>
        </xdr:txBody>
      </xdr:sp>
      <xdr:sp macro="" textlink="">
        <xdr:nvSpPr>
          <xdr:cNvPr id="120" name="Oval 24" descr="1">
            <a:hlinkClick xmlns:r="http://schemas.openxmlformats.org/officeDocument/2006/relationships" r:id="rId28"/>
            <a:extLst>
              <a:ext uri="{FF2B5EF4-FFF2-40B4-BE49-F238E27FC236}">
                <a16:creationId xmlns="" xmlns:a16="http://schemas.microsoft.com/office/drawing/2014/main" id="{1AE9FDDE-2510-409A-9C87-05BD224613F7}"/>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17</a:t>
            </a:r>
          </a:p>
        </xdr:txBody>
      </xdr:sp>
    </xdr:grpSp>
    <xdr:clientData/>
  </xdr:twoCellAnchor>
  <xdr:twoCellAnchor>
    <xdr:from>
      <xdr:col>4</xdr:col>
      <xdr:colOff>990599</xdr:colOff>
      <xdr:row>173</xdr:row>
      <xdr:rowOff>25327</xdr:rowOff>
    </xdr:from>
    <xdr:to>
      <xdr:col>14</xdr:col>
      <xdr:colOff>657224</xdr:colOff>
      <xdr:row>180</xdr:row>
      <xdr:rowOff>76200</xdr:rowOff>
    </xdr:to>
    <xdr:sp macro="" textlink="">
      <xdr:nvSpPr>
        <xdr:cNvPr id="121" name="Rectangle 16" descr="Background">
          <a:extLst>
            <a:ext uri="{FF2B5EF4-FFF2-40B4-BE49-F238E27FC236}">
              <a16:creationId xmlns="" xmlns:a16="http://schemas.microsoft.com/office/drawing/2014/main" id="{43EE8BB6-DA58-4E78-94DC-5981FBF976C6}"/>
            </a:ext>
          </a:extLst>
        </xdr:cNvPr>
        <xdr:cNvSpPr/>
      </xdr:nvSpPr>
      <xdr:spPr>
        <a:xfrm>
          <a:off x="4828539" y="30416427"/>
          <a:ext cx="9531985" cy="129547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180975</xdr:colOff>
      <xdr:row>173</xdr:row>
      <xdr:rowOff>114302</xdr:rowOff>
    </xdr:from>
    <xdr:ext cx="9296400" cy="1190624"/>
    <xdr:sp macro="" textlink="">
      <xdr:nvSpPr>
        <xdr:cNvPr id="122" name="CuadroTexto 121">
          <a:extLst>
            <a:ext uri="{FF2B5EF4-FFF2-40B4-BE49-F238E27FC236}">
              <a16:creationId xmlns="" xmlns:a16="http://schemas.microsoft.com/office/drawing/2014/main" id="{39AE633D-91C2-4E37-8561-AE95AAAEA934}"/>
            </a:ext>
          </a:extLst>
        </xdr:cNvPr>
        <xdr:cNvSpPr txBox="1"/>
      </xdr:nvSpPr>
      <xdr:spPr>
        <a:xfrm>
          <a:off x="5006975" y="3050540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s-PE" sz="1500">
              <a:solidFill>
                <a:sysClr val="windowText" lastClr="000000"/>
              </a:solidFill>
              <a:effectLst/>
              <a:latin typeface="Segoe UI" panose="020B0502040204020203" pitchFamily="34" charset="0"/>
              <a:ea typeface="+mn-ea"/>
              <a:cs typeface="Segoe UI" panose="020B0502040204020203" pitchFamily="34" charset="0"/>
            </a:rPr>
            <a:t>A partir de</a:t>
          </a:r>
          <a:r>
            <a:rPr lang="es-PE" sz="1500" baseline="0">
              <a:solidFill>
                <a:sysClr val="windowText" lastClr="000000"/>
              </a:solidFill>
              <a:effectLst/>
              <a:latin typeface="Segoe UI" panose="020B0502040204020203" pitchFamily="34" charset="0"/>
              <a:ea typeface="+mn-ea"/>
              <a:cs typeface="Segoe UI" panose="020B0502040204020203" pitchFamily="34" charset="0"/>
            </a:rPr>
            <a:t> las salguardas necesarias según el tipo de intervenciones se presenta las estadisticas de las mismas según el grupo se riesgo, a nivel del tipo de slguardas, el número de las salvaguardas por UDT y grupo de riesgo.</a:t>
          </a:r>
          <a:endParaRPr lang="es-PE" sz="150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173</xdr:row>
      <xdr:rowOff>19050</xdr:rowOff>
    </xdr:from>
    <xdr:to>
      <xdr:col>4</xdr:col>
      <xdr:colOff>933450</xdr:colOff>
      <xdr:row>180</xdr:row>
      <xdr:rowOff>66675</xdr:rowOff>
    </xdr:to>
    <xdr:grpSp>
      <xdr:nvGrpSpPr>
        <xdr:cNvPr id="123" name="Grupo 122">
          <a:hlinkClick xmlns:r="http://schemas.openxmlformats.org/officeDocument/2006/relationships" r:id="rId15"/>
          <a:extLst>
            <a:ext uri="{FF2B5EF4-FFF2-40B4-BE49-F238E27FC236}">
              <a16:creationId xmlns="" xmlns:a16="http://schemas.microsoft.com/office/drawing/2014/main" id="{06AC8F5E-A465-4C6C-913E-3E9F275C0D86}"/>
            </a:ext>
          </a:extLst>
        </xdr:cNvPr>
        <xdr:cNvGrpSpPr/>
      </xdr:nvGrpSpPr>
      <xdr:grpSpPr>
        <a:xfrm>
          <a:off x="539750" y="33912175"/>
          <a:ext cx="5584825" cy="1381125"/>
          <a:chOff x="0" y="16783050"/>
          <a:chExt cx="4895850" cy="1381125"/>
        </a:xfrm>
      </xdr:grpSpPr>
      <xdr:sp macro="" textlink="">
        <xdr:nvSpPr>
          <xdr:cNvPr id="124" name="Rectangle 16" descr="Background">
            <a:extLst>
              <a:ext uri="{FF2B5EF4-FFF2-40B4-BE49-F238E27FC236}">
                <a16:creationId xmlns="" xmlns:a16="http://schemas.microsoft.com/office/drawing/2014/main" id="{8E37E9E3-CA2E-4D8D-A057-81F7AFF9FD34}"/>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61" name="Step" descr="Click the cell with the number 100">
            <a:hlinkClick xmlns:r="http://schemas.openxmlformats.org/officeDocument/2006/relationships" r:id="rId29"/>
            <a:extLst>
              <a:ext uri="{FF2B5EF4-FFF2-40B4-BE49-F238E27FC236}">
                <a16:creationId xmlns="" xmlns:a16="http://schemas.microsoft.com/office/drawing/2014/main" id="{17763CD7-5373-4A22-9FBF-94C19584E152}"/>
              </a:ext>
            </a:extLst>
          </xdr:cNvPr>
          <xdr:cNvSpPr txBox="1"/>
        </xdr:nvSpPr>
        <xdr:spPr>
          <a:xfrm>
            <a:off x="534086" y="17287875"/>
            <a:ext cx="4266514" cy="42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Estadísticas de Salvaguadas</a:t>
            </a:r>
          </a:p>
        </xdr:txBody>
      </xdr:sp>
      <xdr:sp macro="" textlink="">
        <xdr:nvSpPr>
          <xdr:cNvPr id="162" name="Oval 24" descr="1">
            <a:hlinkClick xmlns:r="http://schemas.openxmlformats.org/officeDocument/2006/relationships" r:id="rId29"/>
            <a:extLst>
              <a:ext uri="{FF2B5EF4-FFF2-40B4-BE49-F238E27FC236}">
                <a16:creationId xmlns="" xmlns:a16="http://schemas.microsoft.com/office/drawing/2014/main" id="{0E5475DB-EDF0-49BD-B00A-2C3F33BF9344}"/>
              </a:ext>
            </a:extLst>
          </xdr:cNvPr>
          <xdr:cNvSpPr/>
        </xdr:nvSpPr>
        <xdr:spPr>
          <a:xfrm>
            <a:off x="9677" y="17286109"/>
            <a:ext cx="561184" cy="44771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19</a:t>
            </a:r>
          </a:p>
        </xdr:txBody>
      </xdr:sp>
    </xdr:grpSp>
    <xdr:clientData/>
  </xdr:twoCellAnchor>
  <xdr:twoCellAnchor>
    <xdr:from>
      <xdr:col>5</xdr:col>
      <xdr:colOff>243839</xdr:colOff>
      <xdr:row>181</xdr:row>
      <xdr:rowOff>38027</xdr:rowOff>
    </xdr:from>
    <xdr:to>
      <xdr:col>14</xdr:col>
      <xdr:colOff>898524</xdr:colOff>
      <xdr:row>188</xdr:row>
      <xdr:rowOff>88900</xdr:rowOff>
    </xdr:to>
    <xdr:sp macro="" textlink="">
      <xdr:nvSpPr>
        <xdr:cNvPr id="163" name="Rectangle 16" descr="Background">
          <a:extLst>
            <a:ext uri="{FF2B5EF4-FFF2-40B4-BE49-F238E27FC236}">
              <a16:creationId xmlns="" xmlns:a16="http://schemas.microsoft.com/office/drawing/2014/main" id="{0DE9DA7B-1133-4CB9-A908-4F1081D401DD}"/>
            </a:ext>
          </a:extLst>
        </xdr:cNvPr>
        <xdr:cNvSpPr/>
      </xdr:nvSpPr>
      <xdr:spPr>
        <a:xfrm>
          <a:off x="6289039" y="33273927"/>
          <a:ext cx="9531985" cy="129547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clientData/>
  </xdr:twoCellAnchor>
  <xdr:oneCellAnchor>
    <xdr:from>
      <xdr:col>5</xdr:col>
      <xdr:colOff>257175</xdr:colOff>
      <xdr:row>181</xdr:row>
      <xdr:rowOff>88902</xdr:rowOff>
    </xdr:from>
    <xdr:ext cx="9296400" cy="1190624"/>
    <xdr:sp macro="" textlink="">
      <xdr:nvSpPr>
        <xdr:cNvPr id="164" name="CuadroTexto 163">
          <a:extLst>
            <a:ext uri="{FF2B5EF4-FFF2-40B4-BE49-F238E27FC236}">
              <a16:creationId xmlns="" xmlns:a16="http://schemas.microsoft.com/office/drawing/2014/main" id="{D16DCFCA-F77B-444C-A25E-60915F9C267E}"/>
            </a:ext>
          </a:extLst>
        </xdr:cNvPr>
        <xdr:cNvSpPr txBox="1"/>
      </xdr:nvSpPr>
      <xdr:spPr>
        <a:xfrm>
          <a:off x="6302375" y="33324802"/>
          <a:ext cx="9296400" cy="1190624"/>
        </a:xfrm>
        <a:prstGeom prst="rect">
          <a:avLst/>
        </a:prstGeom>
        <a:noFill/>
        <a:ln w="3175">
          <a:solidFill>
            <a:sysClr val="windowText" lastClr="00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500" baseline="0">
              <a:solidFill>
                <a:sysClr val="windowText" lastClr="000000"/>
              </a:solidFill>
              <a:effectLst/>
              <a:latin typeface="Segoe UI" panose="020B0502040204020203" pitchFamily="34" charset="0"/>
              <a:ea typeface="+mn-ea"/>
              <a:cs typeface="Segoe UI" panose="020B0502040204020203" pitchFamily="34" charset="0"/>
            </a:rPr>
            <a:t>Se presenta cuadros  de tablas dinámicas con estadísticas de fuentes públicas y de cooepración que han sido filtradas para la región Loerto y según el ámbito de las UDTs y sus USAs; están presentadas como base de proyectos públicos y de cooperación, de presenta análisis dinámico por programas/ componentes /UDTs /USA y en el periodo del Plan de Inversión.</a:t>
          </a:r>
          <a:endParaRPr lang="es-PE" sz="1500" baseline="0">
            <a:solidFill>
              <a:sysClr val="windowText" lastClr="000000"/>
            </a:solidFill>
            <a:effectLst/>
            <a:latin typeface="Segoe UI" panose="020B0502040204020203" pitchFamily="34" charset="0"/>
            <a:ea typeface="+mn-ea"/>
            <a:cs typeface="Segoe UI" panose="020B0502040204020203" pitchFamily="34" charset="0"/>
          </a:endParaRPr>
        </a:p>
      </xdr:txBody>
    </xdr:sp>
    <xdr:clientData/>
  </xdr:oneCellAnchor>
  <xdr:twoCellAnchor>
    <xdr:from>
      <xdr:col>1</xdr:col>
      <xdr:colOff>0</xdr:colOff>
      <xdr:row>181</xdr:row>
      <xdr:rowOff>19050</xdr:rowOff>
    </xdr:from>
    <xdr:to>
      <xdr:col>5</xdr:col>
      <xdr:colOff>88900</xdr:colOff>
      <xdr:row>188</xdr:row>
      <xdr:rowOff>66675</xdr:rowOff>
    </xdr:to>
    <xdr:grpSp>
      <xdr:nvGrpSpPr>
        <xdr:cNvPr id="165" name="Grupo 164">
          <a:hlinkClick xmlns:r="http://schemas.openxmlformats.org/officeDocument/2006/relationships" r:id="rId15"/>
          <a:extLst>
            <a:ext uri="{FF2B5EF4-FFF2-40B4-BE49-F238E27FC236}">
              <a16:creationId xmlns="" xmlns:a16="http://schemas.microsoft.com/office/drawing/2014/main" id="{74D41981-88E1-4E1E-9825-E07AB39030CF}"/>
            </a:ext>
          </a:extLst>
        </xdr:cNvPr>
        <xdr:cNvGrpSpPr/>
      </xdr:nvGrpSpPr>
      <xdr:grpSpPr>
        <a:xfrm>
          <a:off x="539750" y="35436175"/>
          <a:ext cx="5724525" cy="1381125"/>
          <a:chOff x="0" y="16783050"/>
          <a:chExt cx="4895850" cy="1381125"/>
        </a:xfrm>
      </xdr:grpSpPr>
      <xdr:sp macro="" textlink="">
        <xdr:nvSpPr>
          <xdr:cNvPr id="166" name="Rectangle 16" descr="Background">
            <a:extLst>
              <a:ext uri="{FF2B5EF4-FFF2-40B4-BE49-F238E27FC236}">
                <a16:creationId xmlns="" xmlns:a16="http://schemas.microsoft.com/office/drawing/2014/main" id="{298ACB19-DB63-43A7-90A3-64F99ED37942}"/>
              </a:ext>
            </a:extLst>
          </xdr:cNvPr>
          <xdr:cNvSpPr/>
        </xdr:nvSpPr>
        <xdr:spPr>
          <a:xfrm>
            <a:off x="0" y="16783050"/>
            <a:ext cx="4895850" cy="13811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100"/>
          </a:p>
        </xdr:txBody>
      </xdr:sp>
      <xdr:sp macro="" textlink="">
        <xdr:nvSpPr>
          <xdr:cNvPr id="167" name="Step" descr="Click the cell with the number 100">
            <a:hlinkClick xmlns:r="http://schemas.openxmlformats.org/officeDocument/2006/relationships" r:id="rId30"/>
            <a:extLst>
              <a:ext uri="{FF2B5EF4-FFF2-40B4-BE49-F238E27FC236}">
                <a16:creationId xmlns="" xmlns:a16="http://schemas.microsoft.com/office/drawing/2014/main" id="{2C370553-8B42-4866-A6FD-95CBC7F9109D}"/>
              </a:ext>
            </a:extLst>
          </xdr:cNvPr>
          <xdr:cNvSpPr txBox="1"/>
        </xdr:nvSpPr>
        <xdr:spPr>
          <a:xfrm>
            <a:off x="775800" y="17287874"/>
            <a:ext cx="4024799" cy="479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a:ln>
                  <a:noFill/>
                </a:ln>
                <a:solidFill>
                  <a:schemeClr val="accent1">
                    <a:lumMod val="50000"/>
                  </a:schemeClr>
                </a:solidFill>
                <a:effectLst/>
                <a:uLnTx/>
                <a:uFillTx/>
                <a:latin typeface="Segoe UI" panose="020B0502040204020203" pitchFamily="34" charset="0"/>
                <a:ea typeface="Segoe UI" pitchFamily="34" charset="0"/>
                <a:cs typeface="Segoe UI" panose="020B0502040204020203" pitchFamily="34" charset="0"/>
              </a:rPr>
              <a:t>Estadísticas de Recursos Potenciales para el PI.</a:t>
            </a:r>
          </a:p>
        </xdr:txBody>
      </xdr:sp>
      <xdr:sp macro="" textlink="">
        <xdr:nvSpPr>
          <xdr:cNvPr id="168" name="Oval 24" descr="1">
            <a:hlinkClick xmlns:r="http://schemas.openxmlformats.org/officeDocument/2006/relationships" r:id="rId30"/>
            <a:extLst>
              <a:ext uri="{FF2B5EF4-FFF2-40B4-BE49-F238E27FC236}">
                <a16:creationId xmlns="" xmlns:a16="http://schemas.microsoft.com/office/drawing/2014/main" id="{FCBB582C-EE05-4568-8ED9-73262A631359}"/>
              </a:ext>
            </a:extLst>
          </xdr:cNvPr>
          <xdr:cNvSpPr/>
        </xdr:nvSpPr>
        <xdr:spPr>
          <a:xfrm>
            <a:off x="87256" y="17286110"/>
            <a:ext cx="610963" cy="451275"/>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600">
                <a:latin typeface="Segoe UI Semibold" panose="020B0702040204020203" pitchFamily="34" charset="0"/>
                <a:cs typeface="Segoe UI Semibold" panose="020B0702040204020203" pitchFamily="34" charset="0"/>
              </a:rPr>
              <a:t>20</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65314</xdr:colOff>
      <xdr:row>0</xdr:row>
      <xdr:rowOff>65315</xdr:rowOff>
    </xdr:from>
    <xdr:to>
      <xdr:col>3</xdr:col>
      <xdr:colOff>1262744</xdr:colOff>
      <xdr:row>4</xdr:row>
      <xdr:rowOff>76201</xdr:rowOff>
    </xdr:to>
    <xdr:pic>
      <xdr:nvPicPr>
        <xdr:cNvPr id="3" name="Imagen 2">
          <a:hlinkClick xmlns:r="http://schemas.openxmlformats.org/officeDocument/2006/relationships" r:id="rId1"/>
          <a:extLst>
            <a:ext uri="{FF2B5EF4-FFF2-40B4-BE49-F238E27FC236}">
              <a16:creationId xmlns="" xmlns:a16="http://schemas.microsoft.com/office/drawing/2014/main" id="{35C4253B-C86F-4B58-8930-82A168F8EEF0}"/>
            </a:ext>
          </a:extLst>
        </xdr:cNvPr>
        <xdr:cNvPicPr>
          <a:picLocks noChangeAspect="1"/>
        </xdr:cNvPicPr>
      </xdr:nvPicPr>
      <xdr:blipFill>
        <a:blip xmlns:r="http://schemas.openxmlformats.org/officeDocument/2006/relationships" r:embed="rId2"/>
        <a:stretch>
          <a:fillRect/>
        </a:stretch>
      </xdr:blipFill>
      <xdr:spPr>
        <a:xfrm>
          <a:off x="65314" y="65315"/>
          <a:ext cx="1502230" cy="7946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0</xdr:row>
      <xdr:rowOff>123826</xdr:rowOff>
    </xdr:from>
    <xdr:to>
      <xdr:col>1</xdr:col>
      <xdr:colOff>816388</xdr:colOff>
      <xdr:row>4</xdr:row>
      <xdr:rowOff>92814</xdr:rowOff>
    </xdr:to>
    <xdr:pic>
      <xdr:nvPicPr>
        <xdr:cNvPr id="2" name="Imagen 1">
          <a:hlinkClick xmlns:r="http://schemas.openxmlformats.org/officeDocument/2006/relationships" r:id="rId1"/>
          <a:extLst>
            <a:ext uri="{FF2B5EF4-FFF2-40B4-BE49-F238E27FC236}">
              <a16:creationId xmlns="" xmlns:a16="http://schemas.microsoft.com/office/drawing/2014/main" id="{D8138BE3-C4A5-44AD-BD05-0638A42BCE48}"/>
            </a:ext>
          </a:extLst>
        </xdr:cNvPr>
        <xdr:cNvPicPr>
          <a:picLocks noChangeAspect="1"/>
        </xdr:cNvPicPr>
      </xdr:nvPicPr>
      <xdr:blipFill>
        <a:blip xmlns:r="http://schemas.openxmlformats.org/officeDocument/2006/relationships" r:embed="rId2"/>
        <a:stretch>
          <a:fillRect/>
        </a:stretch>
      </xdr:blipFill>
      <xdr:spPr>
        <a:xfrm>
          <a:off x="152400" y="123826"/>
          <a:ext cx="921163" cy="7500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293915</xdr:colOff>
      <xdr:row>0</xdr:row>
      <xdr:rowOff>97973</xdr:rowOff>
    </xdr:from>
    <xdr:to>
      <xdr:col>1</xdr:col>
      <xdr:colOff>1926771</xdr:colOff>
      <xdr:row>4</xdr:row>
      <xdr:rowOff>65315</xdr:rowOff>
    </xdr:to>
    <xdr:pic>
      <xdr:nvPicPr>
        <xdr:cNvPr id="3" name="Imagen 2">
          <a:hlinkClick xmlns:r="http://schemas.openxmlformats.org/officeDocument/2006/relationships" r:id="rId1"/>
          <a:extLst>
            <a:ext uri="{FF2B5EF4-FFF2-40B4-BE49-F238E27FC236}">
              <a16:creationId xmlns="" xmlns:a16="http://schemas.microsoft.com/office/drawing/2014/main" id="{67177FB4-0530-4426-9D92-9FD53B9A34F2}"/>
            </a:ext>
          </a:extLst>
        </xdr:cNvPr>
        <xdr:cNvPicPr>
          <a:picLocks noChangeAspect="1"/>
        </xdr:cNvPicPr>
      </xdr:nvPicPr>
      <xdr:blipFill>
        <a:blip xmlns:r="http://schemas.openxmlformats.org/officeDocument/2006/relationships" r:embed="rId2"/>
        <a:stretch>
          <a:fillRect/>
        </a:stretch>
      </xdr:blipFill>
      <xdr:spPr>
        <a:xfrm>
          <a:off x="642258" y="97973"/>
          <a:ext cx="1632856" cy="9688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184247</xdr:colOff>
      <xdr:row>0</xdr:row>
      <xdr:rowOff>104775</xdr:rowOff>
    </xdr:from>
    <xdr:to>
      <xdr:col>1</xdr:col>
      <xdr:colOff>894687</xdr:colOff>
      <xdr:row>3</xdr:row>
      <xdr:rowOff>173355</xdr:rowOff>
    </xdr:to>
    <xdr:pic>
      <xdr:nvPicPr>
        <xdr:cNvPr id="3" name="Imagen 2">
          <a:hlinkClick xmlns:r="http://schemas.openxmlformats.org/officeDocument/2006/relationships" r:id="rId1"/>
          <a:extLst>
            <a:ext uri="{FF2B5EF4-FFF2-40B4-BE49-F238E27FC236}">
              <a16:creationId xmlns="" xmlns:a16="http://schemas.microsoft.com/office/drawing/2014/main" id="{FC58ABDA-6E35-465C-B583-7A92EC641AA7}"/>
            </a:ext>
          </a:extLst>
        </xdr:cNvPr>
        <xdr:cNvPicPr>
          <a:picLocks noChangeAspect="1"/>
        </xdr:cNvPicPr>
      </xdr:nvPicPr>
      <xdr:blipFill>
        <a:blip xmlns:r="http://schemas.openxmlformats.org/officeDocument/2006/relationships" r:embed="rId2"/>
        <a:stretch>
          <a:fillRect/>
        </a:stretch>
      </xdr:blipFill>
      <xdr:spPr>
        <a:xfrm>
          <a:off x="184247" y="104775"/>
          <a:ext cx="971425" cy="790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200025</xdr:colOff>
      <xdr:row>32</xdr:row>
      <xdr:rowOff>9525</xdr:rowOff>
    </xdr:from>
    <xdr:to>
      <xdr:col>3</xdr:col>
      <xdr:colOff>1400175</xdr:colOff>
      <xdr:row>34</xdr:row>
      <xdr:rowOff>0</xdr:rowOff>
    </xdr:to>
    <xdr:sp macro="" textlink="">
      <xdr:nvSpPr>
        <xdr:cNvPr id="2" name="Flecha: hacia la izquierda 1">
          <a:extLst>
            <a:ext uri="{FF2B5EF4-FFF2-40B4-BE49-F238E27FC236}">
              <a16:creationId xmlns="" xmlns:a16="http://schemas.microsoft.com/office/drawing/2014/main" id="{2238C75F-AEF7-4FE0-8338-2CE92B15D1E5}"/>
            </a:ext>
          </a:extLst>
        </xdr:cNvPr>
        <xdr:cNvSpPr/>
      </xdr:nvSpPr>
      <xdr:spPr>
        <a:xfrm>
          <a:off x="9105900" y="7658100"/>
          <a:ext cx="1200150" cy="514350"/>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r>
            <a:rPr lang="es-PE" sz="1100" b="1"/>
            <a:t>SELECCIONAR</a:t>
          </a:r>
        </a:p>
      </xdr:txBody>
    </xdr:sp>
    <xdr:clientData/>
  </xdr:twoCellAnchor>
  <xdr:twoCellAnchor editAs="oneCell">
    <xdr:from>
      <xdr:col>0</xdr:col>
      <xdr:colOff>141514</xdr:colOff>
      <xdr:row>0</xdr:row>
      <xdr:rowOff>130629</xdr:rowOff>
    </xdr:from>
    <xdr:to>
      <xdr:col>1</xdr:col>
      <xdr:colOff>373261</xdr:colOff>
      <xdr:row>4</xdr:row>
      <xdr:rowOff>279627</xdr:rowOff>
    </xdr:to>
    <xdr:pic>
      <xdr:nvPicPr>
        <xdr:cNvPr id="5" name="Imagen 4">
          <a:hlinkClick xmlns:r="http://schemas.openxmlformats.org/officeDocument/2006/relationships" r:id="rId1"/>
          <a:extLst>
            <a:ext uri="{FF2B5EF4-FFF2-40B4-BE49-F238E27FC236}">
              <a16:creationId xmlns="" xmlns:a16="http://schemas.microsoft.com/office/drawing/2014/main" id="{2479B98A-72D0-4BAE-A92D-33598F91BFF8}"/>
            </a:ext>
          </a:extLst>
        </xdr:cNvPr>
        <xdr:cNvPicPr>
          <a:picLocks noChangeAspect="1"/>
        </xdr:cNvPicPr>
      </xdr:nvPicPr>
      <xdr:blipFill>
        <a:blip xmlns:r="http://schemas.openxmlformats.org/officeDocument/2006/relationships" r:embed="rId2"/>
        <a:stretch>
          <a:fillRect/>
        </a:stretch>
      </xdr:blipFill>
      <xdr:spPr>
        <a:xfrm>
          <a:off x="141514" y="130629"/>
          <a:ext cx="1146147" cy="93276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3</xdr:row>
      <xdr:rowOff>0</xdr:rowOff>
    </xdr:from>
    <xdr:to>
      <xdr:col>4</xdr:col>
      <xdr:colOff>1200150</xdr:colOff>
      <xdr:row>5</xdr:row>
      <xdr:rowOff>171450</xdr:rowOff>
    </xdr:to>
    <xdr:sp macro="" textlink="">
      <xdr:nvSpPr>
        <xdr:cNvPr id="2" name="Flecha: hacia la izquierda 1">
          <a:extLst>
            <a:ext uri="{FF2B5EF4-FFF2-40B4-BE49-F238E27FC236}">
              <a16:creationId xmlns="" xmlns:a16="http://schemas.microsoft.com/office/drawing/2014/main" id="{DF854847-B31F-42D7-8924-A96EA25C74B4}"/>
            </a:ext>
          </a:extLst>
        </xdr:cNvPr>
        <xdr:cNvSpPr/>
      </xdr:nvSpPr>
      <xdr:spPr>
        <a:xfrm>
          <a:off x="10039350" y="676275"/>
          <a:ext cx="1200150" cy="552450"/>
        </a:xfrm>
        <a:prstGeom prst="lef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r>
            <a:rPr lang="es-PE" sz="1100" b="1"/>
            <a:t>SELECCIONAR</a:t>
          </a:r>
        </a:p>
      </xdr:txBody>
    </xdr:sp>
    <xdr:clientData/>
  </xdr:twoCellAnchor>
  <xdr:twoCellAnchor editAs="oneCell">
    <xdr:from>
      <xdr:col>0</xdr:col>
      <xdr:colOff>0</xdr:colOff>
      <xdr:row>0</xdr:row>
      <xdr:rowOff>0</xdr:rowOff>
    </xdr:from>
    <xdr:to>
      <xdr:col>1</xdr:col>
      <xdr:colOff>466725</xdr:colOff>
      <xdr:row>3</xdr:row>
      <xdr:rowOff>76200</xdr:rowOff>
    </xdr:to>
    <xdr:pic>
      <xdr:nvPicPr>
        <xdr:cNvPr id="3" name="Imagen 2">
          <a:hlinkClick xmlns:r="http://schemas.openxmlformats.org/officeDocument/2006/relationships" r:id="rId1"/>
          <a:extLst>
            <a:ext uri="{FF2B5EF4-FFF2-40B4-BE49-F238E27FC236}">
              <a16:creationId xmlns="" xmlns:a16="http://schemas.microsoft.com/office/drawing/2014/main" id="{BEB1C3DE-253B-45D0-B98E-2E060A731786}"/>
            </a:ext>
          </a:extLst>
        </xdr:cNvPr>
        <xdr:cNvPicPr>
          <a:picLocks noChangeAspect="1"/>
        </xdr:cNvPicPr>
      </xdr:nvPicPr>
      <xdr:blipFill>
        <a:blip xmlns:r="http://schemas.openxmlformats.org/officeDocument/2006/relationships" r:embed="rId2"/>
        <a:stretch>
          <a:fillRect/>
        </a:stretch>
      </xdr:blipFill>
      <xdr:spPr>
        <a:xfrm>
          <a:off x="0" y="0"/>
          <a:ext cx="1381125" cy="752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695325</xdr:colOff>
      <xdr:row>13</xdr:row>
      <xdr:rowOff>33337</xdr:rowOff>
    </xdr:from>
    <xdr:to>
      <xdr:col>8</xdr:col>
      <xdr:colOff>990600</xdr:colOff>
      <xdr:row>28</xdr:row>
      <xdr:rowOff>19050</xdr:rowOff>
    </xdr:to>
    <xdr:graphicFrame macro="">
      <xdr:nvGraphicFramePr>
        <xdr:cNvPr id="2" name="Gráfico 1">
          <a:extLst>
            <a:ext uri="{FF2B5EF4-FFF2-40B4-BE49-F238E27FC236}">
              <a16:creationId xmlns="" xmlns:a16="http://schemas.microsoft.com/office/drawing/2014/main" id="{C9BC05B5-87B0-44E6-8448-CD979CA6C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856587</xdr:colOff>
      <xdr:row>3</xdr:row>
      <xdr:rowOff>117996</xdr:rowOff>
    </xdr:to>
    <xdr:pic>
      <xdr:nvPicPr>
        <xdr:cNvPr id="3" name="Imagen 2">
          <a:hlinkClick xmlns:r="http://schemas.openxmlformats.org/officeDocument/2006/relationships" r:id="rId2"/>
          <a:extLst>
            <a:ext uri="{FF2B5EF4-FFF2-40B4-BE49-F238E27FC236}">
              <a16:creationId xmlns="" xmlns:a16="http://schemas.microsoft.com/office/drawing/2014/main" id="{5D23151A-F2D3-44CD-A38F-319DF5030DD4}"/>
            </a:ext>
          </a:extLst>
        </xdr:cNvPr>
        <xdr:cNvPicPr>
          <a:picLocks noChangeAspect="1"/>
        </xdr:cNvPicPr>
      </xdr:nvPicPr>
      <xdr:blipFill>
        <a:blip xmlns:r="http://schemas.openxmlformats.org/officeDocument/2006/relationships" r:embed="rId3"/>
        <a:stretch>
          <a:fillRect/>
        </a:stretch>
      </xdr:blipFill>
      <xdr:spPr>
        <a:xfrm>
          <a:off x="0" y="0"/>
          <a:ext cx="856587" cy="6971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457200</xdr:colOff>
      <xdr:row>0</xdr:row>
      <xdr:rowOff>114300</xdr:rowOff>
    </xdr:from>
    <xdr:to>
      <xdr:col>1</xdr:col>
      <xdr:colOff>546072</xdr:colOff>
      <xdr:row>5</xdr:row>
      <xdr:rowOff>79319</xdr:rowOff>
    </xdr:to>
    <xdr:pic>
      <xdr:nvPicPr>
        <xdr:cNvPr id="3" name="Imagen 2">
          <a:hlinkClick xmlns:r="http://schemas.openxmlformats.org/officeDocument/2006/relationships" r:id="rId1"/>
          <a:extLst>
            <a:ext uri="{FF2B5EF4-FFF2-40B4-BE49-F238E27FC236}">
              <a16:creationId xmlns="" xmlns:a16="http://schemas.microsoft.com/office/drawing/2014/main" id="{C988DA47-5162-4FCE-B614-D07793A57316}"/>
            </a:ext>
          </a:extLst>
        </xdr:cNvPr>
        <xdr:cNvPicPr>
          <a:picLocks noChangeAspect="1"/>
        </xdr:cNvPicPr>
      </xdr:nvPicPr>
      <xdr:blipFill>
        <a:blip xmlns:r="http://schemas.openxmlformats.org/officeDocument/2006/relationships" r:embed="rId2"/>
        <a:stretch>
          <a:fillRect/>
        </a:stretch>
      </xdr:blipFill>
      <xdr:spPr>
        <a:xfrm>
          <a:off x="457200" y="114300"/>
          <a:ext cx="869922" cy="7079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141515</xdr:colOff>
      <xdr:row>0</xdr:row>
      <xdr:rowOff>32657</xdr:rowOff>
    </xdr:from>
    <xdr:to>
      <xdr:col>0</xdr:col>
      <xdr:colOff>1285757</xdr:colOff>
      <xdr:row>3</xdr:row>
      <xdr:rowOff>208944</xdr:rowOff>
    </xdr:to>
    <xdr:pic>
      <xdr:nvPicPr>
        <xdr:cNvPr id="3" name="Imagen 2">
          <a:hlinkClick xmlns:r="http://schemas.openxmlformats.org/officeDocument/2006/relationships" r:id="rId1"/>
          <a:extLst>
            <a:ext uri="{FF2B5EF4-FFF2-40B4-BE49-F238E27FC236}">
              <a16:creationId xmlns="" xmlns:a16="http://schemas.microsoft.com/office/drawing/2014/main" id="{3048701F-EB3F-4DC8-BB71-C7D2B25BFACD}"/>
            </a:ext>
          </a:extLst>
        </xdr:cNvPr>
        <xdr:cNvPicPr>
          <a:picLocks noChangeAspect="1"/>
        </xdr:cNvPicPr>
      </xdr:nvPicPr>
      <xdr:blipFill>
        <a:blip xmlns:r="http://schemas.openxmlformats.org/officeDocument/2006/relationships" r:embed="rId2"/>
        <a:stretch>
          <a:fillRect/>
        </a:stretch>
      </xdr:blipFill>
      <xdr:spPr>
        <a:xfrm>
          <a:off x="141515" y="32657"/>
          <a:ext cx="1146147" cy="9327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190423</xdr:colOff>
      <xdr:row>0</xdr:row>
      <xdr:rowOff>158115</xdr:rowOff>
    </xdr:from>
    <xdr:to>
      <xdr:col>1</xdr:col>
      <xdr:colOff>638175</xdr:colOff>
      <xdr:row>4</xdr:row>
      <xdr:rowOff>47624</xdr:rowOff>
    </xdr:to>
    <xdr:pic>
      <xdr:nvPicPr>
        <xdr:cNvPr id="4" name="Imagen 3">
          <a:hlinkClick xmlns:r="http://schemas.openxmlformats.org/officeDocument/2006/relationships" r:id="rId1"/>
          <a:extLst>
            <a:ext uri="{FF2B5EF4-FFF2-40B4-BE49-F238E27FC236}">
              <a16:creationId xmlns="" xmlns:a16="http://schemas.microsoft.com/office/drawing/2014/main" id="{3427627F-93A6-4CC4-8437-A1EAFE94877F}"/>
            </a:ext>
          </a:extLst>
        </xdr:cNvPr>
        <xdr:cNvPicPr>
          <a:picLocks noChangeAspect="1"/>
        </xdr:cNvPicPr>
      </xdr:nvPicPr>
      <xdr:blipFill>
        <a:blip xmlns:r="http://schemas.openxmlformats.org/officeDocument/2006/relationships" r:embed="rId2"/>
        <a:stretch>
          <a:fillRect/>
        </a:stretch>
      </xdr:blipFill>
      <xdr:spPr>
        <a:xfrm>
          <a:off x="190423" y="158115"/>
          <a:ext cx="1228802" cy="8420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0</xdr:colOff>
      <xdr:row>2</xdr:row>
      <xdr:rowOff>0</xdr:rowOff>
    </xdr:from>
    <xdr:to>
      <xdr:col>28</xdr:col>
      <xdr:colOff>432726</xdr:colOff>
      <xdr:row>3</xdr:row>
      <xdr:rowOff>383721</xdr:rowOff>
    </xdr:to>
    <xdr:pic>
      <xdr:nvPicPr>
        <xdr:cNvPr id="2" name="Imagen 1">
          <a:hlinkClick xmlns:r="http://schemas.openxmlformats.org/officeDocument/2006/relationships" r:id="rId1"/>
          <a:extLst>
            <a:ext uri="{FF2B5EF4-FFF2-40B4-BE49-F238E27FC236}">
              <a16:creationId xmlns="" xmlns:a16="http://schemas.microsoft.com/office/drawing/2014/main" id="{3517604B-6D7D-4A81-8D36-2B8335589189}"/>
            </a:ext>
          </a:extLst>
        </xdr:cNvPr>
        <xdr:cNvPicPr>
          <a:picLocks noChangeAspect="1"/>
        </xdr:cNvPicPr>
      </xdr:nvPicPr>
      <xdr:blipFill>
        <a:blip xmlns:r="http://schemas.openxmlformats.org/officeDocument/2006/relationships" r:embed="rId2"/>
        <a:stretch>
          <a:fillRect/>
        </a:stretch>
      </xdr:blipFill>
      <xdr:spPr>
        <a:xfrm>
          <a:off x="20383500" y="180975"/>
          <a:ext cx="1337601" cy="707571"/>
        </a:xfrm>
        <a:prstGeom prst="rect">
          <a:avLst/>
        </a:prstGeom>
      </xdr:spPr>
    </xdr:pic>
    <xdr:clientData/>
  </xdr:twoCellAnchor>
  <xdr:twoCellAnchor editAs="oneCell">
    <xdr:from>
      <xdr:col>1</xdr:col>
      <xdr:colOff>1</xdr:colOff>
      <xdr:row>0</xdr:row>
      <xdr:rowOff>1</xdr:rowOff>
    </xdr:from>
    <xdr:to>
      <xdr:col>2</xdr:col>
      <xdr:colOff>476251</xdr:colOff>
      <xdr:row>2</xdr:row>
      <xdr:rowOff>5660</xdr:rowOff>
    </xdr:to>
    <xdr:pic>
      <xdr:nvPicPr>
        <xdr:cNvPr id="4" name="Imagen 3">
          <a:hlinkClick xmlns:r="http://schemas.openxmlformats.org/officeDocument/2006/relationships" r:id="rId1"/>
          <a:extLst>
            <a:ext uri="{FF2B5EF4-FFF2-40B4-BE49-F238E27FC236}">
              <a16:creationId xmlns="" xmlns:a16="http://schemas.microsoft.com/office/drawing/2014/main" id="{AB9AA800-DA89-4B4E-B6FF-4F90E9E7EDDA}"/>
            </a:ext>
          </a:extLst>
        </xdr:cNvPr>
        <xdr:cNvPicPr>
          <a:picLocks noChangeAspect="1"/>
        </xdr:cNvPicPr>
      </xdr:nvPicPr>
      <xdr:blipFill>
        <a:blip xmlns:r="http://schemas.openxmlformats.org/officeDocument/2006/relationships" r:embed="rId2"/>
        <a:stretch>
          <a:fillRect/>
        </a:stretch>
      </xdr:blipFill>
      <xdr:spPr>
        <a:xfrm>
          <a:off x="247651" y="1"/>
          <a:ext cx="1181100" cy="62478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1171514</xdr:colOff>
      <xdr:row>4</xdr:row>
      <xdr:rowOff>66675</xdr:rowOff>
    </xdr:to>
    <xdr:pic>
      <xdr:nvPicPr>
        <xdr:cNvPr id="4" name="Imagen 3">
          <a:hlinkClick xmlns:r="http://schemas.openxmlformats.org/officeDocument/2006/relationships" r:id="rId1"/>
          <a:extLst>
            <a:ext uri="{FF2B5EF4-FFF2-40B4-BE49-F238E27FC236}">
              <a16:creationId xmlns="" xmlns:a16="http://schemas.microsoft.com/office/drawing/2014/main" id="{DD6AB66A-ABBE-44F6-B25F-86FC683884A5}"/>
            </a:ext>
          </a:extLst>
        </xdr:cNvPr>
        <xdr:cNvPicPr>
          <a:picLocks noChangeAspect="1"/>
        </xdr:cNvPicPr>
      </xdr:nvPicPr>
      <xdr:blipFill>
        <a:blip xmlns:r="http://schemas.openxmlformats.org/officeDocument/2006/relationships" r:embed="rId2"/>
        <a:stretch>
          <a:fillRect/>
        </a:stretch>
      </xdr:blipFill>
      <xdr:spPr>
        <a:xfrm>
          <a:off x="0" y="0"/>
          <a:ext cx="1171514" cy="9334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10886</xdr:colOff>
      <xdr:row>0</xdr:row>
      <xdr:rowOff>65314</xdr:rowOff>
    </xdr:from>
    <xdr:to>
      <xdr:col>2</xdr:col>
      <xdr:colOff>275290</xdr:colOff>
      <xdr:row>5</xdr:row>
      <xdr:rowOff>29254</xdr:rowOff>
    </xdr:to>
    <xdr:pic>
      <xdr:nvPicPr>
        <xdr:cNvPr id="2" name="Imagen 1">
          <a:hlinkClick xmlns:r="http://schemas.openxmlformats.org/officeDocument/2006/relationships" r:id="rId1"/>
          <a:extLst>
            <a:ext uri="{FF2B5EF4-FFF2-40B4-BE49-F238E27FC236}">
              <a16:creationId xmlns="" xmlns:a16="http://schemas.microsoft.com/office/drawing/2014/main" id="{DD169ECA-4CC6-4E50-8FC5-7342CCCCEF64}"/>
            </a:ext>
          </a:extLst>
        </xdr:cNvPr>
        <xdr:cNvPicPr>
          <a:picLocks noChangeAspect="1"/>
        </xdr:cNvPicPr>
      </xdr:nvPicPr>
      <xdr:blipFill>
        <a:blip xmlns:r="http://schemas.openxmlformats.org/officeDocument/2006/relationships" r:embed="rId2"/>
        <a:stretch>
          <a:fillRect/>
        </a:stretch>
      </xdr:blipFill>
      <xdr:spPr>
        <a:xfrm>
          <a:off x="391886" y="65314"/>
          <a:ext cx="1146147" cy="9327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231747</xdr:colOff>
      <xdr:row>3</xdr:row>
      <xdr:rowOff>206628</xdr:rowOff>
    </xdr:to>
    <xdr:pic>
      <xdr:nvPicPr>
        <xdr:cNvPr id="2" name="Imagen 1">
          <a:hlinkClick xmlns:r="http://schemas.openxmlformats.org/officeDocument/2006/relationships" r:id="rId1"/>
          <a:extLst>
            <a:ext uri="{FF2B5EF4-FFF2-40B4-BE49-F238E27FC236}">
              <a16:creationId xmlns="" xmlns:a16="http://schemas.microsoft.com/office/drawing/2014/main" id="{91FA4915-3AE6-46DF-A481-423C30A78E09}"/>
            </a:ext>
          </a:extLst>
        </xdr:cNvPr>
        <xdr:cNvPicPr>
          <a:picLocks noChangeAspect="1"/>
        </xdr:cNvPicPr>
      </xdr:nvPicPr>
      <xdr:blipFill>
        <a:blip xmlns:r="http://schemas.openxmlformats.org/officeDocument/2006/relationships" r:embed="rId2"/>
        <a:stretch>
          <a:fillRect/>
        </a:stretch>
      </xdr:blipFill>
      <xdr:spPr>
        <a:xfrm>
          <a:off x="0" y="0"/>
          <a:ext cx="1146147" cy="9327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536547</xdr:colOff>
      <xdr:row>5</xdr:row>
      <xdr:rowOff>163085</xdr:rowOff>
    </xdr:to>
    <xdr:pic>
      <xdr:nvPicPr>
        <xdr:cNvPr id="2" name="Imagen 1">
          <a:hlinkClick xmlns:r="http://schemas.openxmlformats.org/officeDocument/2006/relationships" r:id="rId1"/>
          <a:extLst>
            <a:ext uri="{FF2B5EF4-FFF2-40B4-BE49-F238E27FC236}">
              <a16:creationId xmlns="" xmlns:a16="http://schemas.microsoft.com/office/drawing/2014/main" id="{E6A9EC2F-029B-4EB0-937C-CC47D6BD6A73}"/>
            </a:ext>
          </a:extLst>
        </xdr:cNvPr>
        <xdr:cNvPicPr>
          <a:picLocks noChangeAspect="1"/>
        </xdr:cNvPicPr>
      </xdr:nvPicPr>
      <xdr:blipFill>
        <a:blip xmlns:r="http://schemas.openxmlformats.org/officeDocument/2006/relationships" r:embed="rId2"/>
        <a:stretch>
          <a:fillRect/>
        </a:stretch>
      </xdr:blipFill>
      <xdr:spPr>
        <a:xfrm>
          <a:off x="0" y="190500"/>
          <a:ext cx="1146147" cy="9250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2605766</xdr:colOff>
      <xdr:row>10</xdr:row>
      <xdr:rowOff>97972</xdr:rowOff>
    </xdr:from>
    <xdr:to>
      <xdr:col>7</xdr:col>
      <xdr:colOff>503465</xdr:colOff>
      <xdr:row>36</xdr:row>
      <xdr:rowOff>68036</xdr:rowOff>
    </xdr:to>
    <xdr:graphicFrame macro="">
      <xdr:nvGraphicFramePr>
        <xdr:cNvPr id="2" name="Gráfico 1">
          <a:extLst>
            <a:ext uri="{FF2B5EF4-FFF2-40B4-BE49-F238E27FC236}">
              <a16:creationId xmlns="" xmlns:a16="http://schemas.microsoft.com/office/drawing/2014/main" id="{8C7E9836-BB06-43F3-ADF1-C1B656BB3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426242</xdr:colOff>
      <xdr:row>3</xdr:row>
      <xdr:rowOff>164306</xdr:rowOff>
    </xdr:from>
    <xdr:to>
      <xdr:col>10</xdr:col>
      <xdr:colOff>47625</xdr:colOff>
      <xdr:row>23</xdr:row>
      <xdr:rowOff>11906</xdr:rowOff>
    </xdr:to>
    <xdr:graphicFrame macro="">
      <xdr:nvGraphicFramePr>
        <xdr:cNvPr id="2" name="Gráfico 1">
          <a:extLst>
            <a:ext uri="{FF2B5EF4-FFF2-40B4-BE49-F238E27FC236}">
              <a16:creationId xmlns="" xmlns:a16="http://schemas.microsoft.com/office/drawing/2014/main" id="{D363CC7F-0434-4538-A5B2-8F49202C3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0</xdr:colOff>
      <xdr:row>2</xdr:row>
      <xdr:rowOff>0</xdr:rowOff>
    </xdr:from>
    <xdr:to>
      <xdr:col>19</xdr:col>
      <xdr:colOff>432036</xdr:colOff>
      <xdr:row>4</xdr:row>
      <xdr:rowOff>210615</xdr:rowOff>
    </xdr:to>
    <xdr:pic>
      <xdr:nvPicPr>
        <xdr:cNvPr id="2" name="Imagen 1">
          <a:hlinkClick xmlns:r="http://schemas.openxmlformats.org/officeDocument/2006/relationships" r:id="rId1"/>
          <a:extLst>
            <a:ext uri="{FF2B5EF4-FFF2-40B4-BE49-F238E27FC236}">
              <a16:creationId xmlns="" xmlns:a16="http://schemas.microsoft.com/office/drawing/2014/main" id="{C9B118CC-974C-40AE-A54F-3B8EA85DC19D}"/>
            </a:ext>
          </a:extLst>
        </xdr:cNvPr>
        <xdr:cNvPicPr>
          <a:picLocks noChangeAspect="1"/>
        </xdr:cNvPicPr>
      </xdr:nvPicPr>
      <xdr:blipFill>
        <a:blip xmlns:r="http://schemas.openxmlformats.org/officeDocument/2006/relationships" r:embed="rId2"/>
        <a:stretch>
          <a:fillRect/>
        </a:stretch>
      </xdr:blipFill>
      <xdr:spPr>
        <a:xfrm>
          <a:off x="30391652" y="265043"/>
          <a:ext cx="1337601" cy="707571"/>
        </a:xfrm>
        <a:prstGeom prst="rect">
          <a:avLst/>
        </a:prstGeom>
      </xdr:spPr>
    </xdr:pic>
    <xdr:clientData/>
  </xdr:twoCellAnchor>
  <xdr:twoCellAnchor editAs="oneCell">
    <xdr:from>
      <xdr:col>0</xdr:col>
      <xdr:colOff>0</xdr:colOff>
      <xdr:row>0</xdr:row>
      <xdr:rowOff>0</xdr:rowOff>
    </xdr:from>
    <xdr:to>
      <xdr:col>1</xdr:col>
      <xdr:colOff>111775</xdr:colOff>
      <xdr:row>1</xdr:row>
      <xdr:rowOff>11832</xdr:rowOff>
    </xdr:to>
    <xdr:pic>
      <xdr:nvPicPr>
        <xdr:cNvPr id="3" name="Imagen 2">
          <a:hlinkClick xmlns:r="http://schemas.openxmlformats.org/officeDocument/2006/relationships" r:id="rId1"/>
          <a:extLst>
            <a:ext uri="{FF2B5EF4-FFF2-40B4-BE49-F238E27FC236}">
              <a16:creationId xmlns="" xmlns:a16="http://schemas.microsoft.com/office/drawing/2014/main" id="{36EE011F-297B-4697-BD35-BC19B463D6D1}"/>
            </a:ext>
          </a:extLst>
        </xdr:cNvPr>
        <xdr:cNvPicPr>
          <a:picLocks noChangeAspect="1"/>
        </xdr:cNvPicPr>
      </xdr:nvPicPr>
      <xdr:blipFill>
        <a:blip xmlns:r="http://schemas.openxmlformats.org/officeDocument/2006/relationships" r:embed="rId2"/>
        <a:stretch>
          <a:fillRect/>
        </a:stretch>
      </xdr:blipFill>
      <xdr:spPr>
        <a:xfrm>
          <a:off x="0" y="0"/>
          <a:ext cx="1337601" cy="707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239486</xdr:colOff>
      <xdr:row>0</xdr:row>
      <xdr:rowOff>130629</xdr:rowOff>
    </xdr:from>
    <xdr:to>
      <xdr:col>3</xdr:col>
      <xdr:colOff>1228744</xdr:colOff>
      <xdr:row>4</xdr:row>
      <xdr:rowOff>54429</xdr:rowOff>
    </xdr:to>
    <xdr:pic>
      <xdr:nvPicPr>
        <xdr:cNvPr id="2" name="Imagen 1">
          <a:hlinkClick xmlns:r="http://schemas.openxmlformats.org/officeDocument/2006/relationships" r:id="rId1"/>
          <a:extLst>
            <a:ext uri="{FF2B5EF4-FFF2-40B4-BE49-F238E27FC236}">
              <a16:creationId xmlns="" xmlns:a16="http://schemas.microsoft.com/office/drawing/2014/main" id="{FBF90A5F-3A96-4DF8-893A-BB44BB9A719D}"/>
            </a:ext>
          </a:extLst>
        </xdr:cNvPr>
        <xdr:cNvPicPr>
          <a:picLocks noChangeAspect="1"/>
        </xdr:cNvPicPr>
      </xdr:nvPicPr>
      <xdr:blipFill>
        <a:blip xmlns:r="http://schemas.openxmlformats.org/officeDocument/2006/relationships" r:embed="rId2"/>
        <a:stretch>
          <a:fillRect/>
        </a:stretch>
      </xdr:blipFill>
      <xdr:spPr>
        <a:xfrm>
          <a:off x="239486" y="130629"/>
          <a:ext cx="1337601" cy="707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141514</xdr:colOff>
      <xdr:row>0</xdr:row>
      <xdr:rowOff>119743</xdr:rowOff>
    </xdr:from>
    <xdr:to>
      <xdr:col>3</xdr:col>
      <xdr:colOff>1130772</xdr:colOff>
      <xdr:row>4</xdr:row>
      <xdr:rowOff>43543</xdr:rowOff>
    </xdr:to>
    <xdr:pic>
      <xdr:nvPicPr>
        <xdr:cNvPr id="3" name="Imagen 2">
          <a:hlinkClick xmlns:r="http://schemas.openxmlformats.org/officeDocument/2006/relationships" r:id="rId1"/>
          <a:extLst>
            <a:ext uri="{FF2B5EF4-FFF2-40B4-BE49-F238E27FC236}">
              <a16:creationId xmlns="" xmlns:a16="http://schemas.microsoft.com/office/drawing/2014/main" id="{0602E64A-5302-463A-9C98-08CA836B13EE}"/>
            </a:ext>
          </a:extLst>
        </xdr:cNvPr>
        <xdr:cNvPicPr>
          <a:picLocks noChangeAspect="1"/>
        </xdr:cNvPicPr>
      </xdr:nvPicPr>
      <xdr:blipFill>
        <a:blip xmlns:r="http://schemas.openxmlformats.org/officeDocument/2006/relationships" r:embed="rId2"/>
        <a:stretch>
          <a:fillRect/>
        </a:stretch>
      </xdr:blipFill>
      <xdr:spPr>
        <a:xfrm>
          <a:off x="141514" y="119743"/>
          <a:ext cx="1337601" cy="7075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217714</xdr:colOff>
      <xdr:row>0</xdr:row>
      <xdr:rowOff>163286</xdr:rowOff>
    </xdr:from>
    <xdr:to>
      <xdr:col>3</xdr:col>
      <xdr:colOff>1206972</xdr:colOff>
      <xdr:row>4</xdr:row>
      <xdr:rowOff>87086</xdr:rowOff>
    </xdr:to>
    <xdr:pic>
      <xdr:nvPicPr>
        <xdr:cNvPr id="2" name="Imagen 1">
          <a:hlinkClick xmlns:r="http://schemas.openxmlformats.org/officeDocument/2006/relationships" r:id="rId1"/>
          <a:extLst>
            <a:ext uri="{FF2B5EF4-FFF2-40B4-BE49-F238E27FC236}">
              <a16:creationId xmlns="" xmlns:a16="http://schemas.microsoft.com/office/drawing/2014/main" id="{FB659115-D502-464B-AEC0-06997E7D2D1A}"/>
            </a:ext>
          </a:extLst>
        </xdr:cNvPr>
        <xdr:cNvPicPr>
          <a:picLocks noChangeAspect="1"/>
        </xdr:cNvPicPr>
      </xdr:nvPicPr>
      <xdr:blipFill>
        <a:blip xmlns:r="http://schemas.openxmlformats.org/officeDocument/2006/relationships" r:embed="rId2"/>
        <a:stretch>
          <a:fillRect/>
        </a:stretch>
      </xdr:blipFill>
      <xdr:spPr>
        <a:xfrm>
          <a:off x="217714" y="163286"/>
          <a:ext cx="1337601" cy="7075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131971</xdr:colOff>
      <xdr:row>0</xdr:row>
      <xdr:rowOff>76200</xdr:rowOff>
    </xdr:from>
    <xdr:to>
      <xdr:col>3</xdr:col>
      <xdr:colOff>1164772</xdr:colOff>
      <xdr:row>4</xdr:row>
      <xdr:rowOff>0</xdr:rowOff>
    </xdr:to>
    <xdr:pic>
      <xdr:nvPicPr>
        <xdr:cNvPr id="3" name="Imagen 2">
          <a:hlinkClick xmlns:r="http://schemas.openxmlformats.org/officeDocument/2006/relationships" r:id="rId1"/>
          <a:extLst>
            <a:ext uri="{FF2B5EF4-FFF2-40B4-BE49-F238E27FC236}">
              <a16:creationId xmlns="" xmlns:a16="http://schemas.microsoft.com/office/drawing/2014/main" id="{1519716B-8DA9-4816-B7FE-0A5B13E6A6DC}"/>
            </a:ext>
          </a:extLst>
        </xdr:cNvPr>
        <xdr:cNvPicPr>
          <a:picLocks noChangeAspect="1"/>
        </xdr:cNvPicPr>
      </xdr:nvPicPr>
      <xdr:blipFill>
        <a:blip xmlns:r="http://schemas.openxmlformats.org/officeDocument/2006/relationships" r:embed="rId2"/>
        <a:stretch>
          <a:fillRect/>
        </a:stretch>
      </xdr:blipFill>
      <xdr:spPr>
        <a:xfrm>
          <a:off x="131971" y="76200"/>
          <a:ext cx="1337601" cy="707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VAN\EII\CONSULTORIA%20MDA\EJECUCION\PRODUCTO%204%20B\PRODUCTO%204_%20SAN%20MART&#205;N%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Política SM"/>
      <sheetName val="Teoría de Cambio San Martín"/>
      <sheetName val="Intervenciones UDT - HCBM"/>
      <sheetName val="Intervenciones UDT- AM"/>
      <sheetName val="Intervenciones UDT - AH"/>
      <sheetName val="Intervenciones UDT- BH"/>
      <sheetName val="Intervenciones Transv. Regional"/>
      <sheetName val="Resumen de intervenciones y uni"/>
      <sheetName val="BASE  CONSOLIDADA"/>
      <sheetName val="Estadistica"/>
      <sheetName val="Gráfico2"/>
      <sheetName val="Gráfico1"/>
      <sheetName val="METAS"/>
      <sheetName val="Priorizaión Talleres"/>
      <sheetName val="Mecanismos"/>
      <sheetName val="DISTRIB DE USAs EN LAS UDTs"/>
      <sheetName val="DISTRIB DE INTERV x UDT"/>
      <sheetName val="INTERV  X USA -PRIORIZA"/>
      <sheetName val="INTERV x APALANCTO"/>
      <sheetName val="APALANCTO x UDT "/>
      <sheetName val="APALANCT x USA"/>
      <sheetName val="INTERV y PRESUP x UDT"/>
      <sheetName val="INTERV y PRESUP x USA"/>
      <sheetName val="Ranking Interv x #"/>
      <sheetName val="Ranking Interv x Presup"/>
      <sheetName val="DESPLEGABLE UDT-USA-INTERV"/>
      <sheetName val="Dist X UDT"/>
      <sheetName val="Distr X USA"/>
    </sheetNames>
    <sheetDataSet>
      <sheetData sheetId="0"/>
      <sheetData sheetId="1"/>
      <sheetData sheetId="2"/>
      <sheetData sheetId="3"/>
      <sheetData sheetId="4"/>
      <sheetData sheetId="5"/>
      <sheetData sheetId="6"/>
      <sheetData sheetId="7"/>
      <sheetData sheetId="8"/>
      <sheetData sheetId="9">
        <row r="3">
          <cell r="L3" t="str">
            <v>Intervenciones</v>
          </cell>
          <cell r="M3" t="str">
            <v>Presupuesto</v>
          </cell>
        </row>
        <row r="4">
          <cell r="K4" t="str">
            <v>1. UDT ALTO HUALLAGA</v>
          </cell>
          <cell r="L4">
            <v>63</v>
          </cell>
          <cell r="M4">
            <v>480567669.95654762</v>
          </cell>
        </row>
        <row r="5">
          <cell r="K5" t="str">
            <v>2. UDT ALTO MAYO</v>
          </cell>
          <cell r="L5">
            <v>66</v>
          </cell>
          <cell r="M5">
            <v>574358823.90087414</v>
          </cell>
        </row>
        <row r="6">
          <cell r="K6" t="str">
            <v>3. UDT BAJO HUALLAGA</v>
          </cell>
          <cell r="L6">
            <v>64</v>
          </cell>
          <cell r="M6">
            <v>460533750.57873452</v>
          </cell>
        </row>
        <row r="7">
          <cell r="K7" t="str">
            <v>4. UDT HUALLAGA CENTRAL</v>
          </cell>
          <cell r="L7">
            <v>70</v>
          </cell>
          <cell r="M7">
            <v>1338088318.1214883</v>
          </cell>
        </row>
        <row r="8">
          <cell r="K8" t="str">
            <v>TRANSVERSAL REGIONAL</v>
          </cell>
          <cell r="L8">
            <v>38</v>
          </cell>
          <cell r="M8">
            <v>124911309</v>
          </cell>
        </row>
      </sheetData>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Patricia Luna del Pozo" id="{88ACEA7F-FCD8-4F83-AE94-27E7E86598BE}" userId="239f7831a6f46efd" providerId="Windows Live"/>
  <person displayName="Mercedes Dávila Reátegui" id="{C500BE96-C62C-4866-99E4-E78D42CBB10C}" userId="579982f144ddba1a"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Excel Services" refreshedDate="44094.974326504627" createdVersion="6" refreshedVersion="6" minRefreshableVersion="3" recordCount="302">
  <cacheSource type="worksheet">
    <worksheetSource ref="B6:AS308" sheet="8. BASE  CONSOLIDADA"/>
  </cacheSource>
  <cacheFields count="35">
    <cacheField name="UDT" numFmtId="0">
      <sharedItems count="5">
        <s v="UDT HUALLAGA CENTRAL Y BAJO MAYO"/>
        <s v="UDT ALTO MAYO"/>
        <s v="UDT BAJO HUALLAGA"/>
        <s v="UDT ALTO HUALLAGA "/>
        <s v="REGIONAL"/>
      </sharedItems>
    </cacheField>
    <cacheField name="USA" numFmtId="0">
      <sharedItems count="16">
        <s v="Predios de agricultura familiar con producción destinada al autoconsumo y productos de exportación, con título o sin título de propiedad."/>
        <s v="Predios privados dedicados a la producción comercial (arroz) "/>
        <s v="Predios privados para ganadería de leche y carne"/>
        <s v="Territorios de comunidades nativas"/>
        <s v="Concesiones para conservación y ecoturismo "/>
        <s v="Concesiones Forestales Maderables "/>
        <s v="Parque Nacional Cordillera Azul"/>
        <s v="Parque Nacional del Río Abiseo"/>
        <s v="ZOCRES"/>
        <s v="Tierras sin categoría territorial asignada"/>
        <s v="Intervenciones Transversales x UDT"/>
        <s v="Bosque de Protección Alto Mayo"/>
        <s v="Empresas comercializadoras de palma y sus derivados."/>
        <s v="ACR Cordillera Escalera "/>
        <s v="Área de Conservación Regional Bosque Shunte y Mishollo"/>
        <s v="Intervenciones Transversales X Región"/>
      </sharedItems>
    </cacheField>
    <cacheField name="TIPO DE APALANCAMIENTO" numFmtId="0">
      <sharedItems count="7">
        <s v="Invasiones"/>
        <s v="Programas de inversión pública"/>
        <s v="Programas de inversión privada"/>
        <s v="Ingresos y Capital"/>
        <s v="Control y vigilancia"/>
        <s v="Corrupción"/>
        <s v="Invasiones "/>
      </sharedItems>
    </cacheField>
    <cacheField name="N°" numFmtId="0">
      <sharedItems containsMixedTypes="1" containsNumber="1" containsInteger="1" minValue="1" maxValue="33"/>
    </cacheField>
    <cacheField name="Intervención " numFmtId="0">
      <sharedItems containsBlank="1" count="109">
        <s v="Otorgamiento de derechos sobre la tierra/bosques"/>
        <s v="Asistencia técnica con enfoque bajo en emisiones"/>
        <s v="Manejo, conservación y recuperación de suelos degradados"/>
        <s v="Fertilización de áreas productivas de acuerdo a la etapa fenológica del cultivo"/>
        <s v="Instalación de sistemas de fertirriego"/>
        <s v="Reconversión y diversificación productiva "/>
        <s v="Promoción de agricultura familiar con enfoque de mercado"/>
        <s v="Asistencia técnica para el desarrollo de la acuicultura"/>
        <s v="Incentivos financieros para la acuicultura "/>
        <s v="Programa de acceso al financiamiento agropecuario condicionado"/>
        <s v="Implementación de infraestructura productiva con énfasis a la agro exportación "/>
        <s v="Fortalecimiento de capacidades en gestión de la calidad en las distintas cadenas de valor "/>
        <s v="Promoción de modelos asociativos sostenibles"/>
        <s v="Certificación orgánica y  Comercio Justo"/>
        <s v="Promoción y acceso a los Mecanismos de Retribución por Servicios Eco sistémicos (MERESE)"/>
        <s v="Promoción y desarrollo de proveedores de semillas mejoradas"/>
        <s v="Promoción de Sistemas de producción sostenibles"/>
        <s v="Implementación de infraestructura productiva baja en emisiones"/>
        <s v="Asistencia técnica para el mejoramiento de pastos y ganadería "/>
        <s v="Mejoramiento genético de ganado bovino"/>
        <s v="Concluir reconocimiento y titulación "/>
        <s v="Asistencia técnica para el manejo agroforestal "/>
        <s v="Promoción de Bionegocios con productos forestales no maderables "/>
        <s v="Fortalecimiento de capacidades"/>
        <s v="Identificación y apertura de mercado para productos del bosque."/>
        <s v="Transferencias de Incentivos para protección de bosques"/>
        <s v="Infraestructura comunitaria ( Tambos, Cobertizos, almacenes, cocinas mejoradas, Baños)"/>
        <s v="Servicios básicos de calidad"/>
        <s v="Incentivos financieros para promoción del ecoturismo y turismo comunitario"/>
        <s v="Asistencia técnica para la gestión del turismo y acciones integradas para el desarrollo de las organizaciones  o emprendimientos comunitarios"/>
        <s v=" Promoción de mercados turísticos"/>
        <s v="Exclusión y compensación de concesiones forestales maderables a solicitud del concesionario"/>
        <s v="Incentivos financieros para manejo forestal sostenible"/>
        <s v="Nuevos mecanismos de pagos de deudas por sanciones"/>
        <s v="Sensibilización para el fortalecimiento del control y vigilancia en zona de amortiguamiento"/>
        <s v="Fortalecer el control y vigilancia"/>
        <s v="Promover acuerdos de conservación con cadena de valor para aquellos productos sostenibles con el parque."/>
        <s v="Promoción del turismo comunitario en zona de amortiguamiento y al interior del parque"/>
        <s v="Promoción de agroforestería sostenible en zona de amortiguamiento y al interior del parque"/>
        <s v="Promoción de agroforestería sostenible en zona de amortiguamiento del parque"/>
        <s v="Adecuación de ZoCRE a unidad de ordenamiento forestal y/o titulo habilitante forestal y de fauna silvestre de acuerdo a LFFS (Ley No 29763)"/>
        <s v="Fortalecimiento de capacidades de los responsables de la administración de las nuevas categorías de ordenamiento forestal y títulos habilitantes forestales"/>
        <s v="Elaboración del plan/declaración de manejo de las nuevas categorías de ordenamiento forestal y títulos habilitantes forestales"/>
        <s v="Inscripción en el catastro forestal y en registros públicos"/>
        <s v="Creación y establecimiento de unidades de ordenamiento forestal, otorgamiento de títulos habilitantes forestales y tenencia de la tierra"/>
        <s v="Restauración de áreas degradadas"/>
        <s v="Acuerdos con rondas campesinas y rondas nativas para cumplimiento de compromisos de no deforestación y tráfico de tierras e invasiones"/>
        <s v="Fortalecimiento del monitoreo de la cobertura de bosques y control de la tala ilegal (deforestación, extracción de especies forestales de valor comercial y forestales para tutores de cultivos)"/>
        <s v="Mejoramiento de vías de acceso"/>
        <s v="Restauración ecológica del paisaje"/>
        <s v="Mejor cobertura y calidad de servicios de educación y salud"/>
        <s v="Programa de servicios públicos móviles"/>
        <s v="Promoción Marca &quot;San Martín Región&quot; y &quot;Aliados por la Conservación&quot; "/>
        <s v="Solución de conflictos en las CCNN"/>
        <s v="Transferencias de incentivos por conservación de bosques"/>
        <s v="Incentivos financieros para la promoción del ecoturismo y turismo comunitario"/>
        <s v="Promover acuerdos de conservación con cadena de valor para aquellos productos sostenibles con el ANP"/>
        <s v="Promoción del turismo comunitario en zona de amortiguamiento y al interior del ANP"/>
        <s v="Promoción de agroforestería sostenible en zona de amortiguamiento y al interior del BPAM"/>
        <s v="Asistencia técnica para el desarrollo agroforestal diseñados e implementados junto a SERNANP"/>
        <s v="Certificación RSPO"/>
        <s v="Acceso a financiamiento para modelos de asociación con pequeños productores"/>
        <s v="Acompañamiento de acuerdos comerciales entre empresas y medianos productores"/>
        <s v="Ampliación de estudios de HCS y HCV para nuevas áreas potenciales para asociación con pequeños productores"/>
        <s v="Promover la planificación comunal en centros poblados del interior en base a la zonificación y zona de amortiguamiento teniendo como base al Plan Maestro (incluye acuerdos de conservación)"/>
        <s v="Promoción y difusión de circuitos turísticos en zona de amortiguamiento"/>
        <s v="Promoción de agroforestería sostenible en zona de amortiguamiento"/>
        <s v="Recuperación de la red hídrica en la zona de influencia de la ACR"/>
        <s v="Asistencia técnica para el desarrollo agroforestal diseñados e implementados"/>
        <s v="Elaborar lineamientos de uso de recursos y demarcación de límites"/>
        <s v="Acuerdos con rondas campesinas para cumplimiento de compromisos de no deforestación y tráfico de tierras e invasiones"/>
        <s v="Mejora de programas de desarrollo alternativo con salvaguardas ambientales"/>
        <s v="Zonificación Agroecológica"/>
        <s v="Zonificación forestal, bosques sin categoría asignada, incluyendo ZOCREs actuales y propuestas."/>
        <s v="Promoción de actividad agrícola, pecuaria y acuícola adaptada al cambio climático."/>
        <s v="Aprovechamiento del recurso forestal maderable, provenientes de sistemas agroforestales sostenibles."/>
        <s v="Programa de incentivos a la restauración comunitaria con salvaguardas sociales y ambientales"/>
        <s v="Implementación del FONDESAM"/>
        <s v="Programa de Gestión Empresarial"/>
        <s v="Implementación de la &quot;Marca San Martín Región&quot;"/>
        <s v="Fortalecimiento de la equidad de género y poblaciones vulnerables"/>
        <s v="Programa de emprendimiento rural juvenil, para promover el empalme generacional."/>
        <s v="Mejorar la competitividad de la oferta e identificación de la demanda turística."/>
        <s v="Promoción de la planificación comunal en centros poblados."/>
        <s v="Fortalecer los procesos de Investigación, innovación, y transferencia tecnológica para la producción baja en emisiones."/>
        <s v="_x000a_Promoción de emprendimientos agroindustriales de la pequeña empresa sobre la base de los productos del biocomercio "/>
        <s v="Promoción de productos derivados y gestión de calidad"/>
        <s v="Implementación del Sistema de formalización del uso de la tierra y Recursos Naturales."/>
        <s v="Promover servicios de asesoramiento empresarial en inversiones y facilitación del crédito"/>
        <s v="Diseño de productos financieros para la producción baja en emisiones"/>
        <s v="Promoción y Desarrollo de alianzas comerciales entre grandes, medianas, pequeñas empresas y productores organizados y no organizados para producción baja en emisiones."/>
        <s v="Estrategia de promoción de productos regionales bajos en emisiones."/>
        <s v="Acuerdo regional de producción baja en emisiones e implementación de iniciativa de campeones por los bosques tropicales (TFC) en el marco de la coalición público privada por una producción sostenible."/>
        <s v="Programa de capacitación para funcionarios del gobierno regional sobre ética y anticorrupción."/>
        <s v="Simplificación administrativa de tramites de derechos sobre la tierra y los recursos naturales."/>
        <s v="Implementar un clasificador de cargos acorde a la normativa vigente para lograr la competitividad de los funcionarios públicos. "/>
        <s v="Fortalecimiento de la oficina de control interno del Gobierno Regional San Martín y la fiscalía anticorrupción regional."/>
        <s v="Campañas de difusión y promoción para prevenir actos de corrupcion en los procesos del codigo de ética de la gestión pública. "/>
        <s v="Implementación de la mesa regional de control y vigilancia forestal y de fauna silvestre."/>
        <s v="Capacitación a comunidades nativas, campesinas y custodios forestales."/>
        <s v="Equipamiento a rondas y custodios forestales."/>
        <s v="Implementación de unidad de control forestal y de fauna silvestre en el ARA (gastos corrientes)."/>
        <s v="Implementación de unidad de control forestal y de fauna silvestre en el ARA (gastos de inversión)."/>
        <s v="Fortalecimiento de las fiscalías especializadas en materia ambiental regionales. (A)"/>
        <s v="Fortalecimiento de las fiscalías especializadas en materia ambiental regionales. (B)"/>
        <s v="Implementación de operativos coordinados para el control forestal."/>
        <s v="Elaboración, aprobación e implementación de procedimiento regional integrado del cambio de uso actual para tierras A y C (Articulo No 38 LFFS Ley No 29763) con procedimientos de otorgamiento de la propiedad agraria (titulación de predios y adjudicaciones)"/>
        <m u="1"/>
        <s v="Promover la planificación comunal en centros poblados en base a la zonificación y zona de amortiguamiento teniendo como base al Plan Maestro (incluye acuerdos de conservación)" u="1"/>
      </sharedItems>
    </cacheField>
    <cacheField name="Descripción " numFmtId="0">
      <sharedItems longText="1"/>
    </cacheField>
    <cacheField name="Tipo de Recurso" numFmtId="0">
      <sharedItems/>
    </cacheField>
    <cacheField name="Programa / Proyecto" numFmtId="0">
      <sharedItems count="3">
        <s v="Programa de incentivos públicos promoviendo el bienestrar sostenible de sus habilitantes"/>
        <s v="Programa de produccion y tecnolgía para el desarrollo sostenible"/>
        <s v="Programa  de Gestion sostenible de los bosques amazónicos frente al cambio climatico."/>
      </sharedItems>
    </cacheField>
    <cacheField name="Componente" numFmtId="0">
      <sharedItems count="10">
        <s v="Titulización y gobernanza"/>
        <s v="Producción sostenible de bienes y servicios"/>
        <s v="Iniciativa productiva sostenible (Proyectos: diversificacion de productos, tecnología)"/>
        <s v="Financiamiento "/>
        <s v="Fortalecimiento de capacidades socio empresariales en las organizaciones "/>
        <s v="Promoción de mercado"/>
        <s v="Gestión sostenible de los bosques amazónicos  adoptando medidas frente al cambio climático"/>
        <s v="Emprendimientos sostenibles "/>
        <s v="Desarrollo socio económico de la población rural"/>
        <s v="Desarrollo de las unidades territoriales"/>
      </sharedItems>
    </cacheField>
    <cacheField name="Cod Componete" numFmtId="0">
      <sharedItems/>
    </cacheField>
    <cacheField name="Enfoque" numFmtId="0">
      <sharedItems/>
    </cacheField>
    <cacheField name="Nombre Cat" numFmtId="0">
      <sharedItems count="19">
        <s v="DERECHOS SOBRE LA TIERRA"/>
        <s v="ASISTENCIA TÉCNICA"/>
        <s v="TECNOLOGÍA"/>
        <s v="RECONVERSIÓN"/>
        <s v="CAPACITACIÓN"/>
        <s v="FINANCIAMIENTO"/>
        <s v="INFRAESTRUCTURA"/>
        <s v="ASOCIATIVIDAD"/>
        <s v="MERCADO"/>
        <s v="SERVICIOS ECOSISTÉMICOS"/>
        <s v="INNOVACIÓN"/>
        <s v="SERVICIO DE EDUCACIÓN Y SALUD ADECUADOS"/>
        <s v="PROMOCIÓN ACTIVIDADES ECONÓMICOS"/>
        <s v="GESTIÓN PUBLICA"/>
        <s v="CONTROL Y VIGILANCIA"/>
        <s v="PLANES DE VIDA"/>
        <s v="TRANSVERSALES X UDT"/>
        <s v="GOBERNANZA"/>
        <s v="TRANSVERSAL REGIONAL"/>
      </sharedItems>
    </cacheField>
    <cacheField name="INC" numFmtId="0">
      <sharedItems/>
    </cacheField>
    <cacheField name="Indicador " numFmtId="0">
      <sharedItems/>
    </cacheField>
    <cacheField name="N° de Referencia para meta" numFmtId="0">
      <sharedItems containsSemiMixedTypes="0" containsString="0" containsNumber="1" minValue="0" maxValue="493395.07454789948"/>
    </cacheField>
    <cacheField name="Meta al 2025" numFmtId="0">
      <sharedItems containsSemiMixedTypes="0" containsString="0" containsNumber="1" minValue="0" maxValue="493395.07454789948"/>
    </cacheField>
    <cacheField name="Meta al 2030" numFmtId="0">
      <sharedItems containsString="0" containsBlank="1" containsNumber="1" minValue="0" maxValue="493395.07454789948"/>
    </cacheField>
    <cacheField name="Precio/Costo Unitario en S/" numFmtId="0">
      <sharedItems containsSemiMixedTypes="0" containsString="0" containsNumber="1" minValue="0.98" maxValue="47000000"/>
    </cacheField>
    <cacheField name="Criterio de precio o costo" numFmtId="0">
      <sharedItems longText="1"/>
    </cacheField>
    <cacheField name="Fuente de Información" numFmtId="0">
      <sharedItems containsMixedTypes="1" containsNumber="1" containsInteger="1" minValue="0" maxValue="0"/>
    </cacheField>
    <cacheField name="2025 S/" numFmtId="3">
      <sharedItems containsSemiMixedTypes="0" containsString="0" containsNumber="1" minValue="3000" maxValue="240462450"/>
    </cacheField>
    <cacheField name="2030 S/" numFmtId="3">
      <sharedItems containsSemiMixedTypes="0" containsString="0" containsNumber="1" minValue="0" maxValue="336647429.99999994"/>
    </cacheField>
    <cacheField name="Año 1" numFmtId="3">
      <sharedItems containsSemiMixedTypes="0" containsString="0" containsNumber="1" minValue="0" maxValue="48092490"/>
    </cacheField>
    <cacheField name="Año 2" numFmtId="3">
      <sharedItems containsSemiMixedTypes="0" containsString="0" containsNumber="1" minValue="0" maxValue="48092490"/>
    </cacheField>
    <cacheField name="Año 3" numFmtId="3">
      <sharedItems containsSemiMixedTypes="0" containsString="0" containsNumber="1" minValue="0" maxValue="48092490"/>
    </cacheField>
    <cacheField name="Año 4" numFmtId="3">
      <sharedItems containsSemiMixedTypes="0" containsString="0" containsNumber="1" minValue="0" maxValue="48092490"/>
    </cacheField>
    <cacheField name="Año 5" numFmtId="3">
      <sharedItems containsSemiMixedTypes="0" containsString="0" containsNumber="1" minValue="0" maxValue="48092490"/>
    </cacheField>
    <cacheField name="Observación" numFmtId="0">
      <sharedItems containsSemiMixedTypes="0" containsString="0" containsNumber="1" containsInteger="1" minValue="0" maxValue="0"/>
    </cacheField>
    <cacheField name="Mecanismo de mercado (liberalizar, facilitar o promover)" numFmtId="0">
      <sharedItems containsBlank="1"/>
    </cacheField>
    <cacheField name="Mecanismos de no mercado (intervención directa, organismo público, tercerizar) " numFmtId="0">
      <sharedItems containsBlank="1" containsMixedTypes="1" containsNumber="1" containsInteger="1" minValue="0" maxValue="0"/>
    </cacheField>
    <cacheField name="Estimulo (incentivo económico o no económico, desincentivo económico o no económico) " numFmtId="0">
      <sharedItems containsBlank="1" containsMixedTypes="1" containsNumber="1" containsInteger="1" minValue="0" maxValue="0"/>
    </cacheField>
    <cacheField name="Otro (subsidio, salvaguarda) " numFmtId="0">
      <sharedItems containsNonDate="0" containsString="0" containsBlank="1"/>
    </cacheField>
    <cacheField name="Posible RE" numFmtId="0">
      <sharedItems containsBlank="1" containsMixedTypes="1" containsNumber="1" containsInteger="1" minValue="0" maxValue="0"/>
    </cacheField>
    <cacheField name="Criterio de Priorización" numFmtId="0">
      <sharedItems containsMixedTypes="1" containsNumber="1" containsInteger="1" minValue="1" maxValue="3"/>
    </cacheField>
    <cacheField name="x"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xcel Services" refreshedDate="44094.974326736112" createdVersion="6" refreshedVersion="6" minRefreshableVersion="3" recordCount="302">
  <cacheSource type="worksheet">
    <worksheetSource ref="B6:AR308" sheet="8. BASE  CONSOLIDADA"/>
  </cacheSource>
  <cacheFields count="34">
    <cacheField name="UDT" numFmtId="0">
      <sharedItems count="5">
        <s v="UDT HUALLAGA CENTRAL Y BAJO MAYO"/>
        <s v="UDT ALTO MAYO"/>
        <s v="UDT BAJO HUALLAGA"/>
        <s v="UDT ALTO HUALLAGA "/>
        <s v="REGIONAL"/>
      </sharedItems>
    </cacheField>
    <cacheField name="USA" numFmtId="0">
      <sharedItems count="16">
        <s v="Predios de agricultura familiar con producción destinada al autoconsumo y productos de exportación, con título o sin título de propiedad."/>
        <s v="Predios privados dedicados a la producción comercial (arroz) "/>
        <s v="Predios privados para ganadería de leche y carne"/>
        <s v="Territorios de comunidades nativas"/>
        <s v="Concesiones para conservación y ecoturismo "/>
        <s v="Concesiones Forestales Maderables "/>
        <s v="Parque Nacional Cordillera Azul"/>
        <s v="Parque Nacional del Río Abiseo"/>
        <s v="ZOCRES"/>
        <s v="Tierras sin categoría territorial asignada"/>
        <s v="Intervenciones Transversales x UDT"/>
        <s v="Bosque de Protección Alto Mayo"/>
        <s v="Empresas comercializadoras de palma y sus derivados."/>
        <s v="ACR Cordillera Escalera "/>
        <s v="Área de Conservación Regional Bosque Shunte y Mishollo"/>
        <s v="Intervenciones Transversales X Región"/>
      </sharedItems>
    </cacheField>
    <cacheField name="TIPO DE APALANCAMIENTO" numFmtId="0">
      <sharedItems/>
    </cacheField>
    <cacheField name="N°" numFmtId="0">
      <sharedItems containsMixedTypes="1" containsNumber="1" containsInteger="1" minValue="1" maxValue="33"/>
    </cacheField>
    <cacheField name="Intervención " numFmtId="0">
      <sharedItems containsBlank="1" count="109">
        <s v="Otorgamiento de derechos sobre la tierra/bosques"/>
        <s v="Asistencia técnica con enfoque bajo en emisiones"/>
        <s v="Manejo, conservación y recuperación de suelos degradados"/>
        <s v="Fertilización de áreas productivas de acuerdo a la etapa fenológica del cultivo"/>
        <s v="Instalación de sistemas de fertirriego"/>
        <s v="Reconversión y diversificación productiva "/>
        <s v="Promoción de agricultura familiar con enfoque de mercado"/>
        <s v="Asistencia técnica para el desarrollo de la acuicultura"/>
        <s v="Incentivos financieros para la acuicultura "/>
        <s v="Programa de acceso al financiamiento agropecuario condicionado"/>
        <s v="Implementación de infraestructura productiva con énfasis a la agro exportación "/>
        <s v="Fortalecimiento de capacidades en gestión de la calidad en las distintas cadenas de valor "/>
        <s v="Promoción de modelos asociativos sostenibles"/>
        <s v="Certificación orgánica y  Comercio Justo"/>
        <s v="Promoción y acceso a los Mecanismos de Retribución por Servicios Eco sistémicos (MERESE)"/>
        <s v="Promoción y desarrollo de proveedores de semillas mejoradas"/>
        <s v="Promoción de Sistemas de producción sostenibles"/>
        <s v="Implementación de infraestructura productiva baja en emisiones"/>
        <s v="Asistencia técnica para el mejoramiento de pastos y ganadería "/>
        <s v="Mejoramiento genético de ganado bovino"/>
        <s v="Concluir reconocimiento y titulación "/>
        <s v="Asistencia técnica para el manejo agroforestal "/>
        <s v="Promoción de Bionegocios con productos forestales no maderables "/>
        <s v="Fortalecimiento de capacidades"/>
        <s v="Identificación y apertura de mercado para productos del bosque."/>
        <s v="Transferencias de Incentivos para protección de bosques"/>
        <s v="Infraestructura comunitaria ( Tambos, Cobertizos, almacenes, cocinas mejoradas, Baños)"/>
        <s v="Servicios básicos de calidad"/>
        <s v="Incentivos financieros para promoción del ecoturismo y turismo comunitario"/>
        <s v="Asistencia técnica para la gestión del turismo y acciones integradas para el desarrollo de las organizaciones  o emprendimientos comunitarios"/>
        <s v=" Promoción de mercados turísticos"/>
        <s v="Exclusión y compensación de concesiones forestales maderables a solicitud del concesionario"/>
        <s v="Incentivos financieros para manejo forestal sostenible"/>
        <s v="Nuevos mecanismos de pagos de deudas por sanciones"/>
        <s v="Sensibilización para el fortalecimiento del control y vigilancia en zona de amortiguamiento"/>
        <s v="Fortalecer el control y vigilancia"/>
        <s v="Promover acuerdos de conservación con cadena de valor para aquellos productos sostenibles con el parque."/>
        <s v="Promoción del turismo comunitario en zona de amortiguamiento y al interior del parque"/>
        <s v="Promoción de agroforestería sostenible en zona de amortiguamiento y al interior del parque"/>
        <s v="Promoción de agroforestería sostenible en zona de amortiguamiento del parque"/>
        <s v="Adecuación de ZoCRE a unidad de ordenamiento forestal y/o titulo habilitante forestal y de fauna silvestre de acuerdo a LFFS (Ley No 29763)"/>
        <s v="Fortalecimiento de capacidades de los responsables de la administración de las nuevas categorías de ordenamiento forestal y títulos habilitantes forestales"/>
        <s v="Elaboración del plan/declaración de manejo de las nuevas categorías de ordenamiento forestal y títulos habilitantes forestales"/>
        <s v="Inscripción en el catastro forestal y en registros públicos"/>
        <s v="Creación y establecimiento de unidades de ordenamiento forestal, otorgamiento de títulos habilitantes forestales y tenencia de la tierra"/>
        <s v="Restauración de áreas degradadas"/>
        <s v="Acuerdos con rondas campesinas y rondas nativas para cumplimiento de compromisos de no deforestación y tráfico de tierras e invasiones"/>
        <s v="Fortalecimiento del monitoreo de la cobertura de bosques y control de la tala ilegal (deforestación, extracción de especies forestales de valor comercial y forestales para tutores de cultivos)"/>
        <s v="Mejoramiento de vías de acceso"/>
        <s v="Restauración ecológica del paisaje"/>
        <s v="Mejor cobertura y calidad de servicios de educación y salud"/>
        <s v="Programa de servicios públicos móviles"/>
        <s v="Promoción Marca &quot;San Martín Región&quot; y &quot;Aliados por la Conservación&quot; "/>
        <s v="Solución de conflictos en las CCNN"/>
        <s v="Transferencias de incentivos por conservación de bosques"/>
        <s v="Incentivos financieros para la promoción del ecoturismo y turismo comunitario"/>
        <s v="Promover acuerdos de conservación con cadena de valor para aquellos productos sostenibles con el ANP"/>
        <s v="Promoción del turismo comunitario en zona de amortiguamiento y al interior del ANP"/>
        <s v="Promoción de agroforestería sostenible en zona de amortiguamiento y al interior del BPAM"/>
        <s v="Asistencia técnica para el desarrollo agroforestal diseñados e implementados junto a SERNANP"/>
        <s v="Certificación RSPO"/>
        <s v="Acceso a financiamiento para modelos de asociación con pequeños productores"/>
        <s v="Acompañamiento de acuerdos comerciales entre empresas y medianos productores"/>
        <s v="Ampliación de estudios de HCS y HCV para nuevas áreas potenciales para asociación con pequeños productores"/>
        <s v="Promover la planificación comunal en centros poblados del interior en base a la zonificación y zona de amortiguamiento teniendo como base al Plan Maestro (incluye acuerdos de conservación)"/>
        <s v="Promoción y difusión de circuitos turísticos en zona de amortiguamiento"/>
        <s v="Promoción de agroforestería sostenible en zona de amortiguamiento"/>
        <s v="Recuperación de la red hídrica en la zona de influencia de la ACR"/>
        <s v="Asistencia técnica para el desarrollo agroforestal diseñados e implementados"/>
        <s v="Elaborar lineamientos de uso de recursos y demarcación de límites"/>
        <s v="Acuerdos con rondas campesinas para cumplimiento de compromisos de no deforestación y tráfico de tierras e invasiones"/>
        <s v="Mejora de programas de desarrollo alternativo con salvaguardas ambientales"/>
        <s v="Zonificación Agroecológica"/>
        <s v="Zonificación forestal, bosques sin categoría asignada, incluyendo ZOCREs actuales y propuestas."/>
        <s v="Promoción de actividad agrícola, pecuaria y acuícola adaptada al cambio climático."/>
        <s v="Aprovechamiento del recurso forestal maderable, provenientes de sistemas agroforestales sostenibles."/>
        <s v="Programa de incentivos a la restauración comunitaria con salvaguardas sociales y ambientales"/>
        <s v="Implementación del FONDESAM"/>
        <s v="Programa de Gestión Empresarial"/>
        <s v="Implementación de la &quot;Marca San Martín Región&quot;"/>
        <s v="Fortalecimiento de la equidad de género y poblaciones vulnerables"/>
        <s v="Programa de emprendimiento rural juvenil, para promover el empalme generacional."/>
        <s v="Mejorar la competitividad de la oferta e identificación de la demanda turística."/>
        <s v="Promoción de la planificación comunal en centros poblados."/>
        <s v="Fortalecer los procesos de Investigación, innovación, y transferencia tecnológica para la producción baja en emisiones."/>
        <s v="_x000a_Promoción de emprendimientos agroindustriales de la pequeña empresa sobre la base de los productos del biocomercio "/>
        <s v="Promoción de productos derivados y gestión de calidad"/>
        <s v="Implementación del Sistema de formalización del uso de la tierra y Recursos Naturales."/>
        <s v="Promover servicios de asesoramiento empresarial en inversiones y facilitación del crédito"/>
        <s v="Diseño de productos financieros para la producción baja en emisiones"/>
        <s v="Promoción y Desarrollo de alianzas comerciales entre grandes, medianas, pequeñas empresas y productores organizados y no organizados para producción baja en emisiones."/>
        <s v="Estrategia de promoción de productos regionales bajos en emisiones."/>
        <s v="Acuerdo regional de producción baja en emisiones e implementación de iniciativa de campeones por los bosques tropicales (TFC) en el marco de la coalición público privada por una producción sostenible."/>
        <s v="Programa de capacitación para funcionarios del gobierno regional sobre ética y anticorrupción."/>
        <s v="Simplificación administrativa de tramites de derechos sobre la tierra y los recursos naturales."/>
        <s v="Implementar un clasificador de cargos acorde a la normativa vigente para lograr la competitividad de los funcionarios públicos. "/>
        <s v="Fortalecimiento de la oficina de control interno del Gobierno Regional San Martín y la fiscalía anticorrupción regional."/>
        <s v="Campañas de difusión y promoción para prevenir actos de corrupcion en los procesos del codigo de ética de la gestión pública. "/>
        <s v="Implementación de la mesa regional de control y vigilancia forestal y de fauna silvestre."/>
        <s v="Capacitación a comunidades nativas, campesinas y custodios forestales."/>
        <s v="Equipamiento a rondas y custodios forestales."/>
        <s v="Implementación de unidad de control forestal y de fauna silvestre en el ARA (gastos corrientes)."/>
        <s v="Implementación de unidad de control forestal y de fauna silvestre en el ARA (gastos de inversión)."/>
        <s v="Fortalecimiento de las fiscalías especializadas en materia ambiental regionales. (A)"/>
        <s v="Fortalecimiento de las fiscalías especializadas en materia ambiental regionales. (B)"/>
        <s v="Implementación de operativos coordinados para el control forestal."/>
        <s v="Elaboración, aprobación e implementación de procedimiento regional integrado del cambio de uso actual para tierras A y C (Articulo No 38 LFFS Ley No 29763) con procedimientos de otorgamiento de la propiedad agraria (titulación de predios y adjudicaciones)"/>
        <m u="1"/>
        <s v="Promover la planificación comunal en centros poblados en base a la zonificación y zona de amortiguamiento teniendo como base al Plan Maestro (incluye acuerdos de conservación)" u="1"/>
      </sharedItems>
    </cacheField>
    <cacheField name="Descripción " numFmtId="0">
      <sharedItems longText="1"/>
    </cacheField>
    <cacheField name="Tipo de Recurso" numFmtId="0">
      <sharedItems/>
    </cacheField>
    <cacheField name="Programa / Proyecto" numFmtId="0">
      <sharedItems count="3">
        <s v="Programa de incentivos públicos promoviendo el bienestrar sostenible de sus habilitantes"/>
        <s v="Programa de produccion y tecnolgía para el desarrollo sostenible"/>
        <s v="Programa  de Gestion sostenible de los bosques amazónicos frente al cambio climatico."/>
      </sharedItems>
    </cacheField>
    <cacheField name="Componente" numFmtId="0">
      <sharedItems count="10">
        <s v="Titulización y gobernanza"/>
        <s v="Producción sostenible de bienes y servicios"/>
        <s v="Iniciativa productiva sostenible (Proyectos: diversificacion de productos, tecnología)"/>
        <s v="Financiamiento "/>
        <s v="Fortalecimiento de capacidades socio empresariales en las organizaciones "/>
        <s v="Promoción de mercado"/>
        <s v="Gestión sostenible de los bosques amazónicos  adoptando medidas frente al cambio climático"/>
        <s v="Emprendimientos sostenibles "/>
        <s v="Desarrollo socio económico de la población rural"/>
        <s v="Desarrollo de las unidades territoriales"/>
      </sharedItems>
    </cacheField>
    <cacheField name="Cod Componete" numFmtId="0">
      <sharedItems/>
    </cacheField>
    <cacheField name="Enfoque" numFmtId="0">
      <sharedItems/>
    </cacheField>
    <cacheField name="Nombre Cat" numFmtId="0">
      <sharedItems count="19">
        <s v="DERECHOS SOBRE LA TIERRA"/>
        <s v="ASISTENCIA TÉCNICA"/>
        <s v="TECNOLOGÍA"/>
        <s v="RECONVERSIÓN"/>
        <s v="CAPACITACIÓN"/>
        <s v="FINANCIAMIENTO"/>
        <s v="INFRAESTRUCTURA"/>
        <s v="ASOCIATIVIDAD"/>
        <s v="MERCADO"/>
        <s v="SERVICIOS ECOSISTÉMICOS"/>
        <s v="INNOVACIÓN"/>
        <s v="SERVICIO DE EDUCACIÓN Y SALUD ADECUADOS"/>
        <s v="PROMOCIÓN ACTIVIDADES ECONÓMICOS"/>
        <s v="GESTIÓN PUBLICA"/>
        <s v="CONTROL Y VIGILANCIA"/>
        <s v="PLANES DE VIDA"/>
        <s v="TRANSVERSALES X UDT"/>
        <s v="GOBERNANZA"/>
        <s v="TRANSVERSAL REGIONAL"/>
      </sharedItems>
    </cacheField>
    <cacheField name="INC" numFmtId="0">
      <sharedItems/>
    </cacheField>
    <cacheField name="Indicador " numFmtId="0">
      <sharedItems/>
    </cacheField>
    <cacheField name="N° de Referencia para meta" numFmtId="0">
      <sharedItems containsSemiMixedTypes="0" containsString="0" containsNumber="1" minValue="0" maxValue="493395.07454789948"/>
    </cacheField>
    <cacheField name="Meta al 2025" numFmtId="0">
      <sharedItems containsSemiMixedTypes="0" containsString="0" containsNumber="1" minValue="0" maxValue="493395.07454789948"/>
    </cacheField>
    <cacheField name="Meta al 2030" numFmtId="0">
      <sharedItems containsString="0" containsBlank="1" containsNumber="1" minValue="0" maxValue="493395.07454789948"/>
    </cacheField>
    <cacheField name="Precio/Costo Unitario en S/" numFmtId="0">
      <sharedItems containsSemiMixedTypes="0" containsString="0" containsNumber="1" minValue="0.98" maxValue="47000000"/>
    </cacheField>
    <cacheField name="Criterio de precio o costo" numFmtId="0">
      <sharedItems longText="1"/>
    </cacheField>
    <cacheField name="Fuente de Información" numFmtId="0">
      <sharedItems containsMixedTypes="1" containsNumber="1" containsInteger="1" minValue="0" maxValue="0"/>
    </cacheField>
    <cacheField name="2025 S/" numFmtId="3">
      <sharedItems containsSemiMixedTypes="0" containsString="0" containsNumber="1" minValue="3000" maxValue="240462450"/>
    </cacheField>
    <cacheField name="2030 S/" numFmtId="3">
      <sharedItems containsSemiMixedTypes="0" containsString="0" containsNumber="1" minValue="0" maxValue="336647429.99999994"/>
    </cacheField>
    <cacheField name="Año 1" numFmtId="3">
      <sharedItems containsSemiMixedTypes="0" containsString="0" containsNumber="1" minValue="0" maxValue="48092490"/>
    </cacheField>
    <cacheField name="Año 2" numFmtId="3">
      <sharedItems containsSemiMixedTypes="0" containsString="0" containsNumber="1" minValue="0" maxValue="48092490"/>
    </cacheField>
    <cacheField name="Año 3" numFmtId="3">
      <sharedItems containsSemiMixedTypes="0" containsString="0" containsNumber="1" minValue="0" maxValue="48092490"/>
    </cacheField>
    <cacheField name="Año 4" numFmtId="3">
      <sharedItems containsSemiMixedTypes="0" containsString="0" containsNumber="1" minValue="0" maxValue="48092490"/>
    </cacheField>
    <cacheField name="Año 5" numFmtId="3">
      <sharedItems containsSemiMixedTypes="0" containsString="0" containsNumber="1" minValue="0" maxValue="48092490"/>
    </cacheField>
    <cacheField name="Observación" numFmtId="0">
      <sharedItems containsSemiMixedTypes="0" containsString="0" containsNumber="1" containsInteger="1" minValue="0" maxValue="0"/>
    </cacheField>
    <cacheField name="Mecanismo de mercado (liberalizar, facilitar o promover)" numFmtId="0">
      <sharedItems containsBlank="1"/>
    </cacheField>
    <cacheField name="Mecanismos de no mercado (intervención directa, organismo público, tercerizar) " numFmtId="0">
      <sharedItems containsBlank="1" containsMixedTypes="1" containsNumber="1" containsInteger="1" minValue="0" maxValue="0"/>
    </cacheField>
    <cacheField name="Estimulo (incentivo económico o no económico, desincentivo económico o no económico) " numFmtId="0">
      <sharedItems containsBlank="1" containsMixedTypes="1" containsNumber="1" containsInteger="1" minValue="0" maxValue="0"/>
    </cacheField>
    <cacheField name="Otro (subsidio, salvaguarda) " numFmtId="0">
      <sharedItems containsNonDate="0" containsString="0" containsBlank="1"/>
    </cacheField>
    <cacheField name="Posible RE" numFmtId="0">
      <sharedItems containsBlank="1" containsMixedTypes="1" containsNumber="1" containsInteger="1" minValue="0" maxValue="0" count="3">
        <s v="RE"/>
        <m/>
        <n v="0"/>
      </sharedItems>
    </cacheField>
    <cacheField name="Criterio de Priorización" numFmtId="0">
      <sharedItems containsMixedTypes="1" containsNumber="1" containsInteger="1" minValue="0" maxValue="3" count="5">
        <n v="3"/>
        <n v="2"/>
        <n v="1"/>
        <s v="X"/>
        <n v="0"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Excel Services" refreshedDate="44094.974326967589" createdVersion="6" refreshedVersion="6" minRefreshableVersion="3" recordCount="297">
  <cacheSource type="worksheet">
    <worksheetSource ref="B6:AS303" sheet="8. BASE  CONSOLIDADA"/>
  </cacheSource>
  <cacheFields count="35">
    <cacheField name="UDT" numFmtId="0">
      <sharedItems count="6">
        <s v="UDT HUALLAGA CENTRAL Y BAJO MAYO"/>
        <s v="UDT ALTO MAYO"/>
        <s v="UDT BAJO HUALLAGA"/>
        <s v="UDT ALTO HUALLAGA "/>
        <s v="REGIONAL"/>
        <s v="REGION" u="1"/>
      </sharedItems>
    </cacheField>
    <cacheField name="USA" numFmtId="0">
      <sharedItems count="16">
        <s v="Predios de agricultura familiar con producción destinada al autoconsumo y productos de exportación, con título o sin título de propiedad."/>
        <s v="Predios privados dedicados a la producción comercial (arroz) "/>
        <s v="Predios privados para ganadería de leche y carne"/>
        <s v="Territorios de comunidades nativas"/>
        <s v="Concesiones para conservación y ecoturismo "/>
        <s v="Concesiones Forestales Maderables "/>
        <s v="Parque Nacional Cordillera Azul"/>
        <s v="Parque Nacional del Río Abiseo"/>
        <s v="ZOCRES"/>
        <s v="Tierras sin categoría territorial asignada"/>
        <s v="Intervenciones Transversales x UDT"/>
        <s v="Bosque de Protección Alto Mayo"/>
        <s v="Empresas comercializadoras de palma y sus derivados."/>
        <s v="ACR Cordillera Escalera "/>
        <s v="Área de Conservación Regional Bosque Shunte y Mishollo"/>
        <s v="Intervenciones Transversales X Región"/>
      </sharedItems>
    </cacheField>
    <cacheField name="TIPO DE APALANCAMIENTO" numFmtId="0">
      <sharedItems/>
    </cacheField>
    <cacheField name="N°" numFmtId="0">
      <sharedItems containsMixedTypes="1" containsNumber="1" containsInteger="1" minValue="1" maxValue="33"/>
    </cacheField>
    <cacheField name="Intervención " numFmtId="0">
      <sharedItems count="111">
        <s v="Otorgamiento de derechos sobre la tierra/bosques"/>
        <s v="Asistencia técnica con enfoque bajo en emisiones"/>
        <s v="Manejo, conservación y recuperación de suelos degradados"/>
        <s v="Fertilización de áreas productivas de acuerdo a la etapa fenológica del cultivo"/>
        <s v="Instalación de sistemas de fertirriego"/>
        <s v="Reconversión y diversificación productiva "/>
        <s v="Promoción de agricultura familiar con enfoque de mercado"/>
        <s v="Asistencia técnica para el desarrollo de la acuicultura"/>
        <s v="Incentivos financieros para la acuicultura "/>
        <s v="Programa de acceso al financiamiento agropecuario condicionado"/>
        <s v="Implementación de infraestructura productiva con énfasis a la agro exportación "/>
        <s v="Fortalecimiento de capacidades en gestión de la calidad en las distintas cadenas de valor "/>
        <s v="Promoción de modelos asociativos sostenibles"/>
        <s v="Certificación orgánica y  Comercio Justo"/>
        <s v="Promoción y acceso a los Mecanismos de Retribución por Servicios Eco sistémicos (MERESE)"/>
        <s v="Promoción y desarrollo de proveedores de semillas mejoradas"/>
        <s v="Promoción de Sistemas de producción sostenibles"/>
        <s v="Implementación de infraestructura productiva baja en emisiones"/>
        <s v="Asistencia técnica para el mejoramiento de pastos y ganadería "/>
        <s v="Mejoramiento genético de ganado bovino"/>
        <s v="Concluir reconocimiento y titulación "/>
        <s v="Asistencia técnica para el manejo agroforestal "/>
        <s v="Promoción de Bionegocios con productos forestales no maderables "/>
        <s v="Fortalecimiento de capacidades"/>
        <s v="Identificación y apertura de mercado para productos del bosque."/>
        <s v="Transferencias de Incentivos para protección de bosques"/>
        <s v="Infraestructura comunitaria ( Tambos, Cobertizos, almacenes, cocinas mejoradas, Baños)"/>
        <s v="Servicios básicos de calidad"/>
        <s v="Incentivos financieros para promoción del ecoturismo y turismo comunitario"/>
        <s v="Asistencia técnica para la gestión del turismo y acciones integradas para el desarrollo de las organizaciones  o emprendimientos comunitarios"/>
        <s v=" Promoción de mercados turísticos"/>
        <s v="Exclusión y compensación de concesiones forestales maderables a solicitud del concesionario"/>
        <s v="Incentivos financieros para manejo forestal sostenible"/>
        <s v="Nuevos mecanismos de pagos de deudas por sanciones"/>
        <s v="Sensibilización para el fortalecimiento del control y vigilancia en zona de amortiguamiento"/>
        <s v="Fortalecer el control y vigilancia"/>
        <s v="Promover acuerdos de conservación con cadena de valor para aquellos productos sostenibles con el parque."/>
        <s v="Promoción del turismo comunitario en zona de amortiguamiento y al interior del parque"/>
        <s v="Promoción de agroforestería sostenible en zona de amortiguamiento y al interior del parque"/>
        <s v="Promoción de agroforestería sostenible en zona de amortiguamiento del parque"/>
        <s v="Adecuación de ZoCRE a unidad de ordenamiento forestal y/o titulo habilitante forestal y de fauna silvestre de acuerdo a LFFS (Ley No 29763)"/>
        <s v="Fortalecimiento de capacidades de los responsables de la administración de las nuevas categorías de ordenamiento forestal y títulos habilitantes forestales"/>
        <s v="Elaboración del plan/declaración de manejo de las nuevas categorías de ordenamiento forestal y títulos habilitantes forestales"/>
        <s v="Inscripción en el catastro forestal y en registros públicos"/>
        <s v="Creación y establecimiento de unidades de ordenamiento forestal, otorgamiento de títulos habilitantes forestales y tenencia de la tierra"/>
        <s v="Restauración de áreas degradadas"/>
        <s v="Acuerdos con rondas campesinas y rondas nativas para cumplimiento de compromisos de no deforestación y tráfico de tierras e invasiones"/>
        <s v="Fortalecimiento del monitoreo de la cobertura de bosques y control de la tala ilegal (deforestación, extracción de especies forestales de valor comercial y forestales para tutores de cultivos)"/>
        <s v="Mejoramiento de vías de acceso"/>
        <s v="Restauración ecológica del paisaje"/>
        <s v="Mejor cobertura y calidad de servicios de educación y salud"/>
        <s v="Programa de servicios públicos móviles"/>
        <s v="Promoción Marca &quot;San Martín Región&quot; y &quot;Aliados por la Conservación&quot; "/>
        <s v="Solución de conflictos en las CCNN"/>
        <s v="Transferencias de incentivos por conservación de bosques"/>
        <s v="Incentivos financieros para la promoción del ecoturismo y turismo comunitario"/>
        <s v="Promover acuerdos de conservación con cadena de valor para aquellos productos sostenibles con el ANP"/>
        <s v="Promoción del turismo comunitario en zona de amortiguamiento y al interior del ANP"/>
        <s v="Promoción de agroforestería sostenible en zona de amortiguamiento y al interior del BPAM"/>
        <s v="Asistencia técnica para el desarrollo agroforestal diseñados e implementados junto a SERNANP"/>
        <s v="Certificación RSPO"/>
        <s v="Acceso a financiamiento para modelos de asociación con pequeños productores"/>
        <s v="Acompañamiento de acuerdos comerciales entre empresas y medianos productores"/>
        <s v="Ampliación de estudios de HCS y HCV para nuevas áreas potenciales para asociación con pequeños productores"/>
        <s v="Promover la planificación comunal en centros poblados del interior en base a la zonificación y zona de amortiguamiento teniendo como base al Plan Maestro (incluye acuerdos de conservación)"/>
        <s v="Promoción y difusión de circuitos turísticos en zona de amortiguamiento"/>
        <s v="Promoción de agroforestería sostenible en zona de amortiguamiento"/>
        <s v="Recuperación de la red hídrica en la zona de influencia de la ACR"/>
        <s v="Asistencia técnica para el desarrollo agroforestal diseñados e implementados"/>
        <s v="Elaborar lineamientos de uso de recursos y demarcación de límites"/>
        <s v="Acuerdos con rondas campesinas para cumplimiento de compromisos de no deforestación y tráfico de tierras e invasiones"/>
        <s v="Mejora de programas de desarrollo alternativo con salvaguardas ambientales"/>
        <s v="Zonificación Agroecológica"/>
        <s v="Zonificación forestal, bosques sin categoría asignada, incluyendo ZOCREs actuales y propuestas."/>
        <s v="Promoción de actividad agrícola, pecuaria y acuícola adaptada al cambio climático."/>
        <s v="Aprovechamiento del recurso forestal maderable, provenientes de sistemas agroforestales sostenibles."/>
        <s v="Programa de incentivos a la restauración comunitaria con salvaguardas sociales y ambientales"/>
        <s v="Implementación del FONDESAM"/>
        <s v="Programa de Gestión Empresarial"/>
        <s v="Implementación de la &quot;Marca San Martín Región&quot;"/>
        <s v="Fortalecimiento de la equidad de género y poblaciones vulnerables"/>
        <s v="Programa de emprendimiento rural juvenil, para promover el empalme generacional."/>
        <s v="Mejorar la competitividad de la oferta e identificación de la demanda turística."/>
        <s v="Promoción de la planificación comunal en centros poblados."/>
        <s v="Fortalecer los procesos de Investigación, innovación, y transferencia tecnológica para la producción baja en emisiones."/>
        <s v="_x000a_Promoción de emprendimientos agroindustriales de la pequeña empresa sobre la base de los productos del biocomercio "/>
        <s v="Promoción de productos derivados y gestión de calidad"/>
        <s v="Implementación del Sistema de formalización del uso de la tierra y Recursos Naturales."/>
        <s v="Promover servicios de asesoramiento empresarial en inversiones y facilitación del crédito"/>
        <s v="Diseño de productos financieros para la producción baja en emisiones"/>
        <s v="Promoción y Desarrollo de alianzas comerciales entre grandes, medianas, pequeñas empresas y productores organizados y no organizados para producción baja en emisiones."/>
        <s v="Estrategia de promoción de productos regionales bajos en emisiones."/>
        <s v="Acuerdo regional de producción baja en emisiones e implementación de iniciativa de campeones por los bosques tropicales (TFC) en el marco de la coalición público privada por una producción sostenible."/>
        <s v="Programa de capacitación para funcionarios del gobierno regional sobre ética y anticorrupción."/>
        <s v="Simplificación administrativa de tramites de derechos sobre la tierra y los recursos naturales."/>
        <s v="Implementar un clasificador de cargos acorde a la normativa vigente para lograr la competitividad de los funcionarios públicos. "/>
        <s v="Fortalecimiento de la oficina de control interno del Gobierno Regional San Martín y la fiscalía anticorrupción regional."/>
        <s v="Campañas de difusión y promoción para prevenir actos de corrupcion en los procesos del codigo de ética de la gestión pública. "/>
        <s v="Implementación de la mesa regional de control y vigilancia forestal y de fauna silvestre."/>
        <s v="Capacitación a comunidades nativas, campesinas y custodios forestales."/>
        <s v="Equipamiento a rondas y custodios forestales."/>
        <s v="Implementación de unidad de control forestal y de fauna silvestre en el ARA (gastos corrientes)."/>
        <s v="Implementación de unidad de control forestal y de fauna silvestre en el ARA (gastos de inversión)."/>
        <s v="Fortalecimiento de las fiscalías especializadas en materia ambiental regionales. (A)"/>
        <s v="Fortalecimiento de las fiscalías especializadas en materia ambiental regionales. (B)"/>
        <s v="Implementación de operativos coordinados para el control forestal."/>
        <s v="Gestión Municipal eficiente para el desarrollo territorial sostenible." u="1"/>
        <s v="Fortalecimiento de la institucionalidad regional  para el desarrollo rural bajo en emisiones." u="1"/>
        <s v="Implementación de plataformas virtuales de gestión y articulación territorial. " u="1"/>
        <s v="Monitoreo de la deforestación, expansión de la frontera agrícola y cumplimiento de compromisos de los incentivos condicionados" u="1"/>
        <s v="Promover la planificación comunal en centros poblados en base a la zonificación y zona de amortiguamiento teniendo como base al Plan Maestro (incluye acuerdos de conservación)" u="1"/>
      </sharedItems>
    </cacheField>
    <cacheField name="Descripción " numFmtId="0">
      <sharedItems longText="1"/>
    </cacheField>
    <cacheField name="Tipo de Recurso" numFmtId="0">
      <sharedItems/>
    </cacheField>
    <cacheField name="Programa / Proyecto" numFmtId="0">
      <sharedItems count="3">
        <s v="Programa de incentivos públicos promoviendo el bienestrar sostenible de sus habilitantes"/>
        <s v="Programa de produccion y tecnolgía para el desarrollo sostenible"/>
        <s v="Programa  de Gestion sostenible de los bosques amazónicos frente al cambio climatico."/>
      </sharedItems>
    </cacheField>
    <cacheField name="Componente" numFmtId="0">
      <sharedItems count="10">
        <s v="Titulización y gobernanza"/>
        <s v="Producción sostenible de bienes y servicios"/>
        <s v="Iniciativa productiva sostenible (Proyectos: diversificacion de productos, tecnología)"/>
        <s v="Financiamiento "/>
        <s v="Fortalecimiento de capacidades socio empresariales en las organizaciones "/>
        <s v="Promoción de mercado"/>
        <s v="Gestión sostenible de los bosques amazónicos  adoptando medidas frente al cambio climático"/>
        <s v="Emprendimientos sostenibles "/>
        <s v="Desarrollo socio económico de la población rural"/>
        <s v="Desarrollo de las unidades territoriales"/>
      </sharedItems>
    </cacheField>
    <cacheField name="Cod Componete" numFmtId="0">
      <sharedItems/>
    </cacheField>
    <cacheField name="Enfoque" numFmtId="0">
      <sharedItems/>
    </cacheField>
    <cacheField name="Nombre Cat" numFmtId="0">
      <sharedItems/>
    </cacheField>
    <cacheField name="INC" numFmtId="0">
      <sharedItems/>
    </cacheField>
    <cacheField name="Indicador " numFmtId="0">
      <sharedItems/>
    </cacheField>
    <cacheField name="N° de Referencia para meta" numFmtId="0">
      <sharedItems containsSemiMixedTypes="0" containsString="0" containsNumber="1" minValue="0" maxValue="395356.07"/>
    </cacheField>
    <cacheField name="Meta al 2025" numFmtId="0">
      <sharedItems containsSemiMixedTypes="0" containsString="0" containsNumber="1" minValue="0" maxValue="395356.07"/>
    </cacheField>
    <cacheField name="Meta al 2030" numFmtId="0">
      <sharedItems containsString="0" containsBlank="1" containsNumber="1" minValue="0" maxValue="118822.71972889001"/>
    </cacheField>
    <cacheField name="Precio/Costo Unitario en S/" numFmtId="0">
      <sharedItems containsSemiMixedTypes="0" containsString="0" containsNumber="1" minValue="1" maxValue="47000000"/>
    </cacheField>
    <cacheField name="Criterio de precio o costo" numFmtId="0">
      <sharedItems longText="1"/>
    </cacheField>
    <cacheField name="Fuente de Información" numFmtId="0">
      <sharedItems containsMixedTypes="1" containsNumber="1" containsInteger="1" minValue="0" maxValue="0"/>
    </cacheField>
    <cacheField name="2025 S/" numFmtId="3">
      <sharedItems containsSemiMixedTypes="0" containsString="0" containsNumber="1" minValue="3000" maxValue="240462450"/>
    </cacheField>
    <cacheField name="2030 S/" numFmtId="3">
      <sharedItems containsSemiMixedTypes="0" containsString="0" containsNumber="1" minValue="0" maxValue="336647429.99999994"/>
    </cacheField>
    <cacheField name="Año 1" numFmtId="3">
      <sharedItems containsSemiMixedTypes="0" containsString="0" containsNumber="1" minValue="2490.5186800862602" maxValue="48092490"/>
    </cacheField>
    <cacheField name="Año 2" numFmtId="3">
      <sharedItems containsSemiMixedTypes="0" containsString="0" containsNumber="1" minValue="0" maxValue="48092490"/>
    </cacheField>
    <cacheField name="Año 3" numFmtId="3">
      <sharedItems containsSemiMixedTypes="0" containsString="0" containsNumber="1" minValue="0" maxValue="48092490"/>
    </cacheField>
    <cacheField name="Año 4" numFmtId="3">
      <sharedItems containsSemiMixedTypes="0" containsString="0" containsNumber="1" minValue="0" maxValue="48092490"/>
    </cacheField>
    <cacheField name="Año 5" numFmtId="3">
      <sharedItems containsSemiMixedTypes="0" containsString="0" containsNumber="1" minValue="0" maxValue="48092490"/>
    </cacheField>
    <cacheField name="Observación" numFmtId="0">
      <sharedItems containsSemiMixedTypes="0" containsString="0" containsNumber="1" containsInteger="1" minValue="0" maxValue="0"/>
    </cacheField>
    <cacheField name="Mecanismo de mercado (liberalizar, facilitar o promover)" numFmtId="0">
      <sharedItems containsBlank="1"/>
    </cacheField>
    <cacheField name="Mecanismos de no mercado (intervención directa, organismo público, tercerizar) " numFmtId="0">
      <sharedItems containsBlank="1" containsMixedTypes="1" containsNumber="1" containsInteger="1" minValue="0" maxValue="0"/>
    </cacheField>
    <cacheField name="Estimulo (incentivo económico o no económico, desincentivo económico o no económico) " numFmtId="0">
      <sharedItems containsBlank="1" containsMixedTypes="1" containsNumber="1" containsInteger="1" minValue="0" maxValue="0"/>
    </cacheField>
    <cacheField name="Otro (subsidio, salvaguarda) " numFmtId="0">
      <sharedItems containsNonDate="0" containsString="0" containsBlank="1"/>
    </cacheField>
    <cacheField name="Posible RE" numFmtId="0">
      <sharedItems containsBlank="1" containsMixedTypes="1" containsNumber="1" containsInteger="1" minValue="0" maxValue="0"/>
    </cacheField>
    <cacheField name="Criterio de Priorización" numFmtId="0">
      <sharedItems containsSemiMixedTypes="0" containsString="0" containsNumber="1" containsInteger="1" minValue="1" maxValue="3"/>
    </cacheField>
    <cacheField name="x"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Ivan" refreshedDate="44236.405935185183" createdVersion="6" refreshedVersion="6" minRefreshableVersion="3" recordCount="119">
  <cacheSource type="worksheet">
    <worksheetSource ref="C7:T126" sheet="15. Base Pytos - Invierte.pe"/>
  </cacheSource>
  <cacheFields count="18">
    <cacheField name="FUENTE" numFmtId="0">
      <sharedItems/>
    </cacheField>
    <cacheField name="SECTOR" numFmtId="0">
      <sharedItems/>
    </cacheField>
    <cacheField name="CODIGO" numFmtId="0">
      <sharedItems containsSemiMixedTypes="0" containsString="0" containsNumber="1" containsInteger="1" minValue="70480" maxValue="2474553"/>
    </cacheField>
    <cacheField name="PROYECTO" numFmtId="0">
      <sharedItems longText="1"/>
    </cacheField>
    <cacheField name="DESCRIPTOR" numFmtId="0">
      <sharedItems/>
    </cacheField>
    <cacheField name="PROGRAMAS" numFmtId="0">
      <sharedItems count="3">
        <s v="Programa de producción y tecnología para el desarrollo sostenible"/>
        <s v="Programa de incentivos públicos promoviendo el bienestar sostenible de sus habilitantes"/>
        <s v="Programa de gestión sostenible de los bosques amazónicos frente al cambio climático."/>
      </sharedItems>
    </cacheField>
    <cacheField name="COMPONENTE" numFmtId="0">
      <sharedItems count="8">
        <s v="Iniciativa productiva sostenible (Proyectos: diversificacion de productos, tecnología)"/>
        <s v="Desarrollo socio económico de la población rural"/>
        <s v="Producción sostenible de bienes y servicios"/>
        <s v="Gestión sostenible de los bosques amazónicos  adoptando medidas frente al cambio climático"/>
        <s v="Emprendimientos sostenibles"/>
        <s v="Titulización y gobernanza"/>
        <s v="Desarrollo de las unidades territoriales"/>
        <s v="Promoción de mercado"/>
      </sharedItems>
    </cacheField>
    <cacheField name="EJECUTORA" numFmtId="0">
      <sharedItems containsBlank="1"/>
    </cacheField>
    <cacheField name="FUENTE2" numFmtId="0">
      <sharedItems containsMixedTypes="1" containsNumber="1" containsInteger="1" minValue="0" maxValue="0"/>
    </cacheField>
    <cacheField name="NIVEL DE GOBIERNO" numFmtId="0">
      <sharedItems count="3">
        <s v="Gobierno Regional"/>
        <s v="Gobierno Local"/>
        <s v="Gobierno Nacional"/>
      </sharedItems>
    </cacheField>
    <cacheField name="USA" numFmtId="0">
      <sharedItems count="9">
        <s v="Intervenciones transversales x región"/>
        <s v="Intervenciones transversales x UDT"/>
        <s v="USA 1 PREDIOS AGRARIOS (CAFE, CACAO, ETC)"/>
        <s v="USA 3 PREDIOS GANADERIA"/>
        <s v="USA PREDIOS AGRARIOS ARROZ"/>
        <s v="USA PEQUEÑOS PREDIOS AGRARIOS (CAFE, CACAO, ETC)"/>
        <s v="USA 7 ZOCRES"/>
        <s v="USA 4 COMUNIDADES NATIVAS"/>
        <s v="USA 6 BOSQUE DE PROTECCION ALTO MAYO"/>
      </sharedItems>
    </cacheField>
    <cacheField name="UDT" numFmtId="0">
      <sharedItems count="5">
        <s v="Intervenciones transversales x región"/>
        <s v="ALTO MAYO"/>
        <s v="HUALLAGA CENTRAL"/>
        <s v="ALTO HUALLAGA"/>
        <s v="BAJO HUALLAGA"/>
      </sharedItems>
    </cacheField>
    <cacheField name="2021" numFmtId="165">
      <sharedItems containsSemiMixedTypes="0" containsString="0" containsNumber="1" minValue="0" maxValue="5077487"/>
    </cacheField>
    <cacheField name="2022" numFmtId="165">
      <sharedItems containsSemiMixedTypes="0" containsString="0" containsNumber="1" minValue="0" maxValue="15968318"/>
    </cacheField>
    <cacheField name="2023" numFmtId="165">
      <sharedItems containsSemiMixedTypes="0" containsString="0" containsNumber="1" minValue="0" maxValue="9055131.3220701292"/>
    </cacheField>
    <cacheField name="2024" numFmtId="165">
      <sharedItems containsBlank="1" containsMixedTypes="1" containsNumber="1" minValue="0" maxValue="17095973.510000002"/>
    </cacheField>
    <cacheField name="2025" numFmtId="165">
      <sharedItems containsBlank="1" containsMixedTypes="1" containsNumber="1" minValue="0" maxValue="17095973.510000002"/>
    </cacheField>
    <cacheField name="TOTAL" numFmtId="165">
      <sharedItems containsSemiMixedTypes="0" containsString="0" containsNumber="1" minValue="36768" maxValue="34191947.020000003"/>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Ivan" refreshedDate="44236.425988078707" createdVersion="6" refreshedVersion="6" minRefreshableVersion="3" recordCount="41">
  <cacheSource type="worksheet">
    <worksheetSource ref="B7:Q48" sheet="16. Base Pytos Cooperación"/>
  </cacheSource>
  <cacheFields count="16">
    <cacheField name="FUENTE" numFmtId="0">
      <sharedItems/>
    </cacheField>
    <cacheField name="SECTOR" numFmtId="0">
      <sharedItems/>
    </cacheField>
    <cacheField name="CODIGO" numFmtId="0">
      <sharedItems/>
    </cacheField>
    <cacheField name="PROYECTO" numFmtId="0">
      <sharedItems/>
    </cacheField>
    <cacheField name="DESCRIPTOR" numFmtId="0">
      <sharedItems/>
    </cacheField>
    <cacheField name="PROGRAMA" numFmtId="0">
      <sharedItems count="3">
        <s v="Programa de gestión sostenible de los bosques amazónicos frente al cambio climático."/>
        <s v="Programa de producción y tecnología para el desarrollo sostenible"/>
        <s v="Programa de incentivos públicos promoviendo el bienestar sostenible de sus habilitantes"/>
      </sharedItems>
    </cacheField>
    <cacheField name="COMPONENTE" numFmtId="0">
      <sharedItems count="4">
        <s v="Gestión sostenible de los bosques amazónicos adoptando medidas frente al cambio climático"/>
        <s v="Producción Sostenible de bienes y servicios"/>
        <s v="Desarrollo  Socioeconómico de la población rural"/>
        <s v="Desarrollo Unidades Territoriales"/>
      </sharedItems>
    </cacheField>
    <cacheField name="EJECUTORA" numFmtId="0">
      <sharedItems/>
    </cacheField>
    <cacheField name="USA" numFmtId="0">
      <sharedItems/>
    </cacheField>
    <cacheField name="UDT" numFmtId="0">
      <sharedItems count="5">
        <s v="Intervenciones transversales x  región"/>
        <s v="ALTO HUALLAGA"/>
        <s v="ALTO MAYO"/>
        <s v="BAJO HUALLAGA"/>
        <s v="HUALLAGA CENTRAL"/>
      </sharedItems>
    </cacheField>
    <cacheField name="2021" numFmtId="165">
      <sharedItems containsSemiMixedTypes="0" containsString="0" containsNumber="1" minValue="42994.325613876099" maxValue="19977315.797800001"/>
    </cacheField>
    <cacheField name="2022" numFmtId="165">
      <sharedItems containsSemiMixedTypes="0" containsString="0" containsNumber="1" minValue="0" maxValue="19977315.797800001"/>
    </cacheField>
    <cacheField name="2023" numFmtId="165">
      <sharedItems containsSemiMixedTypes="0" containsString="0" containsNumber="1" minValue="0" maxValue="1609750.7693562401"/>
    </cacheField>
    <cacheField name="2024" numFmtId="165">
      <sharedItems containsSemiMixedTypes="0" containsString="0" containsNumber="1" minValue="0" maxValue="1609750.7693562401"/>
    </cacheField>
    <cacheField name="2025" numFmtId="165">
      <sharedItems containsSemiMixedTypes="0" containsString="0" containsNumber="1" minValue="0" maxValue="1609750.7693562401"/>
    </cacheField>
    <cacheField name="TOTAL" numFmtId="165">
      <sharedItems containsSemiMixedTypes="0" containsString="0" containsNumber="1" minValue="57968.3270785727" maxValue="39954631.595600002"/>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Ivan" refreshedDate="44242.361315162037" createdVersion="6" refreshedVersion="6" minRefreshableVersion="3" recordCount="302">
  <cacheSource type="worksheet">
    <worksheetSource name="Tabla1"/>
  </cacheSource>
  <cacheFields count="44">
    <cacheField name="UDT" numFmtId="0">
      <sharedItems count="5">
        <s v="UDT HUALLAGA CENTRAL Y BAJO MAYO"/>
        <s v="UDT ALTO MAYO"/>
        <s v="UDT BAJO HUALLAGA"/>
        <s v="UDT ALTO HUALLAGA "/>
        <s v="REGIONAL"/>
      </sharedItems>
    </cacheField>
    <cacheField name="USA" numFmtId="0">
      <sharedItems count="17">
        <s v="Predios de agricultura familiar con producción destinada al autoconsumo y productos de exportación, con título o sin título de propiedad."/>
        <s v="Predios privados dedicados a la producción comercial (arroz) "/>
        <s v="Predios privados para ganadería de leche y carne"/>
        <s v="Territorios de comunidades nativas"/>
        <s v="Concesiones para conservación y ecoturismo "/>
        <s v="Concesiones Forestales Maderables "/>
        <s v="Parque Nacional Cordillera Azul"/>
        <s v="Parque Nacional del Río Abiseo"/>
        <s v="ZOCRES"/>
        <s v="Tierras sin categoría territorial asignada"/>
        <s v="Intervenciones Transversales x UDT"/>
        <s v="Bosque de Protección Alto Mayo"/>
        <s v="Empresas comercializadoras de palma y sus derivados."/>
        <s v="ACR Cordillera Escalera "/>
        <s v="Área de Conservación Regional Bosque Shunte y Mishollo"/>
        <s v="Intervenciones Transversales X Región"/>
        <s v="Fórmula1" f="1"/>
      </sharedItems>
    </cacheField>
    <cacheField name="TIPO DE APALANCAMIENTO" numFmtId="0">
      <sharedItems/>
    </cacheField>
    <cacheField name="N°" numFmtId="0">
      <sharedItems containsMixedTypes="1" containsNumber="1" containsInteger="1" minValue="1" maxValue="33"/>
    </cacheField>
    <cacheField name="Intervención " numFmtId="0">
      <sharedItems count="107">
        <s v="Otorgamiento de derechos sobre la tierra/bosques"/>
        <s v="Asistencia técnica con enfoque bajo en emisiones"/>
        <s v="Manejo, conservación y recuperación de suelos degradados"/>
        <s v="Fertilización de áreas productivas de acuerdo a la etapa fenológica del cultivo"/>
        <s v="Instalación de sistemas de fertirriego"/>
        <s v="Reconversión y diversificación productiva "/>
        <s v="Promoción de agricultura familiar con enfoque de mercado"/>
        <s v="Asistencia técnica para el desarrollo de la acuicultura"/>
        <s v="Incentivos financieros para la acuicultura "/>
        <s v="Programa de acceso al financiamiento agropecuario condicionado"/>
        <s v="Implementación de infraestructura productiva con énfasis a la agro exportación "/>
        <s v="Fortalecimiento de capacidades en gestión de la calidad en las distintas cadenas de valor "/>
        <s v="Promoción de modelos asociativos sostenibles"/>
        <s v="Certificación orgánica y  Comercio Justo"/>
        <s v="Promoción y acceso a los Mecanismos de Retribución por Servicios Eco sistémicos (MERESE)"/>
        <s v="Promoción y desarrollo de proveedores de semillas mejoradas"/>
        <s v="Promoción de Sistemas de producción sostenibles"/>
        <s v="Implementación de infraestructura productiva baja en emisiones"/>
        <s v="Asistencia técnica para el mejoramiento de pastos y ganadería "/>
        <s v="Mejoramiento genético de ganado bovino"/>
        <s v="Concluir reconocimiento y titulación "/>
        <s v="Asistencia técnica para el manejo agroforestal "/>
        <s v="Promoción de Bionegocios con productos forestales no maderables "/>
        <s v="Fortalecimiento de capacidades"/>
        <s v="Identificación y apertura de mercado para productos del bosque."/>
        <s v="Transferencias de Incentivos para protección de bosques"/>
        <s v="Infraestructura comunitaria ( Tambos, Cobertizos, almacenes, cocinas mejoradas, Baños)"/>
        <s v="Servicios básicos de calidad"/>
        <s v="Incentivos financieros para promoción del ecoturismo y turismo comunitario"/>
        <s v="Asistencia técnica para la gestión del turismo y acciones integradas para el desarrollo de las organizaciones  o emprendimientos comunitarios"/>
        <s v=" Promoción de mercados turísticos"/>
        <s v="Exclusión y compensación de concesiones forestales maderables a solicitud del concesionario"/>
        <s v="Incentivos financieros para manejo forestal sostenible"/>
        <s v="Nuevos mecanismos de pagos de deudas por sanciones"/>
        <s v="Sensibilización para el fortalecimiento del control y vigilancia en zona de amortiguamiento"/>
        <s v="Fortalecer el control y vigilancia"/>
        <s v="Promover acuerdos de conservación con cadena de valor para aquellos productos sostenibles con el parque."/>
        <s v="Promoción del turismo comunitario en zona de amortiguamiento y al interior del parque"/>
        <s v="Promoción de agroforestería sostenible en zona de amortiguamiento y al interior del parque"/>
        <s v="Promoción de agroforestería sostenible en zona de amortiguamiento del parque"/>
        <s v="Adecuación de ZoCRE a unidad de ordenamiento forestal y/o titulo habilitante forestal y de fauna silvestre de acuerdo a LFFS (Ley No 29763)"/>
        <s v="Fortalecimiento de capacidades de los responsables de la administración de las nuevas categorías de ordenamiento forestal y títulos habilitantes forestales"/>
        <s v="Elaboración del plan/declaración de manejo de las nuevas categorías de ordenamiento forestal y títulos habilitantes forestales"/>
        <s v="Inscripción en el catastro forestal y en registros públicos"/>
        <s v="Creación y establecimiento de unidades de ordenamiento forestal, otorgamiento de títulos habilitantes forestales y tenencia de la tierra"/>
        <s v="Restauración de áreas degradadas"/>
        <s v="Acuerdos con rondas campesinas y rondas nativas para cumplimiento de compromisos de no deforestación y tráfico de tierras e invasiones"/>
        <s v="Fortalecimiento del monitoreo de la cobertura de bosques y control de la tala ilegal (deforestación, extracción de especies forestales de valor comercial y forestales para tutores de cultivos)"/>
        <s v="Mejoramiento de vías de acceso"/>
        <s v="Restauración ecológica del paisaje"/>
        <s v="Mejor cobertura y calidad de servicios de educación y salud"/>
        <s v="Programa de servicios públicos móviles"/>
        <s v="Promoción Marca &quot;San Martín Región&quot; y &quot;Aliados por la Conservación&quot; "/>
        <s v="Solución de conflictos en las CCNN"/>
        <s v="Transferencias de incentivos por conservación de bosques"/>
        <s v="Incentivos financieros para la promoción del ecoturismo y turismo comunitario"/>
        <s v="Promover acuerdos de conservación con cadena de valor para aquellos productos sostenibles con el ANP"/>
        <s v="Promoción del turismo comunitario en zona de amortiguamiento y al interior del ANP"/>
        <s v="Promoción de agroforestería sostenible en zona de amortiguamiento y al interior del BPAM"/>
        <s v="Asistencia técnica para el desarrollo agroforestal diseñados e implementados junto a SERNANP"/>
        <s v="Certificación RSPO"/>
        <s v="Acceso a financiamiento para modelos de asociación con pequeños productores"/>
        <s v="Acompañamiento de acuerdos comerciales entre empresas y medianos productores"/>
        <s v="Ampliación de estudios de HCS y HCV para nuevas áreas potenciales para asociación con pequeños productores"/>
        <s v="Promover la planificación comunal en centros poblados del interior en base a la zonificación y zona de amortiguamiento teniendo como base al Plan Maestro (incluye acuerdos de conservación)"/>
        <s v="Promoción y difusión de circuitos turísticos en zona de amortiguamiento"/>
        <s v="Promoción de agroforestería sostenible en zona de amortiguamiento"/>
        <s v="Recuperación de la red hídrica en la zona de influencia de la ACR"/>
        <s v="Asistencia técnica para el desarrollo agroforestal diseñados e implementados"/>
        <s v="Elaborar lineamientos de uso de recursos y demarcación de límites"/>
        <s v="Acuerdos con rondas campesinas para cumplimiento de compromisos de no deforestación y tráfico de tierras e invasiones"/>
        <s v="Mejora de programas de desarrollo alternativo con salvaguardas ambientales"/>
        <s v="Zonificación Agroecológica"/>
        <s v="Zonificación forestal, bosques sin categoría asignada, incluyendo ZOCREs actuales y propuestas."/>
        <s v="Promoción de actividad agrícola, pecuaria y acuícola adaptada al cambio climático."/>
        <s v="Aprovechamiento del recurso forestal maderable, provenientes de sistemas agroforestales sostenibles."/>
        <s v="Programa de incentivos a la restauración comunitaria con salvaguardas sociales y ambientales"/>
        <s v="Implementación del FONDESAM"/>
        <s v="Programa de Gestión Empresarial"/>
        <s v="Implementación de la &quot;Marca San Martín Región&quot;"/>
        <s v="Fortalecimiento de la equidad de género y poblaciones vulnerables"/>
        <s v="Programa de emprendimiento rural juvenil, para promover el empalme generacional."/>
        <s v="Mejorar la competitividad de la oferta e identificación de la demanda turística."/>
        <s v="Promoción de la planificación comunal en centros poblados."/>
        <s v="Fortalecer los procesos de Investigación, innovación, y transferencia tecnológica para la producción baja en emisiones."/>
        <s v="_x000a_Promoción de emprendimientos agroindustriales de la pequeña empresa sobre la base de los productos del biocomercio "/>
        <s v="Promoción de productos derivados y gestión de calidad"/>
        <s v="Implementación del Sistema de formalización del uso de la tierra y Recursos Naturales."/>
        <s v="Promover servicios de asesoramiento empresarial en inversiones y facilitación del crédito"/>
        <s v="Diseño de productos financieros para la producción baja en emisiones"/>
        <s v="Promoción y Desarrollo de alianzas comerciales entre grandes, medianas, pequeñas empresas y productores organizados y no organizados para producción baja en emisiones."/>
        <s v="Estrategia de promoción de productos regionales bajos en emisiones."/>
        <s v="Acuerdo regional de producción baja en emisiones e implementación de iniciativa de campeones por los bosques tropicales (TFC) en el marco de la coalición público privada por una producción sostenible."/>
        <s v="Programa de capacitación para funcionarios del gobierno regional sobre ética y anticorrupción."/>
        <s v="Simplificación administrativa de tramites de derechos sobre la tierra y los recursos naturales."/>
        <s v="Implementar un clasificador de cargos acorde a la normativa vigente para lograr la competitividad de los funcionarios públicos. "/>
        <s v="Fortalecimiento de la oficina de control interno del Gobierno Regional San Martín y la fiscalía anticorrupción regional."/>
        <s v="Campañas de difusión y promoción para prevenir actos de corrupcion en los procesos del codigo de ética de la gestión pública. "/>
        <s v="Implementación de la mesa regional de control y vigilancia forestal y de fauna silvestre."/>
        <s v="Capacitación a comunidades nativas, campesinas y custodios forestales."/>
        <s v="Equipamiento a rondas y custodios forestales."/>
        <s v="Implementación de unidad de control forestal y de fauna silvestre en el ARA (gastos corrientes)."/>
        <s v="Implementación de unidad de control forestal y de fauna silvestre en el ARA (gastos de inversión)."/>
        <s v="Fortalecimiento de las fiscalías especializadas en materia ambiental regionales. (A)"/>
        <s v="Fortalecimiento de las fiscalías especializadas en materia ambiental regionales. (B)"/>
        <s v="Implementación de operativos coordinados para el control forestal."/>
        <s v="Elaboración, aprobación e implementación de procedimiento regional integrado del cambio de uso actual para tierras A y C (Articulo No 38 LFFS Ley No 29763) con procedimientos de otorgamiento de la propiedad agraria (titulación de predios y adjudicaciones)"/>
      </sharedItems>
    </cacheField>
    <cacheField name="Descripción " numFmtId="0">
      <sharedItems longText="1"/>
    </cacheField>
    <cacheField name="Tipo de Recurso" numFmtId="0">
      <sharedItems/>
    </cacheField>
    <cacheField name="Programa / Proyecto" numFmtId="0">
      <sharedItems count="3">
        <s v="Programa de incentivos públicos promoviendo el bienestrar sostenible de sus habilitantes"/>
        <s v="Programa de produccion y tecnolgía para el desarrollo sostenible"/>
        <s v="Programa  de Gestion sostenible de los bosques amazónicos frente al cambio climatico."/>
      </sharedItems>
    </cacheField>
    <cacheField name="Proyectos Temáticos" numFmtId="0">
      <sharedItems/>
    </cacheField>
    <cacheField name="Descripción del Proyecto Temático" numFmtId="0">
      <sharedItems/>
    </cacheField>
    <cacheField name="Componente" numFmtId="0">
      <sharedItems count="10">
        <s v="Titulización y gobernanza"/>
        <s v="Producción sostenible de bienes y servicios"/>
        <s v="Iniciativa productiva sostenible (Proyectos: diversificacion de productos, tecnología)"/>
        <s v="Financiamiento "/>
        <s v="Fortalecimiento de capacidades socio empresariales en las organizaciones "/>
        <s v="Promoción de mercado"/>
        <s v="Gestión sostenible de los bosques amazónicos  adoptando medidas frente al cambio climático"/>
        <s v="Emprendimientos sostenibles "/>
        <s v="Desarrollo socio económico de la población rural"/>
        <s v="Desarrollo de las unidades territoriales"/>
      </sharedItems>
    </cacheField>
    <cacheField name="Cod Componete" numFmtId="0">
      <sharedItems/>
    </cacheField>
    <cacheField name="Enfoque" numFmtId="0">
      <sharedItems/>
    </cacheField>
    <cacheField name="Nombre Cat" numFmtId="0">
      <sharedItems/>
    </cacheField>
    <cacheField name="INC" numFmtId="0">
      <sharedItems/>
    </cacheField>
    <cacheField name="Indicador " numFmtId="0">
      <sharedItems/>
    </cacheField>
    <cacheField name="N° de Referencia para meta" numFmtId="0">
      <sharedItems containsSemiMixedTypes="0" containsString="0" containsNumber="1" minValue="0" maxValue="493395.07454789948"/>
    </cacheField>
    <cacheField name="Meta al 2025" numFmtId="0">
      <sharedItems containsSemiMixedTypes="0" containsString="0" containsNumber="1" minValue="0" maxValue="493395.07454789948"/>
    </cacheField>
    <cacheField name="Meta al 2030" numFmtId="0">
      <sharedItems containsString="0" containsBlank="1" containsNumber="1" minValue="0" maxValue="493395.07454789948"/>
    </cacheField>
    <cacheField name="Precio/Costo Unitario en S/" numFmtId="0">
      <sharedItems containsSemiMixedTypes="0" containsString="0" containsNumber="1" minValue="0.98" maxValue="47000000"/>
    </cacheField>
    <cacheField name="Criterio de precio o costo" numFmtId="0">
      <sharedItems longText="1"/>
    </cacheField>
    <cacheField name="Fuente de Información" numFmtId="0">
      <sharedItems containsMixedTypes="1" containsNumber="1" containsInteger="1" minValue="0" maxValue="0"/>
    </cacheField>
    <cacheField name="2025 Directo" numFmtId="3">
      <sharedItems containsSemiMixedTypes="0" containsString="0" containsNumber="1" minValue="3000" maxValue="240462450"/>
    </cacheField>
    <cacheField name="2025 S/" numFmtId="3">
      <sharedItems containsSemiMixedTypes="0" containsString="0" containsNumber="1" minValue="3031.5" maxValue="242987305.72499999"/>
    </cacheField>
    <cacheField name="2030 Directo" numFmtId="3">
      <sharedItems containsSemiMixedTypes="0" containsString="0" containsNumber="1" minValue="0" maxValue="336647429.99999994"/>
    </cacheField>
    <cacheField name="2030 S/" numFmtId="3">
      <sharedItems containsSemiMixedTypes="0" containsString="0" containsNumber="1" minValue="0" maxValue="340182228.01499993"/>
    </cacheField>
    <cacheField name="Año 1 Cto Directo" numFmtId="3">
      <sharedItems containsSemiMixedTypes="0" containsString="0" containsNumber="1" minValue="2490.5186800862602" maxValue="48092490"/>
    </cacheField>
    <cacheField name="Año 1" numFmtId="3">
      <sharedItems containsSemiMixedTypes="0" containsString="0" containsNumber="1" minValue="2516.6691262271661" maxValue="48597461.144999996"/>
    </cacheField>
    <cacheField name="Año 2 Cto. Directo" numFmtId="3">
      <sharedItems containsSemiMixedTypes="0" containsString="0" containsNumber="1" minValue="0" maxValue="48092490"/>
    </cacheField>
    <cacheField name="Año 2" numFmtId="3">
      <sharedItems containsSemiMixedTypes="0" containsString="0" containsNumber="1" minValue="0" maxValue="48597461.144999996"/>
    </cacheField>
    <cacheField name="Año 3 Cto. Directo" numFmtId="3">
      <sharedItems containsSemiMixedTypes="0" containsString="0" containsNumber="1" minValue="0" maxValue="48092490"/>
    </cacheField>
    <cacheField name="Año 3" numFmtId="3">
      <sharedItems containsSemiMixedTypes="0" containsString="0" containsNumber="1" minValue="0" maxValue="48597461.144999996"/>
    </cacheField>
    <cacheField name="Año 4 Cto. Directo" numFmtId="3">
      <sharedItems containsSemiMixedTypes="0" containsString="0" containsNumber="1" minValue="0" maxValue="48092490"/>
    </cacheField>
    <cacheField name="Año 4" numFmtId="3">
      <sharedItems containsSemiMixedTypes="0" containsString="0" containsNumber="1" minValue="0" maxValue="48597461.144999996"/>
    </cacheField>
    <cacheField name="Año 5 Cto. Directo" numFmtId="3">
      <sharedItems containsSemiMixedTypes="0" containsString="0" containsNumber="1" minValue="0" maxValue="48092490"/>
    </cacheField>
    <cacheField name="Año 5" numFmtId="3">
      <sharedItems containsSemiMixedTypes="0" containsString="0" containsNumber="1" minValue="0" maxValue="48597461.144999996"/>
    </cacheField>
    <cacheField name="Observación" numFmtId="0">
      <sharedItems containsSemiMixedTypes="0" containsString="0" containsNumber="1" containsInteger="1" minValue="0" maxValue="0"/>
    </cacheField>
    <cacheField name="Mecanismo de mercado (liberalizar, facilitar o promover)" numFmtId="0">
      <sharedItems containsBlank="1"/>
    </cacheField>
    <cacheField name="Mecanismos de no mercado (intervención directa, organismo público, tercerizar) " numFmtId="0">
      <sharedItems containsBlank="1" containsMixedTypes="1" containsNumber="1" containsInteger="1" minValue="0" maxValue="0"/>
    </cacheField>
    <cacheField name="Estimulo (incentivo económico o no económico, desincentivo económico o no económico) " numFmtId="0">
      <sharedItems containsBlank="1" containsMixedTypes="1" containsNumber="1" containsInteger="1" minValue="0" maxValue="0"/>
    </cacheField>
    <cacheField name="Otro (subsidio, salvaguarda) " numFmtId="0">
      <sharedItems containsNonDate="0" containsString="0" containsBlank="1"/>
    </cacheField>
    <cacheField name="Posible RE" numFmtId="0">
      <sharedItems containsBlank="1" containsMixedTypes="1" containsNumber="1" containsInteger="1" minValue="0" maxValue="0"/>
    </cacheField>
    <cacheField name="Criterio de Priorización" numFmtId="0">
      <sharedItems containsMixedTypes="1" containsNumber="1" containsInteger="1" minValue="1" maxValue="3"/>
    </cacheField>
    <cacheField name="x" numFmtId="0">
      <sharedItems containsSemiMixedTypes="0" containsString="0" containsNumber="1" containsInteger="1" minValue="0" maxValue="1"/>
    </cacheField>
  </cacheFields>
  <calculatedItems count="1">
    <calculatedItem>
      <pivotArea cacheIndex="1" outline="0" fieldPosition="0">
        <references count="1">
          <reference field="1" count="1">
            <x v="16"/>
          </reference>
        </references>
      </pivotArea>
    </calculatedItem>
  </calculatedItem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Ivan" refreshedDate="44242.361913194443" createdVersion="6" refreshedVersion="6" minRefreshableVersion="3" recordCount="302">
  <cacheSource type="worksheet">
    <worksheetSource name="Tabla1"/>
  </cacheSource>
  <cacheFields count="44">
    <cacheField name="UDT" numFmtId="0">
      <sharedItems count="5">
        <s v="UDT HUALLAGA CENTRAL Y BAJO MAYO"/>
        <s v="UDT ALTO MAYO"/>
        <s v="UDT BAJO HUALLAGA"/>
        <s v="UDT ALTO HUALLAGA "/>
        <s v="REGIONAL"/>
      </sharedItems>
    </cacheField>
    <cacheField name="USA" numFmtId="0">
      <sharedItems count="16">
        <s v="Predios de agricultura familiar con producción destinada al autoconsumo y productos de exportación, con título o sin título de propiedad."/>
        <s v="Predios privados dedicados a la producción comercial (arroz) "/>
        <s v="Predios privados para ganadería de leche y carne"/>
        <s v="Territorios de comunidades nativas"/>
        <s v="Concesiones para conservación y ecoturismo "/>
        <s v="Concesiones Forestales Maderables "/>
        <s v="Parque Nacional Cordillera Azul"/>
        <s v="Parque Nacional del Río Abiseo"/>
        <s v="ZOCRES"/>
        <s v="Tierras sin categoría territorial asignada"/>
        <s v="Intervenciones Transversales x UDT"/>
        <s v="Bosque de Protección Alto Mayo"/>
        <s v="Empresas comercializadoras de palma y sus derivados."/>
        <s v="ACR Cordillera Escalera "/>
        <s v="Área de Conservación Regional Bosque Shunte y Mishollo"/>
        <s v="Intervenciones Transversales X Región"/>
      </sharedItems>
    </cacheField>
    <cacheField name="TIPO DE APALANCAMIENTO" numFmtId="0">
      <sharedItems/>
    </cacheField>
    <cacheField name="N°" numFmtId="0">
      <sharedItems containsMixedTypes="1" containsNumber="1" containsInteger="1" minValue="1" maxValue="33"/>
    </cacheField>
    <cacheField name="Intervención " numFmtId="0">
      <sharedItems/>
    </cacheField>
    <cacheField name="Descripción " numFmtId="0">
      <sharedItems longText="1"/>
    </cacheField>
    <cacheField name="Tipo de Recurso" numFmtId="0">
      <sharedItems/>
    </cacheField>
    <cacheField name="Programa / Proyecto" numFmtId="0">
      <sharedItems/>
    </cacheField>
    <cacheField name="Proyectos Temáticos" numFmtId="0">
      <sharedItems/>
    </cacheField>
    <cacheField name="Descripción del Proyecto Temático" numFmtId="0">
      <sharedItems count="12">
        <s v="Formalización de la situacion de legal de los predios, estableciendo medidas facilitadoras"/>
        <s v="Asistencia Técnica y Capacitación para incorporar tecnologias que eleven la productividad y calidad de los productos y procesos"/>
        <s v="Acceso al crédito, organizanco a la oferta de productores, capacitándolos y asesorando  educación financiera, desarrollo de productos finacnieros adecuados y asesoria para la  acceso al crédito"/>
        <s v="Desarrollar en los productores y produtoras capacidades colaborativas y de confianza hacia objetivos comunes"/>
        <s v="Recuperación de bosques mediante la recuperación y concervación de los suelos, el aprovechamiento de los serivicios ecosistemicos , manejo forstal, entre otros "/>
        <s v="Promover la implementacion de iniciativas de turismo, bionegocios, agroforestería, entre los principales, mediante fondo concursables, fortaleciendo la potencial oferta local y facilitando acceso a la informacion de los mercados"/>
        <s v="Contribuir a la sostenilidad de los bosques brindando incentivos financieros"/>
        <s v="Generar condiciones para el desarrollo socio económico del territorio"/>
        <s v="Desarrollar capaciades en la poblacion y dotarlo de módulos productivos  en compensación a la participación en el monitorei de su ámbito"/>
        <s v="Velar por la calidad y productividad de los productos y  por el acceso al mercado en condiciones competitivas "/>
        <s v="Establecer los mecanismos,  estrucutras y plan para la participacion activa de la población organizada "/>
        <s v="identificar iniciativas a partir de desarrollo de capacidades a los emprendedores"/>
      </sharedItems>
    </cacheField>
    <cacheField name="Componente" numFmtId="0">
      <sharedItems count="10">
        <s v="Titulización y gobernanza"/>
        <s v="Producción sostenible de bienes y servicios"/>
        <s v="Iniciativa productiva sostenible (Proyectos: diversificacion de productos, tecnología)"/>
        <s v="Financiamiento "/>
        <s v="Fortalecimiento de capacidades socio empresariales en las organizaciones "/>
        <s v="Promoción de mercado"/>
        <s v="Gestión sostenible de los bosques amazónicos  adoptando medidas frente al cambio climático"/>
        <s v="Emprendimientos sostenibles "/>
        <s v="Desarrollo socio económico de la población rural"/>
        <s v="Desarrollo de las unidades territoriales"/>
      </sharedItems>
    </cacheField>
    <cacheField name="Cod Componete" numFmtId="0">
      <sharedItems/>
    </cacheField>
    <cacheField name="Enfoque" numFmtId="0">
      <sharedItems/>
    </cacheField>
    <cacheField name="Nombre Cat" numFmtId="0">
      <sharedItems/>
    </cacheField>
    <cacheField name="INC" numFmtId="0">
      <sharedItems/>
    </cacheField>
    <cacheField name="Indicador " numFmtId="0">
      <sharedItems/>
    </cacheField>
    <cacheField name="N° de Referencia para meta" numFmtId="0">
      <sharedItems containsSemiMixedTypes="0" containsString="0" containsNumber="1" minValue="0" maxValue="493395.07454789948"/>
    </cacheField>
    <cacheField name="Meta al 2025" numFmtId="0">
      <sharedItems containsSemiMixedTypes="0" containsString="0" containsNumber="1" minValue="0" maxValue="493395.07454789948"/>
    </cacheField>
    <cacheField name="Meta al 2030" numFmtId="0">
      <sharedItems containsString="0" containsBlank="1" containsNumber="1" minValue="0" maxValue="493395.07454789948"/>
    </cacheField>
    <cacheField name="Precio/Costo Unitario en S/" numFmtId="0">
      <sharedItems containsSemiMixedTypes="0" containsString="0" containsNumber="1" minValue="0.98" maxValue="47000000"/>
    </cacheField>
    <cacheField name="Criterio de precio o costo" numFmtId="0">
      <sharedItems longText="1"/>
    </cacheField>
    <cacheField name="Fuente de Información" numFmtId="0">
      <sharedItems containsMixedTypes="1" containsNumber="1" containsInteger="1" minValue="0" maxValue="0"/>
    </cacheField>
    <cacheField name="2025 Directo" numFmtId="3">
      <sharedItems containsSemiMixedTypes="0" containsString="0" containsNumber="1" minValue="3000" maxValue="240462450"/>
    </cacheField>
    <cacheField name="2025 S/" numFmtId="3">
      <sharedItems containsSemiMixedTypes="0" containsString="0" containsNumber="1" minValue="3031.5" maxValue="242987305.72499999"/>
    </cacheField>
    <cacheField name="2030 Directo" numFmtId="3">
      <sharedItems containsSemiMixedTypes="0" containsString="0" containsNumber="1" minValue="0" maxValue="336647429.99999994"/>
    </cacheField>
    <cacheField name="2030 S/" numFmtId="3">
      <sharedItems containsSemiMixedTypes="0" containsString="0" containsNumber="1" minValue="0" maxValue="340182228.01499993"/>
    </cacheField>
    <cacheField name="Año 1 Cto Directo" numFmtId="3">
      <sharedItems containsSemiMixedTypes="0" containsString="0" containsNumber="1" minValue="2490.5186800862602" maxValue="48092490"/>
    </cacheField>
    <cacheField name="Año 1" numFmtId="3">
      <sharedItems containsSemiMixedTypes="0" containsString="0" containsNumber="1" minValue="2516.6691262271661" maxValue="48597461.144999996"/>
    </cacheField>
    <cacheField name="Año 2 Cto. Directo" numFmtId="3">
      <sharedItems containsSemiMixedTypes="0" containsString="0" containsNumber="1" minValue="0" maxValue="48092490"/>
    </cacheField>
    <cacheField name="Año 2" numFmtId="3">
      <sharedItems containsSemiMixedTypes="0" containsString="0" containsNumber="1" minValue="0" maxValue="48597461.144999996"/>
    </cacheField>
    <cacheField name="Año 3 Cto. Directo" numFmtId="3">
      <sharedItems containsSemiMixedTypes="0" containsString="0" containsNumber="1" minValue="0" maxValue="48092490"/>
    </cacheField>
    <cacheField name="Año 3" numFmtId="3">
      <sharedItems containsSemiMixedTypes="0" containsString="0" containsNumber="1" minValue="0" maxValue="48597461.144999996"/>
    </cacheField>
    <cacheField name="Año 4 Cto. Directo" numFmtId="3">
      <sharedItems containsSemiMixedTypes="0" containsString="0" containsNumber="1" minValue="0" maxValue="48092490"/>
    </cacheField>
    <cacheField name="Año 4" numFmtId="3">
      <sharedItems containsSemiMixedTypes="0" containsString="0" containsNumber="1" minValue="0" maxValue="48597461.144999996"/>
    </cacheField>
    <cacheField name="Año 5 Cto. Directo" numFmtId="3">
      <sharedItems containsSemiMixedTypes="0" containsString="0" containsNumber="1" minValue="0" maxValue="48092490"/>
    </cacheField>
    <cacheField name="Año 5" numFmtId="3">
      <sharedItems containsSemiMixedTypes="0" containsString="0" containsNumber="1" minValue="0" maxValue="48597461.144999996"/>
    </cacheField>
    <cacheField name="Observación" numFmtId="0">
      <sharedItems containsSemiMixedTypes="0" containsString="0" containsNumber="1" containsInteger="1" minValue="0" maxValue="0"/>
    </cacheField>
    <cacheField name="Mecanismo de mercado (liberalizar, facilitar o promover)" numFmtId="0">
      <sharedItems containsBlank="1"/>
    </cacheField>
    <cacheField name="Mecanismos de no mercado (intervención directa, organismo público, tercerizar) " numFmtId="0">
      <sharedItems containsBlank="1" containsMixedTypes="1" containsNumber="1" containsInteger="1" minValue="0" maxValue="0"/>
    </cacheField>
    <cacheField name="Estimulo (incentivo económico o no económico, desincentivo económico o no económico) " numFmtId="0">
      <sharedItems containsBlank="1" containsMixedTypes="1" containsNumber="1" containsInteger="1" minValue="0" maxValue="0"/>
    </cacheField>
    <cacheField name="Otro (subsidio, salvaguarda) " numFmtId="0">
      <sharedItems containsNonDate="0" containsString="0" containsBlank="1"/>
    </cacheField>
    <cacheField name="Posible RE" numFmtId="0">
      <sharedItems containsBlank="1" containsMixedTypes="1" containsNumber="1" containsInteger="1" minValue="0" maxValue="0"/>
    </cacheField>
    <cacheField name="Criterio de Priorización" numFmtId="0">
      <sharedItems containsMixedTypes="1" containsNumber="1" containsInteger="1" minValue="1" maxValue="3"/>
    </cacheField>
    <cacheField name="x"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OnLoad="1" refreshedBy="Melisa Karen Arevalo Muñoz" refreshedDate="44559.538888078707" createdVersion="6" refreshedVersion="5" minRefreshableVersion="3" recordCount="597">
  <cacheSource type="worksheet">
    <worksheetSource ref="B7:U604" sheet="18. Salvaguardas"/>
  </cacheSource>
  <cacheFields count="20">
    <cacheField name="Unidad de Desarrollo Territorial" numFmtId="0">
      <sharedItems containsBlank="1" count="6">
        <s v="HC Y BM"/>
        <m/>
        <s v="AM"/>
        <s v="AH"/>
        <s v="BH"/>
        <s v="Tranversal Regional"/>
      </sharedItems>
    </cacheField>
    <cacheField name="Orden" numFmtId="0">
      <sharedItems containsBlank="1" containsMixedTypes="1" containsNumber="1" containsInteger="1" minValue="1" maxValue="29"/>
    </cacheField>
    <cacheField name="Intervención" numFmtId="0">
      <sharedItems containsBlank="1"/>
    </cacheField>
    <cacheField name="Descripción " numFmtId="0">
      <sharedItems containsBlank="1" longText="1"/>
    </cacheField>
    <cacheField name="Unidades socio ambientales en donde se ha propuesto  la intervención" numFmtId="0">
      <sharedItems containsBlank="1"/>
    </cacheField>
    <cacheField name="Indicador " numFmtId="0">
      <sharedItems containsBlank="1"/>
    </cacheField>
    <cacheField name="Meta 2025" numFmtId="0">
      <sharedItems containsBlank="1" containsMixedTypes="1" containsNumber="1" minValue="1" maxValue="395356.07"/>
    </cacheField>
    <cacheField name="Costo al 2025" numFmtId="0">
      <sharedItems containsString="0" containsBlank="1" containsNumber="1" minValue="7" maxValue="240462450"/>
    </cacheField>
    <cacheField name="Cto Salvag al 2.5%" numFmtId="0">
      <sharedItems containsString="0" containsBlank="1" containsNumber="1" minValue="4.7600000000000003E-3" maxValue="163514.46600000001"/>
    </cacheField>
    <cacheField name="Costo unitario" numFmtId="0">
      <sharedItems containsString="0" containsBlank="1" containsNumber="1" containsInteger="1" minValue="17" maxValue="8000"/>
    </cacheField>
    <cacheField name="Costo total" numFmtId="0">
      <sharedItems containsString="0" containsBlank="1" containsNumber="1" minValue="1190" maxValue="2236860"/>
    </cacheField>
    <cacheField name="Descripción del costeo" numFmtId="0">
      <sharedItems/>
    </cacheField>
    <cacheField name="Riesgos" numFmtId="0">
      <sharedItems/>
    </cacheField>
    <cacheField name="Área de riesgo" numFmtId="0">
      <sharedItems count="9">
        <s v="Biodiversidad y recursos naturales"/>
        <s v="Derechos de los pueblos indígenas"/>
        <s v="Corrupción"/>
        <s v="Género"/>
        <s v="Patrimonio cultural"/>
        <s v="Vulnerabilidad al cambio climático"/>
        <s v="Contaminación"/>
        <s v="Derechos humanos"/>
        <e v="#N/A" u="1"/>
      </sharedItems>
    </cacheField>
    <cacheField name="Código de riesgo" numFmtId="0">
      <sharedItems/>
    </cacheField>
    <cacheField name="Nombre corto de la salvaguarda" numFmtId="0">
      <sharedItems count="74">
        <s v="Realizar estudios de suelos para determinar la capacidad de uso mayor de los suelos como parte de los procesos de formalización de la propiedad rural"/>
        <s v="Implementar el procedimiento de cambio de uso actual de tierras A y C con cobertura de bosques para formalización de propiedad rural considerado en la Ley Forestal y de Fauna Silvestre (Ley No 29736)"/>
        <s v="Fortalecer las capacidades de la población local para que conozcan el marco legal sobre los derechos sobre la tierra y los bosques"/>
        <s v="Evaluación de superposiciones de solicitudes de titulación de predios rurales con solicitudes de pueblos indígenas (como parte del proceso de titulación de un predio rural individual)"/>
        <s v="Análisis de demandas de titulación de tierras a favor de comunidades nativas a nivel departamental con organizaciones indígenas "/>
        <s v="Transparencia en procesos de formalización de la propiedad rural y cesión en uso "/>
        <s v="Incorporación de cónyuges o convivientes en títulos de propiedad y contratos de cesión en uso "/>
        <s v="Evaluación de superposición del área solicitada para titulación de predios rurales con áreas determinadas como patrimonio cultural"/>
        <s v="Programas de asistencia técnica y proyectos específicos para mujeres rurales y mujeres indígenas"/>
        <s v="Ordenamiento agroterritorial como estrategia para ordenar y promover el desarrollo agrario regional "/>
        <s v="Inclusión de cláusulas de monitoreo y control de especies exóticas e invasoras en proyectos de promoción agrarios  "/>
        <s v="Los cultivos deben ser aptos para las zonas en los programas de reconversión productiva "/>
        <s v="Control de aguas residuales de sistemas productivos agrarios a cuerpos de agua naturales "/>
        <s v="Análisis de rentabilidad de la actividad acuícola en los programas de reconversión productiva"/>
        <s v="Desarrollo de incentivos financieros y no financieros condicionados con cláusulas de no deforestación"/>
        <s v="Control de residuos agropecuarios"/>
        <s v="Transparencia en incentivos financieros y obras públicas vinculadas a la ERDRBE"/>
        <s v="Cuotas de género y medición de participación efectiva de mujeres rurales "/>
        <s v="Criterios de evaluación de programas y proyectos con enfoque de género"/>
        <s v="Programas de incentivos financieros y no financieros para el desarrollo rural para mujeres rurales"/>
        <s v="Análisis de rentabilidad de la actividad agropecuaria en los programas de reconversión productiva"/>
        <s v="Soporte para solución de conflictos entre pueblos indígenas y terceros"/>
        <s v="Actualización en registros públicos de juntas directivas de las comunidades nativas"/>
        <s v="Análisis y solución de superposiciones en tierras de comunidades nativas en proceso de titulación (como parte del proceso de titulación de una comunidad nativa) "/>
        <s v="Actualización de bases gráficas de tierras tituladas y cedidas en uso a favor de comunidades nativas "/>
        <s v="Articulación interinstitucional para facilitar el reconocimiento y de titulación de comunidades nativas"/>
        <s v="Incorporación de mujeres indígenas en brigadas de titulación de tierras de comunidades nativas "/>
        <s v="Participación activa de organizaciones indígenas en procesos de titulación"/>
        <s v="Evaluación de superposición del área solicitada para titulación de comunidades nativas con áreas determinadas como patrimonio cultural"/>
        <s v="Programas de asistencia técnica y capacitación específicos para pueblos indígenas, con enfoque intercultural y metodologías apropiadas para pueblos indígenas"/>
        <s v="Programas de asistencia técnica y capacitación específicos para mujeres rurales indígenas"/>
        <s v="Fortalecimiento a comunidades nativas en procesos de negociación de bionegocios"/>
        <s v="Simplificación administrativa con enfoque intercultural"/>
        <s v="Registro de conocimientos tradicionales en INDECOPI"/>
        <s v="Cuotas de género y medición de participación efectiva de mujeres indígenas"/>
        <s v="Programas de biocomercio diseñados especialmente para mujeres indígenas"/>
        <s v="Fortalecimiento de organizaciones indígenas"/>
        <s v="Transparencia en las adquisiciones vinculadas a la ERDRBE"/>
        <s v="Diseño de servicios básicos con enfoque intercultural"/>
        <s v="Diseño de servicios básicos de educación y salud adaptados a las necesidades de las mujeres indígenas"/>
        <s v="Adecuado acceso a servicios básicos de salud y educación "/>
        <s v="Implementación de sistema anticorrupción en coordinación con el Ministerio Público"/>
        <s v="Inclusión de población local y rondas en sistemas de control y vigilancia para reducir la deforestación "/>
        <s v="Inclusión de mujeres rurales y sus organizaciones en iniciativas de control y vigilancia de la deforestación "/>
        <s v="Diseño de mecanismos de participación apropiados para mujeres rurales"/>
        <s v="Evaluación de impacto de actividades turísticas e implementación de buenas prácticas para mitigar el impacto directo e indirecto de la actividad"/>
        <s v="Inclusión de mujeres rurales en actividades de turismo comunitario en ANPs y sus zonas de amortiguamiento"/>
        <s v="Promoción del cultivo de especies nativas"/>
        <s v="Escuelas de campo específicas para mujeres rurales"/>
        <s v="Inclusión de mujeres rurales en actividades de turismo comunitario en concesiones para conservación y ecoturismo"/>
        <s v="Inclusión de mujeres rurales en actividades de turismo comunitario en concesiones forestales maderables"/>
        <s v="Socialización con colindantes de la concesión los derechos y obligaciones de los titulares de las concesiones forestales maderables"/>
        <s v="Evaluación de superposición de las ZOCRES con derechos otorgados"/>
        <s v="Evaluación de superposición de futuras unidades de ordenamiento forestal con solicitudes de titulación de comunidades nativas"/>
        <s v="Transparencia en los procesos de otorgamiento de derechos en las tierras sin categoría territorial asignada "/>
        <s v="Elaboración, implementación y monitoreo de acuerdos de conservación"/>
        <s v="Uso apropiado del lenguaje intercultural y respeto de usos y costumbres"/>
        <s v="Cuotas de género de mujeres indígenas"/>
        <s v="Inclusión de mujeres rurales en la toma de decisiones"/>
        <s v="Diseño de lineamientos para el desarrollo rural (productivo, manejo de bosques, entre otros) con enfoque intercultural"/>
        <s v="Socialización con colindantes de las áreas de conservación regional (ACR), ubicados en el ACR y en sus zonas de amortiguamiento"/>
        <s v="Transparencia en incentivos financieros y obras públicas"/>
        <s v="Fortalecimiento a las partes para que los acuerdos comerciales entre empresa y productores rurales sean transparentes, justos y equitativos que beneficien a ambas partes "/>
        <s v="Elaboración, implementación y monitoreo de acuerdos de no ampliación de frontera agrícola y no deforestación de bosques primarios"/>
        <s v="Inclusión de mujeres rurales en actividades de turismo comunitario en el ACR y sus zonas de amortiguamiento"/>
        <s v="Planteamiento de escenarios frente al cambio climático de manera transversal en la implementación de la ERDRBE "/>
        <s v="Promoción de productos de tierras y bosques de pueblos indígenas"/>
        <s v="Evaluación de superposiciones de solicitudes de títulos habilitantes forestales y de fauna silvestre con solicitudes de reconocimiento, titulación y ampliación de tierras de comunidades nativas durante el proceso de ordenamiento forestal"/>
        <s v="Transparencia en los procesos de otorgamiento de derechos sobre títulos habilitantes forestales y de fauna silvestre"/>
        <s v="Incorporación de cónyuges o convivientes en títulos habilitantes forestales y de fauna silvestre"/>
        <s v="Evaluación de superposición del área solicitada para títulos habilitantes con áreas determinadas como patrimonio cultural"/>
        <s v="Programas de asistencia técnica específicos para pueblos indígenas"/>
        <s v="Transparencia en el proceso de formulación y ejecución de proyectos productivos asociados a la ERDRBE"/>
        <s v="Transparencia en las alianzas comerciales entre empresas y productores "/>
      </sharedItems>
    </cacheField>
    <cacheField name="Descripción de la salvaguarda propuesta" numFmtId="0">
      <sharedItems longText="1"/>
    </cacheField>
    <cacheField name="¿Cuándo debe aplicarse?" numFmtId="0">
      <sharedItems/>
    </cacheField>
    <cacheField name="Código de la salvaguarda" numFmtId="0">
      <sharedItems/>
    </cacheField>
    <cacheField name="Costo unico o asociado a la meta" numFmtId="0">
      <sharedItems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OnLoad="1" refreshedBy="Melisa Karen Arevalo Muñoz" refreshedDate="44559.538890277778" createdVersion="6" refreshedVersion="5" minRefreshableVersion="3" recordCount="302">
  <cacheSource type="worksheet">
    <worksheetSource name="Tabla1[[UDT]:[Criterio de Priorización]]"/>
  </cacheSource>
  <cacheFields count="43">
    <cacheField name="UDT" numFmtId="0">
      <sharedItems count="5">
        <s v="UDT HUALLAGA CENTRAL Y BAJO MAYO"/>
        <s v="UDT ALTO MAYO"/>
        <s v="UDT BAJO HUALLAGA"/>
        <s v="UDT ALTO HUALLAGA "/>
        <s v="REGIONAL"/>
      </sharedItems>
    </cacheField>
    <cacheField name="USA" numFmtId="0">
      <sharedItems count="16">
        <s v="Predios de agricultura familiar con producción destinada al autoconsumo y productos de exportación, con título o sin título de propiedad."/>
        <s v="Predios privados dedicados a la producción comercial (arroz) "/>
        <s v="Predios privados para ganadería de leche y carne"/>
        <s v="Territorios de comunidades nativas"/>
        <s v="Concesiones para conservación y ecoturismo "/>
        <s v="Concesiones Forestales Maderables "/>
        <s v="Parque Nacional Cordillera Azul"/>
        <s v="Parque Nacional del Río Abiseo"/>
        <s v="ZOCRES"/>
        <s v="Tierras sin categoría territorial asignada"/>
        <s v="Intervenciones Transversales x UDT"/>
        <s v="Bosque de Protección Alto Mayo"/>
        <s v="Empresas comercializadoras de palma y sus derivados."/>
        <s v="ACR Cordillera Escalera "/>
        <s v="Área de Conservación Regional Bosque Shunte y Mishollo"/>
        <s v="Intervenciones Transversales X Región"/>
      </sharedItems>
    </cacheField>
    <cacheField name="TIPO DE APALANCAMIENTO" numFmtId="0">
      <sharedItems/>
    </cacheField>
    <cacheField name="N°" numFmtId="0">
      <sharedItems containsMixedTypes="1" containsNumber="1" containsInteger="1" minValue="1" maxValue="33"/>
    </cacheField>
    <cacheField name="Intervención " numFmtId="0">
      <sharedItems count="107">
        <s v="Otorgamiento de derechos sobre la tierra/bosques"/>
        <s v="Asistencia técnica con enfoque bajo en emisiones"/>
        <s v="Manejo, conservación y recuperación de suelos degradados"/>
        <s v="Fertilización de áreas productivas de acuerdo a la etapa fenológica del cultivo"/>
        <s v="Instalación de sistemas de fertirriego"/>
        <s v="Reconversión y diversificación productiva "/>
        <s v="Promoción de agricultura familiar con enfoque de mercado"/>
        <s v="Asistencia técnica para el desarrollo de la acuicultura"/>
        <s v="Incentivos financieros para la acuicultura "/>
        <s v="Programa de acceso al financiamiento agropecuario condicionado"/>
        <s v="Implementación de infraestructura productiva con énfasis a la agro exportación "/>
        <s v="Fortalecimiento de capacidades en gestión de la calidad en las distintas cadenas de valor "/>
        <s v="Promoción de modelos asociativos sostenibles"/>
        <s v="Certificación orgánica y  Comercio Justo"/>
        <s v="Promoción y acceso a los Mecanismos de Retribución por Servicios Eco sistémicos (MERESE)"/>
        <s v="Promoción y desarrollo de proveedores de semillas mejoradas"/>
        <s v="Promoción de Sistemas de producción sostenibles"/>
        <s v="Implementación de infraestructura productiva baja en emisiones"/>
        <s v="Asistencia técnica para el mejoramiento de pastos y ganadería "/>
        <s v="Mejoramiento genético de ganado bovino"/>
        <s v="Concluir reconocimiento y titulación "/>
        <s v="Asistencia técnica para el manejo agroforestal "/>
        <s v="Promoción de Bionegocios con productos forestales no maderables "/>
        <s v="Fortalecimiento de capacidades"/>
        <s v="Identificación y apertura de mercado para productos del bosque."/>
        <s v="Transferencias de Incentivos para protección de bosques"/>
        <s v="Infraestructura comunitaria ( Tambos, Cobertizos, almacenes, cocinas mejoradas, Baños)"/>
        <s v="Servicios básicos de calidad"/>
        <s v="Incentivos financieros para promoción del ecoturismo y turismo comunitario"/>
        <s v="Asistencia técnica para la gestión del turismo y acciones integradas para el desarrollo de las organizaciones  o emprendimientos comunitarios"/>
        <s v=" Promoción de mercados turísticos"/>
        <s v="Exclusión y compensación de concesiones forestales maderables a solicitud del concesionario"/>
        <s v="Incentivos financieros para manejo forestal sostenible"/>
        <s v="Nuevos mecanismos de pagos de deudas por sanciones"/>
        <s v="Sensibilización para el fortalecimiento del control y vigilancia en zona de amortiguamiento"/>
        <s v="Fortalecer el control y vigilancia"/>
        <s v="Promover acuerdos de conservación con cadena de valor para aquellos productos sostenibles con el parque."/>
        <s v="Promoción del turismo comunitario en zona de amortiguamiento y al interior del parque"/>
        <s v="Promoción de agroforestería sostenible en zona de amortiguamiento y al interior del parque"/>
        <s v="Promoción de agroforestería sostenible en zona de amortiguamiento del parque"/>
        <s v="Adecuación de ZoCRE a unidad de ordenamiento forestal y/o titulo habilitante forestal y de fauna silvestre de acuerdo a LFFS (Ley No 29763)"/>
        <s v="Fortalecimiento de capacidades de los responsables de la administración de las nuevas categorías de ordenamiento forestal y títulos habilitantes forestales"/>
        <s v="Elaboración del plan/declaración de manejo de las nuevas categorías de ordenamiento forestal y títulos habilitantes forestales"/>
        <s v="Inscripción en el catastro forestal y en registros públicos"/>
        <s v="Creación y establecimiento de unidades de ordenamiento forestal, otorgamiento de títulos habilitantes forestales y tenencia de la tierra"/>
        <s v="Restauración de áreas degradadas"/>
        <s v="Acuerdos con rondas campesinas y rondas nativas para cumplimiento de compromisos de no deforestación y tráfico de tierras e invasiones"/>
        <s v="Fortalecimiento del monitoreo de la cobertura de bosques y control de la tala ilegal (deforestación, extracción de especies forestales de valor comercial y forestales para tutores de cultivos)"/>
        <s v="Mejoramiento de vías de acceso"/>
        <s v="Restauración ecológica del paisaje"/>
        <s v="Mejor cobertura y calidad de servicios de educación y salud"/>
        <s v="Programa de servicios públicos móviles"/>
        <s v="Promoción Marca &quot;San Martín Región&quot; y &quot;Aliados por la Conservación&quot; "/>
        <s v="Solución de conflictos en las CCNN"/>
        <s v="Transferencias de incentivos por conservación de bosques"/>
        <s v="Incentivos financieros para la promoción del ecoturismo y turismo comunitario"/>
        <s v="Promover acuerdos de conservación con cadena de valor para aquellos productos sostenibles con el ANP"/>
        <s v="Promoción del turismo comunitario en zona de amortiguamiento y al interior del ANP"/>
        <s v="Promoción de agroforestería sostenible en zona de amortiguamiento y al interior del BPAM"/>
        <s v="Asistencia técnica para el desarrollo agroforestal diseñados e implementados junto a SERNANP"/>
        <s v="Certificación RSPO"/>
        <s v="Acceso a financiamiento para modelos de asociación con pequeños productores"/>
        <s v="Acompañamiento de acuerdos comerciales entre empresas y medianos productores"/>
        <s v="Ampliación de estudios de HCS y HCV para nuevas áreas potenciales para asociación con pequeños productores"/>
        <s v="Promover la planificación comunal en centros poblados del interior en base a la zonificación y zona de amortiguamiento teniendo como base al Plan Maestro (incluye acuerdos de conservación)"/>
        <s v="Promoción y difusión de circuitos turísticos en zona de amortiguamiento"/>
        <s v="Promoción de agroforestería sostenible en zona de amortiguamiento"/>
        <s v="Recuperación de la red hídrica en la zona de influencia de la ACR"/>
        <s v="Asistencia técnica para el desarrollo agroforestal diseñados e implementados"/>
        <s v="Elaborar lineamientos de uso de recursos y demarcación de límites"/>
        <s v="Acuerdos con rondas campesinas para cumplimiento de compromisos de no deforestación y tráfico de tierras e invasiones"/>
        <s v="Mejora de programas de desarrollo alternativo con salvaguardas ambientales"/>
        <s v="Zonificación Agroecológica"/>
        <s v="Zonificación forestal, bosques sin categoría asignada, incluyendo ZOCREs actuales y propuestas."/>
        <s v="Promoción de actividad agrícola, pecuaria y acuícola adaptada al cambio climático."/>
        <s v="Aprovechamiento del recurso forestal maderable, provenientes de sistemas agroforestales sostenibles."/>
        <s v="Programa de incentivos a la restauración comunitaria con salvaguardas sociales y ambientales"/>
        <s v="Implementación del FONDESAM"/>
        <s v="Programa de Gestión Empresarial"/>
        <s v="Implementación de la &quot;Marca San Martín Región&quot;"/>
        <s v="Fortalecimiento de la equidad de género y poblaciones vulnerables"/>
        <s v="Programa de emprendimiento rural juvenil, para promover el empalme generacional."/>
        <s v="Mejorar la competitividad de la oferta e identificación de la demanda turística."/>
        <s v="Promoción de la planificación comunal en centros poblados."/>
        <s v="Fortalecer los procesos de Investigación, innovación, y transferencia tecnológica para la producción baja en emisiones."/>
        <s v="_x000a_Promoción de emprendimientos agroindustriales de la pequeña empresa sobre la base de los productos del biocomercio "/>
        <s v="Promoción de productos derivados y gestión de calidad"/>
        <s v="Implementación del Sistema de formalización del uso de la tierra y Recursos Naturales."/>
        <s v="Promover servicios de asesoramiento empresarial en inversiones y facilitación del crédito"/>
        <s v="Diseño de productos financieros para la producción baja en emisiones"/>
        <s v="Promoción y Desarrollo de alianzas comerciales entre grandes, medianas, pequeñas empresas y productores organizados y no organizados para producción baja en emisiones."/>
        <s v="Estrategia de promoción de productos regionales bajos en emisiones."/>
        <s v="Acuerdo regional de producción baja en emisiones e implementación de iniciativa de campeones por los bosques tropicales (TFC) en el marco de la coalición público privada por una producción sostenible."/>
        <s v="Programa de capacitación para funcionarios del gobierno regional sobre ética y anticorrupción."/>
        <s v="Simplificación administrativa de tramites de derechos sobre la tierra y los recursos naturales."/>
        <s v="Implementar un clasificador de cargos acorde a la normativa vigente para lograr la competitividad de los funcionarios públicos. "/>
        <s v="Fortalecimiento de la oficina de control interno del Gobierno Regional San Martín y la fiscalía anticorrupción regional."/>
        <s v="Campañas de difusión y promoción para prevenir actos de corrupcion en los procesos del codigo de ética de la gestión pública. "/>
        <s v="Implementación de la mesa regional de control y vigilancia forestal y de fauna silvestre."/>
        <s v="Capacitación a comunidades nativas, campesinas y custodios forestales."/>
        <s v="Equipamiento a rondas y custodios forestales."/>
        <s v="Implementación de unidad de control forestal y de fauna silvestre en el ARA (gastos corrientes)."/>
        <s v="Implementación de unidad de control forestal y de fauna silvestre en el ARA (gastos de inversión)."/>
        <s v="Fortalecimiento de las fiscalías especializadas en materia ambiental regionales. (A)"/>
        <s v="Fortalecimiento de las fiscalías especializadas en materia ambiental regionales. (B)"/>
        <s v="Implementación de operativos coordinados para el control forestal."/>
        <s v="Elaboración, aprobación e implementación de procedimiento regional integrado del cambio de uso actual para tierras A y C (Articulo No 38 LFFS Ley No 29763) con procedimientos de otorgamiento de la propiedad agraria (titulación de predios y adjudicaciones)"/>
      </sharedItems>
    </cacheField>
    <cacheField name="Descripción " numFmtId="0">
      <sharedItems longText="1"/>
    </cacheField>
    <cacheField name="Tipo de Recurso" numFmtId="0">
      <sharedItems/>
    </cacheField>
    <cacheField name="Programa / Proyecto" numFmtId="0">
      <sharedItems count="3">
        <s v="Programa de incentivos públicos promoviendo el bienestrar sostenible de sus habilitantes"/>
        <s v="Programa de produccion y tecnolgía para el desarrollo sostenible"/>
        <s v="Programa  de Gestion sostenible de los bosques amazónicos frente al cambio climatico."/>
      </sharedItems>
    </cacheField>
    <cacheField name="Proyectos Temáticos" numFmtId="0">
      <sharedItems/>
    </cacheField>
    <cacheField name="Descripción del Proyecto Temático" numFmtId="0">
      <sharedItems/>
    </cacheField>
    <cacheField name="Componente" numFmtId="0">
      <sharedItems count="10">
        <s v="Titulización y gobernanza"/>
        <s v="Producción sostenible de bienes y servicios"/>
        <s v="Iniciativa productiva sostenible (Proyectos: diversificacion de productos, tecnología)"/>
        <s v="Financiamiento "/>
        <s v="Fortalecimiento de capacidades socio empresariales en las organizaciones "/>
        <s v="Promoción de mercado"/>
        <s v="Gestión sostenible de los bosques amazónicos  adoptando medidas frente al cambio climático"/>
        <s v="Emprendimientos sostenibles "/>
        <s v="Desarrollo socio económico de la población rural"/>
        <s v="Desarrollo de las unidades territoriales"/>
      </sharedItems>
    </cacheField>
    <cacheField name="Cod Componete" numFmtId="0">
      <sharedItems/>
    </cacheField>
    <cacheField name="Enfoque" numFmtId="0">
      <sharedItems/>
    </cacheField>
    <cacheField name="Nombre Cat" numFmtId="0">
      <sharedItems count="19">
        <s v="DERECHOS SOBRE LA TIERRA"/>
        <s v="ASISTENCIA TÉCNICA"/>
        <s v="TECNOLOGÍA"/>
        <s v="RECONVERSIÓN"/>
        <s v="CAPACITACIÓN"/>
        <s v="FINANCIAMIENTO"/>
        <s v="INFRAESTRUCTURA"/>
        <s v="ASOCIATIVIDAD"/>
        <s v="MERCADO"/>
        <s v="SERVICIOS ECOSISTÉMICOS"/>
        <s v="INNOVACIÓN"/>
        <s v="SERVICIO DE EDUCACIÓN Y SALUD ADECUADOS"/>
        <s v="PROMOCIÓN ACTIVIDADES ECONÓMICOS"/>
        <s v="GESTIÓN PUBLICA"/>
        <s v="CONTROL Y VIGILANCIA"/>
        <s v="PLANES DE VIDA"/>
        <s v="TRANSVERSALES X UDT"/>
        <s v="GOBERNANZA"/>
        <s v="TRANSVERSAL REGIONAL"/>
      </sharedItems>
    </cacheField>
    <cacheField name="INC" numFmtId="0">
      <sharedItems/>
    </cacheField>
    <cacheField name="Indicador " numFmtId="0">
      <sharedItems/>
    </cacheField>
    <cacheField name="N° de Referencia para meta" numFmtId="0">
      <sharedItems containsSemiMixedTypes="0" containsString="0" containsNumber="1" minValue="0" maxValue="493395.07454789948"/>
    </cacheField>
    <cacheField name="Meta al 2025" numFmtId="0">
      <sharedItems containsSemiMixedTypes="0" containsString="0" containsNumber="1" minValue="0" maxValue="493395.07454789948"/>
    </cacheField>
    <cacheField name="Meta al 2030" numFmtId="0">
      <sharedItems containsString="0" containsBlank="1" containsNumber="1" minValue="0" maxValue="493395.07454789948"/>
    </cacheField>
    <cacheField name="Precio/Costo Unitario en S/" numFmtId="0">
      <sharedItems containsSemiMixedTypes="0" containsString="0" containsNumber="1" minValue="0.98" maxValue="47000000"/>
    </cacheField>
    <cacheField name="Criterio de precio o costo" numFmtId="0">
      <sharedItems longText="1"/>
    </cacheField>
    <cacheField name="Fuente de Información" numFmtId="0">
      <sharedItems containsMixedTypes="1" containsNumber="1" containsInteger="1" minValue="0" maxValue="0"/>
    </cacheField>
    <cacheField name="2025 Directo" numFmtId="3">
      <sharedItems containsSemiMixedTypes="0" containsString="0" containsNumber="1" minValue="3000" maxValue="240462450"/>
    </cacheField>
    <cacheField name="2025 S/" numFmtId="3">
      <sharedItems containsSemiMixedTypes="0" containsString="0" containsNumber="1" minValue="3031.5" maxValue="242987305.72499999"/>
    </cacheField>
    <cacheField name="2030 Directo" numFmtId="3">
      <sharedItems containsSemiMixedTypes="0" containsString="0" containsNumber="1" minValue="0" maxValue="336647429.99999994"/>
    </cacheField>
    <cacheField name="2030 S/" numFmtId="3">
      <sharedItems containsSemiMixedTypes="0" containsString="0" containsNumber="1" minValue="0" maxValue="340182228.01499993"/>
    </cacheField>
    <cacheField name="Año 1 Cto Directo" numFmtId="3">
      <sharedItems containsSemiMixedTypes="0" containsString="0" containsNumber="1" minValue="2490.5186800862602" maxValue="48092490"/>
    </cacheField>
    <cacheField name="Año 1" numFmtId="3">
      <sharedItems containsSemiMixedTypes="0" containsString="0" containsNumber="1" minValue="2516.6691262271661" maxValue="48597461.144999996"/>
    </cacheField>
    <cacheField name="Año 2 Cto. Directo" numFmtId="3">
      <sharedItems containsSemiMixedTypes="0" containsString="0" containsNumber="1" minValue="0" maxValue="48092490"/>
    </cacheField>
    <cacheField name="Año 2" numFmtId="3">
      <sharedItems containsSemiMixedTypes="0" containsString="0" containsNumber="1" minValue="0" maxValue="48597461.144999996"/>
    </cacheField>
    <cacheField name="Año 3 Cto. Directo" numFmtId="3">
      <sharedItems containsSemiMixedTypes="0" containsString="0" containsNumber="1" minValue="0" maxValue="48092490"/>
    </cacheField>
    <cacheField name="Año 3" numFmtId="3">
      <sharedItems containsSemiMixedTypes="0" containsString="0" containsNumber="1" minValue="0" maxValue="48597461.144999996"/>
    </cacheField>
    <cacheField name="Año 4 Cto. Directo" numFmtId="3">
      <sharedItems containsSemiMixedTypes="0" containsString="0" containsNumber="1" minValue="0" maxValue="48092490"/>
    </cacheField>
    <cacheField name="Año 4" numFmtId="3">
      <sharedItems containsSemiMixedTypes="0" containsString="0" containsNumber="1" minValue="0" maxValue="48597461.144999996"/>
    </cacheField>
    <cacheField name="Año 5 Cto. Directo" numFmtId="3">
      <sharedItems containsSemiMixedTypes="0" containsString="0" containsNumber="1" minValue="0" maxValue="48092490"/>
    </cacheField>
    <cacheField name="Año 5" numFmtId="3">
      <sharedItems containsSemiMixedTypes="0" containsString="0" containsNumber="1" minValue="0" maxValue="48597461.144999996"/>
    </cacheField>
    <cacheField name="Observación" numFmtId="0">
      <sharedItems containsSemiMixedTypes="0" containsString="0" containsNumber="1" containsInteger="1" minValue="0" maxValue="0"/>
    </cacheField>
    <cacheField name="Mecanismo de mercado (liberalizar, facilitar o promover)" numFmtId="0">
      <sharedItems containsBlank="1"/>
    </cacheField>
    <cacheField name="Mecanismos de no mercado (intervención directa, organismo público, tercerizar) " numFmtId="0">
      <sharedItems containsBlank="1" containsMixedTypes="1" containsNumber="1" containsInteger="1" minValue="0" maxValue="0"/>
    </cacheField>
    <cacheField name="Estimulo (incentivo económico o no económico, desincentivo económico o no económico) " numFmtId="0">
      <sharedItems containsBlank="1" containsMixedTypes="1" containsNumber="1" containsInteger="1" minValue="0" maxValue="0"/>
    </cacheField>
    <cacheField name="Otro (subsidio, salvaguarda) " numFmtId="0">
      <sharedItems containsNonDate="0" containsString="0" containsBlank="1"/>
    </cacheField>
    <cacheField name="Posible RE" numFmtId="0">
      <sharedItems containsBlank="1" containsMixedTypes="1" containsNumber="1" containsInteger="1" minValue="0" maxValue="0"/>
    </cacheField>
    <cacheField name="Criterio de Priorización" numFmtId="0">
      <sharedItems containsMixedTypes="1" containsNumber="1" containsInteger="1" minValue="1" maxValu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2">
  <r>
    <x v="0"/>
    <x v="0"/>
    <x v="0"/>
    <s v="1.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51977.568789166602"/>
    <n v="25988.784394583301"/>
    <n v="25988.78439458330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1977568.7891666"/>
    <n v="51977568.7891666"/>
    <n v="5197756.8789166603"/>
    <n v="7796635.3183749896"/>
    <n v="10395513.757833321"/>
    <n v="15593270.636749979"/>
    <n v="12994392.19729165"/>
    <n v="0"/>
    <m/>
    <m/>
    <s v="X"/>
    <m/>
    <s v="RE"/>
    <n v="3"/>
    <n v="1"/>
  </r>
  <r>
    <x v="0"/>
    <x v="0"/>
    <x v="1"/>
    <s v="1.1.2"/>
    <x v="1"/>
    <s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x v="1"/>
    <s v="COMP 1"/>
    <s v="PRODUCCIÓN"/>
    <x v="1"/>
    <s v="C1"/>
    <s v="Productores asistidos"/>
    <n v="74562"/>
    <n v="22368.6"/>
    <n v="29824.800000000003"/>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2526416"/>
    <n v="16701888.000000002"/>
    <n v="2505283.2000000002"/>
    <n v="2505283.2000000002"/>
    <n v="2505283.2000000002"/>
    <n v="2505283.2000000002"/>
    <n v="2505283.2000000002"/>
    <n v="0"/>
    <m/>
    <m/>
    <s v="X"/>
    <m/>
    <s v="RE"/>
    <n v="2"/>
    <n v="1"/>
  </r>
  <r>
    <x v="0"/>
    <x v="0"/>
    <x v="1"/>
    <s v="1.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x v="2"/>
    <s v="C17"/>
    <s v="Hectáreas intervenidas"/>
    <n v="155570"/>
    <n v="46671"/>
    <n v="46671"/>
    <n v="500"/>
    <s v="El costo incluye adquisición de semillas, insumos, fertilizantes, entre otras para la producción de plantas agroforestales o coberturas  verdes."/>
    <s v="DRASAM"/>
    <n v="23335500"/>
    <n v="23335500"/>
    <n v="7000650"/>
    <n v="5833875"/>
    <n v="4667100"/>
    <n v="3500325"/>
    <n v="2333550"/>
    <n v="0"/>
    <m/>
    <m/>
    <s v="X"/>
    <m/>
    <m/>
    <n v="3"/>
    <n v="1"/>
  </r>
  <r>
    <x v="0"/>
    <x v="0"/>
    <x v="1"/>
    <s v="1.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x v="2"/>
    <s v="C17"/>
    <s v="hectáreas fertilizadas"/>
    <n v="155570"/>
    <n v="31114"/>
    <n v="46671"/>
    <n v="2500"/>
    <s v="El costo incluye un análisis de suelos, paquete de fertilización según los resultados del análisis y la adquisición de fertilizantes. El costo incluye los tres abonamientos requeridos en una campaña (1 año)."/>
    <s v="DRASAM"/>
    <n v="77785000"/>
    <n v="116677500"/>
    <n v="15557000"/>
    <n v="15557000"/>
    <n v="15557000"/>
    <n v="15557000"/>
    <n v="15557000"/>
    <n v="0"/>
    <m/>
    <m/>
    <s v="X"/>
    <m/>
    <s v="RE"/>
    <n v="3"/>
    <n v="1"/>
  </r>
  <r>
    <x v="0"/>
    <x v="0"/>
    <x v="2"/>
    <s v="1.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x v="2"/>
    <s v="COMP 4 "/>
    <s v="PRODUCCIÓN"/>
    <x v="2"/>
    <s v="C17"/>
    <s v="Hectáreas con sistemas de riego"/>
    <n v="155570"/>
    <n v="7778.5"/>
    <n v="15557"/>
    <n v="11500"/>
    <s v="El costo incluye la instalación de un sistema completo y un paquete de fertilización para la primera campaña. El costo va depender del tipo de cultivo, tipo de sistema y el tipo de materiales a usar en los sistemas de fertirriego."/>
    <s v="DRASAM"/>
    <n v="89452750"/>
    <n v="178905500"/>
    <n v="17890550"/>
    <n v="17890550"/>
    <n v="17890550"/>
    <n v="17890550"/>
    <n v="17890550"/>
    <n v="0"/>
    <m/>
    <m/>
    <s v="X"/>
    <m/>
    <s v="RE"/>
    <n v="3"/>
    <n v="1"/>
  </r>
  <r>
    <x v="0"/>
    <x v="0"/>
    <x v="2"/>
    <s v="1.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x v="3"/>
    <s v="C12"/>
    <s v="Hectáreas reconvertidas/diversificadas"/>
    <n v="31114"/>
    <n v="3111.4"/>
    <n v="3111.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AGROIDEAS"/>
    <n v="46671000"/>
    <n v="46671000"/>
    <n v="9334200"/>
    <n v="9334200"/>
    <n v="9334200"/>
    <n v="9334200"/>
    <n v="9334200"/>
    <n v="0"/>
    <s v="X"/>
    <m/>
    <m/>
    <m/>
    <s v="RE"/>
    <n v="3"/>
    <n v="1"/>
  </r>
  <r>
    <x v="0"/>
    <x v="0"/>
    <x v="1"/>
    <s v="1.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x v="4"/>
    <s v="C3"/>
    <s v="Productores beneficiados"/>
    <n v="74562"/>
    <n v="18640.5"/>
    <n v="26096.69999999999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FONCODES"/>
    <n v="240462450"/>
    <n v="336647429.99999994"/>
    <n v="48092490"/>
    <n v="48092490"/>
    <n v="48092490"/>
    <n v="48092490"/>
    <n v="48092490"/>
    <n v="0"/>
    <m/>
    <m/>
    <s v="X"/>
    <m/>
    <s v="RE"/>
    <n v="2"/>
    <n v="1"/>
  </r>
  <r>
    <x v="0"/>
    <x v="0"/>
    <x v="1"/>
    <s v="1.1.8"/>
    <x v="7"/>
    <s v="Capacitaciones a pequeños productores acuícolas en temas relacionados a: Asociatividad, Gestión y administración de piscigranjas, programación de la producción, formalización, gestión de la calidad entre otros temas que permitan la sostenibilidad de la actividad."/>
    <s v="NR"/>
    <x v="1"/>
    <x v="2"/>
    <s v="COMP 4 "/>
    <s v="PRODUCCIÓN"/>
    <x v="1"/>
    <s v="C1"/>
    <s v="Acuicultores atendidos"/>
    <n v="668"/>
    <n v="801.6"/>
    <n v="935.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448896"/>
    <n v="523712"/>
    <n v="89779.200000000012"/>
    <n v="89779.200000000012"/>
    <n v="89779.200000000012"/>
    <n v="89779.200000000012"/>
    <n v="89779.200000000012"/>
    <n v="0"/>
    <m/>
    <m/>
    <s v="X"/>
    <m/>
    <s v="RE"/>
    <n v="3"/>
    <n v="1"/>
  </r>
  <r>
    <x v="0"/>
    <x v="0"/>
    <x v="3"/>
    <s v="1.1.9"/>
    <x v="8"/>
    <s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x v="5"/>
    <s v="C6"/>
    <s v="Créditos otorgados"/>
    <n v="668"/>
    <n v="801.6"/>
    <n v="935.2"/>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s v="DIREPRO"/>
    <n v="10340640"/>
    <n v="12064080"/>
    <n v="2585160"/>
    <n v="2585160"/>
    <n v="2068128"/>
    <n v="1551096"/>
    <n v="1551096"/>
    <n v="0"/>
    <s v="X"/>
    <m/>
    <m/>
    <m/>
    <s v="RE"/>
    <n v="3"/>
    <n v="1"/>
  </r>
  <r>
    <x v="0"/>
    <x v="0"/>
    <x v="3"/>
    <s v="1.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x v="5"/>
    <s v="C6"/>
    <s v="Créditos otorgados"/>
    <n v="74562"/>
    <n v="22368.6"/>
    <n v="14912.4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240462449.99999997"/>
    <n v="160308300.00000003"/>
    <n v="48092490"/>
    <n v="48092490"/>
    <n v="48092490"/>
    <n v="48092490"/>
    <n v="48092490"/>
    <n v="0"/>
    <s v="X"/>
    <m/>
    <m/>
    <m/>
    <s v="RE"/>
    <n v="3"/>
    <n v="1"/>
  </r>
  <r>
    <x v="0"/>
    <x v="0"/>
    <x v="2"/>
    <s v="1.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x v="6"/>
    <s v="C7"/>
    <s v="Planes de negocios/proyectos ejecutados"/>
    <n v="48"/>
    <n v="9.6000000000000014"/>
    <n v="14.399999999999999"/>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7680000.0000000009"/>
    <n v="11519999.999999998"/>
    <n v="768000.00000000012"/>
    <n v="768000.00000000012"/>
    <n v="1920000.0000000002"/>
    <n v="1920000.0000000002"/>
    <n v="2304000"/>
    <n v="0"/>
    <s v="X"/>
    <m/>
    <m/>
    <m/>
    <s v="RE"/>
    <n v="3"/>
    <n v="1"/>
  </r>
  <r>
    <x v="0"/>
    <x v="0"/>
    <x v="2"/>
    <s v="1.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x v="4"/>
    <s v="C3"/>
    <s v="Empresas y organizaciones atendidas"/>
    <n v="48"/>
    <n v="28.799999999999997"/>
    <n v="14.399999999999999"/>
    <n v="50000"/>
    <s v="El costo incluye la contratación de especialistas para brindar Asistencia Técnica en los procesos de implementación de las certificaciones de calidad, materiales para la capacitación y pasantías."/>
    <s v="DIREPRO"/>
    <n v="1439999.9999999998"/>
    <n v="719999.99999999988"/>
    <n v="287999.99999999994"/>
    <n v="287999.99999999994"/>
    <n v="287999.99999999994"/>
    <n v="287999.99999999994"/>
    <n v="287999.99999999994"/>
    <n v="0"/>
    <m/>
    <m/>
    <s v="X"/>
    <m/>
    <s v="RE"/>
    <n v="2"/>
    <n v="1"/>
  </r>
  <r>
    <x v="0"/>
    <x v="0"/>
    <x v="1"/>
    <s v="1.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x v="7"/>
    <s v="C2"/>
    <s v="Organizaciones auto sostenibles"/>
    <n v="48"/>
    <n v="9.6000000000000014"/>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1152000.0000000002"/>
    <n v="1440000"/>
    <n v="230400.00000000006"/>
    <n v="230400.00000000006"/>
    <n v="230400.00000000006"/>
    <n v="230400.00000000006"/>
    <n v="230400.00000000006"/>
    <n v="0"/>
    <m/>
    <m/>
    <s v="X"/>
    <m/>
    <m/>
    <n v="3"/>
    <n v="1"/>
  </r>
  <r>
    <x v="0"/>
    <x v="0"/>
    <x v="2"/>
    <s v="1.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x v="8"/>
    <s v="C9"/>
    <s v="Organizaciones certificadas"/>
    <n v="48"/>
    <n v="19.200000000000003"/>
    <n v="19.200000000000003"/>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3840000.0000000005"/>
    <n v="3840000.0000000005"/>
    <n v="768000.00000000012"/>
    <n v="768000.00000000012"/>
    <n v="768000.00000000012"/>
    <n v="768000.00000000012"/>
    <n v="768000.00000000012"/>
    <n v="0"/>
    <m/>
    <m/>
    <s v="X"/>
    <m/>
    <m/>
    <n v="3"/>
    <n v="1"/>
  </r>
  <r>
    <x v="0"/>
    <x v="0"/>
    <x v="4"/>
    <s v="1.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50000"/>
    <n v="350000"/>
    <n v="350000"/>
    <n v="350000"/>
    <n v="350000"/>
    <n v="350000"/>
    <n v="0"/>
    <s v="X"/>
    <m/>
    <m/>
    <m/>
    <m/>
    <n v="2"/>
    <n v="1"/>
  </r>
  <r>
    <x v="0"/>
    <x v="1"/>
    <x v="0"/>
    <s v="1.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2572.6683236398999"/>
    <n v="1286.3341618199499"/>
    <n v="1286.3341618199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72668.3236399"/>
    <n v="2572668.3236399"/>
    <n v="257266.83236399002"/>
    <n v="385900.24854598497"/>
    <n v="514533.66472798004"/>
    <n v="771800.49709196994"/>
    <n v="643167.08090997499"/>
    <n v="0"/>
    <m/>
    <m/>
    <s v="X"/>
    <m/>
    <s v="RE"/>
    <n v="3"/>
    <n v="1"/>
  </r>
  <r>
    <x v="0"/>
    <x v="1"/>
    <x v="1"/>
    <s v="1.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x v="2"/>
    <s v="COMP 4 "/>
    <s v="PRODUCCIÓN"/>
    <x v="2"/>
    <s v="C17"/>
    <s v="Unidades semilleristas"/>
    <n v="15"/>
    <n v="7.5"/>
    <n v="7.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112500"/>
    <n v="112500"/>
    <n v="16875"/>
    <n v="22500"/>
    <n v="22500"/>
    <n v="28125"/>
    <n v="22500"/>
    <n v="0"/>
    <m/>
    <s v="X"/>
    <m/>
    <m/>
    <s v="RE"/>
    <n v="3"/>
    <n v="1"/>
  </r>
  <r>
    <x v="0"/>
    <x v="1"/>
    <x v="1"/>
    <s v="1.2.3"/>
    <x v="16"/>
    <s v="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x v="1"/>
    <s v="COMP 1"/>
    <s v="PRODUCCIÓN"/>
    <x v="4"/>
    <s v="C3"/>
    <s v="Productores asistidos"/>
    <n v="5747"/>
    <n v="2586.15"/>
    <n v="3160.850000000000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448244"/>
    <n v="1770076.0000000002"/>
    <n v="289648.8"/>
    <n v="289648.8"/>
    <n v="289648.8"/>
    <n v="289648.8"/>
    <n v="289648.8"/>
    <n v="0"/>
    <m/>
    <m/>
    <s v="X"/>
    <m/>
    <s v="RE"/>
    <n v="3"/>
    <n v="1"/>
  </r>
  <r>
    <x v="0"/>
    <x v="1"/>
    <x v="2"/>
    <s v="1.2.4"/>
    <x v="5"/>
    <s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x v="2"/>
    <s v="COMP 4 "/>
    <s v="PRODUCCIÓN"/>
    <x v="3"/>
    <s v="C12"/>
    <s v="Hectáreas reconvertidas"/>
    <n v="5844"/>
    <n v="584.4"/>
    <n v="584.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8766000"/>
    <n v="8766000"/>
    <n v="1753200"/>
    <n v="1753200"/>
    <n v="1753200"/>
    <n v="1753200"/>
    <n v="1753200"/>
    <n v="0"/>
    <m/>
    <m/>
    <s v="X"/>
    <m/>
    <s v="RE"/>
    <n v="3"/>
    <n v="1"/>
  </r>
  <r>
    <x v="0"/>
    <x v="1"/>
    <x v="3"/>
    <s v="1.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x v="3"/>
    <s v="COMP 11"/>
    <s v="PRODUCCIÓN"/>
    <x v="5"/>
    <s v="C6"/>
    <s v="Productores atendidos"/>
    <n v="5747"/>
    <n v="1724.1"/>
    <n v="1149.40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8534075"/>
    <n v="12356050.000000002"/>
    <n v="1853407.5"/>
    <n v="2780111.25"/>
    <n v="3706815"/>
    <n v="4633518.75"/>
    <n v="5560222.5"/>
    <n v="0"/>
    <s v="X"/>
    <m/>
    <m/>
    <m/>
    <s v="RE"/>
    <n v="3"/>
    <n v="1"/>
  </r>
  <r>
    <x v="0"/>
    <x v="1"/>
    <x v="1"/>
    <s v="1.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
    <s v="NR"/>
    <x v="1"/>
    <x v="4"/>
    <s v="COMP 2"/>
    <s v="PRODUCCIÓN"/>
    <x v="7"/>
    <s v="C2"/>
    <s v="Organizaciones formalizadas y fortalecidas"/>
    <n v="3"/>
    <n v="3"/>
    <n v="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n v="1800000"/>
    <n v="2400000"/>
    <n v="360000"/>
    <n v="360000"/>
    <n v="360000"/>
    <n v="360000"/>
    <n v="360000"/>
    <n v="0"/>
    <m/>
    <m/>
    <s v="X"/>
    <m/>
    <m/>
    <n v="3"/>
    <n v="1"/>
  </r>
  <r>
    <x v="0"/>
    <x v="1"/>
    <x v="2"/>
    <s v="1.2.7"/>
    <x v="17"/>
    <s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x v="2"/>
    <s v="COMP 4 "/>
    <s v="PRODUCCIÓN"/>
    <x v="6"/>
    <s v="C7"/>
    <s v="Planes de negocios ejecutados"/>
    <n v="0"/>
    <n v="3"/>
    <n v="4"/>
    <n v="15000"/>
    <s v="Para el logro de los objetivos, se considera el pago de profesionales para la formulación de los planes de negocios que beneficiarían directamente a los pequeños productores."/>
    <n v="0"/>
    <n v="225000"/>
    <n v="300000"/>
    <n v="112500"/>
    <n v="0"/>
    <n v="112500"/>
    <n v="0"/>
    <n v="0"/>
    <n v="0"/>
    <s v="X"/>
    <m/>
    <m/>
    <m/>
    <m/>
    <n v="3"/>
    <n v="1"/>
  </r>
  <r>
    <x v="0"/>
    <x v="1"/>
    <x v="4"/>
    <s v="1.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50000"/>
    <n v="350000"/>
    <n v="350000"/>
    <n v="350000"/>
    <n v="350000"/>
    <n v="350000"/>
    <n v="0"/>
    <s v="X"/>
    <m/>
    <m/>
    <m/>
    <m/>
    <n v="2"/>
    <n v="1"/>
  </r>
  <r>
    <x v="0"/>
    <x v="2"/>
    <x v="0"/>
    <s v="1.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5860.2605324035703"/>
    <n v="2930.1302662017852"/>
    <n v="2930.13026620178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860260.5324035706"/>
    <n v="5860260.5324035706"/>
    <n v="586026.05324035708"/>
    <n v="879039.07986053557"/>
    <n v="1172052.1064807142"/>
    <n v="1758078.1597210711"/>
    <n v="1465065.1331008926"/>
    <n v="0"/>
    <m/>
    <m/>
    <s v="X"/>
    <m/>
    <s v="RE"/>
    <n v="3"/>
    <n v="1"/>
  </r>
  <r>
    <x v="0"/>
    <x v="2"/>
    <x v="1"/>
    <s v="1.3.2"/>
    <x v="18"/>
    <s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x v="1"/>
    <s v="C1"/>
    <s v="Ganaderos asistidos"/>
    <n v="2375"/>
    <n v="1425"/>
    <n v="950"/>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8000"/>
    <n v="532000"/>
    <n v="159600"/>
    <n v="159600"/>
    <n v="159600"/>
    <n v="159600"/>
    <n v="159600"/>
    <n v="0"/>
    <m/>
    <m/>
    <s v="X"/>
    <m/>
    <s v="RE"/>
    <n v="3"/>
    <n v="1"/>
  </r>
  <r>
    <x v="0"/>
    <x v="2"/>
    <x v="1"/>
    <s v="1.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x v="2"/>
    <s v="C17"/>
    <s v="Hectáreas intervenidas"/>
    <n v="71251"/>
    <n v="14250.2"/>
    <n v="14250.2"/>
    <n v="500"/>
    <s v="El costo incluye adquisición de semillas, insumos, fertilizantes, entre otras para la producción de plantas agroforestales o coberturas  verdes."/>
    <s v="DRASAM, ICT"/>
    <n v="7125100"/>
    <n v="7125100"/>
    <n v="1068765"/>
    <n v="1068765"/>
    <n v="1425020"/>
    <n v="1781275"/>
    <n v="1781275"/>
    <n v="0"/>
    <m/>
    <m/>
    <s v="X"/>
    <m/>
    <s v="RE"/>
    <n v="3"/>
    <n v="1"/>
  </r>
  <r>
    <x v="0"/>
    <x v="2"/>
    <x v="1"/>
    <s v="1.3.4"/>
    <x v="19"/>
    <s v=" Reactivación, implementación y gestión de las postas de inseminación artificial, material genético, capacitación y entrenamiento a inseminadores (certificar por competencia a través del SINEACE), transferencia de embriones a las granjas de los productores y asistencia técnica."/>
    <s v="R"/>
    <x v="1"/>
    <x v="2"/>
    <s v="COMP 4 "/>
    <s v="PRODUCCIÓN"/>
    <x v="2"/>
    <s v="C17"/>
    <s v="Postas activas y operativas"/>
    <n v="0"/>
    <n v="21"/>
    <n v="21"/>
    <n v="54800"/>
    <s v="Costo por posta reactivada y/o instalada, cada una estará ubicada en punto estratégico para cobertura la mayor cantidad de ganaderos. Considerando la implementación con tanques criogénicos, materiales diversos, pajillas, técnico especialista, movilidad entre otros. "/>
    <s v="DIREPRO"/>
    <n v="5754000"/>
    <n v="5754000"/>
    <n v="1150800"/>
    <n v="1150800"/>
    <n v="1150800"/>
    <n v="1150800"/>
    <n v="1150800"/>
    <n v="0"/>
    <m/>
    <s v="X"/>
    <m/>
    <m/>
    <m/>
    <n v="3"/>
    <n v="1"/>
  </r>
  <r>
    <x v="0"/>
    <x v="2"/>
    <x v="3"/>
    <s v="1.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x v="3"/>
    <s v="COMP 11"/>
    <s v="PRODUCCIÓN"/>
    <x v="5"/>
    <s v="C6"/>
    <s v="Ganaderos atendidos"/>
    <n v="2375"/>
    <n v="712.5"/>
    <n v="47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7659375"/>
    <n v="5106250"/>
    <n v="765937.5"/>
    <n v="1148906.25"/>
    <n v="1148906.25"/>
    <n v="2297812.5"/>
    <n v="2297812.5"/>
    <n v="0"/>
    <s v="X"/>
    <m/>
    <m/>
    <m/>
    <s v="RE"/>
    <n v="3"/>
    <n v="1"/>
  </r>
  <r>
    <x v="0"/>
    <x v="2"/>
    <x v="1"/>
    <s v="1.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talecidas"/>
    <n v="24"/>
    <n v="10.8"/>
    <n v="7.1999999999999993"/>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6480000"/>
    <n v="4319999.9999999991"/>
    <n v="1296000"/>
    <n v="1296000"/>
    <n v="1296000"/>
    <n v="1296000"/>
    <n v="1296000"/>
    <n v="0"/>
    <m/>
    <m/>
    <s v="X"/>
    <m/>
    <m/>
    <n v="3"/>
    <n v="1"/>
  </r>
  <r>
    <x v="0"/>
    <x v="2"/>
    <x v="2"/>
    <s v="1.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x v="2"/>
    <s v="C17"/>
    <s v="Planes de negocios implementados"/>
    <n v="0"/>
    <n v="20"/>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6000000"/>
    <n v="8000000"/>
    <n v="3200000"/>
    <n v="3200000"/>
    <n v="3200000"/>
    <n v="3200000"/>
    <n v="3200000"/>
    <n v="0"/>
    <s v="X"/>
    <m/>
    <m/>
    <m/>
    <s v="RE"/>
    <n v="3"/>
    <n v="1"/>
  </r>
  <r>
    <x v="0"/>
    <x v="2"/>
    <x v="4"/>
    <s v="1.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50000"/>
    <n v="350000"/>
    <n v="350000"/>
    <n v="350000"/>
    <n v="350000"/>
    <n v="350000"/>
    <n v="0"/>
    <s v="X"/>
    <m/>
    <m/>
    <m/>
    <m/>
    <n v="2"/>
    <n v="1"/>
  </r>
  <r>
    <x v="0"/>
    <x v="3"/>
    <x v="0"/>
    <s v="1.4.1"/>
    <x v="20"/>
    <s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_x000a_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
    <s v="NR"/>
    <x v="0"/>
    <x v="0"/>
    <s v="COMP 8"/>
    <s v="PROTECCIÓN-GOBERNANZA"/>
    <x v="0"/>
    <s v="C5"/>
    <s v="Comunidades tituladas"/>
    <n v="63"/>
    <n v="63"/>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4488750"/>
    <n v="0"/>
    <n v="897750"/>
    <n v="897750"/>
    <n v="897750"/>
    <n v="897750"/>
    <n v="897750"/>
    <n v="0"/>
    <m/>
    <m/>
    <s v="X"/>
    <m/>
    <m/>
    <n v="3"/>
    <n v="1"/>
  </r>
  <r>
    <x v="0"/>
    <x v="3"/>
    <x v="1"/>
    <s v="1.4.2"/>
    <x v="21"/>
    <s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x v="6"/>
    <s v="COMP 5"/>
    <s v="PROTECCIÓN"/>
    <x v="1"/>
    <s v="C1"/>
    <s v="Productor asistido"/>
    <n v="6900"/>
    <n v="4140"/>
    <n v="276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318400"/>
    <n v="1545600"/>
    <n v="463680"/>
    <n v="463680"/>
    <n v="463680"/>
    <n v="463680"/>
    <n v="463680"/>
    <n v="0"/>
    <m/>
    <m/>
    <s v="X"/>
    <m/>
    <s v="RE"/>
    <n v="3"/>
    <n v="1"/>
  </r>
  <r>
    <x v="0"/>
    <x v="3"/>
    <x v="2"/>
    <s v="1.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x v="7"/>
    <s v="COMP 6"/>
    <s v="PROTECCIÓN"/>
    <x v="10"/>
    <s v="C8"/>
    <s v="Planes de negocio"/>
    <n v="0"/>
    <n v="40"/>
    <n v="40"/>
    <n v="15000"/>
    <s v="Se contratará profesionales para el asesoramiento y formulación de planes de negocios de las Comunidades Nativas."/>
    <s v="Drasam, Agroideas"/>
    <n v="600000"/>
    <n v="600000"/>
    <n v="120000"/>
    <n v="120000"/>
    <n v="120000"/>
    <n v="120000"/>
    <n v="120000"/>
    <n v="0"/>
    <s v="X"/>
    <m/>
    <m/>
    <m/>
    <s v="RE"/>
    <n v="2"/>
    <n v="1"/>
  </r>
  <r>
    <x v="0"/>
    <x v="3"/>
    <x v="1"/>
    <s v="1.4.4"/>
    <x v="23"/>
    <s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x v="4"/>
    <s v="COMP 2"/>
    <s v="PRODUCCIÓN"/>
    <x v="7"/>
    <s v="C2"/>
    <s v="Comunidades fortalecidas"/>
    <n v="66"/>
    <n v="39.6"/>
    <n v="26.400000000000002"/>
    <n v="288000"/>
    <s v="Contratación de especialistas para dar acompañamiento y seguimiento a los procesos organizativos de las CCNN de forma permanente."/>
    <s v="Drasam, Direpro, Dircetur, ARA, CODEPISAM"/>
    <n v="1440000"/>
    <n v="1440000"/>
    <n v="288000"/>
    <n v="288000"/>
    <n v="288000"/>
    <n v="288000"/>
    <n v="288000"/>
    <n v="0"/>
    <m/>
    <m/>
    <s v="X"/>
    <m/>
    <s v="RE"/>
    <n v="2"/>
    <n v="1"/>
  </r>
  <r>
    <x v="0"/>
    <x v="3"/>
    <x v="2"/>
    <s v="1.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x v="5"/>
    <s v="COMP 3"/>
    <s v="PRODUCCIÓN"/>
    <x v="8"/>
    <s v="C9"/>
    <s v="Especialistas"/>
    <n v="0"/>
    <n v="5"/>
    <n v="5"/>
    <n v="3500"/>
    <s v="Contratación de especialista para identificación, acompañamiento y seguimiento a los procesos comerciales iniciados por las organizaciones de las CCNN"/>
    <s v="Drasam, Direpro, Dircetur, ARA, OPIPs"/>
    <n v="1050000"/>
    <n v="1050000"/>
    <n v="210000"/>
    <n v="210000"/>
    <n v="210000"/>
    <n v="210000"/>
    <n v="210000"/>
    <n v="0"/>
    <s v="X"/>
    <m/>
    <m/>
    <m/>
    <s v="RE"/>
    <n v="2"/>
    <n v="1"/>
  </r>
  <r>
    <x v="0"/>
    <x v="3"/>
    <x v="0"/>
    <s v="1.4.6"/>
    <x v="25"/>
    <s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
    <s v="NR"/>
    <x v="2"/>
    <x v="3"/>
    <s v="COMP 11"/>
    <s v="PROTECCIÓN"/>
    <x v="5"/>
    <s v="C6"/>
    <s v="Comunidades atendidas"/>
    <n v="9"/>
    <n v="30"/>
    <n v="27"/>
    <n v="5000"/>
    <s v="El costo esta referido a los gastos administrativos y logísticos que impliquen la elaboración del expediente para ser presentado a los programas de incentivos. "/>
    <s v="Gerencia Regional de Desarrollo Social, Programa Geo bosques, CODEPISAM"/>
    <n v="750000"/>
    <n v="675000"/>
    <n v="150000"/>
    <n v="150000"/>
    <n v="150000"/>
    <n v="150000"/>
    <n v="150000"/>
    <n v="0"/>
    <m/>
    <m/>
    <s v="X"/>
    <m/>
    <m/>
    <n v="3"/>
    <n v="1"/>
  </r>
  <r>
    <x v="0"/>
    <x v="3"/>
    <x v="1"/>
    <s v="1.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x v="8"/>
    <s v="COMP 9"/>
    <s v="INCLUSION"/>
    <x v="11"/>
    <s v="C14"/>
    <s v="Módulos implementados"/>
    <n v="6600"/>
    <n v="1980"/>
    <n v="2640"/>
    <n v="30000"/>
    <s v="Implementación según las necesidades identificadas en cada comunidad, considerando si son aplicables en dichas zonas, si no hay restricciones de cualquier índole. "/>
    <s v="Goresam, MIDIS, DRTyTC, Drasam,Foncodes, Cooperación, CODEPISAM"/>
    <n v="59400000"/>
    <n v="79200000"/>
    <n v="11880000"/>
    <n v="11880000"/>
    <n v="11880000"/>
    <n v="11880000"/>
    <n v="11880000"/>
    <n v="0"/>
    <m/>
    <m/>
    <s v="X"/>
    <m/>
    <m/>
    <n v="2"/>
    <n v="1"/>
  </r>
  <r>
    <x v="0"/>
    <x v="3"/>
    <x v="1"/>
    <s v="1.4.8"/>
    <x v="27"/>
    <s v="Implementación de proyectos enfocados a mejorar los servicios básicos de las comunidades nativas, dichos servicios deberán contar con profesionales bilingües, para asegurar y garantizar la adecuada transferencia de dichos servicios.  "/>
    <s v="NR"/>
    <x v="0"/>
    <x v="8"/>
    <s v="COMP 9"/>
    <s v="INCLUSION"/>
    <x v="11"/>
    <s v="C14"/>
    <s v="Escuelas y postas médicas implementadas"/>
    <n v="66"/>
    <n v="36"/>
    <n v="30"/>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7000000"/>
    <n v="22500000"/>
    <n v="5400000"/>
    <n v="5400000"/>
    <n v="5400000"/>
    <n v="5400000"/>
    <n v="5400000"/>
    <n v="0"/>
    <s v="X"/>
    <m/>
    <m/>
    <m/>
    <s v="RE"/>
    <n v="3"/>
    <n v="1"/>
  </r>
  <r>
    <x v="0"/>
    <x v="4"/>
    <x v="2"/>
    <s v="1.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x v="5"/>
    <s v="C6"/>
    <s v="Planes de negocio"/>
    <n v="14"/>
    <n v="8.4"/>
    <n v="5.6000000000000005"/>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260000"/>
    <n v="840000.00000000012"/>
    <n v="252000"/>
    <n v="252000"/>
    <n v="252000"/>
    <n v="252000"/>
    <n v="252000"/>
    <n v="0"/>
    <s v="X"/>
    <m/>
    <m/>
    <m/>
    <s v="RE"/>
    <n v="2"/>
    <n v="1"/>
  </r>
  <r>
    <x v="0"/>
    <x v="4"/>
    <x v="1"/>
    <s v="1.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x v="1"/>
    <s v="C1"/>
    <s v="Especialistas"/>
    <n v="0"/>
    <n v="3"/>
    <n v="3"/>
    <n v="4000"/>
    <s v="Contratación de especialista y gastos logísticos, pasantías regionales y nacionales para adquisición de know how en materia de turismo rural"/>
    <s v="Dircetur"/>
    <n v="720000"/>
    <n v="720000"/>
    <n v="144000"/>
    <n v="144000"/>
    <n v="144000"/>
    <n v="144000"/>
    <n v="144000"/>
    <n v="0"/>
    <m/>
    <m/>
    <s v="X"/>
    <m/>
    <s v="RE"/>
    <n v="3"/>
    <n v="1"/>
  </r>
  <r>
    <x v="0"/>
    <x v="4"/>
    <x v="2"/>
    <s v="1.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x v="10"/>
    <s v="C8"/>
    <s v="Planes de negocio"/>
    <n v="0"/>
    <n v="7"/>
    <n v="7"/>
    <n v="150000"/>
    <s v="El costo hace referencia al proceso de implementación y funcionamiento de los productos para el desarrollo de  los emprendimientos."/>
    <s v="Dircetur, Agroideas"/>
    <n v="1050000"/>
    <n v="1050000"/>
    <n v="210000"/>
    <n v="210000"/>
    <n v="210000"/>
    <n v="210000"/>
    <n v="210000"/>
    <n v="0"/>
    <s v="X"/>
    <m/>
    <m/>
    <m/>
    <s v="RE"/>
    <n v="3"/>
    <n v="1"/>
  </r>
  <r>
    <x v="0"/>
    <x v="4"/>
    <x v="2"/>
    <s v="1.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x v="12"/>
    <s v="C11"/>
    <s v="Rutas turísticas promocionados"/>
    <n v="0"/>
    <n v="7"/>
    <n v="7"/>
    <n v="40000"/>
    <s v="Participación en eventos de promoción (ferias regionales y nacionales, Fam Trip), el costo cubrirá gastos logísticos y administrativos de los operadores turísticos identificados "/>
    <s v="Mincetur, Dircetur"/>
    <n v="1400000"/>
    <n v="1400000"/>
    <n v="280000"/>
    <n v="280000"/>
    <n v="280000"/>
    <n v="280000"/>
    <n v="280000"/>
    <n v="0"/>
    <m/>
    <m/>
    <s v="X"/>
    <m/>
    <s v="RE"/>
    <n v="3"/>
    <n v="1"/>
  </r>
  <r>
    <x v="0"/>
    <x v="5"/>
    <x v="0"/>
    <s v="1.6.1"/>
    <x v="31"/>
    <s v="Realizar un sinceramiento de las concesiones forestales activas e inactivas para excluir o realizar nuevos otorgamientos a empresas que puedan cumplir técnica y económicamente con lo predispuesto en la directiva."/>
    <s v="NR"/>
    <x v="0"/>
    <x v="0"/>
    <s v="COMP 8"/>
    <s v="PROTECCIÓN-GOBERNANZA"/>
    <x v="0"/>
    <s v="C5"/>
    <s v="N° de concesiones "/>
    <n v="0"/>
    <n v="9"/>
    <n v="10"/>
    <n v="30000"/>
    <s v="Gastos operativos y logísticos para la elaboración de expedientes técnicos sustentatorios para los procesos legales y administrativos que conllevan dicho procedimiento."/>
    <s v="ARA, SERFOR, MINAM"/>
    <n v="270000"/>
    <n v="300000"/>
    <n v="54000"/>
    <n v="108000"/>
    <n v="108000"/>
    <n v="0"/>
    <n v="0"/>
    <n v="0"/>
    <m/>
    <m/>
    <s v="X"/>
    <m/>
    <m/>
    <n v="3"/>
    <n v="1"/>
  </r>
  <r>
    <x v="0"/>
    <x v="5"/>
    <x v="2"/>
    <s v="1.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x v="3"/>
    <s v="COMP 11"/>
    <s v="PROTECCIÓN"/>
    <x v="5"/>
    <s v="C6"/>
    <s v="Créditos otorgados"/>
    <n v="0"/>
    <n v="5"/>
    <n v="10"/>
    <n v="150000"/>
    <s v="El costo incluye los gastos operativos y logísticos para la extracción de la madera de acuerdo al plan de extracción y la implementación de los planes de manejo. ambiental."/>
    <s v="ARA, SERFOR, MINAM"/>
    <n v="750000"/>
    <n v="1500000"/>
    <n v="150000"/>
    <n v="150000"/>
    <n v="150000"/>
    <n v="150000"/>
    <n v="150000"/>
    <n v="0"/>
    <s v="X"/>
    <m/>
    <m/>
    <m/>
    <s v="RE"/>
    <n v="3"/>
    <n v="1"/>
  </r>
  <r>
    <x v="0"/>
    <x v="5"/>
    <x v="1"/>
    <s v="1.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inactivas, al menos el 60% se reactiven y cierren los contratos pendientes por ejecutar. "/>
    <s v="R"/>
    <x v="0"/>
    <x v="0"/>
    <s v="COMP 8"/>
    <s v="HABILITANTE"/>
    <x v="13"/>
    <s v="C21"/>
    <s v="Concesiones reactivadas"/>
    <n v="0"/>
    <n v="5"/>
    <n v="0"/>
    <n v="20000"/>
    <s v="Gastos operativos y logísticos para la elaboración de expedientes técnicos sustentatorios para los procesos legales y administrativos que conllevan dicho procedimiento."/>
    <s v="ARA, SERFOR, MINAM"/>
    <n v="100000"/>
    <n v="0"/>
    <n v="20000"/>
    <n v="20000"/>
    <n v="20000"/>
    <n v="20000"/>
    <n v="20000"/>
    <n v="0"/>
    <m/>
    <m/>
    <s v="X"/>
    <m/>
    <m/>
    <n v="1"/>
    <n v="1"/>
  </r>
  <r>
    <x v="0"/>
    <x v="6"/>
    <x v="4"/>
    <s v="1.7.1"/>
    <x v="34"/>
    <s v="Campañas de sensibilización en los distritos acentuadas en las zonas de amortiguamiento, considerando la participación del ARA, DRASAM, DIRCETUR, GRDS.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x v="6"/>
    <s v="COMP 5"/>
    <s v="PROTECCIÓN-GOBERNANZA"/>
    <x v="14"/>
    <s v="C4"/>
    <s v="Campañas de sensibilización"/>
    <n v="0"/>
    <n v="81"/>
    <n v="81"/>
    <n v="8000"/>
    <s v="Campañas de sensibilización con equipos técnicos de las instituciones involucradas, gastos logísticos, impresión de material de difusión, publicidad radial, televisiva y escrita."/>
    <s v="ARA, SERFOR, SERNANP, CIMA"/>
    <n v="3240000"/>
    <n v="3240000"/>
    <n v="648000"/>
    <n v="648000"/>
    <n v="648000"/>
    <n v="648000"/>
    <n v="648000"/>
    <n v="0"/>
    <m/>
    <m/>
    <s v="X"/>
    <m/>
    <s v="RE"/>
    <n v="3"/>
    <n v="1"/>
  </r>
  <r>
    <x v="0"/>
    <x v="6"/>
    <x v="4"/>
    <s v="1.7.2"/>
    <x v="35"/>
    <s v="Implementar con recursos necesarios al ente que administra el área, con la finalidad de aumentar el número de personas (guardaparques) que contribuyan a realizar acciones de control y vigilancia."/>
    <s v="NR"/>
    <x v="2"/>
    <x v="6"/>
    <s v="COMP 5"/>
    <s v="PROTECCIÓN-GOBERNANZA"/>
    <x v="14"/>
    <s v="C4"/>
    <s v="Número de guardaparques"/>
    <n v="0"/>
    <n v="18"/>
    <n v="18"/>
    <n v="2000"/>
    <s v="Contratación a guardaparques para garantizar el control y vigilancia del área otorgada."/>
    <s v="ARA, SERFOR, SERNANP, CIMA"/>
    <n v="2160000"/>
    <n v="2160000"/>
    <n v="432000"/>
    <n v="432000"/>
    <n v="432000"/>
    <n v="432000"/>
    <n v="432000"/>
    <n v="0"/>
    <m/>
    <m/>
    <s v="X"/>
    <m/>
    <s v="RE"/>
    <n v="3"/>
    <n v="1"/>
  </r>
  <r>
    <x v="0"/>
    <x v="6"/>
    <x v="1"/>
    <s v="1.7.3"/>
    <x v="36"/>
    <s v="Promover la planificación comunal en centros poblados del interior en base a la zonificación y zona de amortiguamiento teniendo como base al Plan Maestro (incluye acuerdos de conservación)"/>
    <s v="NR"/>
    <x v="0"/>
    <x v="8"/>
    <s v="COMP 9"/>
    <s v="HABILITANTE"/>
    <x v="15"/>
    <s v="C10"/>
    <s v="Planes de gestión comunal"/>
    <n v="0"/>
    <n v="81"/>
    <n v="135"/>
    <n v="10000"/>
    <s v="Contratación de servicios profesionales para la elaboración de los planes de gestión comunal."/>
    <s v="ARA, SERFOR, SERNANP, CIMA"/>
    <n v="810000"/>
    <n v="1350000"/>
    <n v="162000"/>
    <n v="162000"/>
    <n v="162000"/>
    <n v="162000"/>
    <n v="162000"/>
    <n v="0"/>
    <m/>
    <m/>
    <s v="X"/>
    <m/>
    <m/>
    <n v="3"/>
    <n v="1"/>
  </r>
  <r>
    <x v="0"/>
    <x v="6"/>
    <x v="2"/>
    <s v="1.7.4"/>
    <x v="37"/>
    <s v="Campañas de promoción y difusión en el ámbito regional y nacional de los circuitos turísticos que existen en la zona de amortiguamiento. acorde al plan maestro del parque.  "/>
    <s v="NR"/>
    <x v="2"/>
    <x v="7"/>
    <s v="COMP 6"/>
    <s v="PROTECCIÓN"/>
    <x v="12"/>
    <s v="C11"/>
    <s v="Campañas de promoción"/>
    <n v="0"/>
    <n v="54"/>
    <n v="54"/>
    <n v="4000"/>
    <s v="Campañas de promoción que incluye, impresión de material de difusión, publicidad radial, televisiva y escrita."/>
    <s v="ARA, SERFOR, SERNANP, CIMA"/>
    <n v="1080000"/>
    <n v="1080000"/>
    <n v="216000"/>
    <n v="216000"/>
    <n v="216000"/>
    <n v="216000"/>
    <n v="216000"/>
    <n v="0"/>
    <m/>
    <s v="X"/>
    <m/>
    <m/>
    <m/>
    <n v="3"/>
    <n v="1"/>
  </r>
  <r>
    <x v="0"/>
    <x v="6"/>
    <x v="2"/>
    <s v="1.7.5"/>
    <x v="38"/>
    <s v="Realizar pasantías focalizadas en aquellos sectores claves que se necesita intervenir para disminuir la presión del parque."/>
    <s v="NR"/>
    <x v="2"/>
    <x v="7"/>
    <s v="COMP 6"/>
    <s v="PROTECCIÓN"/>
    <x v="12"/>
    <s v="C11"/>
    <s v="Pasantías"/>
    <n v="0"/>
    <n v="54"/>
    <n v="54"/>
    <n v="5000"/>
    <s v="El costo hace referencia a los gastos de pasajes, alimentación y otros para un grupo de 20 productores por pasantía."/>
    <s v="ARA, SERFOR, SERNANP, CIMA"/>
    <n v="1350000"/>
    <n v="1350000"/>
    <n v="270000"/>
    <n v="270000"/>
    <n v="270000"/>
    <n v="270000"/>
    <n v="270000"/>
    <n v="0"/>
    <m/>
    <s v="X"/>
    <m/>
    <m/>
    <m/>
    <n v="3"/>
    <n v="1"/>
  </r>
  <r>
    <x v="0"/>
    <x v="7"/>
    <x v="1"/>
    <s v="1.8.1"/>
    <x v="36"/>
    <s v="Promover la planificación comunal en centros poblados en base a la zonificación y zona de amortiguamiento teniendo como base al Plan Maestro (incluye acuerdos de conservación)"/>
    <s v="NR"/>
    <x v="0"/>
    <x v="8"/>
    <s v="COMP 9"/>
    <s v="PROTECCIÓN"/>
    <x v="12"/>
    <s v="C11"/>
    <s v="Planes de gestión comunal"/>
    <n v="0"/>
    <n v="18"/>
    <n v="18"/>
    <n v="10000"/>
    <s v="Contratación de servicios profesionales para la elaboración de los planes de gestión comunal."/>
    <s v="ARA, SERFOR, SERNANP, CIMA"/>
    <n v="180000"/>
    <n v="180000"/>
    <n v="36000"/>
    <n v="36000"/>
    <n v="36000"/>
    <n v="36000"/>
    <n v="36000"/>
    <n v="0"/>
    <m/>
    <m/>
    <s v="X"/>
    <m/>
    <m/>
    <n v="3"/>
    <n v="1"/>
  </r>
  <r>
    <x v="0"/>
    <x v="7"/>
    <x v="2"/>
    <s v="1.8.2"/>
    <x v="37"/>
    <s v="Campañas de promoción y difusión en el ámbito regional y nacional de los circuitos turísticos que existen en la zona de amortiguamiento. acorde al plan maestro del parque.  "/>
    <s v="NR"/>
    <x v="2"/>
    <x v="7"/>
    <s v="COMP 6"/>
    <s v="PROTECCIÓN"/>
    <x v="12"/>
    <s v="C11"/>
    <s v="Campañas de promoción"/>
    <n v="0"/>
    <n v="36"/>
    <n v="36"/>
    <n v="4000"/>
    <s v="Campañas de promoción que incluye, impresión de material de difusión, publicidad radial, televisiva y escrita."/>
    <s v="ARA, SERFOR, SERNANP, CIMA"/>
    <n v="720000"/>
    <n v="720000"/>
    <n v="144000"/>
    <n v="144000"/>
    <n v="144000"/>
    <n v="144000"/>
    <n v="144000"/>
    <n v="0"/>
    <m/>
    <s v="X"/>
    <m/>
    <m/>
    <m/>
    <n v="3"/>
    <n v="1"/>
  </r>
  <r>
    <x v="0"/>
    <x v="7"/>
    <x v="2"/>
    <s v="1.8.3"/>
    <x v="39"/>
    <s v="Realizar pasantías focalizadas en aquellos sectores claves que se necesita intervenir para disminuir la presión del parque."/>
    <s v="NR"/>
    <x v="2"/>
    <x v="7"/>
    <s v="COMP 6"/>
    <s v="PROTECCIÓN"/>
    <x v="12"/>
    <s v="C11"/>
    <s v="Pasantías"/>
    <n v="0"/>
    <n v="36"/>
    <n v="36"/>
    <n v="5000"/>
    <s v="El costo hace referencia a los gastos de pasajes, alimentación y otros para un grupo de 20 productores por pasantía."/>
    <s v="ARA, SERFOR, SERNANP, CIMA"/>
    <n v="900000"/>
    <n v="900000"/>
    <n v="180000"/>
    <n v="180000"/>
    <n v="180000"/>
    <n v="180000"/>
    <n v="180000"/>
    <n v="0"/>
    <m/>
    <s v="X"/>
    <m/>
    <m/>
    <m/>
    <n v="3"/>
    <n v="1"/>
  </r>
  <r>
    <x v="0"/>
    <x v="8"/>
    <x v="0"/>
    <s v="1.9.1"/>
    <x v="40"/>
    <s v="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
    <s v="NR"/>
    <x v="0"/>
    <x v="0"/>
    <s v="COMP 8"/>
    <s v="PROTECCIÓN-GOBERNANZA"/>
    <x v="0"/>
    <s v="C5"/>
    <s v="Ha. con categoría territorial asignada"/>
    <n v="37076.060156214648"/>
    <n v="18538.030078107324"/>
    <n v="18538.030078107324"/>
    <n v="15"/>
    <s v="Para la implementación de las intervención será mecesario la contratación de especialistas para realizar las acciones que comtemplen dicha actividad. Gastos logísticos y trámites documentarios."/>
    <s v="GRSM - DEGT"/>
    <n v="278070.45117160986"/>
    <n v="278070.45117160986"/>
    <n v="55614.090234321979"/>
    <n v="55614.090234321979"/>
    <n v="55614.090234321979"/>
    <n v="55614.090234321979"/>
    <n v="55614.090234321979"/>
    <n v="0"/>
    <m/>
    <s v="X"/>
    <m/>
    <m/>
    <m/>
    <n v="3"/>
    <n v="1"/>
  </r>
  <r>
    <x v="0"/>
    <x v="8"/>
    <x v="4"/>
    <s v="1.9.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20"/>
    <n v="20"/>
    <n v="150"/>
    <s v="Considera materiales de capacitación, alimentación a capacitados en el área cercana a su comunidad y gastos de capacitadores"/>
    <s v="GRSM - DEGT"/>
    <n v="3000"/>
    <n v="3000"/>
    <n v="3000"/>
    <n v="0"/>
    <n v="0"/>
    <n v="0"/>
    <n v="0"/>
    <n v="0"/>
    <m/>
    <s v="X"/>
    <m/>
    <m/>
    <m/>
    <n v="2"/>
    <n v="1"/>
  </r>
  <r>
    <x v="0"/>
    <x v="8"/>
    <x v="4"/>
    <s v="1.9.3"/>
    <x v="42"/>
    <s v="Dependiendo de la categoría forestal a ser aplicada, se realizará un plan/declaración acorde la unidad, en el marco de la ley forestal y fauna silvestre N° 29763."/>
    <s v="NR"/>
    <x v="0"/>
    <x v="0"/>
    <s v="COMP 8"/>
    <s v="PROTECCIÓN-GOBERNANZA"/>
    <x v="0"/>
    <s v="C5"/>
    <s v="N° Planes / Declaraciones elaborados"/>
    <n v="0"/>
    <n v="5"/>
    <n v="5"/>
    <n v="10000"/>
    <s v="Se considera la contratación de profesionales para la elaboración de los expedientes y/o declaraciones identificadas en los diferentes procesos."/>
    <s v="GRSM - DEGT"/>
    <n v="50000"/>
    <n v="50000"/>
    <n v="15000"/>
    <n v="15000"/>
    <n v="20000"/>
    <n v="0"/>
    <n v="0"/>
    <n v="0"/>
    <m/>
    <s v="X"/>
    <m/>
    <m/>
    <m/>
    <n v="2"/>
    <n v="1"/>
  </r>
  <r>
    <x v="0"/>
    <x v="8"/>
    <x v="0"/>
    <s v="1.9.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37076.060156214648"/>
    <n v="18538.030078107324"/>
    <n v="18538.030078107324"/>
    <n v="1"/>
    <s v="Contratación de dos profesioales para agilizar procesos con sunarp."/>
    <s v="GRSM - DEGT"/>
    <n v="18538.030078107324"/>
    <n v="18538.030078107324"/>
    <n v="3707.6060156214648"/>
    <n v="3707.6060156214648"/>
    <n v="3707.6060156214648"/>
    <n v="3707.6060156214648"/>
    <n v="3707.6060156214648"/>
    <n v="0"/>
    <m/>
    <s v="X"/>
    <m/>
    <m/>
    <m/>
    <n v="2"/>
    <n v="1"/>
  </r>
  <r>
    <x v="0"/>
    <x v="9"/>
    <x v="0"/>
    <s v="1.10.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x v="0"/>
    <s v="C5"/>
    <s v="Ha. con categoría territorial asignada"/>
    <n v="237645.43945778001"/>
    <n v="118822.71972889001"/>
    <n v="118822.71972889001"/>
    <n v="15"/>
    <s v="Para la implementación de las intervención será mecesario la contratación de especialistas para realizar las acciones que comtemplen dicha actividad. Gastos logísticos y trámites documentarios."/>
    <s v="GRSM - DEGT"/>
    <n v="1782340.79593335"/>
    <n v="1782340.79593335"/>
    <n v="356468.15918667003"/>
    <n v="356468.15918667003"/>
    <n v="356468.15918667003"/>
    <n v="356468.15918667003"/>
    <n v="356468.15918667003"/>
    <n v="0"/>
    <m/>
    <s v="X"/>
    <m/>
    <m/>
    <m/>
    <n v="3"/>
    <n v="1"/>
  </r>
  <r>
    <x v="0"/>
    <x v="9"/>
    <x v="4"/>
    <s v="1.10.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100"/>
    <n v="80"/>
    <n v="150"/>
    <s v="Considera materiales de capacitación, alimentación a capacitados en el área cercana a su comunidad y gastos de capacitadores"/>
    <s v="GRSM - DEGT"/>
    <n v="15000"/>
    <n v="12000"/>
    <n v="15000"/>
    <n v="0"/>
    <n v="0"/>
    <n v="0"/>
    <n v="0"/>
    <n v="0"/>
    <m/>
    <s v="X"/>
    <m/>
    <m/>
    <m/>
    <n v="2"/>
    <n v="1"/>
  </r>
  <r>
    <x v="0"/>
    <x v="9"/>
    <x v="4"/>
    <s v="1.10.3"/>
    <x v="42"/>
    <s v="Dependiendo de la categoría forestal a ser aplicada, se realizará un plan/declaración acorde a la unidad, en el marco de la ley forestal y fauna silvestre N° 29763."/>
    <s v="NR"/>
    <x v="0"/>
    <x v="0"/>
    <s v="COMP 8"/>
    <s v="PROTECCIÓN-GOBERNANZA"/>
    <x v="0"/>
    <s v="C5"/>
    <s v="N° Planes / Declaraciones elaborados"/>
    <n v="0"/>
    <n v="10"/>
    <n v="10"/>
    <n v="10000"/>
    <s v="Se considera la contratación de profesionales para la elaboración de los expedientes y/o declaraciones identificadas en los diferentes procesos."/>
    <s v="GRSM - DEGT"/>
    <n v="100000"/>
    <n v="100000"/>
    <n v="30000"/>
    <n v="30000"/>
    <n v="40000"/>
    <n v="0"/>
    <n v="0"/>
    <n v="0"/>
    <m/>
    <s v="X"/>
    <m/>
    <m/>
    <m/>
    <n v="2"/>
    <n v="1"/>
  </r>
  <r>
    <x v="0"/>
    <x v="9"/>
    <x v="0"/>
    <s v="1.10.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237645.43945778001"/>
    <n v="118822.71972889001"/>
    <n v="118822.71972889001"/>
    <n v="1"/>
    <s v="Contratación de dos profesioales para agilizar procesos con sunarp."/>
    <s v="GRSM - DEGT"/>
    <n v="118822.71972889001"/>
    <n v="118822.71972889001"/>
    <n v="23764.543945778001"/>
    <n v="23764.543945778001"/>
    <n v="23764.543945778001"/>
    <n v="23764.543945778001"/>
    <n v="23764.543945778001"/>
    <n v="0"/>
    <m/>
    <s v="X"/>
    <m/>
    <m/>
    <m/>
    <n v="2"/>
    <n v="1"/>
  </r>
  <r>
    <x v="0"/>
    <x v="9"/>
    <x v="3"/>
    <s v="1.10.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x v="0"/>
    <s v="C5"/>
    <s v="Hectáreas restauradas"/>
    <n v="0"/>
    <n v="44125.567761421902"/>
    <n v="44125.567761421902"/>
    <n v="500"/>
    <s v="El costo incluye la restauración de una hectárea, esta actividad se desarrollara de acuerdo a la metodología propuesta por el ARA, en coordinación con los productores seleccionados."/>
    <s v="ARA"/>
    <n v="22062783.880710952"/>
    <n v="22062783.880710952"/>
    <n v="22062783.880710952"/>
    <n v="0"/>
    <n v="0"/>
    <n v="0"/>
    <n v="0"/>
    <n v="0"/>
    <m/>
    <s v="X"/>
    <m/>
    <m/>
    <m/>
    <n v="3"/>
    <n v="1"/>
  </r>
  <r>
    <x v="0"/>
    <x v="10"/>
    <x v="1"/>
    <s v="1.11.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8"/>
    <s v="HABILITANTE"/>
    <x v="16"/>
    <s v="C18"/>
    <s v="Acuerdos con rondas campesinas"/>
    <n v="0"/>
    <n v="25"/>
    <n v="29"/>
    <n v="2500"/>
    <s v="Reuniones con los diferentes actores involucrados y la sociedad civil para llegar a acuerdos de no deforestación, lo cual incluye  gastos logísticos en general."/>
    <s v="GRDS, ARA"/>
    <n v="312500"/>
    <n v="362500"/>
    <n v="62500"/>
    <n v="62500"/>
    <n v="62500"/>
    <n v="62500"/>
    <n v="62500"/>
    <n v="0"/>
    <m/>
    <m/>
    <s v="X"/>
    <m/>
    <s v="RE"/>
    <n v="3"/>
    <n v="1"/>
  </r>
  <r>
    <x v="0"/>
    <x v="10"/>
    <x v="1"/>
    <s v="1.11.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 Esta intervención será apoyada por las organizaciones formales de rondas campesinas rondas nativa si comités de monitoreo."/>
    <s v="NR"/>
    <x v="2"/>
    <x v="6"/>
    <s v="COMP 5"/>
    <s v="HABILITANTE"/>
    <x v="16"/>
    <s v="C18"/>
    <s v="Especialistas"/>
    <n v="0"/>
    <n v="5"/>
    <n v="5"/>
    <n v="5000"/>
    <s v="Contratación de especialistas para realizar monitoreo de la cobertura de bosque, desde los diferentes órganos competentes. "/>
    <s v="ARA, Serfor, Sernanp"/>
    <n v="1500000"/>
    <n v="1500000"/>
    <n v="300000"/>
    <n v="300000"/>
    <n v="300000"/>
    <n v="300000"/>
    <n v="300000"/>
    <n v="0"/>
    <m/>
    <s v="X"/>
    <m/>
    <m/>
    <s v="RE"/>
    <n v="3"/>
    <n v="1"/>
  </r>
  <r>
    <x v="0"/>
    <x v="10"/>
    <x v="1"/>
    <s v="1.11.3"/>
    <x v="48"/>
    <s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x v="9"/>
    <s v="COMP 10"/>
    <s v="HABILITANTE"/>
    <x v="16"/>
    <s v="C18"/>
    <s v="Kilómetros mejorados"/>
    <n v="2864"/>
    <n v="286.40000000000003"/>
    <n v="286.40000000000003"/>
    <n v="800000"/>
    <s v="Costo promedio por km2 de vía mejorada o asfaltada"/>
    <s v="DRTyTC"/>
    <n v="229120000.00000003"/>
    <n v="229120000.00000003"/>
    <n v="45824000.000000007"/>
    <n v="45824000.000000007"/>
    <n v="45824000.000000007"/>
    <n v="45824000.000000007"/>
    <n v="45824000.000000007"/>
    <n v="0"/>
    <s v="X"/>
    <m/>
    <m/>
    <m/>
    <n v="0"/>
    <n v="3"/>
    <n v="1"/>
  </r>
  <r>
    <x v="0"/>
    <x v="10"/>
    <x v="1"/>
    <s v="1.11.4"/>
    <x v="49"/>
    <s v="Se cuenta con 160,810 Ha con probabilidad alta y muy alta para restauración, de las cuales 9,430.30 ha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x v="6"/>
    <s v="COMP 5"/>
    <s v="HABILITANTE"/>
    <x v="16"/>
    <s v="C18"/>
    <s v="Hectáreas restauradas"/>
    <n v="128243.81000000001"/>
    <n v="32060.952500000003"/>
    <n v="25648.762000000002"/>
    <n v="500"/>
    <s v="El costo incluye la restauración de una hectárea, esta actividad se desarrollara de acuerdo a la metodología propuesta por el ARA, en coordinación con los productores seleccionados."/>
    <s v="ARA"/>
    <n v="16030476.250000002"/>
    <n v="12824381.000000002"/>
    <n v="3206095.2500000005"/>
    <n v="3206095.2500000005"/>
    <n v="3206095.2500000005"/>
    <n v="3206095.2500000005"/>
    <n v="3206095.2500000005"/>
    <n v="0"/>
    <m/>
    <m/>
    <s v="X"/>
    <m/>
    <s v="RE"/>
    <n v="3"/>
    <n v="1"/>
  </r>
  <r>
    <x v="0"/>
    <x v="10"/>
    <x v="1"/>
    <s v="1.11.5"/>
    <x v="50"/>
    <s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
    <s v="NR"/>
    <x v="0"/>
    <x v="9"/>
    <s v="COMP 10"/>
    <s v="HABILITANTE"/>
    <x v="16"/>
    <s v="C18"/>
    <s v="Centros educativos y postas médicas  implementados"/>
    <n v="0"/>
    <n v="10"/>
    <n v="16"/>
    <n v="3500000"/>
    <s v="El presupuesto esta relacionado a la implementación de la infraestructura, mobiliario y materiales educativos necesarios para que se brinde un servicio de calidad a los niños que aún no reciben dicho servicio de manera permanente. El presupuesto esta relacionado a la implementación de la infraestructura, equipos, materiales, insumos necesarios para que se brinde un servicio de calidad a la población que requiere dicho servicio "/>
    <s v="Colegio de ingenieros de San Martín / GRDS"/>
    <n v="35000000"/>
    <n v="56000000"/>
    <n v="7000000"/>
    <n v="7000000"/>
    <n v="7000000"/>
    <n v="7000000"/>
    <n v="7000000"/>
    <n v="0"/>
    <m/>
    <s v="X"/>
    <m/>
    <m/>
    <s v="RE"/>
    <n v="3"/>
    <n v="1"/>
  </r>
  <r>
    <x v="0"/>
    <x v="10"/>
    <x v="1"/>
    <s v="1.11.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
    <s v="NR"/>
    <x v="0"/>
    <x v="8"/>
    <s v="COMP 9"/>
    <s v="HABILITANTE"/>
    <x v="16"/>
    <s v="C18"/>
    <s v="N° campañas"/>
    <n v="0"/>
    <n v="140"/>
    <n v="280"/>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RDS"/>
    <n v="3500000"/>
    <n v="7000000"/>
    <n v="700000"/>
    <n v="700000"/>
    <n v="700000"/>
    <n v="700000"/>
    <n v="700000"/>
    <n v="0"/>
    <m/>
    <s v="X"/>
    <m/>
    <m/>
    <s v="RE"/>
    <n v="3"/>
    <n v="1"/>
  </r>
  <r>
    <x v="0"/>
    <x v="10"/>
    <x v="1"/>
    <s v="1.11.7"/>
    <x v="52"/>
    <s v="Promoción al acceso de la marca con los productores que cumplan los criterios de elegibilidad solicitados por el programa, como una estrategia de ubicar mercados diferenciados para los productos provenientes de estas zonas."/>
    <s v="NR"/>
    <x v="1"/>
    <x v="5"/>
    <s v="COMP 3"/>
    <s v="HABILITANTE"/>
    <x v="16"/>
    <s v="C18"/>
    <s v="N° de empresas que acceden a la marca."/>
    <n v="0"/>
    <n v="30"/>
    <n v="40"/>
    <n v="3000"/>
    <s v="El costo incluye: Una inspección anual anunciada,  elaboración de informe de inspección, administración y comunicación, certificación según los estándares de la marca."/>
    <s v="Dircetur, Drasam"/>
    <n v="450000"/>
    <n v="600000"/>
    <n v="90000"/>
    <n v="90000"/>
    <n v="90000"/>
    <n v="90000"/>
    <n v="90000"/>
    <n v="0"/>
    <m/>
    <m/>
    <s v="X"/>
    <m/>
    <n v="0"/>
    <n v="2"/>
    <n v="1"/>
  </r>
  <r>
    <x v="1"/>
    <x v="0"/>
    <x v="0"/>
    <s v="2.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20410.639082625901"/>
    <n v="10205.319541312951"/>
    <n v="10205.3195413129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0410639.082625899"/>
    <n v="20410639.082625899"/>
    <n v="2041063.9082625899"/>
    <n v="3061595.8623938849"/>
    <n v="4082127.8165251799"/>
    <n v="6123191.7247877698"/>
    <n v="5102659.7706564749"/>
    <n v="0"/>
    <m/>
    <m/>
    <s v="X"/>
    <m/>
    <s v="RE"/>
    <n v="3"/>
    <n v="1"/>
  </r>
  <r>
    <x v="1"/>
    <x v="0"/>
    <x v="1"/>
    <s v="2.1.2"/>
    <x v="1"/>
    <s v="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x v="1"/>
    <s v="COMP 1"/>
    <s v="PRODUCCIÓN"/>
    <x v="1"/>
    <s v="C1"/>
    <s v="Productores asistidos"/>
    <n v="29531"/>
    <n v="17718.599999999999"/>
    <n v="11812.40000000000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9922416"/>
    <n v="6614944.0000000009"/>
    <n v="1984483.2000000002"/>
    <n v="1984483.2000000002"/>
    <n v="1984483.2000000002"/>
    <n v="1984483.2000000002"/>
    <n v="1984483.2000000002"/>
    <n v="0"/>
    <m/>
    <m/>
    <s v="X"/>
    <m/>
    <s v="RE"/>
    <n v="2"/>
    <n v="1"/>
  </r>
  <r>
    <x v="1"/>
    <x v="0"/>
    <x v="1"/>
    <s v="2.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x v="2"/>
    <s v="C17"/>
    <s v="Hectáreas intervenidas"/>
    <n v="65935"/>
    <n v="19780.5"/>
    <n v="19780.5"/>
    <n v="500"/>
    <s v="El costo incluye adquisición de semillas, insumos, fertilizantes, entre otras para la producción de plantas agroforestales o coberturas  verdes."/>
    <s v="DRASAM"/>
    <n v="9890250"/>
    <n v="9890250"/>
    <n v="1978050"/>
    <n v="1978050"/>
    <n v="1978050"/>
    <n v="1978050"/>
    <n v="1978050"/>
    <n v="0"/>
    <m/>
    <m/>
    <s v="X"/>
    <m/>
    <m/>
    <n v="2"/>
    <n v="1"/>
  </r>
  <r>
    <x v="1"/>
    <x v="0"/>
    <x v="1"/>
    <s v="2.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x v="2"/>
    <s v="C17"/>
    <s v="hectáreas fertilizadas"/>
    <n v="65935"/>
    <n v="13187"/>
    <n v="19780.5"/>
    <n v="2500"/>
    <s v="El costo incluye un análisis de suelos, paquete de fertilización según los resultados del análisis y la adquisición de fertilizantes. El costo incluye los tres abonamientos requeridos en una campaña (1 año)."/>
    <s v="Drasam"/>
    <n v="32967500"/>
    <n v="49451250"/>
    <n v="6593500"/>
    <n v="6593500"/>
    <n v="6593500"/>
    <n v="6593500"/>
    <n v="6593500"/>
    <n v="0"/>
    <m/>
    <m/>
    <s v="X"/>
    <m/>
    <s v="RE"/>
    <n v="3"/>
    <n v="1"/>
  </r>
  <r>
    <x v="1"/>
    <x v="0"/>
    <x v="2"/>
    <s v="2.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x v="2"/>
    <s v="COMP 4 "/>
    <s v="PRODUCCIÓN"/>
    <x v="2"/>
    <s v="C17"/>
    <s v="Hectáreas con sistemas de riego"/>
    <n v="65935"/>
    <n v="3296.75"/>
    <n v="4615.4500000000007"/>
    <n v="11500"/>
    <s v="El costo incluye la instalación de un sistema completo y un paquete de fertilización para la primera campaña. El costo va depender del tipo de cultivo, tipo de sistema y el tipo de materiales a usar en los sistemas de fertirriego."/>
    <s v="DRASAM"/>
    <n v="37912625"/>
    <n v="53077675.000000007"/>
    <n v="7582525"/>
    <n v="7582525"/>
    <n v="7582525"/>
    <n v="7582525"/>
    <n v="7582525"/>
    <n v="0"/>
    <m/>
    <m/>
    <s v="X"/>
    <m/>
    <s v="RE"/>
    <n v="3"/>
    <n v="1"/>
  </r>
  <r>
    <x v="1"/>
    <x v="0"/>
    <x v="2"/>
    <s v="2.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x v="3"/>
    <s v="C12"/>
    <s v="Hectáreas reconvertidas/diversificadas"/>
    <n v="13187"/>
    <n v="1318.7"/>
    <n v="1318.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19780500"/>
    <n v="19780500"/>
    <n v="3956100"/>
    <n v="3956100"/>
    <n v="3956100"/>
    <n v="3956100"/>
    <n v="3956100"/>
    <n v="0"/>
    <s v="X"/>
    <m/>
    <m/>
    <m/>
    <s v="RE"/>
    <n v="2"/>
    <n v="1"/>
  </r>
  <r>
    <x v="1"/>
    <x v="0"/>
    <x v="1"/>
    <s v="2.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x v="4"/>
    <s v="C3"/>
    <s v="Productores beneficiados"/>
    <n v="29531"/>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76189980.000000015"/>
    <n v="7618998.0000000019"/>
    <n v="7618998.0000000019"/>
    <n v="7618998.0000000019"/>
    <n v="7618998.0000000019"/>
    <n v="7618998.0000000019"/>
    <n v="0"/>
    <m/>
    <m/>
    <s v="X"/>
    <m/>
    <s v="RE"/>
    <n v="3"/>
    <n v="1"/>
  </r>
  <r>
    <x v="1"/>
    <x v="0"/>
    <x v="1"/>
    <s v="2.1.8"/>
    <x v="7"/>
    <s v="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x v="2"/>
    <s v="COMP 4 "/>
    <s v="PRODUCCIÓN"/>
    <x v="1"/>
    <s v="C1"/>
    <s v="Acuicultores asistidos"/>
    <n v="324"/>
    <n v="324"/>
    <n v="324"/>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181440"/>
    <n v="181440"/>
    <n v="36288"/>
    <n v="36288"/>
    <n v="36288"/>
    <n v="36288"/>
    <n v="36288"/>
    <n v="0"/>
    <m/>
    <m/>
    <s v="X"/>
    <m/>
    <s v="RE"/>
    <n v="3"/>
    <n v="1"/>
  </r>
  <r>
    <x v="1"/>
    <x v="0"/>
    <x v="3"/>
    <s v="2.1.9"/>
    <x v="8"/>
    <s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x v="5"/>
    <s v="C6"/>
    <s v="Créditos otorgados"/>
    <n v="324"/>
    <n v="324"/>
    <n v="324"/>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4179600"/>
    <n v="4179600"/>
    <n v="835920"/>
    <n v="835920"/>
    <n v="835920"/>
    <n v="835920"/>
    <n v="835920"/>
    <n v="0"/>
    <s v="X"/>
    <m/>
    <m/>
    <m/>
    <s v="RE"/>
    <n v="3"/>
    <n v="1"/>
  </r>
  <r>
    <x v="1"/>
    <x v="0"/>
    <x v="3"/>
    <s v="2.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x v="5"/>
    <s v="C6"/>
    <s v="Créditos otorgados"/>
    <n v="29531"/>
    <n v="8859.2999999999993"/>
    <n v="5906.200000000000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GRDE"/>
    <n v="95237474.999999985"/>
    <n v="63491650.000000007"/>
    <n v="19047494.999999996"/>
    <n v="19047494.999999996"/>
    <n v="19047494.999999996"/>
    <n v="19047494.999999996"/>
    <n v="19047494.999999996"/>
    <n v="0"/>
    <s v="X"/>
    <m/>
    <m/>
    <m/>
    <s v="RE"/>
    <n v="3"/>
    <n v="1"/>
  </r>
  <r>
    <x v="1"/>
    <x v="0"/>
    <x v="2"/>
    <s v="2.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x v="6"/>
    <s v="C7"/>
    <s v="Planes de negocios/proyectos ejecutados"/>
    <n v="47"/>
    <n v="18.8"/>
    <n v="11.28"/>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15040000"/>
    <n v="9024000"/>
    <n v="3008000"/>
    <n v="3008000"/>
    <n v="3008000"/>
    <n v="3008000"/>
    <n v="3008000"/>
    <n v="0"/>
    <s v="X"/>
    <m/>
    <m/>
    <m/>
    <s v="RE"/>
    <n v="3"/>
    <n v="1"/>
  </r>
  <r>
    <x v="1"/>
    <x v="0"/>
    <x v="2"/>
    <s v="2.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x v="4"/>
    <s v="C3"/>
    <s v="Empresas y organizaciones atendidas"/>
    <n v="47"/>
    <n v="18.8"/>
    <n v="14.1"/>
    <n v="50000"/>
    <s v="El costo incluye la contratación de especialistas para brindar Asistencia Técnica en los procesos de implementación de las certificaciones de calidad, materiales para la capacitación y pasantías."/>
    <s v="DIREPRO"/>
    <n v="940000"/>
    <n v="705000"/>
    <n v="188000"/>
    <n v="188000"/>
    <n v="188000"/>
    <n v="188000"/>
    <n v="188000"/>
    <n v="0"/>
    <m/>
    <m/>
    <s v="X"/>
    <m/>
    <s v="RE"/>
    <n v="3"/>
    <n v="1"/>
  </r>
  <r>
    <x v="1"/>
    <x v="0"/>
    <x v="1"/>
    <s v="2.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x v="7"/>
    <s v="C2"/>
    <s v="Organizaciones auto sostenibles"/>
    <n v="47"/>
    <n v="14.1"/>
    <n v="28.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8460000"/>
    <n v="16920000"/>
    <n v="1692000"/>
    <n v="1692000"/>
    <n v="1692000"/>
    <n v="1692000"/>
    <n v="1692000"/>
    <n v="0"/>
    <m/>
    <m/>
    <s v="X"/>
    <m/>
    <m/>
    <n v="3"/>
    <n v="1"/>
  </r>
  <r>
    <x v="1"/>
    <x v="0"/>
    <x v="2"/>
    <s v="2.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x v="8"/>
    <s v="C9"/>
    <s v="Organizaciones certificadas"/>
    <n v="47"/>
    <n v="14.1"/>
    <n v="18.8"/>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20000"/>
    <n v="3760000"/>
    <n v="564000"/>
    <n v="564000"/>
    <n v="564000"/>
    <n v="564000"/>
    <n v="564000"/>
    <n v="0"/>
    <m/>
    <m/>
    <s v="X"/>
    <m/>
    <m/>
    <n v="3"/>
    <n v="1"/>
  </r>
  <r>
    <x v="1"/>
    <x v="0"/>
    <x v="4"/>
    <s v="2.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0000"/>
    <n v="100000"/>
    <n v="100000"/>
    <n v="100000"/>
    <n v="100000"/>
    <n v="100000"/>
    <n v="0"/>
    <s v="X"/>
    <m/>
    <m/>
    <m/>
    <m/>
    <n v="2"/>
    <n v="1"/>
  </r>
  <r>
    <x v="1"/>
    <x v="1"/>
    <x v="0"/>
    <s v="2.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1265.8133615517399"/>
    <n v="632.90668077586997"/>
    <n v="632.90668077586997"/>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265813.36155174"/>
    <n v="1265813.36155174"/>
    <n v="126581.33615517401"/>
    <n v="189872.00423276098"/>
    <n v="253162.67231034802"/>
    <n v="379744.00846552197"/>
    <n v="316453.34038793499"/>
    <n v="0"/>
    <m/>
    <m/>
    <s v="X"/>
    <m/>
    <s v="RE"/>
    <n v="3"/>
    <n v="1"/>
  </r>
  <r>
    <x v="1"/>
    <x v="1"/>
    <x v="1"/>
    <s v="2.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x v="2"/>
    <s v="COMP 4 "/>
    <s v="PRODUCCIÓN"/>
    <x v="2"/>
    <s v="C17"/>
    <s v="Unidades semilleristas"/>
    <n v="10"/>
    <n v="5"/>
    <n v="5"/>
    <n v="15000"/>
    <s v="El costo Incluye la adquirió de semillas certificadas, los pagos y trámites al CORESE  y los Servicios de Asistencia Técnica especializada. No incluye costos de alquiler de terrenos. Con respecto al fortalecimiento del INIA, se espera que el MINAGRI, asigne un mayor presupuesto para este rubro."/>
    <s v="DRASAM"/>
    <n v="75000"/>
    <n v="75000"/>
    <n v="15000"/>
    <n v="15000"/>
    <n v="15000"/>
    <n v="15000"/>
    <n v="15000"/>
    <n v="0"/>
    <m/>
    <s v="X"/>
    <m/>
    <m/>
    <s v="RE"/>
    <n v="3"/>
    <n v="1"/>
  </r>
  <r>
    <x v="1"/>
    <x v="1"/>
    <x v="1"/>
    <s v="2.2.3"/>
    <x v="16"/>
    <s v="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x v="1"/>
    <s v="COMP 1"/>
    <s v="PRODUCCIÓN"/>
    <x v="4"/>
    <s v="C3"/>
    <s v="Productores asistidos"/>
    <n v="3741"/>
    <n v="1870.5"/>
    <n v="1122.3"/>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47480"/>
    <n v="628488"/>
    <n v="209496"/>
    <n v="209496"/>
    <n v="209496"/>
    <n v="209496"/>
    <n v="209496"/>
    <n v="0"/>
    <m/>
    <m/>
    <s v="X"/>
    <m/>
    <s v="RE"/>
    <n v="2"/>
    <n v="1"/>
  </r>
  <r>
    <x v="1"/>
    <x v="1"/>
    <x v="2"/>
    <s v="2.2.4"/>
    <x v="5"/>
    <s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x v="2"/>
    <s v="COMP 4 "/>
    <s v="PRODUCCIÓN"/>
    <x v="3"/>
    <s v="C12"/>
    <s v="Hectáreas reconvertidas"/>
    <n v="3804.2000000000003"/>
    <n v="380.42000000000007"/>
    <n v="380.4200000000000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5706300.0000000009"/>
    <n v="5706300.0000000009"/>
    <n v="1141260.0000000002"/>
    <n v="1141260.0000000002"/>
    <n v="1141260.0000000002"/>
    <n v="1141260.0000000002"/>
    <n v="1141260.0000000002"/>
    <n v="0"/>
    <m/>
    <m/>
    <s v="X"/>
    <m/>
    <s v="RE"/>
    <n v="3"/>
    <n v="1"/>
  </r>
  <r>
    <x v="1"/>
    <x v="1"/>
    <x v="3"/>
    <s v="2.2.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x v="3"/>
    <s v="COMP 11"/>
    <s v="PRODUCCIÓN"/>
    <x v="5"/>
    <s v="C6"/>
    <s v="Productores atendidos"/>
    <n v="3741"/>
    <n v="1122.3"/>
    <n v="748.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2064725"/>
    <n v="8043150.0000000009"/>
    <n v="2412945"/>
    <n v="2412945"/>
    <n v="2412945"/>
    <n v="2412945"/>
    <n v="2412945"/>
    <n v="0"/>
    <s v="X"/>
    <m/>
    <m/>
    <m/>
    <s v="RE"/>
    <n v="3"/>
    <n v="1"/>
  </r>
  <r>
    <x v="1"/>
    <x v="1"/>
    <x v="1"/>
    <s v="2.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malizadas y fortalecidas"/>
    <n v="5"/>
    <n v="5"/>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3000000"/>
    <n v="3000000"/>
    <n v="600000"/>
    <n v="600000"/>
    <n v="600000"/>
    <n v="600000"/>
    <n v="600000"/>
    <n v="0"/>
    <m/>
    <m/>
    <s v="X"/>
    <m/>
    <m/>
    <n v="3"/>
    <n v="1"/>
  </r>
  <r>
    <x v="1"/>
    <x v="1"/>
    <x v="2"/>
    <s v="2.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x v="2"/>
    <s v="COMP 4 "/>
    <s v="PRODUCCIÓN"/>
    <x v="6"/>
    <s v="C7"/>
    <s v="Planes de negocios ejecutados"/>
    <n v="0"/>
    <n v="5"/>
    <n v="5"/>
    <n v="15000"/>
    <s v="Para el logro de los objetivos, se considera el pago de profesionales para la formulación de los planes de negocios que beneficiarían directamente a los pequeños productores."/>
    <s v="DRASAM"/>
    <n v="375000"/>
    <n v="375000"/>
    <n v="187500"/>
    <n v="0"/>
    <n v="187500"/>
    <n v="0"/>
    <n v="0"/>
    <n v="0"/>
    <s v="X"/>
    <m/>
    <m/>
    <m/>
    <m/>
    <n v="2"/>
    <n v="1"/>
  </r>
  <r>
    <x v="1"/>
    <x v="1"/>
    <x v="4"/>
    <s v="2.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0000"/>
    <n v="100000"/>
    <n v="100000"/>
    <n v="100000"/>
    <n v="100000"/>
    <n v="100000"/>
    <n v="0"/>
    <s v="X"/>
    <m/>
    <m/>
    <m/>
    <m/>
    <n v="3"/>
    <n v="1"/>
  </r>
  <r>
    <x v="1"/>
    <x v="2"/>
    <x v="0"/>
    <s v="2.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877.84859269436697"/>
    <n v="438.92429634718349"/>
    <n v="438.9242963471834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877848.59269436693"/>
    <n v="877848.59269436693"/>
    <n v="87784.859269436696"/>
    <n v="131677.28890415502"/>
    <n v="175569.71853887339"/>
    <n v="263354.57780831004"/>
    <n v="219462.14817359173"/>
    <n v="0"/>
    <m/>
    <m/>
    <s v="X"/>
    <m/>
    <s v="RE"/>
    <n v="3"/>
    <n v="1"/>
  </r>
  <r>
    <x v="1"/>
    <x v="2"/>
    <x v="1"/>
    <s v="2.3.2"/>
    <x v="18"/>
    <s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x v="1"/>
    <s v="C1"/>
    <s v="Ganaderos asistidos"/>
    <n v="1424"/>
    <n v="1424"/>
    <n v="1424"/>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7440"/>
    <n v="797440"/>
    <n v="159488"/>
    <n v="159488"/>
    <n v="159488"/>
    <n v="159488"/>
    <n v="159488"/>
    <n v="0"/>
    <m/>
    <m/>
    <s v="X"/>
    <m/>
    <s v="RE"/>
    <n v="3"/>
    <n v="1"/>
  </r>
  <r>
    <x v="1"/>
    <x v="2"/>
    <x v="1"/>
    <s v="2.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x v="2"/>
    <s v="C17"/>
    <s v="Hectáreas intervenidas"/>
    <n v="14015"/>
    <n v="2803"/>
    <n v="2803"/>
    <n v="500"/>
    <s v="El costo incluye adquisición de semillas, insumos, fertilizantes, entre otras para la producción de plantas agroforestales o coberturas  verdes."/>
    <s v="DRASAM"/>
    <n v="1401500"/>
    <n v="1401500"/>
    <n v="280300"/>
    <n v="280300"/>
    <n v="280300"/>
    <n v="280300"/>
    <n v="280300"/>
    <n v="0"/>
    <m/>
    <m/>
    <s v="X"/>
    <m/>
    <s v="RE"/>
    <n v="3"/>
    <n v="1"/>
  </r>
  <r>
    <x v="1"/>
    <x v="2"/>
    <x v="1"/>
    <s v="2.3.4"/>
    <x v="19"/>
    <s v="Reactivación, implementación y gestión de las postas de inseminación artificial, importación de material genético (pajillas de semen), capacitación y entrenamiento a inseminadores, transferencia de embriones a las granjas de los productores y asistencia técnica."/>
    <s v="R"/>
    <x v="1"/>
    <x v="2"/>
    <s v="COMP 4 "/>
    <s v="PRODUCCIÓN"/>
    <x v="2"/>
    <s v="C17"/>
    <s v="Postas activas y operativas"/>
    <n v="0"/>
    <n v="5"/>
    <n v="5"/>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1370000"/>
    <n v="1370000"/>
    <n v="274000"/>
    <n v="274000"/>
    <n v="274000"/>
    <n v="274000"/>
    <n v="274000"/>
    <n v="0"/>
    <m/>
    <s v="X"/>
    <m/>
    <m/>
    <m/>
    <n v="3"/>
    <n v="1"/>
  </r>
  <r>
    <x v="1"/>
    <x v="2"/>
    <x v="3"/>
    <s v="2.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x v="3"/>
    <s v="COMP 11"/>
    <s v="PRODUCCIÓN"/>
    <x v="5"/>
    <s v="C6"/>
    <s v="Ganaderos atendidos"/>
    <n v="1424"/>
    <n v="427.2"/>
    <n v="284.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4592400"/>
    <n v="3061600"/>
    <n v="918480"/>
    <n v="918480"/>
    <n v="918480"/>
    <n v="918480"/>
    <n v="918480"/>
    <n v="0"/>
    <s v="X"/>
    <m/>
    <m/>
    <m/>
    <s v="RE"/>
    <n v="3"/>
    <n v="1"/>
  </r>
  <r>
    <x v="1"/>
    <x v="2"/>
    <x v="1"/>
    <s v="2.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talecidas"/>
    <n v="0"/>
    <n v="12"/>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0"/>
    <n v="7200000"/>
    <n v="1440000"/>
    <n v="1440000"/>
    <n v="1440000"/>
    <n v="1440000"/>
    <n v="1440000"/>
    <n v="0"/>
    <m/>
    <m/>
    <s v="X"/>
    <m/>
    <m/>
    <n v="3"/>
    <n v="1"/>
  </r>
  <r>
    <x v="1"/>
    <x v="2"/>
    <x v="2"/>
    <s v="2.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x v="2"/>
    <s v="C17"/>
    <s v="Planes de negocios implementados"/>
    <n v="0"/>
    <n v="15"/>
    <n v="15"/>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2000000"/>
    <n v="12000000"/>
    <n v="2400000"/>
    <n v="2400000"/>
    <n v="2400000"/>
    <n v="2400000"/>
    <n v="2400000"/>
    <n v="0"/>
    <s v="X"/>
    <m/>
    <m/>
    <m/>
    <s v="RE"/>
    <n v="2"/>
    <n v="1"/>
  </r>
  <r>
    <x v="1"/>
    <x v="2"/>
    <x v="4"/>
    <s v="2.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0000"/>
    <n v="100000"/>
    <n v="100000"/>
    <n v="100000"/>
    <n v="100000"/>
    <n v="100000"/>
    <n v="0"/>
    <s v="X"/>
    <m/>
    <m/>
    <m/>
    <m/>
    <n v="1"/>
    <n v="1"/>
  </r>
  <r>
    <x v="1"/>
    <x v="3"/>
    <x v="0"/>
    <s v="2.4.1"/>
    <x v="53"/>
    <s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_x000a_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
    <s v="NR"/>
    <x v="0"/>
    <x v="0"/>
    <s v="COMP 8"/>
    <s v="PROTECCIÓN"/>
    <x v="17"/>
    <s v="C20"/>
    <s v="Porcentaje de conflictos resueltos"/>
    <n v="0"/>
    <n v="14"/>
    <n v="0"/>
    <n v="420000"/>
    <s v="Gastos logísticos y administrativos para implementar reuniones con los actores involucrados, con la finalidad de solucionar los diferentes conflictos entre las CCNN y los productores, así mismo se  brindará asesoramiento legal y técnico a las CCNN para la solución de los conflicto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2100000"/>
    <n v="0"/>
    <n v="420000"/>
    <n v="420000"/>
    <n v="420000"/>
    <n v="420000"/>
    <n v="420000"/>
    <n v="0"/>
    <m/>
    <m/>
    <s v="X"/>
    <m/>
    <m/>
    <n v="3"/>
    <n v="1"/>
  </r>
  <r>
    <x v="1"/>
    <x v="3"/>
    <x v="1"/>
    <s v="2.4.2"/>
    <x v="21"/>
    <s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x v="6"/>
    <s v="COMP 5"/>
    <s v="PROTECCIÓN"/>
    <x v="1"/>
    <s v="C1"/>
    <s v="Productor asistido"/>
    <n v="1500"/>
    <n v="900"/>
    <n v="6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504000"/>
    <n v="336000"/>
    <n v="100800"/>
    <n v="100800"/>
    <n v="100800"/>
    <n v="100800"/>
    <n v="100800"/>
    <n v="0"/>
    <m/>
    <m/>
    <s v="X"/>
    <m/>
    <s v="RE"/>
    <n v="3"/>
    <n v="1"/>
  </r>
  <r>
    <x v="1"/>
    <x v="3"/>
    <x v="2"/>
    <s v="2.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x v="7"/>
    <s v="COMP 6"/>
    <s v="PROTECCIÓN"/>
    <x v="10"/>
    <s v="C8"/>
    <s v="Planes de negocio"/>
    <n v="0"/>
    <n v="45"/>
    <n v="30"/>
    <n v="15000"/>
    <s v="Se contratará profesionales para el asesoramiento y formulación de planes de negocios de las Comunidades Nativas y Campesinas."/>
    <s v="Drasam, Agroideas"/>
    <n v="675000"/>
    <n v="450000"/>
    <n v="135000"/>
    <n v="135000"/>
    <n v="135000"/>
    <n v="135000"/>
    <n v="135000"/>
    <n v="0"/>
    <s v="X"/>
    <m/>
    <m/>
    <m/>
    <s v="RE"/>
    <n v="2"/>
    <n v="1"/>
  </r>
  <r>
    <x v="1"/>
    <x v="3"/>
    <x v="1"/>
    <s v="2.4.4"/>
    <x v="23"/>
    <s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x v="4"/>
    <s v="COMP 2"/>
    <s v="PRODUCCIÓN"/>
    <x v="7"/>
    <s v="C2"/>
    <s v="Comunidades fortalecidas"/>
    <n v="0"/>
    <n v="15"/>
    <n v="15"/>
    <n v="144000"/>
    <s v="Contratación de especialistas para dar acompañamiento y seguimiento a los procesos organizativos de las CCNN de forma permanente."/>
    <s v="Drasam, Direpro, Dircetur, ARA, CODEPISAM"/>
    <n v="10800000"/>
    <n v="10800000"/>
    <n v="2160000"/>
    <n v="2160000"/>
    <n v="2160000"/>
    <n v="2160000"/>
    <n v="2160000"/>
    <n v="0"/>
    <m/>
    <m/>
    <s v="X"/>
    <m/>
    <s v="RE"/>
    <n v="2"/>
    <n v="1"/>
  </r>
  <r>
    <x v="1"/>
    <x v="3"/>
    <x v="2"/>
    <s v="2.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x v="5"/>
    <s v="COMP 3"/>
    <s v="PRODUCCIÓN"/>
    <x v="8"/>
    <s v="C9"/>
    <s v="Especialistas"/>
    <n v="0"/>
    <n v="2"/>
    <n v="2"/>
    <n v="3500"/>
    <s v="Contratación de especialista para identificación, acompañamiento y seguimiento a los procesos comerciales iniciados por las organizaciones de las CCNN"/>
    <s v="Drasam, Direpro, Dircetur, ARA, OPIPs"/>
    <n v="420000"/>
    <n v="420000"/>
    <n v="84000"/>
    <n v="84000"/>
    <n v="84000"/>
    <n v="84000"/>
    <n v="84000"/>
    <n v="0"/>
    <s v="X"/>
    <m/>
    <m/>
    <m/>
    <s v="RE"/>
    <n v="2"/>
    <n v="1"/>
  </r>
  <r>
    <x v="1"/>
    <x v="3"/>
    <x v="0"/>
    <s v="2.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x v="3"/>
    <s v="COMP 11"/>
    <s v="PROTECCIÓN"/>
    <x v="5"/>
    <s v="C6"/>
    <s v="Comunidades atendidas"/>
    <n v="4"/>
    <n v="9"/>
    <n v="6"/>
    <n v="5000"/>
    <s v="El costo esta referido a los gastos administrativos y logísticos que impliquen la elaboración del expediente para ser presentado al programa. "/>
    <s v="Gerencia Regional de Desarrollo Social, Programa Geo bosques"/>
    <n v="225000"/>
    <n v="150000"/>
    <n v="45000"/>
    <n v="45000"/>
    <n v="45000"/>
    <n v="45000"/>
    <n v="45000"/>
    <n v="0"/>
    <m/>
    <m/>
    <s v="X"/>
    <m/>
    <m/>
    <n v="3"/>
    <n v="1"/>
  </r>
  <r>
    <x v="1"/>
    <x v="3"/>
    <x v="1"/>
    <s v="2.4.7"/>
    <x v="26"/>
    <s v="Con el soporte de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x v="8"/>
    <s v="COMP 9"/>
    <s v="INCLUSION"/>
    <x v="11"/>
    <s v="C14"/>
    <s v="Módulos implementados"/>
    <n v="1500"/>
    <n v="450"/>
    <n v="300"/>
    <n v="30000"/>
    <s v="Implementación según las necesidades identificadas en cada comunidad, considerando si son aplicables en dichas zonas, si no hay restricciones de cualquier índole. "/>
    <s v="Goresam, MIDIS, DRTyTC, Drasam,Foncodes, Cooperación"/>
    <n v="13500000"/>
    <n v="9000000"/>
    <n v="2700000"/>
    <n v="2700000"/>
    <n v="2700000"/>
    <n v="2700000"/>
    <n v="2700000"/>
    <n v="0"/>
    <m/>
    <m/>
    <s v="X"/>
    <m/>
    <m/>
    <n v="2"/>
    <n v="1"/>
  </r>
  <r>
    <x v="1"/>
    <x v="3"/>
    <x v="1"/>
    <s v="2.4.8"/>
    <x v="27"/>
    <s v="Implementación de proyectos enfocados a mejorar los servicios básicos de las comunidades nativas, dichos servicios deberán contar con profesionales bilingües, para asegurar y garantizar la adecuada transferencia de dichos servicios.  "/>
    <s v="NR"/>
    <x v="0"/>
    <x v="8"/>
    <s v="COMP 9"/>
    <s v="INCLUSION"/>
    <x v="11"/>
    <s v="C14"/>
    <s v="Escuelas y postas médicas implementadas"/>
    <n v="15"/>
    <n v="8"/>
    <n v="7"/>
    <n v="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000000"/>
    <n v="1750000"/>
    <n v="400000"/>
    <n v="400000"/>
    <n v="400000"/>
    <n v="400000"/>
    <n v="400000"/>
    <n v="0"/>
    <s v="X"/>
    <m/>
    <m/>
    <m/>
    <s v="RE"/>
    <n v="3"/>
    <n v="1"/>
  </r>
  <r>
    <x v="1"/>
    <x v="4"/>
    <x v="3"/>
    <s v="2.5.1"/>
    <x v="55"/>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x v="5"/>
    <s v="C6"/>
    <s v="Planes de negocio"/>
    <n v="4"/>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0000"/>
    <n v="120000"/>
    <n v="120000"/>
    <n v="120000"/>
    <n v="120000"/>
    <n v="120000"/>
    <n v="0"/>
    <s v="X"/>
    <m/>
    <m/>
    <m/>
    <n v="0"/>
    <n v="3"/>
    <n v="1"/>
  </r>
  <r>
    <x v="1"/>
    <x v="4"/>
    <x v="1"/>
    <s v="2.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x v="1"/>
    <s v="C1"/>
    <s v="Especialistas"/>
    <n v="0"/>
    <n v="2"/>
    <n v="2"/>
    <n v="4000"/>
    <s v="Contratación de especialista y gastos logísticos, pasantías regionales y nacionales para adquisición de know how en materia de turismo rural"/>
    <s v="Dircetur"/>
    <n v="480000"/>
    <n v="480000"/>
    <n v="240000"/>
    <n v="240000"/>
    <n v="0"/>
    <n v="0"/>
    <n v="0"/>
    <n v="0"/>
    <m/>
    <m/>
    <s v="X"/>
    <m/>
    <n v="0"/>
    <n v="3"/>
    <n v="1"/>
  </r>
  <r>
    <x v="1"/>
    <x v="4"/>
    <x v="2"/>
    <s v="2.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x v="10"/>
    <s v="C8"/>
    <s v="Planes de negocio"/>
    <n v="0"/>
    <n v="4"/>
    <n v="8"/>
    <n v="150000"/>
    <s v="El costo hace referencia al proceso de implementación y funcionamiento de los productos para el desarrollo de  los emprendimientos."/>
    <s v="Dircetur, Agroideas"/>
    <n v="600000"/>
    <n v="1200000"/>
    <n v="120000"/>
    <n v="120000"/>
    <n v="120000"/>
    <n v="120000"/>
    <n v="120000"/>
    <n v="0"/>
    <s v="X"/>
    <m/>
    <m/>
    <m/>
    <s v="RE"/>
    <n v="3"/>
    <n v="1"/>
  </r>
  <r>
    <x v="1"/>
    <x v="4"/>
    <x v="2"/>
    <s v="2.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x v="12"/>
    <s v="C11"/>
    <s v="Rutas turísticas promocionados"/>
    <n v="0"/>
    <n v="4"/>
    <n v="4"/>
    <n v="40000"/>
    <s v="Participación en eventos de promoción (ferias regionales y nacionales, Fam Trip), el costo cubrirá gastos logísticos y administrativos de los operadores turísticos identificados "/>
    <s v="Mincetur, Dircetur"/>
    <n v="800000"/>
    <n v="800000"/>
    <n v="160000"/>
    <n v="160000"/>
    <n v="160000"/>
    <n v="160000"/>
    <n v="160000"/>
    <n v="0"/>
    <m/>
    <m/>
    <s v="X"/>
    <m/>
    <n v="0"/>
    <n v="3"/>
    <n v="1"/>
  </r>
  <r>
    <x v="1"/>
    <x v="11"/>
    <x v="4"/>
    <s v="2.6.1"/>
    <x v="35"/>
    <s v="Implementar con recursos necesarios al ente que administra el área, con la finalidad de aumentar el número de personas (guardaparques) que contribuyan a realizar acciones de control y vigilancia."/>
    <s v="NR"/>
    <x v="2"/>
    <x v="6"/>
    <s v="COMP 5"/>
    <s v="PROTECCIÓN-GOBERNANZA"/>
    <x v="14"/>
    <s v="C4"/>
    <s v="Número de guardaparques"/>
    <n v="0"/>
    <n v="10"/>
    <n v="10"/>
    <n v="2000"/>
    <s v="Contratación a guardaparques para garantizar el control y vigilancia del área otorgada."/>
    <s v="Ara, serfor, Sernanp"/>
    <n v="1200000"/>
    <n v="1200000"/>
    <n v="240000"/>
    <n v="240000"/>
    <n v="240000"/>
    <n v="240000"/>
    <n v="240000"/>
    <n v="0"/>
    <m/>
    <s v="X"/>
    <m/>
    <m/>
    <s v="RE"/>
    <n v="3"/>
    <n v="1"/>
  </r>
  <r>
    <x v="1"/>
    <x v="11"/>
    <x v="4"/>
    <s v="2.6.2"/>
    <x v="34"/>
    <s v="Campañas de sensibilización en distritos acentuadas en el ámbito del ANP, considerando la participación del ARA, DRASAM, DIRCETUR, GRDS, CGSCM, CGBPAM, PNCB, OSINFOR.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x v="6"/>
    <s v="COMP 5"/>
    <s v="PROTECCIÓN-GOBERNANZA"/>
    <x v="14"/>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00000"/>
    <n v="400000"/>
    <n v="400000"/>
    <n v="400000"/>
    <n v="400000"/>
    <n v="400000"/>
    <n v="0"/>
    <m/>
    <s v="X"/>
    <m/>
    <m/>
    <s v="RE"/>
    <n v="3"/>
    <n v="1"/>
  </r>
  <r>
    <x v="1"/>
    <x v="11"/>
    <x v="1"/>
    <s v="2.6.3"/>
    <x v="56"/>
    <s v="Promover la planificación comunal en centros poblados del interior en base a la zonificación y zona de amortiguamiento teniendo como base al Plan Maestro (incluye acuerdos de conservación)"/>
    <s v="NR"/>
    <x v="0"/>
    <x v="8"/>
    <s v="COMP 9"/>
    <s v="HABILITANTE"/>
    <x v="15"/>
    <s v="C10"/>
    <s v="Planes de gestión comunal"/>
    <n v="0"/>
    <n v="24"/>
    <n v="40"/>
    <n v="10000"/>
    <s v="Contratación de servicios profesionales para la elaboración de los planes de gestión comunal."/>
    <s v="Dircetur, Mincetur"/>
    <n v="240000"/>
    <n v="400000"/>
    <n v="48000"/>
    <n v="48000"/>
    <n v="48000"/>
    <n v="48000"/>
    <n v="48000"/>
    <n v="0"/>
    <m/>
    <s v="X"/>
    <m/>
    <m/>
    <m/>
    <n v="3"/>
    <n v="1"/>
  </r>
  <r>
    <x v="1"/>
    <x v="11"/>
    <x v="2"/>
    <s v="2.6.4"/>
    <x v="57"/>
    <s v="Campañas de promoción y difusión en el ámbito regional y nacional de los circuitos turísticos que existen en la zona de amortiguamiento. acorde al plan maestro del BPAM.  https://es.scribd.com/document/74386745/PLAN-DE-USO-TURISTICO-BPAM"/>
    <s v="NR"/>
    <x v="2"/>
    <x v="7"/>
    <s v="COMP 6"/>
    <s v="PROTECCIÓN"/>
    <x v="12"/>
    <s v="C11"/>
    <s v="Campañas de promoción"/>
    <n v="0"/>
    <n v="20"/>
    <n v="20"/>
    <n v="4000"/>
    <s v="Campañas de promoción que incluye, impresión de material de difusión, publicidad radial, televisiva y escrita."/>
    <s v="Dircetur, Mincetur"/>
    <n v="400000"/>
    <n v="400000"/>
    <n v="80000"/>
    <n v="80000"/>
    <n v="80000"/>
    <n v="80000"/>
    <n v="80000"/>
    <n v="0"/>
    <m/>
    <m/>
    <s v="X"/>
    <m/>
    <m/>
    <n v="3"/>
    <n v="1"/>
  </r>
  <r>
    <x v="1"/>
    <x v="11"/>
    <x v="2"/>
    <s v="2.6.5"/>
    <x v="58"/>
    <s v="Realizar pasantías focalizadas en aquellos sectores claves que se necesita intervenir para disminuir la presión al ANP."/>
    <s v="NR"/>
    <x v="2"/>
    <x v="7"/>
    <s v="COMP 6"/>
    <s v="PROTECCIÓN"/>
    <x v="12"/>
    <s v="C11"/>
    <s v="Pasantías"/>
    <n v="0"/>
    <n v="16"/>
    <n v="16"/>
    <n v="2500"/>
    <s v="El costo hace referencia a los gastos de pasajes, alimentación y otros para un grupo de 20 productores por pasantía."/>
    <s v="Drasam"/>
    <n v="200000"/>
    <n v="200000"/>
    <n v="40000"/>
    <n v="40000"/>
    <n v="40000"/>
    <n v="40000"/>
    <n v="40000"/>
    <n v="0"/>
    <m/>
    <m/>
    <s v="X"/>
    <m/>
    <m/>
    <n v="2"/>
    <n v="1"/>
  </r>
  <r>
    <x v="1"/>
    <x v="11"/>
    <x v="1"/>
    <s v="2.6.6"/>
    <x v="59"/>
    <s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x v="6"/>
    <s v="COMP 5"/>
    <s v="PROTECCIÓN"/>
    <x v="1"/>
    <s v="C1"/>
    <s v="Especialistas"/>
    <n v="0"/>
    <n v="3"/>
    <n v="3"/>
    <n v="3500"/>
    <s v="El costo comprende la contratación de profesionales para brindar asistencias técnica en los cultivos priorizados en la zona de intervención."/>
    <s v="Drasam"/>
    <n v="630000"/>
    <n v="630000"/>
    <n v="126000"/>
    <n v="126000"/>
    <n v="126000"/>
    <n v="126000"/>
    <n v="126000"/>
    <n v="0"/>
    <m/>
    <m/>
    <s v="X"/>
    <m/>
    <s v="RE"/>
    <n v="3"/>
    <n v="1"/>
  </r>
  <r>
    <x v="1"/>
    <x v="11"/>
    <x v="3"/>
    <s v="2.6.7"/>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NR"/>
    <x v="2"/>
    <x v="3"/>
    <s v="COMP 11"/>
    <s v="PROTECCIÓN"/>
    <x v="5"/>
    <s v="C6"/>
    <s v="Planes de negocios"/>
    <n v="0"/>
    <n v="50"/>
    <n v="5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0"/>
    <n v="5000000"/>
    <n v="1000000"/>
    <n v="1000000"/>
    <n v="1000000"/>
    <n v="1000000"/>
    <n v="1000000"/>
    <n v="0"/>
    <s v="X"/>
    <m/>
    <m/>
    <m/>
    <s v="RE"/>
    <n v="3"/>
    <n v="1"/>
  </r>
  <r>
    <x v="1"/>
    <x v="8"/>
    <x v="0"/>
    <s v="2.7.1"/>
    <x v="40"/>
    <s v="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
    <s v="NR"/>
    <x v="0"/>
    <x v="0"/>
    <s v="COMP 8"/>
    <s v="PROTECCIÓN-GOBERNANZA"/>
    <x v="0"/>
    <s v="C5"/>
    <s v="Ha. con categoría territorial asignada"/>
    <n v="140920.89160839622"/>
    <n v="70460.445804198112"/>
    <n v="70460.445804198112"/>
    <n v="15"/>
    <s v="Para la implementación de las intervención será mecesario la contratación de especialistas para realizar las acciones que comtemplen dicha actividad. Gastos logísticos y trámites documentarios."/>
    <s v="GRSM - DEGT"/>
    <n v="1056906.6870629718"/>
    <n v="1056906.6870629718"/>
    <n v="211381.33741259435"/>
    <n v="211381.33741259435"/>
    <n v="211381.33741259435"/>
    <n v="211381.33741259435"/>
    <n v="211381.33741259435"/>
    <n v="0"/>
    <m/>
    <s v="X"/>
    <m/>
    <m/>
    <n v="0"/>
    <n v="3"/>
    <n v="1"/>
  </r>
  <r>
    <x v="1"/>
    <x v="8"/>
    <x v="4"/>
    <s v="2.7.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70"/>
    <n v="70"/>
    <n v="150"/>
    <s v="Considera materiales de capacitación, alimentación a capacitados en el área cercana a su comunidad y gastos de capacitadores"/>
    <s v="GRSM - DEGT"/>
    <n v="10500"/>
    <n v="10500"/>
    <n v="10500"/>
    <n v="0"/>
    <n v="0"/>
    <n v="0"/>
    <n v="0"/>
    <n v="0"/>
    <m/>
    <s v="X"/>
    <m/>
    <m/>
    <n v="0"/>
    <n v="2"/>
    <n v="1"/>
  </r>
  <r>
    <x v="1"/>
    <x v="8"/>
    <x v="4"/>
    <s v="2.7.3"/>
    <x v="42"/>
    <s v="Dependiendo de la categoría forestal a ser aplicada, se realizará un plan/declaración acorde la unidad, en el marco de la ley forestal y fauna silvestre N° 29763."/>
    <s v="NR"/>
    <x v="0"/>
    <x v="0"/>
    <s v="COMP 8"/>
    <s v="PROTECCIÓN-GOBERNANZA"/>
    <x v="0"/>
    <s v="C5"/>
    <s v="N° Planes / Declaraciones elaborados"/>
    <n v="0"/>
    <n v="15"/>
    <n v="15"/>
    <n v="10000"/>
    <s v="Se considera la contratación de profesionales para la elaboración de los expedientes y/o declaraciones identificadas en los diferentes procesos."/>
    <s v="GRSM - DEGT"/>
    <n v="150000"/>
    <n v="150000"/>
    <n v="45000"/>
    <n v="45000"/>
    <n v="60000"/>
    <n v="0"/>
    <n v="0"/>
    <n v="0"/>
    <m/>
    <s v="X"/>
    <m/>
    <m/>
    <n v="0"/>
    <n v="2"/>
    <n v="1"/>
  </r>
  <r>
    <x v="1"/>
    <x v="8"/>
    <x v="0"/>
    <s v="2.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140920.89160839622"/>
    <n v="70460.445804198112"/>
    <n v="70460.445804198112"/>
    <n v="1"/>
    <s v="Contratación de dos profesioales para agilizar procesos con sunarp."/>
    <s v="GRSM - DEGT"/>
    <n v="70460.445804198112"/>
    <n v="70460.445804198112"/>
    <n v="14092.089160839623"/>
    <n v="14092.089160839623"/>
    <n v="14092.089160839623"/>
    <n v="14092.089160839623"/>
    <n v="14092.089160839623"/>
    <n v="0"/>
    <m/>
    <s v="X"/>
    <m/>
    <m/>
    <n v="0"/>
    <n v="2"/>
    <n v="1"/>
  </r>
  <r>
    <x v="1"/>
    <x v="9"/>
    <x v="0"/>
    <s v="2.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x v="0"/>
    <s v="C5"/>
    <s v="Ha. con categoría territorial asignada"/>
    <n v="24905.186800862601"/>
    <n v="12452.5934004313"/>
    <n v="12452.5934004313"/>
    <n v="15"/>
    <s v="Para la implementación de las intervención será mecesario la contratación de especialistas para realizar las acciones que comtemplen dicha actividad. Gastos logísticos y trámites documentarios."/>
    <s v="GRSM - DEGT"/>
    <n v="186788.9010064695"/>
    <n v="186788.9010064695"/>
    <n v="37357.780201293899"/>
    <n v="37357.780201293899"/>
    <n v="37357.780201293899"/>
    <n v="37357.780201293899"/>
    <n v="37357.780201293899"/>
    <n v="0"/>
    <m/>
    <s v="X"/>
    <m/>
    <m/>
    <m/>
    <n v="3"/>
    <n v="1"/>
  </r>
  <r>
    <x v="1"/>
    <x v="9"/>
    <x v="4"/>
    <s v="2.8.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70"/>
    <n v="70"/>
    <n v="150"/>
    <s v="Considera materiales de capacitación, alimentación a capacitados en el área cercana a su comunidad y gastos de capacitadores"/>
    <s v="GRSM - DEGT"/>
    <n v="10500"/>
    <n v="10500"/>
    <n v="10500"/>
    <n v="0"/>
    <n v="0"/>
    <n v="0"/>
    <n v="0"/>
    <n v="0"/>
    <m/>
    <s v="X"/>
    <m/>
    <m/>
    <m/>
    <n v="2"/>
    <n v="1"/>
  </r>
  <r>
    <x v="1"/>
    <x v="9"/>
    <x v="4"/>
    <s v="2.8.3"/>
    <x v="42"/>
    <s v="Dependiendo de la categoría forestal a ser aplicada, se realizará un plan/declaración acorde a la unidad, en el marco de la ley forestal y fauna silvestre N° 29763."/>
    <s v="NR"/>
    <x v="0"/>
    <x v="0"/>
    <s v="COMP 8"/>
    <s v="PROTECCIÓN-GOBERNANZA"/>
    <x v="0"/>
    <s v="C5"/>
    <s v="N° Planes / Declaraciones elaborados"/>
    <n v="0"/>
    <n v="5"/>
    <n v="5"/>
    <n v="10000"/>
    <s v="Se considera la contratación de profesionales para la elaboración de los expedientes y/o declaraciones identificadas en los diferentes procesos."/>
    <s v="GRSM - DEGT"/>
    <n v="50000"/>
    <n v="50000"/>
    <n v="15000"/>
    <n v="15000"/>
    <n v="20000"/>
    <n v="0"/>
    <n v="0"/>
    <n v="0"/>
    <m/>
    <s v="X"/>
    <m/>
    <m/>
    <m/>
    <n v="2"/>
    <n v="1"/>
  </r>
  <r>
    <x v="1"/>
    <x v="9"/>
    <x v="0"/>
    <s v="2.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24905.186800862601"/>
    <n v="12452.5934004313"/>
    <n v="12452.5934004313"/>
    <n v="1"/>
    <s v="Contratación de dos profesioales para agilizar procesos con sunarp."/>
    <s v="GRSM - DEGT"/>
    <n v="12452.5934004313"/>
    <n v="12452.5934004313"/>
    <n v="2490.5186800862602"/>
    <n v="2490.5186800862602"/>
    <n v="2490.5186800862602"/>
    <n v="2490.5186800862602"/>
    <n v="2490.5186800862602"/>
    <n v="0"/>
    <m/>
    <s v="X"/>
    <m/>
    <m/>
    <m/>
    <n v="2"/>
    <n v="1"/>
  </r>
  <r>
    <x v="1"/>
    <x v="9"/>
    <x v="3"/>
    <s v="2.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x v="0"/>
    <s v="C5"/>
    <s v="Hectáreas restauradas"/>
    <n v="0"/>
    <n v="5637.0492705921833"/>
    <n v="0"/>
    <n v="500"/>
    <s v="El costo incluye la restauración de una hectárea, esta actividad se desarrollara de acuerdo a la metodología propuesta por el ARA, en coordinación con los productores seleccionados."/>
    <s v="ARA"/>
    <n v="2818524.6352960919"/>
    <n v="0"/>
    <n v="2818524.6352960919"/>
    <n v="0"/>
    <n v="0"/>
    <n v="0"/>
    <n v="0"/>
    <n v="0"/>
    <m/>
    <s v="X"/>
    <m/>
    <m/>
    <m/>
    <n v="3"/>
    <n v="1"/>
  </r>
  <r>
    <x v="1"/>
    <x v="10"/>
    <x v="1"/>
    <s v="2.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8"/>
    <s v="PROTECCIÓN"/>
    <x v="16"/>
    <s v="C18"/>
    <s v="Acuerdos con rondas campesinas"/>
    <n v="0"/>
    <n v="19"/>
    <n v="19"/>
    <n v="2500"/>
    <s v="Reuniones con los diferentes actores involucrados y la sociedad civil para llegar a acuerdos de no deforestación, lo cual incluye  gastos logísticos en general."/>
    <s v="GRIS"/>
    <n v="237500"/>
    <n v="237500"/>
    <n v="47500"/>
    <n v="47500"/>
    <n v="47500"/>
    <n v="47500"/>
    <n v="47500"/>
    <n v="0"/>
    <m/>
    <m/>
    <s v="X"/>
    <m/>
    <s v="RE"/>
    <n v="3"/>
    <n v="1"/>
  </r>
  <r>
    <x v="1"/>
    <x v="10"/>
    <x v="1"/>
    <s v="2.9.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Esta intervención será apoyada por las organizaciones formales de rondas campesinas, rondas campesinas rondas nativas y comités de monitoreo."/>
    <s v="NR"/>
    <x v="2"/>
    <x v="6"/>
    <s v="COMP 5"/>
    <s v="PROTECCIÓN"/>
    <x v="16"/>
    <s v="C18"/>
    <s v="Especialistas"/>
    <n v="0"/>
    <n v="3"/>
    <n v="3"/>
    <n v="5000"/>
    <s v="Contratación de especialistas para realizar monitoreo de la cobertura de bosque, desde los diferentes órganos competentes. "/>
    <s v="ARA"/>
    <n v="900000"/>
    <n v="900000"/>
    <n v="180000"/>
    <n v="180000"/>
    <n v="180000"/>
    <n v="180000"/>
    <n v="180000"/>
    <n v="0"/>
    <m/>
    <s v="X"/>
    <m/>
    <m/>
    <s v="RE"/>
    <n v="3"/>
    <n v="1"/>
  </r>
  <r>
    <x v="1"/>
    <x v="10"/>
    <x v="1"/>
    <s v="2.9.3"/>
    <x v="48"/>
    <s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x v="9"/>
    <s v="COMP 10"/>
    <s v="HABILITANTE"/>
    <x v="16"/>
    <s v="C18"/>
    <s v="Kilómetros mejorados"/>
    <n v="1706"/>
    <n v="170.60000000000002"/>
    <n v="170.60000000000002"/>
    <n v="800000"/>
    <s v="Costo promedio de por km2 de vía mejorada o asfaltada"/>
    <s v="DRTyTC"/>
    <n v="136480000.00000003"/>
    <n v="136480000.00000003"/>
    <n v="27296000.000000007"/>
    <n v="27296000.000000007"/>
    <n v="27296000.000000007"/>
    <n v="27296000.000000007"/>
    <n v="27296000.000000007"/>
    <n v="0"/>
    <s v="X"/>
    <m/>
    <m/>
    <m/>
    <m/>
    <n v="2"/>
    <n v="1"/>
  </r>
  <r>
    <x v="1"/>
    <x v="10"/>
    <x v="1"/>
    <s v="2.9.4"/>
    <x v="49"/>
    <s v="En marco de la Zonificación Forestal donde se identificaron zonas de recuperación y tratamiento especial para la restauración de áreas con prioridad alta y muy alta para restauración, utilizando las diferentes metodologías de restauración propuesta por la entidad competente. Las actividades de restauración tendrán como objetivos desarrollar la agroforestería, recuperar servicios eco sistémicos y recuperar zonas productivas."/>
    <s v="NR"/>
    <x v="2"/>
    <x v="6"/>
    <s v="COMP 5"/>
    <s v="PROTECCIÓN"/>
    <x v="16"/>
    <s v="C18"/>
    <s v="Hectáreas Restauradas"/>
    <n v="62130.95"/>
    <n v="15532.737499999999"/>
    <n v="12426.19"/>
    <n v="500"/>
    <s v="El costo incluye la restauración de una hectárea, esta actividad se desarrollara de acuerdo a la metodología propuesta por el ARA, en coordinación con los productores seleccionados."/>
    <s v="ARA"/>
    <n v="7766368.75"/>
    <n v="6213095"/>
    <n v="1553273.75"/>
    <n v="1553273.75"/>
    <n v="1553273.75"/>
    <n v="1553273.75"/>
    <n v="1553273.75"/>
    <n v="0"/>
    <m/>
    <m/>
    <s v="X"/>
    <m/>
    <s v="RE"/>
    <n v="3"/>
    <n v="1"/>
  </r>
  <r>
    <x v="1"/>
    <x v="10"/>
    <x v="1"/>
    <s v="2.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x v="8"/>
    <s v="COMP 9"/>
    <s v="INCLUSION"/>
    <x v="16"/>
    <s v="C18"/>
    <s v="Centros educativos y postas médicas implementados"/>
    <n v="0"/>
    <n v="5"/>
    <n v="5"/>
    <n v="3500000"/>
    <s v="El presupuesto esta relacionado a la implementación de la infraestructura, mobiliario y materiales educativos necesarios para que se brinde un servicio de calidad a los niños que aún no reciben dicho servicio de manera permanente."/>
    <s v="Colegio de ingenieros de San Martín / GRDS"/>
    <n v="17500000"/>
    <n v="17500000"/>
    <n v="3500000"/>
    <n v="3500000"/>
    <n v="3500000"/>
    <n v="3500000"/>
    <n v="3500000"/>
    <n v="0"/>
    <m/>
    <s v="X"/>
    <m/>
    <m/>
    <s v="RE"/>
    <n v="3"/>
    <n v="1"/>
  </r>
  <r>
    <x v="1"/>
    <x v="10"/>
    <x v="1"/>
    <s v="2.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x v="8"/>
    <s v="COMP 9"/>
    <s v="INCLUSION"/>
    <x v="16"/>
    <s v="C18"/>
    <s v="N° campañas"/>
    <n v="0"/>
    <n v="166.25"/>
    <n v="166.25"/>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4156250"/>
    <n v="4156250"/>
    <n v="831250"/>
    <n v="831250"/>
    <n v="831250"/>
    <n v="831250"/>
    <n v="831250"/>
    <n v="0"/>
    <m/>
    <s v="X"/>
    <m/>
    <m/>
    <s v="RE"/>
    <n v="3"/>
    <n v="1"/>
  </r>
  <r>
    <x v="1"/>
    <x v="10"/>
    <x v="1"/>
    <s v="2.9.7"/>
    <x v="52"/>
    <s v="Promoción al acceso de la marca con los productores que cumplan los criterios de elegibilidad solicitados por el programa, como una estrategia de ubicar mercados diferenciados para los productos provenientes de estas zonas."/>
    <s v="NR"/>
    <x v="1"/>
    <x v="5"/>
    <s v="COMP 3"/>
    <s v="PRODUCCIÓN"/>
    <x v="16"/>
    <s v="C18"/>
    <s v="Organizaciones que acceden a la marca"/>
    <n v="0"/>
    <n v="10"/>
    <n v="15"/>
    <n v="3000"/>
    <s v="El costo incluye: Una inspección anual anunciada,  elaboración de informe de inspección, administración y comunicación, certificación según los estándares de la marca."/>
    <s v="GRDE"/>
    <n v="150000"/>
    <n v="45000"/>
    <n v="30000"/>
    <n v="30000"/>
    <n v="30000"/>
    <n v="30000"/>
    <n v="30000"/>
    <n v="0"/>
    <m/>
    <m/>
    <s v="X"/>
    <m/>
    <m/>
    <n v="3"/>
    <n v="1"/>
  </r>
  <r>
    <x v="2"/>
    <x v="0"/>
    <x v="0"/>
    <s v="4.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6328.5309793106999"/>
    <n v="3164.2654896553499"/>
    <n v="3164.2654896553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328530.9793106997"/>
    <n v="6328530.9793106997"/>
    <n v="632853.09793107002"/>
    <n v="949279.64689660491"/>
    <n v="1265706.19586214"/>
    <n v="1898559.2937932098"/>
    <n v="1582132.7448276749"/>
    <n v="0"/>
    <m/>
    <m/>
    <s v="X"/>
    <m/>
    <s v="RE"/>
    <n v="3"/>
    <n v="1"/>
  </r>
  <r>
    <x v="2"/>
    <x v="0"/>
    <x v="1"/>
    <s v="4.1.2"/>
    <x v="1"/>
    <s v="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x v="1"/>
    <s v="COMP 1"/>
    <s v="PRODUCCIÓN"/>
    <x v="1"/>
    <s v="C1"/>
    <s v="Productores asistidos"/>
    <n v="26029"/>
    <n v="15617.4"/>
    <n v="10411.6"/>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8745744"/>
    <n v="5830496"/>
    <n v="1749148.8"/>
    <n v="1749148.8"/>
    <n v="1749148.8"/>
    <n v="1749148.8"/>
    <n v="1749148.8"/>
    <n v="0"/>
    <m/>
    <m/>
    <s v="X"/>
    <m/>
    <s v="RE"/>
    <n v="3"/>
    <n v="1"/>
  </r>
  <r>
    <x v="2"/>
    <x v="0"/>
    <x v="1"/>
    <s v="4.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x v="2"/>
    <s v="C17"/>
    <s v="Hectáreas Intervenidas"/>
    <n v="71598"/>
    <n v="21479.399999999998"/>
    <n v="21479.399999999998"/>
    <n v="500"/>
    <s v="El costo incluye adquisición de semillas, insumos, fertilizantes, entre otras para la producción de plantas agroforestales o coberturas  verdes."/>
    <s v="DRASAM"/>
    <n v="10739699.999999998"/>
    <n v="10739699.999999998"/>
    <n v="2147939.9999999995"/>
    <n v="2147939.9999999995"/>
    <n v="2147939.9999999995"/>
    <n v="2147939.9999999995"/>
    <n v="2147939.9999999995"/>
    <n v="0"/>
    <m/>
    <m/>
    <s v="X"/>
    <m/>
    <m/>
    <n v="3"/>
    <n v="1"/>
  </r>
  <r>
    <x v="2"/>
    <x v="0"/>
    <x v="1"/>
    <s v="4.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x v="2"/>
    <s v="C17"/>
    <s v="Hectáreas fertilizadas"/>
    <n v="71598"/>
    <n v="14319.6"/>
    <n v="21479.399999999998"/>
    <n v="2500"/>
    <s v="El costo incluye un análisis de suelos, paquete de fertilización según los resultados del análisis y la adquisición de fertilizantes. El costo incluye los tres abonamientos requeridos en una campaña (1 año)."/>
    <s v="Drasam"/>
    <n v="35799000"/>
    <n v="53698499.999999993"/>
    <n v="7159800"/>
    <n v="7159800"/>
    <n v="7159800"/>
    <n v="7159800"/>
    <n v="7159800"/>
    <n v="0"/>
    <m/>
    <m/>
    <s v="X"/>
    <m/>
    <s v="RE"/>
    <n v="3"/>
    <n v="1"/>
  </r>
  <r>
    <x v="2"/>
    <x v="0"/>
    <x v="2"/>
    <s v="4.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x v="2"/>
    <s v="COMP 4 "/>
    <s v="PRODUCCIÓN"/>
    <x v="2"/>
    <s v="C17"/>
    <s v="Hectáreas con sistemas de riego"/>
    <n v="71598"/>
    <n v="3579.9"/>
    <n v="4295.88"/>
    <n v="11500"/>
    <s v="modulo instalado incluyendo fertilizantes para una campaña"/>
    <s v="DRASAM"/>
    <n v="41168850"/>
    <n v="49402620"/>
    <n v="8233770"/>
    <n v="8233770"/>
    <n v="8233770"/>
    <n v="8233770"/>
    <n v="8233770"/>
    <n v="0"/>
    <m/>
    <m/>
    <s v="X"/>
    <m/>
    <s v="RE"/>
    <n v="3"/>
    <n v="1"/>
  </r>
  <r>
    <x v="2"/>
    <x v="0"/>
    <x v="2"/>
    <s v="4.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x v="3"/>
    <s v="C12"/>
    <s v="Hectáreas reconvertidas"/>
    <n v="14319.6"/>
    <n v="1431.96"/>
    <n v="1431.96"/>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479400"/>
    <n v="21479400"/>
    <n v="4295880"/>
    <n v="4295880"/>
    <n v="4295880"/>
    <n v="4295880"/>
    <n v="4295880"/>
    <n v="0"/>
    <s v="X"/>
    <m/>
    <m/>
    <m/>
    <s v="RE"/>
    <n v="3"/>
    <n v="1"/>
  </r>
  <r>
    <x v="2"/>
    <x v="0"/>
    <x v="1"/>
    <s v="4.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x v="4"/>
    <s v="C3"/>
    <s v="Productores beneficiados"/>
    <n v="26029"/>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76189980.000000015"/>
    <n v="7618998.0000000019"/>
    <n v="7618998.0000000019"/>
    <n v="7618998.0000000019"/>
    <n v="7618998.0000000019"/>
    <n v="7618998.0000000019"/>
    <n v="0"/>
    <m/>
    <m/>
    <s v="X"/>
    <m/>
    <s v="RE"/>
    <n v="3"/>
    <n v="1"/>
  </r>
  <r>
    <x v="2"/>
    <x v="0"/>
    <x v="1"/>
    <s v="4.1.8"/>
    <x v="7"/>
    <s v="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x v="2"/>
    <s v="COMP 4 "/>
    <s v="PRODUCCIÓN"/>
    <x v="1"/>
    <s v="C1"/>
    <s v="Acuicultores asistidos"/>
    <n v="0"/>
    <n v="70"/>
    <n v="70"/>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39200"/>
    <n v="39200"/>
    <n v="7840"/>
    <n v="7840"/>
    <n v="7840"/>
    <n v="7840"/>
    <n v="7840"/>
    <n v="0"/>
    <m/>
    <m/>
    <s v="X"/>
    <m/>
    <s v="RE"/>
    <n v="3"/>
    <n v="1"/>
  </r>
  <r>
    <x v="2"/>
    <x v="0"/>
    <x v="3"/>
    <s v="4.1.9"/>
    <x v="8"/>
    <s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x v="5"/>
    <s v="C6"/>
    <s v="Créditos otorgados"/>
    <n v="0"/>
    <n v="70"/>
    <n v="70"/>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903000"/>
    <n v="903000"/>
    <n v="180600"/>
    <n v="180600"/>
    <n v="180600"/>
    <n v="180600"/>
    <n v="180600"/>
    <n v="0"/>
    <s v="X"/>
    <m/>
    <m/>
    <m/>
    <s v="RE"/>
    <n v="3"/>
    <n v="1"/>
  </r>
  <r>
    <x v="2"/>
    <x v="0"/>
    <x v="3"/>
    <s v="4.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x v="5"/>
    <s v="C6"/>
    <s v="Créditos otorgados"/>
    <n v="26029"/>
    <n v="7808.7"/>
    <n v="5205.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83943525"/>
    <n v="55962350"/>
    <n v="16788705"/>
    <n v="16788705"/>
    <n v="16788705"/>
    <n v="16788705"/>
    <n v="16788705"/>
    <n v="0"/>
    <s v="X"/>
    <m/>
    <m/>
    <m/>
    <s v="RE"/>
    <n v="2"/>
    <n v="1"/>
  </r>
  <r>
    <x v="2"/>
    <x v="0"/>
    <x v="2"/>
    <s v="4.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x v="6"/>
    <s v="C7"/>
    <s v="Planes de negocios/proyectos ejecutados"/>
    <n v="6"/>
    <n v="6"/>
    <n v="2"/>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800000"/>
    <n v="1600000"/>
    <n v="960000"/>
    <n v="960000"/>
    <n v="960000"/>
    <n v="960000"/>
    <n v="960000"/>
    <n v="0"/>
    <s v="X"/>
    <m/>
    <m/>
    <m/>
    <s v="RE"/>
    <n v="3"/>
    <n v="1"/>
  </r>
  <r>
    <x v="2"/>
    <x v="0"/>
    <x v="2"/>
    <s v="4.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x v="4"/>
    <s v="C3"/>
    <s v="Empresas y organizaciones atendidas"/>
    <n v="6"/>
    <n v="4.8000000000000007"/>
    <n v="1.2000000000000002"/>
    <n v="50000"/>
    <s v="El costo incluye la contratación de especialistas para brindar Asistencia Técnica en los procesos de implementación de las certificaciones de calidad, materiales para la capacitación y pasantías."/>
    <s v="DIREPRO"/>
    <n v="240000.00000000003"/>
    <n v="60000.000000000007"/>
    <n v="48000.000000000007"/>
    <n v="48000.000000000007"/>
    <n v="48000.000000000007"/>
    <n v="48000.000000000007"/>
    <n v="48000.000000000007"/>
    <n v="0"/>
    <m/>
    <m/>
    <s v="X"/>
    <m/>
    <s v="RE"/>
    <n v="3"/>
    <n v="1"/>
  </r>
  <r>
    <x v="2"/>
    <x v="0"/>
    <x v="1"/>
    <s v="4.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x v="7"/>
    <s v="C2"/>
    <s v="Organizaciones auto sostenibles"/>
    <n v="0"/>
    <n v="6"/>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
    <n v="240000"/>
    <n v="144000"/>
    <n v="144000"/>
    <n v="144000"/>
    <n v="144000"/>
    <n v="144000"/>
    <n v="0"/>
    <m/>
    <m/>
    <s v="X"/>
    <m/>
    <m/>
    <n v="3"/>
    <n v="1"/>
  </r>
  <r>
    <x v="2"/>
    <x v="0"/>
    <x v="2"/>
    <s v="4.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x v="8"/>
    <s v="C9"/>
    <s v="Organizaciones certificadas"/>
    <n v="10"/>
    <n v="5"/>
    <n v="5"/>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1000000"/>
    <n v="1000000"/>
    <n v="200000"/>
    <n v="200000"/>
    <n v="200000"/>
    <n v="200000"/>
    <n v="200000"/>
    <n v="0"/>
    <m/>
    <m/>
    <s v="X"/>
    <m/>
    <m/>
    <n v="3"/>
    <n v="1"/>
  </r>
  <r>
    <x v="2"/>
    <x v="0"/>
    <x v="2"/>
    <s v="4.1.15"/>
    <x v="60"/>
    <s v="Implementar y promover la certificación de plantaciones de 2161 pequeños productores, los cuales tienen 8,211 ha. La certificación RSPO permite facilitar el acceso a los mercados de los productos derivados de la palma aceitera. Esta intervención forma parte del fortalecimiento de la infraestrucura de la calidad en las cadenas."/>
    <s v="R"/>
    <x v="1"/>
    <x v="5"/>
    <s v="COMP 3"/>
    <s v="PRODUCCIÓN"/>
    <x v="8"/>
    <s v="C9"/>
    <s v="Hectáreas certificadas"/>
    <n v="0"/>
    <n v="2463.2999999999997"/>
    <n v="4105.5"/>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6156082.2959999992"/>
    <n v="10260137.16"/>
    <n v="1231216.4591999999"/>
    <n v="1231216.4591999999"/>
    <n v="1231216.4591999999"/>
    <n v="1231216.4591999999"/>
    <n v="1231216.4591999999"/>
    <n v="0"/>
    <m/>
    <m/>
    <s v="X"/>
    <m/>
    <m/>
    <n v="3"/>
    <n v="1"/>
  </r>
  <r>
    <x v="2"/>
    <x v="0"/>
    <x v="1"/>
    <s v="4.1.16"/>
    <x v="15"/>
    <s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
    <s v="NR"/>
    <x v="1"/>
    <x v="2"/>
    <s v="COMP 4 "/>
    <s v="PRODUCCIÓN"/>
    <x v="2"/>
    <s v="C17"/>
    <s v="Unidades semilleristas"/>
    <n v="0"/>
    <n v="3"/>
    <n v="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45000"/>
    <n v="75000"/>
    <n v="9000"/>
    <n v="9000"/>
    <n v="9000"/>
    <n v="9000"/>
    <n v="9000"/>
    <n v="0"/>
    <m/>
    <m/>
    <s v="X"/>
    <m/>
    <m/>
    <n v="2"/>
    <n v="1"/>
  </r>
  <r>
    <x v="2"/>
    <x v="0"/>
    <x v="4"/>
    <s v="4.1.17"/>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s v="X"/>
    <m/>
    <m/>
    <m/>
    <m/>
    <n v="3"/>
    <n v="1"/>
  </r>
  <r>
    <x v="2"/>
    <x v="2"/>
    <x v="0"/>
    <s v="4.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259.94579468684702"/>
    <n v="129.97289734342351"/>
    <n v="129.972897343423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9945.79468684702"/>
    <n v="259945.79468684702"/>
    <n v="25994.579468684704"/>
    <n v="38991.869203027054"/>
    <n v="51989.158937369408"/>
    <n v="77983.738406054108"/>
    <n v="64986.448671711754"/>
    <n v="0"/>
    <m/>
    <m/>
    <s v="X"/>
    <m/>
    <s v="RE"/>
    <n v="3"/>
    <n v="1"/>
  </r>
  <r>
    <x v="2"/>
    <x v="2"/>
    <x v="1"/>
    <s v="4.2.2"/>
    <x v="18"/>
    <s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x v="1"/>
    <s v="C1"/>
    <s v="Ganaderos asistidos"/>
    <n v="1214"/>
    <n v="1214"/>
    <n v="121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679840"/>
    <n v="679840"/>
    <n v="135968"/>
    <n v="135968"/>
    <n v="135968"/>
    <n v="135968"/>
    <n v="135968"/>
    <n v="0"/>
    <m/>
    <m/>
    <s v="X"/>
    <m/>
    <s v="RE"/>
    <n v="3"/>
    <n v="1"/>
  </r>
  <r>
    <x v="2"/>
    <x v="2"/>
    <x v="1"/>
    <s v="4.2.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x v="2"/>
    <s v="C17"/>
    <s v="Hectáreas intervenidas"/>
    <n v="3975"/>
    <n v="795"/>
    <n v="795"/>
    <n v="500"/>
    <s v="El costo incluye adquisición de semillas, insumos, fertilizantes, entre otras para la producción de plantas agroforestales o coberturas  verdes."/>
    <s v="DRASAM"/>
    <n v="397500"/>
    <n v="397500"/>
    <n v="79500"/>
    <n v="79500"/>
    <n v="79500"/>
    <n v="79500"/>
    <n v="79500"/>
    <n v="0"/>
    <m/>
    <m/>
    <s v="X"/>
    <m/>
    <s v="RE"/>
    <n v="2"/>
    <n v="1"/>
  </r>
  <r>
    <x v="2"/>
    <x v="2"/>
    <x v="1"/>
    <s v="4.2.4"/>
    <x v="19"/>
    <s v="Reactivación  , implementación y gestión de las postas de inseminación artificial, importación de material genético (pajillas de semen), capacitación y entrenamiento a inseminadores, transferencia de embriones."/>
    <s v="R"/>
    <x v="1"/>
    <x v="2"/>
    <s v="COMP 4 "/>
    <s v="PRODUCCIÓN"/>
    <x v="2"/>
    <s v="C17"/>
    <s v="Postas activas y operativas"/>
    <n v="0"/>
    <n v="3"/>
    <n v="3"/>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822000"/>
    <n v="822000"/>
    <n v="164400"/>
    <n v="164400"/>
    <n v="164400"/>
    <n v="164400"/>
    <n v="164400"/>
    <n v="0"/>
    <m/>
    <s v="X"/>
    <m/>
    <m/>
    <m/>
    <n v="3"/>
    <n v="1"/>
  </r>
  <r>
    <x v="2"/>
    <x v="2"/>
    <x v="3"/>
    <s v="4.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
    <s v="R"/>
    <x v="1"/>
    <x v="3"/>
    <s v="COMP 11"/>
    <s v="PRODUCCIÓN"/>
    <x v="5"/>
    <s v="C6"/>
    <s v="Créditos otorgados"/>
    <n v="1214"/>
    <n v="364.2"/>
    <n v="242.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3915150"/>
    <n v="2610100"/>
    <n v="783030"/>
    <n v="783030"/>
    <n v="783030"/>
    <n v="783030"/>
    <n v="783030"/>
    <n v="0"/>
    <s v="X"/>
    <m/>
    <m/>
    <m/>
    <s v="RE"/>
    <n v="3"/>
    <n v="1"/>
  </r>
  <r>
    <x v="2"/>
    <x v="2"/>
    <x v="1"/>
    <s v="4.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talecidas"/>
    <n v="0"/>
    <n v="4"/>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2400000"/>
    <n v="3000000"/>
    <n v="480000"/>
    <n v="480000"/>
    <n v="480000"/>
    <n v="480000"/>
    <n v="480000"/>
    <n v="0"/>
    <m/>
    <m/>
    <s v="X"/>
    <m/>
    <m/>
    <n v="3"/>
    <n v="1"/>
  </r>
  <r>
    <x v="2"/>
    <x v="2"/>
    <x v="2"/>
    <s v="4.2.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x v="2"/>
    <s v="C17"/>
    <s v="Planes de negocios implementados"/>
    <n v="0"/>
    <n v="6"/>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4800000"/>
    <n v="8000000"/>
    <n v="960000"/>
    <n v="960000"/>
    <n v="960000"/>
    <n v="960000"/>
    <n v="960000"/>
    <n v="0"/>
    <s v="X"/>
    <m/>
    <m/>
    <m/>
    <m/>
    <n v="3"/>
    <n v="1"/>
  </r>
  <r>
    <x v="2"/>
    <x v="2"/>
    <x v="4"/>
    <s v="4.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15"/>
    <n v="1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50000"/>
    <n v="150000"/>
    <n v="30000"/>
    <n v="30000"/>
    <n v="30000"/>
    <n v="30000"/>
    <n v="30000"/>
    <n v="0"/>
    <s v="X"/>
    <m/>
    <m/>
    <m/>
    <m/>
    <n v="2"/>
    <n v="1"/>
  </r>
  <r>
    <x v="2"/>
    <x v="12"/>
    <x v="0"/>
    <s v="4.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398.95671568802999"/>
    <n v="199.47835784401499"/>
    <n v="199.47835784401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398956.71568803"/>
    <n v="398956.71568803"/>
    <n v="39895.671568803002"/>
    <n v="59843.507353204499"/>
    <n v="79791.343137606003"/>
    <n v="119687.014706409"/>
    <n v="99739.178922007501"/>
    <n v="0"/>
    <m/>
    <m/>
    <s v="X"/>
    <m/>
    <m/>
    <n v="3"/>
    <n v="1"/>
  </r>
  <r>
    <x v="2"/>
    <x v="12"/>
    <x v="3"/>
    <s v="4.3.2"/>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x v="3"/>
    <s v="COMP 11"/>
    <s v="PRODUCCIÓN"/>
    <x v="5"/>
    <s v="C6"/>
    <s v="Productores atendidos"/>
    <n v="2161"/>
    <n v="648.29999999999995"/>
    <n v="432.2000000000000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6969224.9999999991"/>
    <n v="4646150.0000000009"/>
    <n v="1393845"/>
    <n v="1393845"/>
    <n v="1393845"/>
    <n v="1393845"/>
    <n v="1393845"/>
    <n v="0"/>
    <m/>
    <m/>
    <s v="X"/>
    <m/>
    <m/>
    <n v="3"/>
    <n v="1"/>
  </r>
  <r>
    <x v="2"/>
    <x v="12"/>
    <x v="2"/>
    <s v="4.3.3"/>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x v="5"/>
    <s v="COMP 3"/>
    <s v="PRODUCCIÓN"/>
    <x v="8"/>
    <s v="C9"/>
    <s v="Especialistas"/>
    <n v="0"/>
    <n v="2"/>
    <n v="2"/>
    <n v="3500"/>
    <s v="El costo incluye la contratación de profesionales que se encarguen de identificar propuestas de alianzas comerciales entre productores y empresas privadas."/>
    <s v="Drasam"/>
    <n v="420000"/>
    <n v="420000"/>
    <n v="84000"/>
    <n v="84000"/>
    <n v="84000"/>
    <n v="84000"/>
    <n v="84000"/>
    <n v="0"/>
    <s v="X"/>
    <m/>
    <m/>
    <m/>
    <m/>
    <n v="3"/>
    <n v="1"/>
  </r>
  <r>
    <x v="2"/>
    <x v="12"/>
    <x v="2"/>
    <s v="4.3.4"/>
    <x v="63"/>
    <s v="Promover el financiamiento para el desarrollo e implementación de estudios de umbrales de carbono en el suelo y en los bosques."/>
    <s v="NR"/>
    <x v="1"/>
    <x v="5"/>
    <s v="COMP 3"/>
    <s v="PRODUCCIÓN"/>
    <x v="8"/>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0"/>
    <n v="220400"/>
    <n v="220400"/>
    <n v="0"/>
    <n v="0"/>
    <n v="0"/>
    <n v="0"/>
    <s v="X"/>
    <m/>
    <m/>
    <m/>
    <m/>
    <n v="3"/>
    <n v="1"/>
  </r>
  <r>
    <x v="2"/>
    <x v="3"/>
    <x v="0"/>
    <s v="4.4.1"/>
    <x v="20"/>
    <s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_x000a_Saneamiento físico legal (georreferenciación, actualización gráfica, e inscripción en registros públicos), en concordancia con la R.M. 0370-2017-MINAGRI, de 2 comunidades nativas: MUSHUCK LLACTA DE CHIPAOTA y  CHARAPILLO."/>
    <s v="NR"/>
    <x v="0"/>
    <x v="0"/>
    <s v="COMP 8"/>
    <s v="PROTECCIÓN-GOBERNANZA"/>
    <x v="0"/>
    <s v="C5"/>
    <s v="Comunidades tituladas"/>
    <n v="44"/>
    <n v="44"/>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3135000"/>
    <n v="0"/>
    <n v="627000"/>
    <n v="627000"/>
    <n v="627000"/>
    <n v="627000"/>
    <n v="627000"/>
    <n v="0"/>
    <m/>
    <m/>
    <s v="X"/>
    <m/>
    <m/>
    <n v="3"/>
    <n v="1"/>
  </r>
  <r>
    <x v="2"/>
    <x v="3"/>
    <x v="1"/>
    <s v="4.4.2"/>
    <x v="21"/>
    <s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x v="6"/>
    <s v="COMP 5"/>
    <s v="PROTECCIÓN"/>
    <x v="1"/>
    <s v="C1"/>
    <s v="Productor asistido"/>
    <n v="4700"/>
    <n v="4700"/>
    <n v="47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632000"/>
    <n v="2632000"/>
    <n v="526400"/>
    <n v="526400"/>
    <n v="526400"/>
    <n v="526400"/>
    <n v="526400"/>
    <n v="0"/>
    <m/>
    <m/>
    <s v="X"/>
    <m/>
    <s v="RE"/>
    <n v="3"/>
    <n v="1"/>
  </r>
  <r>
    <x v="2"/>
    <x v="3"/>
    <x v="2"/>
    <s v="4.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x v="7"/>
    <s v="COMP 6"/>
    <s v="PROTECCIÓN"/>
    <x v="10"/>
    <s v="C8"/>
    <s v="Planes de negocios"/>
    <n v="0"/>
    <n v="60"/>
    <n v="40"/>
    <n v="15000"/>
    <s v="Se contratará profesionales para el asesoramiento y formulación de planes de negocios de las Comunidades Nativas."/>
    <s v="Drasam, Agroideas, CODEPISAM"/>
    <n v="900000"/>
    <n v="600000"/>
    <n v="180000"/>
    <n v="180000"/>
    <n v="180000"/>
    <n v="180000"/>
    <n v="180000"/>
    <n v="0"/>
    <s v="X"/>
    <m/>
    <m/>
    <m/>
    <s v="RE"/>
    <n v="2"/>
    <n v="1"/>
  </r>
  <r>
    <x v="2"/>
    <x v="3"/>
    <x v="1"/>
    <s v="4.4.4"/>
    <x v="23"/>
    <s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x v="4"/>
    <s v="COMP 2"/>
    <s v="PRODUCCIÓN"/>
    <x v="7"/>
    <s v="C2"/>
    <s v="Comunidades fortalecidas"/>
    <n v="47"/>
    <n v="27"/>
    <n v="20"/>
    <n v="288000"/>
    <s v="Contratación de especialistas para dar acompañamiento y seguimiento a los procesos organizativos de las CCNN de forma permanente."/>
    <s v="Drasam, Direpro, Dircetur, ARA, CODEPISAM"/>
    <n v="1440000"/>
    <n v="1440000"/>
    <n v="288000"/>
    <n v="288000"/>
    <n v="288000"/>
    <n v="288000"/>
    <n v="288000"/>
    <n v="0"/>
    <m/>
    <m/>
    <s v="X"/>
    <m/>
    <s v="RE"/>
    <n v="3"/>
    <n v="1"/>
  </r>
  <r>
    <x v="2"/>
    <x v="3"/>
    <x v="2"/>
    <s v="4.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x v="5"/>
    <s v="COMP 3"/>
    <s v="PRODUCCIÓN"/>
    <x v="8"/>
    <s v="C9"/>
    <s v="Especialistas"/>
    <n v="0"/>
    <n v="3"/>
    <n v="3"/>
    <n v="3500"/>
    <s v="Contratación de especialista para identificación, acompañamiento y seguimiento a los procesos comerciales iniciados por las organizaciones de las CCNN"/>
    <s v="Drasam, Direpro, Dircetur, ARA, OPIPs, CODEPISAM"/>
    <n v="630000"/>
    <n v="630000"/>
    <n v="126000"/>
    <n v="126000"/>
    <n v="126000"/>
    <n v="126000"/>
    <n v="126000"/>
    <n v="0"/>
    <s v="X"/>
    <m/>
    <m/>
    <m/>
    <s v="RE"/>
    <n v="3"/>
    <n v="1"/>
  </r>
  <r>
    <x v="2"/>
    <x v="3"/>
    <x v="0"/>
    <s v="4.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x v="3"/>
    <s v="COMP 11"/>
    <s v="PROTECCIÓN"/>
    <x v="5"/>
    <s v="C6"/>
    <s v="Comunidades atendidas"/>
    <n v="47"/>
    <n v="28.2"/>
    <n v="18.8"/>
    <n v="5000"/>
    <s v="El costo esta referido a los gastos administrativos y logísticos que impliquen la elaboración del expediente para ser presentado al programa. "/>
    <s v="Gerencia Regional de Desarrollo Social, Programa Geo bosques, CODEPISAM"/>
    <n v="705000"/>
    <n v="470000"/>
    <n v="141000"/>
    <n v="141000"/>
    <n v="141000"/>
    <n v="141000"/>
    <n v="141000"/>
    <n v="0"/>
    <m/>
    <m/>
    <s v="X"/>
    <m/>
    <m/>
    <n v="3"/>
    <n v="1"/>
  </r>
  <r>
    <x v="2"/>
    <x v="3"/>
    <x v="1"/>
    <s v="4.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x v="8"/>
    <s v="COMP 9"/>
    <s v="INCLUSION"/>
    <x v="11"/>
    <s v="C14"/>
    <s v="Módulos implementados"/>
    <n v="4700"/>
    <n v="1410"/>
    <n v="940"/>
    <n v="30000"/>
    <s v="Implementación según las necesidades identificadas en cada comunidad, considerando si son aplicables en dichas zonas, si no hay restricciones de cualquier índole. "/>
    <s v="Goresam, MIDIS, DRTyTC, Drasam,Foncodes, Cooperación, CODEPISAM"/>
    <n v="42300000"/>
    <n v="28200000"/>
    <n v="8460000"/>
    <n v="8460000"/>
    <n v="8460000"/>
    <n v="8460000"/>
    <n v="8460000"/>
    <n v="0"/>
    <m/>
    <m/>
    <s v="X"/>
    <m/>
    <m/>
    <n v="3"/>
    <n v="1"/>
  </r>
  <r>
    <x v="2"/>
    <x v="3"/>
    <x v="1"/>
    <s v="4.4.8"/>
    <x v="27"/>
    <s v="Implementación de proyectos enfocados a mejorar los servicios básicos de las comunidades nativas, dichos servicios deberán contar con profesionales bilingües, para asegurar y garantizar la adecuada transferencia de dichos servicios.  "/>
    <s v="NR"/>
    <x v="0"/>
    <x v="8"/>
    <s v="COMP 9"/>
    <s v="INCLUSION"/>
    <x v="11"/>
    <s v="C14"/>
    <s v="Escuelas y postas médicas implementadas"/>
    <n v="47"/>
    <n v="23.5"/>
    <n v="23.5"/>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17625000"/>
    <n v="17625000"/>
    <n v="3525000"/>
    <n v="3525000"/>
    <n v="3525000"/>
    <n v="3525000"/>
    <n v="3525000"/>
    <n v="0"/>
    <s v="X"/>
    <m/>
    <m/>
    <m/>
    <s v="RE"/>
    <n v="3"/>
    <n v="1"/>
  </r>
  <r>
    <x v="2"/>
    <x v="4"/>
    <x v="2"/>
    <s v="4.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x v="5"/>
    <s v="C6"/>
    <s v="Planes de negocios"/>
    <n v="0"/>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0000"/>
    <n v="120000"/>
    <n v="120000"/>
    <n v="120000"/>
    <n v="120000"/>
    <n v="120000"/>
    <n v="0"/>
    <s v="X"/>
    <m/>
    <m/>
    <m/>
    <s v="RE"/>
    <n v="3"/>
    <n v="1"/>
  </r>
  <r>
    <x v="2"/>
    <x v="4"/>
    <x v="1"/>
    <s v="4.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x v="1"/>
    <s v="C1"/>
    <s v="Especialistas"/>
    <n v="0"/>
    <n v="2"/>
    <n v="2"/>
    <n v="4000"/>
    <s v="Contratación de especialista y gastos logísticos, pasantías regionales y nacionales para adquisición de know how en materia de turismo rural"/>
    <s v="Dircetur"/>
    <n v="480000"/>
    <n v="480000"/>
    <n v="96000"/>
    <n v="96000"/>
    <n v="96000"/>
    <n v="96000"/>
    <n v="96000"/>
    <n v="0"/>
    <m/>
    <m/>
    <s v="X"/>
    <m/>
    <s v="RE"/>
    <n v="3"/>
    <n v="1"/>
  </r>
  <r>
    <x v="2"/>
    <x v="4"/>
    <x v="2"/>
    <s v="4.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x v="10"/>
    <s v="C8"/>
    <s v="Planes de negocio"/>
    <n v="0"/>
    <n v="5"/>
    <n v="5"/>
    <n v="150000"/>
    <s v="El costo hace referencia al proceso de implementación y funcionamiento de los productos para el desarrollo de  los emprendimientos."/>
    <s v="Dircetur, Agroideas"/>
    <n v="750000"/>
    <n v="750000"/>
    <n v="150000"/>
    <n v="150000"/>
    <n v="150000"/>
    <n v="150000"/>
    <n v="150000"/>
    <n v="0"/>
    <s v="X"/>
    <m/>
    <m/>
    <m/>
    <s v="RE"/>
    <n v="3"/>
    <n v="1"/>
  </r>
  <r>
    <x v="2"/>
    <x v="4"/>
    <x v="2"/>
    <s v="4.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x v="12"/>
    <s v="C11"/>
    <s v="rutas turísticas promocionados"/>
    <n v="0"/>
    <n v="2"/>
    <n v="2"/>
    <n v="40000"/>
    <s v="Participación en eventos de promoción (ferias regionales y nacionales, Fam Trip), el costo cubrirá gastos logísticos y administrativos de los operadores turísticos identificados "/>
    <s v="Mincetur, Dircetur"/>
    <n v="400000"/>
    <n v="400000"/>
    <n v="80000"/>
    <n v="80000"/>
    <n v="80000"/>
    <n v="80000"/>
    <n v="80000"/>
    <n v="0"/>
    <m/>
    <m/>
    <s v="X"/>
    <m/>
    <s v="RE"/>
    <n v="3"/>
    <n v="1"/>
  </r>
  <r>
    <x v="2"/>
    <x v="13"/>
    <x v="4"/>
    <s v="4.6.1"/>
    <x v="35"/>
    <s v="Implementar con recursos necesarios al ente que administra el área, con la finalidad de aumentar el número de personas (guardaparques) que contribuyan a realizar acciones de control y vigilancia."/>
    <s v="NR"/>
    <x v="2"/>
    <x v="6"/>
    <s v="COMP 5"/>
    <s v="PROTECCIÓN-GOBERNANZA"/>
    <x v="14"/>
    <s v="C4"/>
    <s v="Número de guardaparques"/>
    <n v="0"/>
    <n v="5"/>
    <n v="5"/>
    <n v="2000"/>
    <s v="Contratación a guardaparques para garantizar el control y vigilancia del área otorgada."/>
    <s v="Ara, serfor, Sernanp"/>
    <n v="600000"/>
    <n v="600000"/>
    <n v="120000"/>
    <n v="120000"/>
    <n v="120000"/>
    <n v="120000"/>
    <n v="120000"/>
    <n v="0"/>
    <m/>
    <s v="X"/>
    <m/>
    <m/>
    <s v="RE"/>
    <n v="3"/>
    <n v="1"/>
  </r>
  <r>
    <x v="2"/>
    <x v="13"/>
    <x v="4"/>
    <s v="4.6.2"/>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x v="6"/>
    <s v="COMP 5"/>
    <s v="PROTECCIÓN-GOBERNANZA"/>
    <x v="14"/>
    <s v="C4"/>
    <s v="Campañas de sensibilización"/>
    <n v="0"/>
    <n v="45"/>
    <n v="45"/>
    <n v="8000"/>
    <s v="Campañas de sensibilización con equipos técnicos de las instituciones involucradas, gastos logísticos, impresión de material de difusión, publicidad radial, televisiva y escrita."/>
    <s v="Ara, serfor, Sernanp"/>
    <n v="1800000"/>
    <n v="1800000"/>
    <n v="360000"/>
    <n v="360000"/>
    <n v="360000"/>
    <n v="360000"/>
    <n v="360000"/>
    <n v="0"/>
    <m/>
    <s v="X"/>
    <m/>
    <m/>
    <s v="RE"/>
    <n v="3"/>
    <n v="1"/>
  </r>
  <r>
    <x v="2"/>
    <x v="13"/>
    <x v="1"/>
    <s v="4.6.3"/>
    <x v="64"/>
    <s v="Actualización y elaboración de planes de gestión comunal de las localidades acentuadas en las zonas de amortiguamiento con la finalidad de orientar adecuadamente la implementación y ejecución de proyectos."/>
    <s v="NR"/>
    <x v="0"/>
    <x v="8"/>
    <s v="COMP 9"/>
    <s v="HABILITANTE"/>
    <x v="15"/>
    <s v="C10"/>
    <s v="Planes de gestión comunal"/>
    <n v="0"/>
    <n v="9"/>
    <n v="15"/>
    <n v="10000"/>
    <s v="Contratación de servicios profesionales para la elaboración de los planes de gestión comunal."/>
    <s v="Dircetur, Mincetur"/>
    <n v="90000"/>
    <n v="150000"/>
    <n v="18000"/>
    <n v="18000"/>
    <n v="18000"/>
    <n v="18000"/>
    <n v="18000"/>
    <n v="0"/>
    <m/>
    <s v="X"/>
    <m/>
    <m/>
    <m/>
    <n v="3"/>
    <n v="1"/>
  </r>
  <r>
    <x v="2"/>
    <x v="13"/>
    <x v="2"/>
    <s v="4.6.4"/>
    <x v="65"/>
    <s v="Campañas de promoción y difusión en el ámbito regional y nacional de los circuitos turísticos que existen en la zona de amortiguamiento."/>
    <s v="NR"/>
    <x v="2"/>
    <x v="7"/>
    <s v="COMP 6"/>
    <s v="PROTECCIÓN"/>
    <x v="12"/>
    <s v="C11"/>
    <s v="Campañas de promoción"/>
    <n v="0"/>
    <n v="12"/>
    <n v="12"/>
    <n v="4000"/>
    <s v="Campañas de promoción que incluye, impresión de material de difusión, publicidad radial, televisiva y escrita."/>
    <s v="Dircetur, Mincetur"/>
    <n v="240000"/>
    <n v="240000"/>
    <n v="48000"/>
    <n v="48000"/>
    <n v="48000"/>
    <n v="48000"/>
    <n v="48000"/>
    <n v="0"/>
    <m/>
    <m/>
    <s v="X"/>
    <m/>
    <m/>
    <n v="3"/>
    <n v="1"/>
  </r>
  <r>
    <x v="2"/>
    <x v="13"/>
    <x v="2"/>
    <s v="4.6.5"/>
    <x v="66"/>
    <s v="Pasantías regionales con productores con la finalidad de conocer  los diferentes sistemas productivos sostenibles a ser replicados en las comunidades."/>
    <s v="NR"/>
    <x v="2"/>
    <x v="7"/>
    <s v="COMP 6"/>
    <s v="PROTECCIÓN"/>
    <x v="12"/>
    <s v="C11"/>
    <s v="Pasantías"/>
    <n v="0"/>
    <n v="6"/>
    <n v="6"/>
    <n v="2500"/>
    <s v="El costo hace referencia a los gastos de pasajes, alimentación y otros para un grupo de 20 productores por pasantía."/>
    <s v="Drasam"/>
    <n v="75000"/>
    <n v="75000"/>
    <n v="15000"/>
    <n v="15000"/>
    <n v="15000"/>
    <n v="15000"/>
    <n v="15000"/>
    <n v="0"/>
    <m/>
    <m/>
    <s v="X"/>
    <m/>
    <m/>
    <n v="2"/>
    <n v="1"/>
  </r>
  <r>
    <x v="2"/>
    <x v="13"/>
    <x v="1"/>
    <s v="4.6.6"/>
    <x v="67"/>
    <s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x v="6"/>
    <s v="COMP 5"/>
    <s v="PROTECCIÓN"/>
    <x v="9"/>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000000"/>
    <n v="9400000"/>
    <n v="9400000"/>
    <n v="9400000"/>
    <n v="9400000"/>
    <n v="9400000"/>
    <n v="0"/>
    <m/>
    <m/>
    <s v="X"/>
    <m/>
    <m/>
    <n v="3"/>
    <n v="1"/>
  </r>
  <r>
    <x v="2"/>
    <x v="13"/>
    <x v="3"/>
    <s v="4.6.7"/>
    <x v="28"/>
    <s v="Implementación de planes de negocios para el desarrollo de rutas turísticas, turismo vivencial comunitario, y otras modalidades de servicios que sean generadoras de ingresos económicos, respetando el medio ambiente."/>
    <s v="NR"/>
    <x v="2"/>
    <x v="3"/>
    <s v="COMP 11"/>
    <s v="PROTECCIÓN"/>
    <x v="5"/>
    <s v="C6"/>
    <s v="Planes de negocios"/>
    <n v="0"/>
    <n v="5"/>
    <n v="8"/>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
    <n v="800000"/>
    <n v="100000"/>
    <n v="100000"/>
    <n v="100000"/>
    <n v="100000"/>
    <n v="100000"/>
    <n v="0"/>
    <s v="X"/>
    <m/>
    <m/>
    <m/>
    <s v="RE"/>
    <n v="3"/>
    <n v="1"/>
  </r>
  <r>
    <x v="2"/>
    <x v="13"/>
    <x v="1"/>
    <s v="4.6.8"/>
    <x v="68"/>
    <s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x v="6"/>
    <s v="COMP 5"/>
    <s v="PROTECCIÓN"/>
    <x v="1"/>
    <s v="C1"/>
    <s v="Especialistas"/>
    <n v="0"/>
    <n v="8"/>
    <n v="8"/>
    <n v="3500"/>
    <s v="El costo comprende la contratación de profesionales para brindar asistencias técnica en los cultivos priorizados en la zona de intervención."/>
    <s v="Drasam"/>
    <n v="1680000"/>
    <n v="1680000"/>
    <n v="336000"/>
    <n v="336000"/>
    <n v="336000"/>
    <n v="336000"/>
    <n v="336000"/>
    <n v="0"/>
    <s v="X"/>
    <m/>
    <m/>
    <m/>
    <s v="RE"/>
    <n v="3"/>
    <n v="1"/>
  </r>
  <r>
    <x v="2"/>
    <x v="8"/>
    <x v="0"/>
    <s v="4.7.1"/>
    <x v="40"/>
    <s v="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
    <s v="NR"/>
    <x v="0"/>
    <x v="0"/>
    <s v="COMP 8"/>
    <s v="PROTECCIÓN-GOBERNANZA"/>
    <x v="0"/>
    <s v="C5"/>
    <s v="Ha. con categoría territorial asignada"/>
    <n v="80543.826408249835"/>
    <n v="40271.913204124918"/>
    <n v="40271.913204124918"/>
    <n v="15"/>
    <s v="Para la implementación de las intervención será mecesario la contratación de especialistas para realizar las acciones que comtemplen dicha actividad. Gastos logísticos y trámites documentarios."/>
    <s v="GRSM - DEGT"/>
    <n v="604078.69806187379"/>
    <n v="604078.69806187379"/>
    <n v="120815.73961237476"/>
    <n v="120815.73961237476"/>
    <n v="120815.73961237476"/>
    <n v="120815.73961237476"/>
    <n v="120815.73961237476"/>
    <n v="0"/>
    <m/>
    <s v="X"/>
    <m/>
    <m/>
    <m/>
    <n v="3"/>
    <n v="1"/>
  </r>
  <r>
    <x v="2"/>
    <x v="8"/>
    <x v="4"/>
    <s v="4.7.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40"/>
    <n v="40"/>
    <n v="150"/>
    <s v="Considera materiales de capacitación, alimentación a capacitados en el área cercana a su comunidad y gastos de capacitadores"/>
    <s v="GRSM - DEGT"/>
    <n v="6000"/>
    <n v="6000"/>
    <n v="6000"/>
    <n v="0"/>
    <n v="0"/>
    <n v="0"/>
    <n v="0"/>
    <n v="0"/>
    <m/>
    <s v="X"/>
    <m/>
    <m/>
    <m/>
    <n v="2"/>
    <n v="1"/>
  </r>
  <r>
    <x v="2"/>
    <x v="8"/>
    <x v="4"/>
    <s v="4.7.3"/>
    <x v="42"/>
    <s v="Dependiendo de la categoría forestal a ser aplicada, se realizará un plan/declaración acorde la unidad, en el marco de la ley forestal y fauna silvestre N° 29763."/>
    <s v="NR"/>
    <x v="0"/>
    <x v="0"/>
    <s v="COMP 8"/>
    <s v="PROTECCIÓN-GOBERNANZA"/>
    <x v="0"/>
    <s v="C5"/>
    <s v="N° Planes / Declaraciones elaborados"/>
    <n v="0"/>
    <n v="8"/>
    <n v="8"/>
    <n v="10000"/>
    <s v="Se considera la contratación de profesionales para la elaboración de los expedientes y/o declaraciones identificadas en los diferentes procesos."/>
    <s v="GRSM - DEGT"/>
    <n v="80000"/>
    <n v="80000"/>
    <n v="24000"/>
    <n v="24000"/>
    <n v="32000"/>
    <n v="0"/>
    <n v="0"/>
    <n v="0"/>
    <m/>
    <s v="X"/>
    <m/>
    <m/>
    <m/>
    <n v="2"/>
    <n v="1"/>
  </r>
  <r>
    <x v="2"/>
    <x v="8"/>
    <x v="0"/>
    <s v="4.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80543.826408249835"/>
    <n v="40271.913204124918"/>
    <n v="40271.913204124918"/>
    <n v="1"/>
    <s v="Contratación de dos profesioales para agilizar procesos con sunarp."/>
    <s v="GRSM - DEGT"/>
    <n v="40271.913204124918"/>
    <n v="40271.913204124918"/>
    <n v="8054.3826408249843"/>
    <n v="8054.3826408249843"/>
    <n v="8054.3826408249843"/>
    <n v="8054.3826408249843"/>
    <n v="8054.3826408249843"/>
    <n v="0"/>
    <m/>
    <s v="X"/>
    <m/>
    <m/>
    <m/>
    <n v="2"/>
    <n v="1"/>
  </r>
  <r>
    <x v="2"/>
    <x v="9"/>
    <x v="0"/>
    <s v="4.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x v="0"/>
    <s v="C5"/>
    <s v="Ha. con categoría territorial asignada"/>
    <n v="0"/>
    <n v="47298.808366990103"/>
    <n v="47298.808366990103"/>
    <n v="15"/>
    <s v="Para la implementación de las intervención será mecesario la contratación de especialistas para realizar las acciones que comtemplen dicha actividad. Gastos logísticos y trámites documentarios."/>
    <s v="GRSM - DEGT"/>
    <n v="709482.12550485157"/>
    <n v="709482.12550485157"/>
    <n v="141896.42510097031"/>
    <n v="141896.42510097031"/>
    <n v="141896.42510097031"/>
    <n v="141896.42510097031"/>
    <n v="141896.42510097031"/>
    <n v="0"/>
    <m/>
    <s v="X"/>
    <m/>
    <m/>
    <m/>
    <n v="3"/>
    <n v="1"/>
  </r>
  <r>
    <x v="2"/>
    <x v="9"/>
    <x v="4"/>
    <s v="4.8.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90"/>
    <n v="90"/>
    <n v="150"/>
    <s v="Considera materiales de capacitación, alimentación a capacitados en el área cercana a su comunidad y gastos de capacitadores"/>
    <s v="GRSM - DEGT"/>
    <n v="13500"/>
    <n v="13500"/>
    <n v="13500"/>
    <n v="0"/>
    <n v="0"/>
    <n v="0"/>
    <n v="0"/>
    <n v="0"/>
    <m/>
    <s v="X"/>
    <m/>
    <m/>
    <m/>
    <n v="2"/>
    <n v="1"/>
  </r>
  <r>
    <x v="2"/>
    <x v="9"/>
    <x v="4"/>
    <s v="4.8.3"/>
    <x v="42"/>
    <s v="Dependiendo de la categoría forestal a ser aplicada, se realizará un plan/declaración acorde a la unidad, en el marco de la ley forestal y fauna silvestre N° 29763."/>
    <s v="NR"/>
    <x v="0"/>
    <x v="0"/>
    <s v="COMP 8"/>
    <s v="PROTECCIÓN-GOBERNANZA"/>
    <x v="0"/>
    <s v="C5"/>
    <s v="N° Planes / Declaraciones elaborados"/>
    <n v="0"/>
    <n v="2"/>
    <n v="2"/>
    <n v="10000"/>
    <s v="Se considera la contratación de profesionales para la elaboración de los expedientes y/o declaraciones identificadas en los diferentes procesos."/>
    <s v="GRSM - DEGT"/>
    <n v="20000"/>
    <n v="20000"/>
    <n v="6000"/>
    <n v="6000"/>
    <n v="8000"/>
    <n v="0"/>
    <n v="0"/>
    <n v="0"/>
    <m/>
    <s v="X"/>
    <m/>
    <m/>
    <m/>
    <n v="2"/>
    <n v="1"/>
  </r>
  <r>
    <x v="2"/>
    <x v="9"/>
    <x v="0"/>
    <s v="4.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0"/>
    <n v="47298.808366990103"/>
    <n v="47298.808366990103"/>
    <n v="1"/>
    <s v="Contratación de dos profesioales para agilizar procesos con sunarp."/>
    <s v="GRSM - DEGT"/>
    <n v="47298.808366990103"/>
    <n v="47298.808366990103"/>
    <n v="9459.7616733980212"/>
    <n v="9459.7616733980212"/>
    <n v="9459.7616733980212"/>
    <n v="9459.7616733980212"/>
    <n v="9459.7616733980212"/>
    <n v="0"/>
    <m/>
    <s v="X"/>
    <m/>
    <m/>
    <m/>
    <n v="2"/>
    <n v="1"/>
  </r>
  <r>
    <x v="2"/>
    <x v="9"/>
    <x v="3"/>
    <s v="4.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x v="0"/>
    <s v="C5"/>
    <s v="Hectáreas restauradas"/>
    <n v="0"/>
    <n v="7171.9365069078503"/>
    <n v="7171.9365069078503"/>
    <n v="500"/>
    <s v="El costo incluye la restauración de una hectárea, esta actividad se desarrollara de acuerdo a la metodología propuesta por el ARA, en coordinación con los productores seleccionados."/>
    <s v="ARA"/>
    <n v="3585968.2534539253"/>
    <n v="3585968.2534539253"/>
    <n v="3585968.2534539253"/>
    <n v="0"/>
    <n v="0"/>
    <n v="0"/>
    <n v="0"/>
    <n v="0"/>
    <m/>
    <s v="X"/>
    <m/>
    <m/>
    <m/>
    <n v="3"/>
    <n v="1"/>
  </r>
  <r>
    <x v="2"/>
    <x v="10"/>
    <x v="1"/>
    <s v="4.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8"/>
    <s v="HABILITANTE"/>
    <x v="16"/>
    <s v="C18"/>
    <s v="Acuerdos con rondas campesinas"/>
    <n v="0"/>
    <n v="19"/>
    <n v="19"/>
    <n v="2500"/>
    <s v="Reuniones con los diferentes actores involucrados y la sociedad civil para llegar a acuerdos de no deforestación, lo cual incluye  gastos logísticos en general."/>
    <s v="GRIS"/>
    <n v="237500"/>
    <n v="237500"/>
    <n v="47500"/>
    <n v="47500"/>
    <n v="47500"/>
    <n v="47500"/>
    <n v="47500"/>
    <n v="0"/>
    <s v="X"/>
    <m/>
    <m/>
    <m/>
    <m/>
    <n v="3"/>
    <n v="1"/>
  </r>
  <r>
    <x v="2"/>
    <x v="10"/>
    <x v="1"/>
    <s v="4.9.2"/>
    <x v="48"/>
    <s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x v="9"/>
    <s v="COMP 10"/>
    <s v="HABILITANTE"/>
    <x v="16"/>
    <s v="C18"/>
    <s v="Kilómetros mejorados"/>
    <n v="328"/>
    <n v="32.800000000000004"/>
    <n v="32.800000000000004"/>
    <n v="800000"/>
    <s v="Costo promedio de por km2 de vía mejorada o asfaltada"/>
    <s v="DRTyTC"/>
    <n v="26240000.000000004"/>
    <n v="26240000.000000004"/>
    <n v="5248000.0000000009"/>
    <n v="5248000.0000000009"/>
    <n v="5248000.0000000009"/>
    <n v="5248000.0000000009"/>
    <n v="5248000.0000000009"/>
    <n v="0"/>
    <s v="X"/>
    <m/>
    <m/>
    <m/>
    <m/>
    <n v="2"/>
    <n v="1"/>
  </r>
  <r>
    <x v="2"/>
    <x v="10"/>
    <x v="1"/>
    <s v="4.9.3"/>
    <x v="49"/>
    <s v="Ejecución de proyectos de restauración dentro de las áreas con prioridad alta. La GRDE, el ARA y los proyectos especiales a través de sus diferentes direcciones de línea, deberán implementar esta actividad a través de los PIP y actividades propias de las direcciones."/>
    <s v="NR"/>
    <x v="2"/>
    <x v="6"/>
    <s v="COMP 5"/>
    <s v="PROTECCIÓN"/>
    <x v="16"/>
    <s v="C18"/>
    <s v="Hectáreas restauradas"/>
    <n v="3078.73"/>
    <n v="1539.365"/>
    <n v="1539.365"/>
    <n v="500"/>
    <s v="El costo incluye la restauración de una hectárea, esta actividad se desarrollara de acuerdo a la metodología propuesta por el ARA, en coordinación con los productores seleccionados."/>
    <s v="ARA"/>
    <n v="769682.5"/>
    <n v="769682.5"/>
    <n v="153936.5"/>
    <n v="153936.5"/>
    <n v="153936.5"/>
    <n v="153936.5"/>
    <n v="153936.5"/>
    <n v="0"/>
    <m/>
    <m/>
    <s v="X"/>
    <m/>
    <s v="RE"/>
    <n v="3"/>
    <n v="1"/>
  </r>
  <r>
    <x v="2"/>
    <x v="10"/>
    <x v="1"/>
    <s v="4.9.4"/>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x v="8"/>
    <s v="COMP 9"/>
    <s v="INCLUSION"/>
    <x v="16"/>
    <s v="C18"/>
    <s v="Centros de salud y colegios implementados"/>
    <n v="0"/>
    <n v="2"/>
    <n v="2"/>
    <n v="3500000"/>
    <s v="Construcción e implementación de centros educativos y postas medicas"/>
    <s v="DRTyTC"/>
    <n v="7000000"/>
    <n v="7000000"/>
    <n v="1400000"/>
    <n v="2100000"/>
    <n v="3500000"/>
    <n v="0"/>
    <n v="0"/>
    <n v="0"/>
    <m/>
    <s v="X"/>
    <m/>
    <m/>
    <s v="RE"/>
    <n v="3"/>
    <n v="1"/>
  </r>
  <r>
    <x v="2"/>
    <x v="10"/>
    <x v="1"/>
    <s v="4.9.5"/>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x v="8"/>
    <s v="COMP 9"/>
    <s v="INCLUSION"/>
    <x v="16"/>
    <s v="C18"/>
    <s v="N° campañas"/>
    <n v="0"/>
    <n v="135.52500000000001"/>
    <n v="135.52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388125"/>
    <n v="3388125"/>
    <n v="677625"/>
    <n v="677625"/>
    <n v="677625"/>
    <n v="677625"/>
    <n v="677625"/>
    <n v="0"/>
    <m/>
    <s v="X"/>
    <m/>
    <m/>
    <s v="RE"/>
    <n v="3"/>
    <n v="1"/>
  </r>
  <r>
    <x v="2"/>
    <x v="10"/>
    <x v="1"/>
    <s v="4.9.6"/>
    <x v="52"/>
    <s v="Promoción al acceso de la marca con los productores que cumplan los criterios de elegibilidad solicitados por el programa, como una estrategia de ubicar mercados diferenciados para los productos provenientes de estas zonas."/>
    <s v="NR"/>
    <x v="1"/>
    <x v="5"/>
    <s v="COMP 3"/>
    <s v="PRODUCCIÓN"/>
    <x v="16"/>
    <s v="C18"/>
    <s v="Organizaciones que acceden a la marca"/>
    <n v="0"/>
    <n v="10"/>
    <n v="15"/>
    <n v="3000"/>
    <s v="El costo incluye: Una inspección anual anunciada,  elaboración de informe de inspección, administración y comunicación, certificación según los estándares de la marca."/>
    <s v="GRDE"/>
    <n v="150000"/>
    <n v="225000"/>
    <n v="30000"/>
    <n v="30000"/>
    <n v="30000"/>
    <n v="30000"/>
    <n v="30000"/>
    <n v="0"/>
    <m/>
    <m/>
    <s v="X"/>
    <m/>
    <m/>
    <n v="3"/>
    <n v="1"/>
  </r>
  <r>
    <x v="3"/>
    <x v="0"/>
    <x v="0"/>
    <s v="3.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6973.3958940467001"/>
    <n v="3486.69794702335"/>
    <n v="3486.69794702335"/>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973395.8940466996"/>
    <n v="6973395.8940466996"/>
    <n v="697339.58940467006"/>
    <n v="1046009.3841070049"/>
    <n v="1394679.1788093401"/>
    <n v="2092018.7682140097"/>
    <n v="1743348.9735116749"/>
    <n v="0"/>
    <m/>
    <m/>
    <s v="X"/>
    <m/>
    <s v="RE"/>
    <n v="3"/>
    <n v="1"/>
  </r>
  <r>
    <x v="3"/>
    <x v="0"/>
    <x v="1"/>
    <s v="3.1.2"/>
    <x v="1"/>
    <s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x v="1"/>
    <s v="COMP 1"/>
    <s v="PRODUCCIÓN"/>
    <x v="1"/>
    <s v="C1"/>
    <s v="Productores asistidos"/>
    <n v="29823"/>
    <n v="17893.8"/>
    <n v="11929.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020528"/>
    <n v="6680352"/>
    <n v="2004105.6"/>
    <n v="2004105.6"/>
    <n v="2004105.6"/>
    <n v="2004105.6"/>
    <n v="2004105.6"/>
    <n v="0"/>
    <m/>
    <m/>
    <s v="X"/>
    <m/>
    <s v="RE"/>
    <n v="3"/>
    <n v="1"/>
  </r>
  <r>
    <x v="3"/>
    <x v="0"/>
    <x v="1"/>
    <s v="3.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x v="2"/>
    <s v="C17"/>
    <s v="Hectáreas intervenidas"/>
    <n v="70028"/>
    <n v="21008.399999999998"/>
    <n v="21008.399999999998"/>
    <n v="500"/>
    <s v="El costo incluye adquisición de semillas, insumos, fertilizantes, entre otras para la producción de plantas agroforestales o coberturas  verdes."/>
    <s v="DRASAM"/>
    <n v="10504199.999999998"/>
    <n v="10504199.999999998"/>
    <n v="2100839.9999999995"/>
    <n v="2100839.9999999995"/>
    <n v="2100839.9999999995"/>
    <n v="2100839.9999999995"/>
    <n v="2100839.9999999995"/>
    <n v="0"/>
    <m/>
    <m/>
    <s v="X"/>
    <m/>
    <m/>
    <n v="3"/>
    <n v="1"/>
  </r>
  <r>
    <x v="3"/>
    <x v="0"/>
    <x v="1"/>
    <s v="3.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x v="2"/>
    <s v="C17"/>
    <s v="hectáreas fertilizadas"/>
    <n v="70028"/>
    <n v="14005.6"/>
    <n v="21008.399999999998"/>
    <n v="2500"/>
    <s v="El costo incluye un análisis de suelos, paquete de fertilización según los resultados del análisis y la adquisición de fertilizantes. El costo incluye los tres abonamientos requeridos en una campaña (1 año)."/>
    <s v="Drasam"/>
    <n v="35014000"/>
    <n v="52520999.999999993"/>
    <n v="7002800"/>
    <n v="7002800"/>
    <n v="7002800"/>
    <n v="7002800"/>
    <n v="7002800"/>
    <n v="0"/>
    <m/>
    <m/>
    <s v="X"/>
    <m/>
    <s v="RE"/>
    <n v="3"/>
    <n v="1"/>
  </r>
  <r>
    <x v="3"/>
    <x v="0"/>
    <x v="2"/>
    <s v="3.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x v="2"/>
    <s v="COMP 4 "/>
    <s v="PRODUCCIÓN"/>
    <x v="2"/>
    <s v="C17"/>
    <s v="Hectáreas con sistemas de riego"/>
    <n v="70028"/>
    <n v="3501.4"/>
    <n v="4201.68"/>
    <n v="11500"/>
    <s v="El costo incluye la instalación de un sistema completo y un paquete de fertilización para la primera campaña. El costo va depender del tipo de cultivo, tipo de sistema y el tipo de materiales a usar en los sistemas de fertirriego."/>
    <s v="DRASAM"/>
    <n v="40266100"/>
    <n v="48319320"/>
    <n v="8053220"/>
    <n v="8053220"/>
    <n v="8053220"/>
    <n v="8053220"/>
    <n v="8053220"/>
    <n v="0"/>
    <m/>
    <m/>
    <s v="X"/>
    <m/>
    <s v="RE"/>
    <n v="3"/>
    <n v="1"/>
  </r>
  <r>
    <x v="3"/>
    <x v="0"/>
    <x v="2"/>
    <s v="3.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x v="3"/>
    <s v="C12"/>
    <s v="Hectáreas reconvertidas"/>
    <n v="14005.6"/>
    <n v="1400.5600000000002"/>
    <n v="1400.5600000000002"/>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008400.000000004"/>
    <n v="21008400.000000004"/>
    <n v="4201680.0000000009"/>
    <n v="4201680.0000000009"/>
    <n v="4201680.0000000009"/>
    <n v="4201680.0000000009"/>
    <n v="4201680.0000000009"/>
    <n v="0"/>
    <s v="X"/>
    <m/>
    <m/>
    <m/>
    <s v="RE"/>
    <n v="2"/>
    <n v="1"/>
  </r>
  <r>
    <x v="3"/>
    <x v="0"/>
    <x v="1"/>
    <s v="3.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x v="4"/>
    <s v="C3"/>
    <s v="Productores beneficiados"/>
    <n v="29823"/>
    <n v="2982.3"/>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471670"/>
    <n v="76189980.000000015"/>
    <n v="7694334"/>
    <n v="7694334"/>
    <n v="7694334"/>
    <n v="7694334"/>
    <n v="7694334"/>
    <n v="0"/>
    <m/>
    <m/>
    <s v="X"/>
    <m/>
    <s v="RE"/>
    <n v="2"/>
    <n v="1"/>
  </r>
  <r>
    <x v="3"/>
    <x v="0"/>
    <x v="1"/>
    <s v="3.1.8"/>
    <x v="7"/>
    <s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s v="NR"/>
    <x v="1"/>
    <x v="2"/>
    <s v="COMP 4 "/>
    <s v="PRODUCCIÓN"/>
    <x v="1"/>
    <s v="C1"/>
    <s v="Acuicultores asistidos"/>
    <n v="431"/>
    <n v="431"/>
    <n v="43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241360"/>
    <n v="241360"/>
    <n v="48272"/>
    <n v="48272"/>
    <n v="48272"/>
    <n v="48272"/>
    <n v="48272"/>
    <n v="0"/>
    <m/>
    <m/>
    <s v="X"/>
    <m/>
    <s v="RE"/>
    <n v="2"/>
    <n v="1"/>
  </r>
  <r>
    <x v="3"/>
    <x v="0"/>
    <x v="3"/>
    <s v="3.1.9"/>
    <x v="8"/>
    <s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x v="5"/>
    <s v="C6"/>
    <s v="Créditos otorgados"/>
    <n v="0"/>
    <n v="431"/>
    <n v="431"/>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5559900"/>
    <n v="5559900"/>
    <n v="1111980"/>
    <n v="1111980"/>
    <n v="1111980"/>
    <n v="1111980"/>
    <n v="1111980"/>
    <n v="0"/>
    <s v="X"/>
    <m/>
    <m/>
    <m/>
    <s v="RE"/>
    <n v="2"/>
    <n v="1"/>
  </r>
  <r>
    <x v="3"/>
    <x v="0"/>
    <x v="3"/>
    <s v="3.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x v="5"/>
    <s v="C6"/>
    <s v="Créditos otorgados"/>
    <n v="29823"/>
    <n v="8946.9"/>
    <n v="5964.6"/>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96179175"/>
    <n v="64119450.000000007"/>
    <n v="19235835"/>
    <n v="19235835"/>
    <n v="19235835"/>
    <n v="19235835"/>
    <n v="19235835"/>
    <n v="0"/>
    <s v="X"/>
    <m/>
    <m/>
    <m/>
    <s v="RE"/>
    <n v="2"/>
    <n v="1"/>
  </r>
  <r>
    <x v="3"/>
    <x v="0"/>
    <x v="2"/>
    <s v="3.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x v="6"/>
    <s v="C7"/>
    <s v="Planes de negocios/proyectos ejecutados"/>
    <n v="0"/>
    <n v="5.6000000000000005"/>
    <n v="8.4"/>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480000"/>
    <n v="6720000"/>
    <n v="896000"/>
    <n v="896000"/>
    <n v="896000"/>
    <n v="896000"/>
    <n v="896000"/>
    <n v="0"/>
    <m/>
    <s v="X"/>
    <m/>
    <m/>
    <s v="RE"/>
    <n v="3"/>
    <n v="1"/>
  </r>
  <r>
    <x v="3"/>
    <x v="0"/>
    <x v="2"/>
    <s v="3.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x v="4"/>
    <s v="C3"/>
    <s v="Empresas y organizaciones atendidas"/>
    <n v="20"/>
    <n v="10"/>
    <n v="10"/>
    <n v="50000"/>
    <s v="El costo incluye la contratación de especialistas para brindar Asistencia Técnica en los procesos de implementación de las certificaciones de calidad, materiales para la capacitación y pasantías."/>
    <s v="DIREPRO"/>
    <n v="500000"/>
    <n v="500000"/>
    <n v="100000"/>
    <n v="100000"/>
    <n v="100000"/>
    <n v="100000"/>
    <n v="100000"/>
    <n v="0"/>
    <s v="X"/>
    <m/>
    <m/>
    <m/>
    <s v="RE"/>
    <n v="2"/>
    <n v="1"/>
  </r>
  <r>
    <x v="3"/>
    <x v="0"/>
    <x v="1"/>
    <s v="3.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x v="7"/>
    <s v="C2"/>
    <s v="Organizaciones auto sostenibles"/>
    <n v="28"/>
    <n v="10"/>
    <n v="8.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1200000"/>
    <n v="1008000"/>
    <n v="240000"/>
    <n v="240000"/>
    <n v="240000"/>
    <n v="240000"/>
    <n v="240000"/>
    <n v="0"/>
    <m/>
    <m/>
    <s v="X"/>
    <m/>
    <m/>
    <n v="3"/>
    <n v="1"/>
  </r>
  <r>
    <x v="3"/>
    <x v="0"/>
    <x v="2"/>
    <s v="3.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x v="8"/>
    <s v="C9"/>
    <s v="Organizaciones certificadas"/>
    <n v="28"/>
    <n v="14"/>
    <n v="14"/>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00000"/>
    <n v="2800000"/>
    <n v="560000"/>
    <n v="560000"/>
    <n v="560000"/>
    <n v="560000"/>
    <n v="560000"/>
    <n v="0"/>
    <m/>
    <m/>
    <s v="X"/>
    <m/>
    <m/>
    <n v="3"/>
    <n v="1"/>
  </r>
  <r>
    <x v="3"/>
    <x v="0"/>
    <x v="4"/>
    <s v="3.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m/>
    <m/>
    <s v="X"/>
    <m/>
    <m/>
    <n v="2"/>
    <n v="1"/>
  </r>
  <r>
    <x v="3"/>
    <x v="0"/>
    <x v="2"/>
    <s v="3.1.16"/>
    <x v="60"/>
    <s v="Implementar y promover la certificación de plantaciones de 8,086 pequeños productores, los cuales tienen 30,728.3 ha. La certificación RSPO permite facilitar el acceso a los mercados de los productos derivados de la palma aceitera."/>
    <s v="R"/>
    <x v="1"/>
    <x v="5"/>
    <s v="COMP 3"/>
    <s v="PRODUCCIÓN"/>
    <x v="8"/>
    <s v="C9"/>
    <s v="Hectáreas certificadas"/>
    <n v="0"/>
    <n v="9218.4"/>
    <n v="21509.599999999999"/>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23037887.807999998"/>
    <n v="53755071.551999994"/>
    <n v="4607577.5615999997"/>
    <n v="4607577.5615999997"/>
    <n v="4607577.5615999997"/>
    <n v="4607577.5615999997"/>
    <n v="4607577.5615999997"/>
    <n v="0"/>
    <m/>
    <m/>
    <s v="X"/>
    <m/>
    <s v="RE"/>
    <n v="2"/>
    <n v="1"/>
  </r>
  <r>
    <x v="3"/>
    <x v="1"/>
    <x v="0"/>
    <s v="3.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95.985498947623199"/>
    <n v="47.9927494738116"/>
    <n v="47.9927494738116"/>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95985.4989476232"/>
    <n v="95985.4989476232"/>
    <n v="9598.54989476232"/>
    <n v="14397.82484214348"/>
    <n v="19197.09978952464"/>
    <n v="28795.64968428696"/>
    <n v="23996.3747369058"/>
    <n v="0"/>
    <m/>
    <n v="0"/>
    <m/>
    <m/>
    <s v="RE"/>
    <n v="3"/>
    <n v="0"/>
  </r>
  <r>
    <x v="3"/>
    <x v="1"/>
    <x v="1"/>
    <s v="3.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x v="2"/>
    <s v="COMP 4 "/>
    <s v="PRODUCCIÓN"/>
    <x v="2"/>
    <s v="C17"/>
    <s v="Unidades semilleristas"/>
    <n v="5"/>
    <n v="2.5"/>
    <n v="1.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37500"/>
    <n v="22500"/>
    <n v="7500"/>
    <n v="7500"/>
    <n v="7500"/>
    <n v="7500"/>
    <n v="7500"/>
    <n v="0"/>
    <m/>
    <s v="X"/>
    <m/>
    <m/>
    <s v="RE"/>
    <n v="3"/>
    <n v="1"/>
  </r>
  <r>
    <x v="3"/>
    <x v="1"/>
    <x v="1"/>
    <s v="3.2.3"/>
    <x v="16"/>
    <s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s v="NR"/>
    <x v="1"/>
    <x v="1"/>
    <s v="COMP 1"/>
    <s v="PRODUCCIÓN"/>
    <x v="4"/>
    <s v="C3"/>
    <s v="Productores asistidos"/>
    <n v="985"/>
    <n v="492.5"/>
    <n v="295.5"/>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275800"/>
    <n v="165480"/>
    <n v="55160"/>
    <n v="55160"/>
    <n v="55160"/>
    <n v="55160"/>
    <n v="55160"/>
    <n v="0"/>
    <m/>
    <m/>
    <s v="X"/>
    <m/>
    <s v="RE"/>
    <n v="2"/>
    <n v="1"/>
  </r>
  <r>
    <x v="3"/>
    <x v="1"/>
    <x v="2"/>
    <s v="3.2.4"/>
    <x v="5"/>
    <s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x v="2"/>
    <s v="COMP 4 "/>
    <s v="PRODUCCIÓN"/>
    <x v="3"/>
    <s v="C12"/>
    <s v="Hectáreas reconvertidas"/>
    <n v="1001.4000000000001"/>
    <n v="100.14000000000001"/>
    <n v="200.28000000000003"/>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1502100.0000000002"/>
    <n v="3004200.0000000005"/>
    <n v="300420.00000000006"/>
    <n v="300420.00000000006"/>
    <n v="300420.00000000006"/>
    <n v="300420.00000000006"/>
    <n v="300420.00000000006"/>
    <n v="0"/>
    <m/>
    <m/>
    <s v="X"/>
    <m/>
    <s v="RE"/>
    <n v="3"/>
    <n v="1"/>
  </r>
  <r>
    <x v="3"/>
    <x v="1"/>
    <x v="3"/>
    <s v="3.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x v="3"/>
    <s v="COMP 11"/>
    <s v="PRODUCCIÓN"/>
    <x v="5"/>
    <s v="C6"/>
    <s v="Productores atendidos"/>
    <n v="985"/>
    <n v="295.5"/>
    <n v="19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3176625"/>
    <n v="2117750"/>
    <n v="635325"/>
    <n v="635325"/>
    <n v="635325"/>
    <n v="635325"/>
    <n v="635325"/>
    <n v="0"/>
    <s v="X"/>
    <m/>
    <m/>
    <m/>
    <m/>
    <n v="3"/>
    <n v="1"/>
  </r>
  <r>
    <x v="3"/>
    <x v="1"/>
    <x v="1"/>
    <s v="3.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malizadas"/>
    <n v="0"/>
    <n v="2"/>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1200000"/>
    <n v="1200000"/>
    <n v="240000"/>
    <n v="240000"/>
    <n v="240000"/>
    <n v="240000"/>
    <n v="240000"/>
    <n v="0"/>
    <m/>
    <m/>
    <s v="X"/>
    <m/>
    <m/>
    <n v="3"/>
    <n v="1"/>
  </r>
  <r>
    <x v="3"/>
    <x v="1"/>
    <x v="2"/>
    <s v="3.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
    <s v="NR"/>
    <x v="1"/>
    <x v="2"/>
    <s v="COMP 4 "/>
    <s v="PRODUCCIÓN"/>
    <x v="6"/>
    <s v="C7"/>
    <s v="Planes de negocios ejecutados"/>
    <n v="0"/>
    <n v="2"/>
    <n v="2"/>
    <n v="15000"/>
    <s v="Para el logro de los objetivos, se considera el pago de profesionales para la formulación de los planes de negocios que beneficiarían directamente a los pequeños productores."/>
    <s v="DRASAM"/>
    <n v="150000"/>
    <n v="150000"/>
    <n v="75000"/>
    <n v="0"/>
    <n v="75000"/>
    <n v="0"/>
    <n v="0"/>
    <n v="0"/>
    <s v="X"/>
    <m/>
    <m/>
    <m/>
    <m/>
    <n v="3"/>
    <n v="1"/>
  </r>
  <r>
    <x v="3"/>
    <x v="1"/>
    <x v="4"/>
    <s v="3.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s v="X"/>
    <m/>
    <m/>
    <m/>
    <m/>
    <n v="3"/>
    <n v="1"/>
  </r>
  <r>
    <x v="3"/>
    <x v="2"/>
    <x v="0"/>
    <s v="3.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463.30581406844504"/>
    <n v="231.65290703422252"/>
    <n v="231.652907034222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463305.81406844506"/>
    <n v="463305.81406844506"/>
    <n v="46330.581406844511"/>
    <n v="69495.872110266762"/>
    <n v="92661.162813689021"/>
    <n v="138991.74422053352"/>
    <n v="115826.45351711127"/>
    <n v="0"/>
    <m/>
    <m/>
    <s v="X"/>
    <m/>
    <s v="RE"/>
    <n v="3"/>
    <n v="1"/>
  </r>
  <r>
    <x v="3"/>
    <x v="2"/>
    <x v="1"/>
    <s v="3.3.2"/>
    <x v="18"/>
    <s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x v="1"/>
    <s v="C1"/>
    <s v="Ganaderos asistidos"/>
    <n v="587"/>
    <n v="587"/>
    <n v="587"/>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328720"/>
    <n v="328720"/>
    <n v="65744"/>
    <n v="65744"/>
    <n v="65744"/>
    <n v="65744"/>
    <n v="65744"/>
    <n v="0"/>
    <m/>
    <m/>
    <s v="X"/>
    <m/>
    <s v="RE"/>
    <n v="3"/>
    <n v="1"/>
  </r>
  <r>
    <x v="3"/>
    <x v="2"/>
    <x v="1"/>
    <s v="3.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x v="2"/>
    <s v="C17"/>
    <s v="Hectáreas intervenidas"/>
    <n v="11251"/>
    <n v="2250.2000000000003"/>
    <n v="2250.2000000000003"/>
    <n v="500"/>
    <s v="El costo incluye adquisición de semillas, insumos, fertilizantes, entre otras para la producción de plantas agroforestales o coberturas  verdes."/>
    <s v="DRASAM"/>
    <n v="1125100.0000000002"/>
    <n v="1125100.0000000002"/>
    <n v="225020.00000000006"/>
    <n v="225020.00000000006"/>
    <n v="225020.00000000006"/>
    <n v="225020.00000000006"/>
    <n v="225020.00000000006"/>
    <n v="0"/>
    <m/>
    <m/>
    <s v="X"/>
    <m/>
    <s v="RE"/>
    <n v="2"/>
    <n v="1"/>
  </r>
  <r>
    <x v="3"/>
    <x v="2"/>
    <x v="1"/>
    <s v="3.3.4"/>
    <x v="19"/>
    <s v="Reactivación  , implementación y gestión de las postas de inseminación artificial, importación de material genético (pajillas de semen), capacitación y entrenamiento a inseminadores, transferencia de embriones."/>
    <s v="R"/>
    <x v="1"/>
    <x v="2"/>
    <s v="COMP 4 "/>
    <s v="PRODUCCIÓN"/>
    <x v="2"/>
    <s v="C17"/>
    <s v="Postas Reactivadas"/>
    <n v="0"/>
    <n v="2"/>
    <n v="2"/>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548000"/>
    <n v="548000"/>
    <n v="109600"/>
    <n v="109600"/>
    <n v="109600"/>
    <n v="109600"/>
    <n v="109600"/>
    <n v="0"/>
    <m/>
    <s v="X"/>
    <m/>
    <m/>
    <m/>
    <n v="2"/>
    <n v="1"/>
  </r>
  <r>
    <x v="3"/>
    <x v="2"/>
    <x v="3"/>
    <s v="3.3.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
    <s v="R"/>
    <x v="1"/>
    <x v="3"/>
    <s v="COMP 11"/>
    <s v="PRODUCCIÓN"/>
    <x v="5"/>
    <s v="C6"/>
    <s v="Ganaderos atendidos"/>
    <n v="587"/>
    <n v="176.1"/>
    <n v="117.4"/>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1893075"/>
    <n v="1262050"/>
    <n v="378615"/>
    <n v="378615"/>
    <n v="378615"/>
    <n v="378615"/>
    <n v="378615"/>
    <n v="0"/>
    <s v="X"/>
    <m/>
    <m/>
    <m/>
    <s v="RE"/>
    <n v="3"/>
    <n v="1"/>
  </r>
  <r>
    <x v="3"/>
    <x v="2"/>
    <x v="1"/>
    <s v="3.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talecidas"/>
    <n v="0"/>
    <n v="8"/>
    <n v="8"/>
    <n v="120000"/>
    <s v="Costo implica la contratación de un profesional para realizar las labores de seguimiento y fortalecimiento de las organizaciones de forma permanente por el periodo de 10 años (120 meses)"/>
    <s v="Drasam, Dircetur, Direpro"/>
    <n v="4800000"/>
    <n v="4800000"/>
    <n v="960000"/>
    <n v="960000"/>
    <n v="960000"/>
    <n v="960000"/>
    <n v="960000"/>
    <n v="0"/>
    <m/>
    <m/>
    <s v="X"/>
    <m/>
    <m/>
    <n v="3"/>
    <n v="1"/>
  </r>
  <r>
    <x v="3"/>
    <x v="2"/>
    <x v="2"/>
    <s v="3.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x v="6"/>
    <s v="C7"/>
    <s v="Planes de negocios implementados"/>
    <n v="0"/>
    <n v="8"/>
    <n v="8"/>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6400000"/>
    <n v="6400000"/>
    <n v="1280000"/>
    <n v="1280000"/>
    <n v="1280000"/>
    <n v="1280000"/>
    <n v="1280000"/>
    <n v="0"/>
    <s v="X"/>
    <m/>
    <m/>
    <m/>
    <s v="RE"/>
    <n v="2"/>
    <n v="1"/>
  </r>
  <r>
    <x v="3"/>
    <x v="2"/>
    <x v="4"/>
    <s v="3.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s v="X"/>
    <m/>
    <m/>
    <m/>
    <m/>
    <n v="2"/>
    <n v="1"/>
  </r>
  <r>
    <x v="3"/>
    <x v="12"/>
    <x v="0"/>
    <s v="3.4.8"/>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R"/>
    <x v="0"/>
    <x v="0"/>
    <s v="COMP 8"/>
    <s v="PROTECCIÓN-GOBERNANZA"/>
    <x v="0"/>
    <s v="C5"/>
    <s v="N° Títulos/Contratos otorgados"/>
    <n v="1165.1265258785102"/>
    <n v="582.56326293925508"/>
    <n v="582.56326293925508"/>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165126.5258785102"/>
    <n v="1165126.5258785102"/>
    <n v="116512.65258785103"/>
    <n v="174768.97888177654"/>
    <n v="233025.30517570206"/>
    <n v="349537.95776355307"/>
    <n v="291281.63146962755"/>
    <n v="0"/>
    <m/>
    <m/>
    <s v="X"/>
    <m/>
    <s v="RE"/>
    <n v="3"/>
    <n v="1"/>
  </r>
  <r>
    <x v="3"/>
    <x v="12"/>
    <x v="3"/>
    <s v="3.4.9"/>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x v="3"/>
    <s v="COMP 11"/>
    <s v="PRODUCCIÓN"/>
    <x v="5"/>
    <s v="C6"/>
    <s v="Productores atendidos"/>
    <n v="8086"/>
    <n v="2425.7999999999997"/>
    <n v="1617.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26077349.999999996"/>
    <n v="17384900"/>
    <n v="5215470"/>
    <n v="5215470"/>
    <n v="5215470"/>
    <n v="5215470"/>
    <n v="5215470"/>
    <n v="0"/>
    <m/>
    <m/>
    <s v="X"/>
    <m/>
    <s v="RE"/>
    <n v="3"/>
    <n v="1"/>
  </r>
  <r>
    <x v="3"/>
    <x v="12"/>
    <x v="2"/>
    <s v="3.4.10"/>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x v="5"/>
    <s v="COMP 3"/>
    <s v="PRODUCCIÓN"/>
    <x v="8"/>
    <s v="C9"/>
    <s v="Especialistas"/>
    <n v="0"/>
    <n v="2"/>
    <n v="2"/>
    <n v="3500"/>
    <s v="El costo incluye la contratación de profesionales que se encarguen de identificar propuestas de alianzas comerciales entre productores y empresas privadas."/>
    <s v="Drasam"/>
    <n v="420000"/>
    <n v="420000"/>
    <n v="84000"/>
    <n v="84000"/>
    <n v="84000"/>
    <n v="84000"/>
    <n v="84000"/>
    <n v="0"/>
    <s v="X"/>
    <m/>
    <m/>
    <m/>
    <s v="RE"/>
    <n v="3"/>
    <n v="1"/>
  </r>
  <r>
    <x v="3"/>
    <x v="12"/>
    <x v="2"/>
    <s v="3.4.11"/>
    <x v="63"/>
    <s v="Promover el financiamiento para el desarrollo e implementación de estudios de umbrales de carbono en el suelo y en los bosques."/>
    <s v="NR"/>
    <x v="1"/>
    <x v="5"/>
    <s v="COMP 3"/>
    <s v="PRODUCCIÓN"/>
    <x v="8"/>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0"/>
    <n v="220400"/>
    <n v="220400"/>
    <n v="0"/>
    <n v="0"/>
    <n v="0"/>
    <n v="0"/>
    <s v="X"/>
    <m/>
    <m/>
    <m/>
    <s v="RE"/>
    <n v="3"/>
    <n v="1"/>
  </r>
  <r>
    <x v="3"/>
    <x v="4"/>
    <x v="2"/>
    <s v="3.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x v="5"/>
    <s v="C6"/>
    <s v="Planes de negocios"/>
    <n v="0"/>
    <n v="7"/>
    <n v="10"/>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050000"/>
    <n v="1500000"/>
    <n v="210000"/>
    <n v="210000"/>
    <n v="210000"/>
    <n v="210000"/>
    <n v="210000"/>
    <n v="0"/>
    <s v="X"/>
    <m/>
    <m/>
    <m/>
    <s v="RE"/>
    <n v="3"/>
    <n v="1"/>
  </r>
  <r>
    <x v="3"/>
    <x v="4"/>
    <x v="1"/>
    <s v="3.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x v="1"/>
    <s v="C1"/>
    <s v="Especialistas"/>
    <n v="0"/>
    <n v="2"/>
    <n v="2"/>
    <n v="4000"/>
    <s v="Contratación de especialista y gastos logísticos, pasantías regionales y nacionales para adquisición de know how en materia de turismo rural"/>
    <s v="Dircetur"/>
    <n v="480000"/>
    <n v="480000"/>
    <n v="96000"/>
    <n v="96000"/>
    <n v="96000"/>
    <n v="96000"/>
    <n v="96000"/>
    <n v="0"/>
    <m/>
    <m/>
    <s v="X"/>
    <m/>
    <s v="RE"/>
    <n v="3"/>
    <n v="1"/>
  </r>
  <r>
    <x v="3"/>
    <x v="4"/>
    <x v="2"/>
    <s v="3.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x v="10"/>
    <s v="C8"/>
    <s v="Planes de negocio"/>
    <n v="0"/>
    <n v="4"/>
    <n v="8"/>
    <n v="150000"/>
    <s v="El costo hace referencia al proceso de implementación y funcionamiento de los productos para el desarrollo de  los emprendimientos."/>
    <s v="Dircetur, Agroideas"/>
    <n v="600000"/>
    <n v="1200000"/>
    <n v="120000"/>
    <n v="120000"/>
    <n v="120000"/>
    <n v="120000"/>
    <n v="120000"/>
    <n v="0"/>
    <s v="X"/>
    <m/>
    <m/>
    <m/>
    <s v="RE"/>
    <n v="3"/>
    <n v="1"/>
  </r>
  <r>
    <x v="3"/>
    <x v="4"/>
    <x v="2"/>
    <s v="3.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x v="12"/>
    <s v="C11"/>
    <s v="rutas turísticas promocionados"/>
    <n v="0"/>
    <n v="3"/>
    <n v="3"/>
    <n v="40000"/>
    <s v="Participación en eventos de promoción (ferias regionales y nacionales, Fam Trip), el costo cubrirá gastos logísticos y administrativos de los operadores turísticos identificados "/>
    <s v="Mincetur, Dircetur"/>
    <n v="600000"/>
    <n v="600000"/>
    <n v="120000"/>
    <n v="120000"/>
    <n v="120000"/>
    <n v="120000"/>
    <n v="120000"/>
    <n v="0"/>
    <m/>
    <m/>
    <s v="X"/>
    <m/>
    <s v="RE"/>
    <n v="3"/>
    <n v="1"/>
  </r>
  <r>
    <x v="3"/>
    <x v="5"/>
    <x v="0"/>
    <s v="3.6.1"/>
    <x v="31"/>
    <s v="Realizar un sinceramiento de las concesiones forestales activas e inactivas para excluir o realizar nuevos otorgamientos a empresas que puedan cumplir técnica y económicamente con lo predispuesto en la directiva."/>
    <s v="NR"/>
    <x v="0"/>
    <x v="0"/>
    <s v="COMP 8"/>
    <s v="PROTECCIÓN-GOBERNANZA"/>
    <x v="0"/>
    <s v="C5"/>
    <s v="N° de concesiones "/>
    <n v="0"/>
    <n v="9"/>
    <n v="9"/>
    <n v="30000"/>
    <s v="Gastos operativos y logísticos para la elaboración de expedientes técnicos sustentatorios para los procesos legales y administrativos que conllevan dicho procedimiento."/>
    <s v="ARA, SERFOR, MINAM"/>
    <n v="270000"/>
    <n v="270000"/>
    <n v="54000"/>
    <n v="54000"/>
    <n v="54000"/>
    <n v="54000"/>
    <n v="54000"/>
    <n v="0"/>
    <m/>
    <m/>
    <s v="X"/>
    <m/>
    <m/>
    <n v="3"/>
    <n v="1"/>
  </r>
  <r>
    <x v="3"/>
    <x v="5"/>
    <x v="2"/>
    <s v="3.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x v="3"/>
    <s v="COMP 11"/>
    <s v="PROTECCIÓN"/>
    <x v="5"/>
    <s v="C6"/>
    <s v="Créditos otorgados"/>
    <n v="0"/>
    <n v="3"/>
    <n v="3"/>
    <n v="150000"/>
    <s v="El costo incluye los gastos operativos y logísticos para la extracción de la madera de acuerdo al plan de extracción y la implementación de los planes de manejo. ambiental."/>
    <s v="ARA, SERFOR, MINAM"/>
    <n v="450000"/>
    <n v="450000"/>
    <n v="90000"/>
    <n v="90000"/>
    <n v="90000"/>
    <n v="90000"/>
    <n v="90000"/>
    <n v="0"/>
    <s v="X"/>
    <m/>
    <m/>
    <m/>
    <m/>
    <n v="3"/>
    <n v="1"/>
  </r>
  <r>
    <x v="3"/>
    <x v="5"/>
    <x v="1"/>
    <s v="3.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puedan acceder a este beneficio."/>
    <s v="R"/>
    <x v="0"/>
    <x v="0"/>
    <s v="COMP 8"/>
    <s v="HABILITANTE"/>
    <x v="13"/>
    <s v="C21"/>
    <s v="Concesiones reactivas"/>
    <n v="0"/>
    <n v="9"/>
    <n v="0"/>
    <n v="20000"/>
    <s v="Gastos operativos y logísticos para la elaboración de expedientes técnicos sustentatorios para los procesos legales y administrativos que conllevan dicho procedimiento."/>
    <s v="ARA, SERFOR, MINAM"/>
    <n v="180000"/>
    <n v="0"/>
    <n v="36000"/>
    <n v="36000"/>
    <n v="36000"/>
    <n v="36000"/>
    <n v="36000"/>
    <n v="0"/>
    <m/>
    <m/>
    <s v="X"/>
    <m/>
    <m/>
    <n v="1"/>
    <n v="1"/>
  </r>
  <r>
    <x v="3"/>
    <x v="14"/>
    <x v="4"/>
    <s v="3.7.1"/>
    <x v="69"/>
    <s v="Propuesta de lineamientos para aprovechamiento sostenible de los Recursos Naturales Presentes."/>
    <s v="NR"/>
    <x v="0"/>
    <x v="0"/>
    <s v="COMP 8"/>
    <s v="PROTECCIÓN-GOBERNANZA"/>
    <x v="0"/>
    <s v="C5"/>
    <s v="Lineamientos"/>
    <n v="0"/>
    <n v="1"/>
    <n v="0"/>
    <n v="100000"/>
    <s v="Contratación de equipo de profesionales para la elaboración de lineamientos de uso y demarcación de la ACR."/>
    <s v="Ara, serfor, Sernanp"/>
    <n v="100000"/>
    <n v="0"/>
    <n v="100000"/>
    <n v="0"/>
    <n v="0"/>
    <n v="0"/>
    <n v="0"/>
    <n v="0"/>
    <m/>
    <s v="X"/>
    <m/>
    <m/>
    <s v="RE"/>
    <n v="3"/>
    <n v="1"/>
  </r>
  <r>
    <x v="3"/>
    <x v="14"/>
    <x v="4"/>
    <s v="3.7.2"/>
    <x v="35"/>
    <s v="Implementar con recursos necesarios al ente que administra el área, con la finalidad de aumentar el número de personas (guardaparques) que contribuyan a realizar acciones de control y vigilancia."/>
    <s v="NR"/>
    <x v="2"/>
    <x v="6"/>
    <s v="COMP 5"/>
    <s v="PROTECCIÓN-GOBERNANZA"/>
    <x v="14"/>
    <s v="C4"/>
    <s v="Número de guardaparques"/>
    <n v="0"/>
    <n v="50"/>
    <n v="50"/>
    <n v="2000"/>
    <s v="Contratación a guardaparques para garantizar el control y vigilancia del área otorgada."/>
    <s v="Ara, serfor, Sernanp"/>
    <n v="6000000"/>
    <n v="6000000"/>
    <n v="1200000"/>
    <n v="1200000"/>
    <n v="1200000"/>
    <n v="1200000"/>
    <n v="1200000"/>
    <n v="0"/>
    <m/>
    <s v="X"/>
    <m/>
    <m/>
    <s v="RE"/>
    <n v="3"/>
    <n v="1"/>
  </r>
  <r>
    <x v="3"/>
    <x v="14"/>
    <x v="4"/>
    <s v="3.7.3"/>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x v="6"/>
    <s v="COMP 5"/>
    <s v="PROTECCIÓN-GOBERNANZA"/>
    <x v="14"/>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00000"/>
    <n v="400000"/>
    <n v="400000"/>
    <n v="400000"/>
    <n v="400000"/>
    <n v="400000"/>
    <n v="0"/>
    <m/>
    <s v="X"/>
    <m/>
    <m/>
    <s v="RE"/>
    <n v="3"/>
    <n v="1"/>
  </r>
  <r>
    <x v="3"/>
    <x v="14"/>
    <x v="2"/>
    <s v="3.7.4"/>
    <x v="66"/>
    <s v="Encuentros de productores con la finalidad de promocionar los diferentes sistemas productivos sostenibles a ser replicados en las comunidades."/>
    <s v="NR"/>
    <x v="2"/>
    <x v="7"/>
    <s v="COMP 6"/>
    <s v="PROTECCIÓN"/>
    <x v="12"/>
    <s v="C11"/>
    <s v="Encuentros"/>
    <n v="0"/>
    <n v="50"/>
    <n v="50"/>
    <n v="2500"/>
    <s v="El costo hace referencia a los gastos de pasajes, alimentación y otros para un grupo de 20 productores por pasantía."/>
    <s v="Drasam"/>
    <n v="625000"/>
    <n v="625000"/>
    <n v="125000"/>
    <n v="125000"/>
    <n v="125000"/>
    <n v="125000"/>
    <n v="125000"/>
    <n v="0"/>
    <m/>
    <m/>
    <s v="X"/>
    <m/>
    <m/>
    <n v="3"/>
    <n v="1"/>
  </r>
  <r>
    <x v="3"/>
    <x v="14"/>
    <x v="2"/>
    <s v="3.7.5"/>
    <x v="65"/>
    <s v="Campañas de promoción y difusión en el ámbito regional y nacional de los circuitos turísticos que existen en la zona de amortiguamiento."/>
    <s v="NR"/>
    <x v="2"/>
    <x v="7"/>
    <s v="COMP 6"/>
    <s v="PROTECCIÓN"/>
    <x v="12"/>
    <s v="C11"/>
    <s v="Campañas de promoción"/>
    <n v="0"/>
    <n v="10"/>
    <n v="10"/>
    <n v="4000"/>
    <s v="Campañas de promoción que incluye, impresión de material de difusión, publicidad radial, televisiva y escrita."/>
    <s v="Dircetur, Mincetur"/>
    <n v="200000"/>
    <n v="200000"/>
    <n v="40000"/>
    <n v="40000"/>
    <n v="40000"/>
    <n v="40000"/>
    <n v="40000"/>
    <n v="0"/>
    <m/>
    <m/>
    <s v="X"/>
    <m/>
    <m/>
    <n v="3"/>
    <n v="1"/>
  </r>
  <r>
    <x v="3"/>
    <x v="14"/>
    <x v="1"/>
    <s v="3.7.6"/>
    <x v="64"/>
    <s v="Actualización y elaboración de planes de gestión comunal de las localidades acentuadas en las zonas de amortiguamiento con la finalidad de orientar adecuadamente la implementación y ejecución de proyectos."/>
    <s v="NR"/>
    <x v="0"/>
    <x v="8"/>
    <s v="COMP 9"/>
    <s v="HABILITANTE"/>
    <x v="15"/>
    <s v="C10"/>
    <s v="Planes de gestión comunal"/>
    <n v="0"/>
    <n v="12"/>
    <n v="20"/>
    <n v="20000"/>
    <s v="Contratación de servicios profesionales para la elaboración de los planes de gestión comunal."/>
    <s v="Dircetur, Mincetur"/>
    <n v="240000"/>
    <n v="400000"/>
    <n v="48000"/>
    <n v="48000"/>
    <n v="48000"/>
    <n v="48000"/>
    <n v="48000"/>
    <n v="0"/>
    <m/>
    <m/>
    <s v="X"/>
    <m/>
    <m/>
    <n v="3"/>
    <n v="1"/>
  </r>
  <r>
    <x v="3"/>
    <x v="14"/>
    <x v="1"/>
    <s v="3.7.7"/>
    <x v="67"/>
    <s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x v="6"/>
    <s v="COMP 5"/>
    <s v="PROTECCIÓN"/>
    <x v="9"/>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000000"/>
    <n v="9400000"/>
    <n v="9400000"/>
    <n v="9400000"/>
    <n v="9400000"/>
    <n v="9400000"/>
    <n v="0"/>
    <m/>
    <m/>
    <s v="X"/>
    <m/>
    <s v="RE"/>
    <n v="3"/>
    <n v="1"/>
  </r>
  <r>
    <x v="3"/>
    <x v="14"/>
    <x v="3"/>
    <s v="3.7.8"/>
    <x v="28"/>
    <s v="Implementación de planes de negocios para  la Diversificación y consolidación de la oferta turística, de esta manera promover el acondicionamiento y la gestión técnica en torno de los recursos y atractivos priorizados."/>
    <s v="NR"/>
    <x v="2"/>
    <x v="3"/>
    <s v="COMP 11"/>
    <s v="PROTECCIÓN"/>
    <x v="5"/>
    <s v="C6"/>
    <s v="Planes de negocios"/>
    <n v="0"/>
    <n v="10"/>
    <n v="1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1000000"/>
    <n v="1000000"/>
    <n v="200000"/>
    <n v="200000"/>
    <n v="200000"/>
    <n v="200000"/>
    <n v="200000"/>
    <n v="0"/>
    <s v="X"/>
    <m/>
    <m/>
    <m/>
    <s v="RE"/>
    <n v="3"/>
    <n v="1"/>
  </r>
  <r>
    <x v="3"/>
    <x v="9"/>
    <x v="0"/>
    <s v="3.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x v="0"/>
    <s v="C5"/>
    <s v="Ha. con categoría territorial asignada"/>
    <n v="37092.698274879796"/>
    <n v="18546.349137439898"/>
    <n v="18546.349137439898"/>
    <n v="15"/>
    <s v="Para la implementación de las intervención será mecesario la contratación de especialistas para realizar las acciones que comtemplen dicha actividad. Gastos logísticos y trámites documentarios."/>
    <s v="GRSM - DEGT"/>
    <n v="278195.23706159845"/>
    <n v="278195.23706159845"/>
    <n v="55639.047412319691"/>
    <n v="55639.047412319691"/>
    <n v="55639.047412319691"/>
    <n v="55639.047412319691"/>
    <n v="55639.047412319691"/>
    <n v="0"/>
    <m/>
    <s v="X"/>
    <m/>
    <m/>
    <m/>
    <n v="3"/>
    <n v="1"/>
  </r>
  <r>
    <x v="3"/>
    <x v="9"/>
    <x v="4"/>
    <s v="3.8.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80"/>
    <n v="80"/>
    <n v="150"/>
    <s v="Considera materiales de capacitación, alimentación a capacitados en el área cercana a su comunidad y gastos de capacitadores"/>
    <s v="GRSM - DEGT"/>
    <n v="12000"/>
    <n v="12000"/>
    <n v="12000"/>
    <n v="0"/>
    <n v="0"/>
    <n v="0"/>
    <n v="0"/>
    <n v="0"/>
    <m/>
    <s v="X"/>
    <m/>
    <m/>
    <m/>
    <n v="2"/>
    <n v="1"/>
  </r>
  <r>
    <x v="3"/>
    <x v="9"/>
    <x v="4"/>
    <s v="3.8.3"/>
    <x v="42"/>
    <s v="Dependiendo de la categoría forestal a ser aplicada, se realizará un plan/declaración acorde a la unidad, en el marco de la ley forestal y fauna silvestre N° 29763."/>
    <s v="NR"/>
    <x v="0"/>
    <x v="0"/>
    <s v="COMP 8"/>
    <s v="PROTECCIÓN-GOBERNANZA"/>
    <x v="0"/>
    <s v="C5"/>
    <s v="N° Planes / Declaraciones elaborados"/>
    <n v="0"/>
    <n v="8"/>
    <n v="8"/>
    <n v="10000"/>
    <s v="Se considera la contratación de profesionales para la elaboración de los expedientes y/o declaraciones identificadas en los diferentes procesos."/>
    <s v="GRSM - DEGT"/>
    <n v="80000"/>
    <n v="80000"/>
    <n v="24000"/>
    <n v="24000"/>
    <n v="32000"/>
    <n v="0"/>
    <n v="0"/>
    <n v="0"/>
    <m/>
    <s v="X"/>
    <m/>
    <m/>
    <m/>
    <n v="2"/>
    <n v="1"/>
  </r>
  <r>
    <x v="3"/>
    <x v="9"/>
    <x v="0"/>
    <s v="3.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37092.698274879796"/>
    <n v="18546.349137439898"/>
    <n v="18546.349137439898"/>
    <n v="1"/>
    <s v="Contratación de dos profesioales para agilizar procesos con sunarp."/>
    <s v="GRSM - DEGT"/>
    <n v="18546.349137439898"/>
    <n v="18546.349137439898"/>
    <n v="3709.2698274879799"/>
    <n v="3709.2698274879799"/>
    <n v="3709.2698274879799"/>
    <n v="3709.2698274879799"/>
    <n v="3709.2698274879799"/>
    <n v="0"/>
    <m/>
    <s v="X"/>
    <m/>
    <m/>
    <m/>
    <n v="2"/>
    <n v="1"/>
  </r>
  <r>
    <x v="3"/>
    <x v="9"/>
    <x v="3"/>
    <s v="3.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x v="0"/>
    <s v="C5"/>
    <s v="Hectáreas restauradas"/>
    <n v="0"/>
    <n v="4281.2943442937603"/>
    <n v="0"/>
    <n v="500"/>
    <s v="El costo incluye la restauración de una hectárea, esta actividad se desarrollara de acuerdo a la metodología propuesta por el ARA, en coordinación con los productores seleccionados."/>
    <s v="ARA"/>
    <n v="2140647.1721468801"/>
    <n v="0"/>
    <n v="2140647.1721468801"/>
    <n v="0"/>
    <n v="0"/>
    <n v="0"/>
    <n v="0"/>
    <n v="0"/>
    <m/>
    <s v="X"/>
    <m/>
    <m/>
    <m/>
    <n v="3"/>
    <n v="1"/>
  </r>
  <r>
    <x v="3"/>
    <x v="10"/>
    <x v="1"/>
    <s v="3.9.1"/>
    <x v="70"/>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10"/>
    <s v="HABILITANTE"/>
    <x v="16"/>
    <s v="C18"/>
    <s v="Acuerdos con rondas campesinas"/>
    <n v="0"/>
    <n v="19"/>
    <n v="19"/>
    <n v="2500"/>
    <s v="Reuniones con los diferentes actores involucrados y la sociedad civil para llegar a acuerdos de no deforestación, lo cual incluye  gastos logísticos en general."/>
    <s v="GRIS"/>
    <n v="237500"/>
    <n v="237500"/>
    <n v="47500"/>
    <n v="47500"/>
    <n v="47500"/>
    <n v="47500"/>
    <n v="47500"/>
    <n v="0"/>
    <m/>
    <m/>
    <s v="X"/>
    <m/>
    <s v="RE"/>
    <n v="3"/>
    <n v="1"/>
  </r>
  <r>
    <x v="3"/>
    <x v="10"/>
    <x v="1"/>
    <s v="3.9.2"/>
    <x v="71"/>
    <s v="Los cultivos alternativos promovidos por los programas de cooperación deberán considerar la no ampliación de la frontera agrícola, la no deforestación de bosques primarios y las intervenciones transversales de recuperación de áreas. "/>
    <s v="NR"/>
    <x v="1"/>
    <x v="1"/>
    <s v="COMP 1"/>
    <s v="HABILITANTE"/>
    <x v="16"/>
    <s v="C18"/>
    <s v="Reuniones de coordinación"/>
    <n v="0"/>
    <n v="5"/>
    <n v="5"/>
    <n v="1800"/>
    <s v="Costo para cubrir los gastos logísticos para las reuniones con los diferentes actores involucrados y la sociedad civil para llegar a acuerdos para la implementación de proyectos agroforestales."/>
    <s v="Drasam"/>
    <n v="45000"/>
    <n v="45000"/>
    <n v="9000"/>
    <n v="9000"/>
    <n v="9000"/>
    <n v="9000"/>
    <n v="9000"/>
    <n v="0"/>
    <m/>
    <m/>
    <s v="X"/>
    <m/>
    <s v="RE"/>
    <n v="1"/>
    <n v="1"/>
  </r>
  <r>
    <x v="3"/>
    <x v="10"/>
    <x v="1"/>
    <s v="3.9.3"/>
    <x v="48"/>
    <s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x v="9"/>
    <s v="COMP 10"/>
    <s v="HABILITANTE"/>
    <x v="16"/>
    <s v="C18"/>
    <s v="Kilómetros mejorados"/>
    <n v="479"/>
    <n v="47.900000000000006"/>
    <n v="47.900000000000006"/>
    <n v="800000"/>
    <s v="Costo promedio de por km2 de vía mejorada o asfaltada"/>
    <s v="DRTyTC"/>
    <n v="38320000.000000007"/>
    <n v="38320000.000000007"/>
    <n v="7664000.0000000019"/>
    <n v="7664000.0000000019"/>
    <n v="7664000.0000000019"/>
    <n v="7664000.0000000019"/>
    <n v="7664000.0000000019"/>
    <n v="0"/>
    <s v="X"/>
    <m/>
    <m/>
    <m/>
    <m/>
    <n v="2"/>
    <n v="1"/>
  </r>
  <r>
    <x v="3"/>
    <x v="10"/>
    <x v="1"/>
    <s v="3.9.4"/>
    <x v="49"/>
    <s v="Ejecución de proyectos de restauración en las 663 Ha con probabilidad alta y muy alta para desarrollar esta actividad; se cuenta con 401 ha que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x v="6"/>
    <s v="COMP 5"/>
    <s v="PROTECCIÓN"/>
    <x v="16"/>
    <s v="C18"/>
    <s v="Hectáreas restauradas"/>
    <n v="3201.8"/>
    <n v="800.45"/>
    <n v="640.36000000000013"/>
    <n v="500"/>
    <s v="El costo incluye la restauración de una hectárea, esta actividad se desarrollara de acuerdo a la metodología propuesta por el ARA, en coordinación con los productores seleccionados."/>
    <s v="ARA, SERFOR"/>
    <n v="400225"/>
    <n v="320180.00000000006"/>
    <n v="80045"/>
    <n v="80045"/>
    <n v="80045"/>
    <n v="80045"/>
    <n v="80045"/>
    <n v="0"/>
    <m/>
    <m/>
    <s v="X"/>
    <m/>
    <s v="RE"/>
    <n v="3"/>
    <n v="1"/>
  </r>
  <r>
    <x v="3"/>
    <x v="10"/>
    <x v="1"/>
    <s v="3.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x v="8"/>
    <s v="COMP 9"/>
    <s v="INCLUSION"/>
    <x v="16"/>
    <s v="C18"/>
    <s v="Centros de salud y colegios implementados"/>
    <n v="0"/>
    <n v="7"/>
    <n v="5"/>
    <n v="3500000"/>
    <s v="Construcción e implementación de centros educativos y postas medicas"/>
    <s v="DRTyTC"/>
    <n v="24500000"/>
    <n v="17500000"/>
    <n v="4900000"/>
    <n v="4900000"/>
    <n v="4900000"/>
    <n v="4900000"/>
    <n v="4900000"/>
    <n v="0"/>
    <m/>
    <s v="X"/>
    <m/>
    <m/>
    <s v="RE"/>
    <n v="3"/>
    <n v="1"/>
  </r>
  <r>
    <x v="3"/>
    <x v="10"/>
    <x v="1"/>
    <s v="3.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x v="8"/>
    <s v="COMP 9"/>
    <s v="INCLUSION"/>
    <x v="16"/>
    <s v="C18"/>
    <s v="N° Campañas"/>
    <n v="0"/>
    <n v="149.11500000000001"/>
    <n v="149.11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727875"/>
    <n v="3727875"/>
    <n v="745575"/>
    <n v="745575"/>
    <n v="745575"/>
    <n v="745575"/>
    <n v="745575"/>
    <n v="0"/>
    <m/>
    <s v="X"/>
    <m/>
    <m/>
    <s v="RE"/>
    <n v="3"/>
    <n v="1"/>
  </r>
  <r>
    <x v="3"/>
    <x v="10"/>
    <x v="1"/>
    <s v="3.9.7"/>
    <x v="52"/>
    <s v="Promoción al acceso de la marca con los productores que cumplan los criterios de elegibilidad solicitados por el programa, como una estrategia de ubicar mercados diferenciados para los productos provenientes de estas zonas."/>
    <s v="NR"/>
    <x v="1"/>
    <x v="5"/>
    <s v="COMP 3"/>
    <s v="PRODUCCIÓN"/>
    <x v="16"/>
    <s v="C18"/>
    <s v="Organizaciones que acceden a la marca"/>
    <n v="0"/>
    <n v="25"/>
    <n v="20"/>
    <n v="3000"/>
    <s v="El costo incluye: Una inspección anual anunciada,  elaboración de informe de inspección, administración y comunicación, certificación según los estándares de la marca."/>
    <s v="ARA"/>
    <n v="375000"/>
    <n v="300000"/>
    <n v="75000"/>
    <n v="75000"/>
    <n v="75000"/>
    <n v="75000"/>
    <n v="75000"/>
    <n v="0"/>
    <m/>
    <m/>
    <s v="X"/>
    <m/>
    <m/>
    <n v="3"/>
    <n v="1"/>
  </r>
  <r>
    <x v="4"/>
    <x v="15"/>
    <x v="1"/>
    <n v="1"/>
    <x v="72"/>
    <s v="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
    <s v="NR"/>
    <x v="2"/>
    <x v="6"/>
    <s v="COMP 10"/>
    <s v="HABILITANTE"/>
    <x v="18"/>
    <s v="C19"/>
    <s v="Plan de Ordenamiento Agroteritorial implementado"/>
    <n v="1"/>
    <n v="1"/>
    <n v="0"/>
    <n v="9082000"/>
    <s v="Implementación de las actividades referidas al proyecto ZAE, asi mismo la contratación de dos profesionales para realizar el monitoreo de las estaciones metereologicas; seconsidera la compra de 77 estaciones para ser instaladas en cada distrito de la región, tambien se costea los gastos de mantenimiento de dichos equipos.  "/>
    <s v="Drasam"/>
    <n v="9082000"/>
    <n v="1635000"/>
    <n v="3374000"/>
    <n v="2527000"/>
    <n v="2527000"/>
    <n v="327000"/>
    <n v="327000"/>
    <n v="0"/>
    <m/>
    <s v="X"/>
    <m/>
    <m/>
    <s v="RE"/>
    <n v="3"/>
    <n v="1"/>
  </r>
  <r>
    <x v="4"/>
    <x v="15"/>
    <x v="1"/>
    <n v="2"/>
    <x v="73"/>
    <s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
    <s v="NR"/>
    <x v="2"/>
    <x v="6"/>
    <s v="COMP 10"/>
    <s v="HABILITANTE"/>
    <x v="18"/>
    <s v="C19"/>
    <s v="Especialistas"/>
    <n v="395356.07"/>
    <n v="395356.07"/>
    <m/>
    <n v="16"/>
    <s v="Para la implementación de las intervención será mecesario la contratación de especialistas para realizar las acciones que comtemplen dicha actividad. Gastos logísticos y trámites documentarios. Contratación de dos profesioales para agilizar procesos con sunarp."/>
    <s v="ARA"/>
    <n v="6325697.1200000001"/>
    <n v="6325697.1200000001"/>
    <n v="1265139.4240000001"/>
    <n v="1265139.4240000001"/>
    <n v="1265139.4240000001"/>
    <n v="1265139.4240000001"/>
    <n v="1265139.4240000001"/>
    <n v="0"/>
    <m/>
    <s v="X"/>
    <m/>
    <m/>
    <m/>
    <n v="3"/>
    <n v="1"/>
  </r>
  <r>
    <x v="4"/>
    <x v="15"/>
    <x v="1"/>
    <n v="3"/>
    <x v="74"/>
    <s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
    <s v="NR"/>
    <x v="1"/>
    <x v="5"/>
    <s v="COMP 3"/>
    <s v="HABILITANTE"/>
    <x v="18"/>
    <s v="C19"/>
    <s v="Proyectos viables"/>
    <n v="10"/>
    <n v="15"/>
    <m/>
    <n v="6000000"/>
    <s v="El costo es referencial para un proyecto agropecuario de acuerdo a las cadenas priorizadas, donde se consideran componentes como Asistencia Técnica, Fortalecimiento organizacional, promoción de mercados sostenibles, manejo ambiental, etc."/>
    <s v="Drasam, ARA, Dircetur, Direpro, GRDE"/>
    <n v="60000000"/>
    <n v="90000000"/>
    <n v="12000000"/>
    <n v="12000000"/>
    <n v="12000000"/>
    <n v="12000000"/>
    <n v="12000000"/>
    <n v="0"/>
    <m/>
    <m/>
    <s v="X"/>
    <m/>
    <s v="RE"/>
    <n v="3"/>
    <n v="1"/>
  </r>
  <r>
    <x v="4"/>
    <x v="15"/>
    <x v="2"/>
    <n v="4"/>
    <x v="75"/>
    <s v="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
    <s v="FR"/>
    <x v="2"/>
    <x v="6"/>
    <s v="COMP 10"/>
    <s v="HABILITANTE"/>
    <x v="18"/>
    <s v="C19"/>
    <s v="Módulos implementados."/>
    <n v="10"/>
    <n v="10"/>
    <m/>
    <n v="200000"/>
    <s v="Implementación de maquinaria y equipos necesarios para el proceso y transformación de la madera."/>
    <s v="Ara, Serfor"/>
    <n v="2000000"/>
    <n v="2000000"/>
    <n v="400000"/>
    <n v="400000"/>
    <n v="400000"/>
    <n v="400000"/>
    <n v="400000"/>
    <n v="0"/>
    <s v="X"/>
    <m/>
    <m/>
    <m/>
    <s v="RE"/>
    <n v="2"/>
    <n v="1"/>
  </r>
  <r>
    <x v="4"/>
    <x v="15"/>
    <x v="3"/>
    <n v="5"/>
    <x v="76"/>
    <s v="Implementar un programa de incentivos que podrán ser de asistencia técnica, ejecución de proyectos sociales u otras acciones que permitan mejorar las condiciones de vida de los productores que realicen acciones de restauración."/>
    <s v="NR"/>
    <x v="2"/>
    <x v="6"/>
    <s v="COMP 5"/>
    <s v="HABILITANTE"/>
    <x v="18"/>
    <s v="C19"/>
    <s v="Número de Organizaciones beneficiarias"/>
    <n v="30"/>
    <n v="20"/>
    <m/>
    <n v="100000"/>
    <s v="Presupuesto que servirá para cubrir los gastos de los incentivos que se determinaran de acuerdo a la evaluación de los criterios correspondientes para los procesos de restauración."/>
    <s v="Drasam, ARA"/>
    <n v="3000000"/>
    <n v="2000000"/>
    <n v="600000"/>
    <n v="600000"/>
    <n v="600000"/>
    <n v="600000"/>
    <n v="600000"/>
    <n v="0"/>
    <m/>
    <m/>
    <s v="X"/>
    <m/>
    <s v="RE"/>
    <n v="3"/>
    <n v="1"/>
  </r>
  <r>
    <x v="4"/>
    <x v="15"/>
    <x v="3"/>
    <n v="6"/>
    <x v="77"/>
    <s v="Implementar los lineamientos finales para poner en vigencia el fondo de garantía de 5 millones de soles, para beneficiar a productores agropecuarios forestales organizados y no organizados que cumplan los atributos de la Marca certificadora “San Martín Región” y los propios requisitos que se establezcan en la directiva del fondo el cual será elaborado por el Gobierno Regional de San Martín en coordinación con la institución que administrará dichos fondos (COFIDE). Dentro de la directiva para la implementación del FONDESAM, se incorporará los mecanismos de tasas preferenciales para los créditos orientados a la innovación (Hoja de ruta del FONDESAM con el beneficiario). a financiar impactos en la cadena de producción."/>
    <s v="NR"/>
    <x v="1"/>
    <x v="3"/>
    <s v="COMP 11"/>
    <s v="HABILITANTE"/>
    <x v="18"/>
    <s v="C19"/>
    <s v="Consultoría"/>
    <n v="1"/>
    <n v="1"/>
    <n v="0"/>
    <n v="100000"/>
    <s v="Ejecución de informes de sustento para la Gerencia General del GRSM, consolidación del proceso de modificación del convenio entre el GRSM y COFIDE. Gastos logísticos, administrativos y contratación de especialistas y asesores para culminar el proceso. "/>
    <s v="GRDE"/>
    <n v="100000"/>
    <n v="0"/>
    <n v="100000"/>
    <n v="0"/>
    <n v="0"/>
    <n v="0"/>
    <n v="0"/>
    <n v="0"/>
    <m/>
    <m/>
    <s v="X"/>
    <m/>
    <s v="RE"/>
    <n v="3"/>
    <n v="1"/>
  </r>
  <r>
    <x v="4"/>
    <x v="15"/>
    <x v="1"/>
    <n v="7"/>
    <x v="78"/>
    <s v="Implementar un programa para productores líderes, contemplando módulos como: Educación Financiera dirigido a pequeños y medianos productores del sector rural, Costos de producción, Productos y servicios financieros, ahorro, capital semilla,  endeudamiento, gestion empresarial, para mejorar la prodcutividad y competitividad. "/>
    <s v="NR"/>
    <x v="1"/>
    <x v="4"/>
    <s v="COMP 2"/>
    <s v="HABILITANTE"/>
    <x v="18"/>
    <s v="C19"/>
    <s v="Especialistas"/>
    <n v="20"/>
    <n v="20"/>
    <m/>
    <n v="4000"/>
    <s v="Contratación de profesionales a nivel regional para ejecutar acciones de enseñanza financiera a los productores agropecuarios organizados y no organizados."/>
    <s v="GRDE"/>
    <n v="4800000"/>
    <n v="4800000"/>
    <n v="960000"/>
    <n v="960000"/>
    <n v="960000"/>
    <n v="960000"/>
    <n v="960000"/>
    <n v="0"/>
    <m/>
    <m/>
    <s v="X"/>
    <m/>
    <s v="RE"/>
    <n v="2"/>
    <n v="1"/>
  </r>
  <r>
    <x v="4"/>
    <x v="15"/>
    <x v="1"/>
    <n v="8"/>
    <x v="79"/>
    <s v="Implementar los lineamientos finales de la Marca Certificadora &quot;San Martín Región&quot;, asignándole un presupuesto y equipo técnico para poner en vigencia esta herramienta que busca facilitar el acceso a mercados a empresas de los diferentes sectores (agrícola, pecuario, acuícola, apícola, biocomercio, y otros) de la región. Promoción y articulación a mercados diferenciados y  nichos de mercados de alto valor con atributos  de la marca San Martín ( Bajo en emisiones, no vinculado a actividades ilegales, Innovadores y con estándares de calidad). La búsqueda y diversificación de mercados a través de misiones comerciales nacionales e internacionales, con estrategias difernciadas para productos tradicionalmente vinculados a la deforestación. Ejemplo Palma Aceitera."/>
    <s v="NR"/>
    <x v="1"/>
    <x v="5"/>
    <s v="COMP 10"/>
    <s v="HABILITANTE"/>
    <x v="18"/>
    <s v="C19"/>
    <s v="Consultoría"/>
    <n v="1"/>
    <n v="1"/>
    <n v="0"/>
    <n v="100000"/>
    <s v="Contratación de profesionales para culminar la descripción de los atributos y criterios priorizados, que permitan la operatividad de la marca certificadora &quot;San Martín Región&quot;."/>
    <s v="GRDE, Dircetur"/>
    <n v="100000"/>
    <n v="0"/>
    <n v="100000"/>
    <n v="0"/>
    <n v="0"/>
    <n v="0"/>
    <n v="0"/>
    <n v="0"/>
    <s v="X"/>
    <m/>
    <m/>
    <m/>
    <m/>
    <n v="2"/>
    <n v="1"/>
  </r>
  <r>
    <x v="4"/>
    <x v="15"/>
    <x v="1"/>
    <n v="9"/>
    <x v="80"/>
    <s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
    <s v="NR"/>
    <x v="0"/>
    <x v="8"/>
    <s v="COMP 10"/>
    <s v="HABILITANTE"/>
    <x v="18"/>
    <s v="C19"/>
    <s v="Centros Informativos implementados"/>
    <n v="50"/>
    <n v="50"/>
    <m/>
    <n v="5000"/>
    <s v="Se contratará personal adecuado para brindar orientación a la población en situación de vulnerabilidad, así mismo la implementación de los centros informativos con material divulgativo y promociones radiales. "/>
    <s v="GRDS"/>
    <n v="1250000"/>
    <n v="1250000"/>
    <n v="250000"/>
    <n v="250000"/>
    <n v="250000"/>
    <n v="250000"/>
    <n v="250000"/>
    <n v="0"/>
    <m/>
    <s v="X"/>
    <m/>
    <m/>
    <s v="RE"/>
    <n v="2"/>
    <n v="1"/>
  </r>
  <r>
    <x v="4"/>
    <x v="15"/>
    <x v="2"/>
    <n v="10"/>
    <x v="81"/>
    <s v="Financiamiento de emprendimientos rurales juveniles para incentivar el empalme generacional y el empleo formal juvenil (incluye fondo de capital semilla para emprendimientos). Promover y financiar emprendimientos orientados a la reducción de emisiones."/>
    <s v="NR"/>
    <x v="2"/>
    <x v="7"/>
    <s v="COMP 6"/>
    <s v="HABILITANTE"/>
    <x v="18"/>
    <s v="C19"/>
    <s v="Planes de negocios"/>
    <n v="250"/>
    <n v="250"/>
    <m/>
    <n v="30000"/>
    <s v="El presupuesto hace referencia a la implementación de planes de negocios agropecuarios, para cubrir gastos como, adquisición de semillas, materiales o equipos que hagan posible el desarrollo de los emprendimientos rurales juveniles."/>
    <s v="GRDE, ARA, Proyectos especiales"/>
    <n v="7500000"/>
    <n v="7500000"/>
    <n v="1500000"/>
    <n v="1500000"/>
    <n v="1500000"/>
    <n v="1500000"/>
    <n v="1500000"/>
    <n v="0"/>
    <s v="X"/>
    <m/>
    <m/>
    <m/>
    <s v="RE"/>
    <n v="2"/>
    <n v="1"/>
  </r>
  <r>
    <x v="4"/>
    <x v="15"/>
    <x v="2"/>
    <n v="11"/>
    <x v="82"/>
    <s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_x000a_El programa debe regirse según las normas vigentes para  disminuir la informalidad en el sector, así mismo lograr la satisfacción plena de los turistas que visitan la región."/>
    <s v="NR"/>
    <x v="2"/>
    <x v="7"/>
    <s v="COMP 6"/>
    <s v="HABILITANTE"/>
    <x v="18"/>
    <s v="C19"/>
    <s v="Programas  de capacitación"/>
    <n v="50"/>
    <n v="50"/>
    <m/>
    <n v="62000"/>
    <s v="El costo atribuye al fortalecimiento de capacidades de gestión de los diferentes prestadores de servicios turísticos, asi como la implementación de un diplomado para el fortalecimiento de capacidades del personal. "/>
    <s v="GRSM, DIRCETUR"/>
    <n v="560000"/>
    <n v="500000"/>
    <n v="160000"/>
    <n v="100000"/>
    <n v="100000"/>
    <n v="100000"/>
    <n v="100000"/>
    <n v="0"/>
    <m/>
    <m/>
    <s v="X"/>
    <m/>
    <m/>
    <n v="2"/>
    <n v="1"/>
  </r>
  <r>
    <x v="4"/>
    <x v="15"/>
    <x v="1"/>
    <n v="12"/>
    <x v="83"/>
    <s v="Promover el desarrollo comunitario mediante la identificación y cuantificación de recursos disponibles en una determinada jurisdicción, promoviendo la participación activa de todos los actores clave y su articulación a los planes de desarrollo local."/>
    <s v="NR"/>
    <x v="0"/>
    <x v="8"/>
    <s v="COMP 9"/>
    <s v="HABILITANTE"/>
    <x v="18"/>
    <s v="C19"/>
    <s v="PDC"/>
    <n v="100"/>
    <n v="100"/>
    <m/>
    <n v="20000"/>
    <s v="Contratación de servicios profesionales para la elaboración de los planes de desarrollo comunitario."/>
    <s v="GRSM, DRASAM"/>
    <n v="2000000"/>
    <n v="2000000"/>
    <n v="400000"/>
    <n v="400000"/>
    <n v="400000"/>
    <n v="400000"/>
    <n v="400000"/>
    <n v="0"/>
    <m/>
    <s v="X"/>
    <m/>
    <m/>
    <m/>
    <n v="2"/>
    <n v="1"/>
  </r>
  <r>
    <x v="4"/>
    <x v="15"/>
    <x v="1"/>
    <n v="13"/>
    <x v="84"/>
    <s v="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
    <s v="NR"/>
    <x v="1"/>
    <x v="2"/>
    <s v="COMP 4 "/>
    <s v="HABILITANTE"/>
    <x v="18"/>
    <s v="C19"/>
    <s v="Nº de proyectos ejecutados alineados a las prioridades de investigación e innovación regionales"/>
    <n v="10"/>
    <n v="10"/>
    <m/>
    <n v="72000"/>
    <s v="El costo va estar orientado a tener un equipo técnico especializado que apoye o promueva la generación de estas directivas del PMI, también la adecuación de los requisitos de los programas nacionales con la incorporación de las opiniones favorables del CTRIA y CGRA para ser elegibles; y por último la asistencia técnica para obtención y ejecución de la mayor cantidad de proyectos (de cualquier fuente), alineados a las prioridades regionales"/>
    <n v="0"/>
    <n v="720000"/>
    <n v="720000"/>
    <n v="144000"/>
    <n v="144000"/>
    <n v="144000"/>
    <n v="144000"/>
    <n v="144000"/>
    <n v="0"/>
    <m/>
    <s v="X"/>
    <m/>
    <m/>
    <m/>
    <n v="3"/>
    <n v="1"/>
  </r>
  <r>
    <x v="4"/>
    <x v="15"/>
    <x v="2"/>
    <n v="14"/>
    <x v="85"/>
    <s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_x000a_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10"/>
    <s v="HABILITANTE"/>
    <x v="18"/>
    <s v="C19"/>
    <s v="Planes de negocios"/>
    <n v="25"/>
    <n v="25"/>
    <m/>
    <n v="80000"/>
    <s v="El presupuesto hace referencia a la implementación de planes de negocios agroindustriales para cubrir gastos y costos de implementación. Se debe desarrollar los lineamientos para orientar adecuadamente los recursos."/>
    <s v="DIREPRO"/>
    <n v="2000000"/>
    <n v="2000000"/>
    <n v="400000"/>
    <n v="400000"/>
    <n v="400000"/>
    <n v="400000"/>
    <n v="400000"/>
    <n v="0"/>
    <s v="X"/>
    <m/>
    <m/>
    <m/>
    <m/>
    <n v="3"/>
    <n v="1"/>
  </r>
  <r>
    <x v="4"/>
    <x v="15"/>
    <x v="2"/>
    <n v="15"/>
    <x v="86"/>
    <s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
    <s v="NR"/>
    <x v="1"/>
    <x v="5"/>
    <s v="COMP 3"/>
    <s v="HABILITANTE"/>
    <x v="18"/>
    <s v="C19"/>
    <s v="Empresas y organizaciones atendidas"/>
    <n v="30"/>
    <n v="30"/>
    <m/>
    <n v="45000"/>
    <s v="La inversión  estará enfocada a la gestión y renovación de registros sanitarios, implementación de Buenas Prácticas de Manufactura."/>
    <s v="DIREPRO, DIRCETUR"/>
    <n v="6750000"/>
    <n v="6750000"/>
    <n v="1350000"/>
    <n v="1350000"/>
    <n v="1350000"/>
    <n v="1350000"/>
    <n v="1350000"/>
    <n v="0"/>
    <s v="X"/>
    <m/>
    <m/>
    <m/>
    <m/>
    <n v="3"/>
    <n v="1"/>
  </r>
  <r>
    <x v="4"/>
    <x v="15"/>
    <x v="4"/>
    <n v="16"/>
    <x v="87"/>
    <s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
    <s v="NR"/>
    <x v="0"/>
    <x v="0"/>
    <s v="COMP 8"/>
    <s v="HABILITANTE"/>
    <x v="18"/>
    <s v="C19"/>
    <s v="Títulos registrados"/>
    <n v="1"/>
    <n v="1"/>
    <n v="0"/>
    <n v="105000"/>
    <s v="La implementación del sistema de formalización contempla el diseño de una plataforma digital y el desarrollo de un manual para su adecuado uso y mantenimiento."/>
    <s v="ARA-DRASAM-MINAGRI"/>
    <n v="105000"/>
    <n v="0"/>
    <n v="105000"/>
    <n v="0"/>
    <n v="0"/>
    <n v="0"/>
    <n v="0"/>
    <n v="0"/>
    <m/>
    <s v="X"/>
    <m/>
    <m/>
    <m/>
    <n v="3"/>
    <n v="1"/>
  </r>
  <r>
    <x v="4"/>
    <x v="15"/>
    <x v="2"/>
    <n v="17"/>
    <x v="88"/>
    <s v="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
    <s v="NR"/>
    <x v="1"/>
    <x v="3"/>
    <s v="COMP 11"/>
    <s v="HABILITANTE"/>
    <x v="18"/>
    <s v="C19"/>
    <s v="Convocatorias / créditos"/>
    <n v="5"/>
    <n v="5"/>
    <n v="5"/>
    <n v="1500000"/>
    <s v="Debe comprender costo de convocatoria, parte legal contractual, fondo de pago por éxitos (entre 1% a 3%), monitoreo y seguimiento"/>
    <s v="OPIPs"/>
    <n v="7500000"/>
    <n v="7500000"/>
    <n v="1500000"/>
    <n v="1500000"/>
    <n v="1500000"/>
    <n v="1500000"/>
    <n v="1500000"/>
    <n v="0"/>
    <m/>
    <m/>
    <n v="0"/>
    <m/>
    <m/>
    <n v="2"/>
    <n v="0"/>
  </r>
  <r>
    <x v="4"/>
    <x v="15"/>
    <x v="3"/>
    <n v="18"/>
    <x v="89"/>
    <s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
    <s v="NR"/>
    <x v="1"/>
    <x v="3"/>
    <s v="COMP 11"/>
    <s v="HABILITANTE"/>
    <x v="18"/>
    <s v="C19"/>
    <s v="Productos financieros específicos para cada cadena implementados"/>
    <n v="10"/>
    <n v="10"/>
    <n v="0"/>
    <n v="35000"/>
    <s v="Consultoría, sistematización de información en campo, al menos dos pilotos en campo, diseño de salvaguardas y monitoreo y compromisos"/>
    <s v="GRDE-DRASAM-OPIPS"/>
    <n v="350000"/>
    <n v="0"/>
    <n v="70000"/>
    <n v="70000"/>
    <n v="70000"/>
    <n v="70000"/>
    <n v="70000"/>
    <n v="0"/>
    <m/>
    <m/>
    <n v="0"/>
    <m/>
    <m/>
    <n v="3"/>
    <n v="0"/>
  </r>
  <r>
    <x v="4"/>
    <x v="15"/>
    <x v="2"/>
    <n v="19"/>
    <x v="90"/>
    <s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
    <s v="NR"/>
    <x v="1"/>
    <x v="5"/>
    <s v="COMP 3"/>
    <s v="HABILITANTE"/>
    <x v="18"/>
    <s v="C19"/>
    <s v="Alianzas privadas entre empresas y productores."/>
    <n v="50"/>
    <n v="50"/>
    <n v="40"/>
    <n v="24000"/>
    <s v="Contratación de especialistas para levantar la información de potenciales alianzas, asistencia técnica en fortalecimiento organizacional y comercial, relaciones comerciales, prácticas agrícolas innovadoras, desarrollo de proveedores y productos financieros, movilidad a áreas productivas, talleres con productores, reuniones con empresas y productores, preparación de propuestas de proyectos o acceso a financiamiento, elaboración de base de datos, diseño de salvaguardas y sistema de monitoreo."/>
    <s v="GRDE-DIRCETUR-OPIPS"/>
    <n v="1200000"/>
    <n v="960000"/>
    <n v="240000"/>
    <n v="240000"/>
    <n v="240000"/>
    <n v="240000"/>
    <n v="240000"/>
    <n v="0"/>
    <m/>
    <m/>
    <n v="0"/>
    <m/>
    <m/>
    <n v="2"/>
    <n v="0"/>
  </r>
  <r>
    <x v="4"/>
    <x v="15"/>
    <x v="2"/>
    <n v="20"/>
    <x v="91"/>
    <s v="_x000a_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
    <s v="NR"/>
    <x v="1"/>
    <x v="5"/>
    <s v="COMP 10"/>
    <s v="HABILITANTE"/>
    <x v="18"/>
    <s v="C19"/>
    <s v="Estudios de mercado"/>
    <n v="8"/>
    <n v="8"/>
    <n v="8"/>
    <n v="78000"/>
    <s v="El costo incluye la elaboración de 8 estudios de mercado, estrategias comerciales  e implementación de instrumentos de promoción en los 4 primeros años (S/ 30,000.0 por estudio) y la contratación de  un especialista en DIRCETUR para monitoreo e implementación de dichos estudios por un monto de S/ 48,000.00 al año."/>
    <s v="DIRCETUR-GRDE"/>
    <n v="480000"/>
    <n v="480000"/>
    <n v="108000"/>
    <n v="108000"/>
    <n v="108000"/>
    <n v="108000"/>
    <n v="48000"/>
    <n v="0"/>
    <m/>
    <m/>
    <n v="0"/>
    <m/>
    <m/>
    <n v="2"/>
    <n v="0"/>
  </r>
  <r>
    <x v="4"/>
    <x v="15"/>
    <x v="1"/>
    <n v="21"/>
    <x v="92"/>
    <s v="Reuniones de trabajo con gremios para firma de acuerdo, firma de acuerdo, monitoreo de cumplimiento, generar información para la iniciativa de campeones por los bosques tropicales (TFC), reuniones del espacio regional de la coalición público privada por una producción sostenible"/>
    <s v="NR"/>
    <x v="2"/>
    <x v="6"/>
    <s v="COMP 10"/>
    <s v="HABILITANTE"/>
    <x v="18"/>
    <s v="C19"/>
    <s v="Acuerdos "/>
    <n v="1"/>
    <n v="1"/>
    <n v="0"/>
    <n v="61000"/>
    <s v="Reuniones de trabajo con empresas, asociaciones de productores y gremios, generar información, reuniones públicas de presentación de acuerdos, difusión internacional de acuerdos"/>
    <s v="ARA-SERFOR-DRASAM-GRDE"/>
    <n v="61000"/>
    <n v="0"/>
    <n v="30500"/>
    <n v="30500"/>
    <n v="0"/>
    <n v="0"/>
    <n v="0"/>
    <n v="0"/>
    <m/>
    <m/>
    <n v="0"/>
    <m/>
    <m/>
    <n v="3"/>
    <n v="0"/>
  </r>
  <r>
    <x v="4"/>
    <x v="15"/>
    <x v="5"/>
    <n v="22"/>
    <x v="93"/>
    <s v="Diseño de programa de capacitación e implementación, para hacer conocer y cumplir el código de ética de la función pública para evitar los actos de corrupción."/>
    <s v="NR"/>
    <x v="0"/>
    <x v="0"/>
    <s v="COMP 8"/>
    <s v="HABILITANTE"/>
    <x v="18"/>
    <s v="C19"/>
    <s v="Funcionarios capacitados que aprueban evaluación"/>
    <n v="75"/>
    <n v="75"/>
    <n v="75"/>
    <n v="25"/>
    <s v="Diseño de modulo de capacitación, implementación de curso y evaluación para funcionarios regionales"/>
    <s v="GRSM"/>
    <n v="18750"/>
    <n v="1875"/>
    <n v="3750"/>
    <n v="3750"/>
    <n v="3750"/>
    <n v="3750"/>
    <n v="3750"/>
    <n v="0"/>
    <m/>
    <m/>
    <n v="0"/>
    <m/>
    <m/>
    <n v="2"/>
    <n v="0"/>
  </r>
  <r>
    <x v="4"/>
    <x v="15"/>
    <x v="5"/>
    <n v="23"/>
    <x v="94"/>
    <s v="Mejora de los TUPAs (incluye proceso integrado para clasificación de suelos + uso actual de la ley forestal), material de difusión, y capacitaciones periódicas a usuarios"/>
    <s v="NR"/>
    <x v="0"/>
    <x v="0"/>
    <s v="COMP 8"/>
    <s v="HABILITANTE"/>
    <x v="18"/>
    <s v="C19"/>
    <s v="TUPA  mejorado "/>
    <n v="1"/>
    <n v="1"/>
    <n v="0"/>
    <n v="150000"/>
    <s v="Consultoría de análisis de procedimientos administrativos regionales de la DRA, ARA, GDE, OPIPS, elaboración de proyecto de TUPA, aprobación de TUPA, capacitación a funcionarios, difusión en portal web y elaboración de material informativo para usuarios"/>
    <s v="GRSM"/>
    <n v="150000"/>
    <n v="0"/>
    <n v="150000"/>
    <n v="0"/>
    <n v="0"/>
    <n v="0"/>
    <n v="0"/>
    <n v="0"/>
    <m/>
    <m/>
    <n v="0"/>
    <m/>
    <m/>
    <n v="3"/>
    <n v="0"/>
  </r>
  <r>
    <x v="4"/>
    <x v="15"/>
    <x v="5"/>
    <n v="24"/>
    <x v="95"/>
    <s v="Implementar a nivel regional un clasificador de cargos por especialidades y competencias de las distintas áreas del GRSM, con la finalidad de contar con profesionales altamente capacitados y con experiencia, acorde a los distintos cargos que se disponga en el ámbito regional. Considerar asi mismo afectar esta disposición a los cargos de confianza cumpliendo los requisitos plasmados en el clasificador. "/>
    <s v="NR"/>
    <x v="0"/>
    <x v="0"/>
    <s v="COMP 8"/>
    <s v="HABILITANTE"/>
    <x v="18"/>
    <s v="C19"/>
    <s v="Clasificador de cargos implementado"/>
    <n v="1"/>
    <n v="1"/>
    <n v="1"/>
    <n v="50000"/>
    <s v="Consultorías, reuniones con trabajadores, sistematización de información y punto focal responsable de implementación"/>
    <s v="GRSM"/>
    <n v="60000"/>
    <n v="0"/>
    <n v="60000"/>
    <n v="0"/>
    <n v="0"/>
    <n v="0"/>
    <n v="0"/>
    <n v="0"/>
    <m/>
    <m/>
    <n v="0"/>
    <m/>
    <m/>
    <n v="2"/>
    <n v="0"/>
  </r>
  <r>
    <x v="4"/>
    <x v="15"/>
    <x v="5"/>
    <n v="25"/>
    <x v="96"/>
    <s v="Ejecutar un estudio sobre las necesidades de la OCI Regional y las OCI de las diferentes direcciones regionales y proyectos especiales referidos a la necesidad de especialistas por cada oficina, asi mismo el perfil profesional minimo para cubrir dichos puestos. Con la finalidad de mejorar y asegurar el ejercicio oportuno, efectivo y eficiente del control gubernamental, así como de optimizar sus capacidades orientadas a la prevención y lucha contra la corrupción."/>
    <s v="NR"/>
    <x v="0"/>
    <x v="0"/>
    <s v="COMP 8"/>
    <s v="HABILITANTE"/>
    <x v="18"/>
    <s v="C19"/>
    <s v="Estudio"/>
    <n v="1"/>
    <n v="1"/>
    <n v="1"/>
    <n v="30000"/>
    <s v="El costo va estar orientado a tener un equipo con personal especializado "/>
    <s v="CONTRALORIA, OCI, GRSM"/>
    <n v="50000"/>
    <n v="0"/>
    <n v="50000"/>
    <n v="0"/>
    <n v="0"/>
    <n v="0"/>
    <n v="0"/>
    <n v="0"/>
    <m/>
    <m/>
    <n v="0"/>
    <m/>
    <m/>
    <n v="2"/>
    <n v="0"/>
  </r>
  <r>
    <x v="4"/>
    <x v="15"/>
    <x v="5"/>
    <n v="26"/>
    <x v="97"/>
    <s v="Campañas orientadas a sensibilizar el impacto negativo de la corrupcion al crecimiento de la región, asi mismo realizar las denuncias correspondientes de forma anónima para que los órganos competentes puedan aplicar sanciones a dichos actos de corrupción. Brindar las medidas de protección necesarias a las personas que denuncian estos actos. "/>
    <s v="NR"/>
    <x v="0"/>
    <x v="0"/>
    <s v="COMP 10"/>
    <s v="HABILITANTE"/>
    <x v="18"/>
    <s v="C19"/>
    <s v="Campañas de difudión."/>
    <n v="1"/>
    <n v="1"/>
    <n v="1"/>
    <n v="180000"/>
    <s v="Reuniones de trabajo con empresas, asociaciones de productores y gremios, generar información, reuniones públicas de presentación de acuerdos"/>
    <s v="GRSM"/>
    <n v="900000"/>
    <n v="900000"/>
    <n v="180000"/>
    <n v="180000"/>
    <n v="180000"/>
    <n v="180000"/>
    <n v="180000"/>
    <n v="0"/>
    <m/>
    <m/>
    <n v="0"/>
    <m/>
    <m/>
    <n v="2"/>
    <n v="0"/>
  </r>
  <r>
    <x v="4"/>
    <x v="15"/>
    <x v="4"/>
    <n v="27"/>
    <x v="98"/>
    <s v="Reuniones periódicas y extraordinarias de mesa regional de control y vigilancia forestal y de fauna silvestre "/>
    <s v="NR"/>
    <x v="0"/>
    <x v="0"/>
    <s v="COMP 8"/>
    <s v="HABILITANTE"/>
    <x v="18"/>
    <s v="C19"/>
    <s v="Acuerdos adoptados en las reuniones de la mesa"/>
    <n v="40"/>
    <n v="40"/>
    <n v="40"/>
    <n v="1000"/>
    <s v="Reuniones entre instituciones públicas dedicadas al control y vigilancia forestal para articular protocolos, procedimientos y operativos para el control de la deforestación y tala ilegal"/>
    <s v="SERFOR, ARA, MP, OSINFOR"/>
    <n v="40000"/>
    <n v="40000"/>
    <n v="8000"/>
    <n v="8000"/>
    <n v="8000"/>
    <n v="8000"/>
    <n v="8000"/>
    <n v="0"/>
    <m/>
    <m/>
    <n v="0"/>
    <m/>
    <m/>
    <n v="2"/>
    <n v="0"/>
  </r>
  <r>
    <x v="4"/>
    <x v="15"/>
    <x v="4"/>
    <n v="28"/>
    <x v="99"/>
    <s v="1 capacitación de una semana en el ámbito cercano al trabajo de la comunidad (puede ser una capacitación espaciada) "/>
    <s v="NR"/>
    <x v="2"/>
    <x v="6"/>
    <s v="COMP 10"/>
    <s v="HABILITANTE"/>
    <x v="18"/>
    <s v="C19"/>
    <s v="Ronderos y custodios que aprueban evaluación de capacitación "/>
    <n v="250"/>
    <n v="250"/>
    <n v="250"/>
    <n v="150"/>
    <s v="Considera materiales de capacitación, alimentación a capacitados en el área cercana a su comunidad y gastos de capacitadores"/>
    <s v="SERFOR, ARA, MP, OSINFOR"/>
    <n v="37500"/>
    <n v="37500"/>
    <n v="7500"/>
    <n v="7500"/>
    <n v="7500"/>
    <n v="7500"/>
    <n v="7500"/>
    <n v="0"/>
    <m/>
    <m/>
    <s v="X"/>
    <m/>
    <m/>
    <n v="2"/>
    <n v="1"/>
  </r>
  <r>
    <x v="4"/>
    <x v="15"/>
    <x v="4"/>
    <n v="29"/>
    <x v="100"/>
    <s v="Uniforme básico, GPS por brigadas,  1 dron por comunidad, equipos de radio por comunidad (radio corta portátil)"/>
    <s v="NR"/>
    <x v="2"/>
    <x v="6"/>
    <s v="COMP 10"/>
    <s v="HABILITANTE"/>
    <x v="18"/>
    <s v="C19"/>
    <s v="Ronderos y custodios equipados"/>
    <n v="250"/>
    <n v="250"/>
    <n v="250"/>
    <n v="1945"/>
    <s v="Uniforme básico para 250 personas, GPS para 25 comunidades,  1 dron para 25 comunidades, equipos de radio para 25 comunidades (radio corta portátil)"/>
    <s v="ARA "/>
    <n v="486250"/>
    <n v="486250"/>
    <n v="97250"/>
    <n v="97250"/>
    <n v="97250"/>
    <n v="97250"/>
    <n v="97250"/>
    <n v="0"/>
    <m/>
    <m/>
    <s v="X"/>
    <m/>
    <m/>
    <n v="3"/>
    <n v="1"/>
  </r>
  <r>
    <x v="4"/>
    <x v="15"/>
    <x v="4"/>
    <n v="30"/>
    <x v="101"/>
    <s v="Personal de campo dedicado al control de actividades ilegales (deforestación y tala ilegal),  combustible y raciones para acciones de control"/>
    <s v="NR"/>
    <x v="0"/>
    <x v="0"/>
    <s v="COMP 8"/>
    <s v="HABILITANTE"/>
    <x v="18"/>
    <s v="C19"/>
    <s v="Informes de inspecciones"/>
    <n v="125"/>
    <n v="125"/>
    <n v="125"/>
    <n v="236000"/>
    <s v="Unidad conformada al menos por cuatro especialistas, y gastos de movilidad y alimentación"/>
    <s v="ARA"/>
    <n v="1180000"/>
    <n v="1180000"/>
    <n v="236000"/>
    <n v="236000"/>
    <n v="236000"/>
    <n v="236000"/>
    <n v="236000"/>
    <n v="0"/>
    <m/>
    <m/>
    <n v="0"/>
    <m/>
    <m/>
    <n v="3"/>
    <n v="0"/>
  </r>
  <r>
    <x v="4"/>
    <x v="15"/>
    <x v="4"/>
    <n v="31"/>
    <x v="102"/>
    <s v="Equipamiento (GPS, cámaras, computadora),  camionetas, carpas, sleepings, binoculares y uniformes"/>
    <s v="NR"/>
    <x v="0"/>
    <x v="0"/>
    <s v="COMP 10"/>
    <s v="HABILITANTE"/>
    <x v="18"/>
    <s v="C19"/>
    <s v="Informes de inspecciones"/>
    <n v="0"/>
    <n v="0"/>
    <n v="0"/>
    <n v="1182.4000000000001"/>
    <s v="Dos camionetas, cuatro computadoras, cuatro GPS, cuatro cámaras fotográficas,  ocho uniformes y equipo básico de campo para 4 personas (solo en los primeros cinco años). Considera uniformes nuevos al año 5"/>
    <s v="ARA "/>
    <n v="147800"/>
    <n v="1600"/>
    <n v="29560"/>
    <n v="29560"/>
    <n v="29560"/>
    <n v="29560"/>
    <n v="29560"/>
    <n v="0"/>
    <m/>
    <m/>
    <n v="0"/>
    <m/>
    <m/>
    <n v="3"/>
    <n v="0"/>
  </r>
  <r>
    <x v="4"/>
    <x v="15"/>
    <x v="4"/>
    <s v="32 A"/>
    <x v="103"/>
    <s v="Contratación de fiscales especializados en materia ambiental para que puedan atender oportunamente la necesidad de toda la región. Actualmente solo se cuenta con 5 fiscales en toda la región distribuidos de la siguiente manera: 2 fiscales para las provincias de (Tocache, Mariscal Cáceres, Bellavista y Huallaga) y 3 fiscales para las provincias de (El Dorado, Picota, Lamas, San Martín, Moyobamba Y Rioja)."/>
    <s v="NR"/>
    <x v="0"/>
    <x v="0"/>
    <s v="COMP 8"/>
    <s v="HABILITANTE"/>
    <x v="18"/>
    <s v="C19"/>
    <s v="Contratación de fiscales"/>
    <n v="6"/>
    <n v="6"/>
    <n v="6"/>
    <n v="8000"/>
    <s v="Contratación de fiscales."/>
    <s v="ARA"/>
    <n v="2880000"/>
    <n v="2880000"/>
    <n v="576000"/>
    <n v="576000"/>
    <n v="576000"/>
    <n v="576000"/>
    <n v="576000"/>
    <n v="0"/>
    <m/>
    <m/>
    <n v="0"/>
    <m/>
    <m/>
    <n v="3"/>
    <n v="0"/>
  </r>
  <r>
    <x v="4"/>
    <x v="15"/>
    <x v="4"/>
    <s v="32 B"/>
    <x v="104"/>
    <s v="Implementación de logística para fiscalías especializadas en materia ambiental"/>
    <s v="NR"/>
    <x v="0"/>
    <x v="0"/>
    <s v="COMP 8"/>
    <s v="HABILITANTE"/>
    <x v="18"/>
    <s v="C19"/>
    <s v="Unidades móviles"/>
    <n v="5"/>
    <n v="5"/>
    <n v="0"/>
    <n v="150000"/>
    <s v="Adquisión de movilidades para la inspección oportuna de los fiscales cuando se reporte algún tipo de delito ambiental."/>
    <s v="ARA"/>
    <n v="750000"/>
    <n v="0"/>
    <n v="750000"/>
    <n v="0"/>
    <n v="0"/>
    <n v="0"/>
    <n v="0"/>
    <n v="0"/>
    <m/>
    <m/>
    <n v="0"/>
    <m/>
    <m/>
    <n v="3"/>
    <n v="0"/>
  </r>
  <r>
    <x v="4"/>
    <x v="15"/>
    <x v="4"/>
    <n v="33"/>
    <x v="105"/>
    <s v="Operativos específicos para control de tala ilegal y deforestación coordinado entre varias instituciones públicas (ARA, MP, OSINFOR, entre otros)"/>
    <s v="NR"/>
    <x v="0"/>
    <x v="0"/>
    <s v="COMP 8"/>
    <s v="HABILITANTE"/>
    <x v="18"/>
    <s v="C19"/>
    <s v="Procesos administrativos o penales iniciados "/>
    <n v="15"/>
    <n v="15"/>
    <n v="15"/>
    <n v="30000"/>
    <s v="Operativos en campo que implican desplazamiento de la policía nacional del Perú, el ministerio público (gasolina, raciones), sobrevuelo"/>
    <s v="SERFOR, ARA, MP, OSINFOR"/>
    <n v="450000"/>
    <n v="450000"/>
    <n v="90000"/>
    <n v="90000"/>
    <n v="90000"/>
    <n v="90000"/>
    <n v="90000"/>
    <n v="0"/>
    <m/>
    <m/>
    <s v="X"/>
    <m/>
    <m/>
    <n v="3"/>
    <n v="1"/>
  </r>
  <r>
    <x v="4"/>
    <x v="15"/>
    <x v="5"/>
    <s v="34 A"/>
    <x v="106"/>
    <s v="a) Mapear procedimientos regionales vinculados a otorgamiento de propiedad agraria (titulación y adjudicaciones), cambio de uso actual de tierras de aptitud A y C, procesos de bosque y estudios de impacto ambiental del sector agrario, b) aprobación de lineamientos o norma complementaria nacional para implementación del  cambio de uso actual de acuerdo a nueva LFFS y RLFFS*, c) elaboración de propuesta de procedimiento regional articulado y modificaciones al TUPA del GORESAM, d) elaboración y aprobación de propuesta de ordenanza regional que aprueba procedimiento y modificación de TUPA del GORESAM, e) capacitación de funcionarios y socialización de actores claves, f) elaboración de estudios de suelos en áreas identificadas para futuros procesos de titulación y adjudicaciones, g) implementación de procedimiento de cambio de uso actual en A y C para definir áreas en donde es posible realizar adjudicaciones de acuerdo a LFFFS, h) ejecución de procedimientos de titulación de predios,  adjucación o cesión en uso. Nota1: la elaboración de estudios de suelos debe ser en grandes espacios en los donde se piensa promover la titulación de predios rurales (a nivel de unidades catastrales) y adjudicaciones agrarias, de maneras previas a las solicitudes de titulación. Nota2: evaluar con DGAA el nivel del estudio de suelo, se recomienda estudios simplificado y un proceso en etapas que permita liberar primero las tierras X y F. Nota 3: Reto opinión previa de SERFOR y MINAM ¿Como no demorar este proceso?                                               "/>
    <s v="NR"/>
    <x v="0"/>
    <x v="0"/>
    <s v="COMP 8"/>
    <s v="HABILITANTE"/>
    <x v="18"/>
    <s v="C19"/>
    <s v="Documento técnico legal que mapea procesos vinculados al cambio de uso, otorgamiento de la propiedad agraria y evaluaciones de impacto ambiental en el GORESAM"/>
    <n v="1"/>
    <n v="1"/>
    <n v="1"/>
    <n v="20000"/>
    <s v="Analisis técnico y legal (puede hacerse directamente por el equipo del GORESAM o a través de consultores), reuniones de trabajo, facilitadores de reuniones,"/>
    <s v="ARA, DRASAM, GDE, GPP"/>
    <n v="20000"/>
    <n v="20000"/>
    <n v="0"/>
    <n v="0"/>
    <n v="0"/>
    <n v="0"/>
    <n v="0"/>
    <n v="0"/>
    <m/>
    <m/>
    <n v="0"/>
    <m/>
    <m/>
    <s v="X"/>
    <n v="0"/>
  </r>
  <r>
    <x v="4"/>
    <x v="15"/>
    <x v="6"/>
    <s v="34 B"/>
    <x v="106"/>
    <s v="Descripciión compartida con 34 A"/>
    <s v="NR"/>
    <x v="0"/>
    <x v="0"/>
    <s v="COMP 8"/>
    <s v="HABILITANTE"/>
    <x v="18"/>
    <s v="C19"/>
    <s v="Resolución Ministerial, o norma pertiente, que aprueba lineamientos a nivel nacional "/>
    <n v="1"/>
    <n v="1"/>
    <n v="1"/>
    <n v="20000"/>
    <s v="Elaboración de propuesta de norma, talleres de socialización y retroalimentación a nivel nacional, "/>
    <s v="MINAGRI, SERFOR, MINAM"/>
    <n v="20000"/>
    <n v="20000"/>
    <n v="0"/>
    <n v="0"/>
    <n v="0"/>
    <n v="0"/>
    <n v="0"/>
    <n v="0"/>
    <m/>
    <m/>
    <n v="0"/>
    <m/>
    <m/>
    <s v="X"/>
    <n v="0"/>
  </r>
  <r>
    <x v="4"/>
    <x v="15"/>
    <x v="5"/>
    <s v="34 C"/>
    <x v="106"/>
    <s v="Descripciión compartida con 34 A"/>
    <s v="NR"/>
    <x v="0"/>
    <x v="0"/>
    <s v="COMP 8"/>
    <s v="HABILITANTE"/>
    <x v="18"/>
    <s v="C19"/>
    <s v="Ordenanza regional de procedimiento integrado sobre cambio de "/>
    <n v="1"/>
    <n v="1"/>
    <n v="0"/>
    <n v="30000"/>
    <s v="Consultoría para la elaboración de la propuesta de inclusión de procedimiento integrado  de cambio de uso actual."/>
    <s v="DRASAM, ARA, GPP"/>
    <n v="30000"/>
    <n v="0"/>
    <n v="30000"/>
    <n v="0"/>
    <n v="0"/>
    <n v="0"/>
    <n v="0"/>
    <n v="0"/>
    <m/>
    <m/>
    <n v="0"/>
    <m/>
    <m/>
    <s v="X"/>
    <n v="0"/>
  </r>
  <r>
    <x v="4"/>
    <x v="15"/>
    <x v="5"/>
    <s v="34 D"/>
    <x v="106"/>
    <s v="Descripciión compartida con 34 A"/>
    <s v="NR"/>
    <x v="0"/>
    <x v="0"/>
    <s v="COMP 8"/>
    <s v="HABILITANTE"/>
    <x v="18"/>
    <s v="C19"/>
    <s v="Guias didacticas para implementar el procedimiento "/>
    <n v="1"/>
    <n v="1"/>
    <n v="0"/>
    <n v="20000"/>
    <s v="Elaboración de manual de capacitación y versiones sencillas del procedimiento, talleres de capacitación a usuarios y funcionarios. "/>
    <s v="DRASAM, ARA"/>
    <n v="20000"/>
    <n v="0"/>
    <n v="20000"/>
    <n v="0"/>
    <n v="0"/>
    <n v="0"/>
    <n v="0"/>
    <n v="0"/>
    <m/>
    <m/>
    <n v="0"/>
    <m/>
    <m/>
    <s v="X"/>
    <n v="0"/>
  </r>
  <r>
    <x v="4"/>
    <x v="15"/>
    <x v="5"/>
    <s v="34 E"/>
    <x v="106"/>
    <s v="Descripciión compartida con 34 A"/>
    <s v="NR"/>
    <x v="0"/>
    <x v="0"/>
    <s v="COMP 8"/>
    <s v="HABILITANTE"/>
    <x v="18"/>
    <s v="C19"/>
    <s v="Hectáreas evaluadas bajo procedimiento de cambio actual con procedimientos integrados. "/>
    <n v="493395.07454789948"/>
    <n v="493395.07454789948"/>
    <n v="493395.07454789948"/>
    <n v="0.98"/>
    <s v="Contratación de especialistas para mapeo de procedimientos administrativos, especialista legal, especialista de costeo, costo operativo de atención de trámites."/>
    <s v="DRASAM, ARA"/>
    <n v="483527.17305694148"/>
    <n v="483527.17305694148"/>
    <n v="96705.434611388308"/>
    <n v="96705.434611388308"/>
    <n v="96705.434611388308"/>
    <n v="96705.434611388308"/>
    <n v="96705.434611388308"/>
    <n v="0"/>
    <m/>
    <m/>
    <n v="0"/>
    <m/>
    <m/>
    <n v="2"/>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2">
  <r>
    <x v="0"/>
    <x v="0"/>
    <s v="Invasiones"/>
    <s v="1.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51977.568789166602"/>
    <n v="25988.784394583301"/>
    <n v="25988.78439458330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1977568.7891666"/>
    <n v="51977568.7891666"/>
    <n v="5197756.8789166603"/>
    <n v="7796635.3183749896"/>
    <n v="10395513.757833321"/>
    <n v="15593270.636749979"/>
    <n v="12994392.19729165"/>
    <n v="0"/>
    <m/>
    <m/>
    <s v="X"/>
    <m/>
    <x v="0"/>
    <x v="0"/>
  </r>
  <r>
    <x v="0"/>
    <x v="0"/>
    <s v="Programas de inversión pública"/>
    <s v="1.1.2"/>
    <x v="1"/>
    <s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x v="1"/>
    <s v="COMP 1"/>
    <s v="PRODUCCIÓN"/>
    <x v="1"/>
    <s v="C1"/>
    <s v="Productores asistidos"/>
    <n v="74562"/>
    <n v="22368.6"/>
    <n v="29824.800000000003"/>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2526416"/>
    <n v="16701888.000000002"/>
    <n v="2505283.2000000002"/>
    <n v="2505283.2000000002"/>
    <n v="2505283.2000000002"/>
    <n v="2505283.2000000002"/>
    <n v="2505283.2000000002"/>
    <n v="0"/>
    <m/>
    <m/>
    <s v="X"/>
    <m/>
    <x v="0"/>
    <x v="1"/>
  </r>
  <r>
    <x v="0"/>
    <x v="0"/>
    <s v="Programas de inversión pública"/>
    <s v="1.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x v="2"/>
    <s v="C17"/>
    <s v="Hectáreas intervenidas"/>
    <n v="155570"/>
    <n v="46671"/>
    <n v="46671"/>
    <n v="500"/>
    <s v="El costo incluye adquisición de semillas, insumos, fertilizantes, entre otras para la producción de plantas agroforestales o coberturas  verdes."/>
    <s v="DRASAM"/>
    <n v="23335500"/>
    <n v="23335500"/>
    <n v="7000650"/>
    <n v="5833875"/>
    <n v="4667100"/>
    <n v="3500325"/>
    <n v="2333550"/>
    <n v="0"/>
    <m/>
    <m/>
    <s v="X"/>
    <m/>
    <x v="1"/>
    <x v="0"/>
  </r>
  <r>
    <x v="0"/>
    <x v="0"/>
    <s v="Programas de inversión pública"/>
    <s v="1.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x v="2"/>
    <s v="C17"/>
    <s v="hectáreas fertilizadas"/>
    <n v="155570"/>
    <n v="31114"/>
    <n v="46671"/>
    <n v="2500"/>
    <s v="El costo incluye un análisis de suelos, paquete de fertilización según los resultados del análisis y la adquisición de fertilizantes. El costo incluye los tres abonamientos requeridos en una campaña (1 año)."/>
    <s v="DRASAM"/>
    <n v="77785000"/>
    <n v="116677500"/>
    <n v="15557000"/>
    <n v="15557000"/>
    <n v="15557000"/>
    <n v="15557000"/>
    <n v="15557000"/>
    <n v="0"/>
    <m/>
    <m/>
    <s v="X"/>
    <m/>
    <x v="0"/>
    <x v="0"/>
  </r>
  <r>
    <x v="0"/>
    <x v="0"/>
    <s v="Programas de inversión privada"/>
    <s v="1.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x v="2"/>
    <s v="COMP 4 "/>
    <s v="PRODUCCIÓN"/>
    <x v="2"/>
    <s v="C17"/>
    <s v="Hectáreas con sistemas de riego"/>
    <n v="155570"/>
    <n v="7778.5"/>
    <n v="15557"/>
    <n v="11500"/>
    <s v="El costo incluye la instalación de un sistema completo y un paquete de fertilización para la primera campaña. El costo va depender del tipo de cultivo, tipo de sistema y el tipo de materiales a usar en los sistemas de fertirriego."/>
    <s v="DRASAM"/>
    <n v="89452750"/>
    <n v="178905500"/>
    <n v="17890550"/>
    <n v="17890550"/>
    <n v="17890550"/>
    <n v="17890550"/>
    <n v="17890550"/>
    <n v="0"/>
    <m/>
    <m/>
    <s v="X"/>
    <m/>
    <x v="0"/>
    <x v="0"/>
  </r>
  <r>
    <x v="0"/>
    <x v="0"/>
    <s v="Programas de inversión privada"/>
    <s v="1.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x v="3"/>
    <s v="C12"/>
    <s v="Hectáreas reconvertidas/diversificadas"/>
    <n v="31114"/>
    <n v="3111.4"/>
    <n v="3111.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AGROIDEAS"/>
    <n v="46671000"/>
    <n v="46671000"/>
    <n v="9334200"/>
    <n v="9334200"/>
    <n v="9334200"/>
    <n v="9334200"/>
    <n v="9334200"/>
    <n v="0"/>
    <s v="X"/>
    <m/>
    <m/>
    <m/>
    <x v="0"/>
    <x v="0"/>
  </r>
  <r>
    <x v="0"/>
    <x v="0"/>
    <s v="Programas de inversión pública"/>
    <s v="1.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x v="4"/>
    <s v="C3"/>
    <s v="Productores beneficiados"/>
    <n v="74562"/>
    <n v="18640.5"/>
    <n v="26096.69999999999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FONCODES"/>
    <n v="240462450"/>
    <n v="336647429.99999994"/>
    <n v="48092490"/>
    <n v="48092490"/>
    <n v="48092490"/>
    <n v="48092490"/>
    <n v="48092490"/>
    <n v="0"/>
    <m/>
    <m/>
    <s v="X"/>
    <m/>
    <x v="0"/>
    <x v="1"/>
  </r>
  <r>
    <x v="0"/>
    <x v="0"/>
    <s v="Programas de inversión pública"/>
    <s v="1.1.8"/>
    <x v="7"/>
    <s v="Capacitaciones a pequeños productores acuícolas en temas relacionados a: Asociatividad, Gestión y administración de piscigranjas, programación de la producción, formalización, gestión de la calidad entre otros temas que permitan la sostenibilidad de la actividad."/>
    <s v="NR"/>
    <x v="1"/>
    <x v="2"/>
    <s v="COMP 4 "/>
    <s v="PRODUCCIÓN"/>
    <x v="1"/>
    <s v="C1"/>
    <s v="Acuicultores atendidos"/>
    <n v="668"/>
    <n v="801.6"/>
    <n v="935.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448896"/>
    <n v="523712"/>
    <n v="89779.200000000012"/>
    <n v="89779.200000000012"/>
    <n v="89779.200000000012"/>
    <n v="89779.200000000012"/>
    <n v="89779.200000000012"/>
    <n v="0"/>
    <m/>
    <m/>
    <s v="X"/>
    <m/>
    <x v="0"/>
    <x v="0"/>
  </r>
  <r>
    <x v="0"/>
    <x v="0"/>
    <s v="Ingresos y Capital"/>
    <s v="1.1.9"/>
    <x v="8"/>
    <s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x v="5"/>
    <s v="C6"/>
    <s v="Créditos otorgados"/>
    <n v="668"/>
    <n v="801.6"/>
    <n v="935.2"/>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s v="DIREPRO"/>
    <n v="10340640"/>
    <n v="12064080"/>
    <n v="2585160"/>
    <n v="2585160"/>
    <n v="2068128"/>
    <n v="1551096"/>
    <n v="1551096"/>
    <n v="0"/>
    <s v="X"/>
    <m/>
    <m/>
    <m/>
    <x v="0"/>
    <x v="0"/>
  </r>
  <r>
    <x v="0"/>
    <x v="0"/>
    <s v="Ingresos y Capital"/>
    <s v="1.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x v="5"/>
    <s v="C6"/>
    <s v="Créditos otorgados"/>
    <n v="74562"/>
    <n v="22368.6"/>
    <n v="14912.4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240462449.99999997"/>
    <n v="160308300.00000003"/>
    <n v="48092490"/>
    <n v="48092490"/>
    <n v="48092490"/>
    <n v="48092490"/>
    <n v="48092490"/>
    <n v="0"/>
    <s v="X"/>
    <m/>
    <m/>
    <m/>
    <x v="0"/>
    <x v="0"/>
  </r>
  <r>
    <x v="0"/>
    <x v="0"/>
    <s v="Programas de inversión privada"/>
    <s v="1.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x v="6"/>
    <s v="C7"/>
    <s v="Planes de negocios/proyectos ejecutados"/>
    <n v="48"/>
    <n v="9.6000000000000014"/>
    <n v="14.399999999999999"/>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7680000.0000000009"/>
    <n v="11519999.999999998"/>
    <n v="768000.00000000012"/>
    <n v="768000.00000000012"/>
    <n v="1920000.0000000002"/>
    <n v="1920000.0000000002"/>
    <n v="2304000"/>
    <n v="0"/>
    <s v="X"/>
    <m/>
    <m/>
    <m/>
    <x v="0"/>
    <x v="0"/>
  </r>
  <r>
    <x v="0"/>
    <x v="0"/>
    <s v="Programas de inversión privada"/>
    <s v="1.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x v="4"/>
    <s v="C3"/>
    <s v="Empresas y organizaciones atendidas"/>
    <n v="48"/>
    <n v="28.799999999999997"/>
    <n v="14.399999999999999"/>
    <n v="50000"/>
    <s v="El costo incluye la contratación de especialistas para brindar Asistencia Técnica en los procesos de implementación de las certificaciones de calidad, materiales para la capacitación y pasantías."/>
    <s v="DIREPRO"/>
    <n v="1439999.9999999998"/>
    <n v="719999.99999999988"/>
    <n v="287999.99999999994"/>
    <n v="287999.99999999994"/>
    <n v="287999.99999999994"/>
    <n v="287999.99999999994"/>
    <n v="287999.99999999994"/>
    <n v="0"/>
    <m/>
    <m/>
    <s v="X"/>
    <m/>
    <x v="0"/>
    <x v="1"/>
  </r>
  <r>
    <x v="0"/>
    <x v="0"/>
    <s v="Programas de inversión pública"/>
    <s v="1.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x v="7"/>
    <s v="C2"/>
    <s v="Organizaciones auto sostenibles"/>
    <n v="48"/>
    <n v="9.6000000000000014"/>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1152000.0000000002"/>
    <n v="1440000"/>
    <n v="230400.00000000006"/>
    <n v="230400.00000000006"/>
    <n v="230400.00000000006"/>
    <n v="230400.00000000006"/>
    <n v="230400.00000000006"/>
    <n v="0"/>
    <m/>
    <m/>
    <s v="X"/>
    <m/>
    <x v="1"/>
    <x v="0"/>
  </r>
  <r>
    <x v="0"/>
    <x v="0"/>
    <s v="Programas de inversión privada"/>
    <s v="1.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x v="8"/>
    <s v="C9"/>
    <s v="Organizaciones certificadas"/>
    <n v="48"/>
    <n v="19.200000000000003"/>
    <n v="19.200000000000003"/>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3840000.0000000005"/>
    <n v="3840000.0000000005"/>
    <n v="768000.00000000012"/>
    <n v="768000.00000000012"/>
    <n v="768000.00000000012"/>
    <n v="768000.00000000012"/>
    <n v="768000.00000000012"/>
    <n v="0"/>
    <m/>
    <m/>
    <s v="X"/>
    <m/>
    <x v="1"/>
    <x v="0"/>
  </r>
  <r>
    <x v="0"/>
    <x v="0"/>
    <s v="Control y vigilancia"/>
    <s v="1.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50000"/>
    <n v="350000"/>
    <n v="350000"/>
    <n v="350000"/>
    <n v="350000"/>
    <n v="350000"/>
    <n v="0"/>
    <s v="X"/>
    <m/>
    <m/>
    <m/>
    <x v="1"/>
    <x v="1"/>
  </r>
  <r>
    <x v="0"/>
    <x v="1"/>
    <s v="Invasiones"/>
    <s v="1.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2572.6683236398999"/>
    <n v="1286.3341618199499"/>
    <n v="1286.3341618199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72668.3236399"/>
    <n v="2572668.3236399"/>
    <n v="257266.83236399002"/>
    <n v="385900.24854598497"/>
    <n v="514533.66472798004"/>
    <n v="771800.49709196994"/>
    <n v="643167.08090997499"/>
    <n v="0"/>
    <m/>
    <m/>
    <s v="X"/>
    <m/>
    <x v="0"/>
    <x v="0"/>
  </r>
  <r>
    <x v="0"/>
    <x v="1"/>
    <s v="Programas de inversión pública"/>
    <s v="1.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x v="2"/>
    <s v="COMP 4 "/>
    <s v="PRODUCCIÓN"/>
    <x v="2"/>
    <s v="C17"/>
    <s v="Unidades semilleristas"/>
    <n v="15"/>
    <n v="7.5"/>
    <n v="7.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112500"/>
    <n v="112500"/>
    <n v="16875"/>
    <n v="22500"/>
    <n v="22500"/>
    <n v="28125"/>
    <n v="22500"/>
    <n v="0"/>
    <m/>
    <s v="X"/>
    <m/>
    <m/>
    <x v="0"/>
    <x v="0"/>
  </r>
  <r>
    <x v="0"/>
    <x v="1"/>
    <s v="Programas de inversión pública"/>
    <s v="1.2.3"/>
    <x v="16"/>
    <s v="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x v="1"/>
    <s v="COMP 1"/>
    <s v="PRODUCCIÓN"/>
    <x v="4"/>
    <s v="C3"/>
    <s v="Productores asistidos"/>
    <n v="5747"/>
    <n v="2586.15"/>
    <n v="3160.850000000000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448244"/>
    <n v="1770076.0000000002"/>
    <n v="289648.8"/>
    <n v="289648.8"/>
    <n v="289648.8"/>
    <n v="289648.8"/>
    <n v="289648.8"/>
    <n v="0"/>
    <m/>
    <m/>
    <s v="X"/>
    <m/>
    <x v="0"/>
    <x v="0"/>
  </r>
  <r>
    <x v="0"/>
    <x v="1"/>
    <s v="Programas de inversión privada"/>
    <s v="1.2.4"/>
    <x v="5"/>
    <s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x v="2"/>
    <s v="COMP 4 "/>
    <s v="PRODUCCIÓN"/>
    <x v="3"/>
    <s v="C12"/>
    <s v="Hectáreas reconvertidas"/>
    <n v="5844"/>
    <n v="584.4"/>
    <n v="584.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8766000"/>
    <n v="8766000"/>
    <n v="1753200"/>
    <n v="1753200"/>
    <n v="1753200"/>
    <n v="1753200"/>
    <n v="1753200"/>
    <n v="0"/>
    <m/>
    <m/>
    <s v="X"/>
    <m/>
    <x v="0"/>
    <x v="0"/>
  </r>
  <r>
    <x v="0"/>
    <x v="1"/>
    <s v="Ingresos y Capital"/>
    <s v="1.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x v="3"/>
    <s v="COMP 11"/>
    <s v="PRODUCCIÓN"/>
    <x v="5"/>
    <s v="C6"/>
    <s v="Productores atendidos"/>
    <n v="5747"/>
    <n v="1724.1"/>
    <n v="1149.40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8534075"/>
    <n v="12356050.000000002"/>
    <n v="1853407.5"/>
    <n v="2780111.25"/>
    <n v="3706815"/>
    <n v="4633518.75"/>
    <n v="5560222.5"/>
    <n v="0"/>
    <s v="X"/>
    <m/>
    <m/>
    <m/>
    <x v="0"/>
    <x v="0"/>
  </r>
  <r>
    <x v="0"/>
    <x v="1"/>
    <s v="Programas de inversión pública"/>
    <s v="1.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
    <s v="NR"/>
    <x v="1"/>
    <x v="4"/>
    <s v="COMP 2"/>
    <s v="PRODUCCIÓN"/>
    <x v="7"/>
    <s v="C2"/>
    <s v="Organizaciones formalizadas y fortalecidas"/>
    <n v="3"/>
    <n v="3"/>
    <n v="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n v="1800000"/>
    <n v="2400000"/>
    <n v="360000"/>
    <n v="360000"/>
    <n v="360000"/>
    <n v="360000"/>
    <n v="360000"/>
    <n v="0"/>
    <m/>
    <m/>
    <s v="X"/>
    <m/>
    <x v="1"/>
    <x v="0"/>
  </r>
  <r>
    <x v="0"/>
    <x v="1"/>
    <s v="Programas de inversión privada"/>
    <s v="1.2.7"/>
    <x v="17"/>
    <s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x v="2"/>
    <s v="COMP 4 "/>
    <s v="PRODUCCIÓN"/>
    <x v="6"/>
    <s v="C7"/>
    <s v="Planes de negocios ejecutados"/>
    <n v="0"/>
    <n v="3"/>
    <n v="4"/>
    <n v="15000"/>
    <s v="Para el logro de los objetivos, se considera el pago de profesionales para la formulación de los planes de negocios que beneficiarían directamente a los pequeños productores."/>
    <n v="0"/>
    <n v="225000"/>
    <n v="300000"/>
    <n v="112500"/>
    <n v="0"/>
    <n v="112500"/>
    <n v="0"/>
    <n v="0"/>
    <n v="0"/>
    <s v="X"/>
    <m/>
    <m/>
    <m/>
    <x v="1"/>
    <x v="0"/>
  </r>
  <r>
    <x v="0"/>
    <x v="1"/>
    <s v="Control y vigilancia"/>
    <s v="1.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50000"/>
    <n v="350000"/>
    <n v="350000"/>
    <n v="350000"/>
    <n v="350000"/>
    <n v="350000"/>
    <n v="0"/>
    <s v="X"/>
    <m/>
    <m/>
    <m/>
    <x v="1"/>
    <x v="1"/>
  </r>
  <r>
    <x v="0"/>
    <x v="2"/>
    <s v="Invasiones"/>
    <s v="1.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5860.2605324035703"/>
    <n v="2930.1302662017852"/>
    <n v="2930.13026620178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860260.5324035706"/>
    <n v="5860260.5324035706"/>
    <n v="586026.05324035708"/>
    <n v="879039.07986053557"/>
    <n v="1172052.1064807142"/>
    <n v="1758078.1597210711"/>
    <n v="1465065.1331008926"/>
    <n v="0"/>
    <m/>
    <m/>
    <s v="X"/>
    <m/>
    <x v="0"/>
    <x v="0"/>
  </r>
  <r>
    <x v="0"/>
    <x v="2"/>
    <s v="Programas de inversión pública"/>
    <s v="1.3.2"/>
    <x v="18"/>
    <s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x v="1"/>
    <s v="C1"/>
    <s v="Ganaderos asistidos"/>
    <n v="2375"/>
    <n v="1425"/>
    <n v="950"/>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8000"/>
    <n v="532000"/>
    <n v="159600"/>
    <n v="159600"/>
    <n v="159600"/>
    <n v="159600"/>
    <n v="159600"/>
    <n v="0"/>
    <m/>
    <m/>
    <s v="X"/>
    <m/>
    <x v="0"/>
    <x v="0"/>
  </r>
  <r>
    <x v="0"/>
    <x v="2"/>
    <s v="Programas de inversión pública"/>
    <s v="1.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x v="2"/>
    <s v="C17"/>
    <s v="Hectáreas intervenidas"/>
    <n v="71251"/>
    <n v="14250.2"/>
    <n v="14250.2"/>
    <n v="500"/>
    <s v="El costo incluye adquisición de semillas, insumos, fertilizantes, entre otras para la producción de plantas agroforestales o coberturas  verdes."/>
    <s v="DRASAM, ICT"/>
    <n v="7125100"/>
    <n v="7125100"/>
    <n v="1068765"/>
    <n v="1068765"/>
    <n v="1425020"/>
    <n v="1781275"/>
    <n v="1781275"/>
    <n v="0"/>
    <m/>
    <m/>
    <s v="X"/>
    <m/>
    <x v="0"/>
    <x v="0"/>
  </r>
  <r>
    <x v="0"/>
    <x v="2"/>
    <s v="Programas de inversión pública"/>
    <s v="1.3.4"/>
    <x v="19"/>
    <s v=" Reactivación, implementación y gestión de las postas de inseminación artificial, material genético, capacitación y entrenamiento a inseminadores (certificar por competencia a través del SINEACE), transferencia de embriones a las granjas de los productores y asistencia técnica."/>
    <s v="R"/>
    <x v="1"/>
    <x v="2"/>
    <s v="COMP 4 "/>
    <s v="PRODUCCIÓN"/>
    <x v="2"/>
    <s v="C17"/>
    <s v="Postas activas y operativas"/>
    <n v="0"/>
    <n v="21"/>
    <n v="21"/>
    <n v="54800"/>
    <s v="Costo por posta reactivada y/o instalada, cada una estará ubicada en punto estratégico para cobertura la mayor cantidad de ganaderos. Considerando la implementación con tanques criogénicos, materiales diversos, pajillas, técnico especialista, movilidad entre otros. "/>
    <s v="DIREPRO"/>
    <n v="5754000"/>
    <n v="5754000"/>
    <n v="1150800"/>
    <n v="1150800"/>
    <n v="1150800"/>
    <n v="1150800"/>
    <n v="1150800"/>
    <n v="0"/>
    <m/>
    <s v="X"/>
    <m/>
    <m/>
    <x v="1"/>
    <x v="0"/>
  </r>
  <r>
    <x v="0"/>
    <x v="2"/>
    <s v="Ingresos y Capital"/>
    <s v="1.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x v="3"/>
    <s v="COMP 11"/>
    <s v="PRODUCCIÓN"/>
    <x v="5"/>
    <s v="C6"/>
    <s v="Ganaderos atendidos"/>
    <n v="2375"/>
    <n v="712.5"/>
    <n v="47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7659375"/>
    <n v="5106250"/>
    <n v="765937.5"/>
    <n v="1148906.25"/>
    <n v="1148906.25"/>
    <n v="2297812.5"/>
    <n v="2297812.5"/>
    <n v="0"/>
    <s v="X"/>
    <m/>
    <m/>
    <m/>
    <x v="0"/>
    <x v="0"/>
  </r>
  <r>
    <x v="0"/>
    <x v="2"/>
    <s v="Programas de inversión pública"/>
    <s v="1.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talecidas"/>
    <n v="24"/>
    <n v="10.8"/>
    <n v="7.1999999999999993"/>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6480000"/>
    <n v="4319999.9999999991"/>
    <n v="1296000"/>
    <n v="1296000"/>
    <n v="1296000"/>
    <n v="1296000"/>
    <n v="1296000"/>
    <n v="0"/>
    <m/>
    <m/>
    <s v="X"/>
    <m/>
    <x v="1"/>
    <x v="0"/>
  </r>
  <r>
    <x v="0"/>
    <x v="2"/>
    <s v="Programas de inversión privada"/>
    <s v="1.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x v="2"/>
    <s v="C17"/>
    <s v="Planes de negocios implementados"/>
    <n v="0"/>
    <n v="20"/>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6000000"/>
    <n v="8000000"/>
    <n v="3200000"/>
    <n v="3200000"/>
    <n v="3200000"/>
    <n v="3200000"/>
    <n v="3200000"/>
    <n v="0"/>
    <s v="X"/>
    <m/>
    <m/>
    <m/>
    <x v="0"/>
    <x v="0"/>
  </r>
  <r>
    <x v="0"/>
    <x v="2"/>
    <s v="Control y vigilancia"/>
    <s v="1.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50000"/>
    <n v="350000"/>
    <n v="350000"/>
    <n v="350000"/>
    <n v="350000"/>
    <n v="350000"/>
    <n v="0"/>
    <s v="X"/>
    <m/>
    <m/>
    <m/>
    <x v="1"/>
    <x v="1"/>
  </r>
  <r>
    <x v="0"/>
    <x v="3"/>
    <s v="Invasiones"/>
    <s v="1.4.1"/>
    <x v="20"/>
    <s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_x000a_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
    <s v="NR"/>
    <x v="0"/>
    <x v="0"/>
    <s v="COMP 8"/>
    <s v="PROTECCIÓN-GOBERNANZA"/>
    <x v="0"/>
    <s v="C5"/>
    <s v="Comunidades tituladas"/>
    <n v="63"/>
    <n v="63"/>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4488750"/>
    <n v="0"/>
    <n v="897750"/>
    <n v="897750"/>
    <n v="897750"/>
    <n v="897750"/>
    <n v="897750"/>
    <n v="0"/>
    <m/>
    <m/>
    <s v="X"/>
    <m/>
    <x v="1"/>
    <x v="0"/>
  </r>
  <r>
    <x v="0"/>
    <x v="3"/>
    <s v="Programas de inversión pública"/>
    <s v="1.4.2"/>
    <x v="21"/>
    <s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x v="6"/>
    <s v="COMP 5"/>
    <s v="PROTECCIÓN"/>
    <x v="1"/>
    <s v="C1"/>
    <s v="Productor asistido"/>
    <n v="6900"/>
    <n v="4140"/>
    <n v="276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318400"/>
    <n v="1545600"/>
    <n v="463680"/>
    <n v="463680"/>
    <n v="463680"/>
    <n v="463680"/>
    <n v="463680"/>
    <n v="0"/>
    <m/>
    <m/>
    <s v="X"/>
    <m/>
    <x v="0"/>
    <x v="0"/>
  </r>
  <r>
    <x v="0"/>
    <x v="3"/>
    <s v="Programas de inversión privada"/>
    <s v="1.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x v="7"/>
    <s v="COMP 6"/>
    <s v="PROTECCIÓN"/>
    <x v="10"/>
    <s v="C8"/>
    <s v="Planes de negocio"/>
    <n v="0"/>
    <n v="40"/>
    <n v="40"/>
    <n v="15000"/>
    <s v="Se contratará profesionales para el asesoramiento y formulación de planes de negocios de las Comunidades Nativas."/>
    <s v="Drasam, Agroideas"/>
    <n v="600000"/>
    <n v="600000"/>
    <n v="120000"/>
    <n v="120000"/>
    <n v="120000"/>
    <n v="120000"/>
    <n v="120000"/>
    <n v="0"/>
    <s v="X"/>
    <m/>
    <m/>
    <m/>
    <x v="0"/>
    <x v="1"/>
  </r>
  <r>
    <x v="0"/>
    <x v="3"/>
    <s v="Programas de inversión pública"/>
    <s v="1.4.4"/>
    <x v="23"/>
    <s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x v="4"/>
    <s v="COMP 2"/>
    <s v="PRODUCCIÓN"/>
    <x v="7"/>
    <s v="C2"/>
    <s v="Comunidades fortalecidas"/>
    <n v="66"/>
    <n v="39.6"/>
    <n v="26.400000000000002"/>
    <n v="288000"/>
    <s v="Contratación de especialistas para dar acompañamiento y seguimiento a los procesos organizativos de las CCNN de forma permanente."/>
    <s v="Drasam, Direpro, Dircetur, ARA, CODEPISAM"/>
    <n v="1440000"/>
    <n v="1440000"/>
    <n v="288000"/>
    <n v="288000"/>
    <n v="288000"/>
    <n v="288000"/>
    <n v="288000"/>
    <n v="0"/>
    <m/>
    <m/>
    <s v="X"/>
    <m/>
    <x v="0"/>
    <x v="1"/>
  </r>
  <r>
    <x v="0"/>
    <x v="3"/>
    <s v="Programas de inversión privada"/>
    <s v="1.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x v="5"/>
    <s v="COMP 3"/>
    <s v="PRODUCCIÓN"/>
    <x v="8"/>
    <s v="C9"/>
    <s v="Especialistas"/>
    <n v="0"/>
    <n v="5"/>
    <n v="5"/>
    <n v="3500"/>
    <s v="Contratación de especialista para identificación, acompañamiento y seguimiento a los procesos comerciales iniciados por las organizaciones de las CCNN"/>
    <s v="Drasam, Direpro, Dircetur, ARA, OPIPs"/>
    <n v="1050000"/>
    <n v="1050000"/>
    <n v="210000"/>
    <n v="210000"/>
    <n v="210000"/>
    <n v="210000"/>
    <n v="210000"/>
    <n v="0"/>
    <s v="X"/>
    <m/>
    <m/>
    <m/>
    <x v="0"/>
    <x v="1"/>
  </r>
  <r>
    <x v="0"/>
    <x v="3"/>
    <s v="Invasiones"/>
    <s v="1.4.6"/>
    <x v="25"/>
    <s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
    <s v="NR"/>
    <x v="2"/>
    <x v="3"/>
    <s v="COMP 11"/>
    <s v="PROTECCIÓN"/>
    <x v="5"/>
    <s v="C6"/>
    <s v="Comunidades atendidas"/>
    <n v="9"/>
    <n v="30"/>
    <n v="27"/>
    <n v="5000"/>
    <s v="El costo esta referido a los gastos administrativos y logísticos que impliquen la elaboración del expediente para ser presentado a los programas de incentivos. "/>
    <s v="Gerencia Regional de Desarrollo Social, Programa Geo bosques, CODEPISAM"/>
    <n v="750000"/>
    <n v="675000"/>
    <n v="150000"/>
    <n v="150000"/>
    <n v="150000"/>
    <n v="150000"/>
    <n v="150000"/>
    <n v="0"/>
    <m/>
    <m/>
    <s v="X"/>
    <m/>
    <x v="1"/>
    <x v="0"/>
  </r>
  <r>
    <x v="0"/>
    <x v="3"/>
    <s v="Programas de inversión pública"/>
    <s v="1.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x v="8"/>
    <s v="COMP 9"/>
    <s v="INCLUSION"/>
    <x v="11"/>
    <s v="C14"/>
    <s v="Módulos implementados"/>
    <n v="6600"/>
    <n v="1980"/>
    <n v="2640"/>
    <n v="30000"/>
    <s v="Implementación según las necesidades identificadas en cada comunidad, considerando si son aplicables en dichas zonas, si no hay restricciones de cualquier índole. "/>
    <s v="Goresam, MIDIS, DRTyTC, Drasam,Foncodes, Cooperación, CODEPISAM"/>
    <n v="59400000"/>
    <n v="79200000"/>
    <n v="11880000"/>
    <n v="11880000"/>
    <n v="11880000"/>
    <n v="11880000"/>
    <n v="11880000"/>
    <n v="0"/>
    <m/>
    <m/>
    <s v="X"/>
    <m/>
    <x v="1"/>
    <x v="1"/>
  </r>
  <r>
    <x v="0"/>
    <x v="3"/>
    <s v="Programas de inversión pública"/>
    <s v="1.4.8"/>
    <x v="27"/>
    <s v="Implementación de proyectos enfocados a mejorar los servicios básicos de las comunidades nativas, dichos servicios deberán contar con profesionales bilingües, para asegurar y garantizar la adecuada transferencia de dichos servicios.  "/>
    <s v="NR"/>
    <x v="0"/>
    <x v="8"/>
    <s v="COMP 9"/>
    <s v="INCLUSION"/>
    <x v="11"/>
    <s v="C14"/>
    <s v="Escuelas y postas médicas implementadas"/>
    <n v="66"/>
    <n v="36"/>
    <n v="30"/>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7000000"/>
    <n v="22500000"/>
    <n v="5400000"/>
    <n v="5400000"/>
    <n v="5400000"/>
    <n v="5400000"/>
    <n v="5400000"/>
    <n v="0"/>
    <s v="X"/>
    <m/>
    <m/>
    <m/>
    <x v="0"/>
    <x v="0"/>
  </r>
  <r>
    <x v="0"/>
    <x v="4"/>
    <s v="Programas de inversión privada"/>
    <s v="1.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x v="5"/>
    <s v="C6"/>
    <s v="Planes de negocio"/>
    <n v="14"/>
    <n v="8.4"/>
    <n v="5.6000000000000005"/>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260000"/>
    <n v="840000.00000000012"/>
    <n v="252000"/>
    <n v="252000"/>
    <n v="252000"/>
    <n v="252000"/>
    <n v="252000"/>
    <n v="0"/>
    <s v="X"/>
    <m/>
    <m/>
    <m/>
    <x v="0"/>
    <x v="1"/>
  </r>
  <r>
    <x v="0"/>
    <x v="4"/>
    <s v="Programas de inversión pública"/>
    <s v="1.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x v="1"/>
    <s v="C1"/>
    <s v="Especialistas"/>
    <n v="0"/>
    <n v="3"/>
    <n v="3"/>
    <n v="4000"/>
    <s v="Contratación de especialista y gastos logísticos, pasantías regionales y nacionales para adquisición de know how en materia de turismo rural"/>
    <s v="Dircetur"/>
    <n v="720000"/>
    <n v="720000"/>
    <n v="144000"/>
    <n v="144000"/>
    <n v="144000"/>
    <n v="144000"/>
    <n v="144000"/>
    <n v="0"/>
    <m/>
    <m/>
    <s v="X"/>
    <m/>
    <x v="0"/>
    <x v="0"/>
  </r>
  <r>
    <x v="0"/>
    <x v="4"/>
    <s v="Programas de inversión privada"/>
    <s v="1.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x v="10"/>
    <s v="C8"/>
    <s v="Planes de negocio"/>
    <n v="0"/>
    <n v="7"/>
    <n v="7"/>
    <n v="150000"/>
    <s v="El costo hace referencia al proceso de implementación y funcionamiento de los productos para el desarrollo de  los emprendimientos."/>
    <s v="Dircetur, Agroideas"/>
    <n v="1050000"/>
    <n v="1050000"/>
    <n v="210000"/>
    <n v="210000"/>
    <n v="210000"/>
    <n v="210000"/>
    <n v="210000"/>
    <n v="0"/>
    <s v="X"/>
    <m/>
    <m/>
    <m/>
    <x v="0"/>
    <x v="0"/>
  </r>
  <r>
    <x v="0"/>
    <x v="4"/>
    <s v="Programas de inversión privada"/>
    <s v="1.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x v="12"/>
    <s v="C11"/>
    <s v="Rutas turísticas promocionados"/>
    <n v="0"/>
    <n v="7"/>
    <n v="7"/>
    <n v="40000"/>
    <s v="Participación en eventos de promoción (ferias regionales y nacionales, Fam Trip), el costo cubrirá gastos logísticos y administrativos de los operadores turísticos identificados "/>
    <s v="Mincetur, Dircetur"/>
    <n v="1400000"/>
    <n v="1400000"/>
    <n v="280000"/>
    <n v="280000"/>
    <n v="280000"/>
    <n v="280000"/>
    <n v="280000"/>
    <n v="0"/>
    <m/>
    <m/>
    <s v="X"/>
    <m/>
    <x v="0"/>
    <x v="0"/>
  </r>
  <r>
    <x v="0"/>
    <x v="5"/>
    <s v="Invasiones"/>
    <s v="1.6.1"/>
    <x v="31"/>
    <s v="Realizar un sinceramiento de las concesiones forestales activas e inactivas para excluir o realizar nuevos otorgamientos a empresas que puedan cumplir técnica y económicamente con lo predispuesto en la directiva."/>
    <s v="NR"/>
    <x v="0"/>
    <x v="0"/>
    <s v="COMP 8"/>
    <s v="PROTECCIÓN-GOBERNANZA"/>
    <x v="0"/>
    <s v="C5"/>
    <s v="N° de concesiones "/>
    <n v="0"/>
    <n v="9"/>
    <n v="10"/>
    <n v="30000"/>
    <s v="Gastos operativos y logísticos para la elaboración de expedientes técnicos sustentatorios para los procesos legales y administrativos que conllevan dicho procedimiento."/>
    <s v="ARA, SERFOR, MINAM"/>
    <n v="270000"/>
    <n v="300000"/>
    <n v="54000"/>
    <n v="108000"/>
    <n v="108000"/>
    <n v="0"/>
    <n v="0"/>
    <n v="0"/>
    <m/>
    <m/>
    <s v="X"/>
    <m/>
    <x v="1"/>
    <x v="0"/>
  </r>
  <r>
    <x v="0"/>
    <x v="5"/>
    <s v="Programas de inversión privada"/>
    <s v="1.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x v="3"/>
    <s v="COMP 11"/>
    <s v="PROTECCIÓN"/>
    <x v="5"/>
    <s v="C6"/>
    <s v="Créditos otorgados"/>
    <n v="0"/>
    <n v="5"/>
    <n v="10"/>
    <n v="150000"/>
    <s v="El costo incluye los gastos operativos y logísticos para la extracción de la madera de acuerdo al plan de extracción y la implementación de los planes de manejo. ambiental."/>
    <s v="ARA, SERFOR, MINAM"/>
    <n v="750000"/>
    <n v="1500000"/>
    <n v="150000"/>
    <n v="150000"/>
    <n v="150000"/>
    <n v="150000"/>
    <n v="150000"/>
    <n v="0"/>
    <s v="X"/>
    <m/>
    <m/>
    <m/>
    <x v="0"/>
    <x v="0"/>
  </r>
  <r>
    <x v="0"/>
    <x v="5"/>
    <s v="Programas de inversión pública"/>
    <s v="1.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inactivas, al menos el 60% se reactiven y cierren los contratos pendientes por ejecutar. "/>
    <s v="R"/>
    <x v="0"/>
    <x v="0"/>
    <s v="COMP 8"/>
    <s v="HABILITANTE"/>
    <x v="13"/>
    <s v="C21"/>
    <s v="Concesiones reactivadas"/>
    <n v="0"/>
    <n v="5"/>
    <n v="0"/>
    <n v="20000"/>
    <s v="Gastos operativos y logísticos para la elaboración de expedientes técnicos sustentatorios para los procesos legales y administrativos que conllevan dicho procedimiento."/>
    <s v="ARA, SERFOR, MINAM"/>
    <n v="100000"/>
    <n v="0"/>
    <n v="20000"/>
    <n v="20000"/>
    <n v="20000"/>
    <n v="20000"/>
    <n v="20000"/>
    <n v="0"/>
    <m/>
    <m/>
    <s v="X"/>
    <m/>
    <x v="1"/>
    <x v="2"/>
  </r>
  <r>
    <x v="0"/>
    <x v="6"/>
    <s v="Control y vigilancia"/>
    <s v="1.7.1"/>
    <x v="34"/>
    <s v="Campañas de sensibilización en los distritos acentuadas en las zonas de amortiguamiento, considerando la participación del ARA, DRASAM, DIRCETUR, GRDS.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x v="6"/>
    <s v="COMP 5"/>
    <s v="PROTECCIÓN-GOBERNANZA"/>
    <x v="14"/>
    <s v="C4"/>
    <s v="Campañas de sensibilización"/>
    <n v="0"/>
    <n v="81"/>
    <n v="81"/>
    <n v="8000"/>
    <s v="Campañas de sensibilización con equipos técnicos de las instituciones involucradas, gastos logísticos, impresión de material de difusión, publicidad radial, televisiva y escrita."/>
    <s v="ARA, SERFOR, SERNANP, CIMA"/>
    <n v="3240000"/>
    <n v="3240000"/>
    <n v="648000"/>
    <n v="648000"/>
    <n v="648000"/>
    <n v="648000"/>
    <n v="648000"/>
    <n v="0"/>
    <m/>
    <m/>
    <s v="X"/>
    <m/>
    <x v="0"/>
    <x v="0"/>
  </r>
  <r>
    <x v="0"/>
    <x v="6"/>
    <s v="Control y vigilancia"/>
    <s v="1.7.2"/>
    <x v="35"/>
    <s v="Implementar con recursos necesarios al ente que administra el área, con la finalidad de aumentar el número de personas (guardaparques) que contribuyan a realizar acciones de control y vigilancia."/>
    <s v="NR"/>
    <x v="2"/>
    <x v="6"/>
    <s v="COMP 5"/>
    <s v="PROTECCIÓN-GOBERNANZA"/>
    <x v="14"/>
    <s v="C4"/>
    <s v="Número de guardaparques"/>
    <n v="0"/>
    <n v="18"/>
    <n v="18"/>
    <n v="2000"/>
    <s v="Contratación a guardaparques para garantizar el control y vigilancia del área otorgada."/>
    <s v="ARA, SERFOR, SERNANP, CIMA"/>
    <n v="2160000"/>
    <n v="2160000"/>
    <n v="432000"/>
    <n v="432000"/>
    <n v="432000"/>
    <n v="432000"/>
    <n v="432000"/>
    <n v="0"/>
    <m/>
    <m/>
    <s v="X"/>
    <m/>
    <x v="0"/>
    <x v="0"/>
  </r>
  <r>
    <x v="0"/>
    <x v="6"/>
    <s v="Programas de inversión pública"/>
    <s v="1.7.3"/>
    <x v="36"/>
    <s v="Promover la planificación comunal en centros poblados del interior en base a la zonificación y zona de amortiguamiento teniendo como base al Plan Maestro (incluye acuerdos de conservación)"/>
    <s v="NR"/>
    <x v="0"/>
    <x v="8"/>
    <s v="COMP 9"/>
    <s v="HABILITANTE"/>
    <x v="15"/>
    <s v="C10"/>
    <s v="Planes de gestión comunal"/>
    <n v="0"/>
    <n v="81"/>
    <n v="135"/>
    <n v="10000"/>
    <s v="Contratación de servicios profesionales para la elaboración de los planes de gestión comunal."/>
    <s v="ARA, SERFOR, SERNANP, CIMA"/>
    <n v="810000"/>
    <n v="1350000"/>
    <n v="162000"/>
    <n v="162000"/>
    <n v="162000"/>
    <n v="162000"/>
    <n v="162000"/>
    <n v="0"/>
    <m/>
    <m/>
    <s v="X"/>
    <m/>
    <x v="1"/>
    <x v="0"/>
  </r>
  <r>
    <x v="0"/>
    <x v="6"/>
    <s v="Programas de inversión privada"/>
    <s v="1.7.4"/>
    <x v="37"/>
    <s v="Campañas de promoción y difusión en el ámbito regional y nacional de los circuitos turísticos que existen en la zona de amortiguamiento. acorde al plan maestro del parque.  "/>
    <s v="NR"/>
    <x v="2"/>
    <x v="7"/>
    <s v="COMP 6"/>
    <s v="PROTECCIÓN"/>
    <x v="12"/>
    <s v="C11"/>
    <s v="Campañas de promoción"/>
    <n v="0"/>
    <n v="54"/>
    <n v="54"/>
    <n v="4000"/>
    <s v="Campañas de promoción que incluye, impresión de material de difusión, publicidad radial, televisiva y escrita."/>
    <s v="ARA, SERFOR, SERNANP, CIMA"/>
    <n v="1080000"/>
    <n v="1080000"/>
    <n v="216000"/>
    <n v="216000"/>
    <n v="216000"/>
    <n v="216000"/>
    <n v="216000"/>
    <n v="0"/>
    <m/>
    <s v="X"/>
    <m/>
    <m/>
    <x v="1"/>
    <x v="0"/>
  </r>
  <r>
    <x v="0"/>
    <x v="6"/>
    <s v="Programas de inversión privada"/>
    <s v="1.7.5"/>
    <x v="38"/>
    <s v="Realizar pasantías focalizadas en aquellos sectores claves que se necesita intervenir para disminuir la presión del parque."/>
    <s v="NR"/>
    <x v="2"/>
    <x v="7"/>
    <s v="COMP 6"/>
    <s v="PROTECCIÓN"/>
    <x v="12"/>
    <s v="C11"/>
    <s v="Pasantías"/>
    <n v="0"/>
    <n v="54"/>
    <n v="54"/>
    <n v="5000"/>
    <s v="El costo hace referencia a los gastos de pasajes, alimentación y otros para un grupo de 20 productores por pasantía."/>
    <s v="ARA, SERFOR, SERNANP, CIMA"/>
    <n v="1350000"/>
    <n v="1350000"/>
    <n v="270000"/>
    <n v="270000"/>
    <n v="270000"/>
    <n v="270000"/>
    <n v="270000"/>
    <n v="0"/>
    <m/>
    <s v="X"/>
    <m/>
    <m/>
    <x v="1"/>
    <x v="0"/>
  </r>
  <r>
    <x v="0"/>
    <x v="7"/>
    <s v="Programas de inversión pública"/>
    <s v="1.8.1"/>
    <x v="36"/>
    <s v="Promover la planificación comunal en centros poblados en base a la zonificación y zona de amortiguamiento teniendo como base al Plan Maestro (incluye acuerdos de conservación)"/>
    <s v="NR"/>
    <x v="0"/>
    <x v="8"/>
    <s v="COMP 9"/>
    <s v="PROTECCIÓN"/>
    <x v="12"/>
    <s v="C11"/>
    <s v="Planes de gestión comunal"/>
    <n v="0"/>
    <n v="18"/>
    <n v="18"/>
    <n v="10000"/>
    <s v="Contratación de servicios profesionales para la elaboración de los planes de gestión comunal."/>
    <s v="ARA, SERFOR, SERNANP, CIMA"/>
    <n v="180000"/>
    <n v="180000"/>
    <n v="36000"/>
    <n v="36000"/>
    <n v="36000"/>
    <n v="36000"/>
    <n v="36000"/>
    <n v="0"/>
    <m/>
    <m/>
    <s v="X"/>
    <m/>
    <x v="1"/>
    <x v="0"/>
  </r>
  <r>
    <x v="0"/>
    <x v="7"/>
    <s v="Programas de inversión privada"/>
    <s v="1.8.2"/>
    <x v="37"/>
    <s v="Campañas de promoción y difusión en el ámbito regional y nacional de los circuitos turísticos que existen en la zona de amortiguamiento. acorde al plan maestro del parque.  "/>
    <s v="NR"/>
    <x v="2"/>
    <x v="7"/>
    <s v="COMP 6"/>
    <s v="PROTECCIÓN"/>
    <x v="12"/>
    <s v="C11"/>
    <s v="Campañas de promoción"/>
    <n v="0"/>
    <n v="36"/>
    <n v="36"/>
    <n v="4000"/>
    <s v="Campañas de promoción que incluye, impresión de material de difusión, publicidad radial, televisiva y escrita."/>
    <s v="ARA, SERFOR, SERNANP, CIMA"/>
    <n v="720000"/>
    <n v="720000"/>
    <n v="144000"/>
    <n v="144000"/>
    <n v="144000"/>
    <n v="144000"/>
    <n v="144000"/>
    <n v="0"/>
    <m/>
    <s v="X"/>
    <m/>
    <m/>
    <x v="1"/>
    <x v="0"/>
  </r>
  <r>
    <x v="0"/>
    <x v="7"/>
    <s v="Programas de inversión privada"/>
    <s v="1.8.3"/>
    <x v="39"/>
    <s v="Realizar pasantías focalizadas en aquellos sectores claves que se necesita intervenir para disminuir la presión del parque."/>
    <s v="NR"/>
    <x v="2"/>
    <x v="7"/>
    <s v="COMP 6"/>
    <s v="PROTECCIÓN"/>
    <x v="12"/>
    <s v="C11"/>
    <s v="Pasantías"/>
    <n v="0"/>
    <n v="36"/>
    <n v="36"/>
    <n v="5000"/>
    <s v="El costo hace referencia a los gastos de pasajes, alimentación y otros para un grupo de 20 productores por pasantía."/>
    <s v="ARA, SERFOR, SERNANP, CIMA"/>
    <n v="900000"/>
    <n v="900000"/>
    <n v="180000"/>
    <n v="180000"/>
    <n v="180000"/>
    <n v="180000"/>
    <n v="180000"/>
    <n v="0"/>
    <m/>
    <s v="X"/>
    <m/>
    <m/>
    <x v="1"/>
    <x v="0"/>
  </r>
  <r>
    <x v="0"/>
    <x v="8"/>
    <s v="Invasiones"/>
    <s v="1.9.1"/>
    <x v="40"/>
    <s v="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
    <s v="NR"/>
    <x v="0"/>
    <x v="0"/>
    <s v="COMP 8"/>
    <s v="PROTECCIÓN-GOBERNANZA"/>
    <x v="0"/>
    <s v="C5"/>
    <s v="Ha. con categoría territorial asignada"/>
    <n v="37076.060156214648"/>
    <n v="18538.030078107324"/>
    <n v="18538.030078107324"/>
    <n v="15"/>
    <s v="Para la implementación de las intervención será mecesario la contratación de especialistas para realizar las acciones que comtemplen dicha actividad. Gastos logísticos y trámites documentarios."/>
    <s v="GRSM - DEGT"/>
    <n v="278070.45117160986"/>
    <n v="278070.45117160986"/>
    <n v="55614.090234321979"/>
    <n v="55614.090234321979"/>
    <n v="55614.090234321979"/>
    <n v="55614.090234321979"/>
    <n v="55614.090234321979"/>
    <n v="0"/>
    <m/>
    <s v="X"/>
    <m/>
    <m/>
    <x v="1"/>
    <x v="0"/>
  </r>
  <r>
    <x v="0"/>
    <x v="8"/>
    <s v="Control y vigilancia"/>
    <s v="1.9.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20"/>
    <n v="20"/>
    <n v="150"/>
    <s v="Considera materiales de capacitación, alimentación a capacitados en el área cercana a su comunidad y gastos de capacitadores"/>
    <s v="GRSM - DEGT"/>
    <n v="3000"/>
    <n v="3000"/>
    <n v="3000"/>
    <n v="0"/>
    <n v="0"/>
    <n v="0"/>
    <n v="0"/>
    <n v="0"/>
    <m/>
    <s v="X"/>
    <m/>
    <m/>
    <x v="1"/>
    <x v="1"/>
  </r>
  <r>
    <x v="0"/>
    <x v="8"/>
    <s v="Control y vigilancia"/>
    <s v="1.9.3"/>
    <x v="42"/>
    <s v="Dependiendo de la categoría forestal a ser aplicada, se realizará un plan/declaración acorde la unidad, en el marco de la ley forestal y fauna silvestre N° 29763."/>
    <s v="NR"/>
    <x v="0"/>
    <x v="0"/>
    <s v="COMP 8"/>
    <s v="PROTECCIÓN-GOBERNANZA"/>
    <x v="0"/>
    <s v="C5"/>
    <s v="N° Planes / Declaraciones elaborados"/>
    <n v="0"/>
    <n v="5"/>
    <n v="5"/>
    <n v="10000"/>
    <s v="Se considera la contratación de profesionales para la elaboración de los expedientes y/o declaraciones identificadas en los diferentes procesos."/>
    <s v="GRSM - DEGT"/>
    <n v="50000"/>
    <n v="50000"/>
    <n v="15000"/>
    <n v="15000"/>
    <n v="20000"/>
    <n v="0"/>
    <n v="0"/>
    <n v="0"/>
    <m/>
    <s v="X"/>
    <m/>
    <m/>
    <x v="1"/>
    <x v="1"/>
  </r>
  <r>
    <x v="0"/>
    <x v="8"/>
    <s v="Invasiones"/>
    <s v="1.9.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37076.060156214648"/>
    <n v="18538.030078107324"/>
    <n v="18538.030078107324"/>
    <n v="1"/>
    <s v="Contratación de dos profesioales para agilizar procesos con sunarp."/>
    <s v="GRSM - DEGT"/>
    <n v="18538.030078107324"/>
    <n v="18538.030078107324"/>
    <n v="3707.6060156214648"/>
    <n v="3707.6060156214648"/>
    <n v="3707.6060156214648"/>
    <n v="3707.6060156214648"/>
    <n v="3707.6060156214648"/>
    <n v="0"/>
    <m/>
    <s v="X"/>
    <m/>
    <m/>
    <x v="1"/>
    <x v="1"/>
  </r>
  <r>
    <x v="0"/>
    <x v="9"/>
    <s v="Invasiones"/>
    <s v="1.10.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x v="0"/>
    <s v="C5"/>
    <s v="Ha. con categoría territorial asignada"/>
    <n v="237645.43945778001"/>
    <n v="118822.71972889001"/>
    <n v="118822.71972889001"/>
    <n v="15"/>
    <s v="Para la implementación de las intervención será mecesario la contratación de especialistas para realizar las acciones que comtemplen dicha actividad. Gastos logísticos y trámites documentarios."/>
    <s v="GRSM - DEGT"/>
    <n v="1782340.79593335"/>
    <n v="1782340.79593335"/>
    <n v="356468.15918667003"/>
    <n v="356468.15918667003"/>
    <n v="356468.15918667003"/>
    <n v="356468.15918667003"/>
    <n v="356468.15918667003"/>
    <n v="0"/>
    <m/>
    <s v="X"/>
    <m/>
    <m/>
    <x v="1"/>
    <x v="0"/>
  </r>
  <r>
    <x v="0"/>
    <x v="9"/>
    <s v="Control y vigilancia"/>
    <s v="1.10.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100"/>
    <n v="80"/>
    <n v="150"/>
    <s v="Considera materiales de capacitación, alimentación a capacitados en el área cercana a su comunidad y gastos de capacitadores"/>
    <s v="GRSM - DEGT"/>
    <n v="15000"/>
    <n v="12000"/>
    <n v="15000"/>
    <n v="0"/>
    <n v="0"/>
    <n v="0"/>
    <n v="0"/>
    <n v="0"/>
    <m/>
    <s v="X"/>
    <m/>
    <m/>
    <x v="1"/>
    <x v="1"/>
  </r>
  <r>
    <x v="0"/>
    <x v="9"/>
    <s v="Control y vigilancia"/>
    <s v="1.10.3"/>
    <x v="42"/>
    <s v="Dependiendo de la categoría forestal a ser aplicada, se realizará un plan/declaración acorde a la unidad, en el marco de la ley forestal y fauna silvestre N° 29763."/>
    <s v="NR"/>
    <x v="0"/>
    <x v="0"/>
    <s v="COMP 8"/>
    <s v="PROTECCIÓN-GOBERNANZA"/>
    <x v="0"/>
    <s v="C5"/>
    <s v="N° Planes / Declaraciones elaborados"/>
    <n v="0"/>
    <n v="10"/>
    <n v="10"/>
    <n v="10000"/>
    <s v="Se considera la contratación de profesionales para la elaboración de los expedientes y/o declaraciones identificadas en los diferentes procesos."/>
    <s v="GRSM - DEGT"/>
    <n v="100000"/>
    <n v="100000"/>
    <n v="30000"/>
    <n v="30000"/>
    <n v="40000"/>
    <n v="0"/>
    <n v="0"/>
    <n v="0"/>
    <m/>
    <s v="X"/>
    <m/>
    <m/>
    <x v="1"/>
    <x v="1"/>
  </r>
  <r>
    <x v="0"/>
    <x v="9"/>
    <s v="Invasiones"/>
    <s v="1.10.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237645.43945778001"/>
    <n v="118822.71972889001"/>
    <n v="118822.71972889001"/>
    <n v="1"/>
    <s v="Contratación de dos profesioales para agilizar procesos con sunarp."/>
    <s v="GRSM - DEGT"/>
    <n v="118822.71972889001"/>
    <n v="118822.71972889001"/>
    <n v="23764.543945778001"/>
    <n v="23764.543945778001"/>
    <n v="23764.543945778001"/>
    <n v="23764.543945778001"/>
    <n v="23764.543945778001"/>
    <n v="0"/>
    <m/>
    <s v="X"/>
    <m/>
    <m/>
    <x v="1"/>
    <x v="1"/>
  </r>
  <r>
    <x v="0"/>
    <x v="9"/>
    <s v="Ingresos y Capital"/>
    <s v="1.10.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x v="0"/>
    <s v="C5"/>
    <s v="Hectáreas restauradas"/>
    <n v="0"/>
    <n v="44125.567761421902"/>
    <n v="44125.567761421902"/>
    <n v="500"/>
    <s v="El costo incluye la restauración de una hectárea, esta actividad se desarrollara de acuerdo a la metodología propuesta por el ARA, en coordinación con los productores seleccionados."/>
    <s v="ARA"/>
    <n v="22062783.880710952"/>
    <n v="22062783.880710952"/>
    <n v="22062783.880710952"/>
    <n v="0"/>
    <n v="0"/>
    <n v="0"/>
    <n v="0"/>
    <n v="0"/>
    <m/>
    <s v="X"/>
    <m/>
    <m/>
    <x v="1"/>
    <x v="0"/>
  </r>
  <r>
    <x v="0"/>
    <x v="10"/>
    <s v="Programas de inversión pública"/>
    <s v="1.11.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8"/>
    <s v="HABILITANTE"/>
    <x v="16"/>
    <s v="C18"/>
    <s v="Acuerdos con rondas campesinas"/>
    <n v="0"/>
    <n v="25"/>
    <n v="29"/>
    <n v="2500"/>
    <s v="Reuniones con los diferentes actores involucrados y la sociedad civil para llegar a acuerdos de no deforestación, lo cual incluye  gastos logísticos en general."/>
    <s v="GRDS, ARA"/>
    <n v="312500"/>
    <n v="362500"/>
    <n v="62500"/>
    <n v="62500"/>
    <n v="62500"/>
    <n v="62500"/>
    <n v="62500"/>
    <n v="0"/>
    <m/>
    <m/>
    <s v="X"/>
    <m/>
    <x v="0"/>
    <x v="0"/>
  </r>
  <r>
    <x v="0"/>
    <x v="10"/>
    <s v="Programas de inversión pública"/>
    <s v="1.11.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 Esta intervención será apoyada por las organizaciones formales de rondas campesinas rondas nativa si comités de monitoreo."/>
    <s v="NR"/>
    <x v="2"/>
    <x v="6"/>
    <s v="COMP 5"/>
    <s v="HABILITANTE"/>
    <x v="16"/>
    <s v="C18"/>
    <s v="Especialistas"/>
    <n v="0"/>
    <n v="5"/>
    <n v="5"/>
    <n v="5000"/>
    <s v="Contratación de especialistas para realizar monitoreo de la cobertura de bosque, desde los diferentes órganos competentes. "/>
    <s v="ARA, Serfor, Sernanp"/>
    <n v="1500000"/>
    <n v="1500000"/>
    <n v="300000"/>
    <n v="300000"/>
    <n v="300000"/>
    <n v="300000"/>
    <n v="300000"/>
    <n v="0"/>
    <m/>
    <s v="X"/>
    <m/>
    <m/>
    <x v="0"/>
    <x v="0"/>
  </r>
  <r>
    <x v="0"/>
    <x v="10"/>
    <s v="Programas de inversión pública"/>
    <s v="1.11.3"/>
    <x v="48"/>
    <s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x v="9"/>
    <s v="COMP 10"/>
    <s v="HABILITANTE"/>
    <x v="16"/>
    <s v="C18"/>
    <s v="Kilómetros mejorados"/>
    <n v="2864"/>
    <n v="286.40000000000003"/>
    <n v="286.40000000000003"/>
    <n v="800000"/>
    <s v="Costo promedio por km2 de vía mejorada o asfaltada"/>
    <s v="DRTyTC"/>
    <n v="229120000.00000003"/>
    <n v="229120000.00000003"/>
    <n v="45824000.000000007"/>
    <n v="45824000.000000007"/>
    <n v="45824000.000000007"/>
    <n v="45824000.000000007"/>
    <n v="45824000.000000007"/>
    <n v="0"/>
    <s v="X"/>
    <m/>
    <m/>
    <m/>
    <x v="2"/>
    <x v="0"/>
  </r>
  <r>
    <x v="0"/>
    <x v="10"/>
    <s v="Programas de inversión pública"/>
    <s v="1.11.4"/>
    <x v="49"/>
    <s v="Se cuenta con 160,810 Ha con probabilidad alta y muy alta para restauración, de las cuales 9,430.30 ha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x v="6"/>
    <s v="COMP 5"/>
    <s v="HABILITANTE"/>
    <x v="16"/>
    <s v="C18"/>
    <s v="Hectáreas restauradas"/>
    <n v="128243.81000000001"/>
    <n v="32060.952500000003"/>
    <n v="25648.762000000002"/>
    <n v="500"/>
    <s v="El costo incluye la restauración de una hectárea, esta actividad se desarrollara de acuerdo a la metodología propuesta por el ARA, en coordinación con los productores seleccionados."/>
    <s v="ARA"/>
    <n v="16030476.250000002"/>
    <n v="12824381.000000002"/>
    <n v="3206095.2500000005"/>
    <n v="3206095.2500000005"/>
    <n v="3206095.2500000005"/>
    <n v="3206095.2500000005"/>
    <n v="3206095.2500000005"/>
    <n v="0"/>
    <m/>
    <m/>
    <s v="X"/>
    <m/>
    <x v="0"/>
    <x v="0"/>
  </r>
  <r>
    <x v="0"/>
    <x v="10"/>
    <s v="Programas de inversión pública"/>
    <s v="1.11.5"/>
    <x v="50"/>
    <s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
    <s v="NR"/>
    <x v="0"/>
    <x v="9"/>
    <s v="COMP 10"/>
    <s v="HABILITANTE"/>
    <x v="16"/>
    <s v="C18"/>
    <s v="Centros educativos y postas médicas  implementados"/>
    <n v="0"/>
    <n v="10"/>
    <n v="16"/>
    <n v="3500000"/>
    <s v="El presupuesto esta relacionado a la implementación de la infraestructura, mobiliario y materiales educativos necesarios para que se brinde un servicio de calidad a los niños que aún no reciben dicho servicio de manera permanente. El presupuesto esta relacionado a la implementación de la infraestructura, equipos, materiales, insumos necesarios para que se brinde un servicio de calidad a la población que requiere dicho servicio "/>
    <s v="Colegio de ingenieros de San Martín / GRDS"/>
    <n v="35000000"/>
    <n v="56000000"/>
    <n v="7000000"/>
    <n v="7000000"/>
    <n v="7000000"/>
    <n v="7000000"/>
    <n v="7000000"/>
    <n v="0"/>
    <m/>
    <s v="X"/>
    <m/>
    <m/>
    <x v="0"/>
    <x v="0"/>
  </r>
  <r>
    <x v="0"/>
    <x v="10"/>
    <s v="Programas de inversión pública"/>
    <s v="1.11.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
    <s v="NR"/>
    <x v="0"/>
    <x v="8"/>
    <s v="COMP 9"/>
    <s v="HABILITANTE"/>
    <x v="16"/>
    <s v="C18"/>
    <s v="N° campañas"/>
    <n v="0"/>
    <n v="140"/>
    <n v="280"/>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RDS"/>
    <n v="3500000"/>
    <n v="7000000"/>
    <n v="700000"/>
    <n v="700000"/>
    <n v="700000"/>
    <n v="700000"/>
    <n v="700000"/>
    <n v="0"/>
    <m/>
    <s v="X"/>
    <m/>
    <m/>
    <x v="0"/>
    <x v="0"/>
  </r>
  <r>
    <x v="0"/>
    <x v="10"/>
    <s v="Programas de inversión pública"/>
    <s v="1.11.7"/>
    <x v="52"/>
    <s v="Promoción al acceso de la marca con los productores que cumplan los criterios de elegibilidad solicitados por el programa, como una estrategia de ubicar mercados diferenciados para los productos provenientes de estas zonas."/>
    <s v="NR"/>
    <x v="1"/>
    <x v="5"/>
    <s v="COMP 3"/>
    <s v="HABILITANTE"/>
    <x v="16"/>
    <s v="C18"/>
    <s v="N° de empresas que acceden a la marca."/>
    <n v="0"/>
    <n v="30"/>
    <n v="40"/>
    <n v="3000"/>
    <s v="El costo incluye: Una inspección anual anunciada,  elaboración de informe de inspección, administración y comunicación, certificación según los estándares de la marca."/>
    <s v="Dircetur, Drasam"/>
    <n v="450000"/>
    <n v="600000"/>
    <n v="90000"/>
    <n v="90000"/>
    <n v="90000"/>
    <n v="90000"/>
    <n v="90000"/>
    <n v="0"/>
    <m/>
    <m/>
    <s v="X"/>
    <m/>
    <x v="2"/>
    <x v="1"/>
  </r>
  <r>
    <x v="1"/>
    <x v="0"/>
    <s v="Invasiones"/>
    <s v="2.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20410.639082625901"/>
    <n v="10205.319541312951"/>
    <n v="10205.3195413129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0410639.082625899"/>
    <n v="20410639.082625899"/>
    <n v="2041063.9082625899"/>
    <n v="3061595.8623938849"/>
    <n v="4082127.8165251799"/>
    <n v="6123191.7247877698"/>
    <n v="5102659.7706564749"/>
    <n v="0"/>
    <m/>
    <m/>
    <s v="X"/>
    <m/>
    <x v="0"/>
    <x v="0"/>
  </r>
  <r>
    <x v="1"/>
    <x v="0"/>
    <s v="Programas de inversión pública"/>
    <s v="2.1.2"/>
    <x v="1"/>
    <s v="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x v="1"/>
    <s v="COMP 1"/>
    <s v="PRODUCCIÓN"/>
    <x v="1"/>
    <s v="C1"/>
    <s v="Productores asistidos"/>
    <n v="29531"/>
    <n v="17718.599999999999"/>
    <n v="11812.40000000000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9922416"/>
    <n v="6614944.0000000009"/>
    <n v="1984483.2000000002"/>
    <n v="1984483.2000000002"/>
    <n v="1984483.2000000002"/>
    <n v="1984483.2000000002"/>
    <n v="1984483.2000000002"/>
    <n v="0"/>
    <m/>
    <m/>
    <s v="X"/>
    <m/>
    <x v="0"/>
    <x v="1"/>
  </r>
  <r>
    <x v="1"/>
    <x v="0"/>
    <s v="Programas de inversión pública"/>
    <s v="2.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x v="2"/>
    <s v="C17"/>
    <s v="Hectáreas intervenidas"/>
    <n v="65935"/>
    <n v="19780.5"/>
    <n v="19780.5"/>
    <n v="500"/>
    <s v="El costo incluye adquisición de semillas, insumos, fertilizantes, entre otras para la producción de plantas agroforestales o coberturas  verdes."/>
    <s v="DRASAM"/>
    <n v="9890250"/>
    <n v="9890250"/>
    <n v="1978050"/>
    <n v="1978050"/>
    <n v="1978050"/>
    <n v="1978050"/>
    <n v="1978050"/>
    <n v="0"/>
    <m/>
    <m/>
    <s v="X"/>
    <m/>
    <x v="1"/>
    <x v="1"/>
  </r>
  <r>
    <x v="1"/>
    <x v="0"/>
    <s v="Programas de inversión pública"/>
    <s v="2.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x v="2"/>
    <s v="C17"/>
    <s v="hectáreas fertilizadas"/>
    <n v="65935"/>
    <n v="13187"/>
    <n v="19780.5"/>
    <n v="2500"/>
    <s v="El costo incluye un análisis de suelos, paquete de fertilización según los resultados del análisis y la adquisición de fertilizantes. El costo incluye los tres abonamientos requeridos en una campaña (1 año)."/>
    <s v="Drasam"/>
    <n v="32967500"/>
    <n v="49451250"/>
    <n v="6593500"/>
    <n v="6593500"/>
    <n v="6593500"/>
    <n v="6593500"/>
    <n v="6593500"/>
    <n v="0"/>
    <m/>
    <m/>
    <s v="X"/>
    <m/>
    <x v="0"/>
    <x v="0"/>
  </r>
  <r>
    <x v="1"/>
    <x v="0"/>
    <s v="Programas de inversión privada"/>
    <s v="2.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x v="2"/>
    <s v="COMP 4 "/>
    <s v="PRODUCCIÓN"/>
    <x v="2"/>
    <s v="C17"/>
    <s v="Hectáreas con sistemas de riego"/>
    <n v="65935"/>
    <n v="3296.75"/>
    <n v="4615.4500000000007"/>
    <n v="11500"/>
    <s v="El costo incluye la instalación de un sistema completo y un paquete de fertilización para la primera campaña. El costo va depender del tipo de cultivo, tipo de sistema y el tipo de materiales a usar en los sistemas de fertirriego."/>
    <s v="DRASAM"/>
    <n v="37912625"/>
    <n v="53077675.000000007"/>
    <n v="7582525"/>
    <n v="7582525"/>
    <n v="7582525"/>
    <n v="7582525"/>
    <n v="7582525"/>
    <n v="0"/>
    <m/>
    <m/>
    <s v="X"/>
    <m/>
    <x v="0"/>
    <x v="0"/>
  </r>
  <r>
    <x v="1"/>
    <x v="0"/>
    <s v="Programas de inversión privada"/>
    <s v="2.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x v="3"/>
    <s v="C12"/>
    <s v="Hectáreas reconvertidas/diversificadas"/>
    <n v="13187"/>
    <n v="1318.7"/>
    <n v="1318.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19780500"/>
    <n v="19780500"/>
    <n v="3956100"/>
    <n v="3956100"/>
    <n v="3956100"/>
    <n v="3956100"/>
    <n v="3956100"/>
    <n v="0"/>
    <s v="X"/>
    <m/>
    <m/>
    <m/>
    <x v="0"/>
    <x v="1"/>
  </r>
  <r>
    <x v="1"/>
    <x v="0"/>
    <s v="Programas de inversión pública"/>
    <s v="2.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x v="4"/>
    <s v="C3"/>
    <s v="Productores beneficiados"/>
    <n v="29531"/>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76189980.000000015"/>
    <n v="7618998.0000000019"/>
    <n v="7618998.0000000019"/>
    <n v="7618998.0000000019"/>
    <n v="7618998.0000000019"/>
    <n v="7618998.0000000019"/>
    <n v="0"/>
    <m/>
    <m/>
    <s v="X"/>
    <m/>
    <x v="0"/>
    <x v="0"/>
  </r>
  <r>
    <x v="1"/>
    <x v="0"/>
    <s v="Programas de inversión pública"/>
    <s v="2.1.8"/>
    <x v="7"/>
    <s v="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x v="2"/>
    <s v="COMP 4 "/>
    <s v="PRODUCCIÓN"/>
    <x v="1"/>
    <s v="C1"/>
    <s v="Acuicultores asistidos"/>
    <n v="324"/>
    <n v="324"/>
    <n v="324"/>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181440"/>
    <n v="181440"/>
    <n v="36288"/>
    <n v="36288"/>
    <n v="36288"/>
    <n v="36288"/>
    <n v="36288"/>
    <n v="0"/>
    <m/>
    <m/>
    <s v="X"/>
    <m/>
    <x v="0"/>
    <x v="0"/>
  </r>
  <r>
    <x v="1"/>
    <x v="0"/>
    <s v="Ingresos y Capital"/>
    <s v="2.1.9"/>
    <x v="8"/>
    <s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x v="5"/>
    <s v="C6"/>
    <s v="Créditos otorgados"/>
    <n v="324"/>
    <n v="324"/>
    <n v="324"/>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4179600"/>
    <n v="4179600"/>
    <n v="835920"/>
    <n v="835920"/>
    <n v="835920"/>
    <n v="835920"/>
    <n v="835920"/>
    <n v="0"/>
    <s v="X"/>
    <m/>
    <m/>
    <m/>
    <x v="0"/>
    <x v="0"/>
  </r>
  <r>
    <x v="1"/>
    <x v="0"/>
    <s v="Ingresos y Capital"/>
    <s v="2.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x v="5"/>
    <s v="C6"/>
    <s v="Créditos otorgados"/>
    <n v="29531"/>
    <n v="8859.2999999999993"/>
    <n v="5906.200000000000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GRDE"/>
    <n v="95237474.999999985"/>
    <n v="63491650.000000007"/>
    <n v="19047494.999999996"/>
    <n v="19047494.999999996"/>
    <n v="19047494.999999996"/>
    <n v="19047494.999999996"/>
    <n v="19047494.999999996"/>
    <n v="0"/>
    <s v="X"/>
    <m/>
    <m/>
    <m/>
    <x v="0"/>
    <x v="0"/>
  </r>
  <r>
    <x v="1"/>
    <x v="0"/>
    <s v="Programas de inversión privada"/>
    <s v="2.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x v="6"/>
    <s v="C7"/>
    <s v="Planes de negocios/proyectos ejecutados"/>
    <n v="47"/>
    <n v="18.8"/>
    <n v="11.28"/>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15040000"/>
    <n v="9024000"/>
    <n v="3008000"/>
    <n v="3008000"/>
    <n v="3008000"/>
    <n v="3008000"/>
    <n v="3008000"/>
    <n v="0"/>
    <s v="X"/>
    <m/>
    <m/>
    <m/>
    <x v="0"/>
    <x v="0"/>
  </r>
  <r>
    <x v="1"/>
    <x v="0"/>
    <s v="Programas de inversión privada"/>
    <s v="2.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x v="4"/>
    <s v="C3"/>
    <s v="Empresas y organizaciones atendidas"/>
    <n v="47"/>
    <n v="18.8"/>
    <n v="14.1"/>
    <n v="50000"/>
    <s v="El costo incluye la contratación de especialistas para brindar Asistencia Técnica en los procesos de implementación de las certificaciones de calidad, materiales para la capacitación y pasantías."/>
    <s v="DIREPRO"/>
    <n v="940000"/>
    <n v="705000"/>
    <n v="188000"/>
    <n v="188000"/>
    <n v="188000"/>
    <n v="188000"/>
    <n v="188000"/>
    <n v="0"/>
    <m/>
    <m/>
    <s v="X"/>
    <m/>
    <x v="0"/>
    <x v="0"/>
  </r>
  <r>
    <x v="1"/>
    <x v="0"/>
    <s v="Programas de inversión pública"/>
    <s v="2.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x v="7"/>
    <s v="C2"/>
    <s v="Organizaciones auto sostenibles"/>
    <n v="47"/>
    <n v="14.1"/>
    <n v="28.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8460000"/>
    <n v="16920000"/>
    <n v="1692000"/>
    <n v="1692000"/>
    <n v="1692000"/>
    <n v="1692000"/>
    <n v="1692000"/>
    <n v="0"/>
    <m/>
    <m/>
    <s v="X"/>
    <m/>
    <x v="1"/>
    <x v="0"/>
  </r>
  <r>
    <x v="1"/>
    <x v="0"/>
    <s v="Programas de inversión privada"/>
    <s v="2.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x v="8"/>
    <s v="C9"/>
    <s v="Organizaciones certificadas"/>
    <n v="47"/>
    <n v="14.1"/>
    <n v="18.8"/>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20000"/>
    <n v="3760000"/>
    <n v="564000"/>
    <n v="564000"/>
    <n v="564000"/>
    <n v="564000"/>
    <n v="564000"/>
    <n v="0"/>
    <m/>
    <m/>
    <s v="X"/>
    <m/>
    <x v="1"/>
    <x v="0"/>
  </r>
  <r>
    <x v="1"/>
    <x v="0"/>
    <s v="Control y vigilancia"/>
    <s v="2.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0000"/>
    <n v="100000"/>
    <n v="100000"/>
    <n v="100000"/>
    <n v="100000"/>
    <n v="100000"/>
    <n v="0"/>
    <s v="X"/>
    <m/>
    <m/>
    <m/>
    <x v="1"/>
    <x v="1"/>
  </r>
  <r>
    <x v="1"/>
    <x v="1"/>
    <s v="Invasiones"/>
    <s v="2.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1265.8133615517399"/>
    <n v="632.90668077586997"/>
    <n v="632.90668077586997"/>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265813.36155174"/>
    <n v="1265813.36155174"/>
    <n v="126581.33615517401"/>
    <n v="189872.00423276098"/>
    <n v="253162.67231034802"/>
    <n v="379744.00846552197"/>
    <n v="316453.34038793499"/>
    <n v="0"/>
    <m/>
    <m/>
    <s v="X"/>
    <m/>
    <x v="0"/>
    <x v="0"/>
  </r>
  <r>
    <x v="1"/>
    <x v="1"/>
    <s v="Programas de inversión pública"/>
    <s v="2.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x v="2"/>
    <s v="COMP 4 "/>
    <s v="PRODUCCIÓN"/>
    <x v="2"/>
    <s v="C17"/>
    <s v="Unidades semilleristas"/>
    <n v="10"/>
    <n v="5"/>
    <n v="5"/>
    <n v="15000"/>
    <s v="El costo Incluye la adquirió de semillas certificadas, los pagos y trámites al CORESE  y los Servicios de Asistencia Técnica especializada. No incluye costos de alquiler de terrenos. Con respecto al fortalecimiento del INIA, se espera que el MINAGRI, asigne un mayor presupuesto para este rubro."/>
    <s v="DRASAM"/>
    <n v="75000"/>
    <n v="75000"/>
    <n v="15000"/>
    <n v="15000"/>
    <n v="15000"/>
    <n v="15000"/>
    <n v="15000"/>
    <n v="0"/>
    <m/>
    <s v="X"/>
    <m/>
    <m/>
    <x v="0"/>
    <x v="0"/>
  </r>
  <r>
    <x v="1"/>
    <x v="1"/>
    <s v="Programas de inversión pública"/>
    <s v="2.2.3"/>
    <x v="16"/>
    <s v="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x v="1"/>
    <s v="COMP 1"/>
    <s v="PRODUCCIÓN"/>
    <x v="4"/>
    <s v="C3"/>
    <s v="Productores asistidos"/>
    <n v="3741"/>
    <n v="1870.5"/>
    <n v="1122.3"/>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47480"/>
    <n v="628488"/>
    <n v="209496"/>
    <n v="209496"/>
    <n v="209496"/>
    <n v="209496"/>
    <n v="209496"/>
    <n v="0"/>
    <m/>
    <m/>
    <s v="X"/>
    <m/>
    <x v="0"/>
    <x v="1"/>
  </r>
  <r>
    <x v="1"/>
    <x v="1"/>
    <s v="Programas de inversión privada"/>
    <s v="2.2.4"/>
    <x v="5"/>
    <s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x v="2"/>
    <s v="COMP 4 "/>
    <s v="PRODUCCIÓN"/>
    <x v="3"/>
    <s v="C12"/>
    <s v="Hectáreas reconvertidas"/>
    <n v="3804.2000000000003"/>
    <n v="380.42000000000007"/>
    <n v="380.4200000000000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5706300.0000000009"/>
    <n v="5706300.0000000009"/>
    <n v="1141260.0000000002"/>
    <n v="1141260.0000000002"/>
    <n v="1141260.0000000002"/>
    <n v="1141260.0000000002"/>
    <n v="1141260.0000000002"/>
    <n v="0"/>
    <m/>
    <m/>
    <s v="X"/>
    <m/>
    <x v="0"/>
    <x v="0"/>
  </r>
  <r>
    <x v="1"/>
    <x v="1"/>
    <s v="Ingresos y Capital"/>
    <s v="2.2.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x v="3"/>
    <s v="COMP 11"/>
    <s v="PRODUCCIÓN"/>
    <x v="5"/>
    <s v="C6"/>
    <s v="Productores atendidos"/>
    <n v="3741"/>
    <n v="1122.3"/>
    <n v="748.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2064725"/>
    <n v="8043150.0000000009"/>
    <n v="2412945"/>
    <n v="2412945"/>
    <n v="2412945"/>
    <n v="2412945"/>
    <n v="2412945"/>
    <n v="0"/>
    <s v="X"/>
    <m/>
    <m/>
    <m/>
    <x v="0"/>
    <x v="0"/>
  </r>
  <r>
    <x v="1"/>
    <x v="1"/>
    <s v="Programas de inversión pública"/>
    <s v="2.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malizadas y fortalecidas"/>
    <n v="5"/>
    <n v="5"/>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3000000"/>
    <n v="3000000"/>
    <n v="600000"/>
    <n v="600000"/>
    <n v="600000"/>
    <n v="600000"/>
    <n v="600000"/>
    <n v="0"/>
    <m/>
    <m/>
    <s v="X"/>
    <m/>
    <x v="1"/>
    <x v="0"/>
  </r>
  <r>
    <x v="1"/>
    <x v="1"/>
    <s v="Programas de inversión privada"/>
    <s v="2.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x v="2"/>
    <s v="COMP 4 "/>
    <s v="PRODUCCIÓN"/>
    <x v="6"/>
    <s v="C7"/>
    <s v="Planes de negocios ejecutados"/>
    <n v="0"/>
    <n v="5"/>
    <n v="5"/>
    <n v="15000"/>
    <s v="Para el logro de los objetivos, se considera el pago de profesionales para la formulación de los planes de negocios que beneficiarían directamente a los pequeños productores."/>
    <s v="DRASAM"/>
    <n v="375000"/>
    <n v="375000"/>
    <n v="187500"/>
    <n v="0"/>
    <n v="187500"/>
    <n v="0"/>
    <n v="0"/>
    <n v="0"/>
    <s v="X"/>
    <m/>
    <m/>
    <m/>
    <x v="1"/>
    <x v="1"/>
  </r>
  <r>
    <x v="1"/>
    <x v="1"/>
    <s v="Control y vigilancia"/>
    <s v="2.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0000"/>
    <n v="100000"/>
    <n v="100000"/>
    <n v="100000"/>
    <n v="100000"/>
    <n v="100000"/>
    <n v="0"/>
    <s v="X"/>
    <m/>
    <m/>
    <m/>
    <x v="1"/>
    <x v="0"/>
  </r>
  <r>
    <x v="1"/>
    <x v="2"/>
    <s v="Invasiones"/>
    <s v="2.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877.84859269436697"/>
    <n v="438.92429634718349"/>
    <n v="438.9242963471834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877848.59269436693"/>
    <n v="877848.59269436693"/>
    <n v="87784.859269436696"/>
    <n v="131677.28890415502"/>
    <n v="175569.71853887339"/>
    <n v="263354.57780831004"/>
    <n v="219462.14817359173"/>
    <n v="0"/>
    <m/>
    <m/>
    <s v="X"/>
    <m/>
    <x v="0"/>
    <x v="0"/>
  </r>
  <r>
    <x v="1"/>
    <x v="2"/>
    <s v="Programas de inversión pública"/>
    <s v="2.3.2"/>
    <x v="18"/>
    <s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x v="1"/>
    <s v="C1"/>
    <s v="Ganaderos asistidos"/>
    <n v="1424"/>
    <n v="1424"/>
    <n v="1424"/>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7440"/>
    <n v="797440"/>
    <n v="159488"/>
    <n v="159488"/>
    <n v="159488"/>
    <n v="159488"/>
    <n v="159488"/>
    <n v="0"/>
    <m/>
    <m/>
    <s v="X"/>
    <m/>
    <x v="0"/>
    <x v="0"/>
  </r>
  <r>
    <x v="1"/>
    <x v="2"/>
    <s v="Programas de inversión pública"/>
    <s v="2.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x v="2"/>
    <s v="C17"/>
    <s v="Hectáreas intervenidas"/>
    <n v="14015"/>
    <n v="2803"/>
    <n v="2803"/>
    <n v="500"/>
    <s v="El costo incluye adquisición de semillas, insumos, fertilizantes, entre otras para la producción de plantas agroforestales o coberturas  verdes."/>
    <s v="DRASAM"/>
    <n v="1401500"/>
    <n v="1401500"/>
    <n v="280300"/>
    <n v="280300"/>
    <n v="280300"/>
    <n v="280300"/>
    <n v="280300"/>
    <n v="0"/>
    <m/>
    <m/>
    <s v="X"/>
    <m/>
    <x v="0"/>
    <x v="0"/>
  </r>
  <r>
    <x v="1"/>
    <x v="2"/>
    <s v="Programas de inversión pública"/>
    <s v="2.3.4"/>
    <x v="19"/>
    <s v="Reactivación, implementación y gestión de las postas de inseminación artificial, importación de material genético (pajillas de semen), capacitación y entrenamiento a inseminadores, transferencia de embriones a las granjas de los productores y asistencia técnica."/>
    <s v="R"/>
    <x v="1"/>
    <x v="2"/>
    <s v="COMP 4 "/>
    <s v="PRODUCCIÓN"/>
    <x v="2"/>
    <s v="C17"/>
    <s v="Postas activas y operativas"/>
    <n v="0"/>
    <n v="5"/>
    <n v="5"/>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1370000"/>
    <n v="1370000"/>
    <n v="274000"/>
    <n v="274000"/>
    <n v="274000"/>
    <n v="274000"/>
    <n v="274000"/>
    <n v="0"/>
    <m/>
    <s v="X"/>
    <m/>
    <m/>
    <x v="1"/>
    <x v="0"/>
  </r>
  <r>
    <x v="1"/>
    <x v="2"/>
    <s v="Ingresos y Capital"/>
    <s v="2.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x v="3"/>
    <s v="COMP 11"/>
    <s v="PRODUCCIÓN"/>
    <x v="5"/>
    <s v="C6"/>
    <s v="Ganaderos atendidos"/>
    <n v="1424"/>
    <n v="427.2"/>
    <n v="284.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4592400"/>
    <n v="3061600"/>
    <n v="918480"/>
    <n v="918480"/>
    <n v="918480"/>
    <n v="918480"/>
    <n v="918480"/>
    <n v="0"/>
    <s v="X"/>
    <m/>
    <m/>
    <m/>
    <x v="0"/>
    <x v="0"/>
  </r>
  <r>
    <x v="1"/>
    <x v="2"/>
    <s v="Programas de inversión pública"/>
    <s v="2.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talecidas"/>
    <n v="0"/>
    <n v="12"/>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0"/>
    <n v="7200000"/>
    <n v="1440000"/>
    <n v="1440000"/>
    <n v="1440000"/>
    <n v="1440000"/>
    <n v="1440000"/>
    <n v="0"/>
    <m/>
    <m/>
    <s v="X"/>
    <m/>
    <x v="1"/>
    <x v="0"/>
  </r>
  <r>
    <x v="1"/>
    <x v="2"/>
    <s v="Programas de inversión privada"/>
    <s v="2.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x v="2"/>
    <s v="C17"/>
    <s v="Planes de negocios implementados"/>
    <n v="0"/>
    <n v="15"/>
    <n v="15"/>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2000000"/>
    <n v="12000000"/>
    <n v="2400000"/>
    <n v="2400000"/>
    <n v="2400000"/>
    <n v="2400000"/>
    <n v="2400000"/>
    <n v="0"/>
    <s v="X"/>
    <m/>
    <m/>
    <m/>
    <x v="0"/>
    <x v="1"/>
  </r>
  <r>
    <x v="1"/>
    <x v="2"/>
    <s v="Control y vigilancia"/>
    <s v="2.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0000"/>
    <n v="100000"/>
    <n v="100000"/>
    <n v="100000"/>
    <n v="100000"/>
    <n v="100000"/>
    <n v="0"/>
    <s v="X"/>
    <m/>
    <m/>
    <m/>
    <x v="1"/>
    <x v="2"/>
  </r>
  <r>
    <x v="1"/>
    <x v="3"/>
    <s v="Invasiones"/>
    <s v="2.4.1"/>
    <x v="53"/>
    <s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_x000a_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
    <s v="NR"/>
    <x v="0"/>
    <x v="0"/>
    <s v="COMP 8"/>
    <s v="PROTECCIÓN"/>
    <x v="17"/>
    <s v="C20"/>
    <s v="Porcentaje de conflictos resueltos"/>
    <n v="0"/>
    <n v="14"/>
    <n v="0"/>
    <n v="420000"/>
    <s v="Gastos logísticos y administrativos para implementar reuniones con los actores involucrados, con la finalidad de solucionar los diferentes conflictos entre las CCNN y los productores, así mismo se  brindará asesoramiento legal y técnico a las CCNN para la solución de los conflicto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2100000"/>
    <n v="0"/>
    <n v="420000"/>
    <n v="420000"/>
    <n v="420000"/>
    <n v="420000"/>
    <n v="420000"/>
    <n v="0"/>
    <m/>
    <m/>
    <s v="X"/>
    <m/>
    <x v="1"/>
    <x v="0"/>
  </r>
  <r>
    <x v="1"/>
    <x v="3"/>
    <s v="Programas de inversión pública"/>
    <s v="2.4.2"/>
    <x v="21"/>
    <s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x v="6"/>
    <s v="COMP 5"/>
    <s v="PROTECCIÓN"/>
    <x v="1"/>
    <s v="C1"/>
    <s v="Productor asistido"/>
    <n v="1500"/>
    <n v="900"/>
    <n v="6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504000"/>
    <n v="336000"/>
    <n v="100800"/>
    <n v="100800"/>
    <n v="100800"/>
    <n v="100800"/>
    <n v="100800"/>
    <n v="0"/>
    <m/>
    <m/>
    <s v="X"/>
    <m/>
    <x v="0"/>
    <x v="0"/>
  </r>
  <r>
    <x v="1"/>
    <x v="3"/>
    <s v="Programas de inversión privada"/>
    <s v="2.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x v="7"/>
    <s v="COMP 6"/>
    <s v="PROTECCIÓN"/>
    <x v="10"/>
    <s v="C8"/>
    <s v="Planes de negocio"/>
    <n v="0"/>
    <n v="45"/>
    <n v="30"/>
    <n v="15000"/>
    <s v="Se contratará profesionales para el asesoramiento y formulación de planes de negocios de las Comunidades Nativas y Campesinas."/>
    <s v="Drasam, Agroideas"/>
    <n v="675000"/>
    <n v="450000"/>
    <n v="135000"/>
    <n v="135000"/>
    <n v="135000"/>
    <n v="135000"/>
    <n v="135000"/>
    <n v="0"/>
    <s v="X"/>
    <m/>
    <m/>
    <m/>
    <x v="0"/>
    <x v="1"/>
  </r>
  <r>
    <x v="1"/>
    <x v="3"/>
    <s v="Programas de inversión pública"/>
    <s v="2.4.4"/>
    <x v="23"/>
    <s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x v="4"/>
    <s v="COMP 2"/>
    <s v="PRODUCCIÓN"/>
    <x v="7"/>
    <s v="C2"/>
    <s v="Comunidades fortalecidas"/>
    <n v="0"/>
    <n v="15"/>
    <n v="15"/>
    <n v="144000"/>
    <s v="Contratación de especialistas para dar acompañamiento y seguimiento a los procesos organizativos de las CCNN de forma permanente."/>
    <s v="Drasam, Direpro, Dircetur, ARA, CODEPISAM"/>
    <n v="10800000"/>
    <n v="10800000"/>
    <n v="2160000"/>
    <n v="2160000"/>
    <n v="2160000"/>
    <n v="2160000"/>
    <n v="2160000"/>
    <n v="0"/>
    <m/>
    <m/>
    <s v="X"/>
    <m/>
    <x v="0"/>
    <x v="1"/>
  </r>
  <r>
    <x v="1"/>
    <x v="3"/>
    <s v="Programas de inversión privada"/>
    <s v="2.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x v="5"/>
    <s v="COMP 3"/>
    <s v="PRODUCCIÓN"/>
    <x v="8"/>
    <s v="C9"/>
    <s v="Especialistas"/>
    <n v="0"/>
    <n v="2"/>
    <n v="2"/>
    <n v="3500"/>
    <s v="Contratación de especialista para identificación, acompañamiento y seguimiento a los procesos comerciales iniciados por las organizaciones de las CCNN"/>
    <s v="Drasam, Direpro, Dircetur, ARA, OPIPs"/>
    <n v="420000"/>
    <n v="420000"/>
    <n v="84000"/>
    <n v="84000"/>
    <n v="84000"/>
    <n v="84000"/>
    <n v="84000"/>
    <n v="0"/>
    <s v="X"/>
    <m/>
    <m/>
    <m/>
    <x v="0"/>
    <x v="1"/>
  </r>
  <r>
    <x v="1"/>
    <x v="3"/>
    <s v="Invasiones"/>
    <s v="2.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x v="3"/>
    <s v="COMP 11"/>
    <s v="PROTECCIÓN"/>
    <x v="5"/>
    <s v="C6"/>
    <s v="Comunidades atendidas"/>
    <n v="4"/>
    <n v="9"/>
    <n v="6"/>
    <n v="5000"/>
    <s v="El costo esta referido a los gastos administrativos y logísticos que impliquen la elaboración del expediente para ser presentado al programa. "/>
    <s v="Gerencia Regional de Desarrollo Social, Programa Geo bosques"/>
    <n v="225000"/>
    <n v="150000"/>
    <n v="45000"/>
    <n v="45000"/>
    <n v="45000"/>
    <n v="45000"/>
    <n v="45000"/>
    <n v="0"/>
    <m/>
    <m/>
    <s v="X"/>
    <m/>
    <x v="1"/>
    <x v="0"/>
  </r>
  <r>
    <x v="1"/>
    <x v="3"/>
    <s v="Programas de inversión pública"/>
    <s v="2.4.7"/>
    <x v="26"/>
    <s v="Con el soporte de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x v="8"/>
    <s v="COMP 9"/>
    <s v="INCLUSION"/>
    <x v="11"/>
    <s v="C14"/>
    <s v="Módulos implementados"/>
    <n v="1500"/>
    <n v="450"/>
    <n v="300"/>
    <n v="30000"/>
    <s v="Implementación según las necesidades identificadas en cada comunidad, considerando si son aplicables en dichas zonas, si no hay restricciones de cualquier índole. "/>
    <s v="Goresam, MIDIS, DRTyTC, Drasam,Foncodes, Cooperación"/>
    <n v="13500000"/>
    <n v="9000000"/>
    <n v="2700000"/>
    <n v="2700000"/>
    <n v="2700000"/>
    <n v="2700000"/>
    <n v="2700000"/>
    <n v="0"/>
    <m/>
    <m/>
    <s v="X"/>
    <m/>
    <x v="1"/>
    <x v="1"/>
  </r>
  <r>
    <x v="1"/>
    <x v="3"/>
    <s v="Programas de inversión pública"/>
    <s v="2.4.8"/>
    <x v="27"/>
    <s v="Implementación de proyectos enfocados a mejorar los servicios básicos de las comunidades nativas, dichos servicios deberán contar con profesionales bilingües, para asegurar y garantizar la adecuada transferencia de dichos servicios.  "/>
    <s v="NR"/>
    <x v="0"/>
    <x v="8"/>
    <s v="COMP 9"/>
    <s v="INCLUSION"/>
    <x v="11"/>
    <s v="C14"/>
    <s v="Escuelas y postas médicas implementadas"/>
    <n v="15"/>
    <n v="8"/>
    <n v="7"/>
    <n v="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000000"/>
    <n v="1750000"/>
    <n v="400000"/>
    <n v="400000"/>
    <n v="400000"/>
    <n v="400000"/>
    <n v="400000"/>
    <n v="0"/>
    <s v="X"/>
    <m/>
    <m/>
    <m/>
    <x v="0"/>
    <x v="0"/>
  </r>
  <r>
    <x v="1"/>
    <x v="4"/>
    <s v="Ingresos y Capital"/>
    <s v="2.5.1"/>
    <x v="55"/>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x v="5"/>
    <s v="C6"/>
    <s v="Planes de negocio"/>
    <n v="4"/>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0000"/>
    <n v="120000"/>
    <n v="120000"/>
    <n v="120000"/>
    <n v="120000"/>
    <n v="120000"/>
    <n v="0"/>
    <s v="X"/>
    <m/>
    <m/>
    <m/>
    <x v="2"/>
    <x v="0"/>
  </r>
  <r>
    <x v="1"/>
    <x v="4"/>
    <s v="Programas de inversión pública"/>
    <s v="2.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x v="1"/>
    <s v="C1"/>
    <s v="Especialistas"/>
    <n v="0"/>
    <n v="2"/>
    <n v="2"/>
    <n v="4000"/>
    <s v="Contratación de especialista y gastos logísticos, pasantías regionales y nacionales para adquisición de know how en materia de turismo rural"/>
    <s v="Dircetur"/>
    <n v="480000"/>
    <n v="480000"/>
    <n v="240000"/>
    <n v="240000"/>
    <n v="0"/>
    <n v="0"/>
    <n v="0"/>
    <n v="0"/>
    <m/>
    <m/>
    <s v="X"/>
    <m/>
    <x v="2"/>
    <x v="0"/>
  </r>
  <r>
    <x v="1"/>
    <x v="4"/>
    <s v="Programas de inversión privada"/>
    <s v="2.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x v="10"/>
    <s v="C8"/>
    <s v="Planes de negocio"/>
    <n v="0"/>
    <n v="4"/>
    <n v="8"/>
    <n v="150000"/>
    <s v="El costo hace referencia al proceso de implementación y funcionamiento de los productos para el desarrollo de  los emprendimientos."/>
    <s v="Dircetur, Agroideas"/>
    <n v="600000"/>
    <n v="1200000"/>
    <n v="120000"/>
    <n v="120000"/>
    <n v="120000"/>
    <n v="120000"/>
    <n v="120000"/>
    <n v="0"/>
    <s v="X"/>
    <m/>
    <m/>
    <m/>
    <x v="0"/>
    <x v="0"/>
  </r>
  <r>
    <x v="1"/>
    <x v="4"/>
    <s v="Programas de inversión privada"/>
    <s v="2.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x v="12"/>
    <s v="C11"/>
    <s v="Rutas turísticas promocionados"/>
    <n v="0"/>
    <n v="4"/>
    <n v="4"/>
    <n v="40000"/>
    <s v="Participación en eventos de promoción (ferias regionales y nacionales, Fam Trip), el costo cubrirá gastos logísticos y administrativos de los operadores turísticos identificados "/>
    <s v="Mincetur, Dircetur"/>
    <n v="800000"/>
    <n v="800000"/>
    <n v="160000"/>
    <n v="160000"/>
    <n v="160000"/>
    <n v="160000"/>
    <n v="160000"/>
    <n v="0"/>
    <m/>
    <m/>
    <s v="X"/>
    <m/>
    <x v="2"/>
    <x v="0"/>
  </r>
  <r>
    <x v="1"/>
    <x v="11"/>
    <s v="Control y vigilancia"/>
    <s v="2.6.1"/>
    <x v="35"/>
    <s v="Implementar con recursos necesarios al ente que administra el área, con la finalidad de aumentar el número de personas (guardaparques) que contribuyan a realizar acciones de control y vigilancia."/>
    <s v="NR"/>
    <x v="2"/>
    <x v="6"/>
    <s v="COMP 5"/>
    <s v="PROTECCIÓN-GOBERNANZA"/>
    <x v="14"/>
    <s v="C4"/>
    <s v="Número de guardaparques"/>
    <n v="0"/>
    <n v="10"/>
    <n v="10"/>
    <n v="2000"/>
    <s v="Contratación a guardaparques para garantizar el control y vigilancia del área otorgada."/>
    <s v="Ara, serfor, Sernanp"/>
    <n v="1200000"/>
    <n v="1200000"/>
    <n v="240000"/>
    <n v="240000"/>
    <n v="240000"/>
    <n v="240000"/>
    <n v="240000"/>
    <n v="0"/>
    <m/>
    <s v="X"/>
    <m/>
    <m/>
    <x v="0"/>
    <x v="0"/>
  </r>
  <r>
    <x v="1"/>
    <x v="11"/>
    <s v="Control y vigilancia"/>
    <s v="2.6.2"/>
    <x v="34"/>
    <s v="Campañas de sensibilización en distritos acentuadas en el ámbito del ANP, considerando la participación del ARA, DRASAM, DIRCETUR, GRDS, CGSCM, CGBPAM, PNCB, OSINFOR.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x v="6"/>
    <s v="COMP 5"/>
    <s v="PROTECCIÓN-GOBERNANZA"/>
    <x v="14"/>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00000"/>
    <n v="400000"/>
    <n v="400000"/>
    <n v="400000"/>
    <n v="400000"/>
    <n v="400000"/>
    <n v="0"/>
    <m/>
    <s v="X"/>
    <m/>
    <m/>
    <x v="0"/>
    <x v="0"/>
  </r>
  <r>
    <x v="1"/>
    <x v="11"/>
    <s v="Programas de inversión pública"/>
    <s v="2.6.3"/>
    <x v="56"/>
    <s v="Promover la planificación comunal en centros poblados del interior en base a la zonificación y zona de amortiguamiento teniendo como base al Plan Maestro (incluye acuerdos de conservación)"/>
    <s v="NR"/>
    <x v="0"/>
    <x v="8"/>
    <s v="COMP 9"/>
    <s v="HABILITANTE"/>
    <x v="15"/>
    <s v="C10"/>
    <s v="Planes de gestión comunal"/>
    <n v="0"/>
    <n v="24"/>
    <n v="40"/>
    <n v="10000"/>
    <s v="Contratación de servicios profesionales para la elaboración de los planes de gestión comunal."/>
    <s v="Dircetur, Mincetur"/>
    <n v="240000"/>
    <n v="400000"/>
    <n v="48000"/>
    <n v="48000"/>
    <n v="48000"/>
    <n v="48000"/>
    <n v="48000"/>
    <n v="0"/>
    <m/>
    <s v="X"/>
    <m/>
    <m/>
    <x v="1"/>
    <x v="0"/>
  </r>
  <r>
    <x v="1"/>
    <x v="11"/>
    <s v="Programas de inversión privada"/>
    <s v="2.6.4"/>
    <x v="57"/>
    <s v="Campañas de promoción y difusión en el ámbito regional y nacional de los circuitos turísticos que existen en la zona de amortiguamiento. acorde al plan maestro del BPAM.  https://es.scribd.com/document/74386745/PLAN-DE-USO-TURISTICO-BPAM"/>
    <s v="NR"/>
    <x v="2"/>
    <x v="7"/>
    <s v="COMP 6"/>
    <s v="PROTECCIÓN"/>
    <x v="12"/>
    <s v="C11"/>
    <s v="Campañas de promoción"/>
    <n v="0"/>
    <n v="20"/>
    <n v="20"/>
    <n v="4000"/>
    <s v="Campañas de promoción que incluye, impresión de material de difusión, publicidad radial, televisiva y escrita."/>
    <s v="Dircetur, Mincetur"/>
    <n v="400000"/>
    <n v="400000"/>
    <n v="80000"/>
    <n v="80000"/>
    <n v="80000"/>
    <n v="80000"/>
    <n v="80000"/>
    <n v="0"/>
    <m/>
    <m/>
    <s v="X"/>
    <m/>
    <x v="1"/>
    <x v="0"/>
  </r>
  <r>
    <x v="1"/>
    <x v="11"/>
    <s v="Programas de inversión privada"/>
    <s v="2.6.5"/>
    <x v="58"/>
    <s v="Realizar pasantías focalizadas en aquellos sectores claves que se necesita intervenir para disminuir la presión al ANP."/>
    <s v="NR"/>
    <x v="2"/>
    <x v="7"/>
    <s v="COMP 6"/>
    <s v="PROTECCIÓN"/>
    <x v="12"/>
    <s v="C11"/>
    <s v="Pasantías"/>
    <n v="0"/>
    <n v="16"/>
    <n v="16"/>
    <n v="2500"/>
    <s v="El costo hace referencia a los gastos de pasajes, alimentación y otros para un grupo de 20 productores por pasantía."/>
    <s v="Drasam"/>
    <n v="200000"/>
    <n v="200000"/>
    <n v="40000"/>
    <n v="40000"/>
    <n v="40000"/>
    <n v="40000"/>
    <n v="40000"/>
    <n v="0"/>
    <m/>
    <m/>
    <s v="X"/>
    <m/>
    <x v="1"/>
    <x v="1"/>
  </r>
  <r>
    <x v="1"/>
    <x v="11"/>
    <s v="Programas de inversión pública"/>
    <s v="2.6.6"/>
    <x v="59"/>
    <s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x v="6"/>
    <s v="COMP 5"/>
    <s v="PROTECCIÓN"/>
    <x v="1"/>
    <s v="C1"/>
    <s v="Especialistas"/>
    <n v="0"/>
    <n v="3"/>
    <n v="3"/>
    <n v="3500"/>
    <s v="El costo comprende la contratación de profesionales para brindar asistencias técnica en los cultivos priorizados en la zona de intervención."/>
    <s v="Drasam"/>
    <n v="630000"/>
    <n v="630000"/>
    <n v="126000"/>
    <n v="126000"/>
    <n v="126000"/>
    <n v="126000"/>
    <n v="126000"/>
    <n v="0"/>
    <m/>
    <m/>
    <s v="X"/>
    <m/>
    <x v="0"/>
    <x v="0"/>
  </r>
  <r>
    <x v="1"/>
    <x v="11"/>
    <s v="Ingresos y Capital"/>
    <s v="2.6.7"/>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NR"/>
    <x v="2"/>
    <x v="3"/>
    <s v="COMP 11"/>
    <s v="PROTECCIÓN"/>
    <x v="5"/>
    <s v="C6"/>
    <s v="Planes de negocios"/>
    <n v="0"/>
    <n v="50"/>
    <n v="5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0"/>
    <n v="5000000"/>
    <n v="1000000"/>
    <n v="1000000"/>
    <n v="1000000"/>
    <n v="1000000"/>
    <n v="1000000"/>
    <n v="0"/>
    <s v="X"/>
    <m/>
    <m/>
    <m/>
    <x v="0"/>
    <x v="0"/>
  </r>
  <r>
    <x v="1"/>
    <x v="8"/>
    <s v="Invasiones"/>
    <s v="2.7.1"/>
    <x v="40"/>
    <s v="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
    <s v="NR"/>
    <x v="0"/>
    <x v="0"/>
    <s v="COMP 8"/>
    <s v="PROTECCIÓN-GOBERNANZA"/>
    <x v="0"/>
    <s v="C5"/>
    <s v="Ha. con categoría territorial asignada"/>
    <n v="140920.89160839622"/>
    <n v="70460.445804198112"/>
    <n v="70460.445804198112"/>
    <n v="15"/>
    <s v="Para la implementación de las intervención será mecesario la contratación de especialistas para realizar las acciones que comtemplen dicha actividad. Gastos logísticos y trámites documentarios."/>
    <s v="GRSM - DEGT"/>
    <n v="1056906.6870629718"/>
    <n v="1056906.6870629718"/>
    <n v="211381.33741259435"/>
    <n v="211381.33741259435"/>
    <n v="211381.33741259435"/>
    <n v="211381.33741259435"/>
    <n v="211381.33741259435"/>
    <n v="0"/>
    <m/>
    <s v="X"/>
    <m/>
    <m/>
    <x v="2"/>
    <x v="0"/>
  </r>
  <r>
    <x v="1"/>
    <x v="8"/>
    <s v="Control y vigilancia"/>
    <s v="2.7.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70"/>
    <n v="70"/>
    <n v="150"/>
    <s v="Considera materiales de capacitación, alimentación a capacitados en el área cercana a su comunidad y gastos de capacitadores"/>
    <s v="GRSM - DEGT"/>
    <n v="10500"/>
    <n v="10500"/>
    <n v="10500"/>
    <n v="0"/>
    <n v="0"/>
    <n v="0"/>
    <n v="0"/>
    <n v="0"/>
    <m/>
    <s v="X"/>
    <m/>
    <m/>
    <x v="2"/>
    <x v="1"/>
  </r>
  <r>
    <x v="1"/>
    <x v="8"/>
    <s v="Control y vigilancia"/>
    <s v="2.7.3"/>
    <x v="42"/>
    <s v="Dependiendo de la categoría forestal a ser aplicada, se realizará un plan/declaración acorde la unidad, en el marco de la ley forestal y fauna silvestre N° 29763."/>
    <s v="NR"/>
    <x v="0"/>
    <x v="0"/>
    <s v="COMP 8"/>
    <s v="PROTECCIÓN-GOBERNANZA"/>
    <x v="0"/>
    <s v="C5"/>
    <s v="N° Planes / Declaraciones elaborados"/>
    <n v="0"/>
    <n v="15"/>
    <n v="15"/>
    <n v="10000"/>
    <s v="Se considera la contratación de profesionales para la elaboración de los expedientes y/o declaraciones identificadas en los diferentes procesos."/>
    <s v="GRSM - DEGT"/>
    <n v="150000"/>
    <n v="150000"/>
    <n v="45000"/>
    <n v="45000"/>
    <n v="60000"/>
    <n v="0"/>
    <n v="0"/>
    <n v="0"/>
    <m/>
    <s v="X"/>
    <m/>
    <m/>
    <x v="2"/>
    <x v="1"/>
  </r>
  <r>
    <x v="1"/>
    <x v="8"/>
    <s v="Invasiones"/>
    <s v="2.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140920.89160839622"/>
    <n v="70460.445804198112"/>
    <n v="70460.445804198112"/>
    <n v="1"/>
    <s v="Contratación de dos profesioales para agilizar procesos con sunarp."/>
    <s v="GRSM - DEGT"/>
    <n v="70460.445804198112"/>
    <n v="70460.445804198112"/>
    <n v="14092.089160839623"/>
    <n v="14092.089160839623"/>
    <n v="14092.089160839623"/>
    <n v="14092.089160839623"/>
    <n v="14092.089160839623"/>
    <n v="0"/>
    <m/>
    <s v="X"/>
    <m/>
    <m/>
    <x v="2"/>
    <x v="1"/>
  </r>
  <r>
    <x v="1"/>
    <x v="9"/>
    <s v="Invasiones"/>
    <s v="2.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x v="0"/>
    <s v="C5"/>
    <s v="Ha. con categoría territorial asignada"/>
    <n v="24905.186800862601"/>
    <n v="12452.5934004313"/>
    <n v="12452.5934004313"/>
    <n v="15"/>
    <s v="Para la implementación de las intervención será mecesario la contratación de especialistas para realizar las acciones que comtemplen dicha actividad. Gastos logísticos y trámites documentarios."/>
    <s v="GRSM - DEGT"/>
    <n v="186788.9010064695"/>
    <n v="186788.9010064695"/>
    <n v="37357.780201293899"/>
    <n v="37357.780201293899"/>
    <n v="37357.780201293899"/>
    <n v="37357.780201293899"/>
    <n v="37357.780201293899"/>
    <n v="0"/>
    <m/>
    <s v="X"/>
    <m/>
    <m/>
    <x v="1"/>
    <x v="0"/>
  </r>
  <r>
    <x v="1"/>
    <x v="9"/>
    <s v="Control y vigilancia"/>
    <s v="2.8.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70"/>
    <n v="70"/>
    <n v="150"/>
    <s v="Considera materiales de capacitación, alimentación a capacitados en el área cercana a su comunidad y gastos de capacitadores"/>
    <s v="GRSM - DEGT"/>
    <n v="10500"/>
    <n v="10500"/>
    <n v="10500"/>
    <n v="0"/>
    <n v="0"/>
    <n v="0"/>
    <n v="0"/>
    <n v="0"/>
    <m/>
    <s v="X"/>
    <m/>
    <m/>
    <x v="1"/>
    <x v="1"/>
  </r>
  <r>
    <x v="1"/>
    <x v="9"/>
    <s v="Control y vigilancia"/>
    <s v="2.8.3"/>
    <x v="42"/>
    <s v="Dependiendo de la categoría forestal a ser aplicada, se realizará un plan/declaración acorde a la unidad, en el marco de la ley forestal y fauna silvestre N° 29763."/>
    <s v="NR"/>
    <x v="0"/>
    <x v="0"/>
    <s v="COMP 8"/>
    <s v="PROTECCIÓN-GOBERNANZA"/>
    <x v="0"/>
    <s v="C5"/>
    <s v="N° Planes / Declaraciones elaborados"/>
    <n v="0"/>
    <n v="5"/>
    <n v="5"/>
    <n v="10000"/>
    <s v="Se considera la contratación de profesionales para la elaboración de los expedientes y/o declaraciones identificadas en los diferentes procesos."/>
    <s v="GRSM - DEGT"/>
    <n v="50000"/>
    <n v="50000"/>
    <n v="15000"/>
    <n v="15000"/>
    <n v="20000"/>
    <n v="0"/>
    <n v="0"/>
    <n v="0"/>
    <m/>
    <s v="X"/>
    <m/>
    <m/>
    <x v="1"/>
    <x v="1"/>
  </r>
  <r>
    <x v="1"/>
    <x v="9"/>
    <s v="Invasiones"/>
    <s v="2.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24905.186800862601"/>
    <n v="12452.5934004313"/>
    <n v="12452.5934004313"/>
    <n v="1"/>
    <s v="Contratación de dos profesioales para agilizar procesos con sunarp."/>
    <s v="GRSM - DEGT"/>
    <n v="12452.5934004313"/>
    <n v="12452.5934004313"/>
    <n v="2490.5186800862602"/>
    <n v="2490.5186800862602"/>
    <n v="2490.5186800862602"/>
    <n v="2490.5186800862602"/>
    <n v="2490.5186800862602"/>
    <n v="0"/>
    <m/>
    <s v="X"/>
    <m/>
    <m/>
    <x v="1"/>
    <x v="1"/>
  </r>
  <r>
    <x v="1"/>
    <x v="9"/>
    <s v="Ingresos y Capital"/>
    <s v="2.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x v="0"/>
    <s v="C5"/>
    <s v="Hectáreas restauradas"/>
    <n v="0"/>
    <n v="5637.0492705921833"/>
    <n v="0"/>
    <n v="500"/>
    <s v="El costo incluye la restauración de una hectárea, esta actividad se desarrollara de acuerdo a la metodología propuesta por el ARA, en coordinación con los productores seleccionados."/>
    <s v="ARA"/>
    <n v="2818524.6352960919"/>
    <n v="0"/>
    <n v="2818524.6352960919"/>
    <n v="0"/>
    <n v="0"/>
    <n v="0"/>
    <n v="0"/>
    <n v="0"/>
    <m/>
    <s v="X"/>
    <m/>
    <m/>
    <x v="1"/>
    <x v="0"/>
  </r>
  <r>
    <x v="1"/>
    <x v="10"/>
    <s v="Programas de inversión pública"/>
    <s v="2.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8"/>
    <s v="PROTECCIÓN"/>
    <x v="16"/>
    <s v="C18"/>
    <s v="Acuerdos con rondas campesinas"/>
    <n v="0"/>
    <n v="19"/>
    <n v="19"/>
    <n v="2500"/>
    <s v="Reuniones con los diferentes actores involucrados y la sociedad civil para llegar a acuerdos de no deforestación, lo cual incluye  gastos logísticos en general."/>
    <s v="GRIS"/>
    <n v="237500"/>
    <n v="237500"/>
    <n v="47500"/>
    <n v="47500"/>
    <n v="47500"/>
    <n v="47500"/>
    <n v="47500"/>
    <n v="0"/>
    <m/>
    <m/>
    <s v="X"/>
    <m/>
    <x v="0"/>
    <x v="0"/>
  </r>
  <r>
    <x v="1"/>
    <x v="10"/>
    <s v="Programas de inversión pública"/>
    <s v="2.9.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Esta intervención será apoyada por las organizaciones formales de rondas campesinas, rondas campesinas rondas nativas y comités de monitoreo."/>
    <s v="NR"/>
    <x v="2"/>
    <x v="6"/>
    <s v="COMP 5"/>
    <s v="PROTECCIÓN"/>
    <x v="16"/>
    <s v="C18"/>
    <s v="Especialistas"/>
    <n v="0"/>
    <n v="3"/>
    <n v="3"/>
    <n v="5000"/>
    <s v="Contratación de especialistas para realizar monitoreo de la cobertura de bosque, desde los diferentes órganos competentes. "/>
    <s v="ARA"/>
    <n v="900000"/>
    <n v="900000"/>
    <n v="180000"/>
    <n v="180000"/>
    <n v="180000"/>
    <n v="180000"/>
    <n v="180000"/>
    <n v="0"/>
    <m/>
    <s v="X"/>
    <m/>
    <m/>
    <x v="0"/>
    <x v="0"/>
  </r>
  <r>
    <x v="1"/>
    <x v="10"/>
    <s v="Programas de inversión pública"/>
    <s v="2.9.3"/>
    <x v="48"/>
    <s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x v="9"/>
    <s v="COMP 10"/>
    <s v="HABILITANTE"/>
    <x v="16"/>
    <s v="C18"/>
    <s v="Kilómetros mejorados"/>
    <n v="1706"/>
    <n v="170.60000000000002"/>
    <n v="170.60000000000002"/>
    <n v="800000"/>
    <s v="Costo promedio de por km2 de vía mejorada o asfaltada"/>
    <s v="DRTyTC"/>
    <n v="136480000.00000003"/>
    <n v="136480000.00000003"/>
    <n v="27296000.000000007"/>
    <n v="27296000.000000007"/>
    <n v="27296000.000000007"/>
    <n v="27296000.000000007"/>
    <n v="27296000.000000007"/>
    <n v="0"/>
    <s v="X"/>
    <m/>
    <m/>
    <m/>
    <x v="1"/>
    <x v="1"/>
  </r>
  <r>
    <x v="1"/>
    <x v="10"/>
    <s v="Programas de inversión pública"/>
    <s v="2.9.4"/>
    <x v="49"/>
    <s v="En marco de la Zonificación Forestal donde se identificaron zonas de recuperación y tratamiento especial para la restauración de áreas con prioridad alta y muy alta para restauración, utilizando las diferentes metodologías de restauración propuesta por la entidad competente. Las actividades de restauración tendrán como objetivos desarrollar la agroforestería, recuperar servicios eco sistémicos y recuperar zonas productivas."/>
    <s v="NR"/>
    <x v="2"/>
    <x v="6"/>
    <s v="COMP 5"/>
    <s v="PROTECCIÓN"/>
    <x v="16"/>
    <s v="C18"/>
    <s v="Hectáreas Restauradas"/>
    <n v="62130.95"/>
    <n v="15532.737499999999"/>
    <n v="12426.19"/>
    <n v="500"/>
    <s v="El costo incluye la restauración de una hectárea, esta actividad se desarrollara de acuerdo a la metodología propuesta por el ARA, en coordinación con los productores seleccionados."/>
    <s v="ARA"/>
    <n v="7766368.75"/>
    <n v="6213095"/>
    <n v="1553273.75"/>
    <n v="1553273.75"/>
    <n v="1553273.75"/>
    <n v="1553273.75"/>
    <n v="1553273.75"/>
    <n v="0"/>
    <m/>
    <m/>
    <s v="X"/>
    <m/>
    <x v="0"/>
    <x v="0"/>
  </r>
  <r>
    <x v="1"/>
    <x v="10"/>
    <s v="Programas de inversión pública"/>
    <s v="2.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x v="8"/>
    <s v="COMP 9"/>
    <s v="INCLUSION"/>
    <x v="16"/>
    <s v="C18"/>
    <s v="Centros educativos y postas médicas implementados"/>
    <n v="0"/>
    <n v="5"/>
    <n v="5"/>
    <n v="3500000"/>
    <s v="El presupuesto esta relacionado a la implementación de la infraestructura, mobiliario y materiales educativos necesarios para que se brinde un servicio de calidad a los niños que aún no reciben dicho servicio de manera permanente."/>
    <s v="Colegio de ingenieros de San Martín / GRDS"/>
    <n v="17500000"/>
    <n v="17500000"/>
    <n v="3500000"/>
    <n v="3500000"/>
    <n v="3500000"/>
    <n v="3500000"/>
    <n v="3500000"/>
    <n v="0"/>
    <m/>
    <s v="X"/>
    <m/>
    <m/>
    <x v="0"/>
    <x v="0"/>
  </r>
  <r>
    <x v="1"/>
    <x v="10"/>
    <s v="Programas de inversión pública"/>
    <s v="2.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x v="8"/>
    <s v="COMP 9"/>
    <s v="INCLUSION"/>
    <x v="16"/>
    <s v="C18"/>
    <s v="N° campañas"/>
    <n v="0"/>
    <n v="166.25"/>
    <n v="166.25"/>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4156250"/>
    <n v="4156250"/>
    <n v="831250"/>
    <n v="831250"/>
    <n v="831250"/>
    <n v="831250"/>
    <n v="831250"/>
    <n v="0"/>
    <m/>
    <s v="X"/>
    <m/>
    <m/>
    <x v="0"/>
    <x v="0"/>
  </r>
  <r>
    <x v="1"/>
    <x v="10"/>
    <s v="Programas de inversión pública"/>
    <s v="2.9.7"/>
    <x v="52"/>
    <s v="Promoción al acceso de la marca con los productores que cumplan los criterios de elegibilidad solicitados por el programa, como una estrategia de ubicar mercados diferenciados para los productos provenientes de estas zonas."/>
    <s v="NR"/>
    <x v="1"/>
    <x v="5"/>
    <s v="COMP 3"/>
    <s v="PRODUCCIÓN"/>
    <x v="16"/>
    <s v="C18"/>
    <s v="Organizaciones que acceden a la marca"/>
    <n v="0"/>
    <n v="10"/>
    <n v="15"/>
    <n v="3000"/>
    <s v="El costo incluye: Una inspección anual anunciada,  elaboración de informe de inspección, administración y comunicación, certificación según los estándares de la marca."/>
    <s v="GRDE"/>
    <n v="150000"/>
    <n v="45000"/>
    <n v="30000"/>
    <n v="30000"/>
    <n v="30000"/>
    <n v="30000"/>
    <n v="30000"/>
    <n v="0"/>
    <m/>
    <m/>
    <s v="X"/>
    <m/>
    <x v="1"/>
    <x v="0"/>
  </r>
  <r>
    <x v="2"/>
    <x v="0"/>
    <s v="Invasiones"/>
    <s v="4.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6328.5309793106999"/>
    <n v="3164.2654896553499"/>
    <n v="3164.2654896553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328530.9793106997"/>
    <n v="6328530.9793106997"/>
    <n v="632853.09793107002"/>
    <n v="949279.64689660491"/>
    <n v="1265706.19586214"/>
    <n v="1898559.2937932098"/>
    <n v="1582132.7448276749"/>
    <n v="0"/>
    <m/>
    <m/>
    <s v="X"/>
    <m/>
    <x v="0"/>
    <x v="0"/>
  </r>
  <r>
    <x v="2"/>
    <x v="0"/>
    <s v="Programas de inversión pública"/>
    <s v="4.1.2"/>
    <x v="1"/>
    <s v="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x v="1"/>
    <s v="COMP 1"/>
    <s v="PRODUCCIÓN"/>
    <x v="1"/>
    <s v="C1"/>
    <s v="Productores asistidos"/>
    <n v="26029"/>
    <n v="15617.4"/>
    <n v="10411.6"/>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8745744"/>
    <n v="5830496"/>
    <n v="1749148.8"/>
    <n v="1749148.8"/>
    <n v="1749148.8"/>
    <n v="1749148.8"/>
    <n v="1749148.8"/>
    <n v="0"/>
    <m/>
    <m/>
    <s v="X"/>
    <m/>
    <x v="0"/>
    <x v="0"/>
  </r>
  <r>
    <x v="2"/>
    <x v="0"/>
    <s v="Programas de inversión pública"/>
    <s v="4.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x v="2"/>
    <s v="C17"/>
    <s v="Hectáreas Intervenidas"/>
    <n v="71598"/>
    <n v="21479.399999999998"/>
    <n v="21479.399999999998"/>
    <n v="500"/>
    <s v="El costo incluye adquisición de semillas, insumos, fertilizantes, entre otras para la producción de plantas agroforestales o coberturas  verdes."/>
    <s v="DRASAM"/>
    <n v="10739699.999999998"/>
    <n v="10739699.999999998"/>
    <n v="2147939.9999999995"/>
    <n v="2147939.9999999995"/>
    <n v="2147939.9999999995"/>
    <n v="2147939.9999999995"/>
    <n v="2147939.9999999995"/>
    <n v="0"/>
    <m/>
    <m/>
    <s v="X"/>
    <m/>
    <x v="1"/>
    <x v="0"/>
  </r>
  <r>
    <x v="2"/>
    <x v="0"/>
    <s v="Programas de inversión pública"/>
    <s v="4.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x v="2"/>
    <s v="C17"/>
    <s v="Hectáreas fertilizadas"/>
    <n v="71598"/>
    <n v="14319.6"/>
    <n v="21479.399999999998"/>
    <n v="2500"/>
    <s v="El costo incluye un análisis de suelos, paquete de fertilización según los resultados del análisis y la adquisición de fertilizantes. El costo incluye los tres abonamientos requeridos en una campaña (1 año)."/>
    <s v="Drasam"/>
    <n v="35799000"/>
    <n v="53698499.999999993"/>
    <n v="7159800"/>
    <n v="7159800"/>
    <n v="7159800"/>
    <n v="7159800"/>
    <n v="7159800"/>
    <n v="0"/>
    <m/>
    <m/>
    <s v="X"/>
    <m/>
    <x v="0"/>
    <x v="0"/>
  </r>
  <r>
    <x v="2"/>
    <x v="0"/>
    <s v="Programas de inversión privada"/>
    <s v="4.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x v="2"/>
    <s v="COMP 4 "/>
    <s v="PRODUCCIÓN"/>
    <x v="2"/>
    <s v="C17"/>
    <s v="Hectáreas con sistemas de riego"/>
    <n v="71598"/>
    <n v="3579.9"/>
    <n v="4295.88"/>
    <n v="11500"/>
    <s v="modulo instalado incluyendo fertilizantes para una campaña"/>
    <s v="DRASAM"/>
    <n v="41168850"/>
    <n v="49402620"/>
    <n v="8233770"/>
    <n v="8233770"/>
    <n v="8233770"/>
    <n v="8233770"/>
    <n v="8233770"/>
    <n v="0"/>
    <m/>
    <m/>
    <s v="X"/>
    <m/>
    <x v="0"/>
    <x v="0"/>
  </r>
  <r>
    <x v="2"/>
    <x v="0"/>
    <s v="Programas de inversión privada"/>
    <s v="4.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x v="3"/>
    <s v="C12"/>
    <s v="Hectáreas reconvertidas"/>
    <n v="14319.6"/>
    <n v="1431.96"/>
    <n v="1431.96"/>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479400"/>
    <n v="21479400"/>
    <n v="4295880"/>
    <n v="4295880"/>
    <n v="4295880"/>
    <n v="4295880"/>
    <n v="4295880"/>
    <n v="0"/>
    <s v="X"/>
    <m/>
    <m/>
    <m/>
    <x v="0"/>
    <x v="0"/>
  </r>
  <r>
    <x v="2"/>
    <x v="0"/>
    <s v="Programas de inversión pública"/>
    <s v="4.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x v="4"/>
    <s v="C3"/>
    <s v="Productores beneficiados"/>
    <n v="26029"/>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76189980.000000015"/>
    <n v="7618998.0000000019"/>
    <n v="7618998.0000000019"/>
    <n v="7618998.0000000019"/>
    <n v="7618998.0000000019"/>
    <n v="7618998.0000000019"/>
    <n v="0"/>
    <m/>
    <m/>
    <s v="X"/>
    <m/>
    <x v="0"/>
    <x v="0"/>
  </r>
  <r>
    <x v="2"/>
    <x v="0"/>
    <s v="Programas de inversión pública"/>
    <s v="4.1.8"/>
    <x v="7"/>
    <s v="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x v="2"/>
    <s v="COMP 4 "/>
    <s v="PRODUCCIÓN"/>
    <x v="1"/>
    <s v="C1"/>
    <s v="Acuicultores asistidos"/>
    <n v="0"/>
    <n v="70"/>
    <n v="70"/>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39200"/>
    <n v="39200"/>
    <n v="7840"/>
    <n v="7840"/>
    <n v="7840"/>
    <n v="7840"/>
    <n v="7840"/>
    <n v="0"/>
    <m/>
    <m/>
    <s v="X"/>
    <m/>
    <x v="0"/>
    <x v="0"/>
  </r>
  <r>
    <x v="2"/>
    <x v="0"/>
    <s v="Ingresos y Capital"/>
    <s v="4.1.9"/>
    <x v="8"/>
    <s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x v="5"/>
    <s v="C6"/>
    <s v="Créditos otorgados"/>
    <n v="0"/>
    <n v="70"/>
    <n v="70"/>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903000"/>
    <n v="903000"/>
    <n v="180600"/>
    <n v="180600"/>
    <n v="180600"/>
    <n v="180600"/>
    <n v="180600"/>
    <n v="0"/>
    <s v="X"/>
    <m/>
    <m/>
    <m/>
    <x v="0"/>
    <x v="0"/>
  </r>
  <r>
    <x v="2"/>
    <x v="0"/>
    <s v="Ingresos y Capital"/>
    <s v="4.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x v="5"/>
    <s v="C6"/>
    <s v="Créditos otorgados"/>
    <n v="26029"/>
    <n v="7808.7"/>
    <n v="5205.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83943525"/>
    <n v="55962350"/>
    <n v="16788705"/>
    <n v="16788705"/>
    <n v="16788705"/>
    <n v="16788705"/>
    <n v="16788705"/>
    <n v="0"/>
    <s v="X"/>
    <m/>
    <m/>
    <m/>
    <x v="0"/>
    <x v="1"/>
  </r>
  <r>
    <x v="2"/>
    <x v="0"/>
    <s v="Programas de inversión privada"/>
    <s v="4.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x v="6"/>
    <s v="C7"/>
    <s v="Planes de negocios/proyectos ejecutados"/>
    <n v="6"/>
    <n v="6"/>
    <n v="2"/>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800000"/>
    <n v="1600000"/>
    <n v="960000"/>
    <n v="960000"/>
    <n v="960000"/>
    <n v="960000"/>
    <n v="960000"/>
    <n v="0"/>
    <s v="X"/>
    <m/>
    <m/>
    <m/>
    <x v="0"/>
    <x v="0"/>
  </r>
  <r>
    <x v="2"/>
    <x v="0"/>
    <s v="Programas de inversión privada"/>
    <s v="4.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x v="4"/>
    <s v="C3"/>
    <s v="Empresas y organizaciones atendidas"/>
    <n v="6"/>
    <n v="4.8000000000000007"/>
    <n v="1.2000000000000002"/>
    <n v="50000"/>
    <s v="El costo incluye la contratación de especialistas para brindar Asistencia Técnica en los procesos de implementación de las certificaciones de calidad, materiales para la capacitación y pasantías."/>
    <s v="DIREPRO"/>
    <n v="240000.00000000003"/>
    <n v="60000.000000000007"/>
    <n v="48000.000000000007"/>
    <n v="48000.000000000007"/>
    <n v="48000.000000000007"/>
    <n v="48000.000000000007"/>
    <n v="48000.000000000007"/>
    <n v="0"/>
    <m/>
    <m/>
    <s v="X"/>
    <m/>
    <x v="0"/>
    <x v="0"/>
  </r>
  <r>
    <x v="2"/>
    <x v="0"/>
    <s v="Programas de inversión pública"/>
    <s v="4.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x v="7"/>
    <s v="C2"/>
    <s v="Organizaciones auto sostenibles"/>
    <n v="0"/>
    <n v="6"/>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
    <n v="240000"/>
    <n v="144000"/>
    <n v="144000"/>
    <n v="144000"/>
    <n v="144000"/>
    <n v="144000"/>
    <n v="0"/>
    <m/>
    <m/>
    <s v="X"/>
    <m/>
    <x v="1"/>
    <x v="0"/>
  </r>
  <r>
    <x v="2"/>
    <x v="0"/>
    <s v="Programas de inversión privada"/>
    <s v="4.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x v="8"/>
    <s v="C9"/>
    <s v="Organizaciones certificadas"/>
    <n v="10"/>
    <n v="5"/>
    <n v="5"/>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1000000"/>
    <n v="1000000"/>
    <n v="200000"/>
    <n v="200000"/>
    <n v="200000"/>
    <n v="200000"/>
    <n v="200000"/>
    <n v="0"/>
    <m/>
    <m/>
    <s v="X"/>
    <m/>
    <x v="1"/>
    <x v="0"/>
  </r>
  <r>
    <x v="2"/>
    <x v="0"/>
    <s v="Programas de inversión privada"/>
    <s v="4.1.15"/>
    <x v="60"/>
    <s v="Implementar y promover la certificación de plantaciones de 2161 pequeños productores, los cuales tienen 8,211 ha. La certificación RSPO permite facilitar el acceso a los mercados de los productos derivados de la palma aceitera. Esta intervención forma parte del fortalecimiento de la infraestrucura de la calidad en las cadenas."/>
    <s v="R"/>
    <x v="1"/>
    <x v="5"/>
    <s v="COMP 3"/>
    <s v="PRODUCCIÓN"/>
    <x v="8"/>
    <s v="C9"/>
    <s v="Hectáreas certificadas"/>
    <n v="0"/>
    <n v="2463.2999999999997"/>
    <n v="4105.5"/>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6156082.2959999992"/>
    <n v="10260137.16"/>
    <n v="1231216.4591999999"/>
    <n v="1231216.4591999999"/>
    <n v="1231216.4591999999"/>
    <n v="1231216.4591999999"/>
    <n v="1231216.4591999999"/>
    <n v="0"/>
    <m/>
    <m/>
    <s v="X"/>
    <m/>
    <x v="1"/>
    <x v="0"/>
  </r>
  <r>
    <x v="2"/>
    <x v="0"/>
    <s v="Programas de inversión pública"/>
    <s v="4.1.16"/>
    <x v="15"/>
    <s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
    <s v="NR"/>
    <x v="1"/>
    <x v="2"/>
    <s v="COMP 4 "/>
    <s v="PRODUCCIÓN"/>
    <x v="2"/>
    <s v="C17"/>
    <s v="Unidades semilleristas"/>
    <n v="0"/>
    <n v="3"/>
    <n v="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45000"/>
    <n v="75000"/>
    <n v="9000"/>
    <n v="9000"/>
    <n v="9000"/>
    <n v="9000"/>
    <n v="9000"/>
    <n v="0"/>
    <m/>
    <m/>
    <s v="X"/>
    <m/>
    <x v="1"/>
    <x v="1"/>
  </r>
  <r>
    <x v="2"/>
    <x v="0"/>
    <s v="Control y vigilancia"/>
    <s v="4.1.17"/>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s v="X"/>
    <m/>
    <m/>
    <m/>
    <x v="1"/>
    <x v="0"/>
  </r>
  <r>
    <x v="2"/>
    <x v="2"/>
    <s v="Invasiones"/>
    <s v="4.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259.94579468684702"/>
    <n v="129.97289734342351"/>
    <n v="129.972897343423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9945.79468684702"/>
    <n v="259945.79468684702"/>
    <n v="25994.579468684704"/>
    <n v="38991.869203027054"/>
    <n v="51989.158937369408"/>
    <n v="77983.738406054108"/>
    <n v="64986.448671711754"/>
    <n v="0"/>
    <m/>
    <m/>
    <s v="X"/>
    <m/>
    <x v="0"/>
    <x v="0"/>
  </r>
  <r>
    <x v="2"/>
    <x v="2"/>
    <s v="Programas de inversión pública"/>
    <s v="4.2.2"/>
    <x v="18"/>
    <s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x v="1"/>
    <s v="C1"/>
    <s v="Ganaderos asistidos"/>
    <n v="1214"/>
    <n v="1214"/>
    <n v="121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679840"/>
    <n v="679840"/>
    <n v="135968"/>
    <n v="135968"/>
    <n v="135968"/>
    <n v="135968"/>
    <n v="135968"/>
    <n v="0"/>
    <m/>
    <m/>
    <s v="X"/>
    <m/>
    <x v="0"/>
    <x v="0"/>
  </r>
  <r>
    <x v="2"/>
    <x v="2"/>
    <s v="Programas de inversión pública"/>
    <s v="4.2.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x v="2"/>
    <s v="C17"/>
    <s v="Hectáreas intervenidas"/>
    <n v="3975"/>
    <n v="795"/>
    <n v="795"/>
    <n v="500"/>
    <s v="El costo incluye adquisición de semillas, insumos, fertilizantes, entre otras para la producción de plantas agroforestales o coberturas  verdes."/>
    <s v="DRASAM"/>
    <n v="397500"/>
    <n v="397500"/>
    <n v="79500"/>
    <n v="79500"/>
    <n v="79500"/>
    <n v="79500"/>
    <n v="79500"/>
    <n v="0"/>
    <m/>
    <m/>
    <s v="X"/>
    <m/>
    <x v="0"/>
    <x v="1"/>
  </r>
  <r>
    <x v="2"/>
    <x v="2"/>
    <s v="Programas de inversión pública"/>
    <s v="4.2.4"/>
    <x v="19"/>
    <s v="Reactivación  , implementación y gestión de las postas de inseminación artificial, importación de material genético (pajillas de semen), capacitación y entrenamiento a inseminadores, transferencia de embriones."/>
    <s v="R"/>
    <x v="1"/>
    <x v="2"/>
    <s v="COMP 4 "/>
    <s v="PRODUCCIÓN"/>
    <x v="2"/>
    <s v="C17"/>
    <s v="Postas activas y operativas"/>
    <n v="0"/>
    <n v="3"/>
    <n v="3"/>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822000"/>
    <n v="822000"/>
    <n v="164400"/>
    <n v="164400"/>
    <n v="164400"/>
    <n v="164400"/>
    <n v="164400"/>
    <n v="0"/>
    <m/>
    <s v="X"/>
    <m/>
    <m/>
    <x v="1"/>
    <x v="0"/>
  </r>
  <r>
    <x v="2"/>
    <x v="2"/>
    <s v="Ingresos y Capital"/>
    <s v="4.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
    <s v="R"/>
    <x v="1"/>
    <x v="3"/>
    <s v="COMP 11"/>
    <s v="PRODUCCIÓN"/>
    <x v="5"/>
    <s v="C6"/>
    <s v="Créditos otorgados"/>
    <n v="1214"/>
    <n v="364.2"/>
    <n v="242.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3915150"/>
    <n v="2610100"/>
    <n v="783030"/>
    <n v="783030"/>
    <n v="783030"/>
    <n v="783030"/>
    <n v="783030"/>
    <n v="0"/>
    <s v="X"/>
    <m/>
    <m/>
    <m/>
    <x v="0"/>
    <x v="0"/>
  </r>
  <r>
    <x v="2"/>
    <x v="2"/>
    <s v="Programas de inversión pública"/>
    <s v="4.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talecidas"/>
    <n v="0"/>
    <n v="4"/>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2400000"/>
    <n v="3000000"/>
    <n v="480000"/>
    <n v="480000"/>
    <n v="480000"/>
    <n v="480000"/>
    <n v="480000"/>
    <n v="0"/>
    <m/>
    <m/>
    <s v="X"/>
    <m/>
    <x v="1"/>
    <x v="0"/>
  </r>
  <r>
    <x v="2"/>
    <x v="2"/>
    <s v="Programas de inversión privada"/>
    <s v="4.2.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x v="2"/>
    <s v="C17"/>
    <s v="Planes de negocios implementados"/>
    <n v="0"/>
    <n v="6"/>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4800000"/>
    <n v="8000000"/>
    <n v="960000"/>
    <n v="960000"/>
    <n v="960000"/>
    <n v="960000"/>
    <n v="960000"/>
    <n v="0"/>
    <s v="X"/>
    <m/>
    <m/>
    <m/>
    <x v="1"/>
    <x v="0"/>
  </r>
  <r>
    <x v="2"/>
    <x v="2"/>
    <s v="Control y vigilancia"/>
    <s v="4.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15"/>
    <n v="1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50000"/>
    <n v="150000"/>
    <n v="30000"/>
    <n v="30000"/>
    <n v="30000"/>
    <n v="30000"/>
    <n v="30000"/>
    <n v="0"/>
    <s v="X"/>
    <m/>
    <m/>
    <m/>
    <x v="1"/>
    <x v="1"/>
  </r>
  <r>
    <x v="2"/>
    <x v="12"/>
    <s v="Invasiones"/>
    <s v="4.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398.95671568802999"/>
    <n v="199.47835784401499"/>
    <n v="199.47835784401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398956.71568803"/>
    <n v="398956.71568803"/>
    <n v="39895.671568803002"/>
    <n v="59843.507353204499"/>
    <n v="79791.343137606003"/>
    <n v="119687.014706409"/>
    <n v="99739.178922007501"/>
    <n v="0"/>
    <m/>
    <m/>
    <s v="X"/>
    <m/>
    <x v="1"/>
    <x v="0"/>
  </r>
  <r>
    <x v="2"/>
    <x v="12"/>
    <s v="Ingresos y Capital"/>
    <s v="4.3.2"/>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x v="3"/>
    <s v="COMP 11"/>
    <s v="PRODUCCIÓN"/>
    <x v="5"/>
    <s v="C6"/>
    <s v="Productores atendidos"/>
    <n v="2161"/>
    <n v="648.29999999999995"/>
    <n v="432.2000000000000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6969224.9999999991"/>
    <n v="4646150.0000000009"/>
    <n v="1393845"/>
    <n v="1393845"/>
    <n v="1393845"/>
    <n v="1393845"/>
    <n v="1393845"/>
    <n v="0"/>
    <m/>
    <m/>
    <s v="X"/>
    <m/>
    <x v="1"/>
    <x v="0"/>
  </r>
  <r>
    <x v="2"/>
    <x v="12"/>
    <s v="Programas de inversión privada"/>
    <s v="4.3.3"/>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x v="5"/>
    <s v="COMP 3"/>
    <s v="PRODUCCIÓN"/>
    <x v="8"/>
    <s v="C9"/>
    <s v="Especialistas"/>
    <n v="0"/>
    <n v="2"/>
    <n v="2"/>
    <n v="3500"/>
    <s v="El costo incluye la contratación de profesionales que se encarguen de identificar propuestas de alianzas comerciales entre productores y empresas privadas."/>
    <s v="Drasam"/>
    <n v="420000"/>
    <n v="420000"/>
    <n v="84000"/>
    <n v="84000"/>
    <n v="84000"/>
    <n v="84000"/>
    <n v="84000"/>
    <n v="0"/>
    <s v="X"/>
    <m/>
    <m/>
    <m/>
    <x v="1"/>
    <x v="0"/>
  </r>
  <r>
    <x v="2"/>
    <x v="12"/>
    <s v="Programas de inversión privada"/>
    <s v="4.3.4"/>
    <x v="63"/>
    <s v="Promover el financiamiento para el desarrollo e implementación de estudios de umbrales de carbono en el suelo y en los bosques."/>
    <s v="NR"/>
    <x v="1"/>
    <x v="5"/>
    <s v="COMP 3"/>
    <s v="PRODUCCIÓN"/>
    <x v="8"/>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0"/>
    <n v="220400"/>
    <n v="220400"/>
    <n v="0"/>
    <n v="0"/>
    <n v="0"/>
    <n v="0"/>
    <s v="X"/>
    <m/>
    <m/>
    <m/>
    <x v="1"/>
    <x v="0"/>
  </r>
  <r>
    <x v="2"/>
    <x v="3"/>
    <s v="Invasiones"/>
    <s v="4.4.1"/>
    <x v="20"/>
    <s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_x000a_Saneamiento físico legal (georreferenciación, actualización gráfica, e inscripción en registros públicos), en concordancia con la R.M. 0370-2017-MINAGRI, de 2 comunidades nativas: MUSHUCK LLACTA DE CHIPAOTA y  CHARAPILLO."/>
    <s v="NR"/>
    <x v="0"/>
    <x v="0"/>
    <s v="COMP 8"/>
    <s v="PROTECCIÓN-GOBERNANZA"/>
    <x v="0"/>
    <s v="C5"/>
    <s v="Comunidades tituladas"/>
    <n v="44"/>
    <n v="44"/>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3135000"/>
    <n v="0"/>
    <n v="627000"/>
    <n v="627000"/>
    <n v="627000"/>
    <n v="627000"/>
    <n v="627000"/>
    <n v="0"/>
    <m/>
    <m/>
    <s v="X"/>
    <m/>
    <x v="1"/>
    <x v="0"/>
  </r>
  <r>
    <x v="2"/>
    <x v="3"/>
    <s v="Programas de inversión pública"/>
    <s v="4.4.2"/>
    <x v="21"/>
    <s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x v="6"/>
    <s v="COMP 5"/>
    <s v="PROTECCIÓN"/>
    <x v="1"/>
    <s v="C1"/>
    <s v="Productor asistido"/>
    <n v="4700"/>
    <n v="4700"/>
    <n v="47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632000"/>
    <n v="2632000"/>
    <n v="526400"/>
    <n v="526400"/>
    <n v="526400"/>
    <n v="526400"/>
    <n v="526400"/>
    <n v="0"/>
    <m/>
    <m/>
    <s v="X"/>
    <m/>
    <x v="0"/>
    <x v="0"/>
  </r>
  <r>
    <x v="2"/>
    <x v="3"/>
    <s v="Programas de inversión privada"/>
    <s v="4.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x v="7"/>
    <s v="COMP 6"/>
    <s v="PROTECCIÓN"/>
    <x v="10"/>
    <s v="C8"/>
    <s v="Planes de negocios"/>
    <n v="0"/>
    <n v="60"/>
    <n v="40"/>
    <n v="15000"/>
    <s v="Se contratará profesionales para el asesoramiento y formulación de planes de negocios de las Comunidades Nativas."/>
    <s v="Drasam, Agroideas, CODEPISAM"/>
    <n v="900000"/>
    <n v="600000"/>
    <n v="180000"/>
    <n v="180000"/>
    <n v="180000"/>
    <n v="180000"/>
    <n v="180000"/>
    <n v="0"/>
    <s v="X"/>
    <m/>
    <m/>
    <m/>
    <x v="0"/>
    <x v="1"/>
  </r>
  <r>
    <x v="2"/>
    <x v="3"/>
    <s v="Programas de inversión pública"/>
    <s v="4.4.4"/>
    <x v="23"/>
    <s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x v="4"/>
    <s v="COMP 2"/>
    <s v="PRODUCCIÓN"/>
    <x v="7"/>
    <s v="C2"/>
    <s v="Comunidades fortalecidas"/>
    <n v="47"/>
    <n v="27"/>
    <n v="20"/>
    <n v="288000"/>
    <s v="Contratación de especialistas para dar acompañamiento y seguimiento a los procesos organizativos de las CCNN de forma permanente."/>
    <s v="Drasam, Direpro, Dircetur, ARA, CODEPISAM"/>
    <n v="1440000"/>
    <n v="1440000"/>
    <n v="288000"/>
    <n v="288000"/>
    <n v="288000"/>
    <n v="288000"/>
    <n v="288000"/>
    <n v="0"/>
    <m/>
    <m/>
    <s v="X"/>
    <m/>
    <x v="0"/>
    <x v="0"/>
  </r>
  <r>
    <x v="2"/>
    <x v="3"/>
    <s v="Programas de inversión privada"/>
    <s v="4.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x v="5"/>
    <s v="COMP 3"/>
    <s v="PRODUCCIÓN"/>
    <x v="8"/>
    <s v="C9"/>
    <s v="Especialistas"/>
    <n v="0"/>
    <n v="3"/>
    <n v="3"/>
    <n v="3500"/>
    <s v="Contratación de especialista para identificación, acompañamiento y seguimiento a los procesos comerciales iniciados por las organizaciones de las CCNN"/>
    <s v="Drasam, Direpro, Dircetur, ARA, OPIPs, CODEPISAM"/>
    <n v="630000"/>
    <n v="630000"/>
    <n v="126000"/>
    <n v="126000"/>
    <n v="126000"/>
    <n v="126000"/>
    <n v="126000"/>
    <n v="0"/>
    <s v="X"/>
    <m/>
    <m/>
    <m/>
    <x v="0"/>
    <x v="0"/>
  </r>
  <r>
    <x v="2"/>
    <x v="3"/>
    <s v="Invasiones"/>
    <s v="4.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x v="3"/>
    <s v="COMP 11"/>
    <s v="PROTECCIÓN"/>
    <x v="5"/>
    <s v="C6"/>
    <s v="Comunidades atendidas"/>
    <n v="47"/>
    <n v="28.2"/>
    <n v="18.8"/>
    <n v="5000"/>
    <s v="El costo esta referido a los gastos administrativos y logísticos que impliquen la elaboración del expediente para ser presentado al programa. "/>
    <s v="Gerencia Regional de Desarrollo Social, Programa Geo bosques, CODEPISAM"/>
    <n v="705000"/>
    <n v="470000"/>
    <n v="141000"/>
    <n v="141000"/>
    <n v="141000"/>
    <n v="141000"/>
    <n v="141000"/>
    <n v="0"/>
    <m/>
    <m/>
    <s v="X"/>
    <m/>
    <x v="1"/>
    <x v="0"/>
  </r>
  <r>
    <x v="2"/>
    <x v="3"/>
    <s v="Programas de inversión pública"/>
    <s v="4.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x v="8"/>
    <s v="COMP 9"/>
    <s v="INCLUSION"/>
    <x v="11"/>
    <s v="C14"/>
    <s v="Módulos implementados"/>
    <n v="4700"/>
    <n v="1410"/>
    <n v="940"/>
    <n v="30000"/>
    <s v="Implementación según las necesidades identificadas en cada comunidad, considerando si son aplicables en dichas zonas, si no hay restricciones de cualquier índole. "/>
    <s v="Goresam, MIDIS, DRTyTC, Drasam,Foncodes, Cooperación, CODEPISAM"/>
    <n v="42300000"/>
    <n v="28200000"/>
    <n v="8460000"/>
    <n v="8460000"/>
    <n v="8460000"/>
    <n v="8460000"/>
    <n v="8460000"/>
    <n v="0"/>
    <m/>
    <m/>
    <s v="X"/>
    <m/>
    <x v="1"/>
    <x v="0"/>
  </r>
  <r>
    <x v="2"/>
    <x v="3"/>
    <s v="Programas de inversión pública"/>
    <s v="4.4.8"/>
    <x v="27"/>
    <s v="Implementación de proyectos enfocados a mejorar los servicios básicos de las comunidades nativas, dichos servicios deberán contar con profesionales bilingües, para asegurar y garantizar la adecuada transferencia de dichos servicios.  "/>
    <s v="NR"/>
    <x v="0"/>
    <x v="8"/>
    <s v="COMP 9"/>
    <s v="INCLUSION"/>
    <x v="11"/>
    <s v="C14"/>
    <s v="Escuelas y postas médicas implementadas"/>
    <n v="47"/>
    <n v="23.5"/>
    <n v="23.5"/>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17625000"/>
    <n v="17625000"/>
    <n v="3525000"/>
    <n v="3525000"/>
    <n v="3525000"/>
    <n v="3525000"/>
    <n v="3525000"/>
    <n v="0"/>
    <s v="X"/>
    <m/>
    <m/>
    <m/>
    <x v="0"/>
    <x v="0"/>
  </r>
  <r>
    <x v="2"/>
    <x v="4"/>
    <s v="Programas de inversión privada"/>
    <s v="4.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x v="5"/>
    <s v="C6"/>
    <s v="Planes de negocios"/>
    <n v="0"/>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0000"/>
    <n v="120000"/>
    <n v="120000"/>
    <n v="120000"/>
    <n v="120000"/>
    <n v="120000"/>
    <n v="0"/>
    <s v="X"/>
    <m/>
    <m/>
    <m/>
    <x v="0"/>
    <x v="0"/>
  </r>
  <r>
    <x v="2"/>
    <x v="4"/>
    <s v="Programas de inversión pública"/>
    <s v="4.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x v="1"/>
    <s v="C1"/>
    <s v="Especialistas"/>
    <n v="0"/>
    <n v="2"/>
    <n v="2"/>
    <n v="4000"/>
    <s v="Contratación de especialista y gastos logísticos, pasantías regionales y nacionales para adquisición de know how en materia de turismo rural"/>
    <s v="Dircetur"/>
    <n v="480000"/>
    <n v="480000"/>
    <n v="96000"/>
    <n v="96000"/>
    <n v="96000"/>
    <n v="96000"/>
    <n v="96000"/>
    <n v="0"/>
    <m/>
    <m/>
    <s v="X"/>
    <m/>
    <x v="0"/>
    <x v="0"/>
  </r>
  <r>
    <x v="2"/>
    <x v="4"/>
    <s v="Programas de inversión privada"/>
    <s v="4.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x v="10"/>
    <s v="C8"/>
    <s v="Planes de negocio"/>
    <n v="0"/>
    <n v="5"/>
    <n v="5"/>
    <n v="150000"/>
    <s v="El costo hace referencia al proceso de implementación y funcionamiento de los productos para el desarrollo de  los emprendimientos."/>
    <s v="Dircetur, Agroideas"/>
    <n v="750000"/>
    <n v="750000"/>
    <n v="150000"/>
    <n v="150000"/>
    <n v="150000"/>
    <n v="150000"/>
    <n v="150000"/>
    <n v="0"/>
    <s v="X"/>
    <m/>
    <m/>
    <m/>
    <x v="0"/>
    <x v="0"/>
  </r>
  <r>
    <x v="2"/>
    <x v="4"/>
    <s v="Programas de inversión privada"/>
    <s v="4.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x v="12"/>
    <s v="C11"/>
    <s v="rutas turísticas promocionados"/>
    <n v="0"/>
    <n v="2"/>
    <n v="2"/>
    <n v="40000"/>
    <s v="Participación en eventos de promoción (ferias regionales y nacionales, Fam Trip), el costo cubrirá gastos logísticos y administrativos de los operadores turísticos identificados "/>
    <s v="Mincetur, Dircetur"/>
    <n v="400000"/>
    <n v="400000"/>
    <n v="80000"/>
    <n v="80000"/>
    <n v="80000"/>
    <n v="80000"/>
    <n v="80000"/>
    <n v="0"/>
    <m/>
    <m/>
    <s v="X"/>
    <m/>
    <x v="0"/>
    <x v="0"/>
  </r>
  <r>
    <x v="2"/>
    <x v="13"/>
    <s v="Control y vigilancia"/>
    <s v="4.6.1"/>
    <x v="35"/>
    <s v="Implementar con recursos necesarios al ente que administra el área, con la finalidad de aumentar el número de personas (guardaparques) que contribuyan a realizar acciones de control y vigilancia."/>
    <s v="NR"/>
    <x v="2"/>
    <x v="6"/>
    <s v="COMP 5"/>
    <s v="PROTECCIÓN-GOBERNANZA"/>
    <x v="14"/>
    <s v="C4"/>
    <s v="Número de guardaparques"/>
    <n v="0"/>
    <n v="5"/>
    <n v="5"/>
    <n v="2000"/>
    <s v="Contratación a guardaparques para garantizar el control y vigilancia del área otorgada."/>
    <s v="Ara, serfor, Sernanp"/>
    <n v="600000"/>
    <n v="600000"/>
    <n v="120000"/>
    <n v="120000"/>
    <n v="120000"/>
    <n v="120000"/>
    <n v="120000"/>
    <n v="0"/>
    <m/>
    <s v="X"/>
    <m/>
    <m/>
    <x v="0"/>
    <x v="0"/>
  </r>
  <r>
    <x v="2"/>
    <x v="13"/>
    <s v="Control y vigilancia"/>
    <s v="4.6.2"/>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x v="6"/>
    <s v="COMP 5"/>
    <s v="PROTECCIÓN-GOBERNANZA"/>
    <x v="14"/>
    <s v="C4"/>
    <s v="Campañas de sensibilización"/>
    <n v="0"/>
    <n v="45"/>
    <n v="45"/>
    <n v="8000"/>
    <s v="Campañas de sensibilización con equipos técnicos de las instituciones involucradas, gastos logísticos, impresión de material de difusión, publicidad radial, televisiva y escrita."/>
    <s v="Ara, serfor, Sernanp"/>
    <n v="1800000"/>
    <n v="1800000"/>
    <n v="360000"/>
    <n v="360000"/>
    <n v="360000"/>
    <n v="360000"/>
    <n v="360000"/>
    <n v="0"/>
    <m/>
    <s v="X"/>
    <m/>
    <m/>
    <x v="0"/>
    <x v="0"/>
  </r>
  <r>
    <x v="2"/>
    <x v="13"/>
    <s v="Programas de inversión pública"/>
    <s v="4.6.3"/>
    <x v="64"/>
    <s v="Actualización y elaboración de planes de gestión comunal de las localidades acentuadas en las zonas de amortiguamiento con la finalidad de orientar adecuadamente la implementación y ejecución de proyectos."/>
    <s v="NR"/>
    <x v="0"/>
    <x v="8"/>
    <s v="COMP 9"/>
    <s v="HABILITANTE"/>
    <x v="15"/>
    <s v="C10"/>
    <s v="Planes de gestión comunal"/>
    <n v="0"/>
    <n v="9"/>
    <n v="15"/>
    <n v="10000"/>
    <s v="Contratación de servicios profesionales para la elaboración de los planes de gestión comunal."/>
    <s v="Dircetur, Mincetur"/>
    <n v="90000"/>
    <n v="150000"/>
    <n v="18000"/>
    <n v="18000"/>
    <n v="18000"/>
    <n v="18000"/>
    <n v="18000"/>
    <n v="0"/>
    <m/>
    <s v="X"/>
    <m/>
    <m/>
    <x v="1"/>
    <x v="0"/>
  </r>
  <r>
    <x v="2"/>
    <x v="13"/>
    <s v="Programas de inversión privada"/>
    <s v="4.6.4"/>
    <x v="65"/>
    <s v="Campañas de promoción y difusión en el ámbito regional y nacional de los circuitos turísticos que existen en la zona de amortiguamiento."/>
    <s v="NR"/>
    <x v="2"/>
    <x v="7"/>
    <s v="COMP 6"/>
    <s v="PROTECCIÓN"/>
    <x v="12"/>
    <s v="C11"/>
    <s v="Campañas de promoción"/>
    <n v="0"/>
    <n v="12"/>
    <n v="12"/>
    <n v="4000"/>
    <s v="Campañas de promoción que incluye, impresión de material de difusión, publicidad radial, televisiva y escrita."/>
    <s v="Dircetur, Mincetur"/>
    <n v="240000"/>
    <n v="240000"/>
    <n v="48000"/>
    <n v="48000"/>
    <n v="48000"/>
    <n v="48000"/>
    <n v="48000"/>
    <n v="0"/>
    <m/>
    <m/>
    <s v="X"/>
    <m/>
    <x v="1"/>
    <x v="0"/>
  </r>
  <r>
    <x v="2"/>
    <x v="13"/>
    <s v="Programas de inversión privada"/>
    <s v="4.6.5"/>
    <x v="66"/>
    <s v="Pasantías regionales con productores con la finalidad de conocer  los diferentes sistemas productivos sostenibles a ser replicados en las comunidades."/>
    <s v="NR"/>
    <x v="2"/>
    <x v="7"/>
    <s v="COMP 6"/>
    <s v="PROTECCIÓN"/>
    <x v="12"/>
    <s v="C11"/>
    <s v="Pasantías"/>
    <n v="0"/>
    <n v="6"/>
    <n v="6"/>
    <n v="2500"/>
    <s v="El costo hace referencia a los gastos de pasajes, alimentación y otros para un grupo de 20 productores por pasantía."/>
    <s v="Drasam"/>
    <n v="75000"/>
    <n v="75000"/>
    <n v="15000"/>
    <n v="15000"/>
    <n v="15000"/>
    <n v="15000"/>
    <n v="15000"/>
    <n v="0"/>
    <m/>
    <m/>
    <s v="X"/>
    <m/>
    <x v="1"/>
    <x v="1"/>
  </r>
  <r>
    <x v="2"/>
    <x v="13"/>
    <s v="Programas de inversión pública"/>
    <s v="4.6.6"/>
    <x v="67"/>
    <s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x v="6"/>
    <s v="COMP 5"/>
    <s v="PROTECCIÓN"/>
    <x v="9"/>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000000"/>
    <n v="9400000"/>
    <n v="9400000"/>
    <n v="9400000"/>
    <n v="9400000"/>
    <n v="9400000"/>
    <n v="0"/>
    <m/>
    <m/>
    <s v="X"/>
    <m/>
    <x v="1"/>
    <x v="0"/>
  </r>
  <r>
    <x v="2"/>
    <x v="13"/>
    <s v="Ingresos y Capital"/>
    <s v="4.6.7"/>
    <x v="28"/>
    <s v="Implementación de planes de negocios para el desarrollo de rutas turísticas, turismo vivencial comunitario, y otras modalidades de servicios que sean generadoras de ingresos económicos, respetando el medio ambiente."/>
    <s v="NR"/>
    <x v="2"/>
    <x v="3"/>
    <s v="COMP 11"/>
    <s v="PROTECCIÓN"/>
    <x v="5"/>
    <s v="C6"/>
    <s v="Planes de negocios"/>
    <n v="0"/>
    <n v="5"/>
    <n v="8"/>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
    <n v="800000"/>
    <n v="100000"/>
    <n v="100000"/>
    <n v="100000"/>
    <n v="100000"/>
    <n v="100000"/>
    <n v="0"/>
    <s v="X"/>
    <m/>
    <m/>
    <m/>
    <x v="0"/>
    <x v="0"/>
  </r>
  <r>
    <x v="2"/>
    <x v="13"/>
    <s v="Programas de inversión pública"/>
    <s v="4.6.8"/>
    <x v="68"/>
    <s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x v="6"/>
    <s v="COMP 5"/>
    <s v="PROTECCIÓN"/>
    <x v="1"/>
    <s v="C1"/>
    <s v="Especialistas"/>
    <n v="0"/>
    <n v="8"/>
    <n v="8"/>
    <n v="3500"/>
    <s v="El costo comprende la contratación de profesionales para brindar asistencias técnica en los cultivos priorizados en la zona de intervención."/>
    <s v="Drasam"/>
    <n v="1680000"/>
    <n v="1680000"/>
    <n v="336000"/>
    <n v="336000"/>
    <n v="336000"/>
    <n v="336000"/>
    <n v="336000"/>
    <n v="0"/>
    <s v="X"/>
    <m/>
    <m/>
    <m/>
    <x v="0"/>
    <x v="0"/>
  </r>
  <r>
    <x v="2"/>
    <x v="8"/>
    <s v="Invasiones"/>
    <s v="4.7.1"/>
    <x v="40"/>
    <s v="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
    <s v="NR"/>
    <x v="0"/>
    <x v="0"/>
    <s v="COMP 8"/>
    <s v="PROTECCIÓN-GOBERNANZA"/>
    <x v="0"/>
    <s v="C5"/>
    <s v="Ha. con categoría territorial asignada"/>
    <n v="80543.826408249835"/>
    <n v="40271.913204124918"/>
    <n v="40271.913204124918"/>
    <n v="15"/>
    <s v="Para la implementación de las intervención será mecesario la contratación de especialistas para realizar las acciones que comtemplen dicha actividad. Gastos logísticos y trámites documentarios."/>
    <s v="GRSM - DEGT"/>
    <n v="604078.69806187379"/>
    <n v="604078.69806187379"/>
    <n v="120815.73961237476"/>
    <n v="120815.73961237476"/>
    <n v="120815.73961237476"/>
    <n v="120815.73961237476"/>
    <n v="120815.73961237476"/>
    <n v="0"/>
    <m/>
    <s v="X"/>
    <m/>
    <m/>
    <x v="1"/>
    <x v="0"/>
  </r>
  <r>
    <x v="2"/>
    <x v="8"/>
    <s v="Control y vigilancia"/>
    <s v="4.7.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40"/>
    <n v="40"/>
    <n v="150"/>
    <s v="Considera materiales de capacitación, alimentación a capacitados en el área cercana a su comunidad y gastos de capacitadores"/>
    <s v="GRSM - DEGT"/>
    <n v="6000"/>
    <n v="6000"/>
    <n v="6000"/>
    <n v="0"/>
    <n v="0"/>
    <n v="0"/>
    <n v="0"/>
    <n v="0"/>
    <m/>
    <s v="X"/>
    <m/>
    <m/>
    <x v="1"/>
    <x v="1"/>
  </r>
  <r>
    <x v="2"/>
    <x v="8"/>
    <s v="Control y vigilancia"/>
    <s v="4.7.3"/>
    <x v="42"/>
    <s v="Dependiendo de la categoría forestal a ser aplicada, se realizará un plan/declaración acorde la unidad, en el marco de la ley forestal y fauna silvestre N° 29763."/>
    <s v="NR"/>
    <x v="0"/>
    <x v="0"/>
    <s v="COMP 8"/>
    <s v="PROTECCIÓN-GOBERNANZA"/>
    <x v="0"/>
    <s v="C5"/>
    <s v="N° Planes / Declaraciones elaborados"/>
    <n v="0"/>
    <n v="8"/>
    <n v="8"/>
    <n v="10000"/>
    <s v="Se considera la contratación de profesionales para la elaboración de los expedientes y/o declaraciones identificadas en los diferentes procesos."/>
    <s v="GRSM - DEGT"/>
    <n v="80000"/>
    <n v="80000"/>
    <n v="24000"/>
    <n v="24000"/>
    <n v="32000"/>
    <n v="0"/>
    <n v="0"/>
    <n v="0"/>
    <m/>
    <s v="X"/>
    <m/>
    <m/>
    <x v="1"/>
    <x v="1"/>
  </r>
  <r>
    <x v="2"/>
    <x v="8"/>
    <s v="Invasiones"/>
    <s v="4.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80543.826408249835"/>
    <n v="40271.913204124918"/>
    <n v="40271.913204124918"/>
    <n v="1"/>
    <s v="Contratación de dos profesioales para agilizar procesos con sunarp."/>
    <s v="GRSM - DEGT"/>
    <n v="40271.913204124918"/>
    <n v="40271.913204124918"/>
    <n v="8054.3826408249843"/>
    <n v="8054.3826408249843"/>
    <n v="8054.3826408249843"/>
    <n v="8054.3826408249843"/>
    <n v="8054.3826408249843"/>
    <n v="0"/>
    <m/>
    <s v="X"/>
    <m/>
    <m/>
    <x v="1"/>
    <x v="1"/>
  </r>
  <r>
    <x v="2"/>
    <x v="9"/>
    <s v="Invasiones"/>
    <s v="4.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x v="0"/>
    <s v="C5"/>
    <s v="Ha. con categoría territorial asignada"/>
    <n v="0"/>
    <n v="47298.808366990103"/>
    <n v="47298.808366990103"/>
    <n v="15"/>
    <s v="Para la implementación de las intervención será mecesario la contratación de especialistas para realizar las acciones que comtemplen dicha actividad. Gastos logísticos y trámites documentarios."/>
    <s v="GRSM - DEGT"/>
    <n v="709482.12550485157"/>
    <n v="709482.12550485157"/>
    <n v="141896.42510097031"/>
    <n v="141896.42510097031"/>
    <n v="141896.42510097031"/>
    <n v="141896.42510097031"/>
    <n v="141896.42510097031"/>
    <n v="0"/>
    <m/>
    <s v="X"/>
    <m/>
    <m/>
    <x v="1"/>
    <x v="0"/>
  </r>
  <r>
    <x v="2"/>
    <x v="9"/>
    <s v="Control y vigilancia"/>
    <s v="4.8.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90"/>
    <n v="90"/>
    <n v="150"/>
    <s v="Considera materiales de capacitación, alimentación a capacitados en el área cercana a su comunidad y gastos de capacitadores"/>
    <s v="GRSM - DEGT"/>
    <n v="13500"/>
    <n v="13500"/>
    <n v="13500"/>
    <n v="0"/>
    <n v="0"/>
    <n v="0"/>
    <n v="0"/>
    <n v="0"/>
    <m/>
    <s v="X"/>
    <m/>
    <m/>
    <x v="1"/>
    <x v="1"/>
  </r>
  <r>
    <x v="2"/>
    <x v="9"/>
    <s v="Control y vigilancia"/>
    <s v="4.8.3"/>
    <x v="42"/>
    <s v="Dependiendo de la categoría forestal a ser aplicada, se realizará un plan/declaración acorde a la unidad, en el marco de la ley forestal y fauna silvestre N° 29763."/>
    <s v="NR"/>
    <x v="0"/>
    <x v="0"/>
    <s v="COMP 8"/>
    <s v="PROTECCIÓN-GOBERNANZA"/>
    <x v="0"/>
    <s v="C5"/>
    <s v="N° Planes / Declaraciones elaborados"/>
    <n v="0"/>
    <n v="2"/>
    <n v="2"/>
    <n v="10000"/>
    <s v="Se considera la contratación de profesionales para la elaboración de los expedientes y/o declaraciones identificadas en los diferentes procesos."/>
    <s v="GRSM - DEGT"/>
    <n v="20000"/>
    <n v="20000"/>
    <n v="6000"/>
    <n v="6000"/>
    <n v="8000"/>
    <n v="0"/>
    <n v="0"/>
    <n v="0"/>
    <m/>
    <s v="X"/>
    <m/>
    <m/>
    <x v="1"/>
    <x v="1"/>
  </r>
  <r>
    <x v="2"/>
    <x v="9"/>
    <s v="Invasiones"/>
    <s v="4.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0"/>
    <n v="47298.808366990103"/>
    <n v="47298.808366990103"/>
    <n v="1"/>
    <s v="Contratación de dos profesioales para agilizar procesos con sunarp."/>
    <s v="GRSM - DEGT"/>
    <n v="47298.808366990103"/>
    <n v="47298.808366990103"/>
    <n v="9459.7616733980212"/>
    <n v="9459.7616733980212"/>
    <n v="9459.7616733980212"/>
    <n v="9459.7616733980212"/>
    <n v="9459.7616733980212"/>
    <n v="0"/>
    <m/>
    <s v="X"/>
    <m/>
    <m/>
    <x v="1"/>
    <x v="1"/>
  </r>
  <r>
    <x v="2"/>
    <x v="9"/>
    <s v="Ingresos y Capital"/>
    <s v="4.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x v="0"/>
    <s v="C5"/>
    <s v="Hectáreas restauradas"/>
    <n v="0"/>
    <n v="7171.9365069078503"/>
    <n v="7171.9365069078503"/>
    <n v="500"/>
    <s v="El costo incluye la restauración de una hectárea, esta actividad se desarrollara de acuerdo a la metodología propuesta por el ARA, en coordinación con los productores seleccionados."/>
    <s v="ARA"/>
    <n v="3585968.2534539253"/>
    <n v="3585968.2534539253"/>
    <n v="3585968.2534539253"/>
    <n v="0"/>
    <n v="0"/>
    <n v="0"/>
    <n v="0"/>
    <n v="0"/>
    <m/>
    <s v="X"/>
    <m/>
    <m/>
    <x v="1"/>
    <x v="0"/>
  </r>
  <r>
    <x v="2"/>
    <x v="10"/>
    <s v="Programas de inversión pública"/>
    <s v="4.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8"/>
    <s v="HABILITANTE"/>
    <x v="16"/>
    <s v="C18"/>
    <s v="Acuerdos con rondas campesinas"/>
    <n v="0"/>
    <n v="19"/>
    <n v="19"/>
    <n v="2500"/>
    <s v="Reuniones con los diferentes actores involucrados y la sociedad civil para llegar a acuerdos de no deforestación, lo cual incluye  gastos logísticos en general."/>
    <s v="GRIS"/>
    <n v="237500"/>
    <n v="237500"/>
    <n v="47500"/>
    <n v="47500"/>
    <n v="47500"/>
    <n v="47500"/>
    <n v="47500"/>
    <n v="0"/>
    <s v="X"/>
    <m/>
    <m/>
    <m/>
    <x v="1"/>
    <x v="0"/>
  </r>
  <r>
    <x v="2"/>
    <x v="10"/>
    <s v="Programas de inversión pública"/>
    <s v="4.9.2"/>
    <x v="48"/>
    <s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x v="9"/>
    <s v="COMP 10"/>
    <s v="HABILITANTE"/>
    <x v="16"/>
    <s v="C18"/>
    <s v="Kilómetros mejorados"/>
    <n v="328"/>
    <n v="32.800000000000004"/>
    <n v="32.800000000000004"/>
    <n v="800000"/>
    <s v="Costo promedio de por km2 de vía mejorada o asfaltada"/>
    <s v="DRTyTC"/>
    <n v="26240000.000000004"/>
    <n v="26240000.000000004"/>
    <n v="5248000.0000000009"/>
    <n v="5248000.0000000009"/>
    <n v="5248000.0000000009"/>
    <n v="5248000.0000000009"/>
    <n v="5248000.0000000009"/>
    <n v="0"/>
    <s v="X"/>
    <m/>
    <m/>
    <m/>
    <x v="1"/>
    <x v="1"/>
  </r>
  <r>
    <x v="2"/>
    <x v="10"/>
    <s v="Programas de inversión pública"/>
    <s v="4.9.3"/>
    <x v="49"/>
    <s v="Ejecución de proyectos de restauración dentro de las áreas con prioridad alta. La GRDE, el ARA y los proyectos especiales a través de sus diferentes direcciones de línea, deberán implementar esta actividad a través de los PIP y actividades propias de las direcciones."/>
    <s v="NR"/>
    <x v="2"/>
    <x v="6"/>
    <s v="COMP 5"/>
    <s v="PROTECCIÓN"/>
    <x v="16"/>
    <s v="C18"/>
    <s v="Hectáreas restauradas"/>
    <n v="3078.73"/>
    <n v="1539.365"/>
    <n v="1539.365"/>
    <n v="500"/>
    <s v="El costo incluye la restauración de una hectárea, esta actividad se desarrollara de acuerdo a la metodología propuesta por el ARA, en coordinación con los productores seleccionados."/>
    <s v="ARA"/>
    <n v="769682.5"/>
    <n v="769682.5"/>
    <n v="153936.5"/>
    <n v="153936.5"/>
    <n v="153936.5"/>
    <n v="153936.5"/>
    <n v="153936.5"/>
    <n v="0"/>
    <m/>
    <m/>
    <s v="X"/>
    <m/>
    <x v="0"/>
    <x v="0"/>
  </r>
  <r>
    <x v="2"/>
    <x v="10"/>
    <s v="Programas de inversión pública"/>
    <s v="4.9.4"/>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x v="8"/>
    <s v="COMP 9"/>
    <s v="INCLUSION"/>
    <x v="16"/>
    <s v="C18"/>
    <s v="Centros de salud y colegios implementados"/>
    <n v="0"/>
    <n v="2"/>
    <n v="2"/>
    <n v="3500000"/>
    <s v="Construcción e implementación de centros educativos y postas medicas"/>
    <s v="DRTyTC"/>
    <n v="7000000"/>
    <n v="7000000"/>
    <n v="1400000"/>
    <n v="2100000"/>
    <n v="3500000"/>
    <n v="0"/>
    <n v="0"/>
    <n v="0"/>
    <m/>
    <s v="X"/>
    <m/>
    <m/>
    <x v="0"/>
    <x v="0"/>
  </r>
  <r>
    <x v="2"/>
    <x v="10"/>
    <s v="Programas de inversión pública"/>
    <s v="4.9.5"/>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x v="8"/>
    <s v="COMP 9"/>
    <s v="INCLUSION"/>
    <x v="16"/>
    <s v="C18"/>
    <s v="N° campañas"/>
    <n v="0"/>
    <n v="135.52500000000001"/>
    <n v="135.52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388125"/>
    <n v="3388125"/>
    <n v="677625"/>
    <n v="677625"/>
    <n v="677625"/>
    <n v="677625"/>
    <n v="677625"/>
    <n v="0"/>
    <m/>
    <s v="X"/>
    <m/>
    <m/>
    <x v="0"/>
    <x v="0"/>
  </r>
  <r>
    <x v="2"/>
    <x v="10"/>
    <s v="Programas de inversión pública"/>
    <s v="4.9.6"/>
    <x v="52"/>
    <s v="Promoción al acceso de la marca con los productores que cumplan los criterios de elegibilidad solicitados por el programa, como una estrategia de ubicar mercados diferenciados para los productos provenientes de estas zonas."/>
    <s v="NR"/>
    <x v="1"/>
    <x v="5"/>
    <s v="COMP 3"/>
    <s v="PRODUCCIÓN"/>
    <x v="16"/>
    <s v="C18"/>
    <s v="Organizaciones que acceden a la marca"/>
    <n v="0"/>
    <n v="10"/>
    <n v="15"/>
    <n v="3000"/>
    <s v="El costo incluye: Una inspección anual anunciada,  elaboración de informe de inspección, administración y comunicación, certificación según los estándares de la marca."/>
    <s v="GRDE"/>
    <n v="150000"/>
    <n v="225000"/>
    <n v="30000"/>
    <n v="30000"/>
    <n v="30000"/>
    <n v="30000"/>
    <n v="30000"/>
    <n v="0"/>
    <m/>
    <m/>
    <s v="X"/>
    <m/>
    <x v="1"/>
    <x v="0"/>
  </r>
  <r>
    <x v="3"/>
    <x v="0"/>
    <s v="Invasiones"/>
    <s v="3.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6973.3958940467001"/>
    <n v="3486.69794702335"/>
    <n v="3486.69794702335"/>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973395.8940466996"/>
    <n v="6973395.8940466996"/>
    <n v="697339.58940467006"/>
    <n v="1046009.3841070049"/>
    <n v="1394679.1788093401"/>
    <n v="2092018.7682140097"/>
    <n v="1743348.9735116749"/>
    <n v="0"/>
    <m/>
    <m/>
    <s v="X"/>
    <m/>
    <x v="0"/>
    <x v="0"/>
  </r>
  <r>
    <x v="3"/>
    <x v="0"/>
    <s v="Programas de inversión pública"/>
    <s v="3.1.2"/>
    <x v="1"/>
    <s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x v="1"/>
    <s v="COMP 1"/>
    <s v="PRODUCCIÓN"/>
    <x v="1"/>
    <s v="C1"/>
    <s v="Productores asistidos"/>
    <n v="29823"/>
    <n v="17893.8"/>
    <n v="11929.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020528"/>
    <n v="6680352"/>
    <n v="2004105.6"/>
    <n v="2004105.6"/>
    <n v="2004105.6"/>
    <n v="2004105.6"/>
    <n v="2004105.6"/>
    <n v="0"/>
    <m/>
    <m/>
    <s v="X"/>
    <m/>
    <x v="0"/>
    <x v="0"/>
  </r>
  <r>
    <x v="3"/>
    <x v="0"/>
    <s v="Programas de inversión pública"/>
    <s v="3.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x v="2"/>
    <s v="C17"/>
    <s v="Hectáreas intervenidas"/>
    <n v="70028"/>
    <n v="21008.399999999998"/>
    <n v="21008.399999999998"/>
    <n v="500"/>
    <s v="El costo incluye adquisición de semillas, insumos, fertilizantes, entre otras para la producción de plantas agroforestales o coberturas  verdes."/>
    <s v="DRASAM"/>
    <n v="10504199.999999998"/>
    <n v="10504199.999999998"/>
    <n v="2100839.9999999995"/>
    <n v="2100839.9999999995"/>
    <n v="2100839.9999999995"/>
    <n v="2100839.9999999995"/>
    <n v="2100839.9999999995"/>
    <n v="0"/>
    <m/>
    <m/>
    <s v="X"/>
    <m/>
    <x v="1"/>
    <x v="0"/>
  </r>
  <r>
    <x v="3"/>
    <x v="0"/>
    <s v="Programas de inversión pública"/>
    <s v="3.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x v="2"/>
    <s v="C17"/>
    <s v="hectáreas fertilizadas"/>
    <n v="70028"/>
    <n v="14005.6"/>
    <n v="21008.399999999998"/>
    <n v="2500"/>
    <s v="El costo incluye un análisis de suelos, paquete de fertilización según los resultados del análisis y la adquisición de fertilizantes. El costo incluye los tres abonamientos requeridos en una campaña (1 año)."/>
    <s v="Drasam"/>
    <n v="35014000"/>
    <n v="52520999.999999993"/>
    <n v="7002800"/>
    <n v="7002800"/>
    <n v="7002800"/>
    <n v="7002800"/>
    <n v="7002800"/>
    <n v="0"/>
    <m/>
    <m/>
    <s v="X"/>
    <m/>
    <x v="0"/>
    <x v="0"/>
  </r>
  <r>
    <x v="3"/>
    <x v="0"/>
    <s v="Programas de inversión privada"/>
    <s v="3.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x v="2"/>
    <s v="COMP 4 "/>
    <s v="PRODUCCIÓN"/>
    <x v="2"/>
    <s v="C17"/>
    <s v="Hectáreas con sistemas de riego"/>
    <n v="70028"/>
    <n v="3501.4"/>
    <n v="4201.68"/>
    <n v="11500"/>
    <s v="El costo incluye la instalación de un sistema completo y un paquete de fertilización para la primera campaña. El costo va depender del tipo de cultivo, tipo de sistema y el tipo de materiales a usar en los sistemas de fertirriego."/>
    <s v="DRASAM"/>
    <n v="40266100"/>
    <n v="48319320"/>
    <n v="8053220"/>
    <n v="8053220"/>
    <n v="8053220"/>
    <n v="8053220"/>
    <n v="8053220"/>
    <n v="0"/>
    <m/>
    <m/>
    <s v="X"/>
    <m/>
    <x v="0"/>
    <x v="0"/>
  </r>
  <r>
    <x v="3"/>
    <x v="0"/>
    <s v="Programas de inversión privada"/>
    <s v="3.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x v="3"/>
    <s v="C12"/>
    <s v="Hectáreas reconvertidas"/>
    <n v="14005.6"/>
    <n v="1400.5600000000002"/>
    <n v="1400.5600000000002"/>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008400.000000004"/>
    <n v="21008400.000000004"/>
    <n v="4201680.0000000009"/>
    <n v="4201680.0000000009"/>
    <n v="4201680.0000000009"/>
    <n v="4201680.0000000009"/>
    <n v="4201680.0000000009"/>
    <n v="0"/>
    <s v="X"/>
    <m/>
    <m/>
    <m/>
    <x v="0"/>
    <x v="1"/>
  </r>
  <r>
    <x v="3"/>
    <x v="0"/>
    <s v="Programas de inversión pública"/>
    <s v="3.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x v="4"/>
    <s v="C3"/>
    <s v="Productores beneficiados"/>
    <n v="29823"/>
    <n v="2982.3"/>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471670"/>
    <n v="76189980.000000015"/>
    <n v="7694334"/>
    <n v="7694334"/>
    <n v="7694334"/>
    <n v="7694334"/>
    <n v="7694334"/>
    <n v="0"/>
    <m/>
    <m/>
    <s v="X"/>
    <m/>
    <x v="0"/>
    <x v="1"/>
  </r>
  <r>
    <x v="3"/>
    <x v="0"/>
    <s v="Programas de inversión pública"/>
    <s v="3.1.8"/>
    <x v="7"/>
    <s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s v="NR"/>
    <x v="1"/>
    <x v="2"/>
    <s v="COMP 4 "/>
    <s v="PRODUCCIÓN"/>
    <x v="1"/>
    <s v="C1"/>
    <s v="Acuicultores asistidos"/>
    <n v="431"/>
    <n v="431"/>
    <n v="43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241360"/>
    <n v="241360"/>
    <n v="48272"/>
    <n v="48272"/>
    <n v="48272"/>
    <n v="48272"/>
    <n v="48272"/>
    <n v="0"/>
    <m/>
    <m/>
    <s v="X"/>
    <m/>
    <x v="0"/>
    <x v="1"/>
  </r>
  <r>
    <x v="3"/>
    <x v="0"/>
    <s v="Ingresos y Capital"/>
    <s v="3.1.9"/>
    <x v="8"/>
    <s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x v="5"/>
    <s v="C6"/>
    <s v="Créditos otorgados"/>
    <n v="0"/>
    <n v="431"/>
    <n v="431"/>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5559900"/>
    <n v="5559900"/>
    <n v="1111980"/>
    <n v="1111980"/>
    <n v="1111980"/>
    <n v="1111980"/>
    <n v="1111980"/>
    <n v="0"/>
    <s v="X"/>
    <m/>
    <m/>
    <m/>
    <x v="0"/>
    <x v="1"/>
  </r>
  <r>
    <x v="3"/>
    <x v="0"/>
    <s v="Ingresos y Capital"/>
    <s v="3.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x v="5"/>
    <s v="C6"/>
    <s v="Créditos otorgados"/>
    <n v="29823"/>
    <n v="8946.9"/>
    <n v="5964.6"/>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96179175"/>
    <n v="64119450.000000007"/>
    <n v="19235835"/>
    <n v="19235835"/>
    <n v="19235835"/>
    <n v="19235835"/>
    <n v="19235835"/>
    <n v="0"/>
    <s v="X"/>
    <m/>
    <m/>
    <m/>
    <x v="0"/>
    <x v="1"/>
  </r>
  <r>
    <x v="3"/>
    <x v="0"/>
    <s v="Programas de inversión privada"/>
    <s v="3.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x v="6"/>
    <s v="C7"/>
    <s v="Planes de negocios/proyectos ejecutados"/>
    <n v="0"/>
    <n v="5.6000000000000005"/>
    <n v="8.4"/>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480000"/>
    <n v="6720000"/>
    <n v="896000"/>
    <n v="896000"/>
    <n v="896000"/>
    <n v="896000"/>
    <n v="896000"/>
    <n v="0"/>
    <m/>
    <s v="X"/>
    <m/>
    <m/>
    <x v="0"/>
    <x v="0"/>
  </r>
  <r>
    <x v="3"/>
    <x v="0"/>
    <s v="Programas de inversión privada"/>
    <s v="3.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x v="4"/>
    <s v="C3"/>
    <s v="Empresas y organizaciones atendidas"/>
    <n v="20"/>
    <n v="10"/>
    <n v="10"/>
    <n v="50000"/>
    <s v="El costo incluye la contratación de especialistas para brindar Asistencia Técnica en los procesos de implementación de las certificaciones de calidad, materiales para la capacitación y pasantías."/>
    <s v="DIREPRO"/>
    <n v="500000"/>
    <n v="500000"/>
    <n v="100000"/>
    <n v="100000"/>
    <n v="100000"/>
    <n v="100000"/>
    <n v="100000"/>
    <n v="0"/>
    <s v="X"/>
    <m/>
    <m/>
    <m/>
    <x v="0"/>
    <x v="1"/>
  </r>
  <r>
    <x v="3"/>
    <x v="0"/>
    <s v="Programas de inversión pública"/>
    <s v="3.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x v="7"/>
    <s v="C2"/>
    <s v="Organizaciones auto sostenibles"/>
    <n v="28"/>
    <n v="10"/>
    <n v="8.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1200000"/>
    <n v="1008000"/>
    <n v="240000"/>
    <n v="240000"/>
    <n v="240000"/>
    <n v="240000"/>
    <n v="240000"/>
    <n v="0"/>
    <m/>
    <m/>
    <s v="X"/>
    <m/>
    <x v="1"/>
    <x v="0"/>
  </r>
  <r>
    <x v="3"/>
    <x v="0"/>
    <s v="Programas de inversión privada"/>
    <s v="3.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x v="8"/>
    <s v="C9"/>
    <s v="Organizaciones certificadas"/>
    <n v="28"/>
    <n v="14"/>
    <n v="14"/>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00000"/>
    <n v="2800000"/>
    <n v="560000"/>
    <n v="560000"/>
    <n v="560000"/>
    <n v="560000"/>
    <n v="560000"/>
    <n v="0"/>
    <m/>
    <m/>
    <s v="X"/>
    <m/>
    <x v="1"/>
    <x v="0"/>
  </r>
  <r>
    <x v="3"/>
    <x v="0"/>
    <s v="Control y vigilancia"/>
    <s v="3.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m/>
    <m/>
    <s v="X"/>
    <m/>
    <x v="1"/>
    <x v="1"/>
  </r>
  <r>
    <x v="3"/>
    <x v="0"/>
    <s v="Programas de inversión privada"/>
    <s v="3.1.16"/>
    <x v="60"/>
    <s v="Implementar y promover la certificación de plantaciones de 8,086 pequeños productores, los cuales tienen 30,728.3 ha. La certificación RSPO permite facilitar el acceso a los mercados de los productos derivados de la palma aceitera."/>
    <s v="R"/>
    <x v="1"/>
    <x v="5"/>
    <s v="COMP 3"/>
    <s v="PRODUCCIÓN"/>
    <x v="8"/>
    <s v="C9"/>
    <s v="Hectáreas certificadas"/>
    <n v="0"/>
    <n v="9218.4"/>
    <n v="21509.599999999999"/>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23037887.807999998"/>
    <n v="53755071.551999994"/>
    <n v="4607577.5615999997"/>
    <n v="4607577.5615999997"/>
    <n v="4607577.5615999997"/>
    <n v="4607577.5615999997"/>
    <n v="4607577.5615999997"/>
    <n v="0"/>
    <m/>
    <m/>
    <s v="X"/>
    <m/>
    <x v="0"/>
    <x v="1"/>
  </r>
  <r>
    <x v="3"/>
    <x v="1"/>
    <s v="Invasiones"/>
    <s v="3.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95.985498947623199"/>
    <n v="47.9927494738116"/>
    <n v="47.9927494738116"/>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95985.4989476232"/>
    <n v="95985.4989476232"/>
    <n v="9598.54989476232"/>
    <n v="14397.82484214348"/>
    <n v="19197.09978952464"/>
    <n v="28795.64968428696"/>
    <n v="23996.3747369058"/>
    <n v="0"/>
    <m/>
    <n v="0"/>
    <m/>
    <m/>
    <x v="0"/>
    <x v="0"/>
  </r>
  <r>
    <x v="3"/>
    <x v="1"/>
    <s v="Programas de inversión pública"/>
    <s v="3.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x v="2"/>
    <s v="COMP 4 "/>
    <s v="PRODUCCIÓN"/>
    <x v="2"/>
    <s v="C17"/>
    <s v="Unidades semilleristas"/>
    <n v="5"/>
    <n v="2.5"/>
    <n v="1.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37500"/>
    <n v="22500"/>
    <n v="7500"/>
    <n v="7500"/>
    <n v="7500"/>
    <n v="7500"/>
    <n v="7500"/>
    <n v="0"/>
    <m/>
    <s v="X"/>
    <m/>
    <m/>
    <x v="0"/>
    <x v="0"/>
  </r>
  <r>
    <x v="3"/>
    <x v="1"/>
    <s v="Programas de inversión pública"/>
    <s v="3.2.3"/>
    <x v="16"/>
    <s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s v="NR"/>
    <x v="1"/>
    <x v="1"/>
    <s v="COMP 1"/>
    <s v="PRODUCCIÓN"/>
    <x v="4"/>
    <s v="C3"/>
    <s v="Productores asistidos"/>
    <n v="985"/>
    <n v="492.5"/>
    <n v="295.5"/>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275800"/>
    <n v="165480"/>
    <n v="55160"/>
    <n v="55160"/>
    <n v="55160"/>
    <n v="55160"/>
    <n v="55160"/>
    <n v="0"/>
    <m/>
    <m/>
    <s v="X"/>
    <m/>
    <x v="0"/>
    <x v="1"/>
  </r>
  <r>
    <x v="3"/>
    <x v="1"/>
    <s v="Programas de inversión privada"/>
    <s v="3.2.4"/>
    <x v="5"/>
    <s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x v="2"/>
    <s v="COMP 4 "/>
    <s v="PRODUCCIÓN"/>
    <x v="3"/>
    <s v="C12"/>
    <s v="Hectáreas reconvertidas"/>
    <n v="1001.4000000000001"/>
    <n v="100.14000000000001"/>
    <n v="200.28000000000003"/>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1502100.0000000002"/>
    <n v="3004200.0000000005"/>
    <n v="300420.00000000006"/>
    <n v="300420.00000000006"/>
    <n v="300420.00000000006"/>
    <n v="300420.00000000006"/>
    <n v="300420.00000000006"/>
    <n v="0"/>
    <m/>
    <m/>
    <s v="X"/>
    <m/>
    <x v="0"/>
    <x v="0"/>
  </r>
  <r>
    <x v="3"/>
    <x v="1"/>
    <s v="Ingresos y Capital"/>
    <s v="3.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x v="3"/>
    <s v="COMP 11"/>
    <s v="PRODUCCIÓN"/>
    <x v="5"/>
    <s v="C6"/>
    <s v="Productores atendidos"/>
    <n v="985"/>
    <n v="295.5"/>
    <n v="19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3176625"/>
    <n v="2117750"/>
    <n v="635325"/>
    <n v="635325"/>
    <n v="635325"/>
    <n v="635325"/>
    <n v="635325"/>
    <n v="0"/>
    <s v="X"/>
    <m/>
    <m/>
    <m/>
    <x v="1"/>
    <x v="0"/>
  </r>
  <r>
    <x v="3"/>
    <x v="1"/>
    <s v="Programas de inversión pública"/>
    <s v="3.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malizadas"/>
    <n v="0"/>
    <n v="2"/>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1200000"/>
    <n v="1200000"/>
    <n v="240000"/>
    <n v="240000"/>
    <n v="240000"/>
    <n v="240000"/>
    <n v="240000"/>
    <n v="0"/>
    <m/>
    <m/>
    <s v="X"/>
    <m/>
    <x v="1"/>
    <x v="0"/>
  </r>
  <r>
    <x v="3"/>
    <x v="1"/>
    <s v="Programas de inversión privada"/>
    <s v="3.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
    <s v="NR"/>
    <x v="1"/>
    <x v="2"/>
    <s v="COMP 4 "/>
    <s v="PRODUCCIÓN"/>
    <x v="6"/>
    <s v="C7"/>
    <s v="Planes de negocios ejecutados"/>
    <n v="0"/>
    <n v="2"/>
    <n v="2"/>
    <n v="15000"/>
    <s v="Para el logro de los objetivos, se considera el pago de profesionales para la formulación de los planes de negocios que beneficiarían directamente a los pequeños productores."/>
    <s v="DRASAM"/>
    <n v="150000"/>
    <n v="150000"/>
    <n v="75000"/>
    <n v="0"/>
    <n v="75000"/>
    <n v="0"/>
    <n v="0"/>
    <n v="0"/>
    <s v="X"/>
    <m/>
    <m/>
    <m/>
    <x v="1"/>
    <x v="0"/>
  </r>
  <r>
    <x v="3"/>
    <x v="1"/>
    <s v="Control y vigilancia"/>
    <s v="3.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s v="X"/>
    <m/>
    <m/>
    <m/>
    <x v="1"/>
    <x v="0"/>
  </r>
  <r>
    <x v="3"/>
    <x v="2"/>
    <s v="Invasiones"/>
    <s v="3.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x v="0"/>
    <s v="C5"/>
    <s v="N° Títulos/Contratos otorgados"/>
    <n v="463.30581406844504"/>
    <n v="231.65290703422252"/>
    <n v="231.652907034222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463305.81406844506"/>
    <n v="463305.81406844506"/>
    <n v="46330.581406844511"/>
    <n v="69495.872110266762"/>
    <n v="92661.162813689021"/>
    <n v="138991.74422053352"/>
    <n v="115826.45351711127"/>
    <n v="0"/>
    <m/>
    <m/>
    <s v="X"/>
    <m/>
    <x v="0"/>
    <x v="0"/>
  </r>
  <r>
    <x v="3"/>
    <x v="2"/>
    <s v="Programas de inversión pública"/>
    <s v="3.3.2"/>
    <x v="18"/>
    <s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x v="1"/>
    <s v="C1"/>
    <s v="Ganaderos asistidos"/>
    <n v="587"/>
    <n v="587"/>
    <n v="587"/>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328720"/>
    <n v="328720"/>
    <n v="65744"/>
    <n v="65744"/>
    <n v="65744"/>
    <n v="65744"/>
    <n v="65744"/>
    <n v="0"/>
    <m/>
    <m/>
    <s v="X"/>
    <m/>
    <x v="0"/>
    <x v="0"/>
  </r>
  <r>
    <x v="3"/>
    <x v="2"/>
    <s v="Programas de inversión pública"/>
    <s v="3.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x v="2"/>
    <s v="C17"/>
    <s v="Hectáreas intervenidas"/>
    <n v="11251"/>
    <n v="2250.2000000000003"/>
    <n v="2250.2000000000003"/>
    <n v="500"/>
    <s v="El costo incluye adquisición de semillas, insumos, fertilizantes, entre otras para la producción de plantas agroforestales o coberturas  verdes."/>
    <s v="DRASAM"/>
    <n v="1125100.0000000002"/>
    <n v="1125100.0000000002"/>
    <n v="225020.00000000006"/>
    <n v="225020.00000000006"/>
    <n v="225020.00000000006"/>
    <n v="225020.00000000006"/>
    <n v="225020.00000000006"/>
    <n v="0"/>
    <m/>
    <m/>
    <s v="X"/>
    <m/>
    <x v="0"/>
    <x v="1"/>
  </r>
  <r>
    <x v="3"/>
    <x v="2"/>
    <s v="Programas de inversión pública"/>
    <s v="3.3.4"/>
    <x v="19"/>
    <s v="Reactivación  , implementación y gestión de las postas de inseminación artificial, importación de material genético (pajillas de semen), capacitación y entrenamiento a inseminadores, transferencia de embriones."/>
    <s v="R"/>
    <x v="1"/>
    <x v="2"/>
    <s v="COMP 4 "/>
    <s v="PRODUCCIÓN"/>
    <x v="2"/>
    <s v="C17"/>
    <s v="Postas Reactivadas"/>
    <n v="0"/>
    <n v="2"/>
    <n v="2"/>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548000"/>
    <n v="548000"/>
    <n v="109600"/>
    <n v="109600"/>
    <n v="109600"/>
    <n v="109600"/>
    <n v="109600"/>
    <n v="0"/>
    <m/>
    <s v="X"/>
    <m/>
    <m/>
    <x v="1"/>
    <x v="1"/>
  </r>
  <r>
    <x v="3"/>
    <x v="2"/>
    <s v="Ingresos y Capital"/>
    <s v="3.3.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
    <s v="R"/>
    <x v="1"/>
    <x v="3"/>
    <s v="COMP 11"/>
    <s v="PRODUCCIÓN"/>
    <x v="5"/>
    <s v="C6"/>
    <s v="Ganaderos atendidos"/>
    <n v="587"/>
    <n v="176.1"/>
    <n v="117.4"/>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1893075"/>
    <n v="1262050"/>
    <n v="378615"/>
    <n v="378615"/>
    <n v="378615"/>
    <n v="378615"/>
    <n v="378615"/>
    <n v="0"/>
    <s v="X"/>
    <m/>
    <m/>
    <m/>
    <x v="0"/>
    <x v="0"/>
  </r>
  <r>
    <x v="3"/>
    <x v="2"/>
    <s v="Programas de inversión pública"/>
    <s v="3.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x v="7"/>
    <s v="C2"/>
    <s v="Organizaciones fortalecidas"/>
    <n v="0"/>
    <n v="8"/>
    <n v="8"/>
    <n v="120000"/>
    <s v="Costo implica la contratación de un profesional para realizar las labores de seguimiento y fortalecimiento de las organizaciones de forma permanente por el periodo de 10 años (120 meses)"/>
    <s v="Drasam, Dircetur, Direpro"/>
    <n v="4800000"/>
    <n v="4800000"/>
    <n v="960000"/>
    <n v="960000"/>
    <n v="960000"/>
    <n v="960000"/>
    <n v="960000"/>
    <n v="0"/>
    <m/>
    <m/>
    <s v="X"/>
    <m/>
    <x v="1"/>
    <x v="0"/>
  </r>
  <r>
    <x v="3"/>
    <x v="2"/>
    <s v="Programas de inversión privada"/>
    <s v="3.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x v="6"/>
    <s v="C7"/>
    <s v="Planes de negocios implementados"/>
    <n v="0"/>
    <n v="8"/>
    <n v="8"/>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6400000"/>
    <n v="6400000"/>
    <n v="1280000"/>
    <n v="1280000"/>
    <n v="1280000"/>
    <n v="1280000"/>
    <n v="1280000"/>
    <n v="0"/>
    <s v="X"/>
    <m/>
    <m/>
    <m/>
    <x v="0"/>
    <x v="1"/>
  </r>
  <r>
    <x v="3"/>
    <x v="2"/>
    <s v="Control y vigilancia"/>
    <s v="3.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s v="X"/>
    <m/>
    <m/>
    <m/>
    <x v="1"/>
    <x v="1"/>
  </r>
  <r>
    <x v="3"/>
    <x v="12"/>
    <s v="Invasiones"/>
    <s v="3.4.8"/>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R"/>
    <x v="0"/>
    <x v="0"/>
    <s v="COMP 8"/>
    <s v="PROTECCIÓN-GOBERNANZA"/>
    <x v="0"/>
    <s v="C5"/>
    <s v="N° Títulos/Contratos otorgados"/>
    <n v="1165.1265258785102"/>
    <n v="582.56326293925508"/>
    <n v="582.56326293925508"/>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165126.5258785102"/>
    <n v="1165126.5258785102"/>
    <n v="116512.65258785103"/>
    <n v="174768.97888177654"/>
    <n v="233025.30517570206"/>
    <n v="349537.95776355307"/>
    <n v="291281.63146962755"/>
    <n v="0"/>
    <m/>
    <m/>
    <s v="X"/>
    <m/>
    <x v="0"/>
    <x v="0"/>
  </r>
  <r>
    <x v="3"/>
    <x v="12"/>
    <s v="Ingresos y Capital"/>
    <s v="3.4.9"/>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x v="3"/>
    <s v="COMP 11"/>
    <s v="PRODUCCIÓN"/>
    <x v="5"/>
    <s v="C6"/>
    <s v="Productores atendidos"/>
    <n v="8086"/>
    <n v="2425.7999999999997"/>
    <n v="1617.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26077349.999999996"/>
    <n v="17384900"/>
    <n v="5215470"/>
    <n v="5215470"/>
    <n v="5215470"/>
    <n v="5215470"/>
    <n v="5215470"/>
    <n v="0"/>
    <m/>
    <m/>
    <s v="X"/>
    <m/>
    <x v="0"/>
    <x v="0"/>
  </r>
  <r>
    <x v="3"/>
    <x v="12"/>
    <s v="Programas de inversión privada"/>
    <s v="3.4.10"/>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x v="5"/>
    <s v="COMP 3"/>
    <s v="PRODUCCIÓN"/>
    <x v="8"/>
    <s v="C9"/>
    <s v="Especialistas"/>
    <n v="0"/>
    <n v="2"/>
    <n v="2"/>
    <n v="3500"/>
    <s v="El costo incluye la contratación de profesionales que se encarguen de identificar propuestas de alianzas comerciales entre productores y empresas privadas."/>
    <s v="Drasam"/>
    <n v="420000"/>
    <n v="420000"/>
    <n v="84000"/>
    <n v="84000"/>
    <n v="84000"/>
    <n v="84000"/>
    <n v="84000"/>
    <n v="0"/>
    <s v="X"/>
    <m/>
    <m/>
    <m/>
    <x v="0"/>
    <x v="0"/>
  </r>
  <r>
    <x v="3"/>
    <x v="12"/>
    <s v="Programas de inversión privada"/>
    <s v="3.4.11"/>
    <x v="63"/>
    <s v="Promover el financiamiento para el desarrollo e implementación de estudios de umbrales de carbono en el suelo y en los bosques."/>
    <s v="NR"/>
    <x v="1"/>
    <x v="5"/>
    <s v="COMP 3"/>
    <s v="PRODUCCIÓN"/>
    <x v="8"/>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0"/>
    <n v="220400"/>
    <n v="220400"/>
    <n v="0"/>
    <n v="0"/>
    <n v="0"/>
    <n v="0"/>
    <s v="X"/>
    <m/>
    <m/>
    <m/>
    <x v="0"/>
    <x v="0"/>
  </r>
  <r>
    <x v="3"/>
    <x v="4"/>
    <s v="Programas de inversión privada"/>
    <s v="3.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x v="5"/>
    <s v="C6"/>
    <s v="Planes de negocios"/>
    <n v="0"/>
    <n v="7"/>
    <n v="10"/>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050000"/>
    <n v="1500000"/>
    <n v="210000"/>
    <n v="210000"/>
    <n v="210000"/>
    <n v="210000"/>
    <n v="210000"/>
    <n v="0"/>
    <s v="X"/>
    <m/>
    <m/>
    <m/>
    <x v="0"/>
    <x v="0"/>
  </r>
  <r>
    <x v="3"/>
    <x v="4"/>
    <s v="Programas de inversión pública"/>
    <s v="3.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x v="1"/>
    <s v="C1"/>
    <s v="Especialistas"/>
    <n v="0"/>
    <n v="2"/>
    <n v="2"/>
    <n v="4000"/>
    <s v="Contratación de especialista y gastos logísticos, pasantías regionales y nacionales para adquisición de know how en materia de turismo rural"/>
    <s v="Dircetur"/>
    <n v="480000"/>
    <n v="480000"/>
    <n v="96000"/>
    <n v="96000"/>
    <n v="96000"/>
    <n v="96000"/>
    <n v="96000"/>
    <n v="0"/>
    <m/>
    <m/>
    <s v="X"/>
    <m/>
    <x v="0"/>
    <x v="0"/>
  </r>
  <r>
    <x v="3"/>
    <x v="4"/>
    <s v="Programas de inversión privada"/>
    <s v="3.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x v="10"/>
    <s v="C8"/>
    <s v="Planes de negocio"/>
    <n v="0"/>
    <n v="4"/>
    <n v="8"/>
    <n v="150000"/>
    <s v="El costo hace referencia al proceso de implementación y funcionamiento de los productos para el desarrollo de  los emprendimientos."/>
    <s v="Dircetur, Agroideas"/>
    <n v="600000"/>
    <n v="1200000"/>
    <n v="120000"/>
    <n v="120000"/>
    <n v="120000"/>
    <n v="120000"/>
    <n v="120000"/>
    <n v="0"/>
    <s v="X"/>
    <m/>
    <m/>
    <m/>
    <x v="0"/>
    <x v="0"/>
  </r>
  <r>
    <x v="3"/>
    <x v="4"/>
    <s v="Programas de inversión privada"/>
    <s v="3.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x v="12"/>
    <s v="C11"/>
    <s v="rutas turísticas promocionados"/>
    <n v="0"/>
    <n v="3"/>
    <n v="3"/>
    <n v="40000"/>
    <s v="Participación en eventos de promoción (ferias regionales y nacionales, Fam Trip), el costo cubrirá gastos logísticos y administrativos de los operadores turísticos identificados "/>
    <s v="Mincetur, Dircetur"/>
    <n v="600000"/>
    <n v="600000"/>
    <n v="120000"/>
    <n v="120000"/>
    <n v="120000"/>
    <n v="120000"/>
    <n v="120000"/>
    <n v="0"/>
    <m/>
    <m/>
    <s v="X"/>
    <m/>
    <x v="0"/>
    <x v="0"/>
  </r>
  <r>
    <x v="3"/>
    <x v="5"/>
    <s v="Invasiones"/>
    <s v="3.6.1"/>
    <x v="31"/>
    <s v="Realizar un sinceramiento de las concesiones forestales activas e inactivas para excluir o realizar nuevos otorgamientos a empresas que puedan cumplir técnica y económicamente con lo predispuesto en la directiva."/>
    <s v="NR"/>
    <x v="0"/>
    <x v="0"/>
    <s v="COMP 8"/>
    <s v="PROTECCIÓN-GOBERNANZA"/>
    <x v="0"/>
    <s v="C5"/>
    <s v="N° de concesiones "/>
    <n v="0"/>
    <n v="9"/>
    <n v="9"/>
    <n v="30000"/>
    <s v="Gastos operativos y logísticos para la elaboración de expedientes técnicos sustentatorios para los procesos legales y administrativos que conllevan dicho procedimiento."/>
    <s v="ARA, SERFOR, MINAM"/>
    <n v="270000"/>
    <n v="270000"/>
    <n v="54000"/>
    <n v="54000"/>
    <n v="54000"/>
    <n v="54000"/>
    <n v="54000"/>
    <n v="0"/>
    <m/>
    <m/>
    <s v="X"/>
    <m/>
    <x v="1"/>
    <x v="0"/>
  </r>
  <r>
    <x v="3"/>
    <x v="5"/>
    <s v="Programas de inversión privada"/>
    <s v="3.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x v="3"/>
    <s v="COMP 11"/>
    <s v="PROTECCIÓN"/>
    <x v="5"/>
    <s v="C6"/>
    <s v="Créditos otorgados"/>
    <n v="0"/>
    <n v="3"/>
    <n v="3"/>
    <n v="150000"/>
    <s v="El costo incluye los gastos operativos y logísticos para la extracción de la madera de acuerdo al plan de extracción y la implementación de los planes de manejo. ambiental."/>
    <s v="ARA, SERFOR, MINAM"/>
    <n v="450000"/>
    <n v="450000"/>
    <n v="90000"/>
    <n v="90000"/>
    <n v="90000"/>
    <n v="90000"/>
    <n v="90000"/>
    <n v="0"/>
    <s v="X"/>
    <m/>
    <m/>
    <m/>
    <x v="1"/>
    <x v="0"/>
  </r>
  <r>
    <x v="3"/>
    <x v="5"/>
    <s v="Programas de inversión pública"/>
    <s v="3.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puedan acceder a este beneficio."/>
    <s v="R"/>
    <x v="0"/>
    <x v="0"/>
    <s v="COMP 8"/>
    <s v="HABILITANTE"/>
    <x v="13"/>
    <s v="C21"/>
    <s v="Concesiones reactivas"/>
    <n v="0"/>
    <n v="9"/>
    <n v="0"/>
    <n v="20000"/>
    <s v="Gastos operativos y logísticos para la elaboración de expedientes técnicos sustentatorios para los procesos legales y administrativos que conllevan dicho procedimiento."/>
    <s v="ARA, SERFOR, MINAM"/>
    <n v="180000"/>
    <n v="0"/>
    <n v="36000"/>
    <n v="36000"/>
    <n v="36000"/>
    <n v="36000"/>
    <n v="36000"/>
    <n v="0"/>
    <m/>
    <m/>
    <s v="X"/>
    <m/>
    <x v="1"/>
    <x v="2"/>
  </r>
  <r>
    <x v="3"/>
    <x v="14"/>
    <s v="Control y vigilancia"/>
    <s v="3.7.1"/>
    <x v="69"/>
    <s v="Propuesta de lineamientos para aprovechamiento sostenible de los Recursos Naturales Presentes."/>
    <s v="NR"/>
    <x v="0"/>
    <x v="0"/>
    <s v="COMP 8"/>
    <s v="PROTECCIÓN-GOBERNANZA"/>
    <x v="0"/>
    <s v="C5"/>
    <s v="Lineamientos"/>
    <n v="0"/>
    <n v="1"/>
    <n v="0"/>
    <n v="100000"/>
    <s v="Contratación de equipo de profesionales para la elaboración de lineamientos de uso y demarcación de la ACR."/>
    <s v="Ara, serfor, Sernanp"/>
    <n v="100000"/>
    <n v="0"/>
    <n v="100000"/>
    <n v="0"/>
    <n v="0"/>
    <n v="0"/>
    <n v="0"/>
    <n v="0"/>
    <m/>
    <s v="X"/>
    <m/>
    <m/>
    <x v="0"/>
    <x v="0"/>
  </r>
  <r>
    <x v="3"/>
    <x v="14"/>
    <s v="Control y vigilancia"/>
    <s v="3.7.2"/>
    <x v="35"/>
    <s v="Implementar con recursos necesarios al ente que administra el área, con la finalidad de aumentar el número de personas (guardaparques) que contribuyan a realizar acciones de control y vigilancia."/>
    <s v="NR"/>
    <x v="2"/>
    <x v="6"/>
    <s v="COMP 5"/>
    <s v="PROTECCIÓN-GOBERNANZA"/>
    <x v="14"/>
    <s v="C4"/>
    <s v="Número de guardaparques"/>
    <n v="0"/>
    <n v="50"/>
    <n v="50"/>
    <n v="2000"/>
    <s v="Contratación a guardaparques para garantizar el control y vigilancia del área otorgada."/>
    <s v="Ara, serfor, Sernanp"/>
    <n v="6000000"/>
    <n v="6000000"/>
    <n v="1200000"/>
    <n v="1200000"/>
    <n v="1200000"/>
    <n v="1200000"/>
    <n v="1200000"/>
    <n v="0"/>
    <m/>
    <s v="X"/>
    <m/>
    <m/>
    <x v="0"/>
    <x v="0"/>
  </r>
  <r>
    <x v="3"/>
    <x v="14"/>
    <s v="Control y vigilancia"/>
    <s v="3.7.3"/>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x v="6"/>
    <s v="COMP 5"/>
    <s v="PROTECCIÓN-GOBERNANZA"/>
    <x v="14"/>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00000"/>
    <n v="400000"/>
    <n v="400000"/>
    <n v="400000"/>
    <n v="400000"/>
    <n v="400000"/>
    <n v="0"/>
    <m/>
    <s v="X"/>
    <m/>
    <m/>
    <x v="0"/>
    <x v="0"/>
  </r>
  <r>
    <x v="3"/>
    <x v="14"/>
    <s v="Programas de inversión privada"/>
    <s v="3.7.4"/>
    <x v="66"/>
    <s v="Encuentros de productores con la finalidad de promocionar los diferentes sistemas productivos sostenibles a ser replicados en las comunidades."/>
    <s v="NR"/>
    <x v="2"/>
    <x v="7"/>
    <s v="COMP 6"/>
    <s v="PROTECCIÓN"/>
    <x v="12"/>
    <s v="C11"/>
    <s v="Encuentros"/>
    <n v="0"/>
    <n v="50"/>
    <n v="50"/>
    <n v="2500"/>
    <s v="El costo hace referencia a los gastos de pasajes, alimentación y otros para un grupo de 20 productores por pasantía."/>
    <s v="Drasam"/>
    <n v="625000"/>
    <n v="625000"/>
    <n v="125000"/>
    <n v="125000"/>
    <n v="125000"/>
    <n v="125000"/>
    <n v="125000"/>
    <n v="0"/>
    <m/>
    <m/>
    <s v="X"/>
    <m/>
    <x v="1"/>
    <x v="0"/>
  </r>
  <r>
    <x v="3"/>
    <x v="14"/>
    <s v="Programas de inversión privada"/>
    <s v="3.7.5"/>
    <x v="65"/>
    <s v="Campañas de promoción y difusión en el ámbito regional y nacional de los circuitos turísticos que existen en la zona de amortiguamiento."/>
    <s v="NR"/>
    <x v="2"/>
    <x v="7"/>
    <s v="COMP 6"/>
    <s v="PROTECCIÓN"/>
    <x v="12"/>
    <s v="C11"/>
    <s v="Campañas de promoción"/>
    <n v="0"/>
    <n v="10"/>
    <n v="10"/>
    <n v="4000"/>
    <s v="Campañas de promoción que incluye, impresión de material de difusión, publicidad radial, televisiva y escrita."/>
    <s v="Dircetur, Mincetur"/>
    <n v="200000"/>
    <n v="200000"/>
    <n v="40000"/>
    <n v="40000"/>
    <n v="40000"/>
    <n v="40000"/>
    <n v="40000"/>
    <n v="0"/>
    <m/>
    <m/>
    <s v="X"/>
    <m/>
    <x v="1"/>
    <x v="0"/>
  </r>
  <r>
    <x v="3"/>
    <x v="14"/>
    <s v="Programas de inversión pública"/>
    <s v="3.7.6"/>
    <x v="64"/>
    <s v="Actualización y elaboración de planes de gestión comunal de las localidades acentuadas en las zonas de amortiguamiento con la finalidad de orientar adecuadamente la implementación y ejecución de proyectos."/>
    <s v="NR"/>
    <x v="0"/>
    <x v="8"/>
    <s v="COMP 9"/>
    <s v="HABILITANTE"/>
    <x v="15"/>
    <s v="C10"/>
    <s v="Planes de gestión comunal"/>
    <n v="0"/>
    <n v="12"/>
    <n v="20"/>
    <n v="20000"/>
    <s v="Contratación de servicios profesionales para la elaboración de los planes de gestión comunal."/>
    <s v="Dircetur, Mincetur"/>
    <n v="240000"/>
    <n v="400000"/>
    <n v="48000"/>
    <n v="48000"/>
    <n v="48000"/>
    <n v="48000"/>
    <n v="48000"/>
    <n v="0"/>
    <m/>
    <m/>
    <s v="X"/>
    <m/>
    <x v="1"/>
    <x v="0"/>
  </r>
  <r>
    <x v="3"/>
    <x v="14"/>
    <s v="Programas de inversión pública"/>
    <s v="3.7.7"/>
    <x v="67"/>
    <s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x v="6"/>
    <s v="COMP 5"/>
    <s v="PROTECCIÓN"/>
    <x v="9"/>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000000"/>
    <n v="9400000"/>
    <n v="9400000"/>
    <n v="9400000"/>
    <n v="9400000"/>
    <n v="9400000"/>
    <n v="0"/>
    <m/>
    <m/>
    <s v="X"/>
    <m/>
    <x v="0"/>
    <x v="0"/>
  </r>
  <r>
    <x v="3"/>
    <x v="14"/>
    <s v="Ingresos y Capital"/>
    <s v="3.7.8"/>
    <x v="28"/>
    <s v="Implementación de planes de negocios para  la Diversificación y consolidación de la oferta turística, de esta manera promover el acondicionamiento y la gestión técnica en torno de los recursos y atractivos priorizados."/>
    <s v="NR"/>
    <x v="2"/>
    <x v="3"/>
    <s v="COMP 11"/>
    <s v="PROTECCIÓN"/>
    <x v="5"/>
    <s v="C6"/>
    <s v="Planes de negocios"/>
    <n v="0"/>
    <n v="10"/>
    <n v="1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1000000"/>
    <n v="1000000"/>
    <n v="200000"/>
    <n v="200000"/>
    <n v="200000"/>
    <n v="200000"/>
    <n v="200000"/>
    <n v="0"/>
    <s v="X"/>
    <m/>
    <m/>
    <m/>
    <x v="0"/>
    <x v="0"/>
  </r>
  <r>
    <x v="3"/>
    <x v="9"/>
    <s v="Invasiones"/>
    <s v="3.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x v="0"/>
    <s v="C5"/>
    <s v="Ha. con categoría territorial asignada"/>
    <n v="37092.698274879796"/>
    <n v="18546.349137439898"/>
    <n v="18546.349137439898"/>
    <n v="15"/>
    <s v="Para la implementación de las intervención será mecesario la contratación de especialistas para realizar las acciones que comtemplen dicha actividad. Gastos logísticos y trámites documentarios."/>
    <s v="GRSM - DEGT"/>
    <n v="278195.23706159845"/>
    <n v="278195.23706159845"/>
    <n v="55639.047412319691"/>
    <n v="55639.047412319691"/>
    <n v="55639.047412319691"/>
    <n v="55639.047412319691"/>
    <n v="55639.047412319691"/>
    <n v="0"/>
    <m/>
    <s v="X"/>
    <m/>
    <m/>
    <x v="1"/>
    <x v="0"/>
  </r>
  <r>
    <x v="3"/>
    <x v="9"/>
    <s v="Control y vigilancia"/>
    <s v="3.8.2"/>
    <x v="41"/>
    <s v="Comprende la capacitación en manejo de normatividad forestal y manejo de bosques, contratación de especialistas para tener presencia física en el área, equipamiento e infraestructura."/>
    <s v="NR"/>
    <x v="0"/>
    <x v="0"/>
    <s v="COMP 8"/>
    <s v="PROTECCIÓN-GOBERNANZA"/>
    <x v="0"/>
    <s v="C5"/>
    <s v="N° de responsables de administración que aprueban evaluación de capacitación "/>
    <n v="0"/>
    <n v="80"/>
    <n v="80"/>
    <n v="150"/>
    <s v="Considera materiales de capacitación, alimentación a capacitados en el área cercana a su comunidad y gastos de capacitadores"/>
    <s v="GRSM - DEGT"/>
    <n v="12000"/>
    <n v="12000"/>
    <n v="12000"/>
    <n v="0"/>
    <n v="0"/>
    <n v="0"/>
    <n v="0"/>
    <n v="0"/>
    <m/>
    <s v="X"/>
    <m/>
    <m/>
    <x v="1"/>
    <x v="1"/>
  </r>
  <r>
    <x v="3"/>
    <x v="9"/>
    <s v="Control y vigilancia"/>
    <s v="3.8.3"/>
    <x v="42"/>
    <s v="Dependiendo de la categoría forestal a ser aplicada, se realizará un plan/declaración acorde a la unidad, en el marco de la ley forestal y fauna silvestre N° 29763."/>
    <s v="NR"/>
    <x v="0"/>
    <x v="0"/>
    <s v="COMP 8"/>
    <s v="PROTECCIÓN-GOBERNANZA"/>
    <x v="0"/>
    <s v="C5"/>
    <s v="N° Planes / Declaraciones elaborados"/>
    <n v="0"/>
    <n v="8"/>
    <n v="8"/>
    <n v="10000"/>
    <s v="Se considera la contratación de profesionales para la elaboración de los expedientes y/o declaraciones identificadas en los diferentes procesos."/>
    <s v="GRSM - DEGT"/>
    <n v="80000"/>
    <n v="80000"/>
    <n v="24000"/>
    <n v="24000"/>
    <n v="32000"/>
    <n v="0"/>
    <n v="0"/>
    <n v="0"/>
    <m/>
    <s v="X"/>
    <m/>
    <m/>
    <x v="1"/>
    <x v="1"/>
  </r>
  <r>
    <x v="3"/>
    <x v="9"/>
    <s v="Invasiones"/>
    <s v="3.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x v="0"/>
    <s v="C5"/>
    <s v="Ha. Inscritas"/>
    <n v="37092.698274879796"/>
    <n v="18546.349137439898"/>
    <n v="18546.349137439898"/>
    <n v="1"/>
    <s v="Contratación de dos profesioales para agilizar procesos con sunarp."/>
    <s v="GRSM - DEGT"/>
    <n v="18546.349137439898"/>
    <n v="18546.349137439898"/>
    <n v="3709.2698274879799"/>
    <n v="3709.2698274879799"/>
    <n v="3709.2698274879799"/>
    <n v="3709.2698274879799"/>
    <n v="3709.2698274879799"/>
    <n v="0"/>
    <m/>
    <s v="X"/>
    <m/>
    <m/>
    <x v="1"/>
    <x v="1"/>
  </r>
  <r>
    <x v="3"/>
    <x v="9"/>
    <s v="Ingresos y Capital"/>
    <s v="3.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x v="0"/>
    <s v="C5"/>
    <s v="Hectáreas restauradas"/>
    <n v="0"/>
    <n v="4281.2943442937603"/>
    <n v="0"/>
    <n v="500"/>
    <s v="El costo incluye la restauración de una hectárea, esta actividad se desarrollara de acuerdo a la metodología propuesta por el ARA, en coordinación con los productores seleccionados."/>
    <s v="ARA"/>
    <n v="2140647.1721468801"/>
    <n v="0"/>
    <n v="2140647.1721468801"/>
    <n v="0"/>
    <n v="0"/>
    <n v="0"/>
    <n v="0"/>
    <n v="0"/>
    <m/>
    <s v="X"/>
    <m/>
    <m/>
    <x v="1"/>
    <x v="0"/>
  </r>
  <r>
    <x v="3"/>
    <x v="10"/>
    <s v="Programas de inversión pública"/>
    <s v="3.9.1"/>
    <x v="70"/>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10"/>
    <s v="HABILITANTE"/>
    <x v="16"/>
    <s v="C18"/>
    <s v="Acuerdos con rondas campesinas"/>
    <n v="0"/>
    <n v="19"/>
    <n v="19"/>
    <n v="2500"/>
    <s v="Reuniones con los diferentes actores involucrados y la sociedad civil para llegar a acuerdos de no deforestación, lo cual incluye  gastos logísticos en general."/>
    <s v="GRIS"/>
    <n v="237500"/>
    <n v="237500"/>
    <n v="47500"/>
    <n v="47500"/>
    <n v="47500"/>
    <n v="47500"/>
    <n v="47500"/>
    <n v="0"/>
    <m/>
    <m/>
    <s v="X"/>
    <m/>
    <x v="0"/>
    <x v="0"/>
  </r>
  <r>
    <x v="3"/>
    <x v="10"/>
    <s v="Programas de inversión pública"/>
    <s v="3.9.2"/>
    <x v="71"/>
    <s v="Los cultivos alternativos promovidos por los programas de cooperación deberán considerar la no ampliación de la frontera agrícola, la no deforestación de bosques primarios y las intervenciones transversales de recuperación de áreas. "/>
    <s v="NR"/>
    <x v="1"/>
    <x v="1"/>
    <s v="COMP 1"/>
    <s v="HABILITANTE"/>
    <x v="16"/>
    <s v="C18"/>
    <s v="Reuniones de coordinación"/>
    <n v="0"/>
    <n v="5"/>
    <n v="5"/>
    <n v="1800"/>
    <s v="Costo para cubrir los gastos logísticos para las reuniones con los diferentes actores involucrados y la sociedad civil para llegar a acuerdos para la implementación de proyectos agroforestales."/>
    <s v="Drasam"/>
    <n v="45000"/>
    <n v="45000"/>
    <n v="9000"/>
    <n v="9000"/>
    <n v="9000"/>
    <n v="9000"/>
    <n v="9000"/>
    <n v="0"/>
    <m/>
    <m/>
    <s v="X"/>
    <m/>
    <x v="0"/>
    <x v="2"/>
  </r>
  <r>
    <x v="3"/>
    <x v="10"/>
    <s v="Programas de inversión pública"/>
    <s v="3.9.3"/>
    <x v="48"/>
    <s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x v="9"/>
    <s v="COMP 10"/>
    <s v="HABILITANTE"/>
    <x v="16"/>
    <s v="C18"/>
    <s v="Kilómetros mejorados"/>
    <n v="479"/>
    <n v="47.900000000000006"/>
    <n v="47.900000000000006"/>
    <n v="800000"/>
    <s v="Costo promedio de por km2 de vía mejorada o asfaltada"/>
    <s v="DRTyTC"/>
    <n v="38320000.000000007"/>
    <n v="38320000.000000007"/>
    <n v="7664000.0000000019"/>
    <n v="7664000.0000000019"/>
    <n v="7664000.0000000019"/>
    <n v="7664000.0000000019"/>
    <n v="7664000.0000000019"/>
    <n v="0"/>
    <s v="X"/>
    <m/>
    <m/>
    <m/>
    <x v="1"/>
    <x v="1"/>
  </r>
  <r>
    <x v="3"/>
    <x v="10"/>
    <s v="Programas de inversión pública"/>
    <s v="3.9.4"/>
    <x v="49"/>
    <s v="Ejecución de proyectos de restauración en las 663 Ha con probabilidad alta y muy alta para desarrollar esta actividad; se cuenta con 401 ha que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x v="6"/>
    <s v="COMP 5"/>
    <s v="PROTECCIÓN"/>
    <x v="16"/>
    <s v="C18"/>
    <s v="Hectáreas restauradas"/>
    <n v="3201.8"/>
    <n v="800.45"/>
    <n v="640.36000000000013"/>
    <n v="500"/>
    <s v="El costo incluye la restauración de una hectárea, esta actividad se desarrollara de acuerdo a la metodología propuesta por el ARA, en coordinación con los productores seleccionados."/>
    <s v="ARA, SERFOR"/>
    <n v="400225"/>
    <n v="320180.00000000006"/>
    <n v="80045"/>
    <n v="80045"/>
    <n v="80045"/>
    <n v="80045"/>
    <n v="80045"/>
    <n v="0"/>
    <m/>
    <m/>
    <s v="X"/>
    <m/>
    <x v="0"/>
    <x v="0"/>
  </r>
  <r>
    <x v="3"/>
    <x v="10"/>
    <s v="Programas de inversión pública"/>
    <s v="3.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x v="8"/>
    <s v="COMP 9"/>
    <s v="INCLUSION"/>
    <x v="16"/>
    <s v="C18"/>
    <s v="Centros de salud y colegios implementados"/>
    <n v="0"/>
    <n v="7"/>
    <n v="5"/>
    <n v="3500000"/>
    <s v="Construcción e implementación de centros educativos y postas medicas"/>
    <s v="DRTyTC"/>
    <n v="24500000"/>
    <n v="17500000"/>
    <n v="4900000"/>
    <n v="4900000"/>
    <n v="4900000"/>
    <n v="4900000"/>
    <n v="4900000"/>
    <n v="0"/>
    <m/>
    <s v="X"/>
    <m/>
    <m/>
    <x v="0"/>
    <x v="0"/>
  </r>
  <r>
    <x v="3"/>
    <x v="10"/>
    <s v="Programas de inversión pública"/>
    <s v="3.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x v="8"/>
    <s v="COMP 9"/>
    <s v="INCLUSION"/>
    <x v="16"/>
    <s v="C18"/>
    <s v="N° Campañas"/>
    <n v="0"/>
    <n v="149.11500000000001"/>
    <n v="149.11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727875"/>
    <n v="3727875"/>
    <n v="745575"/>
    <n v="745575"/>
    <n v="745575"/>
    <n v="745575"/>
    <n v="745575"/>
    <n v="0"/>
    <m/>
    <s v="X"/>
    <m/>
    <m/>
    <x v="0"/>
    <x v="0"/>
  </r>
  <r>
    <x v="3"/>
    <x v="10"/>
    <s v="Programas de inversión pública"/>
    <s v="3.9.7"/>
    <x v="52"/>
    <s v="Promoción al acceso de la marca con los productores que cumplan los criterios de elegibilidad solicitados por el programa, como una estrategia de ubicar mercados diferenciados para los productos provenientes de estas zonas."/>
    <s v="NR"/>
    <x v="1"/>
    <x v="5"/>
    <s v="COMP 3"/>
    <s v="PRODUCCIÓN"/>
    <x v="16"/>
    <s v="C18"/>
    <s v="Organizaciones que acceden a la marca"/>
    <n v="0"/>
    <n v="25"/>
    <n v="20"/>
    <n v="3000"/>
    <s v="El costo incluye: Una inspección anual anunciada,  elaboración de informe de inspección, administración y comunicación, certificación según los estándares de la marca."/>
    <s v="ARA"/>
    <n v="375000"/>
    <n v="300000"/>
    <n v="75000"/>
    <n v="75000"/>
    <n v="75000"/>
    <n v="75000"/>
    <n v="75000"/>
    <n v="0"/>
    <m/>
    <m/>
    <s v="X"/>
    <m/>
    <x v="1"/>
    <x v="0"/>
  </r>
  <r>
    <x v="4"/>
    <x v="15"/>
    <s v="Programas de inversión pública"/>
    <n v="1"/>
    <x v="72"/>
    <s v="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
    <s v="NR"/>
    <x v="2"/>
    <x v="6"/>
    <s v="COMP 10"/>
    <s v="HABILITANTE"/>
    <x v="18"/>
    <s v="C19"/>
    <s v="Plan de Ordenamiento Agroteritorial implementado"/>
    <n v="1"/>
    <n v="1"/>
    <n v="0"/>
    <n v="9082000"/>
    <s v="Implementación de las actividades referidas al proyecto ZAE, asi mismo la contratación de dos profesionales para realizar el monitoreo de las estaciones metereologicas; seconsidera la compra de 77 estaciones para ser instaladas en cada distrito de la región, tambien se costea los gastos de mantenimiento de dichos equipos.  "/>
    <s v="Drasam"/>
    <n v="9082000"/>
    <n v="1635000"/>
    <n v="3374000"/>
    <n v="2527000"/>
    <n v="2527000"/>
    <n v="327000"/>
    <n v="327000"/>
    <n v="0"/>
    <m/>
    <s v="X"/>
    <m/>
    <m/>
    <x v="0"/>
    <x v="0"/>
  </r>
  <r>
    <x v="4"/>
    <x v="15"/>
    <s v="Programas de inversión pública"/>
    <n v="2"/>
    <x v="73"/>
    <s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
    <s v="NR"/>
    <x v="2"/>
    <x v="6"/>
    <s v="COMP 10"/>
    <s v="HABILITANTE"/>
    <x v="18"/>
    <s v="C19"/>
    <s v="Especialistas"/>
    <n v="395356.07"/>
    <n v="395356.07"/>
    <m/>
    <n v="16"/>
    <s v="Para la implementación de las intervención será mecesario la contratación de especialistas para realizar las acciones que comtemplen dicha actividad. Gastos logísticos y trámites documentarios. Contratación de dos profesioales para agilizar procesos con sunarp."/>
    <s v="ARA"/>
    <n v="6325697.1200000001"/>
    <n v="6325697.1200000001"/>
    <n v="1265139.4240000001"/>
    <n v="1265139.4240000001"/>
    <n v="1265139.4240000001"/>
    <n v="1265139.4240000001"/>
    <n v="1265139.4240000001"/>
    <n v="0"/>
    <m/>
    <s v="X"/>
    <m/>
    <m/>
    <x v="1"/>
    <x v="0"/>
  </r>
  <r>
    <x v="4"/>
    <x v="15"/>
    <s v="Programas de inversión pública"/>
    <n v="3"/>
    <x v="74"/>
    <s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
    <s v="NR"/>
    <x v="1"/>
    <x v="5"/>
    <s v="COMP 3"/>
    <s v="HABILITANTE"/>
    <x v="18"/>
    <s v="C19"/>
    <s v="Proyectos viables"/>
    <n v="10"/>
    <n v="15"/>
    <m/>
    <n v="6000000"/>
    <s v="El costo es referencial para un proyecto agropecuario de acuerdo a las cadenas priorizadas, donde se consideran componentes como Asistencia Técnica, Fortalecimiento organizacional, promoción de mercados sostenibles, manejo ambiental, etc."/>
    <s v="Drasam, ARA, Dircetur, Direpro, GRDE"/>
    <n v="60000000"/>
    <n v="90000000"/>
    <n v="12000000"/>
    <n v="12000000"/>
    <n v="12000000"/>
    <n v="12000000"/>
    <n v="12000000"/>
    <n v="0"/>
    <m/>
    <m/>
    <s v="X"/>
    <m/>
    <x v="0"/>
    <x v="0"/>
  </r>
  <r>
    <x v="4"/>
    <x v="15"/>
    <s v="Programas de inversión privada"/>
    <n v="4"/>
    <x v="75"/>
    <s v="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
    <s v="FR"/>
    <x v="2"/>
    <x v="6"/>
    <s v="COMP 10"/>
    <s v="HABILITANTE"/>
    <x v="18"/>
    <s v="C19"/>
    <s v="Módulos implementados."/>
    <n v="10"/>
    <n v="10"/>
    <m/>
    <n v="200000"/>
    <s v="Implementación de maquinaria y equipos necesarios para el proceso y transformación de la madera."/>
    <s v="Ara, Serfor"/>
    <n v="2000000"/>
    <n v="2000000"/>
    <n v="400000"/>
    <n v="400000"/>
    <n v="400000"/>
    <n v="400000"/>
    <n v="400000"/>
    <n v="0"/>
    <s v="X"/>
    <m/>
    <m/>
    <m/>
    <x v="0"/>
    <x v="1"/>
  </r>
  <r>
    <x v="4"/>
    <x v="15"/>
    <s v="Ingresos y Capital"/>
    <n v="5"/>
    <x v="76"/>
    <s v="Implementar un programa de incentivos que podrán ser de asistencia técnica, ejecución de proyectos sociales u otras acciones que permitan mejorar las condiciones de vida de los productores que realicen acciones de restauración."/>
    <s v="NR"/>
    <x v="2"/>
    <x v="6"/>
    <s v="COMP 5"/>
    <s v="HABILITANTE"/>
    <x v="18"/>
    <s v="C19"/>
    <s v="Número de Organizaciones beneficiarias"/>
    <n v="30"/>
    <n v="20"/>
    <m/>
    <n v="100000"/>
    <s v="Presupuesto que servirá para cubrir los gastos de los incentivos que se determinaran de acuerdo a la evaluación de los criterios correspondientes para los procesos de restauración."/>
    <s v="Drasam, ARA"/>
    <n v="3000000"/>
    <n v="2000000"/>
    <n v="600000"/>
    <n v="600000"/>
    <n v="600000"/>
    <n v="600000"/>
    <n v="600000"/>
    <n v="0"/>
    <m/>
    <m/>
    <s v="X"/>
    <m/>
    <x v="0"/>
    <x v="0"/>
  </r>
  <r>
    <x v="4"/>
    <x v="15"/>
    <s v="Ingresos y Capital"/>
    <n v="6"/>
    <x v="77"/>
    <s v="Implementar los lineamientos finales para poner en vigencia el fondo de garantía de 5 millones de soles, para beneficiar a productores agropecuarios forestales organizados y no organizados que cumplan los atributos de la Marca certificadora “San Martín Región” y los propios requisitos que se establezcan en la directiva del fondo el cual será elaborado por el Gobierno Regional de San Martín en coordinación con la institución que administrará dichos fondos (COFIDE). Dentro de la directiva para la implementación del FONDESAM, se incorporará los mecanismos de tasas preferenciales para los créditos orientados a la innovación (Hoja de ruta del FONDESAM con el beneficiario). a financiar impactos en la cadena de producción."/>
    <s v="NR"/>
    <x v="1"/>
    <x v="3"/>
    <s v="COMP 11"/>
    <s v="HABILITANTE"/>
    <x v="18"/>
    <s v="C19"/>
    <s v="Consultoría"/>
    <n v="1"/>
    <n v="1"/>
    <n v="0"/>
    <n v="100000"/>
    <s v="Ejecución de informes de sustento para la Gerencia General del GRSM, consolidación del proceso de modificación del convenio entre el GRSM y COFIDE. Gastos logísticos, administrativos y contratación de especialistas y asesores para culminar el proceso. "/>
    <s v="GRDE"/>
    <n v="100000"/>
    <n v="0"/>
    <n v="100000"/>
    <n v="0"/>
    <n v="0"/>
    <n v="0"/>
    <n v="0"/>
    <n v="0"/>
    <m/>
    <m/>
    <s v="X"/>
    <m/>
    <x v="0"/>
    <x v="0"/>
  </r>
  <r>
    <x v="4"/>
    <x v="15"/>
    <s v="Programas de inversión pública"/>
    <n v="7"/>
    <x v="78"/>
    <s v="Implementar un programa para productores líderes, contemplando módulos como: Educación Financiera dirigido a pequeños y medianos productores del sector rural, Costos de producción, Productos y servicios financieros, ahorro, capital semilla,  endeudamiento, gestion empresarial, para mejorar la prodcutividad y competitividad. "/>
    <s v="NR"/>
    <x v="1"/>
    <x v="4"/>
    <s v="COMP 2"/>
    <s v="HABILITANTE"/>
    <x v="18"/>
    <s v="C19"/>
    <s v="Especialistas"/>
    <n v="20"/>
    <n v="20"/>
    <m/>
    <n v="4000"/>
    <s v="Contratación de profesionales a nivel regional para ejecutar acciones de enseñanza financiera a los productores agropecuarios organizados y no organizados."/>
    <s v="GRDE"/>
    <n v="4800000"/>
    <n v="4800000"/>
    <n v="960000"/>
    <n v="960000"/>
    <n v="960000"/>
    <n v="960000"/>
    <n v="960000"/>
    <n v="0"/>
    <m/>
    <m/>
    <s v="X"/>
    <m/>
    <x v="0"/>
    <x v="1"/>
  </r>
  <r>
    <x v="4"/>
    <x v="15"/>
    <s v="Programas de inversión pública"/>
    <n v="8"/>
    <x v="79"/>
    <s v="Implementar los lineamientos finales de la Marca Certificadora &quot;San Martín Región&quot;, asignándole un presupuesto y equipo técnico para poner en vigencia esta herramienta que busca facilitar el acceso a mercados a empresas de los diferentes sectores (agrícola, pecuario, acuícola, apícola, biocomercio, y otros) de la región. Promoción y articulación a mercados diferenciados y  nichos de mercados de alto valor con atributos  de la marca San Martín ( Bajo en emisiones, no vinculado a actividades ilegales, Innovadores y con estándares de calidad). La búsqueda y diversificación de mercados a través de misiones comerciales nacionales e internacionales, con estrategias difernciadas para productos tradicionalmente vinculados a la deforestación. Ejemplo Palma Aceitera."/>
    <s v="NR"/>
    <x v="1"/>
    <x v="5"/>
    <s v="COMP 10"/>
    <s v="HABILITANTE"/>
    <x v="18"/>
    <s v="C19"/>
    <s v="Consultoría"/>
    <n v="1"/>
    <n v="1"/>
    <n v="0"/>
    <n v="100000"/>
    <s v="Contratación de profesionales para culminar la descripción de los atributos y criterios priorizados, que permitan la operatividad de la marca certificadora &quot;San Martín Región&quot;."/>
    <s v="GRDE, Dircetur"/>
    <n v="100000"/>
    <n v="0"/>
    <n v="100000"/>
    <n v="0"/>
    <n v="0"/>
    <n v="0"/>
    <n v="0"/>
    <n v="0"/>
    <s v="X"/>
    <m/>
    <m/>
    <m/>
    <x v="1"/>
    <x v="1"/>
  </r>
  <r>
    <x v="4"/>
    <x v="15"/>
    <s v="Programas de inversión pública"/>
    <n v="9"/>
    <x v="80"/>
    <s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
    <s v="NR"/>
    <x v="0"/>
    <x v="8"/>
    <s v="COMP 10"/>
    <s v="HABILITANTE"/>
    <x v="18"/>
    <s v="C19"/>
    <s v="Centros Informativos implementados"/>
    <n v="50"/>
    <n v="50"/>
    <m/>
    <n v="5000"/>
    <s v="Se contratará personal adecuado para brindar orientación a la población en situación de vulnerabilidad, así mismo la implementación de los centros informativos con material divulgativo y promociones radiales. "/>
    <s v="GRDS"/>
    <n v="1250000"/>
    <n v="1250000"/>
    <n v="250000"/>
    <n v="250000"/>
    <n v="250000"/>
    <n v="250000"/>
    <n v="250000"/>
    <n v="0"/>
    <m/>
    <s v="X"/>
    <m/>
    <m/>
    <x v="0"/>
    <x v="1"/>
  </r>
  <r>
    <x v="4"/>
    <x v="15"/>
    <s v="Programas de inversión privada"/>
    <n v="10"/>
    <x v="81"/>
    <s v="Financiamiento de emprendimientos rurales juveniles para incentivar el empalme generacional y el empleo formal juvenil (incluye fondo de capital semilla para emprendimientos). Promover y financiar emprendimientos orientados a la reducción de emisiones."/>
    <s v="NR"/>
    <x v="2"/>
    <x v="7"/>
    <s v="COMP 6"/>
    <s v="HABILITANTE"/>
    <x v="18"/>
    <s v="C19"/>
    <s v="Planes de negocios"/>
    <n v="250"/>
    <n v="250"/>
    <m/>
    <n v="30000"/>
    <s v="El presupuesto hace referencia a la implementación de planes de negocios agropecuarios, para cubrir gastos como, adquisición de semillas, materiales o equipos que hagan posible el desarrollo de los emprendimientos rurales juveniles."/>
    <s v="GRDE, ARA, Proyectos especiales"/>
    <n v="7500000"/>
    <n v="7500000"/>
    <n v="1500000"/>
    <n v="1500000"/>
    <n v="1500000"/>
    <n v="1500000"/>
    <n v="1500000"/>
    <n v="0"/>
    <s v="X"/>
    <m/>
    <m/>
    <m/>
    <x v="0"/>
    <x v="1"/>
  </r>
  <r>
    <x v="4"/>
    <x v="15"/>
    <s v="Programas de inversión privada"/>
    <n v="11"/>
    <x v="82"/>
    <s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_x000a_El programa debe regirse según las normas vigentes para  disminuir la informalidad en el sector, así mismo lograr la satisfacción plena de los turistas que visitan la región."/>
    <s v="NR"/>
    <x v="2"/>
    <x v="7"/>
    <s v="COMP 6"/>
    <s v="HABILITANTE"/>
    <x v="18"/>
    <s v="C19"/>
    <s v="Programas  de capacitación"/>
    <n v="50"/>
    <n v="50"/>
    <m/>
    <n v="62000"/>
    <s v="El costo atribuye al fortalecimiento de capacidades de gestión de los diferentes prestadores de servicios turísticos, asi como la implementación de un diplomado para el fortalecimiento de capacidades del personal. "/>
    <s v="GRSM, DIRCETUR"/>
    <n v="560000"/>
    <n v="500000"/>
    <n v="160000"/>
    <n v="100000"/>
    <n v="100000"/>
    <n v="100000"/>
    <n v="100000"/>
    <n v="0"/>
    <m/>
    <m/>
    <s v="X"/>
    <m/>
    <x v="1"/>
    <x v="1"/>
  </r>
  <r>
    <x v="4"/>
    <x v="15"/>
    <s v="Programas de inversión pública"/>
    <n v="12"/>
    <x v="83"/>
    <s v="Promover el desarrollo comunitario mediante la identificación y cuantificación de recursos disponibles en una determinada jurisdicción, promoviendo la participación activa de todos los actores clave y su articulación a los planes de desarrollo local."/>
    <s v="NR"/>
    <x v="0"/>
    <x v="8"/>
    <s v="COMP 9"/>
    <s v="HABILITANTE"/>
    <x v="18"/>
    <s v="C19"/>
    <s v="PDC"/>
    <n v="100"/>
    <n v="100"/>
    <m/>
    <n v="20000"/>
    <s v="Contratación de servicios profesionales para la elaboración de los planes de desarrollo comunitario."/>
    <s v="GRSM, DRASAM"/>
    <n v="2000000"/>
    <n v="2000000"/>
    <n v="400000"/>
    <n v="400000"/>
    <n v="400000"/>
    <n v="400000"/>
    <n v="400000"/>
    <n v="0"/>
    <m/>
    <s v="X"/>
    <m/>
    <m/>
    <x v="1"/>
    <x v="1"/>
  </r>
  <r>
    <x v="4"/>
    <x v="15"/>
    <s v="Programas de inversión pública"/>
    <n v="13"/>
    <x v="84"/>
    <s v="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
    <s v="NR"/>
    <x v="1"/>
    <x v="2"/>
    <s v="COMP 4 "/>
    <s v="HABILITANTE"/>
    <x v="18"/>
    <s v="C19"/>
    <s v="Nº de proyectos ejecutados alineados a las prioridades de investigación e innovación regionales"/>
    <n v="10"/>
    <n v="10"/>
    <m/>
    <n v="72000"/>
    <s v="El costo va estar orientado a tener un equipo técnico especializado que apoye o promueva la generación de estas directivas del PMI, también la adecuación de los requisitos de los programas nacionales con la incorporación de las opiniones favorables del CTRIA y CGRA para ser elegibles; y por último la asistencia técnica para obtención y ejecución de la mayor cantidad de proyectos (de cualquier fuente), alineados a las prioridades regionales"/>
    <n v="0"/>
    <n v="720000"/>
    <n v="720000"/>
    <n v="144000"/>
    <n v="144000"/>
    <n v="144000"/>
    <n v="144000"/>
    <n v="144000"/>
    <n v="0"/>
    <m/>
    <s v="X"/>
    <m/>
    <m/>
    <x v="1"/>
    <x v="0"/>
  </r>
  <r>
    <x v="4"/>
    <x v="15"/>
    <s v="Programas de inversión privada"/>
    <n v="14"/>
    <x v="85"/>
    <s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_x000a_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10"/>
    <s v="HABILITANTE"/>
    <x v="18"/>
    <s v="C19"/>
    <s v="Planes de negocios"/>
    <n v="25"/>
    <n v="25"/>
    <m/>
    <n v="80000"/>
    <s v="El presupuesto hace referencia a la implementación de planes de negocios agroindustriales para cubrir gastos y costos de implementación. Se debe desarrollar los lineamientos para orientar adecuadamente los recursos."/>
    <s v="DIREPRO"/>
    <n v="2000000"/>
    <n v="2000000"/>
    <n v="400000"/>
    <n v="400000"/>
    <n v="400000"/>
    <n v="400000"/>
    <n v="400000"/>
    <n v="0"/>
    <s v="X"/>
    <m/>
    <m/>
    <m/>
    <x v="1"/>
    <x v="0"/>
  </r>
  <r>
    <x v="4"/>
    <x v="15"/>
    <s v="Programas de inversión privada"/>
    <n v="15"/>
    <x v="86"/>
    <s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
    <s v="NR"/>
    <x v="1"/>
    <x v="5"/>
    <s v="COMP 3"/>
    <s v="HABILITANTE"/>
    <x v="18"/>
    <s v="C19"/>
    <s v="Empresas y organizaciones atendidas"/>
    <n v="30"/>
    <n v="30"/>
    <m/>
    <n v="45000"/>
    <s v="La inversión  estará enfocada a la gestión y renovación de registros sanitarios, implementación de Buenas Prácticas de Manufactura."/>
    <s v="DIREPRO, DIRCETUR"/>
    <n v="6750000"/>
    <n v="6750000"/>
    <n v="1350000"/>
    <n v="1350000"/>
    <n v="1350000"/>
    <n v="1350000"/>
    <n v="1350000"/>
    <n v="0"/>
    <s v="X"/>
    <m/>
    <m/>
    <m/>
    <x v="1"/>
    <x v="0"/>
  </r>
  <r>
    <x v="4"/>
    <x v="15"/>
    <s v="Control y vigilancia"/>
    <n v="16"/>
    <x v="87"/>
    <s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
    <s v="NR"/>
    <x v="0"/>
    <x v="0"/>
    <s v="COMP 8"/>
    <s v="HABILITANTE"/>
    <x v="18"/>
    <s v="C19"/>
    <s v="Títulos registrados"/>
    <n v="1"/>
    <n v="1"/>
    <n v="0"/>
    <n v="105000"/>
    <s v="La implementación del sistema de formalización contempla el diseño de una plataforma digital y el desarrollo de un manual para su adecuado uso y mantenimiento."/>
    <s v="ARA-DRASAM-MINAGRI"/>
    <n v="105000"/>
    <n v="0"/>
    <n v="105000"/>
    <n v="0"/>
    <n v="0"/>
    <n v="0"/>
    <n v="0"/>
    <n v="0"/>
    <m/>
    <s v="X"/>
    <m/>
    <m/>
    <x v="1"/>
    <x v="0"/>
  </r>
  <r>
    <x v="4"/>
    <x v="15"/>
    <s v="Programas de inversión privada"/>
    <n v="17"/>
    <x v="88"/>
    <s v="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
    <s v="NR"/>
    <x v="1"/>
    <x v="3"/>
    <s v="COMP 11"/>
    <s v="HABILITANTE"/>
    <x v="18"/>
    <s v="C19"/>
    <s v="Convocatorias / créditos"/>
    <n v="5"/>
    <n v="5"/>
    <n v="5"/>
    <n v="1500000"/>
    <s v="Debe comprender costo de convocatoria, parte legal contractual, fondo de pago por éxitos (entre 1% a 3%), monitoreo y seguimiento"/>
    <s v="OPIPs"/>
    <n v="7500000"/>
    <n v="7500000"/>
    <n v="1500000"/>
    <n v="1500000"/>
    <n v="1500000"/>
    <n v="1500000"/>
    <n v="1500000"/>
    <n v="0"/>
    <m/>
    <m/>
    <n v="0"/>
    <m/>
    <x v="1"/>
    <x v="1"/>
  </r>
  <r>
    <x v="4"/>
    <x v="15"/>
    <s v="Ingresos y Capital"/>
    <n v="18"/>
    <x v="89"/>
    <s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
    <s v="NR"/>
    <x v="1"/>
    <x v="3"/>
    <s v="COMP 11"/>
    <s v="HABILITANTE"/>
    <x v="18"/>
    <s v="C19"/>
    <s v="Productos financieros específicos para cada cadena implementados"/>
    <n v="10"/>
    <n v="10"/>
    <n v="0"/>
    <n v="35000"/>
    <s v="Consultoría, sistematización de información en campo, al menos dos pilotos en campo, diseño de salvaguardas y monitoreo y compromisos"/>
    <s v="GRDE-DRASAM-OPIPS"/>
    <n v="350000"/>
    <n v="0"/>
    <n v="70000"/>
    <n v="70000"/>
    <n v="70000"/>
    <n v="70000"/>
    <n v="70000"/>
    <n v="0"/>
    <m/>
    <m/>
    <n v="0"/>
    <m/>
    <x v="1"/>
    <x v="0"/>
  </r>
  <r>
    <x v="4"/>
    <x v="15"/>
    <s v="Programas de inversión privada"/>
    <n v="19"/>
    <x v="90"/>
    <s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
    <s v="NR"/>
    <x v="1"/>
    <x v="5"/>
    <s v="COMP 3"/>
    <s v="HABILITANTE"/>
    <x v="18"/>
    <s v="C19"/>
    <s v="Alianzas privadas entre empresas y productores."/>
    <n v="50"/>
    <n v="50"/>
    <n v="40"/>
    <n v="24000"/>
    <s v="Contratación de especialistas para levantar la información de potenciales alianzas, asistencia técnica en fortalecimiento organizacional y comercial, relaciones comerciales, prácticas agrícolas innovadoras, desarrollo de proveedores y productos financieros, movilidad a áreas productivas, talleres con productores, reuniones con empresas y productores, preparación de propuestas de proyectos o acceso a financiamiento, elaboración de base de datos, diseño de salvaguardas y sistema de monitoreo."/>
    <s v="GRDE-DIRCETUR-OPIPS"/>
    <n v="1200000"/>
    <n v="960000"/>
    <n v="240000"/>
    <n v="240000"/>
    <n v="240000"/>
    <n v="240000"/>
    <n v="240000"/>
    <n v="0"/>
    <m/>
    <m/>
    <n v="0"/>
    <m/>
    <x v="1"/>
    <x v="1"/>
  </r>
  <r>
    <x v="4"/>
    <x v="15"/>
    <s v="Programas de inversión privada"/>
    <n v="20"/>
    <x v="91"/>
    <s v="_x000a_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
    <s v="NR"/>
    <x v="1"/>
    <x v="5"/>
    <s v="COMP 10"/>
    <s v="HABILITANTE"/>
    <x v="18"/>
    <s v="C19"/>
    <s v="Estudios de mercado"/>
    <n v="8"/>
    <n v="8"/>
    <n v="8"/>
    <n v="78000"/>
    <s v="El costo incluye la elaboración de 8 estudios de mercado, estrategias comerciales  e implementación de instrumentos de promoción en los 4 primeros años (S/ 30,000.0 por estudio) y la contratación de  un especialista en DIRCETUR para monitoreo e implementación de dichos estudios por un monto de S/ 48,000.00 al año."/>
    <s v="DIRCETUR-GRDE"/>
    <n v="480000"/>
    <n v="480000"/>
    <n v="108000"/>
    <n v="108000"/>
    <n v="108000"/>
    <n v="108000"/>
    <n v="48000"/>
    <n v="0"/>
    <m/>
    <m/>
    <n v="0"/>
    <m/>
    <x v="1"/>
    <x v="1"/>
  </r>
  <r>
    <x v="4"/>
    <x v="15"/>
    <s v="Programas de inversión pública"/>
    <n v="21"/>
    <x v="92"/>
    <s v="Reuniones de trabajo con gremios para firma de acuerdo, firma de acuerdo, monitoreo de cumplimiento, generar información para la iniciativa de campeones por los bosques tropicales (TFC), reuniones del espacio regional de la coalición público privada por una producción sostenible"/>
    <s v="NR"/>
    <x v="2"/>
    <x v="6"/>
    <s v="COMP 10"/>
    <s v="HABILITANTE"/>
    <x v="18"/>
    <s v="C19"/>
    <s v="Acuerdos "/>
    <n v="1"/>
    <n v="1"/>
    <n v="0"/>
    <n v="61000"/>
    <s v="Reuniones de trabajo con empresas, asociaciones de productores y gremios, generar información, reuniones públicas de presentación de acuerdos, difusión internacional de acuerdos"/>
    <s v="ARA-SERFOR-DRASAM-GRDE"/>
    <n v="61000"/>
    <n v="0"/>
    <n v="30500"/>
    <n v="30500"/>
    <n v="0"/>
    <n v="0"/>
    <n v="0"/>
    <n v="0"/>
    <m/>
    <m/>
    <n v="0"/>
    <m/>
    <x v="1"/>
    <x v="0"/>
  </r>
  <r>
    <x v="4"/>
    <x v="15"/>
    <s v="Corrupción"/>
    <n v="22"/>
    <x v="93"/>
    <s v="Diseño de programa de capacitación e implementación, para hacer conocer y cumplir el código de ética de la función pública para evitar los actos de corrupción."/>
    <s v="NR"/>
    <x v="0"/>
    <x v="0"/>
    <s v="COMP 8"/>
    <s v="HABILITANTE"/>
    <x v="18"/>
    <s v="C19"/>
    <s v="Funcionarios capacitados que aprueban evaluación"/>
    <n v="75"/>
    <n v="75"/>
    <n v="75"/>
    <n v="25"/>
    <s v="Diseño de modulo de capacitación, implementación de curso y evaluación para funcionarios regionales"/>
    <s v="GRSM"/>
    <n v="18750"/>
    <n v="1875"/>
    <n v="3750"/>
    <n v="3750"/>
    <n v="3750"/>
    <n v="3750"/>
    <n v="3750"/>
    <n v="0"/>
    <m/>
    <m/>
    <n v="0"/>
    <m/>
    <x v="1"/>
    <x v="1"/>
  </r>
  <r>
    <x v="4"/>
    <x v="15"/>
    <s v="Corrupción"/>
    <n v="23"/>
    <x v="94"/>
    <s v="Mejora de los TUPAs (incluye proceso integrado para clasificación de suelos + uso actual de la ley forestal), material de difusión, y capacitaciones periódicas a usuarios"/>
    <s v="NR"/>
    <x v="0"/>
    <x v="0"/>
    <s v="COMP 8"/>
    <s v="HABILITANTE"/>
    <x v="18"/>
    <s v="C19"/>
    <s v="TUPA  mejorado "/>
    <n v="1"/>
    <n v="1"/>
    <n v="0"/>
    <n v="150000"/>
    <s v="Consultoría de análisis de procedimientos administrativos regionales de la DRA, ARA, GDE, OPIPS, elaboración de proyecto de TUPA, aprobación de TUPA, capacitación a funcionarios, difusión en portal web y elaboración de material informativo para usuarios"/>
    <s v="GRSM"/>
    <n v="150000"/>
    <n v="0"/>
    <n v="150000"/>
    <n v="0"/>
    <n v="0"/>
    <n v="0"/>
    <n v="0"/>
    <n v="0"/>
    <m/>
    <m/>
    <n v="0"/>
    <m/>
    <x v="1"/>
    <x v="0"/>
  </r>
  <r>
    <x v="4"/>
    <x v="15"/>
    <s v="Corrupción"/>
    <n v="24"/>
    <x v="95"/>
    <s v="Implementar a nivel regional un clasificador de cargos por especialidades y competencias de las distintas áreas del GRSM, con la finalidad de contar con profesionales altamente capacitados y con experiencia, acorde a los distintos cargos que se disponga en el ámbito regional. Considerar asi mismo afectar esta disposición a los cargos de confianza cumpliendo los requisitos plasmados en el clasificador. "/>
    <s v="NR"/>
    <x v="0"/>
    <x v="0"/>
    <s v="COMP 8"/>
    <s v="HABILITANTE"/>
    <x v="18"/>
    <s v="C19"/>
    <s v="Clasificador de cargos implementado"/>
    <n v="1"/>
    <n v="1"/>
    <n v="1"/>
    <n v="50000"/>
    <s v="Consultorías, reuniones con trabajadores, sistematización de información y punto focal responsable de implementación"/>
    <s v="GRSM"/>
    <n v="60000"/>
    <n v="0"/>
    <n v="60000"/>
    <n v="0"/>
    <n v="0"/>
    <n v="0"/>
    <n v="0"/>
    <n v="0"/>
    <m/>
    <m/>
    <n v="0"/>
    <m/>
    <x v="1"/>
    <x v="1"/>
  </r>
  <r>
    <x v="4"/>
    <x v="15"/>
    <s v="Corrupción"/>
    <n v="25"/>
    <x v="96"/>
    <s v="Ejecutar un estudio sobre las necesidades de la OCI Regional y las OCI de las diferentes direcciones regionales y proyectos especiales referidos a la necesidad de especialistas por cada oficina, asi mismo el perfil profesional minimo para cubrir dichos puestos. Con la finalidad de mejorar y asegurar el ejercicio oportuno, efectivo y eficiente del control gubernamental, así como de optimizar sus capacidades orientadas a la prevención y lucha contra la corrupción."/>
    <s v="NR"/>
    <x v="0"/>
    <x v="0"/>
    <s v="COMP 8"/>
    <s v="HABILITANTE"/>
    <x v="18"/>
    <s v="C19"/>
    <s v="Estudio"/>
    <n v="1"/>
    <n v="1"/>
    <n v="1"/>
    <n v="30000"/>
    <s v="El costo va estar orientado a tener un equipo con personal especializado "/>
    <s v="CONTRALORIA, OCI, GRSM"/>
    <n v="50000"/>
    <n v="0"/>
    <n v="50000"/>
    <n v="0"/>
    <n v="0"/>
    <n v="0"/>
    <n v="0"/>
    <n v="0"/>
    <m/>
    <m/>
    <n v="0"/>
    <m/>
    <x v="1"/>
    <x v="1"/>
  </r>
  <r>
    <x v="4"/>
    <x v="15"/>
    <s v="Corrupción"/>
    <n v="26"/>
    <x v="97"/>
    <s v="Campañas orientadas a sensibilizar el impacto negativo de la corrupcion al crecimiento de la región, asi mismo realizar las denuncias correspondientes de forma anónima para que los órganos competentes puedan aplicar sanciones a dichos actos de corrupción. Brindar las medidas de protección necesarias a las personas que denuncian estos actos. "/>
    <s v="NR"/>
    <x v="0"/>
    <x v="0"/>
    <s v="COMP 10"/>
    <s v="HABILITANTE"/>
    <x v="18"/>
    <s v="C19"/>
    <s v="Campañas de difudión."/>
    <n v="1"/>
    <n v="1"/>
    <n v="1"/>
    <n v="180000"/>
    <s v="Reuniones de trabajo con empresas, asociaciones de productores y gremios, generar información, reuniones públicas de presentación de acuerdos"/>
    <s v="GRSM"/>
    <n v="900000"/>
    <n v="900000"/>
    <n v="180000"/>
    <n v="180000"/>
    <n v="180000"/>
    <n v="180000"/>
    <n v="180000"/>
    <n v="0"/>
    <m/>
    <m/>
    <n v="0"/>
    <m/>
    <x v="1"/>
    <x v="1"/>
  </r>
  <r>
    <x v="4"/>
    <x v="15"/>
    <s v="Control y vigilancia"/>
    <n v="27"/>
    <x v="98"/>
    <s v="Reuniones periódicas y extraordinarias de mesa regional de control y vigilancia forestal y de fauna silvestre "/>
    <s v="NR"/>
    <x v="0"/>
    <x v="0"/>
    <s v="COMP 8"/>
    <s v="HABILITANTE"/>
    <x v="18"/>
    <s v="C19"/>
    <s v="Acuerdos adoptados en las reuniones de la mesa"/>
    <n v="40"/>
    <n v="40"/>
    <n v="40"/>
    <n v="1000"/>
    <s v="Reuniones entre instituciones públicas dedicadas al control y vigilancia forestal para articular protocolos, procedimientos y operativos para el control de la deforestación y tala ilegal"/>
    <s v="SERFOR, ARA, MP, OSINFOR"/>
    <n v="40000"/>
    <n v="40000"/>
    <n v="8000"/>
    <n v="8000"/>
    <n v="8000"/>
    <n v="8000"/>
    <n v="8000"/>
    <n v="0"/>
    <m/>
    <m/>
    <n v="0"/>
    <m/>
    <x v="1"/>
    <x v="1"/>
  </r>
  <r>
    <x v="4"/>
    <x v="15"/>
    <s v="Control y vigilancia"/>
    <n v="28"/>
    <x v="99"/>
    <s v="1 capacitación de una semana en el ámbito cercano al trabajo de la comunidad (puede ser una capacitación espaciada) "/>
    <s v="NR"/>
    <x v="2"/>
    <x v="6"/>
    <s v="COMP 10"/>
    <s v="HABILITANTE"/>
    <x v="18"/>
    <s v="C19"/>
    <s v="Ronderos y custodios que aprueban evaluación de capacitación "/>
    <n v="250"/>
    <n v="250"/>
    <n v="250"/>
    <n v="150"/>
    <s v="Considera materiales de capacitación, alimentación a capacitados en el área cercana a su comunidad y gastos de capacitadores"/>
    <s v="SERFOR, ARA, MP, OSINFOR"/>
    <n v="37500"/>
    <n v="37500"/>
    <n v="7500"/>
    <n v="7500"/>
    <n v="7500"/>
    <n v="7500"/>
    <n v="7500"/>
    <n v="0"/>
    <m/>
    <m/>
    <s v="X"/>
    <m/>
    <x v="1"/>
    <x v="1"/>
  </r>
  <r>
    <x v="4"/>
    <x v="15"/>
    <s v="Control y vigilancia"/>
    <n v="29"/>
    <x v="100"/>
    <s v="Uniforme básico, GPS por brigadas,  1 dron por comunidad, equipos de radio por comunidad (radio corta portátil)"/>
    <s v="NR"/>
    <x v="2"/>
    <x v="6"/>
    <s v="COMP 10"/>
    <s v="HABILITANTE"/>
    <x v="18"/>
    <s v="C19"/>
    <s v="Ronderos y custodios equipados"/>
    <n v="250"/>
    <n v="250"/>
    <n v="250"/>
    <n v="1945"/>
    <s v="Uniforme básico para 250 personas, GPS para 25 comunidades,  1 dron para 25 comunidades, equipos de radio para 25 comunidades (radio corta portátil)"/>
    <s v="ARA "/>
    <n v="486250"/>
    <n v="486250"/>
    <n v="97250"/>
    <n v="97250"/>
    <n v="97250"/>
    <n v="97250"/>
    <n v="97250"/>
    <n v="0"/>
    <m/>
    <m/>
    <s v="X"/>
    <m/>
    <x v="1"/>
    <x v="0"/>
  </r>
  <r>
    <x v="4"/>
    <x v="15"/>
    <s v="Control y vigilancia"/>
    <n v="30"/>
    <x v="101"/>
    <s v="Personal de campo dedicado al control de actividades ilegales (deforestación y tala ilegal),  combustible y raciones para acciones de control"/>
    <s v="NR"/>
    <x v="0"/>
    <x v="0"/>
    <s v="COMP 8"/>
    <s v="HABILITANTE"/>
    <x v="18"/>
    <s v="C19"/>
    <s v="Informes de inspecciones"/>
    <n v="125"/>
    <n v="125"/>
    <n v="125"/>
    <n v="236000"/>
    <s v="Unidad conformada al menos por cuatro especialistas, y gastos de movilidad y alimentación"/>
    <s v="ARA"/>
    <n v="1180000"/>
    <n v="1180000"/>
    <n v="236000"/>
    <n v="236000"/>
    <n v="236000"/>
    <n v="236000"/>
    <n v="236000"/>
    <n v="0"/>
    <m/>
    <m/>
    <n v="0"/>
    <m/>
    <x v="1"/>
    <x v="0"/>
  </r>
  <r>
    <x v="4"/>
    <x v="15"/>
    <s v="Control y vigilancia"/>
    <n v="31"/>
    <x v="102"/>
    <s v="Equipamiento (GPS, cámaras, computadora),  camionetas, carpas, sleepings, binoculares y uniformes"/>
    <s v="NR"/>
    <x v="0"/>
    <x v="0"/>
    <s v="COMP 10"/>
    <s v="HABILITANTE"/>
    <x v="18"/>
    <s v="C19"/>
    <s v="Informes de inspecciones"/>
    <n v="0"/>
    <n v="0"/>
    <n v="0"/>
    <n v="1182.4000000000001"/>
    <s v="Dos camionetas, cuatro computadoras, cuatro GPS, cuatro cámaras fotográficas,  ocho uniformes y equipo básico de campo para 4 personas (solo en los primeros cinco años). Considera uniformes nuevos al año 5"/>
    <s v="ARA "/>
    <n v="147800"/>
    <n v="1600"/>
    <n v="29560"/>
    <n v="29560"/>
    <n v="29560"/>
    <n v="29560"/>
    <n v="29560"/>
    <n v="0"/>
    <m/>
    <m/>
    <n v="0"/>
    <m/>
    <x v="1"/>
    <x v="0"/>
  </r>
  <r>
    <x v="4"/>
    <x v="15"/>
    <s v="Control y vigilancia"/>
    <s v="32 A"/>
    <x v="103"/>
    <s v="Contratación de fiscales especializados en materia ambiental para que puedan atender oportunamente la necesidad de toda la región. Actualmente solo se cuenta con 5 fiscales en toda la región distribuidos de la siguiente manera: 2 fiscales para las provincias de (Tocache, Mariscal Cáceres, Bellavista y Huallaga) y 3 fiscales para las provincias de (El Dorado, Picota, Lamas, San Martín, Moyobamba Y Rioja)."/>
    <s v="NR"/>
    <x v="0"/>
    <x v="0"/>
    <s v="COMP 8"/>
    <s v="HABILITANTE"/>
    <x v="18"/>
    <s v="C19"/>
    <s v="Contratación de fiscales"/>
    <n v="6"/>
    <n v="6"/>
    <n v="6"/>
    <n v="8000"/>
    <s v="Contratación de fiscales."/>
    <s v="ARA"/>
    <n v="2880000"/>
    <n v="2880000"/>
    <n v="576000"/>
    <n v="576000"/>
    <n v="576000"/>
    <n v="576000"/>
    <n v="576000"/>
    <n v="0"/>
    <m/>
    <m/>
    <n v="0"/>
    <m/>
    <x v="1"/>
    <x v="0"/>
  </r>
  <r>
    <x v="4"/>
    <x v="15"/>
    <s v="Control y vigilancia"/>
    <s v="32 B"/>
    <x v="104"/>
    <s v="Implementación de logística para fiscalías especializadas en materia ambiental"/>
    <s v="NR"/>
    <x v="0"/>
    <x v="0"/>
    <s v="COMP 8"/>
    <s v="HABILITANTE"/>
    <x v="18"/>
    <s v="C19"/>
    <s v="Unidades móviles"/>
    <n v="5"/>
    <n v="5"/>
    <n v="0"/>
    <n v="150000"/>
    <s v="Adquisión de movilidades para la inspección oportuna de los fiscales cuando se reporte algún tipo de delito ambiental."/>
    <s v="ARA"/>
    <n v="750000"/>
    <n v="0"/>
    <n v="750000"/>
    <n v="0"/>
    <n v="0"/>
    <n v="0"/>
    <n v="0"/>
    <n v="0"/>
    <m/>
    <m/>
    <n v="0"/>
    <m/>
    <x v="1"/>
    <x v="0"/>
  </r>
  <r>
    <x v="4"/>
    <x v="15"/>
    <s v="Control y vigilancia"/>
    <n v="33"/>
    <x v="105"/>
    <s v="Operativos específicos para control de tala ilegal y deforestación coordinado entre varias instituciones públicas (ARA, MP, OSINFOR, entre otros)"/>
    <s v="NR"/>
    <x v="0"/>
    <x v="0"/>
    <s v="COMP 8"/>
    <s v="HABILITANTE"/>
    <x v="18"/>
    <s v="C19"/>
    <s v="Procesos administrativos o penales iniciados "/>
    <n v="15"/>
    <n v="15"/>
    <n v="15"/>
    <n v="30000"/>
    <s v="Operativos en campo que implican desplazamiento de la policía nacional del Perú, el ministerio público (gasolina, raciones), sobrevuelo"/>
    <s v="SERFOR, ARA, MP, OSINFOR"/>
    <n v="450000"/>
    <n v="450000"/>
    <n v="90000"/>
    <n v="90000"/>
    <n v="90000"/>
    <n v="90000"/>
    <n v="90000"/>
    <n v="0"/>
    <m/>
    <m/>
    <s v="X"/>
    <m/>
    <x v="1"/>
    <x v="0"/>
  </r>
  <r>
    <x v="4"/>
    <x v="15"/>
    <s v="Corrupción"/>
    <s v="34 A"/>
    <x v="106"/>
    <s v="a) Mapear procedimientos regionales vinculados a otorgamiento de propiedad agraria (titulación y adjudicaciones), cambio de uso actual de tierras de aptitud A y C, procesos de bosque y estudios de impacto ambiental del sector agrario, b) aprobación de lineamientos o norma complementaria nacional para implementación del  cambio de uso actual de acuerdo a nueva LFFS y RLFFS*, c) elaboración de propuesta de procedimiento regional articulado y modificaciones al TUPA del GORESAM, d) elaboración y aprobación de propuesta de ordenanza regional que aprueba procedimiento y modificación de TUPA del GORESAM, e) capacitación de funcionarios y socialización de actores claves, f) elaboración de estudios de suelos en áreas identificadas para futuros procesos de titulación y adjudicaciones, g) implementación de procedimiento de cambio de uso actual en A y C para definir áreas en donde es posible realizar adjudicaciones de acuerdo a LFFFS, h) ejecución de procedimientos de titulación de predios,  adjucación o cesión en uso. Nota1: la elaboración de estudios de suelos debe ser en grandes espacios en los donde se piensa promover la titulación de predios rurales (a nivel de unidades catastrales) y adjudicaciones agrarias, de maneras previas a las solicitudes de titulación. Nota2: evaluar con DGAA el nivel del estudio de suelo, se recomienda estudios simplificado y un proceso en etapas que permita liberar primero las tierras X y F. Nota 3: Reto opinión previa de SERFOR y MINAM ¿Como no demorar este proceso?                                               "/>
    <s v="NR"/>
    <x v="0"/>
    <x v="0"/>
    <s v="COMP 8"/>
    <s v="HABILITANTE"/>
    <x v="18"/>
    <s v="C19"/>
    <s v="Documento técnico legal que mapea procesos vinculados al cambio de uso, otorgamiento de la propiedad agraria y evaluaciones de impacto ambiental en el GORESAM"/>
    <n v="1"/>
    <n v="1"/>
    <n v="1"/>
    <n v="20000"/>
    <s v="Analisis técnico y legal (puede hacerse directamente por el equipo del GORESAM o a través de consultores), reuniones de trabajo, facilitadores de reuniones,"/>
    <s v="ARA, DRASAM, GDE, GPP"/>
    <n v="20000"/>
    <n v="20000"/>
    <n v="0"/>
    <n v="0"/>
    <n v="0"/>
    <n v="0"/>
    <n v="0"/>
    <n v="0"/>
    <m/>
    <m/>
    <n v="0"/>
    <m/>
    <x v="1"/>
    <x v="3"/>
  </r>
  <r>
    <x v="4"/>
    <x v="15"/>
    <s v="Invasiones "/>
    <s v="34 B"/>
    <x v="106"/>
    <s v="Descripciión compartida con 34 A"/>
    <s v="NR"/>
    <x v="0"/>
    <x v="0"/>
    <s v="COMP 8"/>
    <s v="HABILITANTE"/>
    <x v="18"/>
    <s v="C19"/>
    <s v="Resolución Ministerial, o norma pertiente, que aprueba lineamientos a nivel nacional "/>
    <n v="1"/>
    <n v="1"/>
    <n v="1"/>
    <n v="20000"/>
    <s v="Elaboración de propuesta de norma, talleres de socialización y retroalimentación a nivel nacional, "/>
    <s v="MINAGRI, SERFOR, MINAM"/>
    <n v="20000"/>
    <n v="20000"/>
    <n v="0"/>
    <n v="0"/>
    <n v="0"/>
    <n v="0"/>
    <n v="0"/>
    <n v="0"/>
    <m/>
    <m/>
    <n v="0"/>
    <m/>
    <x v="1"/>
    <x v="3"/>
  </r>
  <r>
    <x v="4"/>
    <x v="15"/>
    <s v="Corrupción"/>
    <s v="34 C"/>
    <x v="106"/>
    <s v="Descripciión compartida con 34 A"/>
    <s v="NR"/>
    <x v="0"/>
    <x v="0"/>
    <s v="COMP 8"/>
    <s v="HABILITANTE"/>
    <x v="18"/>
    <s v="C19"/>
    <s v="Ordenanza regional de procedimiento integrado sobre cambio de "/>
    <n v="1"/>
    <n v="1"/>
    <n v="0"/>
    <n v="30000"/>
    <s v="Consultoría para la elaboración de la propuesta de inclusión de procedimiento integrado  de cambio de uso actual."/>
    <s v="DRASAM, ARA, GPP"/>
    <n v="30000"/>
    <n v="0"/>
    <n v="30000"/>
    <n v="0"/>
    <n v="0"/>
    <n v="0"/>
    <n v="0"/>
    <n v="0"/>
    <m/>
    <m/>
    <n v="0"/>
    <m/>
    <x v="1"/>
    <x v="3"/>
  </r>
  <r>
    <x v="4"/>
    <x v="15"/>
    <s v="Corrupción"/>
    <s v="34 D"/>
    <x v="106"/>
    <s v="Descripciión compartida con 34 A"/>
    <s v="NR"/>
    <x v="0"/>
    <x v="0"/>
    <s v="COMP 8"/>
    <s v="HABILITANTE"/>
    <x v="18"/>
    <s v="C19"/>
    <s v="Guias didacticas para implementar el procedimiento "/>
    <n v="1"/>
    <n v="1"/>
    <n v="0"/>
    <n v="20000"/>
    <s v="Elaboración de manual de capacitación y versiones sencillas del procedimiento, talleres de capacitación a usuarios y funcionarios. "/>
    <s v="DRASAM, ARA"/>
    <n v="20000"/>
    <n v="0"/>
    <n v="20000"/>
    <n v="0"/>
    <n v="0"/>
    <n v="0"/>
    <n v="0"/>
    <n v="0"/>
    <m/>
    <m/>
    <n v="0"/>
    <m/>
    <x v="1"/>
    <x v="3"/>
  </r>
  <r>
    <x v="4"/>
    <x v="15"/>
    <s v="Corrupción"/>
    <s v="34 E"/>
    <x v="106"/>
    <s v="Descripciión compartida con 34 A"/>
    <s v="NR"/>
    <x v="0"/>
    <x v="0"/>
    <s v="COMP 8"/>
    <s v="HABILITANTE"/>
    <x v="18"/>
    <s v="C19"/>
    <s v="Hectáreas evaluadas bajo procedimiento de cambio actual con procedimientos integrados. "/>
    <n v="493395.07454789948"/>
    <n v="493395.07454789948"/>
    <n v="493395.07454789948"/>
    <n v="0.98"/>
    <s v="Contratación de especialistas para mapeo de procedimientos administrativos, especialista legal, especialista de costeo, costo operativo de atención de trámites."/>
    <s v="DRASAM, ARA"/>
    <n v="483527.17305694148"/>
    <n v="483527.17305694148"/>
    <n v="96705.434611388308"/>
    <n v="96705.434611388308"/>
    <n v="96705.434611388308"/>
    <n v="96705.434611388308"/>
    <n v="96705.434611388308"/>
    <n v="0"/>
    <m/>
    <m/>
    <n v="0"/>
    <m/>
    <x v="1"/>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
  <r>
    <x v="0"/>
    <x v="0"/>
    <s v="Invasiones"/>
    <s v="1.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51977.568789166602"/>
    <n v="25988.784394583301"/>
    <n v="25988.78439458330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1977568.7891666"/>
    <n v="51977568.7891666"/>
    <n v="5197756.8789166603"/>
    <n v="7796635.3183749896"/>
    <n v="10395513.757833321"/>
    <n v="15593270.636749979"/>
    <n v="12994392.19729165"/>
    <n v="0"/>
    <m/>
    <m/>
    <s v="X"/>
    <m/>
    <s v="RE"/>
    <n v="3"/>
    <n v="1"/>
  </r>
  <r>
    <x v="0"/>
    <x v="0"/>
    <s v="Programas de inversión pública"/>
    <s v="1.1.2"/>
    <x v="1"/>
    <s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x v="1"/>
    <s v="COMP 1"/>
    <s v="PRODUCCIÓN"/>
    <s v="ASISTENCIA TÉCNICA"/>
    <s v="C1"/>
    <s v="Productores asistidos"/>
    <n v="74562"/>
    <n v="22368.6"/>
    <n v="29824.800000000003"/>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2526416"/>
    <n v="16701888.000000002"/>
    <n v="2505283.2000000002"/>
    <n v="2505283.2000000002"/>
    <n v="2505283.2000000002"/>
    <n v="2505283.2000000002"/>
    <n v="2505283.2000000002"/>
    <n v="0"/>
    <m/>
    <m/>
    <s v="X"/>
    <m/>
    <s v="RE"/>
    <n v="2"/>
    <n v="1"/>
  </r>
  <r>
    <x v="0"/>
    <x v="0"/>
    <s v="Programas de inversión pública"/>
    <s v="1.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s v="TECNOLOGÍA"/>
    <s v="C17"/>
    <s v="Hectáreas intervenidas"/>
    <n v="155570"/>
    <n v="46671"/>
    <n v="46671"/>
    <n v="500"/>
    <s v="El costo incluye adquisición de semillas, insumos, fertilizantes, entre otras para la producción de plantas agroforestales o coberturas  verdes."/>
    <s v="DRASAM"/>
    <n v="23335500"/>
    <n v="23335500"/>
    <n v="7000650"/>
    <n v="5833875"/>
    <n v="4667100"/>
    <n v="3500325"/>
    <n v="2333550"/>
    <n v="0"/>
    <m/>
    <m/>
    <s v="X"/>
    <m/>
    <m/>
    <n v="3"/>
    <n v="1"/>
  </r>
  <r>
    <x v="0"/>
    <x v="0"/>
    <s v="Programas de inversión pública"/>
    <s v="1.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s v="TECNOLOGÍA"/>
    <s v="C17"/>
    <s v="hectáreas fertilizadas"/>
    <n v="155570"/>
    <n v="31114"/>
    <n v="46671"/>
    <n v="2500"/>
    <s v="El costo incluye un análisis de suelos, paquete de fertilización según los resultados del análisis y la adquisición de fertilizantes. El costo incluye los tres abonamientos requeridos en una campaña (1 año)."/>
    <s v="DRASAM"/>
    <n v="77785000"/>
    <n v="116677500"/>
    <n v="15557000"/>
    <n v="15557000"/>
    <n v="15557000"/>
    <n v="15557000"/>
    <n v="15557000"/>
    <n v="0"/>
    <m/>
    <m/>
    <s v="X"/>
    <m/>
    <s v="RE"/>
    <n v="3"/>
    <n v="1"/>
  </r>
  <r>
    <x v="0"/>
    <x v="0"/>
    <s v="Programas de inversión privada"/>
    <s v="1.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x v="2"/>
    <s v="COMP 4 "/>
    <s v="PRODUCCIÓN"/>
    <s v="TECNOLOGÍA"/>
    <s v="C17"/>
    <s v="Hectáreas con sistemas de riego"/>
    <n v="155570"/>
    <n v="7778.5"/>
    <n v="15557"/>
    <n v="11500"/>
    <s v="El costo incluye la instalación de un sistema completo y un paquete de fertilización para la primera campaña. El costo va depender del tipo de cultivo, tipo de sistema y el tipo de materiales a usar en los sistemas de fertirriego."/>
    <s v="DRASAM"/>
    <n v="89452750"/>
    <n v="178905500"/>
    <n v="17890550"/>
    <n v="17890550"/>
    <n v="17890550"/>
    <n v="17890550"/>
    <n v="17890550"/>
    <n v="0"/>
    <m/>
    <m/>
    <s v="X"/>
    <m/>
    <s v="RE"/>
    <n v="3"/>
    <n v="1"/>
  </r>
  <r>
    <x v="0"/>
    <x v="0"/>
    <s v="Programas de inversión privada"/>
    <s v="1.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s v="RECONVERSIÓN"/>
    <s v="C12"/>
    <s v="Hectáreas reconvertidas/diversificadas"/>
    <n v="31114"/>
    <n v="3111.4"/>
    <n v="3111.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AGROIDEAS"/>
    <n v="46671000"/>
    <n v="46671000"/>
    <n v="9334200"/>
    <n v="9334200"/>
    <n v="9334200"/>
    <n v="9334200"/>
    <n v="9334200"/>
    <n v="0"/>
    <s v="X"/>
    <m/>
    <m/>
    <m/>
    <s v="RE"/>
    <n v="3"/>
    <n v="1"/>
  </r>
  <r>
    <x v="0"/>
    <x v="0"/>
    <s v="Programas de inversión pública"/>
    <s v="1.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s v="CAPACITACIÓN"/>
    <s v="C3"/>
    <s v="Productores beneficiados"/>
    <n v="74562"/>
    <n v="18640.5"/>
    <n v="26096.69999999999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FONCODES"/>
    <n v="240462450"/>
    <n v="336647429.99999994"/>
    <n v="48092490"/>
    <n v="48092490"/>
    <n v="48092490"/>
    <n v="48092490"/>
    <n v="48092490"/>
    <n v="0"/>
    <m/>
    <m/>
    <s v="X"/>
    <m/>
    <s v="RE"/>
    <n v="2"/>
    <n v="1"/>
  </r>
  <r>
    <x v="0"/>
    <x v="0"/>
    <s v="Programas de inversión pública"/>
    <s v="1.1.8"/>
    <x v="7"/>
    <s v="Capacitaciones a pequeños productores acuícolas en temas relacionados a: Asociatividad, Gestión y administración de piscigranjas, programación de la producción, formalización, gestión de la calidad entre otros temas que permitan la sostenibilidad de la actividad."/>
    <s v="NR"/>
    <x v="1"/>
    <x v="2"/>
    <s v="COMP 4 "/>
    <s v="PRODUCCIÓN"/>
    <s v="ASISTENCIA TÉCNICA"/>
    <s v="C1"/>
    <s v="Acuicultores atendidos"/>
    <n v="668"/>
    <n v="801.6"/>
    <n v="935.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448896"/>
    <n v="523712"/>
    <n v="89779.200000000012"/>
    <n v="89779.200000000012"/>
    <n v="89779.200000000012"/>
    <n v="89779.200000000012"/>
    <n v="89779.200000000012"/>
    <n v="0"/>
    <m/>
    <m/>
    <s v="X"/>
    <m/>
    <s v="RE"/>
    <n v="3"/>
    <n v="1"/>
  </r>
  <r>
    <x v="0"/>
    <x v="0"/>
    <s v="Ingresos y Capital"/>
    <s v="1.1.9"/>
    <x v="8"/>
    <s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s v="FINANCIAMIENTO"/>
    <s v="C6"/>
    <s v="Créditos otorgados"/>
    <n v="668"/>
    <n v="801.6"/>
    <n v="935.2"/>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s v="DIREPRO"/>
    <n v="10340640"/>
    <n v="12064080"/>
    <n v="2585160"/>
    <n v="2585160"/>
    <n v="2068128"/>
    <n v="1551096"/>
    <n v="1551096"/>
    <n v="0"/>
    <s v="X"/>
    <m/>
    <m/>
    <m/>
    <s v="RE"/>
    <n v="3"/>
    <n v="1"/>
  </r>
  <r>
    <x v="0"/>
    <x v="0"/>
    <s v="Ingresos y Capital"/>
    <s v="1.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s v="FINANCIAMIENTO"/>
    <s v="C6"/>
    <s v="Créditos otorgados"/>
    <n v="74562"/>
    <n v="22368.6"/>
    <n v="14912.4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240462449.99999997"/>
    <n v="160308300.00000003"/>
    <n v="48092490"/>
    <n v="48092490"/>
    <n v="48092490"/>
    <n v="48092490"/>
    <n v="48092490"/>
    <n v="0"/>
    <s v="X"/>
    <m/>
    <m/>
    <m/>
    <s v="RE"/>
    <n v="3"/>
    <n v="1"/>
  </r>
  <r>
    <x v="0"/>
    <x v="0"/>
    <s v="Programas de inversión privada"/>
    <s v="1.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s v="INFRAESTRUCTURA"/>
    <s v="C7"/>
    <s v="Planes de negocios/proyectos ejecutados"/>
    <n v="48"/>
    <n v="9.6000000000000014"/>
    <n v="14.399999999999999"/>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7680000.0000000009"/>
    <n v="11519999.999999998"/>
    <n v="768000.00000000012"/>
    <n v="768000.00000000012"/>
    <n v="1920000.0000000002"/>
    <n v="1920000.0000000002"/>
    <n v="2304000"/>
    <n v="0"/>
    <s v="X"/>
    <m/>
    <m/>
    <m/>
    <s v="RE"/>
    <n v="3"/>
    <n v="1"/>
  </r>
  <r>
    <x v="0"/>
    <x v="0"/>
    <s v="Programas de inversión privada"/>
    <s v="1.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s v="CAPACITACIÓN"/>
    <s v="C3"/>
    <s v="Empresas y organizaciones atendidas"/>
    <n v="48"/>
    <n v="28.799999999999997"/>
    <n v="14.399999999999999"/>
    <n v="50000"/>
    <s v="El costo incluye la contratación de especialistas para brindar Asistencia Técnica en los procesos de implementación de las certificaciones de calidad, materiales para la capacitación y pasantías."/>
    <s v="DIREPRO"/>
    <n v="1439999.9999999998"/>
    <n v="719999.99999999988"/>
    <n v="287999.99999999994"/>
    <n v="287999.99999999994"/>
    <n v="287999.99999999994"/>
    <n v="287999.99999999994"/>
    <n v="287999.99999999994"/>
    <n v="0"/>
    <m/>
    <m/>
    <s v="X"/>
    <m/>
    <s v="RE"/>
    <n v="2"/>
    <n v="1"/>
  </r>
  <r>
    <x v="0"/>
    <x v="0"/>
    <s v="Programas de inversión pública"/>
    <s v="1.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s v="ASOCIATIVIDAD"/>
    <s v="C2"/>
    <s v="Organizaciones auto sostenibles"/>
    <n v="48"/>
    <n v="9.6000000000000014"/>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1152000.0000000002"/>
    <n v="1440000"/>
    <n v="230400.00000000006"/>
    <n v="230400.00000000006"/>
    <n v="230400.00000000006"/>
    <n v="230400.00000000006"/>
    <n v="230400.00000000006"/>
    <n v="0"/>
    <m/>
    <m/>
    <s v="X"/>
    <m/>
    <m/>
    <n v="3"/>
    <n v="1"/>
  </r>
  <r>
    <x v="0"/>
    <x v="0"/>
    <s v="Programas de inversión privada"/>
    <s v="1.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s v="MERCADO"/>
    <s v="C9"/>
    <s v="Organizaciones certificadas"/>
    <n v="48"/>
    <n v="19.200000000000003"/>
    <n v="19.200000000000003"/>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3840000.0000000005"/>
    <n v="3840000.0000000005"/>
    <n v="768000.00000000012"/>
    <n v="768000.00000000012"/>
    <n v="768000.00000000012"/>
    <n v="768000.00000000012"/>
    <n v="768000.00000000012"/>
    <n v="0"/>
    <m/>
    <m/>
    <s v="X"/>
    <m/>
    <m/>
    <n v="3"/>
    <n v="1"/>
  </r>
  <r>
    <x v="0"/>
    <x v="0"/>
    <s v="Control y vigilancia"/>
    <s v="1.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50000"/>
    <n v="350000"/>
    <n v="350000"/>
    <n v="350000"/>
    <n v="350000"/>
    <n v="350000"/>
    <n v="0"/>
    <s v="X"/>
    <m/>
    <m/>
    <m/>
    <m/>
    <n v="2"/>
    <n v="1"/>
  </r>
  <r>
    <x v="0"/>
    <x v="1"/>
    <s v="Invasiones"/>
    <s v="1.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2572.6683236398999"/>
    <n v="1286.3341618199499"/>
    <n v="1286.3341618199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72668.3236399"/>
    <n v="2572668.3236399"/>
    <n v="257266.83236399002"/>
    <n v="385900.24854598497"/>
    <n v="514533.66472798004"/>
    <n v="771800.49709196994"/>
    <n v="643167.08090997499"/>
    <n v="0"/>
    <m/>
    <m/>
    <s v="X"/>
    <m/>
    <s v="RE"/>
    <n v="3"/>
    <n v="1"/>
  </r>
  <r>
    <x v="0"/>
    <x v="1"/>
    <s v="Programas de inversión pública"/>
    <s v="1.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x v="2"/>
    <s v="COMP 4 "/>
    <s v="PRODUCCIÓN"/>
    <s v="TECNOLOGÍA"/>
    <s v="C17"/>
    <s v="Unidades semilleristas"/>
    <n v="15"/>
    <n v="7.5"/>
    <n v="7.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112500"/>
    <n v="112500"/>
    <n v="16875"/>
    <n v="22500"/>
    <n v="22500"/>
    <n v="28125"/>
    <n v="22500"/>
    <n v="0"/>
    <m/>
    <s v="X"/>
    <m/>
    <m/>
    <s v="RE"/>
    <n v="3"/>
    <n v="1"/>
  </r>
  <r>
    <x v="0"/>
    <x v="1"/>
    <s v="Programas de inversión pública"/>
    <s v="1.2.3"/>
    <x v="16"/>
    <s v="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x v="1"/>
    <s v="COMP 1"/>
    <s v="PRODUCCIÓN"/>
    <s v="CAPACITACIÓN"/>
    <s v="C3"/>
    <s v="Productores asistidos"/>
    <n v="5747"/>
    <n v="2586.15"/>
    <n v="3160.850000000000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448244"/>
    <n v="1770076.0000000002"/>
    <n v="289648.8"/>
    <n v="289648.8"/>
    <n v="289648.8"/>
    <n v="289648.8"/>
    <n v="289648.8"/>
    <n v="0"/>
    <m/>
    <m/>
    <s v="X"/>
    <m/>
    <s v="RE"/>
    <n v="3"/>
    <n v="1"/>
  </r>
  <r>
    <x v="0"/>
    <x v="1"/>
    <s v="Programas de inversión privada"/>
    <s v="1.2.4"/>
    <x v="5"/>
    <s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x v="2"/>
    <s v="COMP 4 "/>
    <s v="PRODUCCIÓN"/>
    <s v="RECONVERSIÓN"/>
    <s v="C12"/>
    <s v="Hectáreas reconvertidas"/>
    <n v="5844"/>
    <n v="584.4"/>
    <n v="584.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8766000"/>
    <n v="8766000"/>
    <n v="1753200"/>
    <n v="1753200"/>
    <n v="1753200"/>
    <n v="1753200"/>
    <n v="1753200"/>
    <n v="0"/>
    <m/>
    <m/>
    <s v="X"/>
    <m/>
    <s v="RE"/>
    <n v="3"/>
    <n v="1"/>
  </r>
  <r>
    <x v="0"/>
    <x v="1"/>
    <s v="Ingresos y Capital"/>
    <s v="1.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x v="3"/>
    <s v="COMP 11"/>
    <s v="PRODUCCIÓN"/>
    <s v="FINANCIAMIENTO"/>
    <s v="C6"/>
    <s v="Productores atendidos"/>
    <n v="5747"/>
    <n v="1724.1"/>
    <n v="1149.40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8534075"/>
    <n v="12356050.000000002"/>
    <n v="1853407.5"/>
    <n v="2780111.25"/>
    <n v="3706815"/>
    <n v="4633518.75"/>
    <n v="5560222.5"/>
    <n v="0"/>
    <s v="X"/>
    <m/>
    <m/>
    <m/>
    <s v="RE"/>
    <n v="3"/>
    <n v="1"/>
  </r>
  <r>
    <x v="0"/>
    <x v="1"/>
    <s v="Programas de inversión pública"/>
    <s v="1.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
    <s v="NR"/>
    <x v="1"/>
    <x v="4"/>
    <s v="COMP 2"/>
    <s v="PRODUCCIÓN"/>
    <s v="ASOCIATIVIDAD"/>
    <s v="C2"/>
    <s v="Organizaciones formalizadas y fortalecidas"/>
    <n v="3"/>
    <n v="3"/>
    <n v="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n v="1800000"/>
    <n v="2400000"/>
    <n v="360000"/>
    <n v="360000"/>
    <n v="360000"/>
    <n v="360000"/>
    <n v="360000"/>
    <n v="0"/>
    <m/>
    <m/>
    <s v="X"/>
    <m/>
    <m/>
    <n v="3"/>
    <n v="1"/>
  </r>
  <r>
    <x v="0"/>
    <x v="1"/>
    <s v="Programas de inversión privada"/>
    <s v="1.2.7"/>
    <x v="17"/>
    <s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x v="2"/>
    <s v="COMP 4 "/>
    <s v="PRODUCCIÓN"/>
    <s v="INFRAESTRUCTURA"/>
    <s v="C7"/>
    <s v="Planes de negocios ejecutados"/>
    <n v="0"/>
    <n v="3"/>
    <n v="4"/>
    <n v="15000"/>
    <s v="Para el logro de los objetivos, se considera el pago de profesionales para la formulación de los planes de negocios que beneficiarían directamente a los pequeños productores."/>
    <n v="0"/>
    <n v="225000"/>
    <n v="300000"/>
    <n v="112500"/>
    <n v="0"/>
    <n v="112500"/>
    <n v="0"/>
    <n v="0"/>
    <n v="0"/>
    <s v="X"/>
    <m/>
    <m/>
    <m/>
    <m/>
    <n v="3"/>
    <n v="1"/>
  </r>
  <r>
    <x v="0"/>
    <x v="1"/>
    <s v="Control y vigilancia"/>
    <s v="1.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50000"/>
    <n v="350000"/>
    <n v="350000"/>
    <n v="350000"/>
    <n v="350000"/>
    <n v="350000"/>
    <n v="0"/>
    <s v="X"/>
    <m/>
    <m/>
    <m/>
    <m/>
    <n v="2"/>
    <n v="1"/>
  </r>
  <r>
    <x v="0"/>
    <x v="2"/>
    <s v="Invasiones"/>
    <s v="1.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5860.2605324035703"/>
    <n v="2930.1302662017852"/>
    <n v="2930.13026620178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860260.5324035706"/>
    <n v="5860260.5324035706"/>
    <n v="586026.05324035708"/>
    <n v="879039.07986053557"/>
    <n v="1172052.1064807142"/>
    <n v="1758078.1597210711"/>
    <n v="1465065.1331008926"/>
    <n v="0"/>
    <m/>
    <m/>
    <s v="X"/>
    <m/>
    <s v="RE"/>
    <n v="3"/>
    <n v="1"/>
  </r>
  <r>
    <x v="0"/>
    <x v="2"/>
    <s v="Programas de inversión pública"/>
    <s v="1.3.2"/>
    <x v="18"/>
    <s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s v="ASISTENCIA TÉCNICA"/>
    <s v="C1"/>
    <s v="Ganaderos asistidos"/>
    <n v="2375"/>
    <n v="1425"/>
    <n v="950"/>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8000"/>
    <n v="532000"/>
    <n v="159600"/>
    <n v="159600"/>
    <n v="159600"/>
    <n v="159600"/>
    <n v="159600"/>
    <n v="0"/>
    <m/>
    <m/>
    <s v="X"/>
    <m/>
    <s v="RE"/>
    <n v="3"/>
    <n v="1"/>
  </r>
  <r>
    <x v="0"/>
    <x v="2"/>
    <s v="Programas de inversión pública"/>
    <s v="1.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s v="TECNOLOGÍA"/>
    <s v="C17"/>
    <s v="Hectáreas intervenidas"/>
    <n v="71251"/>
    <n v="14250.2"/>
    <n v="14250.2"/>
    <n v="500"/>
    <s v="El costo incluye adquisición de semillas, insumos, fertilizantes, entre otras para la producción de plantas agroforestales o coberturas  verdes."/>
    <s v="DRASAM, ICT"/>
    <n v="7125100"/>
    <n v="7125100"/>
    <n v="1068765"/>
    <n v="1068765"/>
    <n v="1425020"/>
    <n v="1781275"/>
    <n v="1781275"/>
    <n v="0"/>
    <m/>
    <m/>
    <s v="X"/>
    <m/>
    <s v="RE"/>
    <n v="3"/>
    <n v="1"/>
  </r>
  <r>
    <x v="0"/>
    <x v="2"/>
    <s v="Programas de inversión pública"/>
    <s v="1.3.4"/>
    <x v="19"/>
    <s v=" Reactivación, implementación y gestión de las postas de inseminación artificial, material genético, capacitación y entrenamiento a inseminadores (certificar por competencia a través del SINEACE), transferencia de embriones a las granjas de los productores y asistencia técnica."/>
    <s v="R"/>
    <x v="1"/>
    <x v="2"/>
    <s v="COMP 4 "/>
    <s v="PRODUCCIÓN"/>
    <s v="TECNOLOGÍA"/>
    <s v="C17"/>
    <s v="Postas activas y operativas"/>
    <n v="0"/>
    <n v="21"/>
    <n v="21"/>
    <n v="54800"/>
    <s v="Costo por posta reactivada y/o instalada, cada una estará ubicada en punto estratégico para cobertura la mayor cantidad de ganaderos. Considerando la implementación con tanques criogénicos, materiales diversos, pajillas, técnico especialista, movilidad entre otros. "/>
    <s v="DIREPRO"/>
    <n v="5754000"/>
    <n v="5754000"/>
    <n v="1150800"/>
    <n v="1150800"/>
    <n v="1150800"/>
    <n v="1150800"/>
    <n v="1150800"/>
    <n v="0"/>
    <m/>
    <s v="X"/>
    <m/>
    <m/>
    <m/>
    <n v="3"/>
    <n v="1"/>
  </r>
  <r>
    <x v="0"/>
    <x v="2"/>
    <s v="Ingresos y Capital"/>
    <s v="1.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x v="3"/>
    <s v="COMP 11"/>
    <s v="PRODUCCIÓN"/>
    <s v="FINANCIAMIENTO"/>
    <s v="C6"/>
    <s v="Ganaderos atendidos"/>
    <n v="2375"/>
    <n v="712.5"/>
    <n v="47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7659375"/>
    <n v="5106250"/>
    <n v="765937.5"/>
    <n v="1148906.25"/>
    <n v="1148906.25"/>
    <n v="2297812.5"/>
    <n v="2297812.5"/>
    <n v="0"/>
    <s v="X"/>
    <m/>
    <m/>
    <m/>
    <s v="RE"/>
    <n v="3"/>
    <n v="1"/>
  </r>
  <r>
    <x v="0"/>
    <x v="2"/>
    <s v="Programas de inversión pública"/>
    <s v="1.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s v="ASOCIATIVIDAD"/>
    <s v="C2"/>
    <s v="Organizaciones fortalecidas"/>
    <n v="24"/>
    <n v="10.8"/>
    <n v="7.1999999999999993"/>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6480000"/>
    <n v="4319999.9999999991"/>
    <n v="1296000"/>
    <n v="1296000"/>
    <n v="1296000"/>
    <n v="1296000"/>
    <n v="1296000"/>
    <n v="0"/>
    <m/>
    <m/>
    <s v="X"/>
    <m/>
    <m/>
    <n v="3"/>
    <n v="1"/>
  </r>
  <r>
    <x v="0"/>
    <x v="2"/>
    <s v="Programas de inversión privada"/>
    <s v="1.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s v="TECNOLOGÍA"/>
    <s v="C17"/>
    <s v="Planes de negocios implementados"/>
    <n v="0"/>
    <n v="20"/>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6000000"/>
    <n v="8000000"/>
    <n v="3200000"/>
    <n v="3200000"/>
    <n v="3200000"/>
    <n v="3200000"/>
    <n v="3200000"/>
    <n v="0"/>
    <s v="X"/>
    <m/>
    <m/>
    <m/>
    <s v="RE"/>
    <n v="3"/>
    <n v="1"/>
  </r>
  <r>
    <x v="0"/>
    <x v="2"/>
    <s v="Control y vigilancia"/>
    <s v="1.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50000"/>
    <n v="350000"/>
    <n v="350000"/>
    <n v="350000"/>
    <n v="350000"/>
    <n v="350000"/>
    <n v="0"/>
    <s v="X"/>
    <m/>
    <m/>
    <m/>
    <m/>
    <n v="2"/>
    <n v="1"/>
  </r>
  <r>
    <x v="0"/>
    <x v="3"/>
    <s v="Invasiones"/>
    <s v="1.4.1"/>
    <x v="20"/>
    <s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_x000a_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
    <s v="NR"/>
    <x v="0"/>
    <x v="0"/>
    <s v="COMP 8"/>
    <s v="PROTECCIÓN-GOBERNANZA"/>
    <s v="DERECHOS SOBRE LA TIERRA"/>
    <s v="C5"/>
    <s v="Comunidades tituladas"/>
    <n v="63"/>
    <n v="63"/>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4488750"/>
    <n v="0"/>
    <n v="897750"/>
    <n v="897750"/>
    <n v="897750"/>
    <n v="897750"/>
    <n v="897750"/>
    <n v="0"/>
    <m/>
    <m/>
    <s v="X"/>
    <m/>
    <m/>
    <n v="3"/>
    <n v="1"/>
  </r>
  <r>
    <x v="0"/>
    <x v="3"/>
    <s v="Programas de inversión pública"/>
    <s v="1.4.2"/>
    <x v="21"/>
    <s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x v="6"/>
    <s v="COMP 5"/>
    <s v="PROTECCIÓN"/>
    <s v="ASISTENCIA TÉCNICA"/>
    <s v="C1"/>
    <s v="Productor asistido"/>
    <n v="6900"/>
    <n v="4140"/>
    <n v="276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318400"/>
    <n v="1545600"/>
    <n v="463680"/>
    <n v="463680"/>
    <n v="463680"/>
    <n v="463680"/>
    <n v="463680"/>
    <n v="0"/>
    <m/>
    <m/>
    <s v="X"/>
    <m/>
    <s v="RE"/>
    <n v="3"/>
    <n v="1"/>
  </r>
  <r>
    <x v="0"/>
    <x v="3"/>
    <s v="Programas de inversión privada"/>
    <s v="1.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x v="7"/>
    <s v="COMP 6"/>
    <s v="PROTECCIÓN"/>
    <s v="INNOVACIÓN"/>
    <s v="C8"/>
    <s v="Planes de negocio"/>
    <n v="0"/>
    <n v="40"/>
    <n v="40"/>
    <n v="15000"/>
    <s v="Se contratará profesionales para el asesoramiento y formulación de planes de negocios de las Comunidades Nativas."/>
    <s v="Drasam, Agroideas"/>
    <n v="600000"/>
    <n v="600000"/>
    <n v="120000"/>
    <n v="120000"/>
    <n v="120000"/>
    <n v="120000"/>
    <n v="120000"/>
    <n v="0"/>
    <s v="X"/>
    <m/>
    <m/>
    <m/>
    <s v="RE"/>
    <n v="2"/>
    <n v="1"/>
  </r>
  <r>
    <x v="0"/>
    <x v="3"/>
    <s v="Programas de inversión pública"/>
    <s v="1.4.4"/>
    <x v="23"/>
    <s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x v="4"/>
    <s v="COMP 2"/>
    <s v="PRODUCCIÓN"/>
    <s v="ASOCIATIVIDAD"/>
    <s v="C2"/>
    <s v="Comunidades fortalecidas"/>
    <n v="66"/>
    <n v="39.6"/>
    <n v="26.400000000000002"/>
    <n v="288000"/>
    <s v="Contratación de especialistas para dar acompañamiento y seguimiento a los procesos organizativos de las CCNN de forma permanente."/>
    <s v="Drasam, Direpro, Dircetur, ARA, CODEPISAM"/>
    <n v="1440000"/>
    <n v="1440000"/>
    <n v="288000"/>
    <n v="288000"/>
    <n v="288000"/>
    <n v="288000"/>
    <n v="288000"/>
    <n v="0"/>
    <m/>
    <m/>
    <s v="X"/>
    <m/>
    <s v="RE"/>
    <n v="2"/>
    <n v="1"/>
  </r>
  <r>
    <x v="0"/>
    <x v="3"/>
    <s v="Programas de inversión privada"/>
    <s v="1.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x v="5"/>
    <s v="COMP 3"/>
    <s v="PRODUCCIÓN"/>
    <s v="MERCADO"/>
    <s v="C9"/>
    <s v="Especialistas"/>
    <n v="0"/>
    <n v="5"/>
    <n v="5"/>
    <n v="3500"/>
    <s v="Contratación de especialista para identificación, acompañamiento y seguimiento a los procesos comerciales iniciados por las organizaciones de las CCNN"/>
    <s v="Drasam, Direpro, Dircetur, ARA, OPIPs"/>
    <n v="1050000"/>
    <n v="1050000"/>
    <n v="210000"/>
    <n v="210000"/>
    <n v="210000"/>
    <n v="210000"/>
    <n v="210000"/>
    <n v="0"/>
    <s v="X"/>
    <m/>
    <m/>
    <m/>
    <s v="RE"/>
    <n v="2"/>
    <n v="1"/>
  </r>
  <r>
    <x v="0"/>
    <x v="3"/>
    <s v="Invasiones"/>
    <s v="1.4.6"/>
    <x v="25"/>
    <s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
    <s v="NR"/>
    <x v="2"/>
    <x v="3"/>
    <s v="COMP 11"/>
    <s v="PROTECCIÓN"/>
    <s v="FINANCIAMIENTO"/>
    <s v="C6"/>
    <s v="Comunidades atendidas"/>
    <n v="9"/>
    <n v="30"/>
    <n v="27"/>
    <n v="5000"/>
    <s v="El costo esta referido a los gastos administrativos y logísticos que impliquen la elaboración del expediente para ser presentado a los programas de incentivos. "/>
    <s v="Gerencia Regional de Desarrollo Social, Programa Geo bosques, CODEPISAM"/>
    <n v="750000"/>
    <n v="675000"/>
    <n v="150000"/>
    <n v="150000"/>
    <n v="150000"/>
    <n v="150000"/>
    <n v="150000"/>
    <n v="0"/>
    <m/>
    <m/>
    <s v="X"/>
    <m/>
    <m/>
    <n v="3"/>
    <n v="1"/>
  </r>
  <r>
    <x v="0"/>
    <x v="3"/>
    <s v="Programas de inversión pública"/>
    <s v="1.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x v="8"/>
    <s v="COMP 9"/>
    <s v="INCLUSION"/>
    <s v="SERVICIO DE EDUCACIÓN Y SALUD ADECUADOS"/>
    <s v="C14"/>
    <s v="Módulos implementados"/>
    <n v="6600"/>
    <n v="1980"/>
    <n v="2640"/>
    <n v="30000"/>
    <s v="Implementación según las necesidades identificadas en cada comunidad, considerando si son aplicables en dichas zonas, si no hay restricciones de cualquier índole. "/>
    <s v="Goresam, MIDIS, DRTyTC, Drasam,Foncodes, Cooperación, CODEPISAM"/>
    <n v="59400000"/>
    <n v="79200000"/>
    <n v="11880000"/>
    <n v="11880000"/>
    <n v="11880000"/>
    <n v="11880000"/>
    <n v="11880000"/>
    <n v="0"/>
    <m/>
    <m/>
    <s v="X"/>
    <m/>
    <m/>
    <n v="2"/>
    <n v="1"/>
  </r>
  <r>
    <x v="0"/>
    <x v="3"/>
    <s v="Programas de inversión pública"/>
    <s v="1.4.8"/>
    <x v="27"/>
    <s v="Implementación de proyectos enfocados a mejorar los servicios básicos de las comunidades nativas, dichos servicios deberán contar con profesionales bilingües, para asegurar y garantizar la adecuada transferencia de dichos servicios.  "/>
    <s v="NR"/>
    <x v="0"/>
    <x v="8"/>
    <s v="COMP 9"/>
    <s v="INCLUSION"/>
    <s v="SERVICIO DE EDUCACIÓN Y SALUD ADECUADOS"/>
    <s v="C14"/>
    <s v="Escuelas y postas médicas implementadas"/>
    <n v="66"/>
    <n v="36"/>
    <n v="30"/>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7000000"/>
    <n v="22500000"/>
    <n v="5400000"/>
    <n v="5400000"/>
    <n v="5400000"/>
    <n v="5400000"/>
    <n v="5400000"/>
    <n v="0"/>
    <s v="X"/>
    <m/>
    <m/>
    <m/>
    <s v="RE"/>
    <n v="3"/>
    <n v="1"/>
  </r>
  <r>
    <x v="0"/>
    <x v="4"/>
    <s v="Programas de inversión privada"/>
    <s v="1.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s v="FINANCIAMIENTO"/>
    <s v="C6"/>
    <s v="Planes de negocio"/>
    <n v="14"/>
    <n v="8.4"/>
    <n v="5.6000000000000005"/>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260000"/>
    <n v="840000.00000000012"/>
    <n v="252000"/>
    <n v="252000"/>
    <n v="252000"/>
    <n v="252000"/>
    <n v="252000"/>
    <n v="0"/>
    <s v="X"/>
    <m/>
    <m/>
    <m/>
    <s v="RE"/>
    <n v="2"/>
    <n v="1"/>
  </r>
  <r>
    <x v="0"/>
    <x v="4"/>
    <s v="Programas de inversión pública"/>
    <s v="1.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s v="ASISTENCIA TÉCNICA"/>
    <s v="C1"/>
    <s v="Especialistas"/>
    <n v="0"/>
    <n v="3"/>
    <n v="3"/>
    <n v="4000"/>
    <s v="Contratación de especialista y gastos logísticos, pasantías regionales y nacionales para adquisición de know how en materia de turismo rural"/>
    <s v="Dircetur"/>
    <n v="720000"/>
    <n v="720000"/>
    <n v="144000"/>
    <n v="144000"/>
    <n v="144000"/>
    <n v="144000"/>
    <n v="144000"/>
    <n v="0"/>
    <m/>
    <m/>
    <s v="X"/>
    <m/>
    <s v="RE"/>
    <n v="3"/>
    <n v="1"/>
  </r>
  <r>
    <x v="0"/>
    <x v="4"/>
    <s v="Programas de inversión privada"/>
    <s v="1.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s v="INNOVACIÓN"/>
    <s v="C8"/>
    <s v="Planes de negocio"/>
    <n v="0"/>
    <n v="7"/>
    <n v="7"/>
    <n v="150000"/>
    <s v="El costo hace referencia al proceso de implementación y funcionamiento de los productos para el desarrollo de  los emprendimientos."/>
    <s v="Dircetur, Agroideas"/>
    <n v="1050000"/>
    <n v="1050000"/>
    <n v="210000"/>
    <n v="210000"/>
    <n v="210000"/>
    <n v="210000"/>
    <n v="210000"/>
    <n v="0"/>
    <s v="X"/>
    <m/>
    <m/>
    <m/>
    <s v="RE"/>
    <n v="3"/>
    <n v="1"/>
  </r>
  <r>
    <x v="0"/>
    <x v="4"/>
    <s v="Programas de inversión privada"/>
    <s v="1.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s v="PROMOCIÓN ACTIVIDADES ECONÓMICOS"/>
    <s v="C11"/>
    <s v="Rutas turísticas promocionados"/>
    <n v="0"/>
    <n v="7"/>
    <n v="7"/>
    <n v="40000"/>
    <s v="Participación en eventos de promoción (ferias regionales y nacionales, Fam Trip), el costo cubrirá gastos logísticos y administrativos de los operadores turísticos identificados "/>
    <s v="Mincetur, Dircetur"/>
    <n v="1400000"/>
    <n v="1400000"/>
    <n v="280000"/>
    <n v="280000"/>
    <n v="280000"/>
    <n v="280000"/>
    <n v="280000"/>
    <n v="0"/>
    <m/>
    <m/>
    <s v="X"/>
    <m/>
    <s v="RE"/>
    <n v="3"/>
    <n v="1"/>
  </r>
  <r>
    <x v="0"/>
    <x v="5"/>
    <s v="Invasiones"/>
    <s v="1.6.1"/>
    <x v="31"/>
    <s v="Realizar un sinceramiento de las concesiones forestales activas e inactivas para excluir o realizar nuevos otorgamientos a empresas que puedan cumplir técnica y económicamente con lo predispuesto en la directiva."/>
    <s v="NR"/>
    <x v="0"/>
    <x v="0"/>
    <s v="COMP 8"/>
    <s v="PROTECCIÓN-GOBERNANZA"/>
    <s v="DERECHOS SOBRE LA TIERRA"/>
    <s v="C5"/>
    <s v="N° de concesiones "/>
    <n v="0"/>
    <n v="9"/>
    <n v="10"/>
    <n v="30000"/>
    <s v="Gastos operativos y logísticos para la elaboración de expedientes técnicos sustentatorios para los procesos legales y administrativos que conllevan dicho procedimiento."/>
    <s v="ARA, SERFOR, MINAM"/>
    <n v="270000"/>
    <n v="300000"/>
    <n v="54000"/>
    <n v="108000"/>
    <n v="108000"/>
    <n v="0"/>
    <n v="0"/>
    <n v="0"/>
    <m/>
    <m/>
    <s v="X"/>
    <m/>
    <m/>
    <n v="3"/>
    <n v="1"/>
  </r>
  <r>
    <x v="0"/>
    <x v="5"/>
    <s v="Programas de inversión privada"/>
    <s v="1.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x v="3"/>
    <s v="COMP 11"/>
    <s v="PROTECCIÓN"/>
    <s v="FINANCIAMIENTO"/>
    <s v="C6"/>
    <s v="Créditos otorgados"/>
    <n v="0"/>
    <n v="5"/>
    <n v="10"/>
    <n v="150000"/>
    <s v="El costo incluye los gastos operativos y logísticos para la extracción de la madera de acuerdo al plan de extracción y la implementación de los planes de manejo. ambiental."/>
    <s v="ARA, SERFOR, MINAM"/>
    <n v="750000"/>
    <n v="1500000"/>
    <n v="150000"/>
    <n v="150000"/>
    <n v="150000"/>
    <n v="150000"/>
    <n v="150000"/>
    <n v="0"/>
    <s v="X"/>
    <m/>
    <m/>
    <m/>
    <s v="RE"/>
    <n v="3"/>
    <n v="1"/>
  </r>
  <r>
    <x v="0"/>
    <x v="5"/>
    <s v="Programas de inversión pública"/>
    <s v="1.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inactivas, al menos el 60% se reactiven y cierren los contratos pendientes por ejecutar. "/>
    <s v="R"/>
    <x v="0"/>
    <x v="0"/>
    <s v="COMP 8"/>
    <s v="HABILITANTE"/>
    <s v="GESTIÓN PUBLICA"/>
    <s v="C21"/>
    <s v="Concesiones reactivadas"/>
    <n v="0"/>
    <n v="5"/>
    <n v="0"/>
    <n v="20000"/>
    <s v="Gastos operativos y logísticos para la elaboración de expedientes técnicos sustentatorios para los procesos legales y administrativos que conllevan dicho procedimiento."/>
    <s v="ARA, SERFOR, MINAM"/>
    <n v="100000"/>
    <n v="0"/>
    <n v="20000"/>
    <n v="20000"/>
    <n v="20000"/>
    <n v="20000"/>
    <n v="20000"/>
    <n v="0"/>
    <m/>
    <m/>
    <s v="X"/>
    <m/>
    <m/>
    <n v="1"/>
    <n v="1"/>
  </r>
  <r>
    <x v="0"/>
    <x v="6"/>
    <s v="Control y vigilancia"/>
    <s v="1.7.1"/>
    <x v="34"/>
    <s v="Campañas de sensibilización en los distritos acentuadas en las zonas de amortiguamiento, considerando la participación del ARA, DRASAM, DIRCETUR, GRDS.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x v="6"/>
    <s v="COMP 5"/>
    <s v="PROTECCIÓN-GOBERNANZA"/>
    <s v="CONTROL Y VIGILANCIA"/>
    <s v="C4"/>
    <s v="Campañas de sensibilización"/>
    <n v="0"/>
    <n v="81"/>
    <n v="81"/>
    <n v="8000"/>
    <s v="Campañas de sensibilización con equipos técnicos de las instituciones involucradas, gastos logísticos, impresión de material de difusión, publicidad radial, televisiva y escrita."/>
    <s v="ARA, SERFOR, SERNANP, CIMA"/>
    <n v="3240000"/>
    <n v="3240000"/>
    <n v="648000"/>
    <n v="648000"/>
    <n v="648000"/>
    <n v="648000"/>
    <n v="648000"/>
    <n v="0"/>
    <m/>
    <m/>
    <s v="X"/>
    <m/>
    <s v="RE"/>
    <n v="3"/>
    <n v="1"/>
  </r>
  <r>
    <x v="0"/>
    <x v="6"/>
    <s v="Control y vigilancia"/>
    <s v="1.7.2"/>
    <x v="35"/>
    <s v="Implementar con recursos necesarios al ente que administra el área, con la finalidad de aumentar el número de personas (guardaparques) que contribuyan a realizar acciones de control y vigilancia."/>
    <s v="NR"/>
    <x v="2"/>
    <x v="6"/>
    <s v="COMP 5"/>
    <s v="PROTECCIÓN-GOBERNANZA"/>
    <s v="CONTROL Y VIGILANCIA"/>
    <s v="C4"/>
    <s v="Número de guardaparques"/>
    <n v="0"/>
    <n v="18"/>
    <n v="18"/>
    <n v="2000"/>
    <s v="Contratación a guardaparques para garantizar el control y vigilancia del área otorgada."/>
    <s v="ARA, SERFOR, SERNANP, CIMA"/>
    <n v="2160000"/>
    <n v="2160000"/>
    <n v="432000"/>
    <n v="432000"/>
    <n v="432000"/>
    <n v="432000"/>
    <n v="432000"/>
    <n v="0"/>
    <m/>
    <m/>
    <s v="X"/>
    <m/>
    <s v="RE"/>
    <n v="3"/>
    <n v="1"/>
  </r>
  <r>
    <x v="0"/>
    <x v="6"/>
    <s v="Programas de inversión pública"/>
    <s v="1.7.3"/>
    <x v="36"/>
    <s v="Promover la planificación comunal en centros poblados del interior en base a la zonificación y zona de amortiguamiento teniendo como base al Plan Maestro (incluye acuerdos de conservación)"/>
    <s v="NR"/>
    <x v="0"/>
    <x v="8"/>
    <s v="COMP 9"/>
    <s v="HABILITANTE"/>
    <s v="PLANES DE VIDA"/>
    <s v="C10"/>
    <s v="Planes de gestión comunal"/>
    <n v="0"/>
    <n v="81"/>
    <n v="135"/>
    <n v="10000"/>
    <s v="Contratación de servicios profesionales para la elaboración de los planes de gestión comunal."/>
    <s v="ARA, SERFOR, SERNANP, CIMA"/>
    <n v="810000"/>
    <n v="1350000"/>
    <n v="162000"/>
    <n v="162000"/>
    <n v="162000"/>
    <n v="162000"/>
    <n v="162000"/>
    <n v="0"/>
    <m/>
    <m/>
    <s v="X"/>
    <m/>
    <m/>
    <n v="3"/>
    <n v="1"/>
  </r>
  <r>
    <x v="0"/>
    <x v="6"/>
    <s v="Programas de inversión privada"/>
    <s v="1.7.4"/>
    <x v="37"/>
    <s v="Campañas de promoción y difusión en el ámbito regional y nacional de los circuitos turísticos que existen en la zona de amortiguamiento. acorde al plan maestro del parque.  "/>
    <s v="NR"/>
    <x v="2"/>
    <x v="7"/>
    <s v="COMP 6"/>
    <s v="PROTECCIÓN"/>
    <s v="PROMOCIÓN ACTIVIDADES ECONÓMICOS"/>
    <s v="C11"/>
    <s v="Campañas de promoción"/>
    <n v="0"/>
    <n v="54"/>
    <n v="54"/>
    <n v="4000"/>
    <s v="Campañas de promoción que incluye, impresión de material de difusión, publicidad radial, televisiva y escrita."/>
    <s v="ARA, SERFOR, SERNANP, CIMA"/>
    <n v="1080000"/>
    <n v="1080000"/>
    <n v="216000"/>
    <n v="216000"/>
    <n v="216000"/>
    <n v="216000"/>
    <n v="216000"/>
    <n v="0"/>
    <m/>
    <s v="X"/>
    <m/>
    <m/>
    <m/>
    <n v="3"/>
    <n v="1"/>
  </r>
  <r>
    <x v="0"/>
    <x v="6"/>
    <s v="Programas de inversión privada"/>
    <s v="1.7.5"/>
    <x v="38"/>
    <s v="Realizar pasantías focalizadas en aquellos sectores claves que se necesita intervenir para disminuir la presión del parque."/>
    <s v="NR"/>
    <x v="2"/>
    <x v="7"/>
    <s v="COMP 6"/>
    <s v="PROTECCIÓN"/>
    <s v="PROMOCIÓN ACTIVIDADES ECONÓMICOS"/>
    <s v="C11"/>
    <s v="Pasantías"/>
    <n v="0"/>
    <n v="54"/>
    <n v="54"/>
    <n v="5000"/>
    <s v="El costo hace referencia a los gastos de pasajes, alimentación y otros para un grupo de 20 productores por pasantía."/>
    <s v="ARA, SERFOR, SERNANP, CIMA"/>
    <n v="1350000"/>
    <n v="1350000"/>
    <n v="270000"/>
    <n v="270000"/>
    <n v="270000"/>
    <n v="270000"/>
    <n v="270000"/>
    <n v="0"/>
    <m/>
    <s v="X"/>
    <m/>
    <m/>
    <m/>
    <n v="3"/>
    <n v="1"/>
  </r>
  <r>
    <x v="0"/>
    <x v="7"/>
    <s v="Programas de inversión pública"/>
    <s v="1.8.1"/>
    <x v="36"/>
    <s v="Promover la planificación comunal en centros poblados en base a la zonificación y zona de amortiguamiento teniendo como base al Plan Maestro (incluye acuerdos de conservación)"/>
    <s v="NR"/>
    <x v="0"/>
    <x v="8"/>
    <s v="COMP 9"/>
    <s v="PROTECCIÓN"/>
    <s v="PROMOCIÓN ACTIVIDADES ECONÓMICOS"/>
    <s v="C11"/>
    <s v="Planes de gestión comunal"/>
    <n v="0"/>
    <n v="18"/>
    <n v="18"/>
    <n v="10000"/>
    <s v="Contratación de servicios profesionales para la elaboración de los planes de gestión comunal."/>
    <s v="ARA, SERFOR, SERNANP, CIMA"/>
    <n v="180000"/>
    <n v="180000"/>
    <n v="36000"/>
    <n v="36000"/>
    <n v="36000"/>
    <n v="36000"/>
    <n v="36000"/>
    <n v="0"/>
    <m/>
    <m/>
    <s v="X"/>
    <m/>
    <m/>
    <n v="3"/>
    <n v="1"/>
  </r>
  <r>
    <x v="0"/>
    <x v="7"/>
    <s v="Programas de inversión privada"/>
    <s v="1.8.2"/>
    <x v="37"/>
    <s v="Campañas de promoción y difusión en el ámbito regional y nacional de los circuitos turísticos que existen en la zona de amortiguamiento. acorde al plan maestro del parque.  "/>
    <s v="NR"/>
    <x v="2"/>
    <x v="7"/>
    <s v="COMP 6"/>
    <s v="PROTECCIÓN"/>
    <s v="PROMOCIÓN ACTIVIDADES ECONÓMICOS"/>
    <s v="C11"/>
    <s v="Campañas de promoción"/>
    <n v="0"/>
    <n v="36"/>
    <n v="36"/>
    <n v="4000"/>
    <s v="Campañas de promoción que incluye, impresión de material de difusión, publicidad radial, televisiva y escrita."/>
    <s v="ARA, SERFOR, SERNANP, CIMA"/>
    <n v="720000"/>
    <n v="720000"/>
    <n v="144000"/>
    <n v="144000"/>
    <n v="144000"/>
    <n v="144000"/>
    <n v="144000"/>
    <n v="0"/>
    <m/>
    <s v="X"/>
    <m/>
    <m/>
    <m/>
    <n v="3"/>
    <n v="1"/>
  </r>
  <r>
    <x v="0"/>
    <x v="7"/>
    <s v="Programas de inversión privada"/>
    <s v="1.8.3"/>
    <x v="39"/>
    <s v="Realizar pasantías focalizadas en aquellos sectores claves que se necesita intervenir para disminuir la presión del parque."/>
    <s v="NR"/>
    <x v="2"/>
    <x v="7"/>
    <s v="COMP 6"/>
    <s v="PROTECCIÓN"/>
    <s v="PROMOCIÓN ACTIVIDADES ECONÓMICOS"/>
    <s v="C11"/>
    <s v="Pasantías"/>
    <n v="0"/>
    <n v="36"/>
    <n v="36"/>
    <n v="5000"/>
    <s v="El costo hace referencia a los gastos de pasajes, alimentación y otros para un grupo de 20 productores por pasantía."/>
    <s v="ARA, SERFOR, SERNANP, CIMA"/>
    <n v="900000"/>
    <n v="900000"/>
    <n v="180000"/>
    <n v="180000"/>
    <n v="180000"/>
    <n v="180000"/>
    <n v="180000"/>
    <n v="0"/>
    <m/>
    <s v="X"/>
    <m/>
    <m/>
    <m/>
    <n v="3"/>
    <n v="1"/>
  </r>
  <r>
    <x v="0"/>
    <x v="8"/>
    <s v="Invasiones"/>
    <s v="1.9.1"/>
    <x v="40"/>
    <s v="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
    <s v="NR"/>
    <x v="0"/>
    <x v="0"/>
    <s v="COMP 8"/>
    <s v="PROTECCIÓN-GOBERNANZA"/>
    <s v="DERECHOS SOBRE LA TIERRA"/>
    <s v="C5"/>
    <s v="Ha. con categoría territorial asignada"/>
    <n v="37076.060156214648"/>
    <n v="18538.030078107324"/>
    <n v="18538.030078107324"/>
    <n v="15"/>
    <s v="Para la implementación de las intervención será mecesario la contratación de especialistas para realizar las acciones que comtemplen dicha actividad. Gastos logísticos y trámites documentarios."/>
    <s v="GRSM - DEGT"/>
    <n v="278070.45117160986"/>
    <n v="278070.45117160986"/>
    <n v="55614.090234321979"/>
    <n v="55614.090234321979"/>
    <n v="55614.090234321979"/>
    <n v="55614.090234321979"/>
    <n v="55614.090234321979"/>
    <n v="0"/>
    <m/>
    <s v="X"/>
    <m/>
    <m/>
    <m/>
    <n v="3"/>
    <n v="1"/>
  </r>
  <r>
    <x v="0"/>
    <x v="8"/>
    <s v="Control y vigilancia"/>
    <s v="1.9.2"/>
    <x v="41"/>
    <s v="Comprende la capacitación en manejo de normatividad forestal y manejo de bosques, contratación de especialistas para tener presencia física en el área, equipamiento e infraestructura."/>
    <s v="NR"/>
    <x v="0"/>
    <x v="0"/>
    <s v="COMP 8"/>
    <s v="PROTECCIÓN-GOBERNANZA"/>
    <s v="DERECHOS SOBRE LA TIERRA"/>
    <s v="C5"/>
    <s v="N° de responsables de administración que aprueban evaluación de capacitación "/>
    <n v="0"/>
    <n v="20"/>
    <n v="20"/>
    <n v="150"/>
    <s v="Considera materiales de capacitación, alimentación a capacitados en el área cercana a su comunidad y gastos de capacitadores"/>
    <s v="GRSM - DEGT"/>
    <n v="3000"/>
    <n v="3000"/>
    <n v="3000"/>
    <n v="0"/>
    <n v="0"/>
    <n v="0"/>
    <n v="0"/>
    <n v="0"/>
    <m/>
    <s v="X"/>
    <m/>
    <m/>
    <m/>
    <n v="2"/>
    <n v="1"/>
  </r>
  <r>
    <x v="0"/>
    <x v="8"/>
    <s v="Control y vigilancia"/>
    <s v="1.9.3"/>
    <x v="42"/>
    <s v="Dependiendo de la categoría forestal a ser aplicada, se realizará un plan/declaración acorde la unidad, en el marco de la ley forestal y fauna silvestre N° 29763."/>
    <s v="NR"/>
    <x v="0"/>
    <x v="0"/>
    <s v="COMP 8"/>
    <s v="PROTECCIÓN-GOBERNANZA"/>
    <s v="DERECHOS SOBRE LA TIERRA"/>
    <s v="C5"/>
    <s v="N° Planes / Declaraciones elaborados"/>
    <n v="0"/>
    <n v="5"/>
    <n v="5"/>
    <n v="10000"/>
    <s v="Se considera la contratación de profesionales para la elaboración de los expedientes y/o declaraciones identificadas en los diferentes procesos."/>
    <s v="GRSM - DEGT"/>
    <n v="50000"/>
    <n v="50000"/>
    <n v="15000"/>
    <n v="15000"/>
    <n v="20000"/>
    <n v="0"/>
    <n v="0"/>
    <n v="0"/>
    <m/>
    <s v="X"/>
    <m/>
    <m/>
    <m/>
    <n v="2"/>
    <n v="1"/>
  </r>
  <r>
    <x v="0"/>
    <x v="8"/>
    <s v="Invasiones"/>
    <s v="1.9.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s v="DERECHOS SOBRE LA TIERRA"/>
    <s v="C5"/>
    <s v="Ha. Inscritas"/>
    <n v="37076.060156214648"/>
    <n v="18538.030078107324"/>
    <n v="18538.030078107324"/>
    <n v="1"/>
    <s v="Contratación de dos profesioales para agilizar procesos con sunarp."/>
    <s v="GRSM - DEGT"/>
    <n v="18538.030078107324"/>
    <n v="18538.030078107324"/>
    <n v="3707.6060156214648"/>
    <n v="3707.6060156214648"/>
    <n v="3707.6060156214648"/>
    <n v="3707.6060156214648"/>
    <n v="3707.6060156214648"/>
    <n v="0"/>
    <m/>
    <s v="X"/>
    <m/>
    <m/>
    <m/>
    <n v="2"/>
    <n v="1"/>
  </r>
  <r>
    <x v="0"/>
    <x v="9"/>
    <s v="Invasiones"/>
    <s v="1.10.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s v="DERECHOS SOBRE LA TIERRA"/>
    <s v="C5"/>
    <s v="Ha. con categoría territorial asignada"/>
    <n v="237645.43945778001"/>
    <n v="118822.71972889001"/>
    <n v="118822.71972889001"/>
    <n v="15"/>
    <s v="Para la implementación de las intervención será mecesario la contratación de especialistas para realizar las acciones que comtemplen dicha actividad. Gastos logísticos y trámites documentarios."/>
    <s v="GRSM - DEGT"/>
    <n v="1782340.79593335"/>
    <n v="1782340.79593335"/>
    <n v="356468.15918667003"/>
    <n v="356468.15918667003"/>
    <n v="356468.15918667003"/>
    <n v="356468.15918667003"/>
    <n v="356468.15918667003"/>
    <n v="0"/>
    <m/>
    <s v="X"/>
    <m/>
    <m/>
    <m/>
    <n v="3"/>
    <n v="1"/>
  </r>
  <r>
    <x v="0"/>
    <x v="9"/>
    <s v="Control y vigilancia"/>
    <s v="1.10.2"/>
    <x v="41"/>
    <s v="Comprende la capacitación en manejo de normatividad forestal y manejo de bosques, contratación de especialistas para tener presencia física en el área, equipamiento e infraestructura."/>
    <s v="NR"/>
    <x v="0"/>
    <x v="0"/>
    <s v="COMP 8"/>
    <s v="PROTECCIÓN-GOBERNANZA"/>
    <s v="DERECHOS SOBRE LA TIERRA"/>
    <s v="C5"/>
    <s v="N° de responsables de administración que aprueban evaluación de capacitación "/>
    <n v="0"/>
    <n v="100"/>
    <n v="80"/>
    <n v="150"/>
    <s v="Considera materiales de capacitación, alimentación a capacitados en el área cercana a su comunidad y gastos de capacitadores"/>
    <s v="GRSM - DEGT"/>
    <n v="15000"/>
    <n v="12000"/>
    <n v="15000"/>
    <n v="0"/>
    <n v="0"/>
    <n v="0"/>
    <n v="0"/>
    <n v="0"/>
    <m/>
    <s v="X"/>
    <m/>
    <m/>
    <m/>
    <n v="2"/>
    <n v="1"/>
  </r>
  <r>
    <x v="0"/>
    <x v="9"/>
    <s v="Control y vigilancia"/>
    <s v="1.10.3"/>
    <x v="42"/>
    <s v="Dependiendo de la categoría forestal a ser aplicada, se realizará un plan/declaración acorde a la unidad, en el marco de la ley forestal y fauna silvestre N° 29763."/>
    <s v="NR"/>
    <x v="0"/>
    <x v="0"/>
    <s v="COMP 8"/>
    <s v="PROTECCIÓN-GOBERNANZA"/>
    <s v="DERECHOS SOBRE LA TIERRA"/>
    <s v="C5"/>
    <s v="N° Planes / Declaraciones elaborados"/>
    <n v="0"/>
    <n v="10"/>
    <n v="10"/>
    <n v="10000"/>
    <s v="Se considera la contratación de profesionales para la elaboración de los expedientes y/o declaraciones identificadas en los diferentes procesos."/>
    <s v="GRSM - DEGT"/>
    <n v="100000"/>
    <n v="100000"/>
    <n v="30000"/>
    <n v="30000"/>
    <n v="40000"/>
    <n v="0"/>
    <n v="0"/>
    <n v="0"/>
    <m/>
    <s v="X"/>
    <m/>
    <m/>
    <m/>
    <n v="2"/>
    <n v="1"/>
  </r>
  <r>
    <x v="0"/>
    <x v="9"/>
    <s v="Invasiones"/>
    <s v="1.10.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s v="DERECHOS SOBRE LA TIERRA"/>
    <s v="C5"/>
    <s v="Ha. Inscritas"/>
    <n v="237645.43945778001"/>
    <n v="118822.71972889001"/>
    <n v="118822.71972889001"/>
    <n v="1"/>
    <s v="Contratación de dos profesioales para agilizar procesos con sunarp."/>
    <s v="GRSM - DEGT"/>
    <n v="118822.71972889001"/>
    <n v="118822.71972889001"/>
    <n v="23764.543945778001"/>
    <n v="23764.543945778001"/>
    <n v="23764.543945778001"/>
    <n v="23764.543945778001"/>
    <n v="23764.543945778001"/>
    <n v="0"/>
    <m/>
    <s v="X"/>
    <m/>
    <m/>
    <m/>
    <n v="2"/>
    <n v="1"/>
  </r>
  <r>
    <x v="0"/>
    <x v="9"/>
    <s v="Ingresos y Capital"/>
    <s v="1.10.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s v="DERECHOS SOBRE LA TIERRA"/>
    <s v="C5"/>
    <s v="Hectáreas restauradas"/>
    <n v="0"/>
    <n v="44125.567761421902"/>
    <n v="44125.567761421902"/>
    <n v="500"/>
    <s v="El costo incluye la restauración de una hectárea, esta actividad se desarrollara de acuerdo a la metodología propuesta por el ARA, en coordinación con los productores seleccionados."/>
    <s v="ARA"/>
    <n v="22062783.880710952"/>
    <n v="22062783.880710952"/>
    <n v="22062783.880710952"/>
    <n v="0"/>
    <n v="0"/>
    <n v="0"/>
    <n v="0"/>
    <n v="0"/>
    <m/>
    <s v="X"/>
    <m/>
    <m/>
    <m/>
    <n v="3"/>
    <n v="1"/>
  </r>
  <r>
    <x v="0"/>
    <x v="10"/>
    <s v="Programas de inversión pública"/>
    <s v="1.11.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8"/>
    <s v="HABILITANTE"/>
    <s v="TRANSVERSALES X UDT"/>
    <s v="C18"/>
    <s v="Acuerdos con rondas campesinas"/>
    <n v="0"/>
    <n v="25"/>
    <n v="29"/>
    <n v="2500"/>
    <s v="Reuniones con los diferentes actores involucrados y la sociedad civil para llegar a acuerdos de no deforestación, lo cual incluye  gastos logísticos en general."/>
    <s v="GRDS, ARA"/>
    <n v="312500"/>
    <n v="362500"/>
    <n v="62500"/>
    <n v="62500"/>
    <n v="62500"/>
    <n v="62500"/>
    <n v="62500"/>
    <n v="0"/>
    <m/>
    <m/>
    <s v="X"/>
    <m/>
    <s v="RE"/>
    <n v="3"/>
    <n v="1"/>
  </r>
  <r>
    <x v="0"/>
    <x v="10"/>
    <s v="Programas de inversión pública"/>
    <s v="1.11.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 Esta intervención será apoyada por las organizaciones formales de rondas campesinas rondas nativa si comités de monitoreo."/>
    <s v="NR"/>
    <x v="2"/>
    <x v="6"/>
    <s v="COMP 5"/>
    <s v="HABILITANTE"/>
    <s v="TRANSVERSALES X UDT"/>
    <s v="C18"/>
    <s v="Especialistas"/>
    <n v="0"/>
    <n v="5"/>
    <n v="5"/>
    <n v="5000"/>
    <s v="Contratación de especialistas para realizar monitoreo de la cobertura de bosque, desde los diferentes órganos competentes. "/>
    <s v="ARA, Serfor, Sernanp"/>
    <n v="1500000"/>
    <n v="1500000"/>
    <n v="300000"/>
    <n v="300000"/>
    <n v="300000"/>
    <n v="300000"/>
    <n v="300000"/>
    <n v="0"/>
    <m/>
    <s v="X"/>
    <m/>
    <m/>
    <s v="RE"/>
    <n v="3"/>
    <n v="1"/>
  </r>
  <r>
    <x v="0"/>
    <x v="10"/>
    <s v="Programas de inversión pública"/>
    <s v="1.11.3"/>
    <x v="48"/>
    <s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x v="9"/>
    <s v="COMP 10"/>
    <s v="HABILITANTE"/>
    <s v="TRANSVERSALES X UDT"/>
    <s v="C18"/>
    <s v="Kilómetros mejorados"/>
    <n v="2864"/>
    <n v="286.40000000000003"/>
    <n v="286.40000000000003"/>
    <n v="800000"/>
    <s v="Costo promedio por km2 de vía mejorada o asfaltada"/>
    <s v="DRTyTC"/>
    <n v="229120000.00000003"/>
    <n v="229120000.00000003"/>
    <n v="45824000.000000007"/>
    <n v="45824000.000000007"/>
    <n v="45824000.000000007"/>
    <n v="45824000.000000007"/>
    <n v="45824000.000000007"/>
    <n v="0"/>
    <s v="X"/>
    <m/>
    <m/>
    <m/>
    <n v="0"/>
    <n v="3"/>
    <n v="1"/>
  </r>
  <r>
    <x v="0"/>
    <x v="10"/>
    <s v="Programas de inversión pública"/>
    <s v="1.11.4"/>
    <x v="49"/>
    <s v="Se cuenta con 160,810 Ha con probabilidad alta y muy alta para restauración, de las cuales 9,430.30 ha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x v="6"/>
    <s v="COMP 5"/>
    <s v="HABILITANTE"/>
    <s v="TRANSVERSALES X UDT"/>
    <s v="C18"/>
    <s v="Hectáreas restauradas"/>
    <n v="128243.81000000001"/>
    <n v="32060.952500000003"/>
    <n v="25648.762000000002"/>
    <n v="500"/>
    <s v="El costo incluye la restauración de una hectárea, esta actividad se desarrollara de acuerdo a la metodología propuesta por el ARA, en coordinación con los productores seleccionados."/>
    <s v="ARA"/>
    <n v="16030476.250000002"/>
    <n v="12824381.000000002"/>
    <n v="3206095.2500000005"/>
    <n v="3206095.2500000005"/>
    <n v="3206095.2500000005"/>
    <n v="3206095.2500000005"/>
    <n v="3206095.2500000005"/>
    <n v="0"/>
    <m/>
    <m/>
    <s v="X"/>
    <m/>
    <s v="RE"/>
    <n v="3"/>
    <n v="1"/>
  </r>
  <r>
    <x v="0"/>
    <x v="10"/>
    <s v="Programas de inversión pública"/>
    <s v="1.11.5"/>
    <x v="50"/>
    <s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
    <s v="NR"/>
    <x v="0"/>
    <x v="9"/>
    <s v="COMP 10"/>
    <s v="HABILITANTE"/>
    <s v="TRANSVERSALES X UDT"/>
    <s v="C18"/>
    <s v="Centros educativos y postas médicas  implementados"/>
    <n v="0"/>
    <n v="10"/>
    <n v="16"/>
    <n v="3500000"/>
    <s v="El presupuesto esta relacionado a la implementación de la infraestructura, mobiliario y materiales educativos necesarios para que se brinde un servicio de calidad a los niños que aún no reciben dicho servicio de manera permanente. El presupuesto esta relacionado a la implementación de la infraestructura, equipos, materiales, insumos necesarios para que se brinde un servicio de calidad a la población que requiere dicho servicio "/>
    <s v="Colegio de ingenieros de San Martín / GRDS"/>
    <n v="35000000"/>
    <n v="56000000"/>
    <n v="7000000"/>
    <n v="7000000"/>
    <n v="7000000"/>
    <n v="7000000"/>
    <n v="7000000"/>
    <n v="0"/>
    <m/>
    <s v="X"/>
    <m/>
    <m/>
    <s v="RE"/>
    <n v="3"/>
    <n v="1"/>
  </r>
  <r>
    <x v="0"/>
    <x v="10"/>
    <s v="Programas de inversión pública"/>
    <s v="1.11.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
    <s v="NR"/>
    <x v="0"/>
    <x v="8"/>
    <s v="COMP 9"/>
    <s v="HABILITANTE"/>
    <s v="TRANSVERSALES X UDT"/>
    <s v="C18"/>
    <s v="N° campañas"/>
    <n v="0"/>
    <n v="140"/>
    <n v="280"/>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RDS"/>
    <n v="3500000"/>
    <n v="7000000"/>
    <n v="700000"/>
    <n v="700000"/>
    <n v="700000"/>
    <n v="700000"/>
    <n v="700000"/>
    <n v="0"/>
    <m/>
    <s v="X"/>
    <m/>
    <m/>
    <s v="RE"/>
    <n v="3"/>
    <n v="1"/>
  </r>
  <r>
    <x v="0"/>
    <x v="10"/>
    <s v="Programas de inversión pública"/>
    <s v="1.11.7"/>
    <x v="52"/>
    <s v="Promoción al acceso de la marca con los productores que cumplan los criterios de elegibilidad solicitados por el programa, como una estrategia de ubicar mercados diferenciados para los productos provenientes de estas zonas."/>
    <s v="NR"/>
    <x v="1"/>
    <x v="5"/>
    <s v="COMP 3"/>
    <s v="HABILITANTE"/>
    <s v="TRANSVERSALES X UDT"/>
    <s v="C18"/>
    <s v="N° de empresas que acceden a la marca."/>
    <n v="0"/>
    <n v="30"/>
    <n v="40"/>
    <n v="3000"/>
    <s v="El costo incluye: Una inspección anual anunciada,  elaboración de informe de inspección, administración y comunicación, certificación según los estándares de la marca."/>
    <s v="Dircetur, Drasam"/>
    <n v="450000"/>
    <n v="600000"/>
    <n v="90000"/>
    <n v="90000"/>
    <n v="90000"/>
    <n v="90000"/>
    <n v="90000"/>
    <n v="0"/>
    <m/>
    <m/>
    <s v="X"/>
    <m/>
    <n v="0"/>
    <n v="2"/>
    <n v="1"/>
  </r>
  <r>
    <x v="1"/>
    <x v="0"/>
    <s v="Invasiones"/>
    <s v="2.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20410.639082625901"/>
    <n v="10205.319541312951"/>
    <n v="10205.3195413129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0410639.082625899"/>
    <n v="20410639.082625899"/>
    <n v="2041063.9082625899"/>
    <n v="3061595.8623938849"/>
    <n v="4082127.8165251799"/>
    <n v="6123191.7247877698"/>
    <n v="5102659.7706564749"/>
    <n v="0"/>
    <m/>
    <m/>
    <s v="X"/>
    <m/>
    <s v="RE"/>
    <n v="3"/>
    <n v="1"/>
  </r>
  <r>
    <x v="1"/>
    <x v="0"/>
    <s v="Programas de inversión pública"/>
    <s v="2.1.2"/>
    <x v="1"/>
    <s v="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x v="1"/>
    <s v="COMP 1"/>
    <s v="PRODUCCIÓN"/>
    <s v="ASISTENCIA TÉCNICA"/>
    <s v="C1"/>
    <s v="Productores asistidos"/>
    <n v="29531"/>
    <n v="17718.599999999999"/>
    <n v="11812.40000000000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9922416"/>
    <n v="6614944.0000000009"/>
    <n v="1984483.2000000002"/>
    <n v="1984483.2000000002"/>
    <n v="1984483.2000000002"/>
    <n v="1984483.2000000002"/>
    <n v="1984483.2000000002"/>
    <n v="0"/>
    <m/>
    <m/>
    <s v="X"/>
    <m/>
    <s v="RE"/>
    <n v="2"/>
    <n v="1"/>
  </r>
  <r>
    <x v="1"/>
    <x v="0"/>
    <s v="Programas de inversión pública"/>
    <s v="2.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s v="TECNOLOGÍA"/>
    <s v="C17"/>
    <s v="Hectáreas intervenidas"/>
    <n v="65935"/>
    <n v="19780.5"/>
    <n v="19780.5"/>
    <n v="500"/>
    <s v="El costo incluye adquisición de semillas, insumos, fertilizantes, entre otras para la producción de plantas agroforestales o coberturas  verdes."/>
    <s v="DRASAM"/>
    <n v="9890250"/>
    <n v="9890250"/>
    <n v="1978050"/>
    <n v="1978050"/>
    <n v="1978050"/>
    <n v="1978050"/>
    <n v="1978050"/>
    <n v="0"/>
    <m/>
    <m/>
    <s v="X"/>
    <m/>
    <m/>
    <n v="2"/>
    <n v="1"/>
  </r>
  <r>
    <x v="1"/>
    <x v="0"/>
    <s v="Programas de inversión pública"/>
    <s v="2.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s v="TECNOLOGÍA"/>
    <s v="C17"/>
    <s v="hectáreas fertilizadas"/>
    <n v="65935"/>
    <n v="13187"/>
    <n v="19780.5"/>
    <n v="2500"/>
    <s v="El costo incluye un análisis de suelos, paquete de fertilización según los resultados del análisis y la adquisición de fertilizantes. El costo incluye los tres abonamientos requeridos en una campaña (1 año)."/>
    <s v="Drasam"/>
    <n v="32967500"/>
    <n v="49451250"/>
    <n v="6593500"/>
    <n v="6593500"/>
    <n v="6593500"/>
    <n v="6593500"/>
    <n v="6593500"/>
    <n v="0"/>
    <m/>
    <m/>
    <s v="X"/>
    <m/>
    <s v="RE"/>
    <n v="3"/>
    <n v="1"/>
  </r>
  <r>
    <x v="1"/>
    <x v="0"/>
    <s v="Programas de inversión privada"/>
    <s v="2.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x v="2"/>
    <s v="COMP 4 "/>
    <s v="PRODUCCIÓN"/>
    <s v="TECNOLOGÍA"/>
    <s v="C17"/>
    <s v="Hectáreas con sistemas de riego"/>
    <n v="65935"/>
    <n v="3296.75"/>
    <n v="4615.4500000000007"/>
    <n v="11500"/>
    <s v="El costo incluye la instalación de un sistema completo y un paquete de fertilización para la primera campaña. El costo va depender del tipo de cultivo, tipo de sistema y el tipo de materiales a usar en los sistemas de fertirriego."/>
    <s v="DRASAM"/>
    <n v="37912625"/>
    <n v="53077675.000000007"/>
    <n v="7582525"/>
    <n v="7582525"/>
    <n v="7582525"/>
    <n v="7582525"/>
    <n v="7582525"/>
    <n v="0"/>
    <m/>
    <m/>
    <s v="X"/>
    <m/>
    <s v="RE"/>
    <n v="3"/>
    <n v="1"/>
  </r>
  <r>
    <x v="1"/>
    <x v="0"/>
    <s v="Programas de inversión privada"/>
    <s v="2.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s v="RECONVERSIÓN"/>
    <s v="C12"/>
    <s v="Hectáreas reconvertidas/diversificadas"/>
    <n v="13187"/>
    <n v="1318.7"/>
    <n v="1318.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19780500"/>
    <n v="19780500"/>
    <n v="3956100"/>
    <n v="3956100"/>
    <n v="3956100"/>
    <n v="3956100"/>
    <n v="3956100"/>
    <n v="0"/>
    <s v="X"/>
    <m/>
    <m/>
    <m/>
    <s v="RE"/>
    <n v="2"/>
    <n v="1"/>
  </r>
  <r>
    <x v="1"/>
    <x v="0"/>
    <s v="Programas de inversión pública"/>
    <s v="2.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s v="CAPACITACIÓN"/>
    <s v="C3"/>
    <s v="Productores beneficiados"/>
    <n v="29531"/>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76189980.000000015"/>
    <n v="7618998.0000000019"/>
    <n v="7618998.0000000019"/>
    <n v="7618998.0000000019"/>
    <n v="7618998.0000000019"/>
    <n v="7618998.0000000019"/>
    <n v="0"/>
    <m/>
    <m/>
    <s v="X"/>
    <m/>
    <s v="RE"/>
    <n v="3"/>
    <n v="1"/>
  </r>
  <r>
    <x v="1"/>
    <x v="0"/>
    <s v="Programas de inversión pública"/>
    <s v="2.1.8"/>
    <x v="7"/>
    <s v="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x v="2"/>
    <s v="COMP 4 "/>
    <s v="PRODUCCIÓN"/>
    <s v="ASISTENCIA TÉCNICA"/>
    <s v="C1"/>
    <s v="Acuicultores asistidos"/>
    <n v="324"/>
    <n v="324"/>
    <n v="324"/>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181440"/>
    <n v="181440"/>
    <n v="36288"/>
    <n v="36288"/>
    <n v="36288"/>
    <n v="36288"/>
    <n v="36288"/>
    <n v="0"/>
    <m/>
    <m/>
    <s v="X"/>
    <m/>
    <s v="RE"/>
    <n v="3"/>
    <n v="1"/>
  </r>
  <r>
    <x v="1"/>
    <x v="0"/>
    <s v="Ingresos y Capital"/>
    <s v="2.1.9"/>
    <x v="8"/>
    <s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s v="FINANCIAMIENTO"/>
    <s v="C6"/>
    <s v="Créditos otorgados"/>
    <n v="324"/>
    <n v="324"/>
    <n v="324"/>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4179600"/>
    <n v="4179600"/>
    <n v="835920"/>
    <n v="835920"/>
    <n v="835920"/>
    <n v="835920"/>
    <n v="835920"/>
    <n v="0"/>
    <s v="X"/>
    <m/>
    <m/>
    <m/>
    <s v="RE"/>
    <n v="3"/>
    <n v="1"/>
  </r>
  <r>
    <x v="1"/>
    <x v="0"/>
    <s v="Ingresos y Capital"/>
    <s v="2.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s v="FINANCIAMIENTO"/>
    <s v="C6"/>
    <s v="Créditos otorgados"/>
    <n v="29531"/>
    <n v="8859.2999999999993"/>
    <n v="5906.200000000000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GRDE"/>
    <n v="95237474.999999985"/>
    <n v="63491650.000000007"/>
    <n v="19047494.999999996"/>
    <n v="19047494.999999996"/>
    <n v="19047494.999999996"/>
    <n v="19047494.999999996"/>
    <n v="19047494.999999996"/>
    <n v="0"/>
    <s v="X"/>
    <m/>
    <m/>
    <m/>
    <s v="RE"/>
    <n v="3"/>
    <n v="1"/>
  </r>
  <r>
    <x v="1"/>
    <x v="0"/>
    <s v="Programas de inversión privada"/>
    <s v="2.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s v="INFRAESTRUCTURA"/>
    <s v="C7"/>
    <s v="Planes de negocios/proyectos ejecutados"/>
    <n v="47"/>
    <n v="18.8"/>
    <n v="11.28"/>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15040000"/>
    <n v="9024000"/>
    <n v="3008000"/>
    <n v="3008000"/>
    <n v="3008000"/>
    <n v="3008000"/>
    <n v="3008000"/>
    <n v="0"/>
    <s v="X"/>
    <m/>
    <m/>
    <m/>
    <s v="RE"/>
    <n v="3"/>
    <n v="1"/>
  </r>
  <r>
    <x v="1"/>
    <x v="0"/>
    <s v="Programas de inversión privada"/>
    <s v="2.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s v="CAPACITACIÓN"/>
    <s v="C3"/>
    <s v="Empresas y organizaciones atendidas"/>
    <n v="47"/>
    <n v="18.8"/>
    <n v="14.1"/>
    <n v="50000"/>
    <s v="El costo incluye la contratación de especialistas para brindar Asistencia Técnica en los procesos de implementación de las certificaciones de calidad, materiales para la capacitación y pasantías."/>
    <s v="DIREPRO"/>
    <n v="940000"/>
    <n v="705000"/>
    <n v="188000"/>
    <n v="188000"/>
    <n v="188000"/>
    <n v="188000"/>
    <n v="188000"/>
    <n v="0"/>
    <m/>
    <m/>
    <s v="X"/>
    <m/>
    <s v="RE"/>
    <n v="3"/>
    <n v="1"/>
  </r>
  <r>
    <x v="1"/>
    <x v="0"/>
    <s v="Programas de inversión pública"/>
    <s v="2.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s v="ASOCIATIVIDAD"/>
    <s v="C2"/>
    <s v="Organizaciones auto sostenibles"/>
    <n v="47"/>
    <n v="14.1"/>
    <n v="28.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8460000"/>
    <n v="16920000"/>
    <n v="1692000"/>
    <n v="1692000"/>
    <n v="1692000"/>
    <n v="1692000"/>
    <n v="1692000"/>
    <n v="0"/>
    <m/>
    <m/>
    <s v="X"/>
    <m/>
    <m/>
    <n v="3"/>
    <n v="1"/>
  </r>
  <r>
    <x v="1"/>
    <x v="0"/>
    <s v="Programas de inversión privada"/>
    <s v="2.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s v="MERCADO"/>
    <s v="C9"/>
    <s v="Organizaciones certificadas"/>
    <n v="47"/>
    <n v="14.1"/>
    <n v="18.8"/>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20000"/>
    <n v="3760000"/>
    <n v="564000"/>
    <n v="564000"/>
    <n v="564000"/>
    <n v="564000"/>
    <n v="564000"/>
    <n v="0"/>
    <m/>
    <m/>
    <s v="X"/>
    <m/>
    <m/>
    <n v="3"/>
    <n v="1"/>
  </r>
  <r>
    <x v="1"/>
    <x v="0"/>
    <s v="Control y vigilancia"/>
    <s v="2.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0000"/>
    <n v="100000"/>
    <n v="100000"/>
    <n v="100000"/>
    <n v="100000"/>
    <n v="100000"/>
    <n v="0"/>
    <s v="X"/>
    <m/>
    <m/>
    <m/>
    <m/>
    <n v="2"/>
    <n v="1"/>
  </r>
  <r>
    <x v="1"/>
    <x v="1"/>
    <s v="Invasiones"/>
    <s v="2.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1265.8133615517399"/>
    <n v="632.90668077586997"/>
    <n v="632.90668077586997"/>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265813.36155174"/>
    <n v="1265813.36155174"/>
    <n v="126581.33615517401"/>
    <n v="189872.00423276098"/>
    <n v="253162.67231034802"/>
    <n v="379744.00846552197"/>
    <n v="316453.34038793499"/>
    <n v="0"/>
    <m/>
    <m/>
    <s v="X"/>
    <m/>
    <s v="RE"/>
    <n v="3"/>
    <n v="1"/>
  </r>
  <r>
    <x v="1"/>
    <x v="1"/>
    <s v="Programas de inversión pública"/>
    <s v="2.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x v="2"/>
    <s v="COMP 4 "/>
    <s v="PRODUCCIÓN"/>
    <s v="TECNOLOGÍA"/>
    <s v="C17"/>
    <s v="Unidades semilleristas"/>
    <n v="10"/>
    <n v="5"/>
    <n v="5"/>
    <n v="15000"/>
    <s v="El costo Incluye la adquirió de semillas certificadas, los pagos y trámites al CORESE  y los Servicios de Asistencia Técnica especializada. No incluye costos de alquiler de terrenos. Con respecto al fortalecimiento del INIA, se espera que el MINAGRI, asigne un mayor presupuesto para este rubro."/>
    <s v="DRASAM"/>
    <n v="75000"/>
    <n v="75000"/>
    <n v="15000"/>
    <n v="15000"/>
    <n v="15000"/>
    <n v="15000"/>
    <n v="15000"/>
    <n v="0"/>
    <m/>
    <s v="X"/>
    <m/>
    <m/>
    <s v="RE"/>
    <n v="3"/>
    <n v="1"/>
  </r>
  <r>
    <x v="1"/>
    <x v="1"/>
    <s v="Programas de inversión pública"/>
    <s v="2.2.3"/>
    <x v="16"/>
    <s v="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x v="1"/>
    <s v="COMP 1"/>
    <s v="PRODUCCIÓN"/>
    <s v="CAPACITACIÓN"/>
    <s v="C3"/>
    <s v="Productores asistidos"/>
    <n v="3741"/>
    <n v="1870.5"/>
    <n v="1122.3"/>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47480"/>
    <n v="628488"/>
    <n v="209496"/>
    <n v="209496"/>
    <n v="209496"/>
    <n v="209496"/>
    <n v="209496"/>
    <n v="0"/>
    <m/>
    <m/>
    <s v="X"/>
    <m/>
    <s v="RE"/>
    <n v="2"/>
    <n v="1"/>
  </r>
  <r>
    <x v="1"/>
    <x v="1"/>
    <s v="Programas de inversión privada"/>
    <s v="2.2.4"/>
    <x v="5"/>
    <s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x v="2"/>
    <s v="COMP 4 "/>
    <s v="PRODUCCIÓN"/>
    <s v="RECONVERSIÓN"/>
    <s v="C12"/>
    <s v="Hectáreas reconvertidas"/>
    <n v="3804.2000000000003"/>
    <n v="380.42000000000007"/>
    <n v="380.4200000000000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5706300.0000000009"/>
    <n v="5706300.0000000009"/>
    <n v="1141260.0000000002"/>
    <n v="1141260.0000000002"/>
    <n v="1141260.0000000002"/>
    <n v="1141260.0000000002"/>
    <n v="1141260.0000000002"/>
    <n v="0"/>
    <m/>
    <m/>
    <s v="X"/>
    <m/>
    <s v="RE"/>
    <n v="3"/>
    <n v="1"/>
  </r>
  <r>
    <x v="1"/>
    <x v="1"/>
    <s v="Ingresos y Capital"/>
    <s v="2.2.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x v="3"/>
    <s v="COMP 11"/>
    <s v="PRODUCCIÓN"/>
    <s v="FINANCIAMIENTO"/>
    <s v="C6"/>
    <s v="Productores atendidos"/>
    <n v="3741"/>
    <n v="1122.3"/>
    <n v="748.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2064725"/>
    <n v="8043150.0000000009"/>
    <n v="2412945"/>
    <n v="2412945"/>
    <n v="2412945"/>
    <n v="2412945"/>
    <n v="2412945"/>
    <n v="0"/>
    <s v="X"/>
    <m/>
    <m/>
    <m/>
    <s v="RE"/>
    <n v="3"/>
    <n v="1"/>
  </r>
  <r>
    <x v="1"/>
    <x v="1"/>
    <s v="Programas de inversión pública"/>
    <s v="2.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s v="ASOCIATIVIDAD"/>
    <s v="C2"/>
    <s v="Organizaciones formalizadas y fortalecidas"/>
    <n v="5"/>
    <n v="5"/>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3000000"/>
    <n v="3000000"/>
    <n v="600000"/>
    <n v="600000"/>
    <n v="600000"/>
    <n v="600000"/>
    <n v="600000"/>
    <n v="0"/>
    <m/>
    <m/>
    <s v="X"/>
    <m/>
    <m/>
    <n v="3"/>
    <n v="1"/>
  </r>
  <r>
    <x v="1"/>
    <x v="1"/>
    <s v="Programas de inversión privada"/>
    <s v="2.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x v="2"/>
    <s v="COMP 4 "/>
    <s v="PRODUCCIÓN"/>
    <s v="INFRAESTRUCTURA"/>
    <s v="C7"/>
    <s v="Planes de negocios ejecutados"/>
    <n v="0"/>
    <n v="5"/>
    <n v="5"/>
    <n v="15000"/>
    <s v="Para el logro de los objetivos, se considera el pago de profesionales para la formulación de los planes de negocios que beneficiarían directamente a los pequeños productores."/>
    <s v="DRASAM"/>
    <n v="375000"/>
    <n v="375000"/>
    <n v="187500"/>
    <n v="0"/>
    <n v="187500"/>
    <n v="0"/>
    <n v="0"/>
    <n v="0"/>
    <s v="X"/>
    <m/>
    <m/>
    <m/>
    <m/>
    <n v="2"/>
    <n v="1"/>
  </r>
  <r>
    <x v="1"/>
    <x v="1"/>
    <s v="Control y vigilancia"/>
    <s v="2.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0000"/>
    <n v="100000"/>
    <n v="100000"/>
    <n v="100000"/>
    <n v="100000"/>
    <n v="100000"/>
    <n v="0"/>
    <s v="X"/>
    <m/>
    <m/>
    <m/>
    <m/>
    <n v="3"/>
    <n v="1"/>
  </r>
  <r>
    <x v="1"/>
    <x v="2"/>
    <s v="Invasiones"/>
    <s v="2.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877.84859269436697"/>
    <n v="438.92429634718349"/>
    <n v="438.9242963471834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877848.59269436693"/>
    <n v="877848.59269436693"/>
    <n v="87784.859269436696"/>
    <n v="131677.28890415502"/>
    <n v="175569.71853887339"/>
    <n v="263354.57780831004"/>
    <n v="219462.14817359173"/>
    <n v="0"/>
    <m/>
    <m/>
    <s v="X"/>
    <m/>
    <s v="RE"/>
    <n v="3"/>
    <n v="1"/>
  </r>
  <r>
    <x v="1"/>
    <x v="2"/>
    <s v="Programas de inversión pública"/>
    <s v="2.3.2"/>
    <x v="18"/>
    <s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s v="ASISTENCIA TÉCNICA"/>
    <s v="C1"/>
    <s v="Ganaderos asistidos"/>
    <n v="1424"/>
    <n v="1424"/>
    <n v="1424"/>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7440"/>
    <n v="797440"/>
    <n v="159488"/>
    <n v="159488"/>
    <n v="159488"/>
    <n v="159488"/>
    <n v="159488"/>
    <n v="0"/>
    <m/>
    <m/>
    <s v="X"/>
    <m/>
    <s v="RE"/>
    <n v="3"/>
    <n v="1"/>
  </r>
  <r>
    <x v="1"/>
    <x v="2"/>
    <s v="Programas de inversión pública"/>
    <s v="2.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s v="TECNOLOGÍA"/>
    <s v="C17"/>
    <s v="Hectáreas intervenidas"/>
    <n v="14015"/>
    <n v="2803"/>
    <n v="2803"/>
    <n v="500"/>
    <s v="El costo incluye adquisición de semillas, insumos, fertilizantes, entre otras para la producción de plantas agroforestales o coberturas  verdes."/>
    <s v="DRASAM"/>
    <n v="1401500"/>
    <n v="1401500"/>
    <n v="280300"/>
    <n v="280300"/>
    <n v="280300"/>
    <n v="280300"/>
    <n v="280300"/>
    <n v="0"/>
    <m/>
    <m/>
    <s v="X"/>
    <m/>
    <s v="RE"/>
    <n v="3"/>
    <n v="1"/>
  </r>
  <r>
    <x v="1"/>
    <x v="2"/>
    <s v="Programas de inversión pública"/>
    <s v="2.3.4"/>
    <x v="19"/>
    <s v="Reactivación, implementación y gestión de las postas de inseminación artificial, importación de material genético (pajillas de semen), capacitación y entrenamiento a inseminadores, transferencia de embriones a las granjas de los productores y asistencia técnica."/>
    <s v="R"/>
    <x v="1"/>
    <x v="2"/>
    <s v="COMP 4 "/>
    <s v="PRODUCCIÓN"/>
    <s v="TECNOLOGÍA"/>
    <s v="C17"/>
    <s v="Postas activas y operativas"/>
    <n v="0"/>
    <n v="5"/>
    <n v="5"/>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1370000"/>
    <n v="1370000"/>
    <n v="274000"/>
    <n v="274000"/>
    <n v="274000"/>
    <n v="274000"/>
    <n v="274000"/>
    <n v="0"/>
    <m/>
    <s v="X"/>
    <m/>
    <m/>
    <m/>
    <n v="3"/>
    <n v="1"/>
  </r>
  <r>
    <x v="1"/>
    <x v="2"/>
    <s v="Ingresos y Capital"/>
    <s v="2.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x v="3"/>
    <s v="COMP 11"/>
    <s v="PRODUCCIÓN"/>
    <s v="FINANCIAMIENTO"/>
    <s v="C6"/>
    <s v="Ganaderos atendidos"/>
    <n v="1424"/>
    <n v="427.2"/>
    <n v="284.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4592400"/>
    <n v="3061600"/>
    <n v="918480"/>
    <n v="918480"/>
    <n v="918480"/>
    <n v="918480"/>
    <n v="918480"/>
    <n v="0"/>
    <s v="X"/>
    <m/>
    <m/>
    <m/>
    <s v="RE"/>
    <n v="3"/>
    <n v="1"/>
  </r>
  <r>
    <x v="1"/>
    <x v="2"/>
    <s v="Programas de inversión pública"/>
    <s v="2.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s v="ASOCIATIVIDAD"/>
    <s v="C2"/>
    <s v="Organizaciones fortalecidas"/>
    <n v="0"/>
    <n v="12"/>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0"/>
    <n v="7200000"/>
    <n v="1440000"/>
    <n v="1440000"/>
    <n v="1440000"/>
    <n v="1440000"/>
    <n v="1440000"/>
    <n v="0"/>
    <m/>
    <m/>
    <s v="X"/>
    <m/>
    <m/>
    <n v="3"/>
    <n v="1"/>
  </r>
  <r>
    <x v="1"/>
    <x v="2"/>
    <s v="Programas de inversión privada"/>
    <s v="2.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s v="TECNOLOGÍA"/>
    <s v="C17"/>
    <s v="Planes de negocios implementados"/>
    <n v="0"/>
    <n v="15"/>
    <n v="15"/>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2000000"/>
    <n v="12000000"/>
    <n v="2400000"/>
    <n v="2400000"/>
    <n v="2400000"/>
    <n v="2400000"/>
    <n v="2400000"/>
    <n v="0"/>
    <s v="X"/>
    <m/>
    <m/>
    <m/>
    <s v="RE"/>
    <n v="2"/>
    <n v="1"/>
  </r>
  <r>
    <x v="1"/>
    <x v="2"/>
    <s v="Control y vigilancia"/>
    <s v="2.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0000"/>
    <n v="100000"/>
    <n v="100000"/>
    <n v="100000"/>
    <n v="100000"/>
    <n v="100000"/>
    <n v="0"/>
    <s v="X"/>
    <m/>
    <m/>
    <m/>
    <m/>
    <n v="1"/>
    <n v="1"/>
  </r>
  <r>
    <x v="1"/>
    <x v="3"/>
    <s v="Invasiones"/>
    <s v="2.4.1"/>
    <x v="53"/>
    <s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_x000a_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
    <s v="NR"/>
    <x v="0"/>
    <x v="0"/>
    <s v="COMP 8"/>
    <s v="PROTECCIÓN"/>
    <s v="GOBERNANZA"/>
    <s v="C20"/>
    <s v="Porcentaje de conflictos resueltos"/>
    <n v="0"/>
    <n v="14"/>
    <n v="0"/>
    <n v="420000"/>
    <s v="Gastos logísticos y administrativos para implementar reuniones con los actores involucrados, con la finalidad de solucionar los diferentes conflictos entre las CCNN y los productores, así mismo se  brindará asesoramiento legal y técnico a las CCNN para la solución de los conflicto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2100000"/>
    <n v="0"/>
    <n v="420000"/>
    <n v="420000"/>
    <n v="420000"/>
    <n v="420000"/>
    <n v="420000"/>
    <n v="0"/>
    <m/>
    <m/>
    <s v="X"/>
    <m/>
    <m/>
    <n v="3"/>
    <n v="1"/>
  </r>
  <r>
    <x v="1"/>
    <x v="3"/>
    <s v="Programas de inversión pública"/>
    <s v="2.4.2"/>
    <x v="21"/>
    <s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x v="6"/>
    <s v="COMP 5"/>
    <s v="PROTECCIÓN"/>
    <s v="ASISTENCIA TÉCNICA"/>
    <s v="C1"/>
    <s v="Productor asistido"/>
    <n v="1500"/>
    <n v="900"/>
    <n v="6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504000"/>
    <n v="336000"/>
    <n v="100800"/>
    <n v="100800"/>
    <n v="100800"/>
    <n v="100800"/>
    <n v="100800"/>
    <n v="0"/>
    <m/>
    <m/>
    <s v="X"/>
    <m/>
    <s v="RE"/>
    <n v="3"/>
    <n v="1"/>
  </r>
  <r>
    <x v="1"/>
    <x v="3"/>
    <s v="Programas de inversión privada"/>
    <s v="2.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x v="7"/>
    <s v="COMP 6"/>
    <s v="PROTECCIÓN"/>
    <s v="INNOVACIÓN"/>
    <s v="C8"/>
    <s v="Planes de negocio"/>
    <n v="0"/>
    <n v="45"/>
    <n v="30"/>
    <n v="15000"/>
    <s v="Se contratará profesionales para el asesoramiento y formulación de planes de negocios de las Comunidades Nativas y Campesinas."/>
    <s v="Drasam, Agroideas"/>
    <n v="675000"/>
    <n v="450000"/>
    <n v="135000"/>
    <n v="135000"/>
    <n v="135000"/>
    <n v="135000"/>
    <n v="135000"/>
    <n v="0"/>
    <s v="X"/>
    <m/>
    <m/>
    <m/>
    <s v="RE"/>
    <n v="2"/>
    <n v="1"/>
  </r>
  <r>
    <x v="1"/>
    <x v="3"/>
    <s v="Programas de inversión pública"/>
    <s v="2.4.4"/>
    <x v="23"/>
    <s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x v="4"/>
    <s v="COMP 2"/>
    <s v="PRODUCCIÓN"/>
    <s v="ASOCIATIVIDAD"/>
    <s v="C2"/>
    <s v="Comunidades fortalecidas"/>
    <n v="0"/>
    <n v="15"/>
    <n v="15"/>
    <n v="144000"/>
    <s v="Contratación de especialistas para dar acompañamiento y seguimiento a los procesos organizativos de las CCNN de forma permanente."/>
    <s v="Drasam, Direpro, Dircetur, ARA, CODEPISAM"/>
    <n v="10800000"/>
    <n v="10800000"/>
    <n v="2160000"/>
    <n v="2160000"/>
    <n v="2160000"/>
    <n v="2160000"/>
    <n v="2160000"/>
    <n v="0"/>
    <m/>
    <m/>
    <s v="X"/>
    <m/>
    <s v="RE"/>
    <n v="2"/>
    <n v="1"/>
  </r>
  <r>
    <x v="1"/>
    <x v="3"/>
    <s v="Programas de inversión privada"/>
    <s v="2.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x v="5"/>
    <s v="COMP 3"/>
    <s v="PRODUCCIÓN"/>
    <s v="MERCADO"/>
    <s v="C9"/>
    <s v="Especialistas"/>
    <n v="0"/>
    <n v="2"/>
    <n v="2"/>
    <n v="3500"/>
    <s v="Contratación de especialista para identificación, acompañamiento y seguimiento a los procesos comerciales iniciados por las organizaciones de las CCNN"/>
    <s v="Drasam, Direpro, Dircetur, ARA, OPIPs"/>
    <n v="420000"/>
    <n v="420000"/>
    <n v="84000"/>
    <n v="84000"/>
    <n v="84000"/>
    <n v="84000"/>
    <n v="84000"/>
    <n v="0"/>
    <s v="X"/>
    <m/>
    <m/>
    <m/>
    <s v="RE"/>
    <n v="2"/>
    <n v="1"/>
  </r>
  <r>
    <x v="1"/>
    <x v="3"/>
    <s v="Invasiones"/>
    <s v="2.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x v="3"/>
    <s v="COMP 11"/>
    <s v="PROTECCIÓN"/>
    <s v="FINANCIAMIENTO"/>
    <s v="C6"/>
    <s v="Comunidades atendidas"/>
    <n v="4"/>
    <n v="9"/>
    <n v="6"/>
    <n v="5000"/>
    <s v="El costo esta referido a los gastos administrativos y logísticos que impliquen la elaboración del expediente para ser presentado al programa. "/>
    <s v="Gerencia Regional de Desarrollo Social, Programa Geo bosques"/>
    <n v="225000"/>
    <n v="150000"/>
    <n v="45000"/>
    <n v="45000"/>
    <n v="45000"/>
    <n v="45000"/>
    <n v="45000"/>
    <n v="0"/>
    <m/>
    <m/>
    <s v="X"/>
    <m/>
    <m/>
    <n v="3"/>
    <n v="1"/>
  </r>
  <r>
    <x v="1"/>
    <x v="3"/>
    <s v="Programas de inversión pública"/>
    <s v="2.4.7"/>
    <x v="26"/>
    <s v="Con el soporte de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x v="8"/>
    <s v="COMP 9"/>
    <s v="INCLUSION"/>
    <s v="SERVICIO DE EDUCACIÓN Y SALUD ADECUADOS"/>
    <s v="C14"/>
    <s v="Módulos implementados"/>
    <n v="1500"/>
    <n v="450"/>
    <n v="300"/>
    <n v="30000"/>
    <s v="Implementación según las necesidades identificadas en cada comunidad, considerando si son aplicables en dichas zonas, si no hay restricciones de cualquier índole. "/>
    <s v="Goresam, MIDIS, DRTyTC, Drasam,Foncodes, Cooperación"/>
    <n v="13500000"/>
    <n v="9000000"/>
    <n v="2700000"/>
    <n v="2700000"/>
    <n v="2700000"/>
    <n v="2700000"/>
    <n v="2700000"/>
    <n v="0"/>
    <m/>
    <m/>
    <s v="X"/>
    <m/>
    <m/>
    <n v="2"/>
    <n v="1"/>
  </r>
  <r>
    <x v="1"/>
    <x v="3"/>
    <s v="Programas de inversión pública"/>
    <s v="2.4.8"/>
    <x v="27"/>
    <s v="Implementación de proyectos enfocados a mejorar los servicios básicos de las comunidades nativas, dichos servicios deberán contar con profesionales bilingües, para asegurar y garantizar la adecuada transferencia de dichos servicios.  "/>
    <s v="NR"/>
    <x v="0"/>
    <x v="8"/>
    <s v="COMP 9"/>
    <s v="INCLUSION"/>
    <s v="SERVICIO DE EDUCACIÓN Y SALUD ADECUADOS"/>
    <s v="C14"/>
    <s v="Escuelas y postas médicas implementadas"/>
    <n v="15"/>
    <n v="8"/>
    <n v="7"/>
    <n v="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000000"/>
    <n v="1750000"/>
    <n v="400000"/>
    <n v="400000"/>
    <n v="400000"/>
    <n v="400000"/>
    <n v="400000"/>
    <n v="0"/>
    <s v="X"/>
    <m/>
    <m/>
    <m/>
    <s v="RE"/>
    <n v="3"/>
    <n v="1"/>
  </r>
  <r>
    <x v="1"/>
    <x v="4"/>
    <s v="Ingresos y Capital"/>
    <s v="2.5.1"/>
    <x v="55"/>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s v="FINANCIAMIENTO"/>
    <s v="C6"/>
    <s v="Planes de negocio"/>
    <n v="4"/>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0000"/>
    <n v="120000"/>
    <n v="120000"/>
    <n v="120000"/>
    <n v="120000"/>
    <n v="120000"/>
    <n v="0"/>
    <s v="X"/>
    <m/>
    <m/>
    <m/>
    <n v="0"/>
    <n v="3"/>
    <n v="1"/>
  </r>
  <r>
    <x v="1"/>
    <x v="4"/>
    <s v="Programas de inversión pública"/>
    <s v="2.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s v="ASISTENCIA TÉCNICA"/>
    <s v="C1"/>
    <s v="Especialistas"/>
    <n v="0"/>
    <n v="2"/>
    <n v="2"/>
    <n v="4000"/>
    <s v="Contratación de especialista y gastos logísticos, pasantías regionales y nacionales para adquisición de know how en materia de turismo rural"/>
    <s v="Dircetur"/>
    <n v="480000"/>
    <n v="480000"/>
    <n v="240000"/>
    <n v="240000"/>
    <n v="0"/>
    <n v="0"/>
    <n v="0"/>
    <n v="0"/>
    <m/>
    <m/>
    <s v="X"/>
    <m/>
    <n v="0"/>
    <n v="3"/>
    <n v="1"/>
  </r>
  <r>
    <x v="1"/>
    <x v="4"/>
    <s v="Programas de inversión privada"/>
    <s v="2.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s v="INNOVACIÓN"/>
    <s v="C8"/>
    <s v="Planes de negocio"/>
    <n v="0"/>
    <n v="4"/>
    <n v="8"/>
    <n v="150000"/>
    <s v="El costo hace referencia al proceso de implementación y funcionamiento de los productos para el desarrollo de  los emprendimientos."/>
    <s v="Dircetur, Agroideas"/>
    <n v="600000"/>
    <n v="1200000"/>
    <n v="120000"/>
    <n v="120000"/>
    <n v="120000"/>
    <n v="120000"/>
    <n v="120000"/>
    <n v="0"/>
    <s v="X"/>
    <m/>
    <m/>
    <m/>
    <s v="RE"/>
    <n v="3"/>
    <n v="1"/>
  </r>
  <r>
    <x v="1"/>
    <x v="4"/>
    <s v="Programas de inversión privada"/>
    <s v="2.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s v="PROMOCIÓN ACTIVIDADES ECONÓMICOS"/>
    <s v="C11"/>
    <s v="Rutas turísticas promocionados"/>
    <n v="0"/>
    <n v="4"/>
    <n v="4"/>
    <n v="40000"/>
    <s v="Participación en eventos de promoción (ferias regionales y nacionales, Fam Trip), el costo cubrirá gastos logísticos y administrativos de los operadores turísticos identificados "/>
    <s v="Mincetur, Dircetur"/>
    <n v="800000"/>
    <n v="800000"/>
    <n v="160000"/>
    <n v="160000"/>
    <n v="160000"/>
    <n v="160000"/>
    <n v="160000"/>
    <n v="0"/>
    <m/>
    <m/>
    <s v="X"/>
    <m/>
    <n v="0"/>
    <n v="3"/>
    <n v="1"/>
  </r>
  <r>
    <x v="1"/>
    <x v="11"/>
    <s v="Control y vigilancia"/>
    <s v="2.6.1"/>
    <x v="35"/>
    <s v="Implementar con recursos necesarios al ente que administra el área, con la finalidad de aumentar el número de personas (guardaparques) que contribuyan a realizar acciones de control y vigilancia."/>
    <s v="NR"/>
    <x v="2"/>
    <x v="6"/>
    <s v="COMP 5"/>
    <s v="PROTECCIÓN-GOBERNANZA"/>
    <s v="CONTROL Y VIGILANCIA"/>
    <s v="C4"/>
    <s v="Número de guardaparques"/>
    <n v="0"/>
    <n v="10"/>
    <n v="10"/>
    <n v="2000"/>
    <s v="Contratación a guardaparques para garantizar el control y vigilancia del área otorgada."/>
    <s v="Ara, serfor, Sernanp"/>
    <n v="1200000"/>
    <n v="1200000"/>
    <n v="240000"/>
    <n v="240000"/>
    <n v="240000"/>
    <n v="240000"/>
    <n v="240000"/>
    <n v="0"/>
    <m/>
    <s v="X"/>
    <m/>
    <m/>
    <s v="RE"/>
    <n v="3"/>
    <n v="1"/>
  </r>
  <r>
    <x v="1"/>
    <x v="11"/>
    <s v="Control y vigilancia"/>
    <s v="2.6.2"/>
    <x v="34"/>
    <s v="Campañas de sensibilización en distritos acentuadas en el ámbito del ANP, considerando la participación del ARA, DRASAM, DIRCETUR, GRDS, CGSCM, CGBPAM, PNCB, OSINFOR.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x v="6"/>
    <s v="COMP 5"/>
    <s v="PROTECCIÓN-GOBERNANZA"/>
    <s v="CONTROL Y VIGILANCIA"/>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00000"/>
    <n v="400000"/>
    <n v="400000"/>
    <n v="400000"/>
    <n v="400000"/>
    <n v="400000"/>
    <n v="0"/>
    <m/>
    <s v="X"/>
    <m/>
    <m/>
    <s v="RE"/>
    <n v="3"/>
    <n v="1"/>
  </r>
  <r>
    <x v="1"/>
    <x v="11"/>
    <s v="Programas de inversión pública"/>
    <s v="2.6.3"/>
    <x v="56"/>
    <s v="Promover la planificación comunal en centros poblados del interior en base a la zonificación y zona de amortiguamiento teniendo como base al Plan Maestro (incluye acuerdos de conservación)"/>
    <s v="NR"/>
    <x v="0"/>
    <x v="8"/>
    <s v="COMP 9"/>
    <s v="HABILITANTE"/>
    <s v="PLANES DE VIDA"/>
    <s v="C10"/>
    <s v="Planes de gestión comunal"/>
    <n v="0"/>
    <n v="24"/>
    <n v="40"/>
    <n v="10000"/>
    <s v="Contratación de servicios profesionales para la elaboración de los planes de gestión comunal."/>
    <s v="Dircetur, Mincetur"/>
    <n v="240000"/>
    <n v="400000"/>
    <n v="48000"/>
    <n v="48000"/>
    <n v="48000"/>
    <n v="48000"/>
    <n v="48000"/>
    <n v="0"/>
    <m/>
    <s v="X"/>
    <m/>
    <m/>
    <m/>
    <n v="3"/>
    <n v="1"/>
  </r>
  <r>
    <x v="1"/>
    <x v="11"/>
    <s v="Programas de inversión privada"/>
    <s v="2.6.4"/>
    <x v="57"/>
    <s v="Campañas de promoción y difusión en el ámbito regional y nacional de los circuitos turísticos que existen en la zona de amortiguamiento. acorde al plan maestro del BPAM.  https://es.scribd.com/document/74386745/PLAN-DE-USO-TURISTICO-BPAM"/>
    <s v="NR"/>
    <x v="2"/>
    <x v="7"/>
    <s v="COMP 6"/>
    <s v="PROTECCIÓN"/>
    <s v="PROMOCIÓN ACTIVIDADES ECONÓMICOS"/>
    <s v="C11"/>
    <s v="Campañas de promoción"/>
    <n v="0"/>
    <n v="20"/>
    <n v="20"/>
    <n v="4000"/>
    <s v="Campañas de promoción que incluye, impresión de material de difusión, publicidad radial, televisiva y escrita."/>
    <s v="Dircetur, Mincetur"/>
    <n v="400000"/>
    <n v="400000"/>
    <n v="80000"/>
    <n v="80000"/>
    <n v="80000"/>
    <n v="80000"/>
    <n v="80000"/>
    <n v="0"/>
    <m/>
    <m/>
    <s v="X"/>
    <m/>
    <m/>
    <n v="3"/>
    <n v="1"/>
  </r>
  <r>
    <x v="1"/>
    <x v="11"/>
    <s v="Programas de inversión privada"/>
    <s v="2.6.5"/>
    <x v="58"/>
    <s v="Realizar pasantías focalizadas en aquellos sectores claves que se necesita intervenir para disminuir la presión al ANP."/>
    <s v="NR"/>
    <x v="2"/>
    <x v="7"/>
    <s v="COMP 6"/>
    <s v="PROTECCIÓN"/>
    <s v="PROMOCIÓN ACTIVIDADES ECONÓMICOS"/>
    <s v="C11"/>
    <s v="Pasantías"/>
    <n v="0"/>
    <n v="16"/>
    <n v="16"/>
    <n v="2500"/>
    <s v="El costo hace referencia a los gastos de pasajes, alimentación y otros para un grupo de 20 productores por pasantía."/>
    <s v="Drasam"/>
    <n v="200000"/>
    <n v="200000"/>
    <n v="40000"/>
    <n v="40000"/>
    <n v="40000"/>
    <n v="40000"/>
    <n v="40000"/>
    <n v="0"/>
    <m/>
    <m/>
    <s v="X"/>
    <m/>
    <m/>
    <n v="2"/>
    <n v="1"/>
  </r>
  <r>
    <x v="1"/>
    <x v="11"/>
    <s v="Programas de inversión pública"/>
    <s v="2.6.6"/>
    <x v="59"/>
    <s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x v="6"/>
    <s v="COMP 5"/>
    <s v="PROTECCIÓN"/>
    <s v="ASISTENCIA TÉCNICA"/>
    <s v="C1"/>
    <s v="Especialistas"/>
    <n v="0"/>
    <n v="3"/>
    <n v="3"/>
    <n v="3500"/>
    <s v="El costo comprende la contratación de profesionales para brindar asistencias técnica en los cultivos priorizados en la zona de intervención."/>
    <s v="Drasam"/>
    <n v="630000"/>
    <n v="630000"/>
    <n v="126000"/>
    <n v="126000"/>
    <n v="126000"/>
    <n v="126000"/>
    <n v="126000"/>
    <n v="0"/>
    <m/>
    <m/>
    <s v="X"/>
    <m/>
    <s v="RE"/>
    <n v="3"/>
    <n v="1"/>
  </r>
  <r>
    <x v="1"/>
    <x v="11"/>
    <s v="Ingresos y Capital"/>
    <s v="2.6.7"/>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NR"/>
    <x v="2"/>
    <x v="3"/>
    <s v="COMP 11"/>
    <s v="PROTECCIÓN"/>
    <s v="FINANCIAMIENTO"/>
    <s v="C6"/>
    <s v="Planes de negocios"/>
    <n v="0"/>
    <n v="50"/>
    <n v="5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0"/>
    <n v="5000000"/>
    <n v="1000000"/>
    <n v="1000000"/>
    <n v="1000000"/>
    <n v="1000000"/>
    <n v="1000000"/>
    <n v="0"/>
    <s v="X"/>
    <m/>
    <m/>
    <m/>
    <s v="RE"/>
    <n v="3"/>
    <n v="1"/>
  </r>
  <r>
    <x v="1"/>
    <x v="8"/>
    <s v="Invasiones"/>
    <s v="2.7.1"/>
    <x v="40"/>
    <s v="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
    <s v="NR"/>
    <x v="0"/>
    <x v="0"/>
    <s v="COMP 8"/>
    <s v="PROTECCIÓN-GOBERNANZA"/>
    <s v="DERECHOS SOBRE LA TIERRA"/>
    <s v="C5"/>
    <s v="Ha. con categoría territorial asignada"/>
    <n v="140920.89160839622"/>
    <n v="70460.445804198112"/>
    <n v="70460.445804198112"/>
    <n v="15"/>
    <s v="Para la implementación de las intervención será mecesario la contratación de especialistas para realizar las acciones que comtemplen dicha actividad. Gastos logísticos y trámites documentarios."/>
    <s v="GRSM - DEGT"/>
    <n v="1056906.6870629718"/>
    <n v="1056906.6870629718"/>
    <n v="211381.33741259435"/>
    <n v="211381.33741259435"/>
    <n v="211381.33741259435"/>
    <n v="211381.33741259435"/>
    <n v="211381.33741259435"/>
    <n v="0"/>
    <m/>
    <s v="X"/>
    <m/>
    <m/>
    <n v="0"/>
    <n v="3"/>
    <n v="1"/>
  </r>
  <r>
    <x v="1"/>
    <x v="8"/>
    <s v="Control y vigilancia"/>
    <s v="2.7.2"/>
    <x v="41"/>
    <s v="Comprende la capacitación en manejo de normatividad forestal y manejo de bosques, contratación de especialistas para tener presencia física en el área, equipamiento e infraestructura."/>
    <s v="NR"/>
    <x v="0"/>
    <x v="0"/>
    <s v="COMP 8"/>
    <s v="PROTECCIÓN-GOBERNANZA"/>
    <s v="DERECHOS SOBRE LA TIERRA"/>
    <s v="C5"/>
    <s v="N° de responsables de administración que aprueban evaluación de capacitación "/>
    <n v="0"/>
    <n v="70"/>
    <n v="70"/>
    <n v="150"/>
    <s v="Considera materiales de capacitación, alimentación a capacitados en el área cercana a su comunidad y gastos de capacitadores"/>
    <s v="GRSM - DEGT"/>
    <n v="10500"/>
    <n v="10500"/>
    <n v="10500"/>
    <n v="0"/>
    <n v="0"/>
    <n v="0"/>
    <n v="0"/>
    <n v="0"/>
    <m/>
    <s v="X"/>
    <m/>
    <m/>
    <n v="0"/>
    <n v="2"/>
    <n v="1"/>
  </r>
  <r>
    <x v="1"/>
    <x v="8"/>
    <s v="Control y vigilancia"/>
    <s v="2.7.3"/>
    <x v="42"/>
    <s v="Dependiendo de la categoría forestal a ser aplicada, se realizará un plan/declaración acorde la unidad, en el marco de la ley forestal y fauna silvestre N° 29763."/>
    <s v="NR"/>
    <x v="0"/>
    <x v="0"/>
    <s v="COMP 8"/>
    <s v="PROTECCIÓN-GOBERNANZA"/>
    <s v="DERECHOS SOBRE LA TIERRA"/>
    <s v="C5"/>
    <s v="N° Planes / Declaraciones elaborados"/>
    <n v="0"/>
    <n v="15"/>
    <n v="15"/>
    <n v="10000"/>
    <s v="Se considera la contratación de profesionales para la elaboración de los expedientes y/o declaraciones identificadas en los diferentes procesos."/>
    <s v="GRSM - DEGT"/>
    <n v="150000"/>
    <n v="150000"/>
    <n v="45000"/>
    <n v="45000"/>
    <n v="60000"/>
    <n v="0"/>
    <n v="0"/>
    <n v="0"/>
    <m/>
    <s v="X"/>
    <m/>
    <m/>
    <n v="0"/>
    <n v="2"/>
    <n v="1"/>
  </r>
  <r>
    <x v="1"/>
    <x v="8"/>
    <s v="Invasiones"/>
    <s v="2.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s v="DERECHOS SOBRE LA TIERRA"/>
    <s v="C5"/>
    <s v="Ha. Inscritas"/>
    <n v="140920.89160839622"/>
    <n v="70460.445804198112"/>
    <n v="70460.445804198112"/>
    <n v="1"/>
    <s v="Contratación de dos profesioales para agilizar procesos con sunarp."/>
    <s v="GRSM - DEGT"/>
    <n v="70460.445804198112"/>
    <n v="70460.445804198112"/>
    <n v="14092.089160839623"/>
    <n v="14092.089160839623"/>
    <n v="14092.089160839623"/>
    <n v="14092.089160839623"/>
    <n v="14092.089160839623"/>
    <n v="0"/>
    <m/>
    <s v="X"/>
    <m/>
    <m/>
    <n v="0"/>
    <n v="2"/>
    <n v="1"/>
  </r>
  <r>
    <x v="1"/>
    <x v="9"/>
    <s v="Invasiones"/>
    <s v="2.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s v="DERECHOS SOBRE LA TIERRA"/>
    <s v="C5"/>
    <s v="Ha. con categoría territorial asignada"/>
    <n v="24905.186800862601"/>
    <n v="12452.5934004313"/>
    <n v="12452.5934004313"/>
    <n v="15"/>
    <s v="Para la implementación de las intervención será mecesario la contratación de especialistas para realizar las acciones que comtemplen dicha actividad. Gastos logísticos y trámites documentarios."/>
    <s v="GRSM - DEGT"/>
    <n v="186788.9010064695"/>
    <n v="186788.9010064695"/>
    <n v="37357.780201293899"/>
    <n v="37357.780201293899"/>
    <n v="37357.780201293899"/>
    <n v="37357.780201293899"/>
    <n v="37357.780201293899"/>
    <n v="0"/>
    <m/>
    <s v="X"/>
    <m/>
    <m/>
    <m/>
    <n v="3"/>
    <n v="1"/>
  </r>
  <r>
    <x v="1"/>
    <x v="9"/>
    <s v="Control y vigilancia"/>
    <s v="2.8.2"/>
    <x v="41"/>
    <s v="Comprende la capacitación en manejo de normatividad forestal y manejo de bosques, contratación de especialistas para tener presencia física en el área, equipamiento e infraestructura."/>
    <s v="NR"/>
    <x v="0"/>
    <x v="0"/>
    <s v="COMP 8"/>
    <s v="PROTECCIÓN-GOBERNANZA"/>
    <s v="DERECHOS SOBRE LA TIERRA"/>
    <s v="C5"/>
    <s v="N° de responsables de administración que aprueban evaluación de capacitación "/>
    <n v="0"/>
    <n v="70"/>
    <n v="70"/>
    <n v="150"/>
    <s v="Considera materiales de capacitación, alimentación a capacitados en el área cercana a su comunidad y gastos de capacitadores"/>
    <s v="GRSM - DEGT"/>
    <n v="10500"/>
    <n v="10500"/>
    <n v="10500"/>
    <n v="0"/>
    <n v="0"/>
    <n v="0"/>
    <n v="0"/>
    <n v="0"/>
    <m/>
    <s v="X"/>
    <m/>
    <m/>
    <m/>
    <n v="2"/>
    <n v="1"/>
  </r>
  <r>
    <x v="1"/>
    <x v="9"/>
    <s v="Control y vigilancia"/>
    <s v="2.8.3"/>
    <x v="42"/>
    <s v="Dependiendo de la categoría forestal a ser aplicada, se realizará un plan/declaración acorde a la unidad, en el marco de la ley forestal y fauna silvestre N° 29763."/>
    <s v="NR"/>
    <x v="0"/>
    <x v="0"/>
    <s v="COMP 8"/>
    <s v="PROTECCIÓN-GOBERNANZA"/>
    <s v="DERECHOS SOBRE LA TIERRA"/>
    <s v="C5"/>
    <s v="N° Planes / Declaraciones elaborados"/>
    <n v="0"/>
    <n v="5"/>
    <n v="5"/>
    <n v="10000"/>
    <s v="Se considera la contratación de profesionales para la elaboración de los expedientes y/o declaraciones identificadas en los diferentes procesos."/>
    <s v="GRSM - DEGT"/>
    <n v="50000"/>
    <n v="50000"/>
    <n v="15000"/>
    <n v="15000"/>
    <n v="20000"/>
    <n v="0"/>
    <n v="0"/>
    <n v="0"/>
    <m/>
    <s v="X"/>
    <m/>
    <m/>
    <m/>
    <n v="2"/>
    <n v="1"/>
  </r>
  <r>
    <x v="1"/>
    <x v="9"/>
    <s v="Invasiones"/>
    <s v="2.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s v="DERECHOS SOBRE LA TIERRA"/>
    <s v="C5"/>
    <s v="Ha. Inscritas"/>
    <n v="24905.186800862601"/>
    <n v="12452.5934004313"/>
    <n v="12452.5934004313"/>
    <n v="1"/>
    <s v="Contratación de dos profesioales para agilizar procesos con sunarp."/>
    <s v="GRSM - DEGT"/>
    <n v="12452.5934004313"/>
    <n v="12452.5934004313"/>
    <n v="2490.5186800862602"/>
    <n v="2490.5186800862602"/>
    <n v="2490.5186800862602"/>
    <n v="2490.5186800862602"/>
    <n v="2490.5186800862602"/>
    <n v="0"/>
    <m/>
    <s v="X"/>
    <m/>
    <m/>
    <m/>
    <n v="2"/>
    <n v="1"/>
  </r>
  <r>
    <x v="1"/>
    <x v="9"/>
    <s v="Ingresos y Capital"/>
    <s v="2.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s v="DERECHOS SOBRE LA TIERRA"/>
    <s v="C5"/>
    <s v="Hectáreas restauradas"/>
    <n v="0"/>
    <n v="5637.0492705921833"/>
    <n v="0"/>
    <n v="500"/>
    <s v="El costo incluye la restauración de una hectárea, esta actividad se desarrollara de acuerdo a la metodología propuesta por el ARA, en coordinación con los productores seleccionados."/>
    <s v="ARA"/>
    <n v="2818524.6352960919"/>
    <n v="0"/>
    <n v="2818524.6352960919"/>
    <n v="0"/>
    <n v="0"/>
    <n v="0"/>
    <n v="0"/>
    <n v="0"/>
    <m/>
    <s v="X"/>
    <m/>
    <m/>
    <m/>
    <n v="3"/>
    <n v="1"/>
  </r>
  <r>
    <x v="1"/>
    <x v="10"/>
    <s v="Programas de inversión pública"/>
    <s v="2.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8"/>
    <s v="PROTECCIÓN"/>
    <s v="TRANSVERSALES X UDT"/>
    <s v="C18"/>
    <s v="Acuerdos con rondas campesinas"/>
    <n v="0"/>
    <n v="19"/>
    <n v="19"/>
    <n v="2500"/>
    <s v="Reuniones con los diferentes actores involucrados y la sociedad civil para llegar a acuerdos de no deforestación, lo cual incluye  gastos logísticos en general."/>
    <s v="GRIS"/>
    <n v="237500"/>
    <n v="237500"/>
    <n v="47500"/>
    <n v="47500"/>
    <n v="47500"/>
    <n v="47500"/>
    <n v="47500"/>
    <n v="0"/>
    <m/>
    <m/>
    <s v="X"/>
    <m/>
    <s v="RE"/>
    <n v="3"/>
    <n v="1"/>
  </r>
  <r>
    <x v="1"/>
    <x v="10"/>
    <s v="Programas de inversión pública"/>
    <s v="2.9.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Esta intervención será apoyada por las organizaciones formales de rondas campesinas, rondas campesinas rondas nativas y comités de monitoreo."/>
    <s v="NR"/>
    <x v="2"/>
    <x v="6"/>
    <s v="COMP 5"/>
    <s v="PROTECCIÓN"/>
    <s v="TRANSVERSALES X UDT"/>
    <s v="C18"/>
    <s v="Especialistas"/>
    <n v="0"/>
    <n v="3"/>
    <n v="3"/>
    <n v="5000"/>
    <s v="Contratación de especialistas para realizar monitoreo de la cobertura de bosque, desde los diferentes órganos competentes. "/>
    <s v="ARA"/>
    <n v="900000"/>
    <n v="900000"/>
    <n v="180000"/>
    <n v="180000"/>
    <n v="180000"/>
    <n v="180000"/>
    <n v="180000"/>
    <n v="0"/>
    <m/>
    <s v="X"/>
    <m/>
    <m/>
    <s v="RE"/>
    <n v="3"/>
    <n v="1"/>
  </r>
  <r>
    <x v="1"/>
    <x v="10"/>
    <s v="Programas de inversión pública"/>
    <s v="2.9.3"/>
    <x v="48"/>
    <s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x v="9"/>
    <s v="COMP 10"/>
    <s v="HABILITANTE"/>
    <s v="TRANSVERSALES X UDT"/>
    <s v="C18"/>
    <s v="Kilómetros mejorados"/>
    <n v="1706"/>
    <n v="170.60000000000002"/>
    <n v="170.60000000000002"/>
    <n v="800000"/>
    <s v="Costo promedio de por km2 de vía mejorada o asfaltada"/>
    <s v="DRTyTC"/>
    <n v="136480000.00000003"/>
    <n v="136480000.00000003"/>
    <n v="27296000.000000007"/>
    <n v="27296000.000000007"/>
    <n v="27296000.000000007"/>
    <n v="27296000.000000007"/>
    <n v="27296000.000000007"/>
    <n v="0"/>
    <s v="X"/>
    <m/>
    <m/>
    <m/>
    <m/>
    <n v="2"/>
    <n v="1"/>
  </r>
  <r>
    <x v="1"/>
    <x v="10"/>
    <s v="Programas de inversión pública"/>
    <s v="2.9.4"/>
    <x v="49"/>
    <s v="En marco de la Zonificación Forestal donde se identificaron zonas de recuperación y tratamiento especial para la restauración de áreas con prioridad alta y muy alta para restauración, utilizando las diferentes metodologías de restauración propuesta por la entidad competente. Las actividades de restauración tendrán como objetivos desarrollar la agroforestería, recuperar servicios eco sistémicos y recuperar zonas productivas."/>
    <s v="NR"/>
    <x v="2"/>
    <x v="6"/>
    <s v="COMP 5"/>
    <s v="PROTECCIÓN"/>
    <s v="TRANSVERSALES X UDT"/>
    <s v="C18"/>
    <s v="Hectáreas Restauradas"/>
    <n v="62130.95"/>
    <n v="15532.737499999999"/>
    <n v="12426.19"/>
    <n v="500"/>
    <s v="El costo incluye la restauración de una hectárea, esta actividad se desarrollara de acuerdo a la metodología propuesta por el ARA, en coordinación con los productores seleccionados."/>
    <s v="ARA"/>
    <n v="7766368.75"/>
    <n v="6213095"/>
    <n v="1553273.75"/>
    <n v="1553273.75"/>
    <n v="1553273.75"/>
    <n v="1553273.75"/>
    <n v="1553273.75"/>
    <n v="0"/>
    <m/>
    <m/>
    <s v="X"/>
    <m/>
    <s v="RE"/>
    <n v="3"/>
    <n v="1"/>
  </r>
  <r>
    <x v="1"/>
    <x v="10"/>
    <s v="Programas de inversión pública"/>
    <s v="2.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x v="8"/>
    <s v="COMP 9"/>
    <s v="INCLUSION"/>
    <s v="TRANSVERSALES X UDT"/>
    <s v="C18"/>
    <s v="Centros educativos y postas médicas implementados"/>
    <n v="0"/>
    <n v="5"/>
    <n v="5"/>
    <n v="3500000"/>
    <s v="El presupuesto esta relacionado a la implementación de la infraestructura, mobiliario y materiales educativos necesarios para que se brinde un servicio de calidad a los niños que aún no reciben dicho servicio de manera permanente."/>
    <s v="Colegio de ingenieros de San Martín / GRDS"/>
    <n v="17500000"/>
    <n v="17500000"/>
    <n v="3500000"/>
    <n v="3500000"/>
    <n v="3500000"/>
    <n v="3500000"/>
    <n v="3500000"/>
    <n v="0"/>
    <m/>
    <s v="X"/>
    <m/>
    <m/>
    <s v="RE"/>
    <n v="3"/>
    <n v="1"/>
  </r>
  <r>
    <x v="1"/>
    <x v="10"/>
    <s v="Programas de inversión pública"/>
    <s v="2.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x v="8"/>
    <s v="COMP 9"/>
    <s v="INCLUSION"/>
    <s v="TRANSVERSALES X UDT"/>
    <s v="C18"/>
    <s v="N° campañas"/>
    <n v="0"/>
    <n v="166.25"/>
    <n v="166.25"/>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4156250"/>
    <n v="4156250"/>
    <n v="831250"/>
    <n v="831250"/>
    <n v="831250"/>
    <n v="831250"/>
    <n v="831250"/>
    <n v="0"/>
    <m/>
    <s v="X"/>
    <m/>
    <m/>
    <s v="RE"/>
    <n v="3"/>
    <n v="1"/>
  </r>
  <r>
    <x v="1"/>
    <x v="10"/>
    <s v="Programas de inversión pública"/>
    <s v="2.9.7"/>
    <x v="52"/>
    <s v="Promoción al acceso de la marca con los productores que cumplan los criterios de elegibilidad solicitados por el programa, como una estrategia de ubicar mercados diferenciados para los productos provenientes de estas zonas."/>
    <s v="NR"/>
    <x v="1"/>
    <x v="5"/>
    <s v="COMP 3"/>
    <s v="PRODUCCIÓN"/>
    <s v="TRANSVERSALES X UDT"/>
    <s v="C18"/>
    <s v="Organizaciones que acceden a la marca"/>
    <n v="0"/>
    <n v="10"/>
    <n v="15"/>
    <n v="3000"/>
    <s v="El costo incluye: Una inspección anual anunciada,  elaboración de informe de inspección, administración y comunicación, certificación según los estándares de la marca."/>
    <s v="GRDE"/>
    <n v="150000"/>
    <n v="45000"/>
    <n v="30000"/>
    <n v="30000"/>
    <n v="30000"/>
    <n v="30000"/>
    <n v="30000"/>
    <n v="0"/>
    <m/>
    <m/>
    <s v="X"/>
    <m/>
    <m/>
    <n v="3"/>
    <n v="1"/>
  </r>
  <r>
    <x v="2"/>
    <x v="0"/>
    <s v="Invasiones"/>
    <s v="4.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6328.5309793106999"/>
    <n v="3164.2654896553499"/>
    <n v="3164.2654896553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328530.9793106997"/>
    <n v="6328530.9793106997"/>
    <n v="632853.09793107002"/>
    <n v="949279.64689660491"/>
    <n v="1265706.19586214"/>
    <n v="1898559.2937932098"/>
    <n v="1582132.7448276749"/>
    <n v="0"/>
    <m/>
    <m/>
    <s v="X"/>
    <m/>
    <s v="RE"/>
    <n v="3"/>
    <n v="1"/>
  </r>
  <r>
    <x v="2"/>
    <x v="0"/>
    <s v="Programas de inversión pública"/>
    <s v="4.1.2"/>
    <x v="1"/>
    <s v="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x v="1"/>
    <s v="COMP 1"/>
    <s v="PRODUCCIÓN"/>
    <s v="ASISTENCIA TÉCNICA"/>
    <s v="C1"/>
    <s v="Productores asistidos"/>
    <n v="26029"/>
    <n v="15617.4"/>
    <n v="10411.6"/>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8745744"/>
    <n v="5830496"/>
    <n v="1749148.8"/>
    <n v="1749148.8"/>
    <n v="1749148.8"/>
    <n v="1749148.8"/>
    <n v="1749148.8"/>
    <n v="0"/>
    <m/>
    <m/>
    <s v="X"/>
    <m/>
    <s v="RE"/>
    <n v="3"/>
    <n v="1"/>
  </r>
  <r>
    <x v="2"/>
    <x v="0"/>
    <s v="Programas de inversión pública"/>
    <s v="4.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s v="TECNOLOGÍA"/>
    <s v="C17"/>
    <s v="Hectáreas Intervenidas"/>
    <n v="71598"/>
    <n v="21479.399999999998"/>
    <n v="21479.399999999998"/>
    <n v="500"/>
    <s v="El costo incluye adquisición de semillas, insumos, fertilizantes, entre otras para la producción de plantas agroforestales o coberturas  verdes."/>
    <s v="DRASAM"/>
    <n v="10739699.999999998"/>
    <n v="10739699.999999998"/>
    <n v="2147939.9999999995"/>
    <n v="2147939.9999999995"/>
    <n v="2147939.9999999995"/>
    <n v="2147939.9999999995"/>
    <n v="2147939.9999999995"/>
    <n v="0"/>
    <m/>
    <m/>
    <s v="X"/>
    <m/>
    <m/>
    <n v="3"/>
    <n v="1"/>
  </r>
  <r>
    <x v="2"/>
    <x v="0"/>
    <s v="Programas de inversión pública"/>
    <s v="4.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s v="TECNOLOGÍA"/>
    <s v="C17"/>
    <s v="Hectáreas fertilizadas"/>
    <n v="71598"/>
    <n v="14319.6"/>
    <n v="21479.399999999998"/>
    <n v="2500"/>
    <s v="El costo incluye un análisis de suelos, paquete de fertilización según los resultados del análisis y la adquisición de fertilizantes. El costo incluye los tres abonamientos requeridos en una campaña (1 año)."/>
    <s v="Drasam"/>
    <n v="35799000"/>
    <n v="53698499.999999993"/>
    <n v="7159800"/>
    <n v="7159800"/>
    <n v="7159800"/>
    <n v="7159800"/>
    <n v="7159800"/>
    <n v="0"/>
    <m/>
    <m/>
    <s v="X"/>
    <m/>
    <s v="RE"/>
    <n v="3"/>
    <n v="1"/>
  </r>
  <r>
    <x v="2"/>
    <x v="0"/>
    <s v="Programas de inversión privada"/>
    <s v="4.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x v="2"/>
    <s v="COMP 4 "/>
    <s v="PRODUCCIÓN"/>
    <s v="TECNOLOGÍA"/>
    <s v="C17"/>
    <s v="Hectáreas con sistemas de riego"/>
    <n v="71598"/>
    <n v="3579.9"/>
    <n v="4295.88"/>
    <n v="11500"/>
    <s v="modulo instalado incluyendo fertilizantes para una campaña"/>
    <s v="DRASAM"/>
    <n v="41168850"/>
    <n v="49402620"/>
    <n v="8233770"/>
    <n v="8233770"/>
    <n v="8233770"/>
    <n v="8233770"/>
    <n v="8233770"/>
    <n v="0"/>
    <m/>
    <m/>
    <s v="X"/>
    <m/>
    <s v="RE"/>
    <n v="3"/>
    <n v="1"/>
  </r>
  <r>
    <x v="2"/>
    <x v="0"/>
    <s v="Programas de inversión privada"/>
    <s v="4.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s v="RECONVERSIÓN"/>
    <s v="C12"/>
    <s v="Hectáreas reconvertidas"/>
    <n v="14319.6"/>
    <n v="1431.96"/>
    <n v="1431.96"/>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479400"/>
    <n v="21479400"/>
    <n v="4295880"/>
    <n v="4295880"/>
    <n v="4295880"/>
    <n v="4295880"/>
    <n v="4295880"/>
    <n v="0"/>
    <s v="X"/>
    <m/>
    <m/>
    <m/>
    <s v="RE"/>
    <n v="3"/>
    <n v="1"/>
  </r>
  <r>
    <x v="2"/>
    <x v="0"/>
    <s v="Programas de inversión pública"/>
    <s v="4.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s v="CAPACITACIÓN"/>
    <s v="C3"/>
    <s v="Productores beneficiados"/>
    <n v="26029"/>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76189980.000000015"/>
    <n v="7618998.0000000019"/>
    <n v="7618998.0000000019"/>
    <n v="7618998.0000000019"/>
    <n v="7618998.0000000019"/>
    <n v="7618998.0000000019"/>
    <n v="0"/>
    <m/>
    <m/>
    <s v="X"/>
    <m/>
    <s v="RE"/>
    <n v="3"/>
    <n v="1"/>
  </r>
  <r>
    <x v="2"/>
    <x v="0"/>
    <s v="Programas de inversión pública"/>
    <s v="4.1.8"/>
    <x v="7"/>
    <s v="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x v="2"/>
    <s v="COMP 4 "/>
    <s v="PRODUCCIÓN"/>
    <s v="ASISTENCIA TÉCNICA"/>
    <s v="C1"/>
    <s v="Acuicultores asistidos"/>
    <n v="0"/>
    <n v="70"/>
    <n v="70"/>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39200"/>
    <n v="39200"/>
    <n v="7840"/>
    <n v="7840"/>
    <n v="7840"/>
    <n v="7840"/>
    <n v="7840"/>
    <n v="0"/>
    <m/>
    <m/>
    <s v="X"/>
    <m/>
    <s v="RE"/>
    <n v="3"/>
    <n v="1"/>
  </r>
  <r>
    <x v="2"/>
    <x v="0"/>
    <s v="Ingresos y Capital"/>
    <s v="4.1.9"/>
    <x v="8"/>
    <s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s v="FINANCIAMIENTO"/>
    <s v="C6"/>
    <s v="Créditos otorgados"/>
    <n v="0"/>
    <n v="70"/>
    <n v="70"/>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903000"/>
    <n v="903000"/>
    <n v="180600"/>
    <n v="180600"/>
    <n v="180600"/>
    <n v="180600"/>
    <n v="180600"/>
    <n v="0"/>
    <s v="X"/>
    <m/>
    <m/>
    <m/>
    <s v="RE"/>
    <n v="3"/>
    <n v="1"/>
  </r>
  <r>
    <x v="2"/>
    <x v="0"/>
    <s v="Ingresos y Capital"/>
    <s v="4.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s v="FINANCIAMIENTO"/>
    <s v="C6"/>
    <s v="Créditos otorgados"/>
    <n v="26029"/>
    <n v="7808.7"/>
    <n v="5205.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83943525"/>
    <n v="55962350"/>
    <n v="16788705"/>
    <n v="16788705"/>
    <n v="16788705"/>
    <n v="16788705"/>
    <n v="16788705"/>
    <n v="0"/>
    <s v="X"/>
    <m/>
    <m/>
    <m/>
    <s v="RE"/>
    <n v="2"/>
    <n v="1"/>
  </r>
  <r>
    <x v="2"/>
    <x v="0"/>
    <s v="Programas de inversión privada"/>
    <s v="4.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s v="INFRAESTRUCTURA"/>
    <s v="C7"/>
    <s v="Planes de negocios/proyectos ejecutados"/>
    <n v="6"/>
    <n v="6"/>
    <n v="2"/>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800000"/>
    <n v="1600000"/>
    <n v="960000"/>
    <n v="960000"/>
    <n v="960000"/>
    <n v="960000"/>
    <n v="960000"/>
    <n v="0"/>
    <s v="X"/>
    <m/>
    <m/>
    <m/>
    <s v="RE"/>
    <n v="3"/>
    <n v="1"/>
  </r>
  <r>
    <x v="2"/>
    <x v="0"/>
    <s v="Programas de inversión privada"/>
    <s v="4.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s v="CAPACITACIÓN"/>
    <s v="C3"/>
    <s v="Empresas y organizaciones atendidas"/>
    <n v="6"/>
    <n v="4.8000000000000007"/>
    <n v="1.2000000000000002"/>
    <n v="50000"/>
    <s v="El costo incluye la contratación de especialistas para brindar Asistencia Técnica en los procesos de implementación de las certificaciones de calidad, materiales para la capacitación y pasantías."/>
    <s v="DIREPRO"/>
    <n v="240000.00000000003"/>
    <n v="60000.000000000007"/>
    <n v="48000.000000000007"/>
    <n v="48000.000000000007"/>
    <n v="48000.000000000007"/>
    <n v="48000.000000000007"/>
    <n v="48000.000000000007"/>
    <n v="0"/>
    <m/>
    <m/>
    <s v="X"/>
    <m/>
    <s v="RE"/>
    <n v="3"/>
    <n v="1"/>
  </r>
  <r>
    <x v="2"/>
    <x v="0"/>
    <s v="Programas de inversión pública"/>
    <s v="4.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s v="ASOCIATIVIDAD"/>
    <s v="C2"/>
    <s v="Organizaciones auto sostenibles"/>
    <n v="0"/>
    <n v="6"/>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
    <n v="240000"/>
    <n v="144000"/>
    <n v="144000"/>
    <n v="144000"/>
    <n v="144000"/>
    <n v="144000"/>
    <n v="0"/>
    <m/>
    <m/>
    <s v="X"/>
    <m/>
    <m/>
    <n v="3"/>
    <n v="1"/>
  </r>
  <r>
    <x v="2"/>
    <x v="0"/>
    <s v="Programas de inversión privada"/>
    <s v="4.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s v="MERCADO"/>
    <s v="C9"/>
    <s v="Organizaciones certificadas"/>
    <n v="10"/>
    <n v="5"/>
    <n v="5"/>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1000000"/>
    <n v="1000000"/>
    <n v="200000"/>
    <n v="200000"/>
    <n v="200000"/>
    <n v="200000"/>
    <n v="200000"/>
    <n v="0"/>
    <m/>
    <m/>
    <s v="X"/>
    <m/>
    <m/>
    <n v="3"/>
    <n v="1"/>
  </r>
  <r>
    <x v="2"/>
    <x v="0"/>
    <s v="Programas de inversión privada"/>
    <s v="4.1.15"/>
    <x v="60"/>
    <s v="Implementar y promover la certificación de plantaciones de 2161 pequeños productores, los cuales tienen 8,211 ha. La certificación RSPO permite facilitar el acceso a los mercados de los productos derivados de la palma aceitera. Esta intervención forma parte del fortalecimiento de la infraestrucura de la calidad en las cadenas."/>
    <s v="R"/>
    <x v="1"/>
    <x v="5"/>
    <s v="COMP 3"/>
    <s v="PRODUCCIÓN"/>
    <s v="MERCADO"/>
    <s v="C9"/>
    <s v="Hectáreas certificadas"/>
    <n v="0"/>
    <n v="2463.2999999999997"/>
    <n v="4105.5"/>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6156082.2959999992"/>
    <n v="10260137.16"/>
    <n v="1231216.4591999999"/>
    <n v="1231216.4591999999"/>
    <n v="1231216.4591999999"/>
    <n v="1231216.4591999999"/>
    <n v="1231216.4591999999"/>
    <n v="0"/>
    <m/>
    <m/>
    <s v="X"/>
    <m/>
    <m/>
    <n v="3"/>
    <n v="1"/>
  </r>
  <r>
    <x v="2"/>
    <x v="0"/>
    <s v="Programas de inversión pública"/>
    <s v="4.1.16"/>
    <x v="15"/>
    <s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
    <s v="NR"/>
    <x v="1"/>
    <x v="2"/>
    <s v="COMP 4 "/>
    <s v="PRODUCCIÓN"/>
    <s v="TECNOLOGÍA"/>
    <s v="C17"/>
    <s v="Unidades semilleristas"/>
    <n v="0"/>
    <n v="3"/>
    <n v="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45000"/>
    <n v="75000"/>
    <n v="9000"/>
    <n v="9000"/>
    <n v="9000"/>
    <n v="9000"/>
    <n v="9000"/>
    <n v="0"/>
    <m/>
    <m/>
    <s v="X"/>
    <m/>
    <m/>
    <n v="2"/>
    <n v="1"/>
  </r>
  <r>
    <x v="2"/>
    <x v="0"/>
    <s v="Control y vigilancia"/>
    <s v="4.1.17"/>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s v="X"/>
    <m/>
    <m/>
    <m/>
    <m/>
    <n v="3"/>
    <n v="1"/>
  </r>
  <r>
    <x v="2"/>
    <x v="2"/>
    <s v="Invasiones"/>
    <s v="4.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259.94579468684702"/>
    <n v="129.97289734342351"/>
    <n v="129.972897343423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9945.79468684702"/>
    <n v="259945.79468684702"/>
    <n v="25994.579468684704"/>
    <n v="38991.869203027054"/>
    <n v="51989.158937369408"/>
    <n v="77983.738406054108"/>
    <n v="64986.448671711754"/>
    <n v="0"/>
    <m/>
    <m/>
    <s v="X"/>
    <m/>
    <s v="RE"/>
    <n v="3"/>
    <n v="1"/>
  </r>
  <r>
    <x v="2"/>
    <x v="2"/>
    <s v="Programas de inversión pública"/>
    <s v="4.2.2"/>
    <x v="18"/>
    <s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s v="ASISTENCIA TÉCNICA"/>
    <s v="C1"/>
    <s v="Ganaderos asistidos"/>
    <n v="1214"/>
    <n v="1214"/>
    <n v="121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679840"/>
    <n v="679840"/>
    <n v="135968"/>
    <n v="135968"/>
    <n v="135968"/>
    <n v="135968"/>
    <n v="135968"/>
    <n v="0"/>
    <m/>
    <m/>
    <s v="X"/>
    <m/>
    <s v="RE"/>
    <n v="3"/>
    <n v="1"/>
  </r>
  <r>
    <x v="2"/>
    <x v="2"/>
    <s v="Programas de inversión pública"/>
    <s v="4.2.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s v="TECNOLOGÍA"/>
    <s v="C17"/>
    <s v="Hectáreas intervenidas"/>
    <n v="3975"/>
    <n v="795"/>
    <n v="795"/>
    <n v="500"/>
    <s v="El costo incluye adquisición de semillas, insumos, fertilizantes, entre otras para la producción de plantas agroforestales o coberturas  verdes."/>
    <s v="DRASAM"/>
    <n v="397500"/>
    <n v="397500"/>
    <n v="79500"/>
    <n v="79500"/>
    <n v="79500"/>
    <n v="79500"/>
    <n v="79500"/>
    <n v="0"/>
    <m/>
    <m/>
    <s v="X"/>
    <m/>
    <s v="RE"/>
    <n v="2"/>
    <n v="1"/>
  </r>
  <r>
    <x v="2"/>
    <x v="2"/>
    <s v="Programas de inversión pública"/>
    <s v="4.2.4"/>
    <x v="19"/>
    <s v="Reactivación  , implementación y gestión de las postas de inseminación artificial, importación de material genético (pajillas de semen), capacitación y entrenamiento a inseminadores, transferencia de embriones."/>
    <s v="R"/>
    <x v="1"/>
    <x v="2"/>
    <s v="COMP 4 "/>
    <s v="PRODUCCIÓN"/>
    <s v="TECNOLOGÍA"/>
    <s v="C17"/>
    <s v="Postas activas y operativas"/>
    <n v="0"/>
    <n v="3"/>
    <n v="3"/>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822000"/>
    <n v="822000"/>
    <n v="164400"/>
    <n v="164400"/>
    <n v="164400"/>
    <n v="164400"/>
    <n v="164400"/>
    <n v="0"/>
    <m/>
    <s v="X"/>
    <m/>
    <m/>
    <m/>
    <n v="3"/>
    <n v="1"/>
  </r>
  <r>
    <x v="2"/>
    <x v="2"/>
    <s v="Ingresos y Capital"/>
    <s v="4.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
    <s v="R"/>
    <x v="1"/>
    <x v="3"/>
    <s v="COMP 11"/>
    <s v="PRODUCCIÓN"/>
    <s v="FINANCIAMIENTO"/>
    <s v="C6"/>
    <s v="Créditos otorgados"/>
    <n v="1214"/>
    <n v="364.2"/>
    <n v="242.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3915150"/>
    <n v="2610100"/>
    <n v="783030"/>
    <n v="783030"/>
    <n v="783030"/>
    <n v="783030"/>
    <n v="783030"/>
    <n v="0"/>
    <s v="X"/>
    <m/>
    <m/>
    <m/>
    <s v="RE"/>
    <n v="3"/>
    <n v="1"/>
  </r>
  <r>
    <x v="2"/>
    <x v="2"/>
    <s v="Programas de inversión pública"/>
    <s v="4.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s v="ASOCIATIVIDAD"/>
    <s v="C2"/>
    <s v="Organizaciones fortalecidas"/>
    <n v="0"/>
    <n v="4"/>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2400000"/>
    <n v="3000000"/>
    <n v="480000"/>
    <n v="480000"/>
    <n v="480000"/>
    <n v="480000"/>
    <n v="480000"/>
    <n v="0"/>
    <m/>
    <m/>
    <s v="X"/>
    <m/>
    <m/>
    <n v="3"/>
    <n v="1"/>
  </r>
  <r>
    <x v="2"/>
    <x v="2"/>
    <s v="Programas de inversión privada"/>
    <s v="4.2.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s v="TECNOLOGÍA"/>
    <s v="C17"/>
    <s v="Planes de negocios implementados"/>
    <n v="0"/>
    <n v="6"/>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4800000"/>
    <n v="8000000"/>
    <n v="960000"/>
    <n v="960000"/>
    <n v="960000"/>
    <n v="960000"/>
    <n v="960000"/>
    <n v="0"/>
    <s v="X"/>
    <m/>
    <m/>
    <m/>
    <m/>
    <n v="3"/>
    <n v="1"/>
  </r>
  <r>
    <x v="2"/>
    <x v="2"/>
    <s v="Control y vigilancia"/>
    <s v="4.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15"/>
    <n v="1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50000"/>
    <n v="150000"/>
    <n v="30000"/>
    <n v="30000"/>
    <n v="30000"/>
    <n v="30000"/>
    <n v="30000"/>
    <n v="0"/>
    <s v="X"/>
    <m/>
    <m/>
    <m/>
    <m/>
    <n v="2"/>
    <n v="1"/>
  </r>
  <r>
    <x v="2"/>
    <x v="12"/>
    <s v="Invasiones"/>
    <s v="4.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398.95671568802999"/>
    <n v="199.47835784401499"/>
    <n v="199.47835784401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398956.71568803"/>
    <n v="398956.71568803"/>
    <n v="39895.671568803002"/>
    <n v="59843.507353204499"/>
    <n v="79791.343137606003"/>
    <n v="119687.014706409"/>
    <n v="99739.178922007501"/>
    <n v="0"/>
    <m/>
    <m/>
    <s v="X"/>
    <m/>
    <m/>
    <n v="3"/>
    <n v="1"/>
  </r>
  <r>
    <x v="2"/>
    <x v="12"/>
    <s v="Ingresos y Capital"/>
    <s v="4.3.2"/>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x v="3"/>
    <s v="COMP 11"/>
    <s v="PRODUCCIÓN"/>
    <s v="FINANCIAMIENTO"/>
    <s v="C6"/>
    <s v="Productores atendidos"/>
    <n v="2161"/>
    <n v="648.29999999999995"/>
    <n v="432.2000000000000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6969224.9999999991"/>
    <n v="4646150.0000000009"/>
    <n v="1393845"/>
    <n v="1393845"/>
    <n v="1393845"/>
    <n v="1393845"/>
    <n v="1393845"/>
    <n v="0"/>
    <m/>
    <m/>
    <s v="X"/>
    <m/>
    <m/>
    <n v="3"/>
    <n v="1"/>
  </r>
  <r>
    <x v="2"/>
    <x v="12"/>
    <s v="Programas de inversión privada"/>
    <s v="4.3.3"/>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x v="5"/>
    <s v="COMP 3"/>
    <s v="PRODUCCIÓN"/>
    <s v="MERCADO"/>
    <s v="C9"/>
    <s v="Especialistas"/>
    <n v="0"/>
    <n v="2"/>
    <n v="2"/>
    <n v="3500"/>
    <s v="El costo incluye la contratación de profesionales que se encarguen de identificar propuestas de alianzas comerciales entre productores y empresas privadas."/>
    <s v="Drasam"/>
    <n v="420000"/>
    <n v="420000"/>
    <n v="84000"/>
    <n v="84000"/>
    <n v="84000"/>
    <n v="84000"/>
    <n v="84000"/>
    <n v="0"/>
    <s v="X"/>
    <m/>
    <m/>
    <m/>
    <m/>
    <n v="3"/>
    <n v="1"/>
  </r>
  <r>
    <x v="2"/>
    <x v="12"/>
    <s v="Programas de inversión privada"/>
    <s v="4.3.4"/>
    <x v="63"/>
    <s v="Promover el financiamiento para el desarrollo e implementación de estudios de umbrales de carbono en el suelo y en los bosques."/>
    <s v="NR"/>
    <x v="1"/>
    <x v="5"/>
    <s v="COMP 3"/>
    <s v="PRODUCCIÓN"/>
    <s v="MERCADO"/>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0"/>
    <n v="220400"/>
    <n v="220400"/>
    <n v="0"/>
    <n v="0"/>
    <n v="0"/>
    <n v="0"/>
    <s v="X"/>
    <m/>
    <m/>
    <m/>
    <m/>
    <n v="3"/>
    <n v="1"/>
  </r>
  <r>
    <x v="2"/>
    <x v="3"/>
    <s v="Invasiones"/>
    <s v="4.4.1"/>
    <x v="20"/>
    <s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_x000a_Saneamiento físico legal (georreferenciación, actualización gráfica, e inscripción en registros públicos), en concordancia con la R.M. 0370-2017-MINAGRI, de 2 comunidades nativas: MUSHUCK LLACTA DE CHIPAOTA y  CHARAPILLO."/>
    <s v="NR"/>
    <x v="0"/>
    <x v="0"/>
    <s v="COMP 8"/>
    <s v="PROTECCIÓN-GOBERNANZA"/>
    <s v="DERECHOS SOBRE LA TIERRA"/>
    <s v="C5"/>
    <s v="Comunidades tituladas"/>
    <n v="44"/>
    <n v="44"/>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3135000"/>
    <n v="0"/>
    <n v="627000"/>
    <n v="627000"/>
    <n v="627000"/>
    <n v="627000"/>
    <n v="627000"/>
    <n v="0"/>
    <m/>
    <m/>
    <s v="X"/>
    <m/>
    <m/>
    <n v="3"/>
    <n v="1"/>
  </r>
  <r>
    <x v="2"/>
    <x v="3"/>
    <s v="Programas de inversión pública"/>
    <s v="4.4.2"/>
    <x v="21"/>
    <s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x v="6"/>
    <s v="COMP 5"/>
    <s v="PROTECCIÓN"/>
    <s v="ASISTENCIA TÉCNICA"/>
    <s v="C1"/>
    <s v="Productor asistido"/>
    <n v="4700"/>
    <n v="4700"/>
    <n v="47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632000"/>
    <n v="2632000"/>
    <n v="526400"/>
    <n v="526400"/>
    <n v="526400"/>
    <n v="526400"/>
    <n v="526400"/>
    <n v="0"/>
    <m/>
    <m/>
    <s v="X"/>
    <m/>
    <s v="RE"/>
    <n v="3"/>
    <n v="1"/>
  </r>
  <r>
    <x v="2"/>
    <x v="3"/>
    <s v="Programas de inversión privada"/>
    <s v="4.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x v="7"/>
    <s v="COMP 6"/>
    <s v="PROTECCIÓN"/>
    <s v="INNOVACIÓN"/>
    <s v="C8"/>
    <s v="Planes de negocios"/>
    <n v="0"/>
    <n v="60"/>
    <n v="40"/>
    <n v="15000"/>
    <s v="Se contratará profesionales para el asesoramiento y formulación de planes de negocios de las Comunidades Nativas."/>
    <s v="Drasam, Agroideas, CODEPISAM"/>
    <n v="900000"/>
    <n v="600000"/>
    <n v="180000"/>
    <n v="180000"/>
    <n v="180000"/>
    <n v="180000"/>
    <n v="180000"/>
    <n v="0"/>
    <s v="X"/>
    <m/>
    <m/>
    <m/>
    <s v="RE"/>
    <n v="2"/>
    <n v="1"/>
  </r>
  <r>
    <x v="2"/>
    <x v="3"/>
    <s v="Programas de inversión pública"/>
    <s v="4.4.4"/>
    <x v="23"/>
    <s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x v="4"/>
    <s v="COMP 2"/>
    <s v="PRODUCCIÓN"/>
    <s v="ASOCIATIVIDAD"/>
    <s v="C2"/>
    <s v="Comunidades fortalecidas"/>
    <n v="47"/>
    <n v="27"/>
    <n v="20"/>
    <n v="288000"/>
    <s v="Contratación de especialistas para dar acompañamiento y seguimiento a los procesos organizativos de las CCNN de forma permanente."/>
    <s v="Drasam, Direpro, Dircetur, ARA, CODEPISAM"/>
    <n v="1440000"/>
    <n v="1440000"/>
    <n v="288000"/>
    <n v="288000"/>
    <n v="288000"/>
    <n v="288000"/>
    <n v="288000"/>
    <n v="0"/>
    <m/>
    <m/>
    <s v="X"/>
    <m/>
    <s v="RE"/>
    <n v="3"/>
    <n v="1"/>
  </r>
  <r>
    <x v="2"/>
    <x v="3"/>
    <s v="Programas de inversión privada"/>
    <s v="4.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x v="5"/>
    <s v="COMP 3"/>
    <s v="PRODUCCIÓN"/>
    <s v="MERCADO"/>
    <s v="C9"/>
    <s v="Especialistas"/>
    <n v="0"/>
    <n v="3"/>
    <n v="3"/>
    <n v="3500"/>
    <s v="Contratación de especialista para identificación, acompañamiento y seguimiento a los procesos comerciales iniciados por las organizaciones de las CCNN"/>
    <s v="Drasam, Direpro, Dircetur, ARA, OPIPs, CODEPISAM"/>
    <n v="630000"/>
    <n v="630000"/>
    <n v="126000"/>
    <n v="126000"/>
    <n v="126000"/>
    <n v="126000"/>
    <n v="126000"/>
    <n v="0"/>
    <s v="X"/>
    <m/>
    <m/>
    <m/>
    <s v="RE"/>
    <n v="3"/>
    <n v="1"/>
  </r>
  <r>
    <x v="2"/>
    <x v="3"/>
    <s v="Invasiones"/>
    <s v="4.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x v="3"/>
    <s v="COMP 11"/>
    <s v="PROTECCIÓN"/>
    <s v="FINANCIAMIENTO"/>
    <s v="C6"/>
    <s v="Comunidades atendidas"/>
    <n v="47"/>
    <n v="28.2"/>
    <n v="18.8"/>
    <n v="5000"/>
    <s v="El costo esta referido a los gastos administrativos y logísticos que impliquen la elaboración del expediente para ser presentado al programa. "/>
    <s v="Gerencia Regional de Desarrollo Social, Programa Geo bosques, CODEPISAM"/>
    <n v="705000"/>
    <n v="470000"/>
    <n v="141000"/>
    <n v="141000"/>
    <n v="141000"/>
    <n v="141000"/>
    <n v="141000"/>
    <n v="0"/>
    <m/>
    <m/>
    <s v="X"/>
    <m/>
    <m/>
    <n v="3"/>
    <n v="1"/>
  </r>
  <r>
    <x v="2"/>
    <x v="3"/>
    <s v="Programas de inversión pública"/>
    <s v="4.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x v="8"/>
    <s v="COMP 9"/>
    <s v="INCLUSION"/>
    <s v="SERVICIO DE EDUCACIÓN Y SALUD ADECUADOS"/>
    <s v="C14"/>
    <s v="Módulos implementados"/>
    <n v="4700"/>
    <n v="1410"/>
    <n v="940"/>
    <n v="30000"/>
    <s v="Implementación según las necesidades identificadas en cada comunidad, considerando si son aplicables en dichas zonas, si no hay restricciones de cualquier índole. "/>
    <s v="Goresam, MIDIS, DRTyTC, Drasam,Foncodes, Cooperación, CODEPISAM"/>
    <n v="42300000"/>
    <n v="28200000"/>
    <n v="8460000"/>
    <n v="8460000"/>
    <n v="8460000"/>
    <n v="8460000"/>
    <n v="8460000"/>
    <n v="0"/>
    <m/>
    <m/>
    <s v="X"/>
    <m/>
    <m/>
    <n v="3"/>
    <n v="1"/>
  </r>
  <r>
    <x v="2"/>
    <x v="3"/>
    <s v="Programas de inversión pública"/>
    <s v="4.4.8"/>
    <x v="27"/>
    <s v="Implementación de proyectos enfocados a mejorar los servicios básicos de las comunidades nativas, dichos servicios deberán contar con profesionales bilingües, para asegurar y garantizar la adecuada transferencia de dichos servicios.  "/>
    <s v="NR"/>
    <x v="0"/>
    <x v="8"/>
    <s v="COMP 9"/>
    <s v="INCLUSION"/>
    <s v="SERVICIO DE EDUCACIÓN Y SALUD ADECUADOS"/>
    <s v="C14"/>
    <s v="Escuelas y postas médicas implementadas"/>
    <n v="47"/>
    <n v="23.5"/>
    <n v="23.5"/>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17625000"/>
    <n v="17625000"/>
    <n v="3525000"/>
    <n v="3525000"/>
    <n v="3525000"/>
    <n v="3525000"/>
    <n v="3525000"/>
    <n v="0"/>
    <s v="X"/>
    <m/>
    <m/>
    <m/>
    <s v="RE"/>
    <n v="3"/>
    <n v="1"/>
  </r>
  <r>
    <x v="2"/>
    <x v="4"/>
    <s v="Programas de inversión privada"/>
    <s v="4.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s v="FINANCIAMIENTO"/>
    <s v="C6"/>
    <s v="Planes de negocios"/>
    <n v="0"/>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0000"/>
    <n v="120000"/>
    <n v="120000"/>
    <n v="120000"/>
    <n v="120000"/>
    <n v="120000"/>
    <n v="0"/>
    <s v="X"/>
    <m/>
    <m/>
    <m/>
    <s v="RE"/>
    <n v="3"/>
    <n v="1"/>
  </r>
  <r>
    <x v="2"/>
    <x v="4"/>
    <s v="Programas de inversión pública"/>
    <s v="4.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s v="ASISTENCIA TÉCNICA"/>
    <s v="C1"/>
    <s v="Especialistas"/>
    <n v="0"/>
    <n v="2"/>
    <n v="2"/>
    <n v="4000"/>
    <s v="Contratación de especialista y gastos logísticos, pasantías regionales y nacionales para adquisición de know how en materia de turismo rural"/>
    <s v="Dircetur"/>
    <n v="480000"/>
    <n v="480000"/>
    <n v="96000"/>
    <n v="96000"/>
    <n v="96000"/>
    <n v="96000"/>
    <n v="96000"/>
    <n v="0"/>
    <m/>
    <m/>
    <s v="X"/>
    <m/>
    <s v="RE"/>
    <n v="3"/>
    <n v="1"/>
  </r>
  <r>
    <x v="2"/>
    <x v="4"/>
    <s v="Programas de inversión privada"/>
    <s v="4.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s v="INNOVACIÓN"/>
    <s v="C8"/>
    <s v="Planes de negocio"/>
    <n v="0"/>
    <n v="5"/>
    <n v="5"/>
    <n v="150000"/>
    <s v="El costo hace referencia al proceso de implementación y funcionamiento de los productos para el desarrollo de  los emprendimientos."/>
    <s v="Dircetur, Agroideas"/>
    <n v="750000"/>
    <n v="750000"/>
    <n v="150000"/>
    <n v="150000"/>
    <n v="150000"/>
    <n v="150000"/>
    <n v="150000"/>
    <n v="0"/>
    <s v="X"/>
    <m/>
    <m/>
    <m/>
    <s v="RE"/>
    <n v="3"/>
    <n v="1"/>
  </r>
  <r>
    <x v="2"/>
    <x v="4"/>
    <s v="Programas de inversión privada"/>
    <s v="4.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s v="PROMOCIÓN ACTIVIDADES ECONÓMICOS"/>
    <s v="C11"/>
    <s v="rutas turísticas promocionados"/>
    <n v="0"/>
    <n v="2"/>
    <n v="2"/>
    <n v="40000"/>
    <s v="Participación en eventos de promoción (ferias regionales y nacionales, Fam Trip), el costo cubrirá gastos logísticos y administrativos de los operadores turísticos identificados "/>
    <s v="Mincetur, Dircetur"/>
    <n v="400000"/>
    <n v="400000"/>
    <n v="80000"/>
    <n v="80000"/>
    <n v="80000"/>
    <n v="80000"/>
    <n v="80000"/>
    <n v="0"/>
    <m/>
    <m/>
    <s v="X"/>
    <m/>
    <s v="RE"/>
    <n v="3"/>
    <n v="1"/>
  </r>
  <r>
    <x v="2"/>
    <x v="13"/>
    <s v="Control y vigilancia"/>
    <s v="4.6.1"/>
    <x v="35"/>
    <s v="Implementar con recursos necesarios al ente que administra el área, con la finalidad de aumentar el número de personas (guardaparques) que contribuyan a realizar acciones de control y vigilancia."/>
    <s v="NR"/>
    <x v="2"/>
    <x v="6"/>
    <s v="COMP 5"/>
    <s v="PROTECCIÓN-GOBERNANZA"/>
    <s v="CONTROL Y VIGILANCIA"/>
    <s v="C4"/>
    <s v="Número de guardaparques"/>
    <n v="0"/>
    <n v="5"/>
    <n v="5"/>
    <n v="2000"/>
    <s v="Contratación a guardaparques para garantizar el control y vigilancia del área otorgada."/>
    <s v="Ara, serfor, Sernanp"/>
    <n v="600000"/>
    <n v="600000"/>
    <n v="120000"/>
    <n v="120000"/>
    <n v="120000"/>
    <n v="120000"/>
    <n v="120000"/>
    <n v="0"/>
    <m/>
    <s v="X"/>
    <m/>
    <m/>
    <s v="RE"/>
    <n v="3"/>
    <n v="1"/>
  </r>
  <r>
    <x v="2"/>
    <x v="13"/>
    <s v="Control y vigilancia"/>
    <s v="4.6.2"/>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x v="6"/>
    <s v="COMP 5"/>
    <s v="PROTECCIÓN-GOBERNANZA"/>
    <s v="CONTROL Y VIGILANCIA"/>
    <s v="C4"/>
    <s v="Campañas de sensibilización"/>
    <n v="0"/>
    <n v="45"/>
    <n v="45"/>
    <n v="8000"/>
    <s v="Campañas de sensibilización con equipos técnicos de las instituciones involucradas, gastos logísticos, impresión de material de difusión, publicidad radial, televisiva y escrita."/>
    <s v="Ara, serfor, Sernanp"/>
    <n v="1800000"/>
    <n v="1800000"/>
    <n v="360000"/>
    <n v="360000"/>
    <n v="360000"/>
    <n v="360000"/>
    <n v="360000"/>
    <n v="0"/>
    <m/>
    <s v="X"/>
    <m/>
    <m/>
    <s v="RE"/>
    <n v="3"/>
    <n v="1"/>
  </r>
  <r>
    <x v="2"/>
    <x v="13"/>
    <s v="Programas de inversión pública"/>
    <s v="4.6.3"/>
    <x v="64"/>
    <s v="Actualización y elaboración de planes de gestión comunal de las localidades acentuadas en las zonas de amortiguamiento con la finalidad de orientar adecuadamente la implementación y ejecución de proyectos."/>
    <s v="NR"/>
    <x v="0"/>
    <x v="8"/>
    <s v="COMP 9"/>
    <s v="HABILITANTE"/>
    <s v="PLANES DE VIDA"/>
    <s v="C10"/>
    <s v="Planes de gestión comunal"/>
    <n v="0"/>
    <n v="9"/>
    <n v="15"/>
    <n v="10000"/>
    <s v="Contratación de servicios profesionales para la elaboración de los planes de gestión comunal."/>
    <s v="Dircetur, Mincetur"/>
    <n v="90000"/>
    <n v="150000"/>
    <n v="18000"/>
    <n v="18000"/>
    <n v="18000"/>
    <n v="18000"/>
    <n v="18000"/>
    <n v="0"/>
    <m/>
    <s v="X"/>
    <m/>
    <m/>
    <m/>
    <n v="3"/>
    <n v="1"/>
  </r>
  <r>
    <x v="2"/>
    <x v="13"/>
    <s v="Programas de inversión privada"/>
    <s v="4.6.4"/>
    <x v="65"/>
    <s v="Campañas de promoción y difusión en el ámbito regional y nacional de los circuitos turísticos que existen en la zona de amortiguamiento."/>
    <s v="NR"/>
    <x v="2"/>
    <x v="7"/>
    <s v="COMP 6"/>
    <s v="PROTECCIÓN"/>
    <s v="PROMOCIÓN ACTIVIDADES ECONÓMICOS"/>
    <s v="C11"/>
    <s v="Campañas de promoción"/>
    <n v="0"/>
    <n v="12"/>
    <n v="12"/>
    <n v="4000"/>
    <s v="Campañas de promoción que incluye, impresión de material de difusión, publicidad radial, televisiva y escrita."/>
    <s v="Dircetur, Mincetur"/>
    <n v="240000"/>
    <n v="240000"/>
    <n v="48000"/>
    <n v="48000"/>
    <n v="48000"/>
    <n v="48000"/>
    <n v="48000"/>
    <n v="0"/>
    <m/>
    <m/>
    <s v="X"/>
    <m/>
    <m/>
    <n v="3"/>
    <n v="1"/>
  </r>
  <r>
    <x v="2"/>
    <x v="13"/>
    <s v="Programas de inversión privada"/>
    <s v="4.6.5"/>
    <x v="66"/>
    <s v="Pasantías regionales con productores con la finalidad de conocer  los diferentes sistemas productivos sostenibles a ser replicados en las comunidades."/>
    <s v="NR"/>
    <x v="2"/>
    <x v="7"/>
    <s v="COMP 6"/>
    <s v="PROTECCIÓN"/>
    <s v="PROMOCIÓN ACTIVIDADES ECONÓMICOS"/>
    <s v="C11"/>
    <s v="Pasantías"/>
    <n v="0"/>
    <n v="6"/>
    <n v="6"/>
    <n v="2500"/>
    <s v="El costo hace referencia a los gastos de pasajes, alimentación y otros para un grupo de 20 productores por pasantía."/>
    <s v="Drasam"/>
    <n v="75000"/>
    <n v="75000"/>
    <n v="15000"/>
    <n v="15000"/>
    <n v="15000"/>
    <n v="15000"/>
    <n v="15000"/>
    <n v="0"/>
    <m/>
    <m/>
    <s v="X"/>
    <m/>
    <m/>
    <n v="2"/>
    <n v="1"/>
  </r>
  <r>
    <x v="2"/>
    <x v="13"/>
    <s v="Programas de inversión pública"/>
    <s v="4.6.6"/>
    <x v="67"/>
    <s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x v="6"/>
    <s v="COMP 5"/>
    <s v="PROTECCIÓN"/>
    <s v="SERVICIOS ECOSISTÉMICOS"/>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000000"/>
    <n v="9400000"/>
    <n v="9400000"/>
    <n v="9400000"/>
    <n v="9400000"/>
    <n v="9400000"/>
    <n v="0"/>
    <m/>
    <m/>
    <s v="X"/>
    <m/>
    <m/>
    <n v="3"/>
    <n v="1"/>
  </r>
  <r>
    <x v="2"/>
    <x v="13"/>
    <s v="Ingresos y Capital"/>
    <s v="4.6.7"/>
    <x v="28"/>
    <s v="Implementación de planes de negocios para el desarrollo de rutas turísticas, turismo vivencial comunitario, y otras modalidades de servicios que sean generadoras de ingresos económicos, respetando el medio ambiente."/>
    <s v="NR"/>
    <x v="2"/>
    <x v="3"/>
    <s v="COMP 11"/>
    <s v="PROTECCIÓN"/>
    <s v="FINANCIAMIENTO"/>
    <s v="C6"/>
    <s v="Planes de negocios"/>
    <n v="0"/>
    <n v="5"/>
    <n v="8"/>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
    <n v="800000"/>
    <n v="100000"/>
    <n v="100000"/>
    <n v="100000"/>
    <n v="100000"/>
    <n v="100000"/>
    <n v="0"/>
    <s v="X"/>
    <m/>
    <m/>
    <m/>
    <s v="RE"/>
    <n v="3"/>
    <n v="1"/>
  </r>
  <r>
    <x v="2"/>
    <x v="13"/>
    <s v="Programas de inversión pública"/>
    <s v="4.6.8"/>
    <x v="68"/>
    <s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x v="6"/>
    <s v="COMP 5"/>
    <s v="PROTECCIÓN"/>
    <s v="ASISTENCIA TÉCNICA"/>
    <s v="C1"/>
    <s v="Especialistas"/>
    <n v="0"/>
    <n v="8"/>
    <n v="8"/>
    <n v="3500"/>
    <s v="El costo comprende la contratación de profesionales para brindar asistencias técnica en los cultivos priorizados en la zona de intervención."/>
    <s v="Drasam"/>
    <n v="1680000"/>
    <n v="1680000"/>
    <n v="336000"/>
    <n v="336000"/>
    <n v="336000"/>
    <n v="336000"/>
    <n v="336000"/>
    <n v="0"/>
    <s v="X"/>
    <m/>
    <m/>
    <m/>
    <s v="RE"/>
    <n v="3"/>
    <n v="1"/>
  </r>
  <r>
    <x v="2"/>
    <x v="8"/>
    <s v="Invasiones"/>
    <s v="4.7.1"/>
    <x v="40"/>
    <s v="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
    <s v="NR"/>
    <x v="0"/>
    <x v="0"/>
    <s v="COMP 8"/>
    <s v="PROTECCIÓN-GOBERNANZA"/>
    <s v="DERECHOS SOBRE LA TIERRA"/>
    <s v="C5"/>
    <s v="Ha. con categoría territorial asignada"/>
    <n v="80543.826408249835"/>
    <n v="40271.913204124918"/>
    <n v="40271.913204124918"/>
    <n v="15"/>
    <s v="Para la implementación de las intervención será mecesario la contratación de especialistas para realizar las acciones que comtemplen dicha actividad. Gastos logísticos y trámites documentarios."/>
    <s v="GRSM - DEGT"/>
    <n v="604078.69806187379"/>
    <n v="604078.69806187379"/>
    <n v="120815.73961237476"/>
    <n v="120815.73961237476"/>
    <n v="120815.73961237476"/>
    <n v="120815.73961237476"/>
    <n v="120815.73961237476"/>
    <n v="0"/>
    <m/>
    <s v="X"/>
    <m/>
    <m/>
    <m/>
    <n v="3"/>
    <n v="1"/>
  </r>
  <r>
    <x v="2"/>
    <x v="8"/>
    <s v="Control y vigilancia"/>
    <s v="4.7.2"/>
    <x v="41"/>
    <s v="Comprende la capacitación en manejo de normatividad forestal y manejo de bosques, contratación de especialistas para tener presencia física en el área, equipamiento e infraestructura."/>
    <s v="NR"/>
    <x v="0"/>
    <x v="0"/>
    <s v="COMP 8"/>
    <s v="PROTECCIÓN-GOBERNANZA"/>
    <s v="DERECHOS SOBRE LA TIERRA"/>
    <s v="C5"/>
    <s v="N° de responsables de administración que aprueban evaluación de capacitación "/>
    <n v="0"/>
    <n v="40"/>
    <n v="40"/>
    <n v="150"/>
    <s v="Considera materiales de capacitación, alimentación a capacitados en el área cercana a su comunidad y gastos de capacitadores"/>
    <s v="GRSM - DEGT"/>
    <n v="6000"/>
    <n v="6000"/>
    <n v="6000"/>
    <n v="0"/>
    <n v="0"/>
    <n v="0"/>
    <n v="0"/>
    <n v="0"/>
    <m/>
    <s v="X"/>
    <m/>
    <m/>
    <m/>
    <n v="2"/>
    <n v="1"/>
  </r>
  <r>
    <x v="2"/>
    <x v="8"/>
    <s v="Control y vigilancia"/>
    <s v="4.7.3"/>
    <x v="42"/>
    <s v="Dependiendo de la categoría forestal a ser aplicada, se realizará un plan/declaración acorde la unidad, en el marco de la ley forestal y fauna silvestre N° 29763."/>
    <s v="NR"/>
    <x v="0"/>
    <x v="0"/>
    <s v="COMP 8"/>
    <s v="PROTECCIÓN-GOBERNANZA"/>
    <s v="DERECHOS SOBRE LA TIERRA"/>
    <s v="C5"/>
    <s v="N° Planes / Declaraciones elaborados"/>
    <n v="0"/>
    <n v="8"/>
    <n v="8"/>
    <n v="10000"/>
    <s v="Se considera la contratación de profesionales para la elaboración de los expedientes y/o declaraciones identificadas en los diferentes procesos."/>
    <s v="GRSM - DEGT"/>
    <n v="80000"/>
    <n v="80000"/>
    <n v="24000"/>
    <n v="24000"/>
    <n v="32000"/>
    <n v="0"/>
    <n v="0"/>
    <n v="0"/>
    <m/>
    <s v="X"/>
    <m/>
    <m/>
    <m/>
    <n v="2"/>
    <n v="1"/>
  </r>
  <r>
    <x v="2"/>
    <x v="8"/>
    <s v="Invasiones"/>
    <s v="4.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s v="DERECHOS SOBRE LA TIERRA"/>
    <s v="C5"/>
    <s v="Ha. Inscritas"/>
    <n v="80543.826408249835"/>
    <n v="40271.913204124918"/>
    <n v="40271.913204124918"/>
    <n v="1"/>
    <s v="Contratación de dos profesioales para agilizar procesos con sunarp."/>
    <s v="GRSM - DEGT"/>
    <n v="40271.913204124918"/>
    <n v="40271.913204124918"/>
    <n v="8054.3826408249843"/>
    <n v="8054.3826408249843"/>
    <n v="8054.3826408249843"/>
    <n v="8054.3826408249843"/>
    <n v="8054.3826408249843"/>
    <n v="0"/>
    <m/>
    <s v="X"/>
    <m/>
    <m/>
    <m/>
    <n v="2"/>
    <n v="1"/>
  </r>
  <r>
    <x v="2"/>
    <x v="9"/>
    <s v="Invasiones"/>
    <s v="4.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s v="DERECHOS SOBRE LA TIERRA"/>
    <s v="C5"/>
    <s v="Ha. con categoría territorial asignada"/>
    <n v="0"/>
    <n v="47298.808366990103"/>
    <n v="47298.808366990103"/>
    <n v="15"/>
    <s v="Para la implementación de las intervención será mecesario la contratación de especialistas para realizar las acciones que comtemplen dicha actividad. Gastos logísticos y trámites documentarios."/>
    <s v="GRSM - DEGT"/>
    <n v="709482.12550485157"/>
    <n v="709482.12550485157"/>
    <n v="141896.42510097031"/>
    <n v="141896.42510097031"/>
    <n v="141896.42510097031"/>
    <n v="141896.42510097031"/>
    <n v="141896.42510097031"/>
    <n v="0"/>
    <m/>
    <s v="X"/>
    <m/>
    <m/>
    <m/>
    <n v="3"/>
    <n v="1"/>
  </r>
  <r>
    <x v="2"/>
    <x v="9"/>
    <s v="Control y vigilancia"/>
    <s v="4.8.2"/>
    <x v="41"/>
    <s v="Comprende la capacitación en manejo de normatividad forestal y manejo de bosques, contratación de especialistas para tener presencia física en el área, equipamiento e infraestructura."/>
    <s v="NR"/>
    <x v="0"/>
    <x v="0"/>
    <s v="COMP 8"/>
    <s v="PROTECCIÓN-GOBERNANZA"/>
    <s v="DERECHOS SOBRE LA TIERRA"/>
    <s v="C5"/>
    <s v="N° de responsables de administración que aprueban evaluación de capacitación "/>
    <n v="0"/>
    <n v="90"/>
    <n v="90"/>
    <n v="150"/>
    <s v="Considera materiales de capacitación, alimentación a capacitados en el área cercana a su comunidad y gastos de capacitadores"/>
    <s v="GRSM - DEGT"/>
    <n v="13500"/>
    <n v="13500"/>
    <n v="13500"/>
    <n v="0"/>
    <n v="0"/>
    <n v="0"/>
    <n v="0"/>
    <n v="0"/>
    <m/>
    <s v="X"/>
    <m/>
    <m/>
    <m/>
    <n v="2"/>
    <n v="1"/>
  </r>
  <r>
    <x v="2"/>
    <x v="9"/>
    <s v="Control y vigilancia"/>
    <s v="4.8.3"/>
    <x v="42"/>
    <s v="Dependiendo de la categoría forestal a ser aplicada, se realizará un plan/declaración acorde a la unidad, en el marco de la ley forestal y fauna silvestre N° 29763."/>
    <s v="NR"/>
    <x v="0"/>
    <x v="0"/>
    <s v="COMP 8"/>
    <s v="PROTECCIÓN-GOBERNANZA"/>
    <s v="DERECHOS SOBRE LA TIERRA"/>
    <s v="C5"/>
    <s v="N° Planes / Declaraciones elaborados"/>
    <n v="0"/>
    <n v="2"/>
    <n v="2"/>
    <n v="10000"/>
    <s v="Se considera la contratación de profesionales para la elaboración de los expedientes y/o declaraciones identificadas en los diferentes procesos."/>
    <s v="GRSM - DEGT"/>
    <n v="20000"/>
    <n v="20000"/>
    <n v="6000"/>
    <n v="6000"/>
    <n v="8000"/>
    <n v="0"/>
    <n v="0"/>
    <n v="0"/>
    <m/>
    <s v="X"/>
    <m/>
    <m/>
    <m/>
    <n v="2"/>
    <n v="1"/>
  </r>
  <r>
    <x v="2"/>
    <x v="9"/>
    <s v="Invasiones"/>
    <s v="4.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s v="DERECHOS SOBRE LA TIERRA"/>
    <s v="C5"/>
    <s v="Ha. Inscritas"/>
    <n v="0"/>
    <n v="47298.808366990103"/>
    <n v="47298.808366990103"/>
    <n v="1"/>
    <s v="Contratación de dos profesioales para agilizar procesos con sunarp."/>
    <s v="GRSM - DEGT"/>
    <n v="47298.808366990103"/>
    <n v="47298.808366990103"/>
    <n v="9459.7616733980212"/>
    <n v="9459.7616733980212"/>
    <n v="9459.7616733980212"/>
    <n v="9459.7616733980212"/>
    <n v="9459.7616733980212"/>
    <n v="0"/>
    <m/>
    <s v="X"/>
    <m/>
    <m/>
    <m/>
    <n v="2"/>
    <n v="1"/>
  </r>
  <r>
    <x v="2"/>
    <x v="9"/>
    <s v="Ingresos y Capital"/>
    <s v="4.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s v="DERECHOS SOBRE LA TIERRA"/>
    <s v="C5"/>
    <s v="Hectáreas restauradas"/>
    <n v="0"/>
    <n v="7171.9365069078503"/>
    <n v="7171.9365069078503"/>
    <n v="500"/>
    <s v="El costo incluye la restauración de una hectárea, esta actividad se desarrollara de acuerdo a la metodología propuesta por el ARA, en coordinación con los productores seleccionados."/>
    <s v="ARA"/>
    <n v="3585968.2534539253"/>
    <n v="3585968.2534539253"/>
    <n v="3585968.2534539253"/>
    <n v="0"/>
    <n v="0"/>
    <n v="0"/>
    <n v="0"/>
    <n v="0"/>
    <m/>
    <s v="X"/>
    <m/>
    <m/>
    <m/>
    <n v="3"/>
    <n v="1"/>
  </r>
  <r>
    <x v="2"/>
    <x v="10"/>
    <s v="Programas de inversión pública"/>
    <s v="4.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8"/>
    <s v="HABILITANTE"/>
    <s v="TRANSVERSALES X UDT"/>
    <s v="C18"/>
    <s v="Acuerdos con rondas campesinas"/>
    <n v="0"/>
    <n v="19"/>
    <n v="19"/>
    <n v="2500"/>
    <s v="Reuniones con los diferentes actores involucrados y la sociedad civil para llegar a acuerdos de no deforestación, lo cual incluye  gastos logísticos en general."/>
    <s v="GRIS"/>
    <n v="237500"/>
    <n v="237500"/>
    <n v="47500"/>
    <n v="47500"/>
    <n v="47500"/>
    <n v="47500"/>
    <n v="47500"/>
    <n v="0"/>
    <s v="X"/>
    <m/>
    <m/>
    <m/>
    <m/>
    <n v="3"/>
    <n v="1"/>
  </r>
  <r>
    <x v="2"/>
    <x v="10"/>
    <s v="Programas de inversión pública"/>
    <s v="4.9.2"/>
    <x v="48"/>
    <s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x v="9"/>
    <s v="COMP 10"/>
    <s v="HABILITANTE"/>
    <s v="TRANSVERSALES X UDT"/>
    <s v="C18"/>
    <s v="Kilómetros mejorados"/>
    <n v="328"/>
    <n v="32.800000000000004"/>
    <n v="32.800000000000004"/>
    <n v="800000"/>
    <s v="Costo promedio de por km2 de vía mejorada o asfaltada"/>
    <s v="DRTyTC"/>
    <n v="26240000.000000004"/>
    <n v="26240000.000000004"/>
    <n v="5248000.0000000009"/>
    <n v="5248000.0000000009"/>
    <n v="5248000.0000000009"/>
    <n v="5248000.0000000009"/>
    <n v="5248000.0000000009"/>
    <n v="0"/>
    <s v="X"/>
    <m/>
    <m/>
    <m/>
    <m/>
    <n v="2"/>
    <n v="1"/>
  </r>
  <r>
    <x v="2"/>
    <x v="10"/>
    <s v="Programas de inversión pública"/>
    <s v="4.9.3"/>
    <x v="49"/>
    <s v="Ejecución de proyectos de restauración dentro de las áreas con prioridad alta. La GRDE, el ARA y los proyectos especiales a través de sus diferentes direcciones de línea, deberán implementar esta actividad a través de los PIP y actividades propias de las direcciones."/>
    <s v="NR"/>
    <x v="2"/>
    <x v="6"/>
    <s v="COMP 5"/>
    <s v="PROTECCIÓN"/>
    <s v="TRANSVERSALES X UDT"/>
    <s v="C18"/>
    <s v="Hectáreas restauradas"/>
    <n v="3078.73"/>
    <n v="1539.365"/>
    <n v="1539.365"/>
    <n v="500"/>
    <s v="El costo incluye la restauración de una hectárea, esta actividad se desarrollara de acuerdo a la metodología propuesta por el ARA, en coordinación con los productores seleccionados."/>
    <s v="ARA"/>
    <n v="769682.5"/>
    <n v="769682.5"/>
    <n v="153936.5"/>
    <n v="153936.5"/>
    <n v="153936.5"/>
    <n v="153936.5"/>
    <n v="153936.5"/>
    <n v="0"/>
    <m/>
    <m/>
    <s v="X"/>
    <m/>
    <s v="RE"/>
    <n v="3"/>
    <n v="1"/>
  </r>
  <r>
    <x v="2"/>
    <x v="10"/>
    <s v="Programas de inversión pública"/>
    <s v="4.9.4"/>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x v="8"/>
    <s v="COMP 9"/>
    <s v="INCLUSION"/>
    <s v="TRANSVERSALES X UDT"/>
    <s v="C18"/>
    <s v="Centros de salud y colegios implementados"/>
    <n v="0"/>
    <n v="2"/>
    <n v="2"/>
    <n v="3500000"/>
    <s v="Construcción e implementación de centros educativos y postas medicas"/>
    <s v="DRTyTC"/>
    <n v="7000000"/>
    <n v="7000000"/>
    <n v="1400000"/>
    <n v="2100000"/>
    <n v="3500000"/>
    <n v="0"/>
    <n v="0"/>
    <n v="0"/>
    <m/>
    <s v="X"/>
    <m/>
    <m/>
    <s v="RE"/>
    <n v="3"/>
    <n v="1"/>
  </r>
  <r>
    <x v="2"/>
    <x v="10"/>
    <s v="Programas de inversión pública"/>
    <s v="4.9.5"/>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x v="8"/>
    <s v="COMP 9"/>
    <s v="INCLUSION"/>
    <s v="TRANSVERSALES X UDT"/>
    <s v="C18"/>
    <s v="N° campañas"/>
    <n v="0"/>
    <n v="135.52500000000001"/>
    <n v="135.52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388125"/>
    <n v="3388125"/>
    <n v="677625"/>
    <n v="677625"/>
    <n v="677625"/>
    <n v="677625"/>
    <n v="677625"/>
    <n v="0"/>
    <m/>
    <s v="X"/>
    <m/>
    <m/>
    <s v="RE"/>
    <n v="3"/>
    <n v="1"/>
  </r>
  <r>
    <x v="2"/>
    <x v="10"/>
    <s v="Programas de inversión pública"/>
    <s v="4.9.6"/>
    <x v="52"/>
    <s v="Promoción al acceso de la marca con los productores que cumplan los criterios de elegibilidad solicitados por el programa, como una estrategia de ubicar mercados diferenciados para los productos provenientes de estas zonas."/>
    <s v="NR"/>
    <x v="1"/>
    <x v="5"/>
    <s v="COMP 3"/>
    <s v="PRODUCCIÓN"/>
    <s v="TRANSVERSALES X UDT"/>
    <s v="C18"/>
    <s v="Organizaciones que acceden a la marca"/>
    <n v="0"/>
    <n v="10"/>
    <n v="15"/>
    <n v="3000"/>
    <s v="El costo incluye: Una inspección anual anunciada,  elaboración de informe de inspección, administración y comunicación, certificación según los estándares de la marca."/>
    <s v="GRDE"/>
    <n v="150000"/>
    <n v="225000"/>
    <n v="30000"/>
    <n v="30000"/>
    <n v="30000"/>
    <n v="30000"/>
    <n v="30000"/>
    <n v="0"/>
    <m/>
    <m/>
    <s v="X"/>
    <m/>
    <m/>
    <n v="3"/>
    <n v="1"/>
  </r>
  <r>
    <x v="3"/>
    <x v="0"/>
    <s v="Invasiones"/>
    <s v="3.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6973.3958940467001"/>
    <n v="3486.69794702335"/>
    <n v="3486.69794702335"/>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973395.8940466996"/>
    <n v="6973395.8940466996"/>
    <n v="697339.58940467006"/>
    <n v="1046009.3841070049"/>
    <n v="1394679.1788093401"/>
    <n v="2092018.7682140097"/>
    <n v="1743348.9735116749"/>
    <n v="0"/>
    <m/>
    <m/>
    <s v="X"/>
    <m/>
    <s v="RE"/>
    <n v="3"/>
    <n v="1"/>
  </r>
  <r>
    <x v="3"/>
    <x v="0"/>
    <s v="Programas de inversión pública"/>
    <s v="3.1.2"/>
    <x v="1"/>
    <s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x v="1"/>
    <s v="COMP 1"/>
    <s v="PRODUCCIÓN"/>
    <s v="ASISTENCIA TÉCNICA"/>
    <s v="C1"/>
    <s v="Productores asistidos"/>
    <n v="29823"/>
    <n v="17893.8"/>
    <n v="11929.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020528"/>
    <n v="6680352"/>
    <n v="2004105.6"/>
    <n v="2004105.6"/>
    <n v="2004105.6"/>
    <n v="2004105.6"/>
    <n v="2004105.6"/>
    <n v="0"/>
    <m/>
    <m/>
    <s v="X"/>
    <m/>
    <s v="RE"/>
    <n v="3"/>
    <n v="1"/>
  </r>
  <r>
    <x v="3"/>
    <x v="0"/>
    <s v="Programas de inversión pública"/>
    <s v="3.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x v="1"/>
    <s v="COMP 1"/>
    <s v="PRODUCCIÓN"/>
    <s v="TECNOLOGÍA"/>
    <s v="C17"/>
    <s v="Hectáreas intervenidas"/>
    <n v="70028"/>
    <n v="21008.399999999998"/>
    <n v="21008.399999999998"/>
    <n v="500"/>
    <s v="El costo incluye adquisición de semillas, insumos, fertilizantes, entre otras para la producción de plantas agroforestales o coberturas  verdes."/>
    <s v="DRASAM"/>
    <n v="10504199.999999998"/>
    <n v="10504199.999999998"/>
    <n v="2100839.9999999995"/>
    <n v="2100839.9999999995"/>
    <n v="2100839.9999999995"/>
    <n v="2100839.9999999995"/>
    <n v="2100839.9999999995"/>
    <n v="0"/>
    <m/>
    <m/>
    <s v="X"/>
    <m/>
    <m/>
    <n v="3"/>
    <n v="1"/>
  </r>
  <r>
    <x v="3"/>
    <x v="0"/>
    <s v="Programas de inversión pública"/>
    <s v="3.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x v="1"/>
    <s v="COMP 1"/>
    <s v="PRODUCCIÓN"/>
    <s v="TECNOLOGÍA"/>
    <s v="C17"/>
    <s v="hectáreas fertilizadas"/>
    <n v="70028"/>
    <n v="14005.6"/>
    <n v="21008.399999999998"/>
    <n v="2500"/>
    <s v="El costo incluye un análisis de suelos, paquete de fertilización según los resultados del análisis y la adquisición de fertilizantes. El costo incluye los tres abonamientos requeridos en una campaña (1 año)."/>
    <s v="Drasam"/>
    <n v="35014000"/>
    <n v="52520999.999999993"/>
    <n v="7002800"/>
    <n v="7002800"/>
    <n v="7002800"/>
    <n v="7002800"/>
    <n v="7002800"/>
    <n v="0"/>
    <m/>
    <m/>
    <s v="X"/>
    <m/>
    <s v="RE"/>
    <n v="3"/>
    <n v="1"/>
  </r>
  <r>
    <x v="3"/>
    <x v="0"/>
    <s v="Programas de inversión privada"/>
    <s v="3.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x v="2"/>
    <s v="COMP 4 "/>
    <s v="PRODUCCIÓN"/>
    <s v="TECNOLOGÍA"/>
    <s v="C17"/>
    <s v="Hectáreas con sistemas de riego"/>
    <n v="70028"/>
    <n v="3501.4"/>
    <n v="4201.68"/>
    <n v="11500"/>
    <s v="El costo incluye la instalación de un sistema completo y un paquete de fertilización para la primera campaña. El costo va depender del tipo de cultivo, tipo de sistema y el tipo de materiales a usar en los sistemas de fertirriego."/>
    <s v="DRASAM"/>
    <n v="40266100"/>
    <n v="48319320"/>
    <n v="8053220"/>
    <n v="8053220"/>
    <n v="8053220"/>
    <n v="8053220"/>
    <n v="8053220"/>
    <n v="0"/>
    <m/>
    <m/>
    <s v="X"/>
    <m/>
    <s v="RE"/>
    <n v="3"/>
    <n v="1"/>
  </r>
  <r>
    <x v="3"/>
    <x v="0"/>
    <s v="Programas de inversión privada"/>
    <s v="3.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x v="2"/>
    <s v="COMP 4 "/>
    <s v="PRODUCCIÓN"/>
    <s v="RECONVERSIÓN"/>
    <s v="C12"/>
    <s v="Hectáreas reconvertidas"/>
    <n v="14005.6"/>
    <n v="1400.5600000000002"/>
    <n v="1400.5600000000002"/>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008400.000000004"/>
    <n v="21008400.000000004"/>
    <n v="4201680.0000000009"/>
    <n v="4201680.0000000009"/>
    <n v="4201680.0000000009"/>
    <n v="4201680.0000000009"/>
    <n v="4201680.0000000009"/>
    <n v="0"/>
    <s v="X"/>
    <m/>
    <m/>
    <m/>
    <s v="RE"/>
    <n v="2"/>
    <n v="1"/>
  </r>
  <r>
    <x v="3"/>
    <x v="0"/>
    <s v="Programas de inversión pública"/>
    <s v="3.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x v="1"/>
    <s v="COMP 1"/>
    <s v="PRODUCCIÓN"/>
    <s v="CAPACITACIÓN"/>
    <s v="C3"/>
    <s v="Productores beneficiados"/>
    <n v="29823"/>
    <n v="2982.3"/>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471670"/>
    <n v="76189980.000000015"/>
    <n v="7694334"/>
    <n v="7694334"/>
    <n v="7694334"/>
    <n v="7694334"/>
    <n v="7694334"/>
    <n v="0"/>
    <m/>
    <m/>
    <s v="X"/>
    <m/>
    <s v="RE"/>
    <n v="2"/>
    <n v="1"/>
  </r>
  <r>
    <x v="3"/>
    <x v="0"/>
    <s v="Programas de inversión pública"/>
    <s v="3.1.8"/>
    <x v="7"/>
    <s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s v="NR"/>
    <x v="1"/>
    <x v="2"/>
    <s v="COMP 4 "/>
    <s v="PRODUCCIÓN"/>
    <s v="ASISTENCIA TÉCNICA"/>
    <s v="C1"/>
    <s v="Acuicultores asistidos"/>
    <n v="431"/>
    <n v="431"/>
    <n v="43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241360"/>
    <n v="241360"/>
    <n v="48272"/>
    <n v="48272"/>
    <n v="48272"/>
    <n v="48272"/>
    <n v="48272"/>
    <n v="0"/>
    <m/>
    <m/>
    <s v="X"/>
    <m/>
    <s v="RE"/>
    <n v="2"/>
    <n v="1"/>
  </r>
  <r>
    <x v="3"/>
    <x v="0"/>
    <s v="Ingresos y Capital"/>
    <s v="3.1.9"/>
    <x v="8"/>
    <s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x v="3"/>
    <s v="COMP 11"/>
    <s v="PRODUCCIÓN"/>
    <s v="FINANCIAMIENTO"/>
    <s v="C6"/>
    <s v="Créditos otorgados"/>
    <n v="0"/>
    <n v="431"/>
    <n v="431"/>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5559900"/>
    <n v="5559900"/>
    <n v="1111980"/>
    <n v="1111980"/>
    <n v="1111980"/>
    <n v="1111980"/>
    <n v="1111980"/>
    <n v="0"/>
    <s v="X"/>
    <m/>
    <m/>
    <m/>
    <s v="RE"/>
    <n v="2"/>
    <n v="1"/>
  </r>
  <r>
    <x v="3"/>
    <x v="0"/>
    <s v="Ingresos y Capital"/>
    <s v="3.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x v="3"/>
    <s v="COMP 11"/>
    <s v="PRODUCCIÓN"/>
    <s v="FINANCIAMIENTO"/>
    <s v="C6"/>
    <s v="Créditos otorgados"/>
    <n v="29823"/>
    <n v="8946.9"/>
    <n v="5964.6"/>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96179175"/>
    <n v="64119450.000000007"/>
    <n v="19235835"/>
    <n v="19235835"/>
    <n v="19235835"/>
    <n v="19235835"/>
    <n v="19235835"/>
    <n v="0"/>
    <s v="X"/>
    <m/>
    <m/>
    <m/>
    <s v="RE"/>
    <n v="2"/>
    <n v="1"/>
  </r>
  <r>
    <x v="3"/>
    <x v="0"/>
    <s v="Programas de inversión privada"/>
    <s v="3.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x v="2"/>
    <s v="COMP 4 "/>
    <s v="PRODUCCIÓN"/>
    <s v="INFRAESTRUCTURA"/>
    <s v="C7"/>
    <s v="Planes de negocios/proyectos ejecutados"/>
    <n v="0"/>
    <n v="5.6000000000000005"/>
    <n v="8.4"/>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480000"/>
    <n v="6720000"/>
    <n v="896000"/>
    <n v="896000"/>
    <n v="896000"/>
    <n v="896000"/>
    <n v="896000"/>
    <n v="0"/>
    <m/>
    <s v="X"/>
    <m/>
    <m/>
    <s v="RE"/>
    <n v="3"/>
    <n v="1"/>
  </r>
  <r>
    <x v="3"/>
    <x v="0"/>
    <s v="Programas de inversión privada"/>
    <s v="3.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x v="1"/>
    <s v="COMP 1"/>
    <s v="PRODUCCIÓN"/>
    <s v="CAPACITACIÓN"/>
    <s v="C3"/>
    <s v="Empresas y organizaciones atendidas"/>
    <n v="20"/>
    <n v="10"/>
    <n v="10"/>
    <n v="50000"/>
    <s v="El costo incluye la contratación de especialistas para brindar Asistencia Técnica en los procesos de implementación de las certificaciones de calidad, materiales para la capacitación y pasantías."/>
    <s v="DIREPRO"/>
    <n v="500000"/>
    <n v="500000"/>
    <n v="100000"/>
    <n v="100000"/>
    <n v="100000"/>
    <n v="100000"/>
    <n v="100000"/>
    <n v="0"/>
    <s v="X"/>
    <m/>
    <m/>
    <m/>
    <s v="RE"/>
    <n v="2"/>
    <n v="1"/>
  </r>
  <r>
    <x v="3"/>
    <x v="0"/>
    <s v="Programas de inversión pública"/>
    <s v="3.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x v="4"/>
    <s v="COMP 2"/>
    <s v="PRODUCCIÓN"/>
    <s v="ASOCIATIVIDAD"/>
    <s v="C2"/>
    <s v="Organizaciones auto sostenibles"/>
    <n v="28"/>
    <n v="10"/>
    <n v="8.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1200000"/>
    <n v="1008000"/>
    <n v="240000"/>
    <n v="240000"/>
    <n v="240000"/>
    <n v="240000"/>
    <n v="240000"/>
    <n v="0"/>
    <m/>
    <m/>
    <s v="X"/>
    <m/>
    <m/>
    <n v="3"/>
    <n v="1"/>
  </r>
  <r>
    <x v="3"/>
    <x v="0"/>
    <s v="Programas de inversión privada"/>
    <s v="3.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x v="5"/>
    <s v="COMP 3"/>
    <s v="PRODUCCIÓN"/>
    <s v="MERCADO"/>
    <s v="C9"/>
    <s v="Organizaciones certificadas"/>
    <n v="28"/>
    <n v="14"/>
    <n v="14"/>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00000"/>
    <n v="2800000"/>
    <n v="560000"/>
    <n v="560000"/>
    <n v="560000"/>
    <n v="560000"/>
    <n v="560000"/>
    <n v="0"/>
    <m/>
    <m/>
    <s v="X"/>
    <m/>
    <m/>
    <n v="3"/>
    <n v="1"/>
  </r>
  <r>
    <x v="3"/>
    <x v="0"/>
    <s v="Control y vigilancia"/>
    <s v="3.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m/>
    <m/>
    <s v="X"/>
    <m/>
    <m/>
    <n v="2"/>
    <n v="1"/>
  </r>
  <r>
    <x v="3"/>
    <x v="0"/>
    <s v="Programas de inversión privada"/>
    <s v="3.1.16"/>
    <x v="60"/>
    <s v="Implementar y promover la certificación de plantaciones de 8,086 pequeños productores, los cuales tienen 30,728.3 ha. La certificación RSPO permite facilitar el acceso a los mercados de los productos derivados de la palma aceitera."/>
    <s v="R"/>
    <x v="1"/>
    <x v="5"/>
    <s v="COMP 3"/>
    <s v="PRODUCCIÓN"/>
    <s v="MERCADO"/>
    <s v="C9"/>
    <s v="Hectáreas certificadas"/>
    <n v="0"/>
    <n v="9218.4"/>
    <n v="21509.599999999999"/>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23037887.807999998"/>
    <n v="53755071.551999994"/>
    <n v="4607577.5615999997"/>
    <n v="4607577.5615999997"/>
    <n v="4607577.5615999997"/>
    <n v="4607577.5615999997"/>
    <n v="4607577.5615999997"/>
    <n v="0"/>
    <m/>
    <m/>
    <s v="X"/>
    <m/>
    <s v="RE"/>
    <n v="2"/>
    <n v="1"/>
  </r>
  <r>
    <x v="3"/>
    <x v="1"/>
    <s v="Invasiones"/>
    <s v="3.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95.985498947623199"/>
    <n v="47.9927494738116"/>
    <n v="47.9927494738116"/>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95985.4989476232"/>
    <n v="95985.4989476232"/>
    <n v="9598.54989476232"/>
    <n v="14397.82484214348"/>
    <n v="19197.09978952464"/>
    <n v="28795.64968428696"/>
    <n v="23996.3747369058"/>
    <n v="0"/>
    <m/>
    <n v="0"/>
    <m/>
    <m/>
    <s v="RE"/>
    <n v="3"/>
    <n v="0"/>
  </r>
  <r>
    <x v="3"/>
    <x v="1"/>
    <s v="Programas de inversión pública"/>
    <s v="3.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x v="2"/>
    <s v="COMP 4 "/>
    <s v="PRODUCCIÓN"/>
    <s v="TECNOLOGÍA"/>
    <s v="C17"/>
    <s v="Unidades semilleristas"/>
    <n v="5"/>
    <n v="2.5"/>
    <n v="1.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37500"/>
    <n v="22500"/>
    <n v="7500"/>
    <n v="7500"/>
    <n v="7500"/>
    <n v="7500"/>
    <n v="7500"/>
    <n v="0"/>
    <m/>
    <s v="X"/>
    <m/>
    <m/>
    <s v="RE"/>
    <n v="3"/>
    <n v="1"/>
  </r>
  <r>
    <x v="3"/>
    <x v="1"/>
    <s v="Programas de inversión pública"/>
    <s v="3.2.3"/>
    <x v="16"/>
    <s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s v="NR"/>
    <x v="1"/>
    <x v="1"/>
    <s v="COMP 1"/>
    <s v="PRODUCCIÓN"/>
    <s v="CAPACITACIÓN"/>
    <s v="C3"/>
    <s v="Productores asistidos"/>
    <n v="985"/>
    <n v="492.5"/>
    <n v="295.5"/>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275800"/>
    <n v="165480"/>
    <n v="55160"/>
    <n v="55160"/>
    <n v="55160"/>
    <n v="55160"/>
    <n v="55160"/>
    <n v="0"/>
    <m/>
    <m/>
    <s v="X"/>
    <m/>
    <s v="RE"/>
    <n v="2"/>
    <n v="1"/>
  </r>
  <r>
    <x v="3"/>
    <x v="1"/>
    <s v="Programas de inversión privada"/>
    <s v="3.2.4"/>
    <x v="5"/>
    <s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x v="2"/>
    <s v="COMP 4 "/>
    <s v="PRODUCCIÓN"/>
    <s v="RECONVERSIÓN"/>
    <s v="C12"/>
    <s v="Hectáreas reconvertidas"/>
    <n v="1001.4000000000001"/>
    <n v="100.14000000000001"/>
    <n v="200.28000000000003"/>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1502100.0000000002"/>
    <n v="3004200.0000000005"/>
    <n v="300420.00000000006"/>
    <n v="300420.00000000006"/>
    <n v="300420.00000000006"/>
    <n v="300420.00000000006"/>
    <n v="300420.00000000006"/>
    <n v="0"/>
    <m/>
    <m/>
    <s v="X"/>
    <m/>
    <s v="RE"/>
    <n v="3"/>
    <n v="1"/>
  </r>
  <r>
    <x v="3"/>
    <x v="1"/>
    <s v="Ingresos y Capital"/>
    <s v="3.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x v="3"/>
    <s v="COMP 11"/>
    <s v="PRODUCCIÓN"/>
    <s v="FINANCIAMIENTO"/>
    <s v="C6"/>
    <s v="Productores atendidos"/>
    <n v="985"/>
    <n v="295.5"/>
    <n v="19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3176625"/>
    <n v="2117750"/>
    <n v="635325"/>
    <n v="635325"/>
    <n v="635325"/>
    <n v="635325"/>
    <n v="635325"/>
    <n v="0"/>
    <s v="X"/>
    <m/>
    <m/>
    <m/>
    <m/>
    <n v="3"/>
    <n v="1"/>
  </r>
  <r>
    <x v="3"/>
    <x v="1"/>
    <s v="Programas de inversión pública"/>
    <s v="3.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s v="ASOCIATIVIDAD"/>
    <s v="C2"/>
    <s v="Organizaciones formalizadas"/>
    <n v="0"/>
    <n v="2"/>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1200000"/>
    <n v="1200000"/>
    <n v="240000"/>
    <n v="240000"/>
    <n v="240000"/>
    <n v="240000"/>
    <n v="240000"/>
    <n v="0"/>
    <m/>
    <m/>
    <s v="X"/>
    <m/>
    <m/>
    <n v="3"/>
    <n v="1"/>
  </r>
  <r>
    <x v="3"/>
    <x v="1"/>
    <s v="Programas de inversión privada"/>
    <s v="3.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
    <s v="NR"/>
    <x v="1"/>
    <x v="2"/>
    <s v="COMP 4 "/>
    <s v="PRODUCCIÓN"/>
    <s v="INFRAESTRUCTURA"/>
    <s v="C7"/>
    <s v="Planes de negocios ejecutados"/>
    <n v="0"/>
    <n v="2"/>
    <n v="2"/>
    <n v="15000"/>
    <s v="Para el logro de los objetivos, se considera el pago de profesionales para la formulación de los planes de negocios que beneficiarían directamente a los pequeños productores."/>
    <s v="DRASAM"/>
    <n v="150000"/>
    <n v="150000"/>
    <n v="75000"/>
    <n v="0"/>
    <n v="75000"/>
    <n v="0"/>
    <n v="0"/>
    <n v="0"/>
    <s v="X"/>
    <m/>
    <m/>
    <m/>
    <m/>
    <n v="3"/>
    <n v="1"/>
  </r>
  <r>
    <x v="3"/>
    <x v="1"/>
    <s v="Control y vigilancia"/>
    <s v="3.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s v="X"/>
    <m/>
    <m/>
    <m/>
    <m/>
    <n v="3"/>
    <n v="1"/>
  </r>
  <r>
    <x v="3"/>
    <x v="2"/>
    <s v="Invasiones"/>
    <s v="3.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x v="0"/>
    <s v="COMP 8"/>
    <s v="PROTECCIÓN-GOBERNANZA"/>
    <s v="DERECHOS SOBRE LA TIERRA"/>
    <s v="C5"/>
    <s v="N° Títulos/Contratos otorgados"/>
    <n v="463.30581406844504"/>
    <n v="231.65290703422252"/>
    <n v="231.652907034222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463305.81406844506"/>
    <n v="463305.81406844506"/>
    <n v="46330.581406844511"/>
    <n v="69495.872110266762"/>
    <n v="92661.162813689021"/>
    <n v="138991.74422053352"/>
    <n v="115826.45351711127"/>
    <n v="0"/>
    <m/>
    <m/>
    <s v="X"/>
    <m/>
    <s v="RE"/>
    <n v="3"/>
    <n v="1"/>
  </r>
  <r>
    <x v="3"/>
    <x v="2"/>
    <s v="Programas de inversión pública"/>
    <s v="3.3.2"/>
    <x v="18"/>
    <s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x v="1"/>
    <s v="COMP 1"/>
    <s v="PRODUCCIÓN"/>
    <s v="ASISTENCIA TÉCNICA"/>
    <s v="C1"/>
    <s v="Ganaderos asistidos"/>
    <n v="587"/>
    <n v="587"/>
    <n v="587"/>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328720"/>
    <n v="328720"/>
    <n v="65744"/>
    <n v="65744"/>
    <n v="65744"/>
    <n v="65744"/>
    <n v="65744"/>
    <n v="0"/>
    <m/>
    <m/>
    <s v="X"/>
    <m/>
    <s v="RE"/>
    <n v="3"/>
    <n v="1"/>
  </r>
  <r>
    <x v="3"/>
    <x v="2"/>
    <s v="Programas de inversión pública"/>
    <s v="3.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x v="1"/>
    <s v="COMP 1"/>
    <s v="PRODUCCIÓN"/>
    <s v="TECNOLOGÍA"/>
    <s v="C17"/>
    <s v="Hectáreas intervenidas"/>
    <n v="11251"/>
    <n v="2250.2000000000003"/>
    <n v="2250.2000000000003"/>
    <n v="500"/>
    <s v="El costo incluye adquisición de semillas, insumos, fertilizantes, entre otras para la producción de plantas agroforestales o coberturas  verdes."/>
    <s v="DRASAM"/>
    <n v="1125100.0000000002"/>
    <n v="1125100.0000000002"/>
    <n v="225020.00000000006"/>
    <n v="225020.00000000006"/>
    <n v="225020.00000000006"/>
    <n v="225020.00000000006"/>
    <n v="225020.00000000006"/>
    <n v="0"/>
    <m/>
    <m/>
    <s v="X"/>
    <m/>
    <s v="RE"/>
    <n v="2"/>
    <n v="1"/>
  </r>
  <r>
    <x v="3"/>
    <x v="2"/>
    <s v="Programas de inversión pública"/>
    <s v="3.3.4"/>
    <x v="19"/>
    <s v="Reactivación  , implementación y gestión de las postas de inseminación artificial, importación de material genético (pajillas de semen), capacitación y entrenamiento a inseminadores, transferencia de embriones."/>
    <s v="R"/>
    <x v="1"/>
    <x v="2"/>
    <s v="COMP 4 "/>
    <s v="PRODUCCIÓN"/>
    <s v="TECNOLOGÍA"/>
    <s v="C17"/>
    <s v="Postas Reactivadas"/>
    <n v="0"/>
    <n v="2"/>
    <n v="2"/>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548000"/>
    <n v="548000"/>
    <n v="109600"/>
    <n v="109600"/>
    <n v="109600"/>
    <n v="109600"/>
    <n v="109600"/>
    <n v="0"/>
    <m/>
    <s v="X"/>
    <m/>
    <m/>
    <m/>
    <n v="2"/>
    <n v="1"/>
  </r>
  <r>
    <x v="3"/>
    <x v="2"/>
    <s v="Ingresos y Capital"/>
    <s v="3.3.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
    <s v="R"/>
    <x v="1"/>
    <x v="3"/>
    <s v="COMP 11"/>
    <s v="PRODUCCIÓN"/>
    <s v="FINANCIAMIENTO"/>
    <s v="C6"/>
    <s v="Ganaderos atendidos"/>
    <n v="587"/>
    <n v="176.1"/>
    <n v="117.4"/>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1893075"/>
    <n v="1262050"/>
    <n v="378615"/>
    <n v="378615"/>
    <n v="378615"/>
    <n v="378615"/>
    <n v="378615"/>
    <n v="0"/>
    <s v="X"/>
    <m/>
    <m/>
    <m/>
    <s v="RE"/>
    <n v="3"/>
    <n v="1"/>
  </r>
  <r>
    <x v="3"/>
    <x v="2"/>
    <s v="Programas de inversión pública"/>
    <s v="3.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x v="4"/>
    <s v="COMP 2"/>
    <s v="PRODUCCIÓN"/>
    <s v="ASOCIATIVIDAD"/>
    <s v="C2"/>
    <s v="Organizaciones fortalecidas"/>
    <n v="0"/>
    <n v="8"/>
    <n v="8"/>
    <n v="120000"/>
    <s v="Costo implica la contratación de un profesional para realizar las labores de seguimiento y fortalecimiento de las organizaciones de forma permanente por el periodo de 10 años (120 meses)"/>
    <s v="Drasam, Dircetur, Direpro"/>
    <n v="4800000"/>
    <n v="4800000"/>
    <n v="960000"/>
    <n v="960000"/>
    <n v="960000"/>
    <n v="960000"/>
    <n v="960000"/>
    <n v="0"/>
    <m/>
    <m/>
    <s v="X"/>
    <m/>
    <m/>
    <n v="3"/>
    <n v="1"/>
  </r>
  <r>
    <x v="3"/>
    <x v="2"/>
    <s v="Programas de inversión privada"/>
    <s v="3.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x v="2"/>
    <s v="COMP 4 "/>
    <s v="PRODUCCIÓN"/>
    <s v="INFRAESTRUCTURA"/>
    <s v="C7"/>
    <s v="Planes de negocios implementados"/>
    <n v="0"/>
    <n v="8"/>
    <n v="8"/>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6400000"/>
    <n v="6400000"/>
    <n v="1280000"/>
    <n v="1280000"/>
    <n v="1280000"/>
    <n v="1280000"/>
    <n v="1280000"/>
    <n v="0"/>
    <s v="X"/>
    <m/>
    <m/>
    <m/>
    <s v="RE"/>
    <n v="2"/>
    <n v="1"/>
  </r>
  <r>
    <x v="3"/>
    <x v="2"/>
    <s v="Control y vigilancia"/>
    <s v="3.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0000"/>
    <n v="50000"/>
    <n v="50000"/>
    <n v="50000"/>
    <n v="50000"/>
    <n v="50000"/>
    <n v="0"/>
    <s v="X"/>
    <m/>
    <m/>
    <m/>
    <m/>
    <n v="2"/>
    <n v="1"/>
  </r>
  <r>
    <x v="3"/>
    <x v="12"/>
    <s v="Invasiones"/>
    <s v="3.4.8"/>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R"/>
    <x v="0"/>
    <x v="0"/>
    <s v="COMP 8"/>
    <s v="PROTECCIÓN-GOBERNANZA"/>
    <s v="DERECHOS SOBRE LA TIERRA"/>
    <s v="C5"/>
    <s v="N° Títulos/Contratos otorgados"/>
    <n v="1165.1265258785102"/>
    <n v="582.56326293925508"/>
    <n v="582.56326293925508"/>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165126.5258785102"/>
    <n v="1165126.5258785102"/>
    <n v="116512.65258785103"/>
    <n v="174768.97888177654"/>
    <n v="233025.30517570206"/>
    <n v="349537.95776355307"/>
    <n v="291281.63146962755"/>
    <n v="0"/>
    <m/>
    <m/>
    <s v="X"/>
    <m/>
    <s v="RE"/>
    <n v="3"/>
    <n v="1"/>
  </r>
  <r>
    <x v="3"/>
    <x v="12"/>
    <s v="Ingresos y Capital"/>
    <s v="3.4.9"/>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x v="3"/>
    <s v="COMP 11"/>
    <s v="PRODUCCIÓN"/>
    <s v="FINANCIAMIENTO"/>
    <s v="C6"/>
    <s v="Productores atendidos"/>
    <n v="8086"/>
    <n v="2425.7999999999997"/>
    <n v="1617.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26077349.999999996"/>
    <n v="17384900"/>
    <n v="5215470"/>
    <n v="5215470"/>
    <n v="5215470"/>
    <n v="5215470"/>
    <n v="5215470"/>
    <n v="0"/>
    <m/>
    <m/>
    <s v="X"/>
    <m/>
    <s v="RE"/>
    <n v="3"/>
    <n v="1"/>
  </r>
  <r>
    <x v="3"/>
    <x v="12"/>
    <s v="Programas de inversión privada"/>
    <s v="3.4.10"/>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x v="5"/>
    <s v="COMP 3"/>
    <s v="PRODUCCIÓN"/>
    <s v="MERCADO"/>
    <s v="C9"/>
    <s v="Especialistas"/>
    <n v="0"/>
    <n v="2"/>
    <n v="2"/>
    <n v="3500"/>
    <s v="El costo incluye la contratación de profesionales que se encarguen de identificar propuestas de alianzas comerciales entre productores y empresas privadas."/>
    <s v="Drasam"/>
    <n v="420000"/>
    <n v="420000"/>
    <n v="84000"/>
    <n v="84000"/>
    <n v="84000"/>
    <n v="84000"/>
    <n v="84000"/>
    <n v="0"/>
    <s v="X"/>
    <m/>
    <m/>
    <m/>
    <s v="RE"/>
    <n v="3"/>
    <n v="1"/>
  </r>
  <r>
    <x v="3"/>
    <x v="12"/>
    <s v="Programas de inversión privada"/>
    <s v="3.4.11"/>
    <x v="63"/>
    <s v="Promover el financiamiento para el desarrollo e implementación de estudios de umbrales de carbono en el suelo y en los bosques."/>
    <s v="NR"/>
    <x v="1"/>
    <x v="5"/>
    <s v="COMP 3"/>
    <s v="PRODUCCIÓN"/>
    <s v="MERCADO"/>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0"/>
    <n v="220400"/>
    <n v="220400"/>
    <n v="0"/>
    <n v="0"/>
    <n v="0"/>
    <n v="0"/>
    <s v="X"/>
    <m/>
    <m/>
    <m/>
    <s v="RE"/>
    <n v="3"/>
    <n v="1"/>
  </r>
  <r>
    <x v="3"/>
    <x v="4"/>
    <s v="Programas de inversión privada"/>
    <s v="3.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x v="3"/>
    <s v="COMP 11"/>
    <s v="PROTECCIÓN"/>
    <s v="FINANCIAMIENTO"/>
    <s v="C6"/>
    <s v="Planes de negocios"/>
    <n v="0"/>
    <n v="7"/>
    <n v="10"/>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050000"/>
    <n v="1500000"/>
    <n v="210000"/>
    <n v="210000"/>
    <n v="210000"/>
    <n v="210000"/>
    <n v="210000"/>
    <n v="0"/>
    <s v="X"/>
    <m/>
    <m/>
    <m/>
    <s v="RE"/>
    <n v="3"/>
    <n v="1"/>
  </r>
  <r>
    <x v="3"/>
    <x v="4"/>
    <s v="Programas de inversión pública"/>
    <s v="3.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x v="6"/>
    <s v="COMP 5"/>
    <s v="PROTECCIÓN"/>
    <s v="ASISTENCIA TÉCNICA"/>
    <s v="C1"/>
    <s v="Especialistas"/>
    <n v="0"/>
    <n v="2"/>
    <n v="2"/>
    <n v="4000"/>
    <s v="Contratación de especialista y gastos logísticos, pasantías regionales y nacionales para adquisición de know how en materia de turismo rural"/>
    <s v="Dircetur"/>
    <n v="480000"/>
    <n v="480000"/>
    <n v="96000"/>
    <n v="96000"/>
    <n v="96000"/>
    <n v="96000"/>
    <n v="96000"/>
    <n v="0"/>
    <m/>
    <m/>
    <s v="X"/>
    <m/>
    <s v="RE"/>
    <n v="3"/>
    <n v="1"/>
  </r>
  <r>
    <x v="3"/>
    <x v="4"/>
    <s v="Programas de inversión privada"/>
    <s v="3.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6"/>
    <s v="PROTECCIÓN"/>
    <s v="INNOVACIÓN"/>
    <s v="C8"/>
    <s v="Planes de negocio"/>
    <n v="0"/>
    <n v="4"/>
    <n v="8"/>
    <n v="150000"/>
    <s v="El costo hace referencia al proceso de implementación y funcionamiento de los productos para el desarrollo de  los emprendimientos."/>
    <s v="Dircetur, Agroideas"/>
    <n v="600000"/>
    <n v="1200000"/>
    <n v="120000"/>
    <n v="120000"/>
    <n v="120000"/>
    <n v="120000"/>
    <n v="120000"/>
    <n v="0"/>
    <s v="X"/>
    <m/>
    <m/>
    <m/>
    <s v="RE"/>
    <n v="3"/>
    <n v="1"/>
  </r>
  <r>
    <x v="3"/>
    <x v="4"/>
    <s v="Programas de inversión privada"/>
    <s v="3.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x v="7"/>
    <s v="COMP 6"/>
    <s v="PROTECCIÓN"/>
    <s v="PROMOCIÓN ACTIVIDADES ECONÓMICOS"/>
    <s v="C11"/>
    <s v="rutas turísticas promocionados"/>
    <n v="0"/>
    <n v="3"/>
    <n v="3"/>
    <n v="40000"/>
    <s v="Participación en eventos de promoción (ferias regionales y nacionales, Fam Trip), el costo cubrirá gastos logísticos y administrativos de los operadores turísticos identificados "/>
    <s v="Mincetur, Dircetur"/>
    <n v="600000"/>
    <n v="600000"/>
    <n v="120000"/>
    <n v="120000"/>
    <n v="120000"/>
    <n v="120000"/>
    <n v="120000"/>
    <n v="0"/>
    <m/>
    <m/>
    <s v="X"/>
    <m/>
    <s v="RE"/>
    <n v="3"/>
    <n v="1"/>
  </r>
  <r>
    <x v="3"/>
    <x v="5"/>
    <s v="Invasiones"/>
    <s v="3.6.1"/>
    <x v="31"/>
    <s v="Realizar un sinceramiento de las concesiones forestales activas e inactivas para excluir o realizar nuevos otorgamientos a empresas que puedan cumplir técnica y económicamente con lo predispuesto en la directiva."/>
    <s v="NR"/>
    <x v="0"/>
    <x v="0"/>
    <s v="COMP 8"/>
    <s v="PROTECCIÓN-GOBERNANZA"/>
    <s v="DERECHOS SOBRE LA TIERRA"/>
    <s v="C5"/>
    <s v="N° de concesiones "/>
    <n v="0"/>
    <n v="9"/>
    <n v="9"/>
    <n v="30000"/>
    <s v="Gastos operativos y logísticos para la elaboración de expedientes técnicos sustentatorios para los procesos legales y administrativos que conllevan dicho procedimiento."/>
    <s v="ARA, SERFOR, MINAM"/>
    <n v="270000"/>
    <n v="270000"/>
    <n v="54000"/>
    <n v="54000"/>
    <n v="54000"/>
    <n v="54000"/>
    <n v="54000"/>
    <n v="0"/>
    <m/>
    <m/>
    <s v="X"/>
    <m/>
    <m/>
    <n v="3"/>
    <n v="1"/>
  </r>
  <r>
    <x v="3"/>
    <x v="5"/>
    <s v="Programas de inversión privada"/>
    <s v="3.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x v="3"/>
    <s v="COMP 11"/>
    <s v="PROTECCIÓN"/>
    <s v="FINANCIAMIENTO"/>
    <s v="C6"/>
    <s v="Créditos otorgados"/>
    <n v="0"/>
    <n v="3"/>
    <n v="3"/>
    <n v="150000"/>
    <s v="El costo incluye los gastos operativos y logísticos para la extracción de la madera de acuerdo al plan de extracción y la implementación de los planes de manejo. ambiental."/>
    <s v="ARA, SERFOR, MINAM"/>
    <n v="450000"/>
    <n v="450000"/>
    <n v="90000"/>
    <n v="90000"/>
    <n v="90000"/>
    <n v="90000"/>
    <n v="90000"/>
    <n v="0"/>
    <s v="X"/>
    <m/>
    <m/>
    <m/>
    <m/>
    <n v="3"/>
    <n v="1"/>
  </r>
  <r>
    <x v="3"/>
    <x v="5"/>
    <s v="Programas de inversión pública"/>
    <s v="3.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puedan acceder a este beneficio."/>
    <s v="R"/>
    <x v="0"/>
    <x v="0"/>
    <s v="COMP 8"/>
    <s v="HABILITANTE"/>
    <s v="GESTIÓN PUBLICA"/>
    <s v="C21"/>
    <s v="Concesiones reactivas"/>
    <n v="0"/>
    <n v="9"/>
    <n v="0"/>
    <n v="20000"/>
    <s v="Gastos operativos y logísticos para la elaboración de expedientes técnicos sustentatorios para los procesos legales y administrativos que conllevan dicho procedimiento."/>
    <s v="ARA, SERFOR, MINAM"/>
    <n v="180000"/>
    <n v="0"/>
    <n v="36000"/>
    <n v="36000"/>
    <n v="36000"/>
    <n v="36000"/>
    <n v="36000"/>
    <n v="0"/>
    <m/>
    <m/>
    <s v="X"/>
    <m/>
    <m/>
    <n v="1"/>
    <n v="1"/>
  </r>
  <r>
    <x v="3"/>
    <x v="14"/>
    <s v="Control y vigilancia"/>
    <s v="3.7.1"/>
    <x v="69"/>
    <s v="Propuesta de lineamientos para aprovechamiento sostenible de los Recursos Naturales Presentes."/>
    <s v="NR"/>
    <x v="0"/>
    <x v="0"/>
    <s v="COMP 8"/>
    <s v="PROTECCIÓN-GOBERNANZA"/>
    <s v="DERECHOS SOBRE LA TIERRA"/>
    <s v="C5"/>
    <s v="Lineamientos"/>
    <n v="0"/>
    <n v="1"/>
    <n v="0"/>
    <n v="100000"/>
    <s v="Contratación de equipo de profesionales para la elaboración de lineamientos de uso y demarcación de la ACR."/>
    <s v="Ara, serfor, Sernanp"/>
    <n v="100000"/>
    <n v="0"/>
    <n v="100000"/>
    <n v="0"/>
    <n v="0"/>
    <n v="0"/>
    <n v="0"/>
    <n v="0"/>
    <m/>
    <s v="X"/>
    <m/>
    <m/>
    <s v="RE"/>
    <n v="3"/>
    <n v="1"/>
  </r>
  <r>
    <x v="3"/>
    <x v="14"/>
    <s v="Control y vigilancia"/>
    <s v="3.7.2"/>
    <x v="35"/>
    <s v="Implementar con recursos necesarios al ente que administra el área, con la finalidad de aumentar el número de personas (guardaparques) que contribuyan a realizar acciones de control y vigilancia."/>
    <s v="NR"/>
    <x v="2"/>
    <x v="6"/>
    <s v="COMP 5"/>
    <s v="PROTECCIÓN-GOBERNANZA"/>
    <s v="CONTROL Y VIGILANCIA"/>
    <s v="C4"/>
    <s v="Número de guardaparques"/>
    <n v="0"/>
    <n v="50"/>
    <n v="50"/>
    <n v="2000"/>
    <s v="Contratación a guardaparques para garantizar el control y vigilancia del área otorgada."/>
    <s v="Ara, serfor, Sernanp"/>
    <n v="6000000"/>
    <n v="6000000"/>
    <n v="1200000"/>
    <n v="1200000"/>
    <n v="1200000"/>
    <n v="1200000"/>
    <n v="1200000"/>
    <n v="0"/>
    <m/>
    <s v="X"/>
    <m/>
    <m/>
    <s v="RE"/>
    <n v="3"/>
    <n v="1"/>
  </r>
  <r>
    <x v="3"/>
    <x v="14"/>
    <s v="Control y vigilancia"/>
    <s v="3.7.3"/>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x v="6"/>
    <s v="COMP 5"/>
    <s v="PROTECCIÓN-GOBERNANZA"/>
    <s v="CONTROL Y VIGILANCIA"/>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00000"/>
    <n v="400000"/>
    <n v="400000"/>
    <n v="400000"/>
    <n v="400000"/>
    <n v="400000"/>
    <n v="0"/>
    <m/>
    <s v="X"/>
    <m/>
    <m/>
    <s v="RE"/>
    <n v="3"/>
    <n v="1"/>
  </r>
  <r>
    <x v="3"/>
    <x v="14"/>
    <s v="Programas de inversión privada"/>
    <s v="3.7.4"/>
    <x v="66"/>
    <s v="Encuentros de productores con la finalidad de promocionar los diferentes sistemas productivos sostenibles a ser replicados en las comunidades."/>
    <s v="NR"/>
    <x v="2"/>
    <x v="7"/>
    <s v="COMP 6"/>
    <s v="PROTECCIÓN"/>
    <s v="PROMOCIÓN ACTIVIDADES ECONÓMICOS"/>
    <s v="C11"/>
    <s v="Encuentros"/>
    <n v="0"/>
    <n v="50"/>
    <n v="50"/>
    <n v="2500"/>
    <s v="El costo hace referencia a los gastos de pasajes, alimentación y otros para un grupo de 20 productores por pasantía."/>
    <s v="Drasam"/>
    <n v="625000"/>
    <n v="625000"/>
    <n v="125000"/>
    <n v="125000"/>
    <n v="125000"/>
    <n v="125000"/>
    <n v="125000"/>
    <n v="0"/>
    <m/>
    <m/>
    <s v="X"/>
    <m/>
    <m/>
    <n v="3"/>
    <n v="1"/>
  </r>
  <r>
    <x v="3"/>
    <x v="14"/>
    <s v="Programas de inversión privada"/>
    <s v="3.7.5"/>
    <x v="65"/>
    <s v="Campañas de promoción y difusión en el ámbito regional y nacional de los circuitos turísticos que existen en la zona de amortiguamiento."/>
    <s v="NR"/>
    <x v="2"/>
    <x v="7"/>
    <s v="COMP 6"/>
    <s v="PROTECCIÓN"/>
    <s v="PROMOCIÓN ACTIVIDADES ECONÓMICOS"/>
    <s v="C11"/>
    <s v="Campañas de promoción"/>
    <n v="0"/>
    <n v="10"/>
    <n v="10"/>
    <n v="4000"/>
    <s v="Campañas de promoción que incluye, impresión de material de difusión, publicidad radial, televisiva y escrita."/>
    <s v="Dircetur, Mincetur"/>
    <n v="200000"/>
    <n v="200000"/>
    <n v="40000"/>
    <n v="40000"/>
    <n v="40000"/>
    <n v="40000"/>
    <n v="40000"/>
    <n v="0"/>
    <m/>
    <m/>
    <s v="X"/>
    <m/>
    <m/>
    <n v="3"/>
    <n v="1"/>
  </r>
  <r>
    <x v="3"/>
    <x v="14"/>
    <s v="Programas de inversión pública"/>
    <s v="3.7.6"/>
    <x v="64"/>
    <s v="Actualización y elaboración de planes de gestión comunal de las localidades acentuadas en las zonas de amortiguamiento con la finalidad de orientar adecuadamente la implementación y ejecución de proyectos."/>
    <s v="NR"/>
    <x v="0"/>
    <x v="8"/>
    <s v="COMP 9"/>
    <s v="HABILITANTE"/>
    <s v="PLANES DE VIDA"/>
    <s v="C10"/>
    <s v="Planes de gestión comunal"/>
    <n v="0"/>
    <n v="12"/>
    <n v="20"/>
    <n v="20000"/>
    <s v="Contratación de servicios profesionales para la elaboración de los planes de gestión comunal."/>
    <s v="Dircetur, Mincetur"/>
    <n v="240000"/>
    <n v="400000"/>
    <n v="48000"/>
    <n v="48000"/>
    <n v="48000"/>
    <n v="48000"/>
    <n v="48000"/>
    <n v="0"/>
    <m/>
    <m/>
    <s v="X"/>
    <m/>
    <m/>
    <n v="3"/>
    <n v="1"/>
  </r>
  <r>
    <x v="3"/>
    <x v="14"/>
    <s v="Programas de inversión pública"/>
    <s v="3.7.7"/>
    <x v="67"/>
    <s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x v="6"/>
    <s v="COMP 5"/>
    <s v="PROTECCIÓN"/>
    <s v="SERVICIOS ECOSISTÉMICOS"/>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000000"/>
    <n v="9400000"/>
    <n v="9400000"/>
    <n v="9400000"/>
    <n v="9400000"/>
    <n v="9400000"/>
    <n v="0"/>
    <m/>
    <m/>
    <s v="X"/>
    <m/>
    <s v="RE"/>
    <n v="3"/>
    <n v="1"/>
  </r>
  <r>
    <x v="3"/>
    <x v="14"/>
    <s v="Ingresos y Capital"/>
    <s v="3.7.8"/>
    <x v="28"/>
    <s v="Implementación de planes de negocios para  la Diversificación y consolidación de la oferta turística, de esta manera promover el acondicionamiento y la gestión técnica en torno de los recursos y atractivos priorizados."/>
    <s v="NR"/>
    <x v="2"/>
    <x v="3"/>
    <s v="COMP 11"/>
    <s v="PROTECCIÓN"/>
    <s v="FINANCIAMIENTO"/>
    <s v="C6"/>
    <s v="Planes de negocios"/>
    <n v="0"/>
    <n v="10"/>
    <n v="1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1000000"/>
    <n v="1000000"/>
    <n v="200000"/>
    <n v="200000"/>
    <n v="200000"/>
    <n v="200000"/>
    <n v="200000"/>
    <n v="0"/>
    <s v="X"/>
    <m/>
    <m/>
    <m/>
    <s v="RE"/>
    <n v="3"/>
    <n v="1"/>
  </r>
  <r>
    <x v="3"/>
    <x v="9"/>
    <s v="Invasiones"/>
    <s v="3.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x v="0"/>
    <s v="COMP 8"/>
    <s v="PROTECCIÓN-GOBERNANZA"/>
    <s v="DERECHOS SOBRE LA TIERRA"/>
    <s v="C5"/>
    <s v="Ha. con categoría territorial asignada"/>
    <n v="37092.698274879796"/>
    <n v="18546.349137439898"/>
    <n v="18546.349137439898"/>
    <n v="15"/>
    <s v="Para la implementación de las intervención será mecesario la contratación de especialistas para realizar las acciones que comtemplen dicha actividad. Gastos logísticos y trámites documentarios."/>
    <s v="GRSM - DEGT"/>
    <n v="278195.23706159845"/>
    <n v="278195.23706159845"/>
    <n v="55639.047412319691"/>
    <n v="55639.047412319691"/>
    <n v="55639.047412319691"/>
    <n v="55639.047412319691"/>
    <n v="55639.047412319691"/>
    <n v="0"/>
    <m/>
    <s v="X"/>
    <m/>
    <m/>
    <m/>
    <n v="3"/>
    <n v="1"/>
  </r>
  <r>
    <x v="3"/>
    <x v="9"/>
    <s v="Control y vigilancia"/>
    <s v="3.8.2"/>
    <x v="41"/>
    <s v="Comprende la capacitación en manejo de normatividad forestal y manejo de bosques, contratación de especialistas para tener presencia física en el área, equipamiento e infraestructura."/>
    <s v="NR"/>
    <x v="0"/>
    <x v="0"/>
    <s v="COMP 8"/>
    <s v="PROTECCIÓN-GOBERNANZA"/>
    <s v="DERECHOS SOBRE LA TIERRA"/>
    <s v="C5"/>
    <s v="N° de responsables de administración que aprueban evaluación de capacitación "/>
    <n v="0"/>
    <n v="80"/>
    <n v="80"/>
    <n v="150"/>
    <s v="Considera materiales de capacitación, alimentación a capacitados en el área cercana a su comunidad y gastos de capacitadores"/>
    <s v="GRSM - DEGT"/>
    <n v="12000"/>
    <n v="12000"/>
    <n v="12000"/>
    <n v="0"/>
    <n v="0"/>
    <n v="0"/>
    <n v="0"/>
    <n v="0"/>
    <m/>
    <s v="X"/>
    <m/>
    <m/>
    <m/>
    <n v="2"/>
    <n v="1"/>
  </r>
  <r>
    <x v="3"/>
    <x v="9"/>
    <s v="Control y vigilancia"/>
    <s v="3.8.3"/>
    <x v="42"/>
    <s v="Dependiendo de la categoría forestal a ser aplicada, se realizará un plan/declaración acorde a la unidad, en el marco de la ley forestal y fauna silvestre N° 29763."/>
    <s v="NR"/>
    <x v="0"/>
    <x v="0"/>
    <s v="COMP 8"/>
    <s v="PROTECCIÓN-GOBERNANZA"/>
    <s v="DERECHOS SOBRE LA TIERRA"/>
    <s v="C5"/>
    <s v="N° Planes / Declaraciones elaborados"/>
    <n v="0"/>
    <n v="8"/>
    <n v="8"/>
    <n v="10000"/>
    <s v="Se considera la contratación de profesionales para la elaboración de los expedientes y/o declaraciones identificadas en los diferentes procesos."/>
    <s v="GRSM - DEGT"/>
    <n v="80000"/>
    <n v="80000"/>
    <n v="24000"/>
    <n v="24000"/>
    <n v="32000"/>
    <n v="0"/>
    <n v="0"/>
    <n v="0"/>
    <m/>
    <s v="X"/>
    <m/>
    <m/>
    <m/>
    <n v="2"/>
    <n v="1"/>
  </r>
  <r>
    <x v="3"/>
    <x v="9"/>
    <s v="Invasiones"/>
    <s v="3.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x v="0"/>
    <s v="COMP 8"/>
    <s v="PROTECCIÓN-GOBERNANZA"/>
    <s v="DERECHOS SOBRE LA TIERRA"/>
    <s v="C5"/>
    <s v="Ha. Inscritas"/>
    <n v="37092.698274879796"/>
    <n v="18546.349137439898"/>
    <n v="18546.349137439898"/>
    <n v="1"/>
    <s v="Contratación de dos profesioales para agilizar procesos con sunarp."/>
    <s v="GRSM - DEGT"/>
    <n v="18546.349137439898"/>
    <n v="18546.349137439898"/>
    <n v="3709.2698274879799"/>
    <n v="3709.2698274879799"/>
    <n v="3709.2698274879799"/>
    <n v="3709.2698274879799"/>
    <n v="3709.2698274879799"/>
    <n v="0"/>
    <m/>
    <s v="X"/>
    <m/>
    <m/>
    <m/>
    <n v="2"/>
    <n v="1"/>
  </r>
  <r>
    <x v="3"/>
    <x v="9"/>
    <s v="Ingresos y Capital"/>
    <s v="3.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x v="6"/>
    <s v="COMP 5"/>
    <s v="PROTECCIÓN-GOBERNANZA"/>
    <s v="DERECHOS SOBRE LA TIERRA"/>
    <s v="C5"/>
    <s v="Hectáreas restauradas"/>
    <n v="0"/>
    <n v="4281.2943442937603"/>
    <n v="0"/>
    <n v="500"/>
    <s v="El costo incluye la restauración de una hectárea, esta actividad se desarrollara de acuerdo a la metodología propuesta por el ARA, en coordinación con los productores seleccionados."/>
    <s v="ARA"/>
    <n v="2140647.1721468801"/>
    <n v="0"/>
    <n v="2140647.1721468801"/>
    <n v="0"/>
    <n v="0"/>
    <n v="0"/>
    <n v="0"/>
    <n v="0"/>
    <m/>
    <s v="X"/>
    <m/>
    <m/>
    <m/>
    <n v="3"/>
    <n v="1"/>
  </r>
  <r>
    <x v="3"/>
    <x v="10"/>
    <s v="Programas de inversión pública"/>
    <s v="3.9.1"/>
    <x v="70"/>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x v="0"/>
    <s v="COMP 10"/>
    <s v="HABILITANTE"/>
    <s v="TRANSVERSALES X UDT"/>
    <s v="C18"/>
    <s v="Acuerdos con rondas campesinas"/>
    <n v="0"/>
    <n v="19"/>
    <n v="19"/>
    <n v="2500"/>
    <s v="Reuniones con los diferentes actores involucrados y la sociedad civil para llegar a acuerdos de no deforestación, lo cual incluye  gastos logísticos en general."/>
    <s v="GRIS"/>
    <n v="237500"/>
    <n v="237500"/>
    <n v="47500"/>
    <n v="47500"/>
    <n v="47500"/>
    <n v="47500"/>
    <n v="47500"/>
    <n v="0"/>
    <m/>
    <m/>
    <s v="X"/>
    <m/>
    <s v="RE"/>
    <n v="3"/>
    <n v="1"/>
  </r>
  <r>
    <x v="3"/>
    <x v="10"/>
    <s v="Programas de inversión pública"/>
    <s v="3.9.2"/>
    <x v="71"/>
    <s v="Los cultivos alternativos promovidos por los programas de cooperación deberán considerar la no ampliación de la frontera agrícola, la no deforestación de bosques primarios y las intervenciones transversales de recuperación de áreas. "/>
    <s v="NR"/>
    <x v="1"/>
    <x v="1"/>
    <s v="COMP 1"/>
    <s v="HABILITANTE"/>
    <s v="TRANSVERSALES X UDT"/>
    <s v="C18"/>
    <s v="Reuniones de coordinación"/>
    <n v="0"/>
    <n v="5"/>
    <n v="5"/>
    <n v="1800"/>
    <s v="Costo para cubrir los gastos logísticos para las reuniones con los diferentes actores involucrados y la sociedad civil para llegar a acuerdos para la implementación de proyectos agroforestales."/>
    <s v="Drasam"/>
    <n v="45000"/>
    <n v="45000"/>
    <n v="9000"/>
    <n v="9000"/>
    <n v="9000"/>
    <n v="9000"/>
    <n v="9000"/>
    <n v="0"/>
    <m/>
    <m/>
    <s v="X"/>
    <m/>
    <s v="RE"/>
    <n v="1"/>
    <n v="1"/>
  </r>
  <r>
    <x v="3"/>
    <x v="10"/>
    <s v="Programas de inversión pública"/>
    <s v="3.9.3"/>
    <x v="48"/>
    <s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x v="9"/>
    <s v="COMP 10"/>
    <s v="HABILITANTE"/>
    <s v="TRANSVERSALES X UDT"/>
    <s v="C18"/>
    <s v="Kilómetros mejorados"/>
    <n v="479"/>
    <n v="47.900000000000006"/>
    <n v="47.900000000000006"/>
    <n v="800000"/>
    <s v="Costo promedio de por km2 de vía mejorada o asfaltada"/>
    <s v="DRTyTC"/>
    <n v="38320000.000000007"/>
    <n v="38320000.000000007"/>
    <n v="7664000.0000000019"/>
    <n v="7664000.0000000019"/>
    <n v="7664000.0000000019"/>
    <n v="7664000.0000000019"/>
    <n v="7664000.0000000019"/>
    <n v="0"/>
    <s v="X"/>
    <m/>
    <m/>
    <m/>
    <m/>
    <n v="2"/>
    <n v="1"/>
  </r>
  <r>
    <x v="3"/>
    <x v="10"/>
    <s v="Programas de inversión pública"/>
    <s v="3.9.4"/>
    <x v="49"/>
    <s v="Ejecución de proyectos de restauración en las 663 Ha con probabilidad alta y muy alta para desarrollar esta actividad; se cuenta con 401 ha que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x v="6"/>
    <s v="COMP 5"/>
    <s v="PROTECCIÓN"/>
    <s v="TRANSVERSALES X UDT"/>
    <s v="C18"/>
    <s v="Hectáreas restauradas"/>
    <n v="3201.8"/>
    <n v="800.45"/>
    <n v="640.36000000000013"/>
    <n v="500"/>
    <s v="El costo incluye la restauración de una hectárea, esta actividad se desarrollara de acuerdo a la metodología propuesta por el ARA, en coordinación con los productores seleccionados."/>
    <s v="ARA, SERFOR"/>
    <n v="400225"/>
    <n v="320180.00000000006"/>
    <n v="80045"/>
    <n v="80045"/>
    <n v="80045"/>
    <n v="80045"/>
    <n v="80045"/>
    <n v="0"/>
    <m/>
    <m/>
    <s v="X"/>
    <m/>
    <s v="RE"/>
    <n v="3"/>
    <n v="1"/>
  </r>
  <r>
    <x v="3"/>
    <x v="10"/>
    <s v="Programas de inversión pública"/>
    <s v="3.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x v="8"/>
    <s v="COMP 9"/>
    <s v="INCLUSION"/>
    <s v="TRANSVERSALES X UDT"/>
    <s v="C18"/>
    <s v="Centros de salud y colegios implementados"/>
    <n v="0"/>
    <n v="7"/>
    <n v="5"/>
    <n v="3500000"/>
    <s v="Construcción e implementación de centros educativos y postas medicas"/>
    <s v="DRTyTC"/>
    <n v="24500000"/>
    <n v="17500000"/>
    <n v="4900000"/>
    <n v="4900000"/>
    <n v="4900000"/>
    <n v="4900000"/>
    <n v="4900000"/>
    <n v="0"/>
    <m/>
    <s v="X"/>
    <m/>
    <m/>
    <s v="RE"/>
    <n v="3"/>
    <n v="1"/>
  </r>
  <r>
    <x v="3"/>
    <x v="10"/>
    <s v="Programas de inversión pública"/>
    <s v="3.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x v="8"/>
    <s v="COMP 9"/>
    <s v="INCLUSION"/>
    <s v="TRANSVERSALES X UDT"/>
    <s v="C18"/>
    <s v="N° Campañas"/>
    <n v="0"/>
    <n v="149.11500000000001"/>
    <n v="149.11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727875"/>
    <n v="3727875"/>
    <n v="745575"/>
    <n v="745575"/>
    <n v="745575"/>
    <n v="745575"/>
    <n v="745575"/>
    <n v="0"/>
    <m/>
    <s v="X"/>
    <m/>
    <m/>
    <s v="RE"/>
    <n v="3"/>
    <n v="1"/>
  </r>
  <r>
    <x v="3"/>
    <x v="10"/>
    <s v="Programas de inversión pública"/>
    <s v="3.9.7"/>
    <x v="52"/>
    <s v="Promoción al acceso de la marca con los productores que cumplan los criterios de elegibilidad solicitados por el programa, como una estrategia de ubicar mercados diferenciados para los productos provenientes de estas zonas."/>
    <s v="NR"/>
    <x v="1"/>
    <x v="5"/>
    <s v="COMP 3"/>
    <s v="PRODUCCIÓN"/>
    <s v="TRANSVERSALES X UDT"/>
    <s v="C18"/>
    <s v="Organizaciones que acceden a la marca"/>
    <n v="0"/>
    <n v="25"/>
    <n v="20"/>
    <n v="3000"/>
    <s v="El costo incluye: Una inspección anual anunciada,  elaboración de informe de inspección, administración y comunicación, certificación según los estándares de la marca."/>
    <s v="ARA"/>
    <n v="375000"/>
    <n v="300000"/>
    <n v="75000"/>
    <n v="75000"/>
    <n v="75000"/>
    <n v="75000"/>
    <n v="75000"/>
    <n v="0"/>
    <m/>
    <m/>
    <s v="X"/>
    <m/>
    <m/>
    <n v="3"/>
    <n v="1"/>
  </r>
  <r>
    <x v="4"/>
    <x v="15"/>
    <s v="Programas de inversión pública"/>
    <n v="1"/>
    <x v="72"/>
    <s v="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
    <s v="NR"/>
    <x v="2"/>
    <x v="6"/>
    <s v="COMP 10"/>
    <s v="HABILITANTE"/>
    <s v="TRANSVERSAL REGIONAL"/>
    <s v="C19"/>
    <s v="Plan de Ordenamiento Agroteritorial implementado"/>
    <n v="1"/>
    <n v="1"/>
    <n v="0"/>
    <n v="9082000"/>
    <s v="Implementación de las actividades referidas al proyecto ZAE, asi mismo la contratación de dos profesionales para realizar el monitoreo de las estaciones metereologicas; seconsidera la compra de 77 estaciones para ser instaladas en cada distrito de la región, tambien se costea los gastos de mantenimiento de dichos equipos.  "/>
    <s v="Drasam"/>
    <n v="9082000"/>
    <n v="1635000"/>
    <n v="3374000"/>
    <n v="2527000"/>
    <n v="2527000"/>
    <n v="327000"/>
    <n v="327000"/>
    <n v="0"/>
    <m/>
    <s v="X"/>
    <m/>
    <m/>
    <s v="RE"/>
    <n v="3"/>
    <n v="1"/>
  </r>
  <r>
    <x v="4"/>
    <x v="15"/>
    <s v="Programas de inversión pública"/>
    <n v="2"/>
    <x v="73"/>
    <s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
    <s v="NR"/>
    <x v="2"/>
    <x v="6"/>
    <s v="COMP 10"/>
    <s v="HABILITANTE"/>
    <s v="TRANSVERSAL REGIONAL"/>
    <s v="C19"/>
    <s v="Especialistas"/>
    <n v="395356.07"/>
    <n v="395356.07"/>
    <m/>
    <n v="16"/>
    <s v="Para la implementación de las intervención será mecesario la contratación de especialistas para realizar las acciones que comtemplen dicha actividad. Gastos logísticos y trámites documentarios. Contratación de dos profesioales para agilizar procesos con sunarp."/>
    <s v="ARA"/>
    <n v="6325697.1200000001"/>
    <n v="6325697.1200000001"/>
    <n v="1265139.4240000001"/>
    <n v="1265139.4240000001"/>
    <n v="1265139.4240000001"/>
    <n v="1265139.4240000001"/>
    <n v="1265139.4240000001"/>
    <n v="0"/>
    <m/>
    <s v="X"/>
    <m/>
    <m/>
    <m/>
    <n v="3"/>
    <n v="1"/>
  </r>
  <r>
    <x v="4"/>
    <x v="15"/>
    <s v="Programas de inversión pública"/>
    <n v="3"/>
    <x v="74"/>
    <s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
    <s v="NR"/>
    <x v="1"/>
    <x v="5"/>
    <s v="COMP 3"/>
    <s v="HABILITANTE"/>
    <s v="TRANSVERSAL REGIONAL"/>
    <s v="C19"/>
    <s v="Proyectos viables"/>
    <n v="10"/>
    <n v="15"/>
    <m/>
    <n v="6000000"/>
    <s v="El costo es referencial para un proyecto agropecuario de acuerdo a las cadenas priorizadas, donde se consideran componentes como Asistencia Técnica, Fortalecimiento organizacional, promoción de mercados sostenibles, manejo ambiental, etc."/>
    <s v="Drasam, ARA, Dircetur, Direpro, GRDE"/>
    <n v="60000000"/>
    <n v="90000000"/>
    <n v="12000000"/>
    <n v="12000000"/>
    <n v="12000000"/>
    <n v="12000000"/>
    <n v="12000000"/>
    <n v="0"/>
    <m/>
    <m/>
    <s v="X"/>
    <m/>
    <s v="RE"/>
    <n v="3"/>
    <n v="1"/>
  </r>
  <r>
    <x v="4"/>
    <x v="15"/>
    <s v="Programas de inversión privada"/>
    <n v="4"/>
    <x v="75"/>
    <s v="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
    <s v="FR"/>
    <x v="2"/>
    <x v="6"/>
    <s v="COMP 10"/>
    <s v="HABILITANTE"/>
    <s v="TRANSVERSAL REGIONAL"/>
    <s v="C19"/>
    <s v="Módulos implementados."/>
    <n v="10"/>
    <n v="10"/>
    <m/>
    <n v="200000"/>
    <s v="Implementación de maquinaria y equipos necesarios para el proceso y transformación de la madera."/>
    <s v="Ara, Serfor"/>
    <n v="2000000"/>
    <n v="2000000"/>
    <n v="400000"/>
    <n v="400000"/>
    <n v="400000"/>
    <n v="400000"/>
    <n v="400000"/>
    <n v="0"/>
    <s v="X"/>
    <m/>
    <m/>
    <m/>
    <s v="RE"/>
    <n v="2"/>
    <n v="1"/>
  </r>
  <r>
    <x v="4"/>
    <x v="15"/>
    <s v="Ingresos y Capital"/>
    <n v="5"/>
    <x v="76"/>
    <s v="Implementar un programa de incentivos que podrán ser de asistencia técnica, ejecución de proyectos sociales u otras acciones que permitan mejorar las condiciones de vida de los productores que realicen acciones de restauración."/>
    <s v="NR"/>
    <x v="2"/>
    <x v="6"/>
    <s v="COMP 5"/>
    <s v="HABILITANTE"/>
    <s v="TRANSVERSAL REGIONAL"/>
    <s v="C19"/>
    <s v="Número de Organizaciones beneficiarias"/>
    <n v="30"/>
    <n v="20"/>
    <m/>
    <n v="100000"/>
    <s v="Presupuesto que servirá para cubrir los gastos de los incentivos que se determinaran de acuerdo a la evaluación de los criterios correspondientes para los procesos de restauración."/>
    <s v="Drasam, ARA"/>
    <n v="3000000"/>
    <n v="2000000"/>
    <n v="600000"/>
    <n v="600000"/>
    <n v="600000"/>
    <n v="600000"/>
    <n v="600000"/>
    <n v="0"/>
    <m/>
    <m/>
    <s v="X"/>
    <m/>
    <s v="RE"/>
    <n v="3"/>
    <n v="1"/>
  </r>
  <r>
    <x v="4"/>
    <x v="15"/>
    <s v="Ingresos y Capital"/>
    <n v="6"/>
    <x v="77"/>
    <s v="Implementar los lineamientos finales para poner en vigencia el fondo de garantía de 5 millones de soles, para beneficiar a productores agropecuarios forestales organizados y no organizados que cumplan los atributos de la Marca certificadora “San Martín Región” y los propios requisitos que se establezcan en la directiva del fondo el cual será elaborado por el Gobierno Regional de San Martín en coordinación con la institución que administrará dichos fondos (COFIDE). Dentro de la directiva para la implementación del FONDESAM, se incorporará los mecanismos de tasas preferenciales para los créditos orientados a la innovación (Hoja de ruta del FONDESAM con el beneficiario). a financiar impactos en la cadena de producción."/>
    <s v="NR"/>
    <x v="1"/>
    <x v="3"/>
    <s v="COMP 11"/>
    <s v="HABILITANTE"/>
    <s v="TRANSVERSAL REGIONAL"/>
    <s v="C19"/>
    <s v="Consultoría"/>
    <n v="1"/>
    <n v="1"/>
    <n v="0"/>
    <n v="100000"/>
    <s v="Ejecución de informes de sustento para la Gerencia General del GRSM, consolidación del proceso de modificación del convenio entre el GRSM y COFIDE. Gastos logísticos, administrativos y contratación de especialistas y asesores para culminar el proceso. "/>
    <s v="GRDE"/>
    <n v="100000"/>
    <n v="0"/>
    <n v="100000"/>
    <n v="0"/>
    <n v="0"/>
    <n v="0"/>
    <n v="0"/>
    <n v="0"/>
    <m/>
    <m/>
    <s v="X"/>
    <m/>
    <s v="RE"/>
    <n v="3"/>
    <n v="1"/>
  </r>
  <r>
    <x v="4"/>
    <x v="15"/>
    <s v="Programas de inversión pública"/>
    <n v="7"/>
    <x v="78"/>
    <s v="Implementar un programa para productores líderes, contemplando módulos como: Educación Financiera dirigido a pequeños y medianos productores del sector rural, Costos de producción, Productos y servicios financieros, ahorro, capital semilla,  endeudamiento, gestion empresarial, para mejorar la prodcutividad y competitividad. "/>
    <s v="NR"/>
    <x v="1"/>
    <x v="4"/>
    <s v="COMP 2"/>
    <s v="HABILITANTE"/>
    <s v="TRANSVERSAL REGIONAL"/>
    <s v="C19"/>
    <s v="Especialistas"/>
    <n v="20"/>
    <n v="20"/>
    <m/>
    <n v="4000"/>
    <s v="Contratación de profesionales a nivel regional para ejecutar acciones de enseñanza financiera a los productores agropecuarios organizados y no organizados."/>
    <s v="GRDE"/>
    <n v="4800000"/>
    <n v="4800000"/>
    <n v="960000"/>
    <n v="960000"/>
    <n v="960000"/>
    <n v="960000"/>
    <n v="960000"/>
    <n v="0"/>
    <m/>
    <m/>
    <s v="X"/>
    <m/>
    <s v="RE"/>
    <n v="2"/>
    <n v="1"/>
  </r>
  <r>
    <x v="4"/>
    <x v="15"/>
    <s v="Programas de inversión pública"/>
    <n v="8"/>
    <x v="79"/>
    <s v="Implementar los lineamientos finales de la Marca Certificadora &quot;San Martín Región&quot;, asignándole un presupuesto y equipo técnico para poner en vigencia esta herramienta que busca facilitar el acceso a mercados a empresas de los diferentes sectores (agrícola, pecuario, acuícola, apícola, biocomercio, y otros) de la región. Promoción y articulación a mercados diferenciados y  nichos de mercados de alto valor con atributos  de la marca San Martín ( Bajo en emisiones, no vinculado a actividades ilegales, Innovadores y con estándares de calidad). La búsqueda y diversificación de mercados a través de misiones comerciales nacionales e internacionales, con estrategias difernciadas para productos tradicionalmente vinculados a la deforestación. Ejemplo Palma Aceitera."/>
    <s v="NR"/>
    <x v="1"/>
    <x v="5"/>
    <s v="COMP 10"/>
    <s v="HABILITANTE"/>
    <s v="TRANSVERSAL REGIONAL"/>
    <s v="C19"/>
    <s v="Consultoría"/>
    <n v="1"/>
    <n v="1"/>
    <n v="0"/>
    <n v="100000"/>
    <s v="Contratación de profesionales para culminar la descripción de los atributos y criterios priorizados, que permitan la operatividad de la marca certificadora &quot;San Martín Región&quot;."/>
    <s v="GRDE, Dircetur"/>
    <n v="100000"/>
    <n v="0"/>
    <n v="100000"/>
    <n v="0"/>
    <n v="0"/>
    <n v="0"/>
    <n v="0"/>
    <n v="0"/>
    <s v="X"/>
    <m/>
    <m/>
    <m/>
    <m/>
    <n v="2"/>
    <n v="1"/>
  </r>
  <r>
    <x v="4"/>
    <x v="15"/>
    <s v="Programas de inversión pública"/>
    <n v="9"/>
    <x v="80"/>
    <s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
    <s v="NR"/>
    <x v="0"/>
    <x v="8"/>
    <s v="COMP 10"/>
    <s v="HABILITANTE"/>
    <s v="TRANSVERSAL REGIONAL"/>
    <s v="C19"/>
    <s v="Centros Informativos implementados"/>
    <n v="50"/>
    <n v="50"/>
    <m/>
    <n v="5000"/>
    <s v="Se contratará personal adecuado para brindar orientación a la población en situación de vulnerabilidad, así mismo la implementación de los centros informativos con material divulgativo y promociones radiales. "/>
    <s v="GRDS"/>
    <n v="1250000"/>
    <n v="1250000"/>
    <n v="250000"/>
    <n v="250000"/>
    <n v="250000"/>
    <n v="250000"/>
    <n v="250000"/>
    <n v="0"/>
    <m/>
    <s v="X"/>
    <m/>
    <m/>
    <s v="RE"/>
    <n v="2"/>
    <n v="1"/>
  </r>
  <r>
    <x v="4"/>
    <x v="15"/>
    <s v="Programas de inversión privada"/>
    <n v="10"/>
    <x v="81"/>
    <s v="Financiamiento de emprendimientos rurales juveniles para incentivar el empalme generacional y el empleo formal juvenil (incluye fondo de capital semilla para emprendimientos). Promover y financiar emprendimientos orientados a la reducción de emisiones."/>
    <s v="NR"/>
    <x v="2"/>
    <x v="7"/>
    <s v="COMP 6"/>
    <s v="HABILITANTE"/>
    <s v="TRANSVERSAL REGIONAL"/>
    <s v="C19"/>
    <s v="Planes de negocios"/>
    <n v="250"/>
    <n v="250"/>
    <m/>
    <n v="30000"/>
    <s v="El presupuesto hace referencia a la implementación de planes de negocios agropecuarios, para cubrir gastos como, adquisición de semillas, materiales o equipos que hagan posible el desarrollo de los emprendimientos rurales juveniles."/>
    <s v="GRDE, ARA, Proyectos especiales"/>
    <n v="7500000"/>
    <n v="7500000"/>
    <n v="1500000"/>
    <n v="1500000"/>
    <n v="1500000"/>
    <n v="1500000"/>
    <n v="1500000"/>
    <n v="0"/>
    <s v="X"/>
    <m/>
    <m/>
    <m/>
    <s v="RE"/>
    <n v="2"/>
    <n v="1"/>
  </r>
  <r>
    <x v="4"/>
    <x v="15"/>
    <s v="Programas de inversión privada"/>
    <n v="11"/>
    <x v="82"/>
    <s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_x000a_El programa debe regirse según las normas vigentes para  disminuir la informalidad en el sector, así mismo lograr la satisfacción plena de los turistas que visitan la región."/>
    <s v="NR"/>
    <x v="2"/>
    <x v="7"/>
    <s v="COMP 6"/>
    <s v="HABILITANTE"/>
    <s v="TRANSVERSAL REGIONAL"/>
    <s v="C19"/>
    <s v="Programas  de capacitación"/>
    <n v="50"/>
    <n v="50"/>
    <m/>
    <n v="62000"/>
    <s v="El costo atribuye al fortalecimiento de capacidades de gestión de los diferentes prestadores de servicios turísticos, asi como la implementación de un diplomado para el fortalecimiento de capacidades del personal. "/>
    <s v="GRSM, DIRCETUR"/>
    <n v="560000"/>
    <n v="500000"/>
    <n v="160000"/>
    <n v="100000"/>
    <n v="100000"/>
    <n v="100000"/>
    <n v="100000"/>
    <n v="0"/>
    <m/>
    <m/>
    <s v="X"/>
    <m/>
    <m/>
    <n v="2"/>
    <n v="1"/>
  </r>
  <r>
    <x v="4"/>
    <x v="15"/>
    <s v="Programas de inversión pública"/>
    <n v="12"/>
    <x v="83"/>
    <s v="Promover el desarrollo comunitario mediante la identificación y cuantificación de recursos disponibles en una determinada jurisdicción, promoviendo la participación activa de todos los actores clave y su articulación a los planes de desarrollo local."/>
    <s v="NR"/>
    <x v="0"/>
    <x v="8"/>
    <s v="COMP 9"/>
    <s v="HABILITANTE"/>
    <s v="TRANSVERSAL REGIONAL"/>
    <s v="C19"/>
    <s v="PDC"/>
    <n v="100"/>
    <n v="100"/>
    <m/>
    <n v="20000"/>
    <s v="Contratación de servicios profesionales para la elaboración de los planes de desarrollo comunitario."/>
    <s v="GRSM, DRASAM"/>
    <n v="2000000"/>
    <n v="2000000"/>
    <n v="400000"/>
    <n v="400000"/>
    <n v="400000"/>
    <n v="400000"/>
    <n v="400000"/>
    <n v="0"/>
    <m/>
    <s v="X"/>
    <m/>
    <m/>
    <m/>
    <n v="2"/>
    <n v="1"/>
  </r>
  <r>
    <x v="4"/>
    <x v="15"/>
    <s v="Programas de inversión pública"/>
    <n v="13"/>
    <x v="84"/>
    <s v="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
    <s v="NR"/>
    <x v="1"/>
    <x v="2"/>
    <s v="COMP 4 "/>
    <s v="HABILITANTE"/>
    <s v="TRANSVERSAL REGIONAL"/>
    <s v="C19"/>
    <s v="Nº de proyectos ejecutados alineados a las prioridades de investigación e innovación regionales"/>
    <n v="10"/>
    <n v="10"/>
    <m/>
    <n v="72000"/>
    <s v="El costo va estar orientado a tener un equipo técnico especializado que apoye o promueva la generación de estas directivas del PMI, también la adecuación de los requisitos de los programas nacionales con la incorporación de las opiniones favorables del CTRIA y CGRA para ser elegibles; y por último la asistencia técnica para obtención y ejecución de la mayor cantidad de proyectos (de cualquier fuente), alineados a las prioridades regionales"/>
    <n v="0"/>
    <n v="720000"/>
    <n v="720000"/>
    <n v="144000"/>
    <n v="144000"/>
    <n v="144000"/>
    <n v="144000"/>
    <n v="144000"/>
    <n v="0"/>
    <m/>
    <s v="X"/>
    <m/>
    <m/>
    <m/>
    <n v="3"/>
    <n v="1"/>
  </r>
  <r>
    <x v="4"/>
    <x v="15"/>
    <s v="Programas de inversión privada"/>
    <n v="14"/>
    <x v="85"/>
    <s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_x000a_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x v="7"/>
    <s v="COMP 10"/>
    <s v="HABILITANTE"/>
    <s v="TRANSVERSAL REGIONAL"/>
    <s v="C19"/>
    <s v="Planes de negocios"/>
    <n v="25"/>
    <n v="25"/>
    <m/>
    <n v="80000"/>
    <s v="El presupuesto hace referencia a la implementación de planes de negocios agroindustriales para cubrir gastos y costos de implementación. Se debe desarrollar los lineamientos para orientar adecuadamente los recursos."/>
    <s v="DIREPRO"/>
    <n v="2000000"/>
    <n v="2000000"/>
    <n v="400000"/>
    <n v="400000"/>
    <n v="400000"/>
    <n v="400000"/>
    <n v="400000"/>
    <n v="0"/>
    <s v="X"/>
    <m/>
    <m/>
    <m/>
    <m/>
    <n v="3"/>
    <n v="1"/>
  </r>
  <r>
    <x v="4"/>
    <x v="15"/>
    <s v="Programas de inversión privada"/>
    <n v="15"/>
    <x v="86"/>
    <s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
    <s v="NR"/>
    <x v="1"/>
    <x v="5"/>
    <s v="COMP 3"/>
    <s v="HABILITANTE"/>
    <s v="TRANSVERSAL REGIONAL"/>
    <s v="C19"/>
    <s v="Empresas y organizaciones atendidas"/>
    <n v="30"/>
    <n v="30"/>
    <m/>
    <n v="45000"/>
    <s v="La inversión  estará enfocada a la gestión y renovación de registros sanitarios, implementación de Buenas Prácticas de Manufactura."/>
    <s v="DIREPRO, DIRCETUR"/>
    <n v="6750000"/>
    <n v="6750000"/>
    <n v="1350000"/>
    <n v="1350000"/>
    <n v="1350000"/>
    <n v="1350000"/>
    <n v="1350000"/>
    <n v="0"/>
    <s v="X"/>
    <m/>
    <m/>
    <m/>
    <m/>
    <n v="3"/>
    <n v="1"/>
  </r>
  <r>
    <x v="4"/>
    <x v="15"/>
    <s v="Control y vigilancia"/>
    <n v="16"/>
    <x v="87"/>
    <s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
    <s v="NR"/>
    <x v="0"/>
    <x v="0"/>
    <s v="COMP 8"/>
    <s v="HABILITANTE"/>
    <s v="TRANSVERSAL REGIONAL"/>
    <s v="C19"/>
    <s v="Títulos registrados"/>
    <n v="1"/>
    <n v="1"/>
    <n v="0"/>
    <n v="105000"/>
    <s v="La implementación del sistema de formalización contempla el diseño de una plataforma digital y el desarrollo de un manual para su adecuado uso y mantenimiento."/>
    <s v="ARA-DRASAM-MINAGRI"/>
    <n v="105000"/>
    <n v="0"/>
    <n v="105000"/>
    <n v="0"/>
    <n v="0"/>
    <n v="0"/>
    <n v="0"/>
    <n v="0"/>
    <m/>
    <s v="X"/>
    <m/>
    <m/>
    <m/>
    <n v="3"/>
    <n v="1"/>
  </r>
  <r>
    <x v="4"/>
    <x v="15"/>
    <s v="Programas de inversión privada"/>
    <n v="17"/>
    <x v="88"/>
    <s v="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
    <s v="NR"/>
    <x v="1"/>
    <x v="3"/>
    <s v="COMP 11"/>
    <s v="HABILITANTE"/>
    <s v="TRANSVERSAL REGIONAL"/>
    <s v="C19"/>
    <s v="Convocatorias / créditos"/>
    <n v="5"/>
    <n v="5"/>
    <n v="5"/>
    <n v="1500000"/>
    <s v="Debe comprender costo de convocatoria, parte legal contractual, fondo de pago por éxitos (entre 1% a 3%), monitoreo y seguimiento"/>
    <s v="OPIPs"/>
    <n v="7500000"/>
    <n v="7500000"/>
    <n v="1500000"/>
    <n v="1500000"/>
    <n v="1500000"/>
    <n v="1500000"/>
    <n v="1500000"/>
    <n v="0"/>
    <m/>
    <m/>
    <n v="0"/>
    <m/>
    <m/>
    <n v="2"/>
    <n v="0"/>
  </r>
  <r>
    <x v="4"/>
    <x v="15"/>
    <s v="Ingresos y Capital"/>
    <n v="18"/>
    <x v="89"/>
    <s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
    <s v="NR"/>
    <x v="1"/>
    <x v="3"/>
    <s v="COMP 11"/>
    <s v="HABILITANTE"/>
    <s v="TRANSVERSAL REGIONAL"/>
    <s v="C19"/>
    <s v="Productos financieros específicos para cada cadena implementados"/>
    <n v="10"/>
    <n v="10"/>
    <n v="0"/>
    <n v="35000"/>
    <s v="Consultoría, sistematización de información en campo, al menos dos pilotos en campo, diseño de salvaguardas y monitoreo y compromisos"/>
    <s v="GRDE-DRASAM-OPIPS"/>
    <n v="350000"/>
    <n v="0"/>
    <n v="70000"/>
    <n v="70000"/>
    <n v="70000"/>
    <n v="70000"/>
    <n v="70000"/>
    <n v="0"/>
    <m/>
    <m/>
    <n v="0"/>
    <m/>
    <m/>
    <n v="3"/>
    <n v="0"/>
  </r>
  <r>
    <x v="4"/>
    <x v="15"/>
    <s v="Programas de inversión privada"/>
    <n v="19"/>
    <x v="90"/>
    <s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
    <s v="NR"/>
    <x v="1"/>
    <x v="5"/>
    <s v="COMP 3"/>
    <s v="HABILITANTE"/>
    <s v="TRANSVERSAL REGIONAL"/>
    <s v="C19"/>
    <s v="Alianzas privadas entre empresas y productores."/>
    <n v="50"/>
    <n v="50"/>
    <n v="40"/>
    <n v="24000"/>
    <s v="Contratación de especialistas para levantar la información de potenciales alianzas, asistencia técnica en fortalecimiento organizacional y comercial, relaciones comerciales, prácticas agrícolas innovadoras, desarrollo de proveedores y productos financieros, movilidad a áreas productivas, talleres con productores, reuniones con empresas y productores, preparación de propuestas de proyectos o acceso a financiamiento, elaboración de base de datos, diseño de salvaguardas y sistema de monitoreo."/>
    <s v="GRDE-DIRCETUR-OPIPS"/>
    <n v="1200000"/>
    <n v="960000"/>
    <n v="240000"/>
    <n v="240000"/>
    <n v="240000"/>
    <n v="240000"/>
    <n v="240000"/>
    <n v="0"/>
    <m/>
    <m/>
    <n v="0"/>
    <m/>
    <m/>
    <n v="2"/>
    <n v="0"/>
  </r>
  <r>
    <x v="4"/>
    <x v="15"/>
    <s v="Programas de inversión privada"/>
    <n v="20"/>
    <x v="91"/>
    <s v="_x000a_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
    <s v="NR"/>
    <x v="1"/>
    <x v="5"/>
    <s v="COMP 10"/>
    <s v="HABILITANTE"/>
    <s v="TRANSVERSAL REGIONAL"/>
    <s v="C19"/>
    <s v="Estudios de mercado"/>
    <n v="8"/>
    <n v="8"/>
    <n v="8"/>
    <n v="78000"/>
    <s v="El costo incluye la elaboración de 8 estudios de mercado, estrategias comerciales  e implementación de instrumentos de promoción en los 4 primeros años (S/ 30,000.0 por estudio) y la contratación de  un especialista en DIRCETUR para monitoreo e implementación de dichos estudios por un monto de S/ 48,000.00 al año."/>
    <s v="DIRCETUR-GRDE"/>
    <n v="480000"/>
    <n v="480000"/>
    <n v="108000"/>
    <n v="108000"/>
    <n v="108000"/>
    <n v="108000"/>
    <n v="48000"/>
    <n v="0"/>
    <m/>
    <m/>
    <n v="0"/>
    <m/>
    <m/>
    <n v="2"/>
    <n v="0"/>
  </r>
  <r>
    <x v="4"/>
    <x v="15"/>
    <s v="Programas de inversión pública"/>
    <n v="21"/>
    <x v="92"/>
    <s v="Reuniones de trabajo con gremios para firma de acuerdo, firma de acuerdo, monitoreo de cumplimiento, generar información para la iniciativa de campeones por los bosques tropicales (TFC), reuniones del espacio regional de la coalición público privada por una producción sostenible"/>
    <s v="NR"/>
    <x v="2"/>
    <x v="6"/>
    <s v="COMP 10"/>
    <s v="HABILITANTE"/>
    <s v="TRANSVERSAL REGIONAL"/>
    <s v="C19"/>
    <s v="Acuerdos "/>
    <n v="1"/>
    <n v="1"/>
    <n v="0"/>
    <n v="61000"/>
    <s v="Reuniones de trabajo con empresas, asociaciones de productores y gremios, generar información, reuniones públicas de presentación de acuerdos, difusión internacional de acuerdos"/>
    <s v="ARA-SERFOR-DRASAM-GRDE"/>
    <n v="61000"/>
    <n v="0"/>
    <n v="30500"/>
    <n v="30500"/>
    <n v="0"/>
    <n v="0"/>
    <n v="0"/>
    <n v="0"/>
    <m/>
    <m/>
    <n v="0"/>
    <m/>
    <m/>
    <n v="3"/>
    <n v="0"/>
  </r>
  <r>
    <x v="4"/>
    <x v="15"/>
    <s v="Corrupción"/>
    <n v="22"/>
    <x v="93"/>
    <s v="Diseño de programa de capacitación e implementación, para hacer conocer y cumplir el código de ética de la función pública para evitar los actos de corrupción."/>
    <s v="NR"/>
    <x v="0"/>
    <x v="0"/>
    <s v="COMP 8"/>
    <s v="HABILITANTE"/>
    <s v="TRANSVERSAL REGIONAL"/>
    <s v="C19"/>
    <s v="Funcionarios capacitados que aprueban evaluación"/>
    <n v="75"/>
    <n v="75"/>
    <n v="75"/>
    <n v="25"/>
    <s v="Diseño de modulo de capacitación, implementación de curso y evaluación para funcionarios regionales"/>
    <s v="GRSM"/>
    <n v="18750"/>
    <n v="1875"/>
    <n v="3750"/>
    <n v="3750"/>
    <n v="3750"/>
    <n v="3750"/>
    <n v="3750"/>
    <n v="0"/>
    <m/>
    <m/>
    <n v="0"/>
    <m/>
    <m/>
    <n v="2"/>
    <n v="0"/>
  </r>
  <r>
    <x v="4"/>
    <x v="15"/>
    <s v="Corrupción"/>
    <n v="23"/>
    <x v="94"/>
    <s v="Mejora de los TUPAs (incluye proceso integrado para clasificación de suelos + uso actual de la ley forestal), material de difusión, y capacitaciones periódicas a usuarios"/>
    <s v="NR"/>
    <x v="0"/>
    <x v="0"/>
    <s v="COMP 8"/>
    <s v="HABILITANTE"/>
    <s v="TRANSVERSAL REGIONAL"/>
    <s v="C19"/>
    <s v="TUPA  mejorado "/>
    <n v="1"/>
    <n v="1"/>
    <n v="0"/>
    <n v="150000"/>
    <s v="Consultoría de análisis de procedimientos administrativos regionales de la DRA, ARA, GDE, OPIPS, elaboración de proyecto de TUPA, aprobación de TUPA, capacitación a funcionarios, difusión en portal web y elaboración de material informativo para usuarios"/>
    <s v="GRSM"/>
    <n v="150000"/>
    <n v="0"/>
    <n v="150000"/>
    <n v="0"/>
    <n v="0"/>
    <n v="0"/>
    <n v="0"/>
    <n v="0"/>
    <m/>
    <m/>
    <n v="0"/>
    <m/>
    <m/>
    <n v="3"/>
    <n v="0"/>
  </r>
  <r>
    <x v="4"/>
    <x v="15"/>
    <s v="Corrupción"/>
    <n v="24"/>
    <x v="95"/>
    <s v="Implementar a nivel regional un clasificador de cargos por especialidades y competencias de las distintas áreas del GRSM, con la finalidad de contar con profesionales altamente capacitados y con experiencia, acorde a los distintos cargos que se disponga en el ámbito regional. Considerar asi mismo afectar esta disposición a los cargos de confianza cumpliendo los requisitos plasmados en el clasificador. "/>
    <s v="NR"/>
    <x v="0"/>
    <x v="0"/>
    <s v="COMP 8"/>
    <s v="HABILITANTE"/>
    <s v="TRANSVERSAL REGIONAL"/>
    <s v="C19"/>
    <s v="Clasificador de cargos implementado"/>
    <n v="1"/>
    <n v="1"/>
    <n v="1"/>
    <n v="50000"/>
    <s v="Consultorías, reuniones con trabajadores, sistematización de información y punto focal responsable de implementación"/>
    <s v="GRSM"/>
    <n v="60000"/>
    <n v="0"/>
    <n v="60000"/>
    <n v="0"/>
    <n v="0"/>
    <n v="0"/>
    <n v="0"/>
    <n v="0"/>
    <m/>
    <m/>
    <n v="0"/>
    <m/>
    <m/>
    <n v="2"/>
    <n v="0"/>
  </r>
  <r>
    <x v="4"/>
    <x v="15"/>
    <s v="Corrupción"/>
    <n v="25"/>
    <x v="96"/>
    <s v="Ejecutar un estudio sobre las necesidades de la OCI Regional y las OCI de las diferentes direcciones regionales y proyectos especiales referidos a la necesidad de especialistas por cada oficina, asi mismo el perfil profesional minimo para cubrir dichos puestos. Con la finalidad de mejorar y asegurar el ejercicio oportuno, efectivo y eficiente del control gubernamental, así como de optimizar sus capacidades orientadas a la prevención y lucha contra la corrupción."/>
    <s v="NR"/>
    <x v="0"/>
    <x v="0"/>
    <s v="COMP 8"/>
    <s v="HABILITANTE"/>
    <s v="TRANSVERSAL REGIONAL"/>
    <s v="C19"/>
    <s v="Estudio"/>
    <n v="1"/>
    <n v="1"/>
    <n v="1"/>
    <n v="30000"/>
    <s v="El costo va estar orientado a tener un equipo con personal especializado "/>
    <s v="CONTRALORIA, OCI, GRSM"/>
    <n v="50000"/>
    <n v="0"/>
    <n v="50000"/>
    <n v="0"/>
    <n v="0"/>
    <n v="0"/>
    <n v="0"/>
    <n v="0"/>
    <m/>
    <m/>
    <n v="0"/>
    <m/>
    <m/>
    <n v="2"/>
    <n v="0"/>
  </r>
  <r>
    <x v="4"/>
    <x v="15"/>
    <s v="Corrupción"/>
    <n v="26"/>
    <x v="97"/>
    <s v="Campañas orientadas a sensibilizar el impacto negativo de la corrupcion al crecimiento de la región, asi mismo realizar las denuncias correspondientes de forma anónima para que los órganos competentes puedan aplicar sanciones a dichos actos de corrupción. Brindar las medidas de protección necesarias a las personas que denuncian estos actos. "/>
    <s v="NR"/>
    <x v="0"/>
    <x v="0"/>
    <s v="COMP 10"/>
    <s v="HABILITANTE"/>
    <s v="TRANSVERSAL REGIONAL"/>
    <s v="C19"/>
    <s v="Campañas de difudión."/>
    <n v="1"/>
    <n v="1"/>
    <n v="1"/>
    <n v="180000"/>
    <s v="Reuniones de trabajo con empresas, asociaciones de productores y gremios, generar información, reuniones públicas de presentación de acuerdos"/>
    <s v="GRSM"/>
    <n v="900000"/>
    <n v="900000"/>
    <n v="180000"/>
    <n v="180000"/>
    <n v="180000"/>
    <n v="180000"/>
    <n v="180000"/>
    <n v="0"/>
    <m/>
    <m/>
    <n v="0"/>
    <m/>
    <m/>
    <n v="2"/>
    <n v="0"/>
  </r>
  <r>
    <x v="4"/>
    <x v="15"/>
    <s v="Control y vigilancia"/>
    <n v="27"/>
    <x v="98"/>
    <s v="Reuniones periódicas y extraordinarias de mesa regional de control y vigilancia forestal y de fauna silvestre "/>
    <s v="NR"/>
    <x v="0"/>
    <x v="0"/>
    <s v="COMP 8"/>
    <s v="HABILITANTE"/>
    <s v="TRANSVERSAL REGIONAL"/>
    <s v="C19"/>
    <s v="Acuerdos adoptados en las reuniones de la mesa"/>
    <n v="40"/>
    <n v="40"/>
    <n v="40"/>
    <n v="1000"/>
    <s v="Reuniones entre instituciones públicas dedicadas al control y vigilancia forestal para articular protocolos, procedimientos y operativos para el control de la deforestación y tala ilegal"/>
    <s v="SERFOR, ARA, MP, OSINFOR"/>
    <n v="40000"/>
    <n v="40000"/>
    <n v="8000"/>
    <n v="8000"/>
    <n v="8000"/>
    <n v="8000"/>
    <n v="8000"/>
    <n v="0"/>
    <m/>
    <m/>
    <n v="0"/>
    <m/>
    <m/>
    <n v="2"/>
    <n v="0"/>
  </r>
  <r>
    <x v="4"/>
    <x v="15"/>
    <s v="Control y vigilancia"/>
    <n v="28"/>
    <x v="99"/>
    <s v="1 capacitación de una semana en el ámbito cercano al trabajo de la comunidad (puede ser una capacitación espaciada) "/>
    <s v="NR"/>
    <x v="2"/>
    <x v="6"/>
    <s v="COMP 10"/>
    <s v="HABILITANTE"/>
    <s v="TRANSVERSAL REGIONAL"/>
    <s v="C19"/>
    <s v="Ronderos y custodios que aprueban evaluación de capacitación "/>
    <n v="250"/>
    <n v="250"/>
    <n v="250"/>
    <n v="150"/>
    <s v="Considera materiales de capacitación, alimentación a capacitados en el área cercana a su comunidad y gastos de capacitadores"/>
    <s v="SERFOR, ARA, MP, OSINFOR"/>
    <n v="37500"/>
    <n v="37500"/>
    <n v="7500"/>
    <n v="7500"/>
    <n v="7500"/>
    <n v="7500"/>
    <n v="7500"/>
    <n v="0"/>
    <m/>
    <m/>
    <s v="X"/>
    <m/>
    <m/>
    <n v="2"/>
    <n v="1"/>
  </r>
  <r>
    <x v="4"/>
    <x v="15"/>
    <s v="Control y vigilancia"/>
    <n v="29"/>
    <x v="100"/>
    <s v="Uniforme básico, GPS por brigadas,  1 dron por comunidad, equipos de radio por comunidad (radio corta portátil)"/>
    <s v="NR"/>
    <x v="2"/>
    <x v="6"/>
    <s v="COMP 10"/>
    <s v="HABILITANTE"/>
    <s v="TRANSVERSAL REGIONAL"/>
    <s v="C19"/>
    <s v="Ronderos y custodios equipados"/>
    <n v="250"/>
    <n v="250"/>
    <n v="250"/>
    <n v="1945"/>
    <s v="Uniforme básico para 250 personas, GPS para 25 comunidades,  1 dron para 25 comunidades, equipos de radio para 25 comunidades (radio corta portátil)"/>
    <s v="ARA "/>
    <n v="486250"/>
    <n v="486250"/>
    <n v="97250"/>
    <n v="97250"/>
    <n v="97250"/>
    <n v="97250"/>
    <n v="97250"/>
    <n v="0"/>
    <m/>
    <m/>
    <s v="X"/>
    <m/>
    <m/>
    <n v="3"/>
    <n v="1"/>
  </r>
  <r>
    <x v="4"/>
    <x v="15"/>
    <s v="Control y vigilancia"/>
    <n v="30"/>
    <x v="101"/>
    <s v="Personal de campo dedicado al control de actividades ilegales (deforestación y tala ilegal),  combustible y raciones para acciones de control"/>
    <s v="NR"/>
    <x v="0"/>
    <x v="0"/>
    <s v="COMP 8"/>
    <s v="HABILITANTE"/>
    <s v="TRANSVERSAL REGIONAL"/>
    <s v="C19"/>
    <s v="Informes de inspecciones"/>
    <n v="125"/>
    <n v="125"/>
    <n v="125"/>
    <n v="236000"/>
    <s v="Unidad conformada al menos por cuatro especialistas, y gastos de movilidad y alimentación"/>
    <s v="ARA"/>
    <n v="1180000"/>
    <n v="1180000"/>
    <n v="236000"/>
    <n v="236000"/>
    <n v="236000"/>
    <n v="236000"/>
    <n v="236000"/>
    <n v="0"/>
    <m/>
    <m/>
    <n v="0"/>
    <m/>
    <m/>
    <n v="3"/>
    <n v="0"/>
  </r>
  <r>
    <x v="4"/>
    <x v="15"/>
    <s v="Control y vigilancia"/>
    <n v="31"/>
    <x v="102"/>
    <s v="Equipamiento (GPS, cámaras, computadora),  camionetas, carpas, sleepings, binoculares y uniformes"/>
    <s v="NR"/>
    <x v="0"/>
    <x v="0"/>
    <s v="COMP 10"/>
    <s v="HABILITANTE"/>
    <s v="TRANSVERSAL REGIONAL"/>
    <s v="C19"/>
    <s v="Informes de inspecciones"/>
    <n v="0"/>
    <n v="0"/>
    <n v="0"/>
    <n v="1182.4000000000001"/>
    <s v="Dos camionetas, cuatro computadoras, cuatro GPS, cuatro cámaras fotográficas,  ocho uniformes y equipo básico de campo para 4 personas (solo en los primeros cinco años). Considera uniformes nuevos al año 5"/>
    <s v="ARA "/>
    <n v="147800"/>
    <n v="1600"/>
    <n v="29560"/>
    <n v="29560"/>
    <n v="29560"/>
    <n v="29560"/>
    <n v="29560"/>
    <n v="0"/>
    <m/>
    <m/>
    <n v="0"/>
    <m/>
    <m/>
    <n v="3"/>
    <n v="0"/>
  </r>
  <r>
    <x v="4"/>
    <x v="15"/>
    <s v="Control y vigilancia"/>
    <s v="32 A"/>
    <x v="103"/>
    <s v="Contratación de fiscales especializados en materia ambiental para que puedan atender oportunamente la necesidad de toda la región. Actualmente solo se cuenta con 5 fiscales en toda la región distribuidos de la siguiente manera: 2 fiscales para las provincias de (Tocache, Mariscal Cáceres, Bellavista y Huallaga) y 3 fiscales para las provincias de (El Dorado, Picota, Lamas, San Martín, Moyobamba Y Rioja)."/>
    <s v="NR"/>
    <x v="0"/>
    <x v="0"/>
    <s v="COMP 8"/>
    <s v="HABILITANTE"/>
    <s v="TRANSVERSAL REGIONAL"/>
    <s v="C19"/>
    <s v="Contratación de fiscales"/>
    <n v="6"/>
    <n v="6"/>
    <n v="6"/>
    <n v="8000"/>
    <s v="Contratación de fiscales."/>
    <s v="ARA"/>
    <n v="2880000"/>
    <n v="2880000"/>
    <n v="576000"/>
    <n v="576000"/>
    <n v="576000"/>
    <n v="576000"/>
    <n v="576000"/>
    <n v="0"/>
    <m/>
    <m/>
    <n v="0"/>
    <m/>
    <m/>
    <n v="3"/>
    <n v="0"/>
  </r>
  <r>
    <x v="4"/>
    <x v="15"/>
    <s v="Control y vigilancia"/>
    <s v="32 B"/>
    <x v="104"/>
    <s v="Implementación de logística para fiscalías especializadas en materia ambiental"/>
    <s v="NR"/>
    <x v="0"/>
    <x v="0"/>
    <s v="COMP 8"/>
    <s v="HABILITANTE"/>
    <s v="TRANSVERSAL REGIONAL"/>
    <s v="C19"/>
    <s v="Unidades móviles"/>
    <n v="5"/>
    <n v="5"/>
    <n v="0"/>
    <n v="150000"/>
    <s v="Adquisión de movilidades para la inspección oportuna de los fiscales cuando se reporte algún tipo de delito ambiental."/>
    <s v="ARA"/>
    <n v="750000"/>
    <n v="0"/>
    <n v="750000"/>
    <n v="0"/>
    <n v="0"/>
    <n v="0"/>
    <n v="0"/>
    <n v="0"/>
    <m/>
    <m/>
    <n v="0"/>
    <m/>
    <m/>
    <n v="3"/>
    <n v="0"/>
  </r>
  <r>
    <x v="4"/>
    <x v="15"/>
    <s v="Control y vigilancia"/>
    <n v="33"/>
    <x v="105"/>
    <s v="Operativos específicos para control de tala ilegal y deforestación coordinado entre varias instituciones públicas (ARA, MP, OSINFOR, entre otros)"/>
    <s v="NR"/>
    <x v="0"/>
    <x v="0"/>
    <s v="COMP 8"/>
    <s v="HABILITANTE"/>
    <s v="TRANSVERSAL REGIONAL"/>
    <s v="C19"/>
    <s v="Procesos administrativos o penales iniciados "/>
    <n v="15"/>
    <n v="15"/>
    <n v="15"/>
    <n v="30000"/>
    <s v="Operativos en campo que implican desplazamiento de la policía nacional del Perú, el ministerio público (gasolina, raciones), sobrevuelo"/>
    <s v="SERFOR, ARA, MP, OSINFOR"/>
    <n v="450000"/>
    <n v="450000"/>
    <n v="90000"/>
    <n v="90000"/>
    <n v="90000"/>
    <n v="90000"/>
    <n v="90000"/>
    <n v="0"/>
    <m/>
    <m/>
    <s v="X"/>
    <m/>
    <m/>
    <n v="3"/>
    <n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
  <r>
    <s v="PUBLICO"/>
    <s v="ACUICULTURA"/>
    <n v="2455161"/>
    <s v="MEJORAMIENTO DEL SERVICIO DE APOYO A LA ADOPCION DE TECNOLOGIAS EN ACUICULTURA CON ESPECIES NATIVAS AMAZONICAS, A ACUICULTORES DE LAS 10 PROVINCIAS DEL DEPARTAMENTO DE SAN MARTIN"/>
    <s v="ACUICULTURA"/>
    <x v="0"/>
    <x v="0"/>
    <s v="REGION SAN MARTIN-PESQUERIA"/>
    <s v="CANON Y SOBRECANON, REGALIAS, RENTA DE ADUANAS Y PARTICIPACIONES"/>
    <x v="0"/>
    <x v="0"/>
    <x v="0"/>
    <n v="2500000"/>
    <n v="3500000"/>
    <n v="6366707.3899999997"/>
    <m/>
    <m/>
    <n v="12366707.390000001"/>
  </r>
  <r>
    <s v="PUBLICO"/>
    <s v="ACUICULTURA"/>
    <n v="2465974"/>
    <s v="MEJORAMIENTO DEL SERVICIO DE APOYO AL DESARROLLO PRODUCTIVO DE LA CADENA DE VALOR ACUÍCOLA CON PAICHE EN LAS 4 PROVINCIAS DEL DEPARTAMENTO DE SAN MARTIN"/>
    <s v="ACUICULTURA"/>
    <x v="0"/>
    <x v="0"/>
    <s v="REGION SAN MARTIN-PESQUERIA"/>
    <n v="0"/>
    <x v="0"/>
    <x v="0"/>
    <x v="0"/>
    <n v="1120000"/>
    <n v="7552619"/>
    <n v="0"/>
    <m/>
    <m/>
    <n v="8672619"/>
  </r>
  <r>
    <s v="PUBLICO"/>
    <s v="ASISTENCIA SOCIAL"/>
    <n v="2384369"/>
    <s v="MEJORAMIENTO DE LAS CONDICIONES DE VIDA DE LA LOCALIDAD DE ALTO RIOJA, CON LA IMPLEMENTACION DE COCINAS MEJORADAS, DISTRITO DE JEPELACIO-MOYOBAMBA-SAN MARTIN"/>
    <s v="COCINAS"/>
    <x v="1"/>
    <x v="1"/>
    <m/>
    <s v="FONDO DE COMPENSACION MUNICIPAL"/>
    <x v="1"/>
    <x v="1"/>
    <x v="1"/>
    <n v="5000"/>
    <n v="140621"/>
    <n v="0"/>
    <m/>
    <m/>
    <n v="145621"/>
  </r>
  <r>
    <s v="PUBLICO"/>
    <s v="ASISTENCIA SOCIAL"/>
    <n v="2438509"/>
    <s v="MEJORAMIENTO DE CAPACIDADES DE SEGURIDAD ALIMENTARIA, A TRAVÉS DEL DESARROLLO DE CAPACIDADES DE LAS MADRES DE FAMILIA PARA LA PRODUCCIÓN DE GALLINAS DE CHACRA, EN LA LOCALIDAD DE CACATACHI  Y LOS SECTORES VERDE AMANECER, ROSANAICO, LLANGUARRARCA, SHUCUSHCO, ATUNRUMI, CRUCE DE LAMAS, VENTANILLA Y SAN JOSÉ LA LLANURA, CACATACHI DEL DISTRITO DE CACATACHI - PROVINCIA DE SAN MARTIN - DEPARTAMENTO DE SAN MARTIN"/>
    <s v="SEGURIDAD ALIMENTARIA"/>
    <x v="1"/>
    <x v="1"/>
    <s v="MUNICIPALIDAD DISTRITAL DE CACATACHI"/>
    <n v="0"/>
    <x v="1"/>
    <x v="1"/>
    <x v="2"/>
    <n v="707403"/>
    <n v="707403"/>
    <n v="707403"/>
    <n v="117901.735"/>
    <n v="117901.735"/>
    <n v="2358012.4699999997"/>
  </r>
  <r>
    <s v="PUBLICO"/>
    <s v="ASISTENCIA SOCIAL"/>
    <n v="2438974"/>
    <s v="CREACION DE COCINAS MEJORADAS EN LOS CENTROS POBLADOS DE SAN JUAN DE TANGUMI, SANTA ROSA DE BAJO TANGUMI, SAN FRANCISCO DE BAJO PAJONAL, FAUSTINO MALDONADO Y CALZADA, EN EL  DISTRITO DE CALZADA - PROVINCIA DE MOYOBAMBA - DEPARTAMENTO DE SAN MARTIN"/>
    <s v="COCINAS"/>
    <x v="1"/>
    <x v="1"/>
    <s v="MUNICIPALIDAD DISTRITAL DE CALZADA"/>
    <s v="FONDO DE COMPENSACION MUNICIPAL"/>
    <x v="1"/>
    <x v="1"/>
    <x v="1"/>
    <n v="181000"/>
    <n v="0"/>
    <n v="0"/>
    <n v="0"/>
    <n v="0"/>
    <n v="181000"/>
  </r>
  <r>
    <s v="PUBLICO"/>
    <s v="ASISTENCIA SOCIAL"/>
    <n v="2446149"/>
    <s v="MEJORAMIENTO DE LA SEGURIDAD ALIMENTARIA, MEDIANTE SISTEMAS DE DIVERSIFICACIÓN PRODUCTIVA EN 6 DISTRITOS DE LA PROVINCIA DE RIOJA - DEPARTAMENTO DE SAN MARTIN"/>
    <s v="SEGURIDAD ALIMENTARIA"/>
    <x v="1"/>
    <x v="1"/>
    <s v="MUNICIPALIDAD PROVINCIAL DE RIOJA"/>
    <n v="0"/>
    <x v="1"/>
    <x v="1"/>
    <x v="1"/>
    <n v="1453470"/>
    <n v="10000"/>
    <n v="0"/>
    <n v="0"/>
    <n v="0"/>
    <n v="1463470"/>
  </r>
  <r>
    <s v="PUBLICO"/>
    <s v="CIENCIA Y TECNOLOGÍA"/>
    <n v="252335"/>
    <s v="AMPLIACION Y DESARROLLO DE CAPACIDADES PARA INCREMENTAR LA PRODUCCION Y PRODUCTIVIDAD DEL CULTIVO DE CAFE, DISTRITO DE UCHIZA - TOCACHE - SAN MARTIN"/>
    <s v="CAFE"/>
    <x v="0"/>
    <x v="2"/>
    <s v="MUNICIPALIDAD DISTRITAL DE UCHIZA"/>
    <s v="RECURSOS ORDINARIOS"/>
    <x v="1"/>
    <x v="2"/>
    <x v="3"/>
    <n v="0"/>
    <n v="0"/>
    <n v="0"/>
    <n v="35776.155000000297"/>
    <n v="35776.155000000297"/>
    <n v="71552.310000000594"/>
  </r>
  <r>
    <s v="PUBLICO"/>
    <s v="CIENCIA Y TECNOLOGÍA"/>
    <n v="255428"/>
    <s v="MEJORAMIENTO DEL SERVICIO DE APOYO AL DESARROLLO PRODUCTIVO DEL CULTIVO DE CACAO EN 05 DISTRITOS DE LA, PROVINCIA DE LAMAS - SAN MARTIN"/>
    <s v="CACAO"/>
    <x v="0"/>
    <x v="2"/>
    <s v="MUNICIPALIDAD PROVINCIAL DE LAMAS"/>
    <s v="FONDO DE COMPENSACION MUNICIPAL"/>
    <x v="1"/>
    <x v="2"/>
    <x v="2"/>
    <n v="4205883"/>
    <n v="0"/>
    <n v="0"/>
    <n v="0"/>
    <n v="0"/>
    <n v="4205883"/>
  </r>
  <r>
    <s v="PUBLICO"/>
    <s v="CIENCIA Y TECNOLOGÍA"/>
    <n v="271732"/>
    <s v="MEJORAMIENTO DE LA PRODUCCION DE LA PIÑA Y EL CAFE MEDIANTE AGROFORESTERIA EN EL DISTRITO DE YANTALO, PROVINCIA DE MOYOBAMBA - SAN MARTIN"/>
    <s v="PIÑA"/>
    <x v="0"/>
    <x v="0"/>
    <s v="MUNICIPALIDAD PROVINCIAL DE MOYOBAMBA"/>
    <s v="FONDO DE COMPENSACION MUNICIPAL"/>
    <x v="1"/>
    <x v="2"/>
    <x v="2"/>
    <n v="60000"/>
    <n v="60000"/>
    <n v="60000"/>
    <n v="1452000"/>
    <n v="1452000"/>
    <n v="3084000"/>
  </r>
  <r>
    <s v="PUBLICO"/>
    <s v="CIENCIA Y TECNOLOGÍA"/>
    <n v="276379"/>
    <s v="MEJORAMIENTO DE LA CADENA PRODUCTIVA DEL CACAO Y EL CAFE EN LA LOCALIDAD DE CALZADA, DISTRITO DE CALZADA - MOYOBAMBA - SAN MARTIN"/>
    <s v="CACAO"/>
    <x v="0"/>
    <x v="2"/>
    <s v="MUNICIPALIDAD DISTRITAL DE CALZADA"/>
    <s v="FONDO DE COMPENSACION MUNICIPAL"/>
    <x v="1"/>
    <x v="2"/>
    <x v="1"/>
    <n v="2323830"/>
    <n v="0"/>
    <n v="0"/>
    <n v="0"/>
    <n v="0"/>
    <n v="2323830"/>
  </r>
  <r>
    <s v="PUBLICO"/>
    <s v="CIENCIA Y TECNOLOGÍA"/>
    <n v="288013"/>
    <s v="MEJORAMIENTO DEL SERVICIO DE APOYO A LA CADENA PRODUCTIVA DE CAFE  EN  ZONAS DE MAYOR INCIDENCIA DE PLAGAS Y ENFERMEDADES A LOS PRODUCTORES DE CINCO PROVINCIAS DE LA REGION SAN MARTIN"/>
    <s v="CAFE"/>
    <x v="0"/>
    <x v="2"/>
    <s v="REGION SAN MARTIN-AGRICULTURA"/>
    <s v="RECURSOS ORDINARIOS"/>
    <x v="0"/>
    <x v="2"/>
    <x v="3"/>
    <n v="891683.92516407499"/>
    <n v="549780.56430843298"/>
    <n v="0"/>
    <n v="0"/>
    <n v="0"/>
    <n v="1441464.489472508"/>
  </r>
  <r>
    <s v="PUBLICO"/>
    <s v="CIENCIA Y TECNOLOGÍA"/>
    <n v="288013"/>
    <s v="MEJORAMIENTO DEL SERVICIO DE APOYO A LA CADENA PRODUCTIVA DE CAFE  EN  ZONAS DE MAYOR INCIDENCIA DE PLAGAS Y ENFERMEDADES A LOS PRODUCTORES DE CINCO PROVINCIAS DE LA REGION SAN MARTIN"/>
    <s v="CAFE"/>
    <x v="0"/>
    <x v="2"/>
    <s v="REGION SAN MARTIN-AGRICULTURA"/>
    <s v="RECURSOS ORDINARIOS"/>
    <x v="0"/>
    <x v="2"/>
    <x v="1"/>
    <n v="891175.14552148501"/>
    <n v="549466.86889336701"/>
    <n v="0"/>
    <n v="0"/>
    <n v="0"/>
    <n v="1440642.014414852"/>
  </r>
  <r>
    <s v="PUBLICO"/>
    <s v="CIENCIA Y TECNOLOGÍA"/>
    <n v="288013"/>
    <s v="MEJORAMIENTO DEL SERVICIO DE APOYO A LA CADENA PRODUCTIVA DE CAFE  EN  ZONAS DE MAYOR INCIDENCIA DE PLAGAS Y ENFERMEDADES A LOS PRODUCTORES DE CINCO PROVINCIAS DE LA REGION SAN MARTIN"/>
    <s v="CAFE"/>
    <x v="0"/>
    <x v="2"/>
    <s v="REGION SAN MARTIN-AGRICULTURA"/>
    <s v="RECURSOS ORDINARIOS"/>
    <x v="0"/>
    <x v="2"/>
    <x v="4"/>
    <n v="783260.00210872502"/>
    <n v="482930.23324416502"/>
    <n v="0"/>
    <n v="0"/>
    <n v="0"/>
    <n v="1266190.2353528901"/>
  </r>
  <r>
    <s v="PUBLICO"/>
    <s v="CIENCIA Y TECNOLOGÍA"/>
    <n v="288013"/>
    <s v="MEJORAMIENTO DEL SERVICIO DE APOYO A LA CADENA PRODUCTIVA DE CAFE  EN  ZONAS DE MAYOR INCIDENCIA DE PLAGAS Y ENFERMEDADES A LOS PRODUCTORES DE CINCO PROVINCIAS DE LA REGION SAN MARTIN"/>
    <s v="CAFE"/>
    <x v="0"/>
    <x v="2"/>
    <s v="REGION SAN MARTIN-AGRICULTURA"/>
    <s v="RECURSOS ORDINARIOS"/>
    <x v="0"/>
    <x v="2"/>
    <x v="2"/>
    <n v="2433880.9272057102"/>
    <n v="1500644.3335540399"/>
    <n v="0"/>
    <n v="0"/>
    <n v="0"/>
    <n v="3934525.2607597504"/>
  </r>
  <r>
    <s v="PUBLICO"/>
    <s v="CIENCIA Y TECNOLOGÍA"/>
    <n v="293893"/>
    <s v="MEJORAMIENTO DE LA PRODUCTIVIDAD Y COMERCIALIZACION DEL CULTIVO DE PLATANO EN 13 LOCALIDADES DE SHUNTE, DISTRITO DE SHUNTE - TOCACHE - SAN MARTIN"/>
    <s v="PLATANO"/>
    <x v="0"/>
    <x v="2"/>
    <s v="MUNICIPALIDAD DISTRITAL DE SHUNTE"/>
    <s v="RECURSOS ORDINARIOS"/>
    <x v="1"/>
    <x v="2"/>
    <x v="3"/>
    <n v="113596"/>
    <n v="0"/>
    <n v="0"/>
    <n v="0"/>
    <n v="0"/>
    <n v="113596"/>
  </r>
  <r>
    <s v="PUBLICO"/>
    <s v="CIENCIA Y TECNOLOGÍA"/>
    <n v="295867"/>
    <s v="MEJORAMIENTO DE LAS CAPACIDADES PRODUCTIVAS EN EL CULTIVO DE CAFE MEDIANTE SISTEMAS AGROFORESTALES EN EL VALLE DEL ALTO MAYO, DISTRITO DE SORITOR - MOYOBAMBA - SAN MARTIN"/>
    <s v="CAFE"/>
    <x v="0"/>
    <x v="2"/>
    <s v="MUNICIPALIDAD DISTRITAL DE SORITOR"/>
    <s v="RECURSOS ORDINARIOS"/>
    <x v="1"/>
    <x v="2"/>
    <x v="1"/>
    <n v="64842"/>
    <n v="663894"/>
    <n v="0"/>
    <n v="0"/>
    <n v="0"/>
    <n v="728736"/>
  </r>
  <r>
    <s v="PUBLICO"/>
    <s v="CIENCIA Y TECNOLOGÍA"/>
    <n v="316984"/>
    <s v="INSTALACION DE SERVICIOS TECNOLOGICOS EN LA CADENA PRODUCTIVA DEL SECTOR PESQUERO AMAZONICO, EN EL DISTRITO DE LA BANDA DE SHILCAYO, PROVINCIA DE SAN MARTIN, DEPARTAMENTO SAN MARTIN"/>
    <s v="PESCA"/>
    <x v="0"/>
    <x v="0"/>
    <s v="INSTITUTO TECNOLOGICO DE LA PRODUCCION - ITP"/>
    <s v="RECURSOS ORDINARIOS"/>
    <x v="2"/>
    <x v="2"/>
    <x v="2"/>
    <n v="569283"/>
    <n v="431877"/>
    <n v="256815"/>
    <n v="1358261.28"/>
    <n v="1358261.28"/>
    <n v="3974497.5600000005"/>
  </r>
  <r>
    <s v="PUBLICO"/>
    <s v="CIENCIA Y TECNOLOGÍA"/>
    <n v="345572"/>
    <s v="MEJORAMIENTO DEL SERVICIO DE APOYO A LA CADENA PRODUCTIVA DE NARANJA A PRODUCTORES EN LAS PROVINCIAS DE MARISCAL CÁCERES, HUALLAGA Y BELLAVISTA - REGIÓN SAN MARTIN"/>
    <s v="NARANJA"/>
    <x v="0"/>
    <x v="2"/>
    <s v="REGION SAN MARTIN-AGRICULTURA"/>
    <s v="RECURSOS ORDINARIOS"/>
    <x v="0"/>
    <x v="2"/>
    <x v="2"/>
    <n v="3896650"/>
    <n v="0"/>
    <n v="0"/>
    <n v="0"/>
    <n v="0"/>
    <n v="3896650"/>
  </r>
  <r>
    <s v="PUBLICO"/>
    <s v="CIENCIA Y TECNOLOGÍA"/>
    <n v="346495"/>
    <s v="AMPLIACION Y MEJORAMIENTO DE LOS SERVICIOS DE APOYO AL DESARROLLO PRODUCTIVO DE LA CADENA DEL CACAO A LOS PRODUCTORES EN LA REGIÓN SAN MARTIN"/>
    <s v="CACAO"/>
    <x v="0"/>
    <x v="2"/>
    <s v="REGION SAN MARTIN-AGRICULTURA"/>
    <s v="RECURSOS ORDINARIOS"/>
    <x v="0"/>
    <x v="2"/>
    <x v="3"/>
    <n v="443381.98496929498"/>
    <n v="0"/>
    <n v="0"/>
    <n v="0"/>
    <n v="0"/>
    <n v="443381.98496929498"/>
  </r>
  <r>
    <s v="PUBLICO"/>
    <s v="CIENCIA Y TECNOLOGÍA"/>
    <n v="346495"/>
    <s v="AMPLIACION Y MEJORAMIENTO DE LOS SERVICIOS DE APOYO AL DESARROLLO PRODUCTIVO DE LA CADENA DEL CACAO A LOS PRODUCTORES EN LA REGIÓN SAN MARTIN"/>
    <s v="CACAO"/>
    <x v="0"/>
    <x v="2"/>
    <s v="REGION SAN MARTIN-AGRICULTURA"/>
    <s v="RECURSOS ORDINARIOS"/>
    <x v="0"/>
    <x v="2"/>
    <x v="1"/>
    <n v="443128.998769278"/>
    <n v="0"/>
    <n v="0"/>
    <n v="0"/>
    <n v="0"/>
    <n v="443128.998769278"/>
  </r>
  <r>
    <s v="PUBLICO"/>
    <s v="CIENCIA Y TECNOLOGÍA"/>
    <n v="346495"/>
    <s v="AMPLIACION Y MEJORAMIENTO DE LOS SERVICIOS DE APOYO AL DESARROLLO PRODUCTIVO DE LA CADENA DEL CACAO A LOS PRODUCTORES EN LA REGIÓN SAN MARTIN"/>
    <s v="CACAO"/>
    <x v="0"/>
    <x v="2"/>
    <s v="REGION SAN MARTIN-AGRICULTURA"/>
    <s v="RECURSOS ORDINARIOS"/>
    <x v="0"/>
    <x v="2"/>
    <x v="4"/>
    <n v="389469.14336054499"/>
    <n v="0"/>
    <n v="0"/>
    <n v="0"/>
    <n v="0"/>
    <n v="389469.14336054499"/>
  </r>
  <r>
    <s v="PUBLICO"/>
    <s v="CIENCIA Y TECNOLOGÍA"/>
    <n v="346495"/>
    <s v="AMPLIACION Y MEJORAMIENTO DE LOS SERVICIOS DE APOYO AL DESARROLLO PRODUCTIVO DE LA CADENA DEL CACAO A LOS PRODUCTORES EN LA REGIÓN SAN MARTIN"/>
    <s v="CACAO"/>
    <x v="0"/>
    <x v="2"/>
    <s v="REGION SAN MARTIN-AGRICULTURA"/>
    <s v="RECURSOS ORDINARIOS"/>
    <x v="0"/>
    <x v="2"/>
    <x v="2"/>
    <n v="1210225.8729008799"/>
    <n v="0"/>
    <n v="0"/>
    <n v="0"/>
    <n v="0"/>
    <n v="1210225.8729008799"/>
  </r>
  <r>
    <s v="PUBLICO"/>
    <s v="CIENCIA Y TECNOLOGÍA"/>
    <n v="362858"/>
    <s v="MEJORAMIENTO DE PRESTACIÓN DE SERVICIOS DE APOYO A PRODUCTORES DE LA CADENA PRODUCTIVA DE TILAPIA EN LAS 10 PROVINCIAS DE LA REGIÓN SAN MARTIN"/>
    <s v="TILAPIA"/>
    <x v="0"/>
    <x v="0"/>
    <s v="REGION SAN MARTIN - HUALLAGA CENTRAL Y BAJO MAYO"/>
    <s v="RECURSOS ORDINARIOS"/>
    <x v="0"/>
    <x v="0"/>
    <x v="0"/>
    <n v="5000000"/>
    <n v="6179304"/>
    <n v="0"/>
    <n v="0"/>
    <n v="0"/>
    <n v="11179304"/>
  </r>
  <r>
    <s v="PUBLICO"/>
    <s v="CIENCIA Y TECNOLOGÍA"/>
    <n v="364568"/>
    <s v="MEJORAMIENTO DE LA COMPETITIVIDAD EN LA CADENA PRODUCTIVA DEL CACAO A PRODUCTORES DE LAS LOCALIDADES DEL VALLE DEL VALLE DEL ALLCOYACU Y CAÑA BRAVA EN EL DISTRITO DE BELLAVISTA, PROVINCIA DE BELLAVISTA - SAN MARTIN"/>
    <s v="CACAO"/>
    <x v="0"/>
    <x v="2"/>
    <s v="MUNICIPALIDAD PROVINCIAL DE BELLAVISTA"/>
    <s v="CANON Y SOBRECANON, REGALIAS, RENTA DE ADUANAS Y PARTICIPACIONES"/>
    <x v="1"/>
    <x v="2"/>
    <x v="2"/>
    <n v="30000"/>
    <n v="30000"/>
    <n v="30000"/>
    <n v="1718796.78"/>
    <n v="1718796.78"/>
    <n v="3527593.56"/>
  </r>
  <r>
    <s v="PUBLICO"/>
    <s v="CIENCIA Y TECNOLOGÍA"/>
    <n v="365784"/>
    <s v="MEJORAMIENTO DE LOS SERVICIOS DE APOYO EN LA CADENA PRODUCTIVA DEL CACAO, EN 07 LOCALIDADES, DISTRITO DE SHUNTE - TOCACHE - SAN MARTIN"/>
    <s v="CACAO"/>
    <x v="0"/>
    <x v="2"/>
    <s v="MUNICIPALIDAD DISTRITAL DE SHUNTE"/>
    <s v="FONDO DE COMPENSACION MUNICIPAL"/>
    <x v="1"/>
    <x v="2"/>
    <x v="3"/>
    <n v="2264288"/>
    <n v="2008192"/>
    <n v="1929830"/>
    <n v="0"/>
    <n v="0"/>
    <n v="6202310"/>
  </r>
  <r>
    <s v="PUBLICO"/>
    <s v="CIENCIA Y TECNOLOGÍA"/>
    <n v="376587"/>
    <s v="MEJORAMIENTO DEL SERVICIO DE APOYO AL DESARROLLO PRODUCTIVO DEL CULTIVO DE CACAO EN LA, PROVINCIA DE PICOTA - SAN MARTIN"/>
    <s v="CACAO"/>
    <x v="0"/>
    <x v="2"/>
    <s v="MUNICIPALIDAD PROVINCIAL DE PICOTA"/>
    <n v="0"/>
    <x v="1"/>
    <x v="2"/>
    <x v="2"/>
    <n v="2265711"/>
    <n v="2238911"/>
    <n v="0"/>
    <n v="0"/>
    <n v="0"/>
    <n v="4504622"/>
  </r>
  <r>
    <s v="PUBLICO"/>
    <s v="CIENCIA Y TECNOLOGÍA"/>
    <n v="378913"/>
    <s v="MEJORAMIENTO DE LOS SERVICIOS DE APOYO AL DESARROLLO PRODUCTIVO DE LA CADENA DE CACAO, GUANABANA Y MARACUYA A LOS PRODUCTORES DEL, DISTRITO DE SORITOR - MOYOBAMBA - SAN MARTIN"/>
    <s v="CACAO"/>
    <x v="0"/>
    <x v="2"/>
    <s v="MUNICIPALIDAD DISTRITAL DE SORITOR"/>
    <s v="FONDO DE COMPENSACION MUNICIPAL"/>
    <x v="1"/>
    <x v="2"/>
    <x v="1"/>
    <n v="500000"/>
    <n v="81030.5"/>
    <n v="0"/>
    <n v="13673.29"/>
    <n v="13673.29"/>
    <n v="608377.08000000007"/>
  </r>
  <r>
    <s v="PUBLICO"/>
    <s v="CIENCIA Y TECNOLOGÍA"/>
    <n v="379758"/>
    <s v="MEJORAMIENTO DE LA CADENA PRODUCTIVA DE GANADERIA BOVINA , PROVINCIA DE MOYOBAMBA - SAN MARTIN"/>
    <s v="GANADERIA"/>
    <x v="0"/>
    <x v="2"/>
    <s v="MUNICIPALIDAD PROVINCIAL DE MOYOBAMBA"/>
    <s v="FONDO DE COMPENSACION MUNICIPAL"/>
    <x v="1"/>
    <x v="3"/>
    <x v="1"/>
    <n v="256478"/>
    <n v="0"/>
    <n v="0"/>
    <m/>
    <m/>
    <n v="256478"/>
  </r>
  <r>
    <s v="PUBLICO"/>
    <s v="CIENCIA Y TECNOLOGÍA"/>
    <n v="382932"/>
    <s v="MEJORAMIENTO DE LOS CULTIVOS DE CAFE Y CACAO MEDIANTE SISTEMAS AGROFORESTALES EN LOS DISTRITOS DE SORITOR, JEPELACIO, MOYOBAMBA, HABANA Y CALZADA, PROVINCIA DE MOYOBAMBA - SAN MARTIN"/>
    <s v="CAFE"/>
    <x v="0"/>
    <x v="2"/>
    <s v="MUNICIPALIDAD PROVINCIAL DE MOYOBAMBA"/>
    <s v="FONDO DE COMPENSACION MUNICIPAL"/>
    <x v="1"/>
    <x v="2"/>
    <x v="1"/>
    <n v="30000"/>
    <n v="200000"/>
    <n v="30000"/>
    <n v="2884902.53"/>
    <n v="2884902.53"/>
    <n v="6029805.0599999996"/>
  </r>
  <r>
    <s v="PUBLICO"/>
    <s v="CIENCIA Y TECNOLOGÍA"/>
    <n v="383013"/>
    <s v="MEJORAMIENTO Y AMPLIACION DE LOS SERVICIOS DE APOYO A LA CADENA PRODUCTIVA DE LA APICULTURA , PROVINCIA DE MOYOBAMBA - SAN MARTIN"/>
    <s v="APICULTURA"/>
    <x v="0"/>
    <x v="0"/>
    <s v="MUNICIPALIDAD PROVINCIAL DE MOYOBAMBA"/>
    <n v="0"/>
    <x v="1"/>
    <x v="2"/>
    <x v="1"/>
    <n v="406546"/>
    <n v="0"/>
    <n v="0"/>
    <n v="0"/>
    <n v="0"/>
    <n v="406546"/>
  </r>
  <r>
    <s v="PUBLICO"/>
    <s v="CIENCIA Y TECNOLOGÍA"/>
    <n v="387502"/>
    <s v="CREACION DE LOS SERVICIOS DE PROMOCION DE LA INNOVACION PARA LA COMPETITIVIDAD DE LA REGION DE SAN MARTIN"/>
    <s v="GESTION"/>
    <x v="0"/>
    <x v="0"/>
    <s v="REGION SAN MARTIN - HUALLAGA CENTRAL Y BAJO MAYO"/>
    <n v="0"/>
    <x v="0"/>
    <x v="0"/>
    <x v="0"/>
    <n v="493865"/>
    <n v="15968318"/>
    <n v="0"/>
    <n v="0"/>
    <n v="0"/>
    <n v="16462183"/>
  </r>
  <r>
    <s v="PUBLICO"/>
    <s v="CIENCIA Y TECNOLOGÍA"/>
    <n v="2421092"/>
    <s v="MEJORAMIENTO DEL SERVICIO DE FOMENTO A LA PRODUCCIÓN ACUICOLA DEL  DISTRITO DE TOCACHE - PROVINCIA DE TOCACHE - DEPARTAMENTO DE SAN MARTIN"/>
    <s v="ACUICULTURA"/>
    <x v="0"/>
    <x v="0"/>
    <s v="MUNICIPALIDAD PROVINCIAL DE TOCACHE"/>
    <n v="0"/>
    <x v="1"/>
    <x v="2"/>
    <x v="3"/>
    <n v="2214217"/>
    <n v="1428434"/>
    <n v="0"/>
    <n v="0"/>
    <n v="0"/>
    <n v="3642651"/>
  </r>
  <r>
    <s v="PUBLICO"/>
    <s v="CIENCIA Y TECNOLOGÍA"/>
    <n v="2421093"/>
    <s v="MEJORAMIENTO DE LA CADENA PRODUCTIVA DEL PLÁTANO  EN EL  DISTRITO DE TOCACHE - PROVINCIA DE TOCACHE - DEPARTAMENTO DE SAN MARTIN"/>
    <s v="PLATANO"/>
    <x v="0"/>
    <x v="2"/>
    <s v="MUNICIPALIDAD PROVINCIAL DE TOCACHE"/>
    <s v="FONDO DE COMPENSACION MUNICIPAL"/>
    <x v="1"/>
    <x v="2"/>
    <x v="3"/>
    <n v="1178696.94"/>
    <n v="1823250.07"/>
    <n v="1632799.99"/>
    <n v="0"/>
    <n v="0"/>
    <n v="4634747"/>
  </r>
  <r>
    <s v="PUBLICO"/>
    <s v="CIENCIA Y TECNOLOGÍA"/>
    <n v="2429918"/>
    <s v="MEJORAMIENTO DE LA CADENA PRODUCTIVA DEL CULTIVO DE PLATANO  EN 5 DISTRITOS DE LA PROVINCIA DE RIOJA -  DISTRITO DE RIOJA - PROVINCIA DE RIOJA - DEPARTAMENTO DE SAN MARTIN"/>
    <s v="PLATANO"/>
    <x v="0"/>
    <x v="2"/>
    <s v="MUNICIPALIDAD PROVINCIAL DE RIOJA"/>
    <s v="FONDO DE COMPENSACION MUNICIPAL"/>
    <x v="1"/>
    <x v="2"/>
    <x v="1"/>
    <n v="516745"/>
    <n v="0"/>
    <n v="0"/>
    <n v="0"/>
    <n v="0"/>
    <n v="516745"/>
  </r>
  <r>
    <s v="PUBLICO"/>
    <s v="CIENCIA Y TECNOLOGÍA"/>
    <n v="2437066"/>
    <s v="MEJORAMIENTO DEL SERVICIO DE TRANSFERENCIA DE CONOCIMIENTOS Y TECNOLOGÍAS , EN LA GRANJA GANADERA DE CALZADA DEL DISTRITO DE CALZADA - PROVINCIA DE MOYOBAMBA - DEPARTAMENTO DE SAN MARTIN"/>
    <s v="GESTION"/>
    <x v="0"/>
    <x v="2"/>
    <s v="REGION SAN MARTIN - PROYECTO ESPECIAL ALTO MAYO"/>
    <s v="RECURSOS ORDINARIOS"/>
    <x v="0"/>
    <x v="3"/>
    <x v="1"/>
    <n v="1857420"/>
    <n v="245000"/>
    <n v="4973870"/>
    <n v="2411777.38"/>
    <n v="2411777.38"/>
    <n v="11899844.759999998"/>
  </r>
  <r>
    <s v="PUBLICO"/>
    <s v="CIENCIA Y TECNOLOGÍA"/>
    <n v="2450306"/>
    <s v="MEJORAMIENTO DEL SERVICIO DE LA COMPETITIVIDAD DE LA CADENA PRODUCTIVA DE CACAO EN LAS LOCALIDADES DEL  DISTRITO DE TOCACHE - PROVINCIA DE TOCACHE - DEPARTAMENTO DE SAN MARTIN"/>
    <s v="CACAO"/>
    <x v="0"/>
    <x v="2"/>
    <s v="MUNICIPALIDAD PROVINCIAL DE TOCACHE"/>
    <s v="FONDO DE COMPENSACION MUNICIPAL"/>
    <x v="1"/>
    <x v="2"/>
    <x v="3"/>
    <n v="1311080.67"/>
    <n v="2637564.66"/>
    <n v="694023.67"/>
    <n v="0"/>
    <n v="0"/>
    <n v="4642669"/>
  </r>
  <r>
    <s v="PUBLICO"/>
    <s v="CIENCIA Y TECNOLOGÍA"/>
    <n v="2451114"/>
    <s v="MEJORAMIENTO DEL SERVICIO DE APOYO AL DESARROLLO PRODUCTIVO, DE LA CADENA DE VALOR DE ARROZ, A PRODUCTORES DE LAS 04 JUNTAS DE USUARIOS DE LAS 9 PROVINCIAS DEL DEPARTAMENTO DE SAN MARTIN"/>
    <s v="ARROZ"/>
    <x v="0"/>
    <x v="2"/>
    <s v="REGION SAN MARTIN-AGRICULTURA"/>
    <s v="RECURSOS ORDINARIOS"/>
    <x v="0"/>
    <x v="4"/>
    <x v="3"/>
    <n v="507199"/>
    <n v="1943587"/>
    <n v="1305843"/>
    <s v=" -  "/>
    <s v=" -  "/>
    <n v="3756629"/>
  </r>
  <r>
    <s v="PUBLICO"/>
    <s v="CIENCIA Y TECNOLOGÍA"/>
    <n v="2451114"/>
    <s v="MEJORAMIENTO DEL SERVICIO DE APOYO AL DESARROLLO PRODUCTIVO, DE LA CADENA DE VALOR DE ARROZ, A PRODUCTORES DE LAS 04 JUNTAS DE USUARIOS DE LAS 9 PROVINCIAS DEL DEPARTAMENTO DE SAN MARTIN"/>
    <s v="ARROZ"/>
    <x v="0"/>
    <x v="2"/>
    <s v="REGION SAN MARTIN-AGRICULTURA"/>
    <s v="RECURSOS ORDINARIOS"/>
    <x v="0"/>
    <x v="4"/>
    <x v="1"/>
    <n v="1822692.2937870701"/>
    <n v="6984556.8697920702"/>
    <n v="4692732.7426608996"/>
    <n v="0"/>
    <n v="0"/>
    <n v="13499981.906240039"/>
  </r>
  <r>
    <s v="PUBLICO"/>
    <s v="CIENCIA Y TECNOLOGÍA"/>
    <n v="2451114"/>
    <s v="MEJORAMIENTO DEL SERVICIO DE APOYO AL DESARROLLO PRODUCTIVO, DE LA CADENA DE VALOR DE ARROZ, A PRODUCTORES DE LAS 04 JUNTAS DE USUARIOS DE LAS 9 PROVINCIAS DEL DEPARTAMENTO DE SAN MARTIN"/>
    <s v="ARROZ"/>
    <x v="0"/>
    <x v="2"/>
    <s v="REGION SAN MARTIN-AGRICULTURA"/>
    <s v="RECURSOS ORDINARIOS"/>
    <x v="0"/>
    <x v="4"/>
    <x v="2"/>
    <n v="2670109"/>
    <n v="10231856"/>
    <n v="6874504"/>
    <s v=" -   "/>
    <s v=" -   "/>
    <n v="19776469"/>
  </r>
  <r>
    <s v="PUBLICO"/>
    <s v="CIENCIA Y TECNOLOGÍA"/>
    <n v="2453791"/>
    <s v="MEJORAMIENTO DEL SERVICIO Y APOYO A LA CADENA PRODUCTIVA DEL CUY (CAVIA PORCELLUS) PARA GARANTIZAR LA SEGURIDAD ALIMENTARIA DE LAS FAMILIAS  DISTRITO DE PICOTA - PROVINCIA DE PICOTA - DEPARTAMENTO DE SAN MARTIN"/>
    <s v="SEGURIDAD ALIMENTARIA"/>
    <x v="1"/>
    <x v="1"/>
    <s v="MUNICIPALIDAD PROVINCIAL DE PICOTA"/>
    <s v="FONDO DE COMPENSACION MUNICIPAL"/>
    <x v="1"/>
    <x v="1"/>
    <x v="2"/>
    <n v="25000"/>
    <n v="120000"/>
    <n v="0"/>
    <n v="0"/>
    <n v="0"/>
    <n v="145000"/>
  </r>
  <r>
    <s v="PUBLICO"/>
    <s v="CIENCIA Y TECNOLOGÍA"/>
    <n v="2455006"/>
    <s v="MEJORAMIENTO DEL SERVICIO DE APOYO AL DESARROLLO PRODUCTIVO DE LA CADENA DE VALOR DE MAÍZ AMARILLO DURO, A PRODUCTORES DE 5 PROVINCIAS DEL DEPARTAMENTO DE SAN MARTIN"/>
    <s v="MAIZ"/>
    <x v="0"/>
    <x v="2"/>
    <s v="REGION SAN MARTIN-AGRICULTURA"/>
    <s v="RECURSOS ORDINARIOS"/>
    <x v="0"/>
    <x v="5"/>
    <x v="3"/>
    <n v="891683.92382169503"/>
    <n v="2014336.4543480901"/>
    <n v="0"/>
    <n v="0"/>
    <n v="0"/>
    <n v="2906020.3781697853"/>
  </r>
  <r>
    <s v="PUBLICO"/>
    <s v="CIENCIA Y TECNOLOGÍA"/>
    <n v="2455006"/>
    <s v="MEJORAMIENTO DEL SERVICIO DE APOYO AL DESARROLLO PRODUCTIVO DE LA CADENA DE VALOR DE MAÍZ AMARILLO DURO, A PRODUCTORES DE 5 PROVINCIAS DEL DEPARTAMENTO DE SAN MARTIN"/>
    <s v="MAIZ"/>
    <x v="0"/>
    <x v="2"/>
    <s v="REGION SAN MARTIN-AGRICULTURA"/>
    <s v="RECURSOS ORDINARIOS"/>
    <x v="0"/>
    <x v="5"/>
    <x v="1"/>
    <n v="891175.14631546498"/>
    <n v="2013187.1131403199"/>
    <n v="0"/>
    <n v="0"/>
    <n v="0"/>
    <n v="2904362.2594557852"/>
  </r>
  <r>
    <s v="PUBLICO"/>
    <s v="CIENCIA Y TECNOLOGÍA"/>
    <n v="2455006"/>
    <s v="MEJORAMIENTO DEL SERVICIO DE APOYO AL DESARROLLO PRODUCTIVO DE LA CADENA DE VALOR DE MAÍZ AMARILLO DURO, A PRODUCTORES DE 5 PROVINCIAS DEL DEPARTAMENTO DE SAN MARTIN"/>
    <s v="MAIZ"/>
    <x v="0"/>
    <x v="2"/>
    <s v="REGION SAN MARTIN-AGRICULTURA"/>
    <s v="RECURSOS ORDINARIOS"/>
    <x v="0"/>
    <x v="5"/>
    <x v="4"/>
    <n v="783260.00318270503"/>
    <n v="1769404.08534181"/>
    <n v="0"/>
    <n v="0"/>
    <n v="0"/>
    <n v="2552664.0885245148"/>
  </r>
  <r>
    <s v="PUBLICO"/>
    <s v="CIENCIA Y TECNOLOGÍA"/>
    <n v="2455006"/>
    <s v="MEJORAMIENTO DEL SERVICIO DE APOYO AL DESARROLLO PRODUCTIVO DE LA CADENA DE VALOR DE MAÍZ AMARILLO DURO, A PRODUCTORES DE 5 PROVINCIAS DEL DEPARTAMENTO DE SAN MARTIN"/>
    <s v="MAIZ"/>
    <x v="0"/>
    <x v="2"/>
    <s v="REGION SAN MARTIN-AGRICULTURA"/>
    <s v="RECURSOS ORDINARIOS"/>
    <x v="0"/>
    <x v="5"/>
    <x v="2"/>
    <n v="2433880.9266801402"/>
    <n v="5498198.3471697802"/>
    <n v="0"/>
    <n v="0"/>
    <n v="0"/>
    <n v="7932079.2738499204"/>
  </r>
  <r>
    <s v="PUBLICO"/>
    <s v="CIENCIA Y TECNOLOGÍA"/>
    <n v="2458120"/>
    <s v="MEJORAMIENTO DEL SERVICIO DE APOYO A LA CADENA PRODUCTIVA DEL GANADO VACUNO EN EL  DISTRITO DE TOCACHE - PROVINCIA DE TOCACHE - DEPARTAMENTO DE SAN MARTIN"/>
    <s v="GANADERIA"/>
    <x v="0"/>
    <x v="2"/>
    <s v="MUNICIPALIDAD PROVINCIAL DE TOCACHE"/>
    <n v="0"/>
    <x v="1"/>
    <x v="3"/>
    <x v="3"/>
    <n v="2251185"/>
    <n v="1502372"/>
    <n v="0"/>
    <n v="0"/>
    <n v="0"/>
    <n v="3753557"/>
  </r>
  <r>
    <s v="PUBLICO"/>
    <s v="CIENCIA Y TECNOLOGÍA"/>
    <n v="2458352"/>
    <s v="MEJORAMIENTO DE LOS SERVICIOS DE APOYO EN LA CADENA PRODUCTIVA DEL CACAO EN EL  DISTRITO DE UCHIZA - PROVINCIA DE TOCACHE - DEPARTAMENTO DE SAN MARTIN"/>
    <s v="CACAO"/>
    <x v="0"/>
    <x v="2"/>
    <s v="MUNICIPALIDAD DISTRITAL DE UCHIZA"/>
    <n v="0"/>
    <x v="1"/>
    <x v="2"/>
    <x v="3"/>
    <n v="20000"/>
    <n v="30000"/>
    <n v="10000"/>
    <n v="2739431.3"/>
    <n v="2739431.3"/>
    <n v="5538862.5999999996"/>
  </r>
  <r>
    <s v="PUBLICO"/>
    <s v="CIENCIA Y TECNOLOGÍA"/>
    <n v="2459590"/>
    <s v="MEJORAMIENTO DEL SERVICIO DE APOYO AL DESARROLLO PRODUCTIVO DE LA CADENA DE VALOR DE LA GANADERÌA, A PRODUCTORES ORGANIZADOS DE 10 PROVINCIAS DEL DEPARTAMENTO DE SAN MARTIN"/>
    <s v="GANADERIA"/>
    <x v="0"/>
    <x v="2"/>
    <s v="REGION SAN MARTIN-SEDE CENTRAL"/>
    <s v="RECURSOS ORDINARIOS"/>
    <x v="0"/>
    <x v="3"/>
    <x v="3"/>
    <n v="1095450.8223954299"/>
    <n v="1234032.7713087299"/>
    <n v="3317465.1027031098"/>
    <m/>
    <m/>
    <n v="5646948.6964072697"/>
  </r>
  <r>
    <s v="PUBLICO"/>
    <s v="CIENCIA Y TECNOLOGÍA"/>
    <n v="2459590"/>
    <s v="MEJORAMIENTO DEL SERVICIO DE APOYO AL DESARROLLO PRODUCTIVO DE LA CADENA DE VALOR DE LA GANADERÌA, A PRODUCTORES ORGANIZADOS DE 10 PROVINCIAS DEL DEPARTAMENTO DE SAN MARTIN"/>
    <s v="GANADERIA"/>
    <x v="0"/>
    <x v="2"/>
    <s v="REGION SAN MARTIN-SEDE CENTRAL"/>
    <s v="RECURSOS ORDINARIOS"/>
    <x v="0"/>
    <x v="3"/>
    <x v="1"/>
    <n v="1094825.7768359401"/>
    <n v="1233328.6532523099"/>
    <n v="3315572.21368535"/>
    <m/>
    <m/>
    <n v="5643726.6437736005"/>
  </r>
  <r>
    <s v="PUBLICO"/>
    <s v="CIENCIA Y TECNOLOGÍA"/>
    <n v="2459590"/>
    <s v="MEJORAMIENTO DEL SERVICIO DE APOYO AL DESARROLLO PRODUCTIVO DE LA CADENA DE VALOR DE LA GANADERÌA, A PRODUCTORES ORGANIZADOS DE 10 PROVINCIAS DEL DEPARTAMENTO DE SAN MARTIN"/>
    <s v="GANADERIA"/>
    <x v="0"/>
    <x v="2"/>
    <s v="REGION SAN MARTIN-SEDE CENTRAL"/>
    <s v="RECURSOS ORDINARIOS"/>
    <x v="0"/>
    <x v="3"/>
    <x v="4"/>
    <n v="962249.95118260896"/>
    <n v="1083981.08767034"/>
    <n v="2914079.36154141"/>
    <m/>
    <m/>
    <n v="4960310.4003943587"/>
  </r>
  <r>
    <s v="PUBLICO"/>
    <s v="CIENCIA Y TECNOLOGÍA"/>
    <n v="2459590"/>
    <s v="MEJORAMIENTO DEL SERVICIO DE APOYO AL DESARROLLO PRODUCTIVO DE LA CADENA DE VALOR DE LA GANADERÌA, A PRODUCTORES ORGANIZADOS DE 10 PROVINCIAS DEL DEPARTAMENTO DE SAN MARTIN"/>
    <s v="GANADERIA"/>
    <x v="0"/>
    <x v="2"/>
    <s v="REGION SAN MARTIN-SEDE CENTRAL"/>
    <s v="RECURSOS ORDINARIOS"/>
    <x v="0"/>
    <x v="3"/>
    <x v="2"/>
    <n v="2990069.4495860199"/>
    <n v="3368333.48776863"/>
    <n v="9055131.3220701292"/>
    <m/>
    <m/>
    <n v="15413534.25942478"/>
  </r>
  <r>
    <s v="PUBLICO"/>
    <s v="CIENCIA Y TECNOLOGÍA"/>
    <n v="2467374"/>
    <s v="MEJORAMIENTO DE LA CADENA DE VALOR DEL CULTIVO DE PIÑA (ANANAS COMOSUS) EN EL  DISTRITO DE UCHIZA - PROVINCIA DE TOCACHE - DEPARTAMENTO DE SAN MARTIN"/>
    <s v="PIÑA"/>
    <x v="0"/>
    <x v="0"/>
    <s v="MUNICIPALIDAD DISTRITAL DE UCHIZA"/>
    <n v="0"/>
    <x v="1"/>
    <x v="2"/>
    <x v="3"/>
    <n v="0"/>
    <n v="4366716"/>
    <n v="0"/>
    <n v="0"/>
    <n v="0"/>
    <n v="4366716"/>
  </r>
  <r>
    <s v="PUBLICO"/>
    <s v="CIENCIA Y TECNOLOGÍA"/>
    <n v="2468127"/>
    <s v="MEJORAMIENTO DE LAS CAPACIDADES TÉCNICAS Y TECNOLÓGICAS EN LAS CADENAS PRODUCTIVAS DE CAFÉ Y CACAO EN LOS DISTRITOS DE MOYOBAMBA, JEPELACIO Y YANTALO DE LA  PROVINCIA DE MOYOBAMBA - DEPARTAMENTO DE SAN MARTIN"/>
    <s v="CAFE"/>
    <x v="0"/>
    <x v="2"/>
    <s v="MUNICIPALIDAD PROVINCIAL DE MOYOBAMBA"/>
    <s v="FONDO DE COMPENSACION MUNICIPAL"/>
    <x v="1"/>
    <x v="2"/>
    <x v="1"/>
    <n v="30000"/>
    <n v="25000"/>
    <n v="30000"/>
    <n v="898452.75"/>
    <n v="898452.75"/>
    <n v="1881905.5"/>
  </r>
  <r>
    <s v="PUBLICO"/>
    <s v="CIENCIA Y TECNOLOGÍA"/>
    <n v="2470557"/>
    <s v="MEJORAMIENTO DE LOS SERVICIOS DE INNOVACIÓN TECNOLÓGICA  PARA EL APROVECHAMIENTO COMERCIAL DE LOS RESIDUOS ORGÁNICOS DEL PLÁTANO EN LOS 5 DISTRITOS DE LA PROVINCIA DE TOCACHE - DEPARTAMENTO DE SAN MARTIN"/>
    <s v="PLATANO"/>
    <x v="0"/>
    <x v="0"/>
    <s v="REGION SAN MARTIN-PESQUERIA"/>
    <n v="0"/>
    <x v="0"/>
    <x v="0"/>
    <x v="0"/>
    <n v="3468124"/>
    <n v="1529072"/>
    <n v="0"/>
    <m/>
    <m/>
    <n v="4997196"/>
  </r>
  <r>
    <s v="PUBLICO"/>
    <s v="COMERCIO"/>
    <n v="381956"/>
    <s v="MEJORAMIENTO DE LA CADENA PRODUCTIVA DEL CULTIVO DE CAFÉ EN EL ÁMBITO DEL, DISTRITO DE ALTO SAPOSOA - HUALLAGA - SAN MARTIN"/>
    <s v="CAFE"/>
    <x v="0"/>
    <x v="2"/>
    <s v="MUNICIPALIDAD DISTRITAL DE ALTO SAPOSOA"/>
    <s v="FONDO DE COMPENSACION MUNICIPAL"/>
    <x v="1"/>
    <x v="2"/>
    <x v="2"/>
    <n v="1182281"/>
    <n v="1182280"/>
    <n v="0"/>
    <n v="0"/>
    <n v="0"/>
    <n v="2364561"/>
  </r>
  <r>
    <s v="PUBLICO"/>
    <s v="DESARROLLO ESTRATÉGICO, CONSERVACIÓN Y APROVECHAMIENTO SOSTENIBLE DEL PATRIMONIO NATURAL"/>
    <n v="184512"/>
    <s v="RECUPERACION DE LOS SERVICIOS ECOSISTEMICOS DE REGULACIÓN HÍDRICA Y CONTROL DE LA EROSION DE SUELOS EN SUB CUENCAS ALTAS DE LA ZONA DE PROTECCION Y CONSERVACION ECOLOGICA (ZOCRE) SISA Y GERA, PROVINCIAS DE EL DORADO Y MOYOBAMBA - REGION SAN MARTIN"/>
    <s v="SUELOS"/>
    <x v="2"/>
    <x v="3"/>
    <s v="REGION SAN MARTIN-SEDE CENTRAL"/>
    <s v="RECURSOS ORDINARIOS"/>
    <x v="0"/>
    <x v="0"/>
    <x v="0"/>
    <n v="5000000"/>
    <n v="7919848"/>
    <n v="0"/>
    <n v="0"/>
    <n v="0"/>
    <n v="12919848"/>
  </r>
  <r>
    <s v="PUBLICO"/>
    <s v="DESARROLLO ESTRATÉGICO, CONSERVACIÓN Y APROVECHAMIENTO SOSTENIBLE DEL PATRIMONIO NATURAL"/>
    <n v="194396"/>
    <s v="RECUPERACIÓN DE SUELOS DEGRADADOS MEDIANTE LA INSTALACIÓN DE ESPECIES FORESTALES, EN EL DISTRITO DE PÓLVORA, PROVINCIA DE TOCACHE - SAN MARTIN"/>
    <s v="SUELOS DEGRADADOS"/>
    <x v="2"/>
    <x v="3"/>
    <s v="MINAG - ALTO HUALLAGA"/>
    <s v="RECURSOS ORDINARIOS"/>
    <x v="2"/>
    <x v="1"/>
    <x v="3"/>
    <n v="4383889"/>
    <n v="4383889"/>
    <n v="4383889"/>
    <n v="1282898.69"/>
    <n v="1282898.69"/>
    <n v="15717464.379999999"/>
  </r>
  <r>
    <s v="PUBLICO"/>
    <s v="DESARROLLO ESTRATÉGICO, CONSERVACIÓN Y APROVECHAMIENTO SOSTENIBLE DEL PATRIMONIO NATURAL"/>
    <n v="246630"/>
    <s v="RECUPERACION DE SUELOS DEGRADADOS EN LAS MICROCUENCAS DE ISHANGAYACU Y FAUSA SAPINA, DISTRITO DE SAN PABLO - BELLAVISTA - SAN MARTIN"/>
    <s v="SUELOS DEGRADADOS"/>
    <x v="2"/>
    <x v="3"/>
    <s v="MUNICIPALIDAD DISTRITAL DE SAN PABLO"/>
    <s v="FONDO DE COMPENSACION MUNICIPAL"/>
    <x v="1"/>
    <x v="1"/>
    <x v="2"/>
    <n v="2000"/>
    <n v="5000"/>
    <n v="5000"/>
    <n v="2378691.5"/>
    <n v="2378691.5"/>
    <n v="4769383"/>
  </r>
  <r>
    <s v="PUBLICO"/>
    <s v="DESARROLLO ESTRATÉGICO, CONSERVACIÓN Y APROVECHAMIENTO SOSTENIBLE DEL PATRIMONIO NATURAL"/>
    <n v="358635"/>
    <s v="RECUPERACION DE LOS SERVICIOS AMBIENTALES DE LOS SUELOS DEGRADADOS POR EL CULTIVO DE COCA EN LA CUENCA DEL RIO SAPOSOA, SAPOSOA, PROVINCIA DE HUALLAGA - SAN MARTIN"/>
    <s v="SUELOS DEGRADADOS"/>
    <x v="2"/>
    <x v="3"/>
    <s v="MUNICIPALIDAD PROVINCIAL DE HUALLAGA - SAPOSOA"/>
    <s v="FONDO DE COMPENSACION MUNICIPAL"/>
    <x v="1"/>
    <x v="1"/>
    <x v="2"/>
    <n v="937418"/>
    <n v="0"/>
    <n v="0"/>
    <n v="0"/>
    <n v="0"/>
    <n v="937418"/>
  </r>
  <r>
    <s v="PUBLICO"/>
    <s v="DESARROLLO ESTRATÉGICO, CONSERVACIÓN Y APROVECHAMIENTO SOSTENIBLE DEL PATRIMONIO NATURAL"/>
    <n v="372116"/>
    <s v="RECUPERACION DE SUELOS DEGRADADOS MEDIANTE SISTEMA AGROFORESTAL CON FINES DE ESTABLECIMIENTO DE CULTIVOS PERMANENTES, EN EL VALLE DEL MISHOLLO ,DISTRITO DE POLVORA, PROVINCIA DE TOCACHE - SAN MARTIN"/>
    <s v="SUELOS DEGRADADOS"/>
    <x v="2"/>
    <x v="3"/>
    <s v="MUNICIPALIDAD PROVINCIAL DE TOCACHE"/>
    <s v="FONDO DE COMPENSACION MUNICIPAL"/>
    <x v="1"/>
    <x v="1"/>
    <x v="3"/>
    <n v="3679560"/>
    <n v="2157738"/>
    <n v="0"/>
    <n v="0"/>
    <n v="0"/>
    <n v="5837298"/>
  </r>
  <r>
    <s v="PUBLICO"/>
    <s v="DESARROLLO ESTRATÉGICO, CONSERVACIÓN Y APROVECHAMIENTO SOSTENIBLE DEL PATRIMONIO NATURAL"/>
    <n v="372186"/>
    <s v="RECUPERACION DE SUELOS DEGRADADOS MEDIANTE INSTALACION FORESTAL DEL MARGEN IZQUIERDO DEL RIO CAÑUTO, DISTRITO DE POLVORA - TOCACHE - SAN MARTIN"/>
    <s v="SUELOS DEGRADADOS"/>
    <x v="2"/>
    <x v="3"/>
    <s v="MUNICIPALIDAD DISTRITAL DE POLVORA"/>
    <n v="0"/>
    <x v="1"/>
    <x v="1"/>
    <x v="3"/>
    <n v="0"/>
    <n v="0"/>
    <n v="0"/>
    <n v="2128018.5"/>
    <n v="2128018.5"/>
    <n v="4256037"/>
  </r>
  <r>
    <s v="PUBLICO"/>
    <s v="DESARROLLO ESTRATÉGICO, CONSERVACIÓN Y APROVECHAMIENTO SOSTENIBLE DEL PATRIMONIO NATURAL"/>
    <n v="378722"/>
    <s v="RECUPERACION DEL ECOSISTEMA DEGRADADO DE BOSQUES SECOS EN LAS ÁREAS DE CONSERVACIÓN AMBIENTAL; OJOS DE AGUA, EL QUINILLAL Y VALLE DEL BIAVO PROVINCIAS DE PICOTA Y BELLAVISTA, SAN MARTÍN"/>
    <s v="SUELOS DEGRADADOS"/>
    <x v="2"/>
    <x v="3"/>
    <s v="REGION SAN MARTIN-SEDE CENTRAL"/>
    <n v="0"/>
    <x v="0"/>
    <x v="1"/>
    <x v="2"/>
    <n v="2780054"/>
    <n v="2269614"/>
    <n v="0"/>
    <n v="0"/>
    <n v="0"/>
    <n v="5049668"/>
  </r>
  <r>
    <s v="PUBLICO"/>
    <s v="DESARROLLO ESTRATÉGICO, CONSERVACIÓN Y APROVECHAMIENTO SOSTENIBLE DEL PATRIMONIO NATURAL"/>
    <n v="379963"/>
    <s v="RECUPERACION DEL ECOSISTEMA DEGRADADO EN EL AREA DE CONSERVACION BOSQUES EL MIRADOR DEL HUALLAGA, DISTRITO DE NUEVO PROGRESO - TOCACHE - SAN MARTIN"/>
    <s v="SUELOS DEGRADADOS"/>
    <x v="2"/>
    <x v="3"/>
    <s v="MUNICIPALIDAD DISTRITAL DE NUEVO PROGRESO"/>
    <n v="0"/>
    <x v="1"/>
    <x v="1"/>
    <x v="3"/>
    <n v="0"/>
    <n v="0"/>
    <n v="1189101"/>
    <m/>
    <m/>
    <n v="1189101"/>
  </r>
  <r>
    <s v="PUBLICO"/>
    <s v="DESARROLLO ESTRATÉGICO, CONSERVACIÓN Y APROVECHAMIENTO SOSTENIBLE DEL PATRIMONIO NATURAL"/>
    <n v="380072"/>
    <s v="MEJORAMIENTO Y PROMOCION DEL ECOTURISMO EN EL CIRCUITO TURISTICO CUEVA DE LOS HUACHAROS - CASCADA DE AGUAS CALIENTES, DISTRITO DE SORITOR - MOYOBAMBA - SAN MARTIN"/>
    <s v="SERVICIOS TURISTICOS"/>
    <x v="0"/>
    <x v="0"/>
    <s v="MUNICIPALIDAD DISTRITAL DE SORITOR"/>
    <s v="FONDO DE COMPENSACION MUNICIPAL"/>
    <x v="1"/>
    <x v="0"/>
    <x v="0"/>
    <n v="116278"/>
    <n v="0"/>
    <n v="0"/>
    <n v="0"/>
    <n v="0"/>
    <n v="116278"/>
  </r>
  <r>
    <s v="PUBLICO"/>
    <s v="DESARROLLO ESTRATÉGICO, CONSERVACIÓN Y APROVECHAMIENTO SOSTENIBLE DEL PATRIMONIO NATURAL"/>
    <n v="380994"/>
    <s v="RECUPERACION DEL ECOSISTEMA DEGRADADO EN LA MICROCUENCA UQUIHUA- CUCHACHI EN EL DISTRITO DE  RIOJA, PROVINCIA DE RIOJA, REGIÓN SAN MARTÍN"/>
    <s v="SUELOS DEGRADADOS"/>
    <x v="2"/>
    <x v="3"/>
    <s v="REGION SAN MARTIN-SEDE CENTRAL"/>
    <s v="RECURSOS ORDINARIOS"/>
    <x v="0"/>
    <x v="1"/>
    <x v="1"/>
    <n v="1089219"/>
    <n v="0"/>
    <n v="0"/>
    <n v="0"/>
    <n v="0"/>
    <n v="1089219"/>
  </r>
  <r>
    <s v="PUBLICO"/>
    <s v="DESARROLLO ESTRATÉGICO, CONSERVACIÓN Y APROVECHAMIENTO SOSTENIBLE DEL PATRIMONIO NATURAL"/>
    <n v="381131"/>
    <s v="PROMOCION DEL MANEJO SOSTENIBLE DEL AGUAJE (MAURITIA FLEXUOSA) EN EL AREA DE CONSERVACION DE AREAS INUNDABLES DEL BAJO HUALLAGA, DISTRITO DE EL PORVENIR, PROVINCIA DE SAN MARTIN, DEPARTAMENTO DE SAN MARTIN"/>
    <s v="AGUAJE"/>
    <x v="2"/>
    <x v="4"/>
    <s v="REG. SAN MARTIN - PROCEJA"/>
    <s v="RECURSOS ORDINARIOS"/>
    <x v="0"/>
    <x v="0"/>
    <x v="0"/>
    <n v="153088"/>
    <n v="0"/>
    <n v="0"/>
    <n v="0"/>
    <n v="0"/>
    <n v="153088"/>
  </r>
  <r>
    <s v="PUBLICO"/>
    <s v="DESARROLLO ESTRATÉGICO, CONSERVACIÓN Y APROVECHAMIENTO SOSTENIBLE DEL PATRIMONIO NATURAL"/>
    <n v="384279"/>
    <s v="RECUPERACIÓN DEL SERVICIO ECOSISTEMICO DEL CONTROL DE EROSION DE SUELOS EN LA ZOCRE BOSHUMI Y SU AMBITO DE INFLUENCIA, PROVINCIA DE TOCACHE Y MARISCAL CACERES, REGION SAN MARTIN"/>
    <s v="SERVICIOS AMBIENTALES"/>
    <x v="2"/>
    <x v="3"/>
    <s v="REGION SAN MARTIN-SEDE CENTRAL"/>
    <s v="RECURSOS ORDINARIOS"/>
    <x v="0"/>
    <x v="0"/>
    <x v="0"/>
    <n v="1500000"/>
    <n v="2500000"/>
    <n v="2044617"/>
    <n v="11836.1800000004"/>
    <n v="11836.1800000004"/>
    <n v="6068289.3600000013"/>
  </r>
  <r>
    <s v="PUBLICO"/>
    <s v="DESARROLLO ESTRATÉGICO, CONSERVACIÓN Y APROVECHAMIENTO SOSTENIBLE DEL PATRIMONIO NATURAL"/>
    <n v="387504"/>
    <s v="RECUPERACION DEL SERVICIO ECOSISTEMICO DE CONTROL DE EROSION DE SUELOS EN EL AREA DE CONSERVACION REGIONAL CORDILLERA ESCALERA Y EN SU ZONA DE INFLUENCIA PROVINCIA DE SAN MARTIN Y LAMAS - SAN MARTIN"/>
    <s v="ACR"/>
    <x v="2"/>
    <x v="3"/>
    <s v="REGION SAN MARTIN - HUALLAGA CENTRAL Y BAJO MAYO"/>
    <s v="CANON Y SOBRECANON, REGALIAS, RENTA DE ADUANAS Y PARTICIPACIONES"/>
    <x v="0"/>
    <x v="1"/>
    <x v="2"/>
    <n v="2500000"/>
    <n v="12000000"/>
    <n v="0"/>
    <n v="1032694"/>
    <n v="1032694"/>
    <n v="16565388"/>
  </r>
  <r>
    <s v="PUBLICO"/>
    <s v="DESARROLLO ESTRATÉGICO, CONSERVACIÓN Y APROVECHAMIENTO SOSTENIBLE DEL PATRIMONIO NATURAL"/>
    <n v="387507"/>
    <s v="CREACION DE LOS SERVICIOS DE GESTION TERRITORIAL EN 09 DISTRITOS UBICADOS EN LAS PROVINCIAS DE EL DORADO, BELLAVISTA Y PICOTA EN EL DEPARTAMENTO DE SAN MARTIN"/>
    <s v="GESTION"/>
    <x v="1"/>
    <x v="5"/>
    <s v="REGION SAN MARTIN - HUALLAGA CENTRAL Y BAJO MAYO"/>
    <n v="0"/>
    <x v="0"/>
    <x v="1"/>
    <x v="2"/>
    <n v="2882691"/>
    <n v="5353570"/>
    <n v="0"/>
    <n v="0"/>
    <n v="0"/>
    <n v="8236261"/>
  </r>
  <r>
    <s v="PUBLICO"/>
    <s v="DESARROLLO ESTRATÉGICO, CONSERVACIÓN Y APROVECHAMIENTO SOSTENIBLE DEL PATRIMONIO NATURAL"/>
    <n v="2234074"/>
    <s v="INSTALACION DE ESPECIES FORESTALES NATIVAS  PARA  RECUPERAR SUELOS DEGRADADOS CON POTENCIAL FORESTAL Y CONSERVACION - ZONA DE RECUPERACION Y CONSERVACION  ECOSISTEMICO - ZOCRE  LOCALIDAD DE CALZADA, DISTRITO DE CALZADA - MOYOBAMBA - SAN MARTIN"/>
    <s v="GESTION"/>
    <x v="1"/>
    <x v="5"/>
    <s v="MUNICIPALIDAD DISTRITAL DE CALZADA"/>
    <s v="FONDO DE COMPENSACION MUNICIPAL"/>
    <x v="1"/>
    <x v="6"/>
    <x v="1"/>
    <n v="550835"/>
    <n v="0"/>
    <n v="0"/>
    <n v="0"/>
    <n v="0"/>
    <n v="550835"/>
  </r>
  <r>
    <s v="PUBLICO"/>
    <s v="DESARROLLO ESTRATÉGICO, CONSERVACIÓN Y APROVECHAMIENTO SOSTENIBLE DEL PATRIMONIO NATURAL"/>
    <n v="2270953"/>
    <s v="RECUPERACION DE LA COBERTURA VEGETAL A TRAVES DE LA REFORESTACION EN LAS LOCALIDADES DE SHANAO, MORILLO, SOLO, PUCALLPA, ALTO PUCALPILLO, CONGOMPERA Y SHACAPA EN EL  DISTRITO DE SHANAO - PROVINCIA DE LAMAS - DEPARTAMENTO DE SAN MARTIN"/>
    <s v="SERVICIOS AMBIENTALES"/>
    <x v="2"/>
    <x v="3"/>
    <s v="MUNICIPALIDAD DISTRITAL DE SHANAO"/>
    <n v="0"/>
    <x v="1"/>
    <x v="1"/>
    <x v="2"/>
    <n v="0"/>
    <n v="0"/>
    <n v="0"/>
    <n v="2855700"/>
    <n v="2855700"/>
    <n v="5711400"/>
  </r>
  <r>
    <s v="PUBLICO"/>
    <s v="DESARROLLO ESTRATÉGICO, CONSERVACIÓN Y APROVECHAMIENTO SOSTENIBLE DEL PATRIMONIO NATURAL"/>
    <n v="2380726"/>
    <s v="MEJORAMIENTO DE LOS SERVICIOS DE PROMOCIÓN DEL USO SOSTENIBLE DEL UNGURAW UI EN LA COMUNIDAD CAMPESINA PAZ Y ESPERANZA, PROVINCIA DE MOYOBAMBA REGION SAN MARTIN"/>
    <s v="COMUNIDADES CAMPESINAS"/>
    <x v="2"/>
    <x v="4"/>
    <m/>
    <n v="0"/>
    <x v="0"/>
    <x v="0"/>
    <x v="0"/>
    <n v="1141832"/>
    <n v="0"/>
    <n v="0"/>
    <n v="0"/>
    <n v="0"/>
    <n v="1141832"/>
  </r>
  <r>
    <s v="PUBLICO"/>
    <s v="DESARROLLO ESTRATÉGICO, CONSERVACIÓN Y APROVECHAMIENTO SOSTENIBLE DEL PATRIMONIO NATURAL"/>
    <n v="2380734"/>
    <s v="MEJORAMIENTO Y AMPLIACION DE LOS SERVICIOS DE PROMOCIÓN DEL ECOTURISMO EN EL CIRCUITO DEL RIO UQUIHUA SECTOR QUILLOSISA; DISTRITO DE RIOJA; PROVINCIA DE RIOJA- SAN MARTIN"/>
    <s v="SERVICIOS TURISTICOS"/>
    <x v="0"/>
    <x v="0"/>
    <m/>
    <s v="FONDO DE COMPENSACION MUNICIPAL"/>
    <x v="1"/>
    <x v="0"/>
    <x v="0"/>
    <n v="550835"/>
    <n v="0"/>
    <n v="0"/>
    <n v="0"/>
    <n v="0"/>
    <n v="550835"/>
  </r>
  <r>
    <s v="PUBLICO"/>
    <s v="DESARROLLO ESTRATÉGICO, CONSERVACIÓN Y APROVECHAMIENTO SOSTENIBLE DEL PATRIMONIO NATURAL"/>
    <n v="2458297"/>
    <s v="RECUPERACION DE SUELOS DEGRADADOS MEDIANTE LA FORESTACIÓN EN EL  DISTRITO DE UCHIZA - PROVINCIA DE TOCACHE - DEPARTAMENTO DE SAN MARTIN"/>
    <s v="SUELOS DEGRADADOS"/>
    <x v="2"/>
    <x v="3"/>
    <s v="MUNICIPALIDAD DISTRITAL DE UCHIZA"/>
    <n v="0"/>
    <x v="1"/>
    <x v="1"/>
    <x v="3"/>
    <n v="0"/>
    <n v="2110976"/>
    <n v="1560000"/>
    <n v="0"/>
    <n v="0"/>
    <n v="3670976"/>
  </r>
  <r>
    <s v="PUBLICO"/>
    <s v="DESARROLLO ESTRATÉGICO, CONSERVACIÓN Y APROVECHAMIENTO SOSTENIBLE DEL PATRIMONIO NATURAL"/>
    <n v="2460646"/>
    <s v="RECUPERACION DE ECOSISTEMAS DEGRADADOS EN 13 COMUNIDADES NATIVAS DE LAS ETNIAS KECHWA Y AWAJUN UBICADAS EN 5 PROVINCIAS DEL DEPARTAMENTO DE SAN MARTIN"/>
    <s v="COMUNIDADES NATIVAS"/>
    <x v="2"/>
    <x v="3"/>
    <s v="REGION SAN MARTIN-SEDE CENTRAL"/>
    <n v="0"/>
    <x v="0"/>
    <x v="0"/>
    <x v="0"/>
    <n v="3500000"/>
    <n v="5278765"/>
    <n v="112000"/>
    <m/>
    <m/>
    <n v="8890765"/>
  </r>
  <r>
    <s v="PUBLICO"/>
    <s v="DESARROLLO ESTRATÉGICO, CONSERVACIÓN Y APROVECHAMIENTO SOSTENIBLE DEL PATRIMONIO NATURAL"/>
    <n v="2462526"/>
    <s v="RECUPERACION DE LOS SERVICIOS ECOSISTEMICOS DE REGULACIÓN HIDRICA Y CONTROL DE EROSIÓN DE SUELOS EN LA ZOCRE NACIENTE DE RIO NEGRO Y EN LA ZONA DE AMORTIGUAMIENTO DEL BOSQUE DE PROTECCIÓN ALTO MAYO EN LA SUBCUENCA DEL RIO YURACYACU.  DISTRITO DE YURACYACU - PROVINCIA DE RIOJA - DEPARTAMENTO DE SAN MARTIN"/>
    <s v="SERVICIOS AMBIENTALES"/>
    <x v="2"/>
    <x v="3"/>
    <s v="REGION SAN MARTIN-SEDE CENTRAL"/>
    <s v="RECURSOS ORDINARIOS"/>
    <x v="0"/>
    <x v="1"/>
    <x v="1"/>
    <n v="1670536.29"/>
    <n v="2505804.44"/>
    <n v="0"/>
    <m/>
    <m/>
    <n v="4176340.73"/>
  </r>
  <r>
    <s v="PUBLICO"/>
    <s v="DESARROLLO ESTRATÉGICO, CONSERVACIÓN Y APROVECHAMIENTO SOSTENIBLE DEL PATRIMONIO NATURAL"/>
    <n v="2474553"/>
    <s v="RECUPERACION DE LOS ECOSISTEMAS DEGRADADOS DE BOSQUE HUMEDO DE COLINA BAJA Y COLINA ALTA EN LA ZOCRE MORRO DE CALZADA EN LOS DISTRITOS DE CALZADA Y YANTALO DE LA  PROVINCIA DE MOYOBAMBA - DEPARTAMENTO DE SAN MARTIN"/>
    <s v="SUELOS DEGRADADOS"/>
    <x v="2"/>
    <x v="3"/>
    <s v="REGION SAN MARTIN-SEDE CENTRAL"/>
    <s v="RECURSOS ORDINARIOS"/>
    <x v="0"/>
    <x v="1"/>
    <x v="1"/>
    <n v="555000"/>
    <n v="370000"/>
    <n v="93396"/>
    <n v="0"/>
    <n v="0"/>
    <n v="1018396"/>
  </r>
  <r>
    <s v="PUBLICO"/>
    <s v="DESARROLLO URBANO Y RURAL"/>
    <n v="2415516"/>
    <s v="MEJORAMIENTO DE LA TRANSITABILIDAD PEATONAL Y VEHICULAR EN CALLES Y AVENIDAS A NIVEL DE AFIRMADO EN LA COMUNIDAD NATIVA BAJO NARANJILLO DEL DISTRITO DE AWAJUN - PROVINCIA DE RIOJA - DEPARTAMENTO DE SAN MARTIN"/>
    <s v="COMUNIDADES NATIVAS"/>
    <x v="1"/>
    <x v="6"/>
    <s v="MUNICIPALIDAD DISTRITAL DE AWAJUN"/>
    <n v="0"/>
    <x v="1"/>
    <x v="1"/>
    <x v="1"/>
    <n v="1000000"/>
    <n v="1152793"/>
    <n v="195000"/>
    <m/>
    <m/>
    <n v="2347793"/>
  </r>
  <r>
    <s v="PUBLICO"/>
    <s v="DESARROLLO URBANO Y RURAL"/>
    <n v="2464266"/>
    <s v="MEJORAMIENTO DEL PARQUE PRINCIPAL DE LA COMUNIDAD NATIVA DE AVIACION DEL DISTRITO DE SAN ROQUE DE CUMBAZA - PROVINCIA DE LAMAS - DEPARTAMENTO DE SAN MARTIN"/>
    <s v="COMUNIDADES NATIVAS"/>
    <x v="1"/>
    <x v="1"/>
    <s v="MUNICIPALIDAD DISTRITAL DE SAN ROQUE DE CUMBAZA"/>
    <s v="FONDO DE COMPENSACION MUNICIPAL"/>
    <x v="1"/>
    <x v="7"/>
    <x v="2"/>
    <n v="15000"/>
    <n v="1021050"/>
    <n v="0"/>
    <n v="0"/>
    <n v="0"/>
    <n v="1036050"/>
  </r>
  <r>
    <s v="PUBLICO"/>
    <s v="DESARROLLO URBANO Y RURAL"/>
    <n v="2464267"/>
    <s v="MEJORAMIENTO DEL PARQUE PRINCIPAL DE LA COMUNIDAD NATIVA DE CHIRIKYACU DEL DISTRITO DE SAN ROQUE DE CUMBAZA - PROVINCIA DE LAMAS - DEPARTAMENTO DE SAN MARTIN"/>
    <s v="COMUNIDADES NATIVAS"/>
    <x v="1"/>
    <x v="1"/>
    <s v="MUNICIPALIDAD DISTRITAL DE SAN ROQUE DE CUMBAZA"/>
    <s v="FONDO DE COMPENSACION MUNICIPAL"/>
    <x v="1"/>
    <x v="7"/>
    <x v="2"/>
    <n v="912650"/>
    <n v="0"/>
    <n v="0"/>
    <n v="0"/>
    <n v="0"/>
    <n v="912650"/>
  </r>
  <r>
    <s v="PUBLICO"/>
    <s v="ENERGÍA ELÉCTRICA"/>
    <n v="384392"/>
    <s v="CREACION DEL SERVICIO DE ENERGIA ELECTRICA EN LAS LOCALIDADES Y SECTORES UBICADOS EN LA ZONA DE INFLUENCIA DEL AREA DE CONSERVACION REGIONAL CORDILLERA ESCALERA, PERTECIENTES A LAS PROVINCIAS DE LAMAS Y SAN MARTIN, REGION SAN MARTIN"/>
    <s v="ACR"/>
    <x v="1"/>
    <x v="1"/>
    <s v="REGION SAN MARTIN - HUALLAGA CENTRAL Y BAJO MAYO"/>
    <n v="0"/>
    <x v="0"/>
    <x v="1"/>
    <x v="4"/>
    <n v="1706721"/>
    <n v="0"/>
    <n v="0"/>
    <n v="0"/>
    <n v="0"/>
    <n v="1706721"/>
  </r>
  <r>
    <s v="PUBLICO"/>
    <s v="GESTIÓN"/>
    <n v="2431006"/>
    <s v="MEJORAMIENTO DEL SERVICIO DE FACILITACIÓN, SIMPLIFICACIÓN Y MEJORA REGULATORIA, INTEGRACIÓN DE SERVICIOS DIGITALES, GESTIÓN DE LA ATENCIÓN A CIUDADANOS Y EMPRESAS, Y MEJORA DE LOS SERVICIOS PÚBLICOS DE LA OFICINA REGIONAL DE SEGURIDAD Y DEFENSA NACIONAL DEL GOBIERNO REGIONAL SAN MARTÍN - SEDE CENTRAL, EN EL CENTRO POBLADO DE MOYOBAMBA DEL DISTRITO DE MOYOBAMBA - PROVINCIA DE MOYOBAMBA - DEPARTAMENTO DE SAN MARTIN"/>
    <s v="GESTION"/>
    <x v="1"/>
    <x v="6"/>
    <s v="REGION SAN MARTIN-SEDE CENTRAL"/>
    <n v="0"/>
    <x v="0"/>
    <x v="1"/>
    <x v="1"/>
    <n v="588923"/>
    <n v="639572"/>
    <n v="0"/>
    <n v="0"/>
    <n v="0"/>
    <n v="1228495"/>
  </r>
  <r>
    <s v="PUBLICO"/>
    <s v="GESTIÓN"/>
    <n v="2443579"/>
    <s v="MEJORAMIENTO Y AMPLIACION DEL SERVICIO DE INFORMACIÓN Y COMUNICACIÓN EN LA MUNICIPALIDAD PROVINCIAL DE MARISCAL CACERES,  DISTRITO DE JUANJUI - PROVINCIA DE MARISCAL CACERES - DEPARTAMENTO DE SAN MARTIN"/>
    <s v="GESTION"/>
    <x v="1"/>
    <x v="6"/>
    <s v="MUNICIPALIDAD PROVINCIAL DE MARISCAL CACERES - JUANJUI"/>
    <n v="0"/>
    <x v="1"/>
    <x v="1"/>
    <x v="2"/>
    <n v="200000"/>
    <n v="200000"/>
    <n v="100000"/>
    <n v="0"/>
    <n v="0"/>
    <n v="500000"/>
  </r>
  <r>
    <s v="PUBLICO"/>
    <s v="GESTIÓN DE RIESGOS Y EMERGENCIAS"/>
    <n v="2439441"/>
    <s v="ADQUISICIÓN DE EQUIPOS DE BÚSQUEDA Y SALVAMENTO; EN EL(LA) COMPAÑIA DE BOMBEROS  ROBERTO ACEVEDO N° 71  DISTRITO DE MORALES, PROVINCIA SAN MARTIN, DEPARTAMENTO SAN MARTIN"/>
    <s v="GESTION"/>
    <x v="1"/>
    <x v="6"/>
    <s v="INTENDENCIA NACIONAL DE BOMBEROS DEL PERÚ - INBP"/>
    <n v="0"/>
    <x v="2"/>
    <x v="1"/>
    <x v="2"/>
    <n v="0"/>
    <n v="0"/>
    <n v="0"/>
    <n v="186000"/>
    <n v="186000"/>
    <n v="372000"/>
  </r>
  <r>
    <s v="PUBLICO"/>
    <s v="GESTIÓN DE RIESGOS Y EMERGENCIAS"/>
    <n v="2439443"/>
    <s v="ADQUISICIÓN DE EQUIPOS DE BÚSQUEDA Y SALVAMENTO; EN EL(LA) COMPAÑIA DE BOMBEROS RIOJA N°162  DISTRITO DE RIOJA, PROVINCIA RIOJA, DEPARTAMENTO SAN MARTIN"/>
    <s v="GESTION"/>
    <x v="1"/>
    <x v="6"/>
    <s v="INTENDENCIA NACIONAL DE BOMBEROS DEL PERÚ - INBP"/>
    <n v="0"/>
    <x v="2"/>
    <x v="1"/>
    <x v="1"/>
    <n v="0"/>
    <n v="0"/>
    <n v="0"/>
    <n v="186000"/>
    <n v="186000"/>
    <n v="372000"/>
  </r>
  <r>
    <s v="PUBLICO"/>
    <s v="GESTIÓN INTEGRAL DE LA CALIDAD AMBIENTAL"/>
    <n v="335046"/>
    <s v="RECUPERACION DE ÁREAS VULNERABLES Y DEGRADADAS CON FINES DE PROTECCIÓN Y REGULACIÓN HÍDRICA DE MICROCUENCAS DESTINADAS AL APROVECHAMIENTO SOSTENIBLE DEL AGUA EN LA JURISDICCION   DEL, DISTRITO DE EL ESLABON - HUALLAGA - SAN MARTIN"/>
    <s v="SUELOS DEGRADADOS"/>
    <x v="2"/>
    <x v="3"/>
    <s v="MUNICIPALIDAD DISTRITAL DE EL ESLABON"/>
    <n v="0"/>
    <x v="1"/>
    <x v="1"/>
    <x v="2"/>
    <n v="1046919"/>
    <n v="1570379"/>
    <n v="0"/>
    <m/>
    <m/>
    <n v="2617298"/>
  </r>
  <r>
    <s v="PUBLICO"/>
    <s v="GESTIÓN INTEGRAL DE LA CALIDAD AMBIENTAL"/>
    <n v="354542"/>
    <s v="RECUPERACION DE ÁREAS DEGRADADAS POR RESIDUOS SÓLIDOS EN EL SECTOR TUNCHIYACU, DISTRITO DE MOYOBAMBA, PROVINCIA DE MOYOBAMBA, DEPARTAMENTO DE SAN MARTÍN."/>
    <s v="SUELOS DEGRADADOS"/>
    <x v="2"/>
    <x v="3"/>
    <s v="GESTION INTEGRAL DE LA CALIDAD AMBIENTAL"/>
    <n v="0"/>
    <x v="2"/>
    <x v="1"/>
    <x v="1"/>
    <n v="1007684"/>
    <n v="1511526"/>
    <n v="1511526"/>
    <n v="503841.5"/>
    <n v="503841.5"/>
    <n v="5038419"/>
  </r>
  <r>
    <s v="PUBLICO"/>
    <s v="GESTIÓN INTEGRAL DE LA CALIDAD AMBIENTAL"/>
    <n v="358587"/>
    <s v="RECUPERACION DE ÁREAS DEGRADADAS POR RESIDUOS SÓLIDOS EN EL SECTOR YACUCATINA, DISTRITO DE JUAN GUERRA, PROVINCIA DE SAN MARTÍN, DEPARTAMENTO DE SAN MARTÍN"/>
    <s v="SUELOS DEGRADADOS"/>
    <x v="2"/>
    <x v="3"/>
    <s v="GESTION INTEGRAL DE LA CALIDAD AMBIENTAL"/>
    <n v="0"/>
    <x v="2"/>
    <x v="1"/>
    <x v="2"/>
    <n v="1287820"/>
    <n v="1931730"/>
    <n v="1931730"/>
    <n v="643909.5"/>
    <n v="643909.5"/>
    <n v="6439099"/>
  </r>
  <r>
    <s v="PUBLICO"/>
    <s v="INDUSTRIA"/>
    <n v="209484"/>
    <s v="MEJORAMIENTO Y ARTICULACION COMERCIAL DEL PROCESAMIENTO DE LA PIÑA EN CONSERVA EN EL, DISTRITO DE LAMAS, PROVINCIA DE LAMAS - SAN MARTIN"/>
    <s v="PIÑA"/>
    <x v="0"/>
    <x v="7"/>
    <s v="MUNICIPALIDAD PROVINCIAL DE LAMAS"/>
    <s v="FONDO DE COMPENSACION MUNICIPAL"/>
    <x v="1"/>
    <x v="2"/>
    <x v="2"/>
    <n v="70908"/>
    <n v="0"/>
    <n v="0"/>
    <n v="0"/>
    <n v="0"/>
    <n v="70908"/>
  </r>
  <r>
    <s v="PUBLICO"/>
    <s v="INDUSTRIA"/>
    <n v="313445"/>
    <s v="MEJORAMIENTO DE CAPACIDADES PARA LA PRODUCCION DE CAFE Y CACAO EN LAS ZONAS DEL ALTO SISA Y ALTO ALAO, DISTRITO DE SAN MARTIN - EL DORADO - SAN MARTIN"/>
    <s v="CAFE"/>
    <x v="0"/>
    <x v="2"/>
    <s v="MUNICIPALIDAD DISTRITAL DE SAN MARTIN"/>
    <s v="FONDO DE COMPENSACION MUNICIPAL"/>
    <x v="1"/>
    <x v="2"/>
    <x v="2"/>
    <n v="20000"/>
    <n v="20000"/>
    <n v="20000"/>
    <n v="42399.72"/>
    <n v="42399.72"/>
    <n v="144799.44"/>
  </r>
  <r>
    <s v="PUBLICO"/>
    <s v="INDUSTRIA"/>
    <n v="327211"/>
    <s v="MEJORAMIENTO DE LOS SERVICIOS DE INNOVACION TECNOLOGICA PARA EL DESARROLLO DE LA CADENA PRODUCTIVA ACUICOLA EN LA LOCALIDAD DE AHUASHIYACU, DISTRITO DE LA BANDA DE SHILCAYO, PROVINCIA DE SAN MARTIN, DEPARTAMENTO DE SAN MARTIN"/>
    <s v="ACUICULTURA"/>
    <x v="0"/>
    <x v="0"/>
    <s v="INSTITUTO TECNOLOGICO DE LA PRODUCCION - ITP"/>
    <s v="RECURSOS ORDINARIOS"/>
    <x v="2"/>
    <x v="0"/>
    <x v="0"/>
    <n v="2746919"/>
    <n v="1831280"/>
    <n v="592595"/>
    <n v="0"/>
    <n v="0"/>
    <n v="5170794"/>
  </r>
  <r>
    <s v="PUBLICO"/>
    <s v="INDUSTRIA"/>
    <n v="374864"/>
    <s v="MEJORAMIENTO DEL SERVICIO DE APOYO A LA CADENA PRODUCTIVA DE TRANSFORMACIÓN DEL CACAO EN LAS LOCALIDADES DE BAMBAMARCA, SAPOSOA, SANTA CRUZ Y CHAZUTA, PROVINCIAS DE TOCACHE, EL DORADO, HUALLAGA Y SAN MARTIN, REGIÓN SAN MARTIN"/>
    <s v="CACAO"/>
    <x v="0"/>
    <x v="2"/>
    <s v="REGION SAN MARTIN-PESQUERIA"/>
    <s v="RECURSOS ORDINARIOS"/>
    <x v="0"/>
    <x v="2"/>
    <x v="2"/>
    <n v="3813740"/>
    <n v="2534332"/>
    <n v="8988410"/>
    <n v="0"/>
    <n v="0"/>
    <n v="15336482"/>
  </r>
  <r>
    <s v="PUBLICO"/>
    <s v="PECUARIO"/>
    <n v="345737"/>
    <s v="MEJORAMIENTO DEL SERVICIO DE CONTROL Y VIGILANCIA DE VACUNOS Y PORCINOS EN LA REGION SAN MARTIN"/>
    <s v="GANADERIA"/>
    <x v="1"/>
    <x v="5"/>
    <s v="REGION SAN MARTIN-AGRICULTURA"/>
    <n v="0"/>
    <x v="0"/>
    <x v="0"/>
    <x v="0"/>
    <n v="4602327"/>
    <n v="142340"/>
    <n v="0"/>
    <n v="0"/>
    <n v="0"/>
    <n v="4744667"/>
  </r>
  <r>
    <s v="PUBLICO"/>
    <s v="PLANEAMIENTO GUBERNAMENTAL"/>
    <n v="70480"/>
    <s v="MEJORAMIENTO  DE LOS SERVICIOS DE GESTION TERRITORIAL  DE  LA PROVINCIA DEL HUALLAGA; DEPARTAMENTO SAN MARTIN"/>
    <s v="GESTION"/>
    <x v="1"/>
    <x v="5"/>
    <s v="REGION SAN MARTIN - HUALLAGA CENTRAL Y BAJO MAYO"/>
    <n v="0"/>
    <x v="0"/>
    <x v="1"/>
    <x v="2"/>
    <n v="207692"/>
    <n v="6715376"/>
    <n v="0"/>
    <n v="0"/>
    <n v="0"/>
    <n v="6923068"/>
  </r>
  <r>
    <s v="PUBLICO"/>
    <s v="PRESERVACION DE LOS RECURSOS NATURALES RENOVABLES"/>
    <n v="104777"/>
    <s v="MEJORAMIENTO DEL SERVICIO DE PROTECCION Y CONSERVACION DE LA ZONA DE AMORTIGUAMIENTO DEL BOSQUE DE PROTECION DEL ALTO MAYO EN LA, PROVINCIA DE RIOJA - SAN MARTIN"/>
    <s v="SERVICIOS AMBIENTALES"/>
    <x v="2"/>
    <x v="3"/>
    <s v="REGION SAN MARTIN - PROYECTO ESPECIAL ALTO MAYO"/>
    <s v="RECURSOS ORDINARIOS"/>
    <x v="1"/>
    <x v="8"/>
    <x v="1"/>
    <n v="892908"/>
    <n v="0"/>
    <n v="0"/>
    <n v="0"/>
    <n v="0"/>
    <n v="892908"/>
  </r>
  <r>
    <s v="PUBLICO"/>
    <s v="RIEGO"/>
    <n v="2455498"/>
    <s v="MEJORAMIENTO DEL SERVICIO DE AGUA A NIVEL PARCELARIO CON UN SISTEMA DE RIEGO TECNIFICADO EN LA CADENA PRODUCTIVA DE PALMA ACEITERA EN LA LOCALIDAD DE SAN ANTONIO DEL DISTRITO DE CASPISAPA - PROVINCIA DE PICOTA - DEPARTAMENTO DE SAN MARTIN"/>
    <s v="PALMA ACEITERA"/>
    <x v="0"/>
    <x v="0"/>
    <s v="REGION SAN MARTIN-SEDE CENTRAL"/>
    <n v="0"/>
    <x v="0"/>
    <x v="0"/>
    <x v="0"/>
    <n v="65781"/>
    <n v="0"/>
    <n v="0"/>
    <n v="0"/>
    <n v="0"/>
    <n v="65781"/>
  </r>
  <r>
    <s v="PUBLICO"/>
    <s v="SANEAMIENTO"/>
    <n v="121810"/>
    <s v="CONSTRUCCION Y MEJORAMIENTO DEL SISTEMA DE AGUA POTABLE Y ALCANTARILLADO DE LAS COMUNIDADES NATIVAS, DISTRITO DE AWAJUN - RIOJA - SAN MARTIN"/>
    <s v="COMUNIDADES NATIVAS"/>
    <x v="1"/>
    <x v="1"/>
    <s v="MUNICIPALIDAD DISTRITAL DE AWAJUN"/>
    <s v="RECURSOS ORDINARIOS"/>
    <x v="1"/>
    <x v="7"/>
    <x v="1"/>
    <n v="4"/>
    <n v="4"/>
    <n v="4"/>
    <n v="396222.44000000122"/>
    <n v="396222.44000000122"/>
    <n v="792456.88000000245"/>
  </r>
  <r>
    <s v="PUBLICO"/>
    <s v="SANEAMIENTO"/>
    <n v="292966"/>
    <s v="MEJORAMIENTO Y AMPLIACION DEL SERVICIO DE AGUA POTABLE E INSTALACION DEL SERVICIO DE SANEAMIENTO BASICO EN EL CENTRO POBLADO FLOR DE CAFE , DISTRITO DE SHAMBOYACU - PICOTA - SAN MARTIN"/>
    <s v="SANEAMIENTO"/>
    <x v="1"/>
    <x v="1"/>
    <s v="MUNICIPALIDAD DISTRITAL DE SHAMBOYACU"/>
    <s v="RECURSOS ORDINARIOS"/>
    <x v="2"/>
    <x v="1"/>
    <x v="2"/>
    <n v="17054"/>
    <n v="0"/>
    <n v="0"/>
    <n v="2433574.29"/>
    <n v="2433574.29"/>
    <n v="4884202.58"/>
  </r>
  <r>
    <s v="PUBLICO"/>
    <s v="SANEAMIENTO"/>
    <n v="296353"/>
    <s v="INSTALACION DEL SERVICIO DE AGUA POTABLE Y SANEAMIENTO BASICO DE LA COMUNIDAD NATIVA EL DORADO, DISTRITO DE MOYOBAMBA , PROVINCIA DE MOYOBAMBA, DEPARTAMENTO DE SAN MARTIN"/>
    <s v="COMUNIDADES NATIVAS"/>
    <x v="1"/>
    <x v="1"/>
    <s v="PROGRAMA NACIONAL DE SANEAMIENTO RURAL"/>
    <s v="RECURSOS ORDINARIOS"/>
    <x v="2"/>
    <x v="7"/>
    <x v="1"/>
    <n v="2744840"/>
    <n v="1176364"/>
    <n v="0"/>
    <n v="103189.3600000002"/>
    <n v="103189.3600000002"/>
    <n v="4127582.7200000007"/>
  </r>
  <r>
    <s v="PUBLICO"/>
    <s v="SANEAMIENTO"/>
    <n v="2349661"/>
    <s v="CREACION DEL SERVICIO DE AGUA POTABLE Y SANEAMIENTO DE LA COMUNIDAD  NATIVA  DE CACHIYACU DEL DISTRITO DE MOYOBAMBA - PROVINCIA DE MOYOBAMBA - DEPARTAMENTO DE SAN MARTIN"/>
    <s v="COMUNIDADES NATIVAS"/>
    <x v="1"/>
    <x v="1"/>
    <s v="REGION SAN MARTIN-SEDE CENTRAL"/>
    <n v="0"/>
    <x v="0"/>
    <x v="7"/>
    <x v="1"/>
    <n v="995177"/>
    <n v="617431"/>
    <n v="0"/>
    <m/>
    <m/>
    <n v="1612608"/>
  </r>
  <r>
    <s v="PUBLICO"/>
    <s v="SANEAMIENTO"/>
    <n v="2349698"/>
    <s v="CREACION DEL SERVICIO DE AGUA POTABLE Y SANEAMIENTO DE LA COMUNIDAD NATIVA YARAO DEL DISTRITO DE MOYOBAMBA - PROVINCIA DE MOYOBAMBA - DEPARTAMENTO DE SAN MARTIN"/>
    <s v="COMUNIDADES NATIVAS"/>
    <x v="1"/>
    <x v="1"/>
    <s v="REGION SAN MARTIN-SEDE CENTRAL"/>
    <s v="RECURSOS ORDINARIOS"/>
    <x v="0"/>
    <x v="7"/>
    <x v="1"/>
    <n v="3394568"/>
    <n v="0"/>
    <n v="0"/>
    <m/>
    <m/>
    <n v="3394568"/>
  </r>
  <r>
    <s v="PUBLICO"/>
    <s v="SANEAMIENTO"/>
    <n v="2349712"/>
    <s v="CREACION DEL SERVICIO DE AGUA POTABLE Y SANEAMIENTO DE LA COMUNIDAD NATIVA DE MORROYACU DEL DISTRITO DE MOYOBAMBA - PROVINCIA DE MOYOBAMBA - DEPARTAMENTO DE SAN MARTIN"/>
    <s v="COMUNIDADES NATIVAS"/>
    <x v="1"/>
    <x v="1"/>
    <s v="REGION SAN MARTIN-SEDE CENTRAL"/>
    <n v="0"/>
    <x v="0"/>
    <x v="7"/>
    <x v="1"/>
    <n v="2223364"/>
    <n v="616749"/>
    <n v="0"/>
    <m/>
    <m/>
    <n v="2840113"/>
  </r>
  <r>
    <s v="PUBLICO"/>
    <s v="SANEAMIENTO"/>
    <n v="2349726"/>
    <s v="MEJORAMIENTO DEL SERVICIO DE AGUA POTABLE Y SANEAMIENTO DE LA COMUNIDAD NATIVA DE SAN RAFAEL DEL DISTRITO DE MOYOBAMBA - PROVINCIA DE MOYOBAMBA - DEPARTAMENTO DE SAN MARTIN"/>
    <s v="COMUNIDADES NATIVAS"/>
    <x v="1"/>
    <x v="1"/>
    <s v="REGION SAN MARTIN-SEDE CENTRAL"/>
    <n v="0"/>
    <x v="0"/>
    <x v="7"/>
    <x v="1"/>
    <n v="2048051"/>
    <n v="726799"/>
    <n v="0"/>
    <n v="0"/>
    <n v="0"/>
    <n v="2774850"/>
  </r>
  <r>
    <s v="PUBLICO"/>
    <s v="SANEAMIENTO"/>
    <n v="2350216"/>
    <s v="CREACION DEL SERVICIO DE AGUA POTABLE Y SANEAMIENTO DE LA COMUNIDAD NATIVA DE NUEVA JERUSALEN DEL DISTRITO DE MOYOBAMBA - PROVINCIA DE MOYOBAMBA - DEPARTAMENTO DE SAN MARTIN"/>
    <s v="COMUNIDADES NATIVAS"/>
    <x v="1"/>
    <x v="1"/>
    <s v="REGION SAN MARTIN-SEDE CENTRAL"/>
    <n v="0"/>
    <x v="0"/>
    <x v="7"/>
    <x v="1"/>
    <n v="1000771"/>
    <n v="768519"/>
    <n v="0"/>
    <m/>
    <m/>
    <n v="1769290"/>
  </r>
  <r>
    <s v="PUBLICO"/>
    <s v="SANEAMIENTO"/>
    <n v="2453367"/>
    <s v="CREACION DEL SERVICIO DE AGUA POTABLE Y ALCANTARILLADO SANITARIO DE LA COMUNIDAD NATIVA ALTO MAYO DEL DISTRITO DE AWAJUN - PROVINCIA DE RIOJA - DEPARTAMENTO DE SAN MARTIN"/>
    <s v="COMUNIDADES NATIVAS"/>
    <x v="1"/>
    <x v="1"/>
    <s v="MUNICIPALIDAD DISTRITAL DE AWAJUN"/>
    <s v="CANON Y SOBRECANON, REGALIAS, RENTA DE ADUANAS Y PARTICIPACIONES"/>
    <x v="1"/>
    <x v="7"/>
    <x v="1"/>
    <n v="500000"/>
    <n v="6406945"/>
    <n v="575225"/>
    <m/>
    <m/>
    <n v="7482170"/>
  </r>
  <r>
    <s v="PUBLICO"/>
    <s v="TURISMO"/>
    <n v="171052"/>
    <s v="ACONDICIONAMIENTO TURISTICO DE LA LAGUNA SAUCE - DISTRITO SAUCE - REGION SAN MARTIN"/>
    <s v="SERVICIOS TURISTICOS"/>
    <x v="0"/>
    <x v="0"/>
    <s v="REGION SAN MARTIN-SEDE CENTRAL"/>
    <s v="RECURSOS ORDINARIOS"/>
    <x v="0"/>
    <x v="0"/>
    <x v="0"/>
    <n v="200000"/>
    <n v="2"/>
    <n v="2"/>
    <n v="5144614.5999999996"/>
    <n v="5144614.5999999996"/>
    <n v="10489233.199999999"/>
  </r>
  <r>
    <s v="PUBLICO"/>
    <s v="TURISMO"/>
    <n v="196795"/>
    <s v="MEJORAMIENTO DE CAPACIDADES PARA LA PROMOCION TURISTICA EN EL DISTRITO DE LAMAS , PROVINCIA DE LAMAS - SAN MARTIN"/>
    <s v="SERVICIOS TURISTICOS"/>
    <x v="0"/>
    <x v="0"/>
    <s v="MUNICIPALIDAD PROVINCIAL DE LAMAS"/>
    <s v="FONDO DE COMPENSACION MUNICIPAL"/>
    <x v="1"/>
    <x v="0"/>
    <x v="0"/>
    <n v="326560"/>
    <n v="0"/>
    <n v="0"/>
    <n v="0"/>
    <n v="0"/>
    <n v="326560"/>
  </r>
  <r>
    <s v="PUBLICO"/>
    <s v="TURISMO"/>
    <n v="259317"/>
    <s v="MEJORAMIENTO DE LOS SERVICIOS TURISTICOS PUBLICOS EN EL MORRO DE CALZADA, DISTRITO DE CALZADA, PROVINCIA DE MOYOBAMBA, DEPARTAMENTO DE SAN MARTIN"/>
    <s v="SERVICIOS TURISTICOS"/>
    <x v="0"/>
    <x v="0"/>
    <s v="PLAN COPESCO"/>
    <s v="RECURSOS ORDINARIOS"/>
    <x v="2"/>
    <x v="0"/>
    <x v="0"/>
    <n v="36768"/>
    <n v="0"/>
    <n v="0"/>
    <m/>
    <m/>
    <n v="36768"/>
  </r>
  <r>
    <s v="PUBLICO"/>
    <s v="TURISMO"/>
    <n v="266882"/>
    <s v="MEJORAMIENTO DE LOS SERVICIOS TURISTICOS PUBLICOS DEL RECORRIDO TURISTICO DE LA LOCALIDAD DE LAMAS Y EL BARRIO KECHWA NATIVO WAYKU, PROVINCIA DE LAMAS, REGION SAN MARTIN"/>
    <s v="SERVICIOS TURISTICOS"/>
    <x v="0"/>
    <x v="0"/>
    <s v="PLAN COPESCO"/>
    <s v="RECURSOS ORDINARIOS"/>
    <x v="2"/>
    <x v="0"/>
    <x v="0"/>
    <n v="0"/>
    <n v="0"/>
    <n v="0"/>
    <n v="17095973.510000002"/>
    <n v="17095973.510000002"/>
    <n v="34191947.020000003"/>
  </r>
  <r>
    <s v="PUBLICO"/>
    <s v="TURISMO"/>
    <n v="284428"/>
    <s v="INSTALACION DEL CIRCUITO TURISTICO DEL COMPLEJO ARQUEOLOGICO DE GUAYAQUIL, DISTRITO DE NUEVA CAJAMARCA - RIOJA - SAN MARTIN"/>
    <s v="SERVICIOS TURISTICOS"/>
    <x v="0"/>
    <x v="0"/>
    <s v="MUNICIPALIDAD DISTRITAL DE NUEVA CAJAMARCA"/>
    <s v="FONDO DE COMPENSACION MUNICIPAL"/>
    <x v="1"/>
    <x v="0"/>
    <x v="0"/>
    <n v="275044"/>
    <n v="0"/>
    <n v="0"/>
    <n v="4434260.3600000003"/>
    <n v="4434260.3600000003"/>
    <n v="9143564.7200000007"/>
  </r>
  <r>
    <s v="PUBLICO"/>
    <s v="TURISMO"/>
    <n v="310454"/>
    <s v="MEJORAMIENTO DEL SERVICIO TURISTICO DE LA CASCADA SANTA CRUZ, EN EL CENTRO POBLADO DE SANTA CRUZ, DISTRITO DE NUEVO PROGRESO - TOCACHE - SAN MARTIN"/>
    <s v="SERVICIOS TURISTICOS"/>
    <x v="0"/>
    <x v="2"/>
    <s v="MUNICIPALIDAD DISTRITAL DE NUEVO PROGRESO"/>
    <s v="CANON Y SOBRECANON, REGALIAS, RENTA DE ADUANAS Y PARTICIPACIONES"/>
    <x v="1"/>
    <x v="1"/>
    <x v="3"/>
    <n v="0"/>
    <n v="280970"/>
    <n v="0"/>
    <m/>
    <m/>
    <n v="280970"/>
  </r>
  <r>
    <s v="PUBLICO"/>
    <s v="TURISMO"/>
    <n v="356671"/>
    <s v="CREACION DEL SERVICIO TURISTICO PUBLICO DE DISFRUTE DEL PAISAJE, EN EL MIRADOR NATURAL ALTO AHUASHIYACU, DISTRITO DE LA BANDA DE SHILCAYO, PROVINCIA DE SAN MARTIN, DEPARTAMENTO DE SAN MARTIN"/>
    <s v="SERVICIOS TURISTICOS"/>
    <x v="0"/>
    <x v="0"/>
    <s v="REGION SAN MARTIN-SEDE CENTRAL"/>
    <s v="RECURSOS ORDINARIOS"/>
    <x v="0"/>
    <x v="0"/>
    <x v="0"/>
    <n v="2784894"/>
    <n v="2784894"/>
    <n v="0"/>
    <n v="0"/>
    <n v="0"/>
    <n v="5569788"/>
  </r>
  <r>
    <s v="PUBLICO"/>
    <s v="TURISMO"/>
    <n v="356720"/>
    <s v="CREACION DEL SERVICIO TURISTICO DE DISFRUTE DEL PAISAJE, EN EL MIRADOR NATURAL DEL GALLINAZO, DISTRITO DE CABO ALBERTO LEVEAU, PROVINCIA DE SAN MARTIN, DEPARTAMENTO DE SAN MARTIN"/>
    <s v="SERVICIOS TURISTICOS"/>
    <x v="0"/>
    <x v="0"/>
    <s v="REGION SAN MARTIN-SEDE CENTRAL"/>
    <s v="RECURSOS ORDINARIOS"/>
    <x v="0"/>
    <x v="0"/>
    <x v="0"/>
    <n v="2714176"/>
    <n v="1809451"/>
    <n v="0"/>
    <n v="0"/>
    <n v="0"/>
    <n v="4523627"/>
  </r>
  <r>
    <s v="PUBLICO"/>
    <s v="TURISMO"/>
    <n v="364580"/>
    <s v="MEJORAMIENTO DE LOS SERVICIOS TURÍSTICOS PÚBLICOS EN LA RESERVA ECOLÓGICA SANTA ELENA DISTRITO DE POSIC, PROVINCIA DE RIOJA, DEPARTAMENTO DE SAN MARTÍN"/>
    <s v="SERVICIOS TURISTICOS"/>
    <x v="0"/>
    <x v="0"/>
    <s v="REGION SAN MARTIN-SEDE CENTRAL"/>
    <s v="RECURSOS ORDINARIOS"/>
    <x v="0"/>
    <x v="0"/>
    <x v="0"/>
    <n v="1500000"/>
    <n v="4922564"/>
    <n v="0"/>
    <n v="126998"/>
    <n v="126998"/>
    <n v="6676560"/>
  </r>
  <r>
    <s v="PUBLICO"/>
    <s v="TURISMO"/>
    <n v="366160"/>
    <s v="MEJORAMIENTO DE LOS SERVICIOS TURÍSTICOS PÚBLICOS DE LAS CATARATAS DE CARPISHUYACU , DISTRITO DE LA BANDA DE SHILCAYO, PROVINCIA DE SAN MARTÍN, DEPARTAMENTO SAN MARTÍN"/>
    <s v="SERVICIOS TURISTICOS"/>
    <x v="0"/>
    <x v="0"/>
    <s v="REGION SAN MARTIN-SEDE CENTRAL"/>
    <s v="RECURSOS ORDINARIOS"/>
    <x v="0"/>
    <x v="0"/>
    <x v="0"/>
    <n v="5077487"/>
    <n v="0"/>
    <n v="0"/>
    <n v="0"/>
    <n v="0"/>
    <n v="5077487"/>
  </r>
  <r>
    <s v="PUBLICO"/>
    <s v="TURISMO"/>
    <n v="2426932"/>
    <s v="MEJORAMIENTO DE LOS SERVICIOS TURÍSTICOS DE LAS ORGANIZACIONES DE LA CADENA DE VALOR TURÍSTICA  A TRAVES DE LA PROMOCION DE LOS 4 DESTINOS REGIONALES, EN 4 PROVINCIAS DEL DEPARTAMENTO DE SAN MARTIN"/>
    <s v="SERVICIOS TURISTICOS"/>
    <x v="0"/>
    <x v="0"/>
    <s v="REGION SAN MARTIN-SEDE CENTRAL"/>
    <s v="RECURSOS ORDINARIOS"/>
    <x v="0"/>
    <x v="0"/>
    <x v="0"/>
    <n v="687324"/>
    <n v="0"/>
    <n v="0"/>
    <n v="0"/>
    <n v="0"/>
    <n v="687324"/>
  </r>
  <r>
    <s v="PUBLICO"/>
    <s v="TURISMO"/>
    <n v="2437193"/>
    <s v="MEJORAMIENTO DE LOS SERVICIOS PÚBLICOS, TURÍSTICOS CULTURALES, DEPORTIVOS, EDUCATIVOS Y DE SALUD EN LAS LOCALIDADES DEL  DISTRITO DE PAJARILLO - PROVINCIA DE MARISCAL CACERES - DEPARTAMENTO DE SAN MARTIN"/>
    <s v="SERVICIOS TURISTICOS"/>
    <x v="0"/>
    <x v="0"/>
    <s v="MUNICIPALIDAD DISTRITAL DE PAJARILLO"/>
    <s v="FONDO DE COMPENSACION MUNICIPAL"/>
    <x v="1"/>
    <x v="0"/>
    <x v="0"/>
    <n v="231004"/>
    <n v="231004"/>
    <n v="1"/>
    <n v="28947.255000000001"/>
    <n v="28947.255000000001"/>
    <n v="519903.51"/>
  </r>
  <r>
    <s v="PUBLICO"/>
    <s v="TURISMO"/>
    <n v="2439189"/>
    <s v="MEJORAMIENTO DE LOS SERVICIOS PÚBLICOS CULTURALES, DEPORTIVOS, TURÍSTICOS, EDUCATIVOS Y DE SALUD EN LAS LOCALIDADES DEL  DISTRITO DE HUICUNGO - PROVINCIA DE MARISCAL CACERES - DEPARTAMENTO DE SAN MARTIN"/>
    <s v="SERVICIOS TURISTICOS"/>
    <x v="0"/>
    <x v="0"/>
    <s v="MUNICIPALIDAD DISTRITAL DE HUICUNGO"/>
    <s v="FONDO DE COMPENSACION MUNICIPAL"/>
    <x v="1"/>
    <x v="0"/>
    <x v="0"/>
    <n v="1069116"/>
    <n v="1069116"/>
    <n v="30000"/>
    <n v="405130.81500000006"/>
    <n v="405130.81500000006"/>
    <n v="2978493.63"/>
  </r>
  <r>
    <s v="PUBLICO"/>
    <s v="TURISMO"/>
    <n v="2455278"/>
    <s v="CREACION DE SERVICIOS TURISTICOS PUBLICOS DEL CORREDOR TURÍSTICO DE LA CUEVA DE CUNCHIHUILLO DEL  DISTRITO DE JUANJUI - PROVINCIA DE MARISCAL CACERES - DEPARTAMENTO DE SAN MARTIN"/>
    <s v="SERVICIOS TURISTICOS"/>
    <x v="0"/>
    <x v="0"/>
    <s v="MUNICIPALIDAD PROVINCIAL DE MARISCAL CACERES - JUANJUI"/>
    <n v="0"/>
    <x v="1"/>
    <x v="0"/>
    <x v="0"/>
    <n v="400000"/>
    <n v="401150"/>
    <n v="300000"/>
    <n v="0"/>
    <n v="0"/>
    <n v="1101150"/>
  </r>
  <r>
    <s v="PUBLICO"/>
    <s v="VIVIENDA"/>
    <n v="311300"/>
    <s v="CREACION DEL CENTRO DE SERVICIOS - TAMBO EN EL CENTRO POBLADO DE DOS DE MAYO, DISTRITO HUICUNGO, PROVINCIA MARISCAL CACERES, DEPARTAMENTO SAN MARTIN"/>
    <s v="TAMBO"/>
    <x v="1"/>
    <x v="1"/>
    <s v="MINISTERIO DE VIVIENDA, CONSTRUCCION Y SANEAMIENTO- ADM. GENERAL"/>
    <n v="0"/>
    <x v="2"/>
    <x v="1"/>
    <x v="2"/>
    <n v="0"/>
    <n v="0"/>
    <n v="0"/>
    <n v="597826.25"/>
    <n v="597826.25"/>
    <n v="1195652.5"/>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
  <r>
    <s v="PRIVADO"/>
    <s v="DESARROLLO ESTRATÉGICO, CONSERVACIÓN Y APROVECHAMIENTO SOSTENIBLE DEL PATRIMONIO NATURAL"/>
    <s v="PE-G1003"/>
    <s v="Proyectos de Inversión Forestal Perú (BID)"/>
    <s v="SERVICIOS AMBIENTALES"/>
    <x v="0"/>
    <x v="0"/>
    <s v="Programa Nacional de Conservación de Bosques para la Mitigación del cambio climático"/>
    <s v="Intervenciones transversales x  región"/>
    <x v="0"/>
    <n v="668192.75651966501"/>
    <n v="668192.75651966501"/>
    <n v="668192.75651966501"/>
    <n v="668192.75651966501"/>
    <n v="668192.75651966501"/>
    <n v="3340963.7825983251"/>
  </r>
  <r>
    <s v="PRIVADO"/>
    <s v="DESARROLLO ESTRATÉGICO, CONSERVACIÓN Y APROVECHAMIENTO SOSTENIBLE DEL PATRIMONIO NATURAL"/>
    <s v="PE-G1003"/>
    <s v="Proyectos de Inversión Forestal Perú (BID)"/>
    <s v="SERVICIOS AMBIENTALES"/>
    <x v="0"/>
    <x v="0"/>
    <s v="Programa Nacional de Conservación de Bosques para la Mitigación del cambio climático"/>
    <s v="Intervenciones transversales x UDT"/>
    <x v="1"/>
    <n v="365459.73273679102"/>
    <n v="365459.73273679102"/>
    <n v="365459.73273679102"/>
    <n v="365459.73273679102"/>
    <n v="365459.73273679102"/>
    <n v="1827298.6636839551"/>
  </r>
  <r>
    <s v="PRIVADO"/>
    <s v="DESARROLLO ESTRATÉGICO, CONSERVACIÓN Y APROVECHAMIENTO SOSTENIBLE DEL PATRIMONIO NATURAL"/>
    <s v="PE-G1003"/>
    <s v="Proyectos de Inversión Forestal Perú (BID)"/>
    <s v="SERVICIOS AMBIENTALES"/>
    <x v="0"/>
    <x v="0"/>
    <s v="Programa Nacional de Conservación de Bosques para la Mitigación del cambio climático"/>
    <s v="BOSQUE DE PROTECCION ALTO MAYO"/>
    <x v="2"/>
    <n v="52273.711283751203"/>
    <n v="52273.711283751203"/>
    <n v="52273.711283751203"/>
    <n v="52273.711283751203"/>
    <n v="52273.711283751203"/>
    <n v="261368.55641875602"/>
  </r>
  <r>
    <s v="PRIVADO"/>
    <s v="DESARROLLO ESTRATÉGICO, CONSERVACIÓN Y APROVECHAMIENTO SOSTENIBLE DEL PATRIMONIO NATURAL"/>
    <s v="PE-G1003"/>
    <s v="Proyectos de Inversión Forestal Perú (BID)"/>
    <s v="SERVICIOS AMBIENTALES"/>
    <x v="0"/>
    <x v="0"/>
    <s v="Programa Nacional de Conservación de Bosques para la Mitigación del cambio climático"/>
    <s v="Intervenciones transversales x UDT"/>
    <x v="2"/>
    <n v="903789.86709970096"/>
    <n v="903789.86709970096"/>
    <n v="903789.86709970096"/>
    <n v="903789.86709970096"/>
    <n v="903789.86709970096"/>
    <n v="4518949.3354985043"/>
  </r>
  <r>
    <s v="PRIVADO"/>
    <s v="DESARROLLO ESTRATÉGICO, CONSERVACIÓN Y APROVECHAMIENTO SOSTENIBLE DEL PATRIMONIO NATURAL"/>
    <s v="PE-G1003"/>
    <s v="Proyectos de Inversión Forestal Perú (BID)"/>
    <s v="SERVICIOS AMBIENTALES"/>
    <x v="0"/>
    <x v="0"/>
    <s v="Programa Nacional de Conservación de Bosques para la Mitigación del cambio climático"/>
    <s v="Intervenciones transversales x UDT"/>
    <x v="3"/>
    <n v="204258.349859604"/>
    <n v="204258.349859604"/>
    <n v="204258.349859604"/>
    <n v="204258.349859604"/>
    <n v="204258.349859604"/>
    <n v="1021291.74929802"/>
  </r>
  <r>
    <s v="PRIVADO"/>
    <s v="DESARROLLO ESTRATÉGICO, CONSERVACIÓN Y APROVECHAMIENTO SOSTENIBLE DEL PATRIMONIO NATURAL"/>
    <s v="PE-G1003"/>
    <s v="Proyectos de Inversión Forestal Perú (BID)"/>
    <s v="SERVICIOS AMBIENTALES"/>
    <x v="0"/>
    <x v="0"/>
    <s v="Programa Nacional de Conservación de Bosques para la Mitigación del cambio climático"/>
    <s v="PARQUE NACIONAL CORDILLERA AZUL"/>
    <x v="4"/>
    <n v="56436.147445952702"/>
    <n v="56436.147445952702"/>
    <n v="56436.147445952702"/>
    <n v="56436.147445952702"/>
    <n v="56436.147445952702"/>
    <n v="282180.73722976353"/>
  </r>
  <r>
    <s v="PRIVADO"/>
    <s v="DESARROLLO ESTRATÉGICO, CONSERVACIÓN Y APROVECHAMIENTO SOSTENIBLE DEL PATRIMONIO NATURAL"/>
    <s v="PE-G1003"/>
    <s v="Proyectos de Inversión Forestal Perú (BID)"/>
    <s v="SERVICIOS AMBIENTALES"/>
    <x v="0"/>
    <x v="0"/>
    <s v="Programa Nacional de Conservación de Bosques para la Mitigación del cambio climático"/>
    <s v="Intervenciones transversales x UDT"/>
    <x v="4"/>
    <n v="1545577.28838787"/>
    <n v="1545577.28838787"/>
    <n v="1545577.28838787"/>
    <n v="1545577.28838787"/>
    <n v="1545577.28838787"/>
    <n v="7727886.4419393502"/>
  </r>
  <r>
    <s v="PRIVADO"/>
    <s v="DESARROLLO ESTRATÉGICO, CONSERVACIÓN Y APROVECHAMIENTO SOSTENIBLE DEL PATRIMONIO NATURAL"/>
    <s v="PE-L1232"/>
    <s v="Intercambio de Experiencias sobre la Masificación del Uso del Comprobante de Pago Electrónico (BID)"/>
    <s v="SERVICIOS AMBIENTALES"/>
    <x v="0"/>
    <x v="0"/>
    <s v="Programa Nacional de Conservación de Bosques para la Mitigación del cambio climático"/>
    <s v="Intervenciones transversales x  región"/>
    <x v="0"/>
    <n v="695936.60049685405"/>
    <n v="695936.60049685405"/>
    <n v="695936.60049685405"/>
    <n v="695936.60049685405"/>
    <n v="695936.60049685405"/>
    <n v="3479683.0024842704"/>
  </r>
  <r>
    <s v="PRIVADO"/>
    <s v="DESARROLLO ESTRATÉGICO, CONSERVACIÓN Y APROVECHAMIENTO SOSTENIBLE DEL PATRIMONIO NATURAL"/>
    <s v="PE-L1232"/>
    <s v="Intercambio de Experiencias sobre la Masificación del Uso del Comprobante de Pago Electrónico (BID)"/>
    <s v="SERVICIOS AMBIENTALES"/>
    <x v="0"/>
    <x v="0"/>
    <s v="Programa Nacional de Conservación de Bosques para la Mitigación del cambio climático"/>
    <s v="Intervenciones transversales x UDT"/>
    <x v="1"/>
    <n v="380633.88376740902"/>
    <n v="380633.88376740902"/>
    <n v="380633.88376740902"/>
    <n v="380633.88376740902"/>
    <n v="380633.88376740902"/>
    <n v="1903169.4188370451"/>
  </r>
  <r>
    <s v="PRIVADO"/>
    <s v="DESARROLLO ESTRATÉGICO, CONSERVACIÓN Y APROVECHAMIENTO SOSTENIBLE DEL PATRIMONIO NATURAL"/>
    <s v="PE-L1232"/>
    <s v="Intercambio de Experiencias sobre la Masificación del Uso del Comprobante de Pago Electrónico (BID)"/>
    <s v="SERVICIOS AMBIENTALES"/>
    <x v="0"/>
    <x v="0"/>
    <s v="Programa Nacional de Conservación de Bosques para la Mitigación del cambio climático"/>
    <s v="BOSQUE DE PROTECCION ALTO MAYO"/>
    <x v="2"/>
    <n v="54444.153384199701"/>
    <n v="54444.153384199701"/>
    <n v="54444.153384199701"/>
    <n v="54444.153384199701"/>
    <n v="54444.153384199701"/>
    <n v="272220.76692099852"/>
  </r>
  <r>
    <s v="PRIVADO"/>
    <s v="DESARROLLO ESTRATÉGICO, CONSERVACIÓN Y APROVECHAMIENTO SOSTENIBLE DEL PATRIMONIO NATURAL"/>
    <s v="PE-L1232"/>
    <s v="Intercambio de Experiencias sobre la Masificación del Uso del Comprobante de Pago Electrónico (BID)"/>
    <s v="SERVICIOS AMBIENTALES"/>
    <x v="0"/>
    <x v="0"/>
    <s v="Programa Nacional de Conservación de Bosques para la Mitigación del cambio climático"/>
    <s v="Intervenciones transversales x UDT"/>
    <x v="2"/>
    <n v="941315.87260682601"/>
    <n v="941315.87260682601"/>
    <n v="941315.87260682601"/>
    <n v="941315.87260682601"/>
    <n v="941315.87260682601"/>
    <n v="4706579.3630341301"/>
  </r>
  <r>
    <s v="PRIVADO"/>
    <s v="DESARROLLO ESTRATÉGICO, CONSERVACIÓN Y APROVECHAMIENTO SOSTENIBLE DEL PATRIMONIO NATURAL"/>
    <s v="PE-L1232"/>
    <s v="Intercambio de Experiencias sobre la Masificación del Uso del Comprobante de Pago Electrónico (BID)"/>
    <s v="SERVICIOS AMBIENTALES"/>
    <x v="0"/>
    <x v="0"/>
    <s v="Programa Nacional de Conservación de Bosques para la Mitigación del cambio climático"/>
    <s v="Intervenciones transversales x UDT"/>
    <x v="3"/>
    <n v="212739.30349798099"/>
    <n v="212739.30349798099"/>
    <n v="212739.30349798099"/>
    <n v="212739.30349798099"/>
    <n v="212739.30349798099"/>
    <n v="1063696.517489905"/>
  </r>
  <r>
    <s v="PRIVADO"/>
    <s v="DESARROLLO ESTRATÉGICO, CONSERVACIÓN Y APROVECHAMIENTO SOSTENIBLE DEL PATRIMONIO NATURAL"/>
    <s v="PE-L1233"/>
    <s v="Intercambio de Experiencias sobre la Masificación del Uso del Comprobante de Pago Electrónico (BID)"/>
    <s v="SERVICIOS AMBIENTALES"/>
    <x v="0"/>
    <x v="0"/>
    <s v="Programa Nacional de Conservación de Bosques para la Mitigación del cambio climático"/>
    <s v="PARQUE NACIONAL CORDILLERA AZUL"/>
    <x v="4"/>
    <n v="58779.416890490596"/>
    <n v="58779.416890490596"/>
    <n v="58779.416890490596"/>
    <n v="58779.416890490596"/>
    <n v="58779.416890490596"/>
    <n v="293897.08445245295"/>
  </r>
  <r>
    <s v="PRIVADO"/>
    <s v="DESARROLLO ESTRATÉGICO, CONSERVACIÓN Y APROVECHAMIENTO SOSTENIBLE DEL PATRIMONIO NATURAL"/>
    <s v="PE-L1234"/>
    <s v="Intercambio de Experiencias sobre la Masificación del Uso del Comprobante de Pago Electrónico (BID)"/>
    <s v="SERVICIOS AMBIENTALES"/>
    <x v="0"/>
    <x v="0"/>
    <s v="Programa Nacional de Conservación de Bosques para la Mitigación del cambio climático"/>
    <s v="Intervenciones transversales x UDT"/>
    <x v="4"/>
    <n v="1609750.7693562401"/>
    <n v="1609750.7693562401"/>
    <n v="1609750.7693562401"/>
    <n v="1609750.7693562401"/>
    <n v="1609750.7693562401"/>
    <n v="8048753.8467811998"/>
  </r>
  <r>
    <s v="PRIVADO"/>
    <s v="DESARROLLO ESTRATÉGICO, CONSERVACIÓN Y APROVECHAMIENTO SOSTENIBLE DEL PATRIMONIO NATURAL"/>
    <s v="9374"/>
    <s v="Securing the Future of Peru's Natural Protected Areas (FMAM)"/>
    <s v="SERVICIOS AMBIENTALES"/>
    <x v="0"/>
    <x v="0"/>
    <s v="SERNANP / PROFONANPE"/>
    <s v="Intervenciones transversales x  región"/>
    <x v="0"/>
    <n v="549578.29167124606"/>
    <n v="328678.69409407402"/>
    <n v="53525.647981027003"/>
    <n v="0"/>
    <n v="0"/>
    <n v="931782.63374634704"/>
  </r>
  <r>
    <s v="PRIVADO"/>
    <s v="DESARROLLO ESTRATÉGICO, CONSERVACIÓN Y APROVECHAMIENTO SOSTENIBLE DEL PATRIMONIO NATURAL"/>
    <s v="9374"/>
    <s v="Securing the Future of Peru's Natural Protected Areas (FMAM)"/>
    <s v="SERVICIOS AMBIENTALES"/>
    <x v="0"/>
    <x v="0"/>
    <s v="SERNANP / PROFONANPE"/>
    <s v="Intervenciones transversales x UDT"/>
    <x v="1"/>
    <n v="300585.02375609701"/>
    <n v="179766.73127309201"/>
    <n v="29275.1886560356"/>
    <n v="0"/>
    <n v="0"/>
    <n v="509626.94368522463"/>
  </r>
  <r>
    <s v="PRIVADO"/>
    <s v="DESARROLLO ESTRATÉGICO, CONSERVACIÓN Y APROVECHAMIENTO SOSTENIBLE DEL PATRIMONIO NATURAL"/>
    <s v="9374"/>
    <s v="Securing the Future of Peru's Natural Protected Areas (FMAM)"/>
    <s v="SERVICIOS AMBIENTALES"/>
    <x v="0"/>
    <x v="0"/>
    <s v="SERNANP / PROFONANPE"/>
    <s v="BOSQUE DE PROTECCION ALTO MAYO"/>
    <x v="2"/>
    <n v="42994.325613876099"/>
    <n v="25713.022166962601"/>
    <n v="4187.3909011067799"/>
    <n v="0"/>
    <n v="0"/>
    <n v="72894.73868194547"/>
  </r>
  <r>
    <s v="PRIVADO"/>
    <s v="DESARROLLO ESTRATÉGICO, CONSERVACIÓN Y APROVECHAMIENTO SOSTENIBLE DEL PATRIMONIO NATURAL"/>
    <s v="9374"/>
    <s v="Securing the Future of Peru's Natural Protected Areas (FMAM)"/>
    <s v="SERVICIOS AMBIENTALES"/>
    <x v="0"/>
    <x v="0"/>
    <s v="SERNANP / PROFONANPE"/>
    <s v="Intervenciones transversales x UDT"/>
    <x v="2"/>
    <n v="743353.30089113"/>
    <n v="444567.03601671499"/>
    <n v="72398.1782250494"/>
    <n v="0"/>
    <n v="0"/>
    <n v="1260318.5151328943"/>
  </r>
  <r>
    <s v="PRIVADO"/>
    <s v="DESARROLLO ESTRATÉGICO, CONSERVACIÓN Y APROVECHAMIENTO SOSTENIBLE DEL PATRIMONIO NATURAL"/>
    <s v="9374"/>
    <s v="Securing the Future of Peru's Natural Protected Areas (FMAM)"/>
    <s v="SERVICIOS AMBIENTALES"/>
    <x v="0"/>
    <x v="0"/>
    <s v="SERNANP / PROFONANPE"/>
    <s v="Intervenciones transversales x UDT"/>
    <x v="3"/>
    <n v="167999.35928686601"/>
    <n v="100473.055169506"/>
    <n v="16362.1356638409"/>
    <n v="0"/>
    <n v="0"/>
    <n v="284834.55012021295"/>
  </r>
  <r>
    <s v="PRIVADO"/>
    <s v="DESARROLLO ESTRATÉGICO, CONSERVACIÓN Y APROVECHAMIENTO SOSTENIBLE DEL PATRIMONIO NATURAL"/>
    <s v="9374"/>
    <s v="Securing the Future of Peru's Natural Protected Areas (FMAM)"/>
    <s v="SERVICIOS AMBIENTALES"/>
    <x v="0"/>
    <x v="0"/>
    <s v="SERNANP / PROFONANPE"/>
    <s v="PARQUE NACIONAL CORDILLERA AZUL"/>
    <x v="4"/>
    <n v="46417.865502468099"/>
    <n v="27760.491357093"/>
    <n v="4520.8232686199299"/>
    <n v="0"/>
    <n v="0"/>
    <n v="78699.180128181033"/>
  </r>
  <r>
    <s v="PRIVADO"/>
    <s v="DESARROLLO ESTRATÉGICO, CONSERVACIÓN Y APROVECHAMIENTO SOSTENIBLE DEL PATRIMONIO NATURAL"/>
    <s v="9374"/>
    <s v="Securing the Future of Peru's Natural Protected Areas (FMAM)"/>
    <s v="SERVICIOS AMBIENTALES"/>
    <x v="0"/>
    <x v="0"/>
    <s v="SERNANP / PROFONANPE"/>
    <s v="Intervenciones transversales x UDT"/>
    <x v="4"/>
    <n v="1271213.6094116501"/>
    <n v="760257.15605588595"/>
    <n v="123808.62417098699"/>
    <n v="0"/>
    <n v="0"/>
    <n v="2155279.3896385231"/>
  </r>
  <r>
    <s v="PRIVADO"/>
    <s v="DESARROLLO ESTRATÉGICO, CONSERVACIÓN Y APROVECHAMIENTO SOSTENIBLE DEL PATRIMONIO NATURAL"/>
    <s v="96495"/>
    <s v="Declaración Conjunta de Intención de los Gobiernos de la República del Perú, Reino de Noruega, la República Federal de Alemania. (PNUD)"/>
    <s v="SERVICIOS AMBIENTALES"/>
    <x v="0"/>
    <x v="0"/>
    <s v="MINAM"/>
    <s v="Intervenciones transversales x  región"/>
    <x v="0"/>
    <n v="740984.62324991298"/>
    <n v="0"/>
    <n v="0"/>
    <n v="0"/>
    <n v="0"/>
    <n v="740984.62324991298"/>
  </r>
  <r>
    <s v="PRIVADO"/>
    <s v="DESARROLLO ESTRATÉGICO, CONSERVACIÓN Y APROVECHAMIENTO SOSTENIBLE DEL PATRIMONIO NATURAL"/>
    <s v="96495"/>
    <s v="Declaración Conjunta de Intención de los Gobiernos de la República del Perú, Reino de Noruega, la República Federal de Alemania. (PNUD)"/>
    <s v="SERVICIOS AMBIENTALES"/>
    <x v="0"/>
    <x v="0"/>
    <s v="MINAM"/>
    <s v="Intervenciones transversales x UDT"/>
    <x v="1"/>
    <n v="405272.34055254899"/>
    <n v="0"/>
    <n v="0"/>
    <n v="0"/>
    <n v="0"/>
    <n v="405272.34055254899"/>
  </r>
  <r>
    <s v="PRIVADO"/>
    <s v="DESARROLLO ESTRATÉGICO, CONSERVACIÓN Y APROVECHAMIENTO SOSTENIBLE DEL PATRIMONIO NATURAL"/>
    <s v="96495"/>
    <s v="Declaración Conjunta de Intención de los Gobiernos de la República del Perú, Reino de Noruega, la República Federal de Alemania. (PNUD)"/>
    <s v="SERVICIOS AMBIENTALES"/>
    <x v="0"/>
    <x v="0"/>
    <s v="MINAM"/>
    <s v="BOSQUE DE PROTECCION ALTO MAYO"/>
    <x v="2"/>
    <n v="57968.3270785727"/>
    <n v="0"/>
    <n v="0"/>
    <n v="0"/>
    <n v="0"/>
    <n v="57968.3270785727"/>
  </r>
  <r>
    <s v="PRIVADO"/>
    <s v="DESARROLLO ESTRATÉGICO, CONSERVACIÓN Y APROVECHAMIENTO SOSTENIBLE DEL PATRIMONIO NATURAL"/>
    <s v="96495"/>
    <s v="Declaración Conjunta de Intención de los Gobiernos de la República del Perú, Reino de Noruega, la República Federal de Alemania. (PNUD)"/>
    <s v="SERVICIOS AMBIENTALES"/>
    <x v="0"/>
    <x v="0"/>
    <s v="MINAM"/>
    <s v="Intervenciones transversales x UDT"/>
    <x v="2"/>
    <n v="1002247.31207521"/>
    <n v="0"/>
    <n v="0"/>
    <n v="0"/>
    <n v="0"/>
    <n v="1002247.31207521"/>
  </r>
  <r>
    <s v="PRIVADO"/>
    <s v="DESARROLLO ESTRATÉGICO, CONSERVACIÓN Y APROVECHAMIENTO SOSTENIBLE DEL PATRIMONIO NATURAL"/>
    <s v="96495"/>
    <s v="Declaración Conjunta de Intención de los Gobiernos de la República del Perú, Reino de Noruega, la República Federal de Alemania. (PNUD)"/>
    <s v="SERVICIOS AMBIENTALES"/>
    <x v="0"/>
    <x v="0"/>
    <s v="MINAM"/>
    <s v="Intervenciones transversales x UDT"/>
    <x v="3"/>
    <n v="226509.932859341"/>
    <n v="0"/>
    <n v="0"/>
    <n v="0"/>
    <n v="0"/>
    <n v="226509.932859341"/>
  </r>
  <r>
    <s v="PRIVADO"/>
    <s v="DESARROLLO ESTRATÉGICO, CONSERVACIÓN Y APROVECHAMIENTO SOSTENIBLE DEL PATRIMONIO NATURAL"/>
    <s v="96495"/>
    <s v="Declaración Conjunta de Intención de los Gobiernos de la República del Perú, Reino de Noruega, la República Federal de Alemania. (PNUD)"/>
    <s v="SERVICIOS AMBIENTALES"/>
    <x v="0"/>
    <x v="0"/>
    <s v="MINAM"/>
    <s v="PARQUE NACIONAL CORDILLERA AZUL"/>
    <x v="4"/>
    <n v="62584.212481933697"/>
    <n v="0"/>
    <n v="0"/>
    <n v="0"/>
    <n v="0"/>
    <n v="62584.212481933697"/>
  </r>
  <r>
    <s v="PRIVADO"/>
    <s v="DESARROLLO ESTRATÉGICO, CONSERVACIÓN Y APROVECHAMIENTO SOSTENIBLE DEL PATRIMONIO NATURAL"/>
    <s v="96495"/>
    <s v="Declaración Conjunta de Intención de los Gobiernos de la República del Perú, Reino de Noruega, la República Federal de Alemania. (PNUD)"/>
    <s v="SERVICIOS AMBIENTALES"/>
    <x v="0"/>
    <x v="0"/>
    <s v="MINAM"/>
    <s v="Intervenciones transversales x UDT"/>
    <x v="4"/>
    <n v="1713950.04445248"/>
    <n v="0"/>
    <n v="0"/>
    <n v="0"/>
    <n v="0"/>
    <n v="1713950.04445248"/>
  </r>
  <r>
    <s v="PRIVADO"/>
    <s v="CIENCIA Y TECNOLOGIA"/>
    <s v="2000002257"/>
    <s v="Mejoramiento y Ampliación de los Servicios Públicos para el Desarrollo Productivo Local en los Ámbitos de la Sierra y Selva del Perú (FIDA)"/>
    <s v="ASISTENCIA TECNICA"/>
    <x v="1"/>
    <x v="1"/>
    <s v="MINAGRI"/>
    <s v="PEQUEÑOS PREDIOS PRIVADOS AGRARIOS"/>
    <x v="1"/>
    <n v="271956.46329422598"/>
    <n v="498586.849372747"/>
    <n v="498586.849372747"/>
    <n v="498586.849372747"/>
    <n v="498586.849372747"/>
    <n v="2266303.8607852138"/>
  </r>
  <r>
    <s v="PRIVADO"/>
    <s v="CIENCIA Y TECNOLOGIA"/>
    <s v="2000002257"/>
    <s v="Mejoramiento y Ampliación de los Servicios Públicos para el Desarrollo Productivo Local en los Ámbitos de la Sierra y Selva del Perú (FIDA)"/>
    <s v="ASISTENCIA TECNICA"/>
    <x v="1"/>
    <x v="1"/>
    <s v="MINAGRI"/>
    <s v="PEQUEÑOS PREDIOS PRIVADOS AGRARIOS"/>
    <x v="2"/>
    <n v="271801.29022504599"/>
    <n v="498302.36541258497"/>
    <n v="498302.36541258497"/>
    <n v="498302.36541258497"/>
    <n v="498302.36541258497"/>
    <n v="2265010.7518753856"/>
  </r>
  <r>
    <s v="PRIVADO"/>
    <s v="CIENCIA Y TECNOLOGIA"/>
    <s v="2000002257"/>
    <s v="Mejoramiento y Ampliación de los Servicios Públicos para el Desarrollo Productivo Local en los Ámbitos de la Sierra y Selva del Perú (FIDA)"/>
    <s v="ASISTENCIA TECNICA"/>
    <x v="1"/>
    <x v="1"/>
    <s v="MINAGRI"/>
    <s v="PEQUEÑOS PREDIOS PRIVADOS AGRARIOS"/>
    <x v="3"/>
    <n v="238888.03489069999"/>
    <n v="437961.39729961602"/>
    <n v="437961.39729961602"/>
    <n v="437961.39729961602"/>
    <n v="437961.39729961602"/>
    <n v="1990733.6240891642"/>
  </r>
  <r>
    <s v="PRIVADO"/>
    <s v="CIENCIA Y TECNOLOGIA"/>
    <s v="2000002257"/>
    <s v="Mejoramiento y Ampliación de los Servicios Públicos para el Desarrollo Productivo Local en los Ámbitos de la Sierra y Selva del Perú (FIDA)"/>
    <s v="ASISTENCIA TECNICA"/>
    <x v="1"/>
    <x v="1"/>
    <s v="MINAGRI"/>
    <s v="PEQUEÑOS PREDIOS PRIVADOS AGRARIOS"/>
    <x v="4"/>
    <n v="742314.21159002802"/>
    <n v="1360909.3879150499"/>
    <n v="1360909.3879150499"/>
    <n v="1360909.3879150499"/>
    <n v="1360909.3879150499"/>
    <n v="6185951.7632502271"/>
  </r>
  <r>
    <s v="PRIVADO"/>
    <s v="CIENCIA Y TECNOLOGIA"/>
    <s v="PE-L1229"/>
    <s v="Agricultural Health and Agrifood Safety Development Program Phase II (BID)"/>
    <s v="TECNOLOGIA"/>
    <x v="1"/>
    <x v="1"/>
    <s v="SENASA"/>
    <s v="PEQUEÑOS PREDIOS PRIVADOS AGRARIOS"/>
    <x v="1"/>
    <n v="208750.03552798901"/>
    <n v="208750.03552798901"/>
    <n v="208750.03552798901"/>
    <n v="0"/>
    <n v="0"/>
    <n v="626250.10658396699"/>
  </r>
  <r>
    <s v="PRIVADO"/>
    <s v="CIENCIA Y TECNOLOGIA"/>
    <s v="PE-L1229"/>
    <s v="Agricultural Health and Agrifood Safety Development Program Phase II (BID)"/>
    <s v="TECNOLOGIA"/>
    <x v="1"/>
    <x v="1"/>
    <s v="SENASA"/>
    <s v="PEQUEÑOS PREDIOS PRIVADOS AGRARIOS"/>
    <x v="2"/>
    <n v="208630.92681730801"/>
    <n v="208630.92681730801"/>
    <n v="208630.92681730801"/>
    <n v="0"/>
    <n v="0"/>
    <n v="625892.78045192407"/>
  </r>
  <r>
    <s v="PRIVADO"/>
    <s v="CIENCIA Y TECNOLOGIA"/>
    <s v="PE-L1229"/>
    <s v="Agricultural Health and Agrifood Safety Development Program Phase II (BID)"/>
    <s v="TECNOLOGIA"/>
    <x v="1"/>
    <x v="1"/>
    <s v="SENASA"/>
    <s v="PEQUEÑOS PREDIOS PRIVADOS AGRARIOS"/>
    <x v="3"/>
    <n v="183367.16534180599"/>
    <n v="183367.16534180599"/>
    <n v="183367.16534180599"/>
    <n v="0"/>
    <n v="0"/>
    <n v="550101.49602541793"/>
  </r>
  <r>
    <s v="PRIVADO"/>
    <s v="CIENCIA Y TECNOLOGIA"/>
    <s v="PE-L1229"/>
    <s v="Agricultural Health and Agrifood Safety Development Program Phase II (BID)"/>
    <s v="TECNOLOGIA"/>
    <x v="1"/>
    <x v="1"/>
    <s v="SENASA"/>
    <s v="PEQUEÑOS PREDIOS PRIVADOS AGRARIOS"/>
    <x v="4"/>
    <n v="569790.16481289698"/>
    <n v="569790.16481289698"/>
    <n v="569790.16481289698"/>
    <n v="0"/>
    <n v="0"/>
    <n v="1709370.4944386911"/>
  </r>
  <r>
    <s v="PRIVADO"/>
    <s v="ASISTENCIA SOCIAL"/>
    <s v="PE-L1226"/>
    <s v="Programa Integral de Agua y Saneamiento Rural (PIASAR) - BID"/>
    <s v="INFRAESTRUCTURA"/>
    <x v="2"/>
    <x v="2"/>
    <s v="MINISTERIO DE VIVIENDA"/>
    <s v="Intervenciones transversales x  región"/>
    <x v="0"/>
    <n v="19977315.797800001"/>
    <n v="19977315.797800001"/>
    <n v="0"/>
    <n v="0"/>
    <n v="0"/>
    <n v="39954631.595600002"/>
  </r>
  <r>
    <s v="PRIVADO"/>
    <s v="CIENCIA Y TECNOLOGIA"/>
    <s v="PE-L1122"/>
    <s v="Project to Improve the Agricultural Statistical Information System and the Agriculture (BID)"/>
    <s v="ASISTENCIA TECNICA"/>
    <x v="2"/>
    <x v="3"/>
    <s v="MINAGRI"/>
    <s v="Intervenciones transversales x UDT"/>
    <x v="1"/>
    <n v="480141.86758319702"/>
    <n v="0"/>
    <n v="0"/>
    <n v="0"/>
    <n v="0"/>
    <n v="480141.86758319702"/>
  </r>
  <r>
    <s v="PRIVADO"/>
    <s v="CIENCIA Y TECNOLOGIA"/>
    <s v="PE-L1122"/>
    <s v="Project to Improve the Agricultural Statistical Information System and the Agriculture (BID)"/>
    <s v="ASISTENCIA TECNICA"/>
    <x v="2"/>
    <x v="3"/>
    <s v="MINAGRI"/>
    <s v="Intervenciones transversales x UDT"/>
    <x v="2"/>
    <n v="1710066.8603276301"/>
    <n v="0"/>
    <n v="0"/>
    <n v="0"/>
    <n v="0"/>
    <n v="1710066.8603276301"/>
  </r>
  <r>
    <s v="PRIVADO"/>
    <s v="CIENCIA Y TECNOLOGIA"/>
    <s v="PE-L1122"/>
    <s v="Project to Improve the Agricultural Statistical Information System and the Agriculture (BID)"/>
    <s v="ASISTENCIA TECNICA"/>
    <x v="2"/>
    <x v="3"/>
    <s v="MINAGRI"/>
    <s v="Intervenciones transversales x UDT"/>
    <x v="3"/>
    <n v="328781.90515091602"/>
    <n v="0"/>
    <n v="0"/>
    <n v="0"/>
    <n v="0"/>
    <n v="328781.90515091602"/>
  </r>
  <r>
    <s v="PRIVADO"/>
    <s v="CIENCIA Y TECNOLOGIA"/>
    <s v="PE-L1122"/>
    <s v="Project to Improve the Agricultural Statistical Information System and the Agriculture (BID)"/>
    <s v="ASISTENCIA TECNICA"/>
    <x v="2"/>
    <x v="3"/>
    <s v="MINAGRI"/>
    <s v="Intervenciones transversales x UDT"/>
    <x v="4"/>
    <n v="3309370.3044382599"/>
    <n v="0"/>
    <n v="0"/>
    <n v="0"/>
    <n v="0"/>
    <n v="3309370.3044382599"/>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2">
  <r>
    <x v="0"/>
    <x v="0"/>
    <s v="Invasiones"/>
    <s v="1.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51977.568789166602"/>
    <n v="25988.784394583301"/>
    <n v="25988.78439458330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1977568.7891666"/>
    <n v="52523333.261452846"/>
    <n v="51977568.7891666"/>
    <n v="52523333.261452846"/>
    <n v="5197756.8789166603"/>
    <n v="5252333.3261452848"/>
    <n v="7796635.3183749896"/>
    <n v="7878499.9892179267"/>
    <n v="10395513.757833321"/>
    <n v="10504666.65229057"/>
    <n v="15593270.636749979"/>
    <n v="15756999.978435853"/>
    <n v="12994392.19729165"/>
    <n v="13130833.315363212"/>
    <n v="0"/>
    <m/>
    <m/>
    <s v="X"/>
    <m/>
    <s v="RE"/>
    <n v="3"/>
    <n v="1"/>
  </r>
  <r>
    <x v="0"/>
    <x v="0"/>
    <s v="Programas de inversión pública"/>
    <s v="1.1.2"/>
    <x v="1"/>
    <s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ASISTENCIA TÉCNICA"/>
    <s v="C1"/>
    <s v="Productores asistidos"/>
    <n v="74562"/>
    <n v="22368.6"/>
    <n v="29824.800000000003"/>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2526416"/>
    <n v="12657943.367999999"/>
    <n v="16701888.000000002"/>
    <n v="16877257.824000001"/>
    <n v="2505283.2000000002"/>
    <n v="2531588.6735999999"/>
    <n v="2505283.2000000002"/>
    <n v="2531588.6735999999"/>
    <n v="2505283.2000000002"/>
    <n v="2531588.6735999999"/>
    <n v="2505283.2000000002"/>
    <n v="2531588.6735999999"/>
    <n v="2505283.2000000002"/>
    <n v="2531588.6735999999"/>
    <n v="0"/>
    <m/>
    <m/>
    <s v="X"/>
    <m/>
    <s v="RE"/>
    <n v="2"/>
    <n v="1"/>
  </r>
  <r>
    <x v="0"/>
    <x v="0"/>
    <s v="Programas de inversión pública"/>
    <s v="1.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intervenidas"/>
    <n v="155570"/>
    <n v="46671"/>
    <n v="46671"/>
    <n v="500"/>
    <s v="El costo incluye adquisición de semillas, insumos, fertilizantes, entre otras para la producción de plantas agroforestales o coberturas  verdes."/>
    <s v="DRASAM"/>
    <n v="23335500"/>
    <n v="23580522.75"/>
    <n v="23335500"/>
    <n v="23580522.75"/>
    <n v="7000650"/>
    <n v="7074156.8249999993"/>
    <n v="5833875"/>
    <n v="5895130.6875"/>
    <n v="4667100"/>
    <n v="4716104.55"/>
    <n v="3500325"/>
    <n v="3537078.4124999996"/>
    <n v="2333550"/>
    <n v="2358052.2749999999"/>
    <n v="0"/>
    <m/>
    <m/>
    <s v="X"/>
    <m/>
    <m/>
    <n v="3"/>
    <n v="1"/>
  </r>
  <r>
    <x v="0"/>
    <x v="0"/>
    <s v="Programas de inversión pública"/>
    <s v="1.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fertilizadas"/>
    <n v="155570"/>
    <n v="31114"/>
    <n v="46671"/>
    <n v="2500"/>
    <s v="El costo incluye un análisis de suelos, paquete de fertilización según los resultados del análisis y la adquisición de fertilizantes. El costo incluye los tres abonamientos requeridos en una campaña (1 año)."/>
    <s v="DRASAM"/>
    <n v="77785000"/>
    <n v="78601742.5"/>
    <n v="116677500"/>
    <n v="117902613.75"/>
    <n v="15557000"/>
    <n v="15720348.5"/>
    <n v="15557000"/>
    <n v="15720348.5"/>
    <n v="15557000"/>
    <n v="15720348.5"/>
    <n v="15557000"/>
    <n v="15720348.5"/>
    <n v="15557000"/>
    <n v="15720348.5"/>
    <n v="0"/>
    <m/>
    <m/>
    <s v="X"/>
    <m/>
    <s v="RE"/>
    <n v="3"/>
    <n v="1"/>
  </r>
  <r>
    <x v="0"/>
    <x v="0"/>
    <s v="Programas de inversión privada"/>
    <s v="1.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Hectáreas con sistemas de riego"/>
    <n v="155570"/>
    <n v="7778.5"/>
    <n v="15557"/>
    <n v="11500"/>
    <s v="El costo incluye la instalación de un sistema completo y un paquete de fertilización para la primera campaña. El costo va depender del tipo de cultivo, tipo de sistema y el tipo de materiales a usar en los sistemas de fertirriego."/>
    <s v="DRASAM"/>
    <n v="89452750"/>
    <n v="90392003.875"/>
    <n v="178905500"/>
    <n v="180784007.75"/>
    <n v="17890550"/>
    <n v="18078400.774999999"/>
    <n v="17890550"/>
    <n v="18078400.774999999"/>
    <n v="17890550"/>
    <n v="18078400.774999999"/>
    <n v="17890550"/>
    <n v="18078400.774999999"/>
    <n v="17890550"/>
    <n v="18078400.774999999"/>
    <n v="0"/>
    <m/>
    <m/>
    <s v="X"/>
    <m/>
    <s v="RE"/>
    <n v="3"/>
    <n v="1"/>
  </r>
  <r>
    <x v="0"/>
    <x v="0"/>
    <s v="Programas de inversión privada"/>
    <s v="1.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s v="RECONVERSIÓN"/>
    <s v="C12"/>
    <s v="Hectáreas reconvertidas/diversificadas"/>
    <n v="31114"/>
    <n v="3111.4"/>
    <n v="3111.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AGROIDEAS"/>
    <n v="46671000"/>
    <n v="47161045.5"/>
    <n v="46671000"/>
    <n v="47161045.5"/>
    <n v="9334200"/>
    <n v="9432209.0999999996"/>
    <n v="9334200"/>
    <n v="9432209.0999999996"/>
    <n v="9334200"/>
    <n v="9432209.0999999996"/>
    <n v="9334200"/>
    <n v="9432209.0999999996"/>
    <n v="9334200"/>
    <n v="9432209.0999999996"/>
    <n v="0"/>
    <s v="X"/>
    <m/>
    <m/>
    <m/>
    <s v="RE"/>
    <n v="3"/>
    <n v="1"/>
  </r>
  <r>
    <x v="0"/>
    <x v="0"/>
    <s v="Programas de inversión pública"/>
    <s v="1.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Productores beneficiados"/>
    <n v="74562"/>
    <n v="18640.5"/>
    <n v="26096.69999999999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FONCODES"/>
    <n v="240462450"/>
    <n v="242987305.72499999"/>
    <n v="336647429.99999994"/>
    <n v="340182228.01499993"/>
    <n v="48092490"/>
    <n v="48597461.144999996"/>
    <n v="48092490"/>
    <n v="48597461.144999996"/>
    <n v="48092490"/>
    <n v="48597461.144999996"/>
    <n v="48092490"/>
    <n v="48597461.144999996"/>
    <n v="48092490"/>
    <n v="48597461.144999996"/>
    <n v="0"/>
    <m/>
    <m/>
    <s v="X"/>
    <m/>
    <s v="RE"/>
    <n v="2"/>
    <n v="1"/>
  </r>
  <r>
    <x v="0"/>
    <x v="0"/>
    <s v="Programas de inversión pública"/>
    <s v="1.1.8"/>
    <x v="7"/>
    <s v="Capacitaciones a pequeños productores acuícolas en temas relacionados a: Asociatividad, Gestión y administración de piscigranjas, programación de la producción, formalización, gestión de la calidad entre otros temas que permitan la sostenibilidad de la actividad."/>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ASISTENCIA TÉCNICA"/>
    <s v="C1"/>
    <s v="Acuicultores atendidos"/>
    <n v="668"/>
    <n v="801.6"/>
    <n v="935.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448896"/>
    <n v="453609.408"/>
    <n v="523712"/>
    <n v="529210.97600000002"/>
    <n v="89779.200000000012"/>
    <n v="90721.881600000008"/>
    <n v="89779.200000000012"/>
    <n v="90721.881600000008"/>
    <n v="89779.200000000012"/>
    <n v="90721.881600000008"/>
    <n v="89779.200000000012"/>
    <n v="90721.881600000008"/>
    <n v="89779.200000000012"/>
    <n v="90721.881600000008"/>
    <n v="0"/>
    <m/>
    <m/>
    <s v="X"/>
    <m/>
    <s v="RE"/>
    <n v="3"/>
    <n v="1"/>
  </r>
  <r>
    <x v="0"/>
    <x v="0"/>
    <s v="Ingresos y Capital"/>
    <s v="1.1.9"/>
    <x v="8"/>
    <s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Créditos otorgados"/>
    <n v="668"/>
    <n v="801.6"/>
    <n v="935.2"/>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s v="DIREPRO"/>
    <n v="10340640"/>
    <n v="10449216.719999999"/>
    <n v="12064080"/>
    <n v="12190752.84"/>
    <n v="2585160"/>
    <n v="2612304.1799999997"/>
    <n v="2585160"/>
    <n v="2612304.1799999997"/>
    <n v="2068128"/>
    <n v="2089843.3439999998"/>
    <n v="1551096"/>
    <n v="1567382.5079999999"/>
    <n v="1551096"/>
    <n v="1567382.5079999999"/>
    <n v="0"/>
    <s v="X"/>
    <m/>
    <m/>
    <m/>
    <s v="RE"/>
    <n v="3"/>
    <n v="1"/>
  </r>
  <r>
    <x v="0"/>
    <x v="0"/>
    <s v="Ingresos y Capital"/>
    <s v="1.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Créditos otorgados"/>
    <n v="74562"/>
    <n v="22368.6"/>
    <n v="14912.4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240462449.99999997"/>
    <n v="242987305.72499996"/>
    <n v="160308300.00000003"/>
    <n v="161991537.15000004"/>
    <n v="48092490"/>
    <n v="48597461.144999996"/>
    <n v="48092490"/>
    <n v="48597461.144999996"/>
    <n v="48092490"/>
    <n v="48597461.144999996"/>
    <n v="48092490"/>
    <n v="48597461.144999996"/>
    <n v="48092490"/>
    <n v="48597461.144999996"/>
    <n v="0"/>
    <s v="X"/>
    <m/>
    <m/>
    <m/>
    <s v="RE"/>
    <n v="3"/>
    <n v="1"/>
  </r>
  <r>
    <x v="0"/>
    <x v="0"/>
    <s v="Programas de inversión privada"/>
    <s v="1.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INFRAESTRUCTURA"/>
    <s v="C7"/>
    <s v="Planes de negocios/proyectos ejecutados"/>
    <n v="48"/>
    <n v="9.6000000000000014"/>
    <n v="14.399999999999999"/>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7680000.0000000009"/>
    <n v="7760640.0000000009"/>
    <n v="11519999.999999998"/>
    <n v="11640959.999999998"/>
    <n v="768000.00000000012"/>
    <n v="776064.00000000012"/>
    <n v="768000.00000000012"/>
    <n v="776064.00000000012"/>
    <n v="1920000.0000000002"/>
    <n v="1940160.0000000002"/>
    <n v="1920000.0000000002"/>
    <n v="1940160.0000000002"/>
    <n v="2304000"/>
    <n v="2328192"/>
    <n v="0"/>
    <s v="X"/>
    <m/>
    <m/>
    <m/>
    <s v="RE"/>
    <n v="3"/>
    <n v="1"/>
  </r>
  <r>
    <x v="0"/>
    <x v="0"/>
    <s v="Programas de inversión privada"/>
    <s v="1.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Empresas y organizaciones atendidas"/>
    <n v="48"/>
    <n v="28.799999999999997"/>
    <n v="14.399999999999999"/>
    <n v="50000"/>
    <s v="El costo incluye la contratación de especialistas para brindar Asistencia Técnica en los procesos de implementación de las certificaciones de calidad, materiales para la capacitación y pasantías."/>
    <s v="DIREPRO"/>
    <n v="1439999.9999999998"/>
    <n v="1455119.9999999998"/>
    <n v="719999.99999999988"/>
    <n v="727559.99999999988"/>
    <n v="287999.99999999994"/>
    <n v="291023.99999999994"/>
    <n v="287999.99999999994"/>
    <n v="291023.99999999994"/>
    <n v="287999.99999999994"/>
    <n v="291023.99999999994"/>
    <n v="287999.99999999994"/>
    <n v="291023.99999999994"/>
    <n v="287999.99999999994"/>
    <n v="291023.99999999994"/>
    <n v="0"/>
    <m/>
    <m/>
    <s v="X"/>
    <m/>
    <s v="RE"/>
    <n v="2"/>
    <n v="1"/>
  </r>
  <r>
    <x v="0"/>
    <x v="0"/>
    <s v="Programas de inversión pública"/>
    <s v="1.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s v="Programa de promoción de la Asociatividad Empresarial"/>
    <s v="Desarrollar en los productores y produtoras capacidades colaborativas y de confianza hacia objetivos comunes"/>
    <x v="4"/>
    <s v="COMP 2"/>
    <s v="PRODUCCIÓN"/>
    <s v="ASOCIATIVIDAD"/>
    <s v="C2"/>
    <s v="Organizaciones auto sostenibles"/>
    <n v="48"/>
    <n v="9.6000000000000014"/>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1152000.0000000002"/>
    <n v="1164096.0000000002"/>
    <n v="1440000"/>
    <n v="1455120"/>
    <n v="230400.00000000006"/>
    <n v="232819.20000000004"/>
    <n v="230400.00000000006"/>
    <n v="232819.20000000004"/>
    <n v="230400.00000000006"/>
    <n v="232819.20000000004"/>
    <n v="230400.00000000006"/>
    <n v="232819.20000000004"/>
    <n v="230400.00000000006"/>
    <n v="232819.20000000004"/>
    <n v="0"/>
    <m/>
    <m/>
    <s v="X"/>
    <m/>
    <m/>
    <n v="3"/>
    <n v="1"/>
  </r>
  <r>
    <x v="0"/>
    <x v="0"/>
    <s v="Programas de inversión privada"/>
    <s v="1.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Organizaciones certificadas"/>
    <n v="48"/>
    <n v="19.200000000000003"/>
    <n v="19.200000000000003"/>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3840000.0000000005"/>
    <n v="3880320.0000000005"/>
    <n v="3840000.0000000005"/>
    <n v="3880320.0000000005"/>
    <n v="768000.00000000012"/>
    <n v="776064.00000000012"/>
    <n v="768000.00000000012"/>
    <n v="776064.00000000012"/>
    <n v="768000.00000000012"/>
    <n v="776064.00000000012"/>
    <n v="768000.00000000012"/>
    <n v="776064.00000000012"/>
    <n v="768000.00000000012"/>
    <n v="776064.00000000012"/>
    <n v="0"/>
    <m/>
    <m/>
    <s v="X"/>
    <m/>
    <m/>
    <n v="3"/>
    <n v="1"/>
  </r>
  <r>
    <x v="0"/>
    <x v="0"/>
    <s v="Control y vigilancia"/>
    <s v="1.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68375"/>
    <n v="1750000"/>
    <n v="1768375"/>
    <n v="350000"/>
    <n v="353675"/>
    <n v="350000"/>
    <n v="353675"/>
    <n v="350000"/>
    <n v="353675"/>
    <n v="350000"/>
    <n v="353675"/>
    <n v="350000"/>
    <n v="353675"/>
    <n v="0"/>
    <s v="X"/>
    <m/>
    <m/>
    <m/>
    <m/>
    <n v="2"/>
    <n v="1"/>
  </r>
  <r>
    <x v="0"/>
    <x v="1"/>
    <s v="Invasiones"/>
    <s v="1.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2572.6683236398999"/>
    <n v="1286.3341618199499"/>
    <n v="1286.3341618199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72668.3236399"/>
    <n v="2599681.3410381186"/>
    <n v="2572668.3236399"/>
    <n v="2599681.3410381186"/>
    <n v="257266.83236399002"/>
    <n v="259968.1341038119"/>
    <n v="385900.24854598497"/>
    <n v="389952.20115571778"/>
    <n v="514533.66472798004"/>
    <n v="519936.2682076238"/>
    <n v="771800.49709196994"/>
    <n v="779904.40231143555"/>
    <n v="643167.08090997499"/>
    <n v="649920.33525952965"/>
    <n v="0"/>
    <m/>
    <m/>
    <s v="X"/>
    <m/>
    <s v="RE"/>
    <n v="3"/>
    <n v="1"/>
  </r>
  <r>
    <x v="0"/>
    <x v="1"/>
    <s v="Programas de inversión pública"/>
    <s v="1.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Unidades semilleristas"/>
    <n v="15"/>
    <n v="7.5"/>
    <n v="7.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112500"/>
    <n v="113681.25"/>
    <n v="112500"/>
    <n v="113681.25"/>
    <n v="16875"/>
    <n v="17052.1875"/>
    <n v="22500"/>
    <n v="22736.25"/>
    <n v="22500"/>
    <n v="22736.25"/>
    <n v="28125"/>
    <n v="28420.3125"/>
    <n v="22500"/>
    <n v="22736.25"/>
    <n v="0"/>
    <m/>
    <s v="X"/>
    <m/>
    <m/>
    <s v="RE"/>
    <n v="3"/>
    <n v="1"/>
  </r>
  <r>
    <x v="0"/>
    <x v="1"/>
    <s v="Programas de inversión pública"/>
    <s v="1.2.3"/>
    <x v="16"/>
    <s v="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Productores asistidos"/>
    <n v="5747"/>
    <n v="2586.15"/>
    <n v="3160.850000000000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448244"/>
    <n v="1463450.5619999999"/>
    <n v="1770076.0000000002"/>
    <n v="1788661.7980000002"/>
    <n v="289648.8"/>
    <n v="292690.11239999998"/>
    <n v="289648.8"/>
    <n v="292690.11239999998"/>
    <n v="289648.8"/>
    <n v="292690.11239999998"/>
    <n v="289648.8"/>
    <n v="292690.11239999998"/>
    <n v="289648.8"/>
    <n v="292690.11239999998"/>
    <n v="0"/>
    <m/>
    <m/>
    <s v="X"/>
    <m/>
    <s v="RE"/>
    <n v="3"/>
    <n v="1"/>
  </r>
  <r>
    <x v="0"/>
    <x v="1"/>
    <s v="Programas de inversión privada"/>
    <s v="1.2.4"/>
    <x v="5"/>
    <s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s v="RECONVERSIÓN"/>
    <s v="C12"/>
    <s v="Hectáreas reconvertidas"/>
    <n v="5844"/>
    <n v="584.4"/>
    <n v="584.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8766000"/>
    <n v="8858043"/>
    <n v="8766000"/>
    <n v="8858043"/>
    <n v="1753200"/>
    <n v="1771608.5999999999"/>
    <n v="1753200"/>
    <n v="1771608.5999999999"/>
    <n v="1753200"/>
    <n v="1771608.5999999999"/>
    <n v="1753200"/>
    <n v="1771608.5999999999"/>
    <n v="1753200"/>
    <n v="1771608.5999999999"/>
    <n v="0"/>
    <m/>
    <m/>
    <s v="X"/>
    <m/>
    <s v="RE"/>
    <n v="3"/>
    <n v="1"/>
  </r>
  <r>
    <x v="0"/>
    <x v="1"/>
    <s v="Ingresos y Capital"/>
    <s v="1.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Productores atendidos"/>
    <n v="5747"/>
    <n v="1724.1"/>
    <n v="1149.40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8534075"/>
    <n v="18728682.787499998"/>
    <n v="12356050.000000002"/>
    <n v="12485788.525000002"/>
    <n v="1853407.5"/>
    <n v="1872868.2787499998"/>
    <n v="2780111.25"/>
    <n v="2809302.4181249999"/>
    <n v="3706815"/>
    <n v="3745736.5574999996"/>
    <n v="4633518.75"/>
    <n v="4682170.6968749994"/>
    <n v="5560222.5"/>
    <n v="5618604.8362499997"/>
    <n v="0"/>
    <s v="X"/>
    <m/>
    <m/>
    <m/>
    <s v="RE"/>
    <n v="3"/>
    <n v="1"/>
  </r>
  <r>
    <x v="0"/>
    <x v="1"/>
    <s v="Programas de inversión pública"/>
    <s v="1.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
    <s v="NR"/>
    <x v="1"/>
    <s v="Programa de promoción de la Asociatividad Empresarial"/>
    <s v="Desarrollar en los productores y produtoras capacidades colaborativas y de confianza hacia objetivos comunes"/>
    <x v="4"/>
    <s v="COMP 2"/>
    <s v="PRODUCCIÓN"/>
    <s v="ASOCIATIVIDAD"/>
    <s v="C2"/>
    <s v="Organizaciones formalizadas y fortalecidas"/>
    <n v="3"/>
    <n v="3"/>
    <n v="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n v="1800000"/>
    <n v="1818900"/>
    <n v="2400000"/>
    <n v="2425200"/>
    <n v="360000"/>
    <n v="363780"/>
    <n v="360000"/>
    <n v="363780"/>
    <n v="360000"/>
    <n v="363780"/>
    <n v="360000"/>
    <n v="363780"/>
    <n v="360000"/>
    <n v="363780"/>
    <n v="0"/>
    <m/>
    <m/>
    <s v="X"/>
    <m/>
    <m/>
    <n v="3"/>
    <n v="1"/>
  </r>
  <r>
    <x v="0"/>
    <x v="1"/>
    <s v="Programas de inversión privada"/>
    <s v="1.2.7"/>
    <x v="17"/>
    <s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INFRAESTRUCTURA"/>
    <s v="C7"/>
    <s v="Planes de negocios ejecutados"/>
    <n v="0"/>
    <n v="3"/>
    <n v="4"/>
    <n v="15000"/>
    <s v="Para el logro de los objetivos, se considera el pago de profesionales para la formulación de los planes de negocios que beneficiarían directamente a los pequeños productores."/>
    <n v="0"/>
    <n v="225000"/>
    <n v="227362.5"/>
    <n v="300000"/>
    <n v="303150"/>
    <n v="112500"/>
    <n v="113681.25"/>
    <n v="0"/>
    <n v="0"/>
    <n v="112500"/>
    <n v="113681.25"/>
    <n v="0"/>
    <n v="0"/>
    <n v="0"/>
    <n v="0"/>
    <n v="0"/>
    <s v="X"/>
    <m/>
    <m/>
    <m/>
    <m/>
    <n v="3"/>
    <n v="1"/>
  </r>
  <r>
    <x v="0"/>
    <x v="1"/>
    <s v="Control y vigilancia"/>
    <s v="1.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68375"/>
    <n v="1750000"/>
    <n v="1768375"/>
    <n v="350000"/>
    <n v="353675"/>
    <n v="350000"/>
    <n v="353675"/>
    <n v="350000"/>
    <n v="353675"/>
    <n v="350000"/>
    <n v="353675"/>
    <n v="350000"/>
    <n v="353675"/>
    <n v="0"/>
    <s v="X"/>
    <m/>
    <m/>
    <m/>
    <m/>
    <n v="2"/>
    <n v="1"/>
  </r>
  <r>
    <x v="0"/>
    <x v="2"/>
    <s v="Invasiones"/>
    <s v="1.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5860.2605324035703"/>
    <n v="2930.1302662017852"/>
    <n v="2930.13026620178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860260.5324035706"/>
    <n v="5921793.2679938078"/>
    <n v="5860260.5324035706"/>
    <n v="5921793.2679938078"/>
    <n v="586026.05324035708"/>
    <n v="592179.32679938083"/>
    <n v="879039.07986053557"/>
    <n v="888268.99019907112"/>
    <n v="1172052.1064807142"/>
    <n v="1184358.6535987617"/>
    <n v="1758078.1597210711"/>
    <n v="1776537.9803981422"/>
    <n v="1465065.1331008926"/>
    <n v="1480448.3169984519"/>
    <n v="0"/>
    <m/>
    <m/>
    <s v="X"/>
    <m/>
    <s v="RE"/>
    <n v="3"/>
    <n v="1"/>
  </r>
  <r>
    <x v="0"/>
    <x v="2"/>
    <s v="Programas de inversión pública"/>
    <s v="1.3.2"/>
    <x v="18"/>
    <s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ASISTENCIA TÉCNICA"/>
    <s v="C1"/>
    <s v="Ganaderos asistidos"/>
    <n v="2375"/>
    <n v="1425"/>
    <n v="950"/>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8000"/>
    <n v="806379"/>
    <n v="532000"/>
    <n v="537586"/>
    <n v="159600"/>
    <n v="161275.79999999999"/>
    <n v="159600"/>
    <n v="161275.79999999999"/>
    <n v="159600"/>
    <n v="161275.79999999999"/>
    <n v="159600"/>
    <n v="161275.79999999999"/>
    <n v="159600"/>
    <n v="161275.79999999999"/>
    <n v="0"/>
    <m/>
    <m/>
    <s v="X"/>
    <m/>
    <s v="RE"/>
    <n v="3"/>
    <n v="1"/>
  </r>
  <r>
    <x v="0"/>
    <x v="2"/>
    <s v="Programas de inversión pública"/>
    <s v="1.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intervenidas"/>
    <n v="71251"/>
    <n v="14250.2"/>
    <n v="14250.2"/>
    <n v="500"/>
    <s v="El costo incluye adquisición de semillas, insumos, fertilizantes, entre otras para la producción de plantas agroforestales o coberturas  verdes."/>
    <s v="DRASAM, ICT"/>
    <n v="7125100"/>
    <n v="7199913.5499999998"/>
    <n v="7125100"/>
    <n v="7199913.5499999998"/>
    <n v="1068765"/>
    <n v="1079987.0325"/>
    <n v="1068765"/>
    <n v="1079987.0325"/>
    <n v="1425020"/>
    <n v="1439982.71"/>
    <n v="1781275"/>
    <n v="1799978.3875"/>
    <n v="1781275"/>
    <n v="1799978.3875"/>
    <n v="0"/>
    <m/>
    <m/>
    <s v="X"/>
    <m/>
    <s v="RE"/>
    <n v="3"/>
    <n v="1"/>
  </r>
  <r>
    <x v="0"/>
    <x v="2"/>
    <s v="Programas de inversión pública"/>
    <s v="1.3.4"/>
    <x v="19"/>
    <s v=" Reactivación, implementación y gestión de las postas de inseminación artificial, material genético, capacitación y entrenamiento a inseminadores (certificar por competencia a través del SINEACE), transferencia de embriones a las granjas de los productores y asistencia técnica."/>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Postas activas y operativas"/>
    <n v="0"/>
    <n v="21"/>
    <n v="21"/>
    <n v="54800"/>
    <s v="Costo por posta reactivada y/o instalada, cada una estará ubicada en punto estratégico para cobertura la mayor cantidad de ganaderos. Considerando la implementación con tanques criogénicos, materiales diversos, pajillas, técnico especialista, movilidad entre otros. "/>
    <s v="DIREPRO"/>
    <n v="5754000"/>
    <n v="5814417"/>
    <n v="5754000"/>
    <n v="5814417"/>
    <n v="1150800"/>
    <n v="1162883.3999999999"/>
    <n v="1150800"/>
    <n v="1162883.3999999999"/>
    <n v="1150800"/>
    <n v="1162883.3999999999"/>
    <n v="1150800"/>
    <n v="1162883.3999999999"/>
    <n v="1150800"/>
    <n v="1162883.3999999999"/>
    <n v="0"/>
    <m/>
    <s v="X"/>
    <m/>
    <m/>
    <m/>
    <n v="3"/>
    <n v="1"/>
  </r>
  <r>
    <x v="0"/>
    <x v="2"/>
    <s v="Ingresos y Capital"/>
    <s v="1.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Ganaderos atendidos"/>
    <n v="2375"/>
    <n v="712.5"/>
    <n v="47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7659375"/>
    <n v="7739798.4375"/>
    <n v="5106250"/>
    <n v="5159865.625"/>
    <n v="765937.5"/>
    <n v="773979.84375"/>
    <n v="1148906.25"/>
    <n v="1160969.765625"/>
    <n v="1148906.25"/>
    <n v="1160969.765625"/>
    <n v="2297812.5"/>
    <n v="2321939.53125"/>
    <n v="2297812.5"/>
    <n v="2321939.53125"/>
    <n v="0"/>
    <s v="X"/>
    <m/>
    <m/>
    <m/>
    <s v="RE"/>
    <n v="3"/>
    <n v="1"/>
  </r>
  <r>
    <x v="0"/>
    <x v="2"/>
    <s v="Programas de inversión pública"/>
    <s v="1.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s v="ASOCIATIVIDAD"/>
    <s v="C2"/>
    <s v="Organizaciones fortalecidas"/>
    <n v="24"/>
    <n v="10.8"/>
    <n v="7.1999999999999993"/>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6480000"/>
    <n v="6548040"/>
    <n v="4319999.9999999991"/>
    <n v="4365359.9999999991"/>
    <n v="1296000"/>
    <n v="1309608"/>
    <n v="1296000"/>
    <n v="1309608"/>
    <n v="1296000"/>
    <n v="1309608"/>
    <n v="1296000"/>
    <n v="1309608"/>
    <n v="1296000"/>
    <n v="1309608"/>
    <n v="0"/>
    <m/>
    <m/>
    <s v="X"/>
    <m/>
    <m/>
    <n v="3"/>
    <n v="1"/>
  </r>
  <r>
    <x v="0"/>
    <x v="2"/>
    <s v="Programas de inversión privada"/>
    <s v="1.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Planes de negocios implementados"/>
    <n v="0"/>
    <n v="20"/>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6000000"/>
    <n v="16168000"/>
    <n v="8000000"/>
    <n v="8084000"/>
    <n v="3200000"/>
    <n v="3233600"/>
    <n v="3200000"/>
    <n v="3233600"/>
    <n v="3200000"/>
    <n v="3233600"/>
    <n v="3200000"/>
    <n v="3233600"/>
    <n v="3200000"/>
    <n v="3233600"/>
    <n v="0"/>
    <s v="X"/>
    <m/>
    <m/>
    <m/>
    <s v="RE"/>
    <n v="3"/>
    <n v="1"/>
  </r>
  <r>
    <x v="0"/>
    <x v="2"/>
    <s v="Control y vigilancia"/>
    <s v="1.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68375"/>
    <n v="1750000"/>
    <n v="1768375"/>
    <n v="350000"/>
    <n v="353675"/>
    <n v="350000"/>
    <n v="353675"/>
    <n v="350000"/>
    <n v="353675"/>
    <n v="350000"/>
    <n v="353675"/>
    <n v="350000"/>
    <n v="353675"/>
    <n v="0"/>
    <s v="X"/>
    <m/>
    <m/>
    <m/>
    <m/>
    <n v="2"/>
    <n v="1"/>
  </r>
  <r>
    <x v="0"/>
    <x v="3"/>
    <s v="Invasiones"/>
    <s v="1.4.1"/>
    <x v="20"/>
    <s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_x000a_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
    <s v="NR"/>
    <x v="0"/>
    <s v="Programa de regulización, formalizacion y saneamiento de predios"/>
    <s v="Formalización de la situacion de legal de los predios, estableciendo medidas facilitadoras"/>
    <x v="0"/>
    <s v="COMP 8"/>
    <s v="PROTECCIÓN-GOBERNANZA"/>
    <s v="DERECHOS SOBRE LA TIERRA"/>
    <s v="C5"/>
    <s v="Comunidades tituladas"/>
    <n v="63"/>
    <n v="63"/>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4488750"/>
    <n v="4535881.875"/>
    <n v="0"/>
    <n v="0"/>
    <n v="897750"/>
    <n v="907176.375"/>
    <n v="897750"/>
    <n v="907176.375"/>
    <n v="897750"/>
    <n v="907176.375"/>
    <n v="897750"/>
    <n v="907176.375"/>
    <n v="897750"/>
    <n v="907176.375"/>
    <n v="0"/>
    <m/>
    <m/>
    <s v="X"/>
    <m/>
    <m/>
    <n v="3"/>
    <n v="1"/>
  </r>
  <r>
    <x v="0"/>
    <x v="3"/>
    <s v="Programas de inversión pública"/>
    <s v="1.4.2"/>
    <x v="21"/>
    <s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s v="Programa de Asistencia Técnica para la recuperación de bosques"/>
    <s v="Recuperación de bosques mediante la recuperación y concervación de los suelos, el aprovechamiento de los serivicios ecosistemicos , manejo forstal, entre otros "/>
    <x v="6"/>
    <s v="COMP 5"/>
    <s v="PROTECCIÓN"/>
    <s v="ASISTENCIA TÉCNICA"/>
    <s v="C1"/>
    <s v="Productor asistido"/>
    <n v="6900"/>
    <n v="4140"/>
    <n v="276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318400"/>
    <n v="2342743.1999999997"/>
    <n v="1545600"/>
    <n v="1561828.7999999998"/>
    <n v="463680"/>
    <n v="468548.63999999996"/>
    <n v="463680"/>
    <n v="468548.63999999996"/>
    <n v="463680"/>
    <n v="468548.63999999996"/>
    <n v="463680"/>
    <n v="468548.63999999996"/>
    <n v="463680"/>
    <n v="468548.63999999996"/>
    <n v="0"/>
    <m/>
    <m/>
    <s v="X"/>
    <m/>
    <s v="RE"/>
    <n v="3"/>
    <n v="1"/>
  </r>
  <r>
    <x v="0"/>
    <x v="3"/>
    <s v="Programas de inversión privada"/>
    <s v="1.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INNOVACIÓN"/>
    <s v="C8"/>
    <s v="Planes de negocio"/>
    <n v="0"/>
    <n v="40"/>
    <n v="40"/>
    <n v="15000"/>
    <s v="Se contratará profesionales para el asesoramiento y formulación de planes de negocios de las Comunidades Nativas."/>
    <s v="Drasam, Agroideas"/>
    <n v="600000"/>
    <n v="606300"/>
    <n v="600000"/>
    <n v="606300"/>
    <n v="120000"/>
    <n v="121260"/>
    <n v="120000"/>
    <n v="121260"/>
    <n v="120000"/>
    <n v="121260"/>
    <n v="120000"/>
    <n v="121260"/>
    <n v="120000"/>
    <n v="121260"/>
    <n v="0"/>
    <s v="X"/>
    <m/>
    <m/>
    <m/>
    <s v="RE"/>
    <n v="2"/>
    <n v="1"/>
  </r>
  <r>
    <x v="0"/>
    <x v="3"/>
    <s v="Programas de inversión pública"/>
    <s v="1.4.4"/>
    <x v="23"/>
    <s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s v="Programa de promoción de la Asociatividad Empresarial"/>
    <s v="Desarrollar en los productores y produtoras capacidades colaborativas y de confianza hacia objetivos comunes"/>
    <x v="4"/>
    <s v="COMP 2"/>
    <s v="PRODUCCIÓN"/>
    <s v="ASOCIATIVIDAD"/>
    <s v="C2"/>
    <s v="Comunidades fortalecidas"/>
    <n v="66"/>
    <n v="39.6"/>
    <n v="26.400000000000002"/>
    <n v="288000"/>
    <s v="Contratación de especialistas para dar acompañamiento y seguimiento a los procesos organizativos de las CCNN de forma permanente."/>
    <s v="Drasam, Direpro, Dircetur, ARA, CODEPISAM"/>
    <n v="1440000"/>
    <n v="1455120"/>
    <n v="1440000"/>
    <n v="1455120"/>
    <n v="288000"/>
    <n v="291024"/>
    <n v="288000"/>
    <n v="291024"/>
    <n v="288000"/>
    <n v="291024"/>
    <n v="288000"/>
    <n v="291024"/>
    <n v="288000"/>
    <n v="291024"/>
    <n v="0"/>
    <m/>
    <m/>
    <s v="X"/>
    <m/>
    <s v="RE"/>
    <n v="2"/>
    <n v="1"/>
  </r>
  <r>
    <x v="0"/>
    <x v="3"/>
    <s v="Programas de inversión privada"/>
    <s v="1.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Especialistas"/>
    <n v="0"/>
    <n v="5"/>
    <n v="5"/>
    <n v="3500"/>
    <s v="Contratación de especialista para identificación, acompañamiento y seguimiento a los procesos comerciales iniciados por las organizaciones de las CCNN"/>
    <s v="Drasam, Direpro, Dircetur, ARA, OPIPs"/>
    <n v="1050000"/>
    <n v="1061025"/>
    <n v="1050000"/>
    <n v="1061025"/>
    <n v="210000"/>
    <n v="212205"/>
    <n v="210000"/>
    <n v="212205"/>
    <n v="210000"/>
    <n v="212205"/>
    <n v="210000"/>
    <n v="212205"/>
    <n v="210000"/>
    <n v="212205"/>
    <n v="0"/>
    <s v="X"/>
    <m/>
    <m/>
    <m/>
    <s v="RE"/>
    <n v="2"/>
    <n v="1"/>
  </r>
  <r>
    <x v="0"/>
    <x v="3"/>
    <s v="Invasiones"/>
    <s v="1.4.6"/>
    <x v="25"/>
    <s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
    <s v="NR"/>
    <x v="2"/>
    <s v="Programa de incentivos para la protección de bosques"/>
    <s v="Contribuir a la sostenilidad de los bosques brindando incentivos financieros"/>
    <x v="3"/>
    <s v="COMP 11"/>
    <s v="PROTECCIÓN"/>
    <s v="FINANCIAMIENTO"/>
    <s v="C6"/>
    <s v="Comunidades atendidas"/>
    <n v="9"/>
    <n v="30"/>
    <n v="27"/>
    <n v="5000"/>
    <s v="El costo esta referido a los gastos administrativos y logísticos que impliquen la elaboración del expediente para ser presentado a los programas de incentivos. "/>
    <s v="Gerencia Regional de Desarrollo Social, Programa Geo bosques, CODEPISAM"/>
    <n v="750000"/>
    <n v="757875"/>
    <n v="675000"/>
    <n v="682087.5"/>
    <n v="150000"/>
    <n v="151575"/>
    <n v="150000"/>
    <n v="151575"/>
    <n v="150000"/>
    <n v="151575"/>
    <n v="150000"/>
    <n v="151575"/>
    <n v="150000"/>
    <n v="151575"/>
    <n v="0"/>
    <m/>
    <m/>
    <s v="X"/>
    <m/>
    <m/>
    <n v="3"/>
    <n v="1"/>
  </r>
  <r>
    <x v="0"/>
    <x v="3"/>
    <s v="Programas de inversión pública"/>
    <s v="1.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s v="Programa de Infraestructura para la Competitividad "/>
    <s v="Generar condiciones para el desarrollo socio económico del territorio"/>
    <x v="8"/>
    <s v="COMP 9"/>
    <s v="INCLUSION"/>
    <s v="SERVICIO DE EDUCACIÓN Y SALUD ADECUADOS"/>
    <s v="C14"/>
    <s v="Módulos implementados"/>
    <n v="6600"/>
    <n v="1980"/>
    <n v="2640"/>
    <n v="30000"/>
    <s v="Implementación según las necesidades identificadas en cada comunidad, considerando si son aplicables en dichas zonas, si no hay restricciones de cualquier índole. "/>
    <s v="Goresam, MIDIS, DRTyTC, Drasam,Foncodes, Cooperación, CODEPISAM"/>
    <n v="59400000"/>
    <n v="60023700"/>
    <n v="79200000"/>
    <n v="80031600"/>
    <n v="11880000"/>
    <n v="12004740"/>
    <n v="11880000"/>
    <n v="12004740"/>
    <n v="11880000"/>
    <n v="12004740"/>
    <n v="11880000"/>
    <n v="12004740"/>
    <n v="11880000"/>
    <n v="12004740"/>
    <n v="0"/>
    <m/>
    <m/>
    <s v="X"/>
    <m/>
    <m/>
    <n v="2"/>
    <n v="1"/>
  </r>
  <r>
    <x v="0"/>
    <x v="3"/>
    <s v="Programas de inversión pública"/>
    <s v="1.4.8"/>
    <x v="27"/>
    <s v="Implementación de proyectos enfocados a mejorar los servicios básicos de las comunidades nativas, dichos servicios deberán contar con profesionales bilingües, para asegurar y garantizar la adecuada transferencia de dichos servicios.  "/>
    <s v="NR"/>
    <x v="0"/>
    <s v="Programa de Infraestructura para la Competitividad "/>
    <s v="Generar condiciones para el desarrollo socio económico del territorio"/>
    <x v="8"/>
    <s v="COMP 9"/>
    <s v="INCLUSION"/>
    <s v="SERVICIO DE EDUCACIÓN Y SALUD ADECUADOS"/>
    <s v="C14"/>
    <s v="Escuelas y postas médicas implementadas"/>
    <n v="66"/>
    <n v="36"/>
    <n v="30"/>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7000000"/>
    <n v="27283500"/>
    <n v="22500000"/>
    <n v="22736250"/>
    <n v="5400000"/>
    <n v="5456700"/>
    <n v="5400000"/>
    <n v="5456700"/>
    <n v="5400000"/>
    <n v="5456700"/>
    <n v="5400000"/>
    <n v="5456700"/>
    <n v="5400000"/>
    <n v="5456700"/>
    <n v="0"/>
    <s v="X"/>
    <m/>
    <m/>
    <m/>
    <s v="RE"/>
    <n v="3"/>
    <n v="1"/>
  </r>
  <r>
    <x v="0"/>
    <x v="4"/>
    <s v="Programas de inversión privada"/>
    <s v="1.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s v="Programa de incentivos para la protección de bosques"/>
    <s v="Contribuir a la sostenilidad de los bosques brindando incentivos financieros"/>
    <x v="3"/>
    <s v="COMP 11"/>
    <s v="PROTECCIÓN"/>
    <s v="FINANCIAMIENTO"/>
    <s v="C6"/>
    <s v="Planes de negocio"/>
    <n v="14"/>
    <n v="8.4"/>
    <n v="5.6000000000000005"/>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260000"/>
    <n v="1273230"/>
    <n v="840000.00000000012"/>
    <n v="848820.00000000012"/>
    <n v="252000"/>
    <n v="254646"/>
    <n v="252000"/>
    <n v="254646"/>
    <n v="252000"/>
    <n v="254646"/>
    <n v="252000"/>
    <n v="254646"/>
    <n v="252000"/>
    <n v="254646"/>
    <n v="0"/>
    <s v="X"/>
    <m/>
    <m/>
    <m/>
    <s v="RE"/>
    <n v="2"/>
    <n v="1"/>
  </r>
  <r>
    <x v="0"/>
    <x v="4"/>
    <s v="Programas de inversión pública"/>
    <s v="1.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s v="Programa de Asistencia Técnica para la recuperación de bosques"/>
    <s v="Recuperación de bosques mediante la recuperación y concervación de los suelos, el aprovechamiento de los serivicios ecosistemicos , manejo forstal, entre otros "/>
    <x v="6"/>
    <s v="COMP 5"/>
    <s v="PROTECCIÓN"/>
    <s v="ASISTENCIA TÉCNICA"/>
    <s v="C1"/>
    <s v="Especialistas"/>
    <n v="0"/>
    <n v="3"/>
    <n v="3"/>
    <n v="4000"/>
    <s v="Contratación de especialista y gastos logísticos, pasantías regionales y nacionales para adquisición de know how en materia de turismo rural"/>
    <s v="Dircetur"/>
    <n v="720000"/>
    <n v="727560"/>
    <n v="720000"/>
    <n v="727560"/>
    <n v="144000"/>
    <n v="145512"/>
    <n v="144000"/>
    <n v="145512"/>
    <n v="144000"/>
    <n v="145512"/>
    <n v="144000"/>
    <n v="145512"/>
    <n v="144000"/>
    <n v="145512"/>
    <n v="0"/>
    <m/>
    <m/>
    <s v="X"/>
    <m/>
    <s v="RE"/>
    <n v="3"/>
    <n v="1"/>
  </r>
  <r>
    <x v="0"/>
    <x v="4"/>
    <s v="Programas de inversión privada"/>
    <s v="1.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INNOVACIÓN"/>
    <s v="C8"/>
    <s v="Planes de negocio"/>
    <n v="0"/>
    <n v="7"/>
    <n v="7"/>
    <n v="150000"/>
    <s v="El costo hace referencia al proceso de implementación y funcionamiento de los productos para el desarrollo de  los emprendimientos."/>
    <s v="Dircetur, Agroideas"/>
    <n v="1050000"/>
    <n v="1061025"/>
    <n v="1050000"/>
    <n v="1061025"/>
    <n v="210000"/>
    <n v="212205"/>
    <n v="210000"/>
    <n v="212205"/>
    <n v="210000"/>
    <n v="212205"/>
    <n v="210000"/>
    <n v="212205"/>
    <n v="210000"/>
    <n v="212205"/>
    <n v="0"/>
    <s v="X"/>
    <m/>
    <m/>
    <m/>
    <s v="RE"/>
    <n v="3"/>
    <n v="1"/>
  </r>
  <r>
    <x v="0"/>
    <x v="4"/>
    <s v="Programas de inversión privada"/>
    <s v="1.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Rutas turísticas promocionados"/>
    <n v="0"/>
    <n v="7"/>
    <n v="7"/>
    <n v="40000"/>
    <s v="Participación en eventos de promoción (ferias regionales y nacionales, Fam Trip), el costo cubrirá gastos logísticos y administrativos de los operadores turísticos identificados "/>
    <s v="Mincetur, Dircetur"/>
    <n v="1400000"/>
    <n v="1414700"/>
    <n v="1400000"/>
    <n v="1414700"/>
    <n v="280000"/>
    <n v="282940"/>
    <n v="280000"/>
    <n v="282940"/>
    <n v="280000"/>
    <n v="282940"/>
    <n v="280000"/>
    <n v="282940"/>
    <n v="280000"/>
    <n v="282940"/>
    <n v="0"/>
    <m/>
    <m/>
    <s v="X"/>
    <m/>
    <s v="RE"/>
    <n v="3"/>
    <n v="1"/>
  </r>
  <r>
    <x v="0"/>
    <x v="5"/>
    <s v="Invasiones"/>
    <s v="1.6.1"/>
    <x v="31"/>
    <s v="Realizar un sinceramiento de las concesiones forestales activas e inactivas para excluir o realizar nuevos otorgamientos a empresas que puedan cumplir técnica y económicamente con lo predispuesto en la directiva."/>
    <s v="NR"/>
    <x v="0"/>
    <s v="Programa de regulización, formalizacion y saneamiento de predios"/>
    <s v="Formalización de la situacion de legal de los predios, estableciendo medidas facilitadoras"/>
    <x v="0"/>
    <s v="COMP 8"/>
    <s v="PROTECCIÓN-GOBERNANZA"/>
    <s v="DERECHOS SOBRE LA TIERRA"/>
    <s v="C5"/>
    <s v="N° de concesiones "/>
    <n v="0"/>
    <n v="9"/>
    <n v="10"/>
    <n v="30000"/>
    <s v="Gastos operativos y logísticos para la elaboración de expedientes técnicos sustentatorios para los procesos legales y administrativos que conllevan dicho procedimiento."/>
    <s v="ARA, SERFOR, MINAM"/>
    <n v="270000"/>
    <n v="272835"/>
    <n v="300000"/>
    <n v="303150"/>
    <n v="54000"/>
    <n v="54567"/>
    <n v="108000"/>
    <n v="109134"/>
    <n v="108000"/>
    <n v="109134"/>
    <n v="0"/>
    <n v="0"/>
    <n v="0"/>
    <n v="0"/>
    <n v="0"/>
    <m/>
    <m/>
    <s v="X"/>
    <m/>
    <m/>
    <n v="3"/>
    <n v="1"/>
  </r>
  <r>
    <x v="0"/>
    <x v="5"/>
    <s v="Programas de inversión privada"/>
    <s v="1.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s v="Programa de incentivos para la protección de bosques"/>
    <s v="Contribuir a la sostenilidad de los bosques brindando incentivos financieros"/>
    <x v="3"/>
    <s v="COMP 11"/>
    <s v="PROTECCIÓN"/>
    <s v="FINANCIAMIENTO"/>
    <s v="C6"/>
    <s v="Créditos otorgados"/>
    <n v="0"/>
    <n v="5"/>
    <n v="10"/>
    <n v="150000"/>
    <s v="El costo incluye los gastos operativos y logísticos para la extracción de la madera de acuerdo al plan de extracción y la implementación de los planes de manejo. ambiental."/>
    <s v="ARA, SERFOR, MINAM"/>
    <n v="750000"/>
    <n v="757875"/>
    <n v="1500000"/>
    <n v="1515750"/>
    <n v="150000"/>
    <n v="151575"/>
    <n v="150000"/>
    <n v="151575"/>
    <n v="150000"/>
    <n v="151575"/>
    <n v="150000"/>
    <n v="151575"/>
    <n v="150000"/>
    <n v="151575"/>
    <n v="0"/>
    <s v="X"/>
    <m/>
    <m/>
    <m/>
    <s v="RE"/>
    <n v="3"/>
    <n v="1"/>
  </r>
  <r>
    <x v="0"/>
    <x v="5"/>
    <s v="Programas de inversión pública"/>
    <s v="1.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inactivas, al menos el 60% se reactiven y cierren los contratos pendientes por ejecutar. "/>
    <s v="R"/>
    <x v="0"/>
    <s v="Programa de regulización, formalizacion y saneamiento de predios"/>
    <s v="Formalización de la situacion de legal de los predios, estableciendo medidas facilitadoras"/>
    <x v="0"/>
    <s v="COMP 8"/>
    <s v="HABILITANTE"/>
    <s v="GESTIÓN PUBLICA"/>
    <s v="C21"/>
    <s v="Concesiones reactivadas"/>
    <n v="0"/>
    <n v="5"/>
    <n v="0"/>
    <n v="20000"/>
    <s v="Gastos operativos y logísticos para la elaboración de expedientes técnicos sustentatorios para los procesos legales y administrativos que conllevan dicho procedimiento."/>
    <s v="ARA, SERFOR, MINAM"/>
    <n v="100000"/>
    <n v="101050"/>
    <n v="0"/>
    <n v="0"/>
    <n v="20000"/>
    <n v="20210"/>
    <n v="20000"/>
    <n v="20210"/>
    <n v="20000"/>
    <n v="20210"/>
    <n v="20000"/>
    <n v="20210"/>
    <n v="20000"/>
    <n v="20210"/>
    <n v="0"/>
    <m/>
    <m/>
    <s v="X"/>
    <m/>
    <m/>
    <n v="1"/>
    <n v="1"/>
  </r>
  <r>
    <x v="0"/>
    <x v="6"/>
    <s v="Control y vigilancia"/>
    <s v="1.7.1"/>
    <x v="34"/>
    <s v="Campañas de sensibilización en los distritos acentuadas en las zonas de amortiguamiento, considerando la participación del ARA, DRASAM, DIRCETUR, GRDS.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s v="CONTROL Y VIGILANCIA"/>
    <s v="C4"/>
    <s v="Campañas de sensibilización"/>
    <n v="0"/>
    <n v="81"/>
    <n v="81"/>
    <n v="8000"/>
    <s v="Campañas de sensibilización con equipos técnicos de las instituciones involucradas, gastos logísticos, impresión de material de difusión, publicidad radial, televisiva y escrita."/>
    <s v="ARA, SERFOR, SERNANP, CIMA"/>
    <n v="3240000"/>
    <n v="3274020"/>
    <n v="3240000"/>
    <n v="3274020"/>
    <n v="648000"/>
    <n v="654804"/>
    <n v="648000"/>
    <n v="654804"/>
    <n v="648000"/>
    <n v="654804"/>
    <n v="648000"/>
    <n v="654804"/>
    <n v="648000"/>
    <n v="654804"/>
    <n v="0"/>
    <m/>
    <m/>
    <s v="X"/>
    <m/>
    <s v="RE"/>
    <n v="3"/>
    <n v="1"/>
  </r>
  <r>
    <x v="0"/>
    <x v="6"/>
    <s v="Control y vigilancia"/>
    <s v="1.7.2"/>
    <x v="35"/>
    <s v="Implementar con recursos necesarios al ente que administra el área, con la finalidad de aumentar el número de personas (guardaparques) que contribuyan a realizar acciones de control y vigilancia."/>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s v="CONTROL Y VIGILANCIA"/>
    <s v="C4"/>
    <s v="Número de guardaparques"/>
    <n v="0"/>
    <n v="18"/>
    <n v="18"/>
    <n v="2000"/>
    <s v="Contratación a guardaparques para garantizar el control y vigilancia del área otorgada."/>
    <s v="ARA, SERFOR, SERNANP, CIMA"/>
    <n v="2160000"/>
    <n v="2182680"/>
    <n v="2160000"/>
    <n v="2182680"/>
    <n v="432000"/>
    <n v="436536"/>
    <n v="432000"/>
    <n v="436536"/>
    <n v="432000"/>
    <n v="436536"/>
    <n v="432000"/>
    <n v="436536"/>
    <n v="432000"/>
    <n v="436536"/>
    <n v="0"/>
    <m/>
    <m/>
    <s v="X"/>
    <m/>
    <s v="RE"/>
    <n v="3"/>
    <n v="1"/>
  </r>
  <r>
    <x v="0"/>
    <x v="6"/>
    <s v="Programas de inversión pública"/>
    <s v="1.7.3"/>
    <x v="36"/>
    <s v="Promover la planificación comunal en centros poblados del interior en base a la zonificación y zona de amortiguamiento teniendo como base al Plan Maestro (incluye acuerdos de conservación)"/>
    <s v="NR"/>
    <x v="0"/>
    <s v="Programa de Infraestructura para la Competitividad "/>
    <s v="Generar condiciones para el desarrollo socio económico del territorio"/>
    <x v="8"/>
    <s v="COMP 9"/>
    <s v="HABILITANTE"/>
    <s v="PLANES DE VIDA"/>
    <s v="C10"/>
    <s v="Planes de gestión comunal"/>
    <n v="0"/>
    <n v="81"/>
    <n v="135"/>
    <n v="10000"/>
    <s v="Contratación de servicios profesionales para la elaboración de los planes de gestión comunal."/>
    <s v="ARA, SERFOR, SERNANP, CIMA"/>
    <n v="810000"/>
    <n v="818505"/>
    <n v="1350000"/>
    <n v="1364175"/>
    <n v="162000"/>
    <n v="163701"/>
    <n v="162000"/>
    <n v="163701"/>
    <n v="162000"/>
    <n v="163701"/>
    <n v="162000"/>
    <n v="163701"/>
    <n v="162000"/>
    <n v="163701"/>
    <n v="0"/>
    <m/>
    <m/>
    <s v="X"/>
    <m/>
    <m/>
    <n v="3"/>
    <n v="1"/>
  </r>
  <r>
    <x v="0"/>
    <x v="6"/>
    <s v="Programas de inversión privada"/>
    <s v="1.7.4"/>
    <x v="37"/>
    <s v="Campañas de promoción y difusión en el ámbito regional y nacional de los circuitos turísticos que existen en la zona de amortiguamiento. acorde al plan maestro del parque.  "/>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Campañas de promoción"/>
    <n v="0"/>
    <n v="54"/>
    <n v="54"/>
    <n v="4000"/>
    <s v="Campañas de promoción que incluye, impresión de material de difusión, publicidad radial, televisiva y escrita."/>
    <s v="ARA, SERFOR, SERNANP, CIMA"/>
    <n v="1080000"/>
    <n v="1091340"/>
    <n v="1080000"/>
    <n v="1091340"/>
    <n v="216000"/>
    <n v="218268"/>
    <n v="216000"/>
    <n v="218268"/>
    <n v="216000"/>
    <n v="218268"/>
    <n v="216000"/>
    <n v="218268"/>
    <n v="216000"/>
    <n v="218268"/>
    <n v="0"/>
    <m/>
    <s v="X"/>
    <m/>
    <m/>
    <m/>
    <n v="3"/>
    <n v="1"/>
  </r>
  <r>
    <x v="0"/>
    <x v="6"/>
    <s v="Programas de inversión privada"/>
    <s v="1.7.5"/>
    <x v="38"/>
    <s v="Realizar pasantías focalizadas en aquellos sectores claves que se necesita intervenir para disminuir la presión del parque."/>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Pasantías"/>
    <n v="0"/>
    <n v="54"/>
    <n v="54"/>
    <n v="5000"/>
    <s v="El costo hace referencia a los gastos de pasajes, alimentación y otros para un grupo de 20 productores por pasantía."/>
    <s v="ARA, SERFOR, SERNANP, CIMA"/>
    <n v="1350000"/>
    <n v="1364175"/>
    <n v="1350000"/>
    <n v="1364175"/>
    <n v="270000"/>
    <n v="272835"/>
    <n v="270000"/>
    <n v="272835"/>
    <n v="270000"/>
    <n v="272835"/>
    <n v="270000"/>
    <n v="272835"/>
    <n v="270000"/>
    <n v="272835"/>
    <n v="0"/>
    <m/>
    <s v="X"/>
    <m/>
    <m/>
    <m/>
    <n v="3"/>
    <n v="1"/>
  </r>
  <r>
    <x v="0"/>
    <x v="7"/>
    <s v="Programas de inversión pública"/>
    <s v="1.8.1"/>
    <x v="36"/>
    <s v="Promover la planificación comunal en centros poblados en base a la zonificación y zona de amortiguamiento teniendo como base al Plan Maestro (incluye acuerdos de conservación)"/>
    <s v="NR"/>
    <x v="0"/>
    <s v="Programa de Infraestructura para la Competitividad "/>
    <s v="Generar condiciones para el desarrollo socio económico del territorio"/>
    <x v="8"/>
    <s v="COMP 9"/>
    <s v="PROTECCIÓN"/>
    <s v="PROMOCIÓN ACTIVIDADES ECONÓMICOS"/>
    <s v="C11"/>
    <s v="Planes de gestión comunal"/>
    <n v="0"/>
    <n v="18"/>
    <n v="18"/>
    <n v="10000"/>
    <s v="Contratación de servicios profesionales para la elaboración de los planes de gestión comunal."/>
    <s v="ARA, SERFOR, SERNANP, CIMA"/>
    <n v="180000"/>
    <n v="181890"/>
    <n v="180000"/>
    <n v="181890"/>
    <n v="36000"/>
    <n v="36378"/>
    <n v="36000"/>
    <n v="36378"/>
    <n v="36000"/>
    <n v="36378"/>
    <n v="36000"/>
    <n v="36378"/>
    <n v="36000"/>
    <n v="36378"/>
    <n v="0"/>
    <m/>
    <m/>
    <s v="X"/>
    <m/>
    <m/>
    <n v="3"/>
    <n v="1"/>
  </r>
  <r>
    <x v="0"/>
    <x v="7"/>
    <s v="Programas de inversión privada"/>
    <s v="1.8.2"/>
    <x v="37"/>
    <s v="Campañas de promoción y difusión en el ámbito regional y nacional de los circuitos turísticos que existen en la zona de amortiguamiento. acorde al plan maestro del parque.  "/>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Campañas de promoción"/>
    <n v="0"/>
    <n v="36"/>
    <n v="36"/>
    <n v="4000"/>
    <s v="Campañas de promoción que incluye, impresión de material de difusión, publicidad radial, televisiva y escrita."/>
    <s v="ARA, SERFOR, SERNANP, CIMA"/>
    <n v="720000"/>
    <n v="727560"/>
    <n v="720000"/>
    <n v="727560"/>
    <n v="144000"/>
    <n v="145512"/>
    <n v="144000"/>
    <n v="145512"/>
    <n v="144000"/>
    <n v="145512"/>
    <n v="144000"/>
    <n v="145512"/>
    <n v="144000"/>
    <n v="145512"/>
    <n v="0"/>
    <m/>
    <s v="X"/>
    <m/>
    <m/>
    <m/>
    <n v="3"/>
    <n v="1"/>
  </r>
  <r>
    <x v="0"/>
    <x v="7"/>
    <s v="Programas de inversión privada"/>
    <s v="1.8.3"/>
    <x v="39"/>
    <s v="Realizar pasantías focalizadas en aquellos sectores claves que se necesita intervenir para disminuir la presión del parque."/>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Pasantías"/>
    <n v="0"/>
    <n v="36"/>
    <n v="36"/>
    <n v="5000"/>
    <s v="El costo hace referencia a los gastos de pasajes, alimentación y otros para un grupo de 20 productores por pasantía."/>
    <s v="ARA, SERFOR, SERNANP, CIMA"/>
    <n v="900000"/>
    <n v="909450"/>
    <n v="900000"/>
    <n v="909450"/>
    <n v="180000"/>
    <n v="181890"/>
    <n v="180000"/>
    <n v="181890"/>
    <n v="180000"/>
    <n v="181890"/>
    <n v="180000"/>
    <n v="181890"/>
    <n v="180000"/>
    <n v="181890"/>
    <n v="0"/>
    <m/>
    <s v="X"/>
    <m/>
    <m/>
    <m/>
    <n v="3"/>
    <n v="1"/>
  </r>
  <r>
    <x v="0"/>
    <x v="8"/>
    <s v="Invasiones"/>
    <s v="1.9.1"/>
    <x v="40"/>
    <s v="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
    <s v="NR"/>
    <x v="0"/>
    <s v="Programa de regulización, formalizacion y saneamiento de predios"/>
    <s v="Formalización de la situacion de legal de los predios, estableciendo medidas facilitadoras"/>
    <x v="0"/>
    <s v="COMP 8"/>
    <s v="PROTECCIÓN-GOBERNANZA"/>
    <s v="DERECHOS SOBRE LA TIERRA"/>
    <s v="C5"/>
    <s v="Ha. con categoría territorial asignada"/>
    <n v="37076.060156214648"/>
    <n v="18538.030078107324"/>
    <n v="18538.030078107324"/>
    <n v="15"/>
    <s v="Para la implementación de las intervención será mecesario la contratación de especialistas para realizar las acciones que comtemplen dicha actividad. Gastos logísticos y trámites documentarios."/>
    <s v="GRSM - DEGT"/>
    <n v="278070.45117160986"/>
    <n v="280990.19090891175"/>
    <n v="278070.45117160986"/>
    <n v="280990.19090891175"/>
    <n v="55614.090234321979"/>
    <n v="56198.038181782358"/>
    <n v="55614.090234321979"/>
    <n v="56198.038181782358"/>
    <n v="55614.090234321979"/>
    <n v="56198.038181782358"/>
    <n v="55614.090234321979"/>
    <n v="56198.038181782358"/>
    <n v="55614.090234321979"/>
    <n v="56198.038181782358"/>
    <n v="0"/>
    <m/>
    <s v="X"/>
    <m/>
    <m/>
    <m/>
    <n v="3"/>
    <n v="1"/>
  </r>
  <r>
    <x v="0"/>
    <x v="8"/>
    <s v="Control y vigilancia"/>
    <s v="1.9.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s v="DERECHOS SOBRE LA TIERRA"/>
    <s v="C5"/>
    <s v="N° de responsables de administración que aprueban evaluación de capacitación "/>
    <n v="0"/>
    <n v="20"/>
    <n v="20"/>
    <n v="150"/>
    <s v="Considera materiales de capacitación, alimentación a capacitados en el área cercana a su comunidad y gastos de capacitadores"/>
    <s v="GRSM - DEGT"/>
    <n v="3000"/>
    <n v="3031.5"/>
    <n v="3000"/>
    <n v="3031.5"/>
    <n v="3000"/>
    <n v="3031.5"/>
    <n v="0"/>
    <n v="0"/>
    <n v="0"/>
    <n v="0"/>
    <n v="0"/>
    <n v="0"/>
    <n v="0"/>
    <n v="0"/>
    <n v="0"/>
    <m/>
    <s v="X"/>
    <m/>
    <m/>
    <m/>
    <n v="2"/>
    <n v="1"/>
  </r>
  <r>
    <x v="0"/>
    <x v="8"/>
    <s v="Control y vigilancia"/>
    <s v="1.9.3"/>
    <x v="42"/>
    <s v="Dependiendo de la categoría forestal a ser aplicada, se realizará un plan/declaración acorde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s v="DERECHOS SOBRE LA TIERRA"/>
    <s v="C5"/>
    <s v="N° Planes / Declaraciones elaborados"/>
    <n v="0"/>
    <n v="5"/>
    <n v="5"/>
    <n v="10000"/>
    <s v="Se considera la contratación de profesionales para la elaboración de los expedientes y/o declaraciones identificadas en los diferentes procesos."/>
    <s v="GRSM - DEGT"/>
    <n v="50000"/>
    <n v="50525"/>
    <n v="50000"/>
    <n v="50525"/>
    <n v="15000"/>
    <n v="15157.5"/>
    <n v="15000"/>
    <n v="15157.5"/>
    <n v="20000"/>
    <n v="20210"/>
    <n v="0"/>
    <n v="0"/>
    <n v="0"/>
    <n v="0"/>
    <n v="0"/>
    <m/>
    <s v="X"/>
    <m/>
    <m/>
    <m/>
    <n v="2"/>
    <n v="1"/>
  </r>
  <r>
    <x v="0"/>
    <x v="8"/>
    <s v="Invasiones"/>
    <s v="1.9.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s v="DERECHOS SOBRE LA TIERRA"/>
    <s v="C5"/>
    <s v="Ha. Inscritas"/>
    <n v="37076.060156214648"/>
    <n v="18538.030078107324"/>
    <n v="18538.030078107324"/>
    <n v="1"/>
    <s v="Contratación de dos profesioales para agilizar procesos con sunarp."/>
    <s v="GRSM - DEGT"/>
    <n v="18538.030078107324"/>
    <n v="18732.67939392745"/>
    <n v="18538.030078107324"/>
    <n v="18732.67939392745"/>
    <n v="3707.6060156214648"/>
    <n v="3746.5358787854902"/>
    <n v="3707.6060156214648"/>
    <n v="3746.5358787854902"/>
    <n v="3707.6060156214648"/>
    <n v="3746.5358787854902"/>
    <n v="3707.6060156214648"/>
    <n v="3746.5358787854902"/>
    <n v="3707.6060156214648"/>
    <n v="3746.5358787854902"/>
    <n v="0"/>
    <m/>
    <s v="X"/>
    <m/>
    <m/>
    <m/>
    <n v="2"/>
    <n v="1"/>
  </r>
  <r>
    <x v="0"/>
    <x v="9"/>
    <s v="Invasiones"/>
    <s v="1.10.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s v="Programa de regulización, formalizacion y saneamiento de predios"/>
    <s v="Formalización de la situacion de legal de los predios, estableciendo medidas facilitadoras"/>
    <x v="0"/>
    <s v="COMP 8"/>
    <s v="PROTECCIÓN-GOBERNANZA"/>
    <s v="DERECHOS SOBRE LA TIERRA"/>
    <s v="C5"/>
    <s v="Ha. con categoría territorial asignada"/>
    <n v="237645.43945778001"/>
    <n v="118822.71972889001"/>
    <n v="118822.71972889001"/>
    <n v="15"/>
    <s v="Para la implementación de las intervención será mecesario la contratación de especialistas para realizar las acciones que comtemplen dicha actividad. Gastos logísticos y trámites documentarios."/>
    <s v="GRSM - DEGT"/>
    <n v="1782340.79593335"/>
    <n v="1801055.37429065"/>
    <n v="1782340.79593335"/>
    <n v="1801055.37429065"/>
    <n v="356468.15918667003"/>
    <n v="360211.07485813007"/>
    <n v="356468.15918667003"/>
    <n v="360211.07485813007"/>
    <n v="356468.15918667003"/>
    <n v="360211.07485813007"/>
    <n v="356468.15918667003"/>
    <n v="360211.07485813007"/>
    <n v="356468.15918667003"/>
    <n v="360211.07485813007"/>
    <n v="0"/>
    <m/>
    <s v="X"/>
    <m/>
    <m/>
    <m/>
    <n v="3"/>
    <n v="1"/>
  </r>
  <r>
    <x v="0"/>
    <x v="9"/>
    <s v="Control y vigilancia"/>
    <s v="1.10.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s v="DERECHOS SOBRE LA TIERRA"/>
    <s v="C5"/>
    <s v="N° de responsables de administración que aprueban evaluación de capacitación "/>
    <n v="0"/>
    <n v="100"/>
    <n v="80"/>
    <n v="150"/>
    <s v="Considera materiales de capacitación, alimentación a capacitados en el área cercana a su comunidad y gastos de capacitadores"/>
    <s v="GRSM - DEGT"/>
    <n v="15000"/>
    <n v="15157.5"/>
    <n v="12000"/>
    <n v="12126"/>
    <n v="15000"/>
    <n v="15157.5"/>
    <n v="0"/>
    <n v="0"/>
    <n v="0"/>
    <n v="0"/>
    <n v="0"/>
    <n v="0"/>
    <n v="0"/>
    <n v="0"/>
    <n v="0"/>
    <m/>
    <s v="X"/>
    <m/>
    <m/>
    <m/>
    <n v="2"/>
    <n v="1"/>
  </r>
  <r>
    <x v="0"/>
    <x v="9"/>
    <s v="Control y vigilancia"/>
    <s v="1.10.3"/>
    <x v="42"/>
    <s v="Dependiendo de la categoría forestal a ser aplicada, se realizará un plan/declaración acorde a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s v="DERECHOS SOBRE LA TIERRA"/>
    <s v="C5"/>
    <s v="N° Planes / Declaraciones elaborados"/>
    <n v="0"/>
    <n v="10"/>
    <n v="10"/>
    <n v="10000"/>
    <s v="Se considera la contratación de profesionales para la elaboración de los expedientes y/o declaraciones identificadas en los diferentes procesos."/>
    <s v="GRSM - DEGT"/>
    <n v="100000"/>
    <n v="101050"/>
    <n v="100000"/>
    <n v="101050"/>
    <n v="30000"/>
    <n v="30315"/>
    <n v="30000"/>
    <n v="30315"/>
    <n v="40000"/>
    <n v="40420"/>
    <n v="0"/>
    <n v="0"/>
    <n v="0"/>
    <n v="0"/>
    <n v="0"/>
    <m/>
    <s v="X"/>
    <m/>
    <m/>
    <m/>
    <n v="2"/>
    <n v="1"/>
  </r>
  <r>
    <x v="0"/>
    <x v="9"/>
    <s v="Invasiones"/>
    <s v="1.10.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s v="DERECHOS SOBRE LA TIERRA"/>
    <s v="C5"/>
    <s v="Ha. Inscritas"/>
    <n v="237645.43945778001"/>
    <n v="118822.71972889001"/>
    <n v="118822.71972889001"/>
    <n v="1"/>
    <s v="Contratación de dos profesioales para agilizar procesos con sunarp."/>
    <s v="GRSM - DEGT"/>
    <n v="118822.71972889001"/>
    <n v="120070.35828604335"/>
    <n v="118822.71972889001"/>
    <n v="120070.35828604335"/>
    <n v="23764.543945778001"/>
    <n v="24014.071657208668"/>
    <n v="23764.543945778001"/>
    <n v="24014.071657208668"/>
    <n v="23764.543945778001"/>
    <n v="24014.071657208668"/>
    <n v="23764.543945778001"/>
    <n v="24014.071657208668"/>
    <n v="23764.543945778001"/>
    <n v="24014.071657208668"/>
    <n v="0"/>
    <m/>
    <s v="X"/>
    <m/>
    <m/>
    <m/>
    <n v="2"/>
    <n v="1"/>
  </r>
  <r>
    <x v="0"/>
    <x v="9"/>
    <s v="Ingresos y Capital"/>
    <s v="1.10.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s v="DERECHOS SOBRE LA TIERRA"/>
    <s v="C5"/>
    <s v="Hectáreas restauradas"/>
    <n v="0"/>
    <n v="44125.567761421902"/>
    <n v="44125.567761421902"/>
    <n v="500"/>
    <s v="El costo incluye la restauración de una hectárea, esta actividad se desarrollara de acuerdo a la metodología propuesta por el ARA, en coordinación con los productores seleccionados."/>
    <s v="ARA"/>
    <n v="22062783.880710952"/>
    <n v="22294443.111458417"/>
    <n v="22062783.880710952"/>
    <n v="22294443.111458417"/>
    <n v="22062783.880710952"/>
    <n v="22294443.111458417"/>
    <n v="0"/>
    <n v="0"/>
    <n v="0"/>
    <n v="0"/>
    <n v="0"/>
    <n v="0"/>
    <n v="0"/>
    <n v="0"/>
    <n v="0"/>
    <m/>
    <s v="X"/>
    <m/>
    <m/>
    <m/>
    <n v="3"/>
    <n v="1"/>
  </r>
  <r>
    <x v="0"/>
    <x v="10"/>
    <s v="Programas de inversión pública"/>
    <s v="1.11.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s v="Programa de regulización, formalizacion y saneamiento de predios"/>
    <s v="Formalización de la situacion de legal de los predios, estableciendo medidas facilitadoras"/>
    <x v="0"/>
    <s v="COMP 8"/>
    <s v="HABILITANTE"/>
    <s v="TRANSVERSALES X UDT"/>
    <s v="C18"/>
    <s v="Acuerdos con rondas campesinas"/>
    <n v="0"/>
    <n v="25"/>
    <n v="29"/>
    <n v="2500"/>
    <s v="Reuniones con los diferentes actores involucrados y la sociedad civil para llegar a acuerdos de no deforestación, lo cual incluye  gastos logísticos en general."/>
    <s v="GRDS, ARA"/>
    <n v="312500"/>
    <n v="315781.25"/>
    <n v="362500"/>
    <n v="366306.25"/>
    <n v="62500"/>
    <n v="63156.25"/>
    <n v="62500"/>
    <n v="63156.25"/>
    <n v="62500"/>
    <n v="63156.25"/>
    <n v="62500"/>
    <n v="63156.25"/>
    <n v="62500"/>
    <n v="63156.25"/>
    <n v="0"/>
    <m/>
    <m/>
    <s v="X"/>
    <m/>
    <s v="RE"/>
    <n v="3"/>
    <n v="1"/>
  </r>
  <r>
    <x v="0"/>
    <x v="10"/>
    <s v="Programas de inversión pública"/>
    <s v="1.11.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 Esta intervención será apoyada por las organizaciones formales de rondas campesinas rondas nativa si comités de monitoreo."/>
    <s v="NR"/>
    <x v="2"/>
    <s v="Programa de Asistencia Técnica para la recuperación de bosques"/>
    <s v="Recuperación de bosques mediante la recuperación y concervación de los suelos, el aprovechamiento de los serivicios ecosistemicos , manejo forstal, entre otros "/>
    <x v="6"/>
    <s v="COMP 5"/>
    <s v="HABILITANTE"/>
    <s v="TRANSVERSALES X UDT"/>
    <s v="C18"/>
    <s v="Especialistas"/>
    <n v="0"/>
    <n v="5"/>
    <n v="5"/>
    <n v="5000"/>
    <s v="Contratación de especialistas para realizar monitoreo de la cobertura de bosque, desde los diferentes órganos competentes. "/>
    <s v="ARA, Serfor, Sernanp"/>
    <n v="1500000"/>
    <n v="1515750"/>
    <n v="1500000"/>
    <n v="1515750"/>
    <n v="300000"/>
    <n v="303150"/>
    <n v="300000"/>
    <n v="303150"/>
    <n v="300000"/>
    <n v="303150"/>
    <n v="300000"/>
    <n v="303150"/>
    <n v="300000"/>
    <n v="303150"/>
    <n v="0"/>
    <m/>
    <s v="X"/>
    <m/>
    <m/>
    <s v="RE"/>
    <n v="3"/>
    <n v="1"/>
  </r>
  <r>
    <x v="0"/>
    <x v="10"/>
    <s v="Programas de inversión pública"/>
    <s v="1.11.3"/>
    <x v="48"/>
    <s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s v="Programa de Infraestructura para la Competitividad "/>
    <s v="Generar condiciones para el desarrollo socio económico del territorio"/>
    <x v="9"/>
    <s v="COMP 10"/>
    <s v="HABILITANTE"/>
    <s v="TRANSVERSALES X UDT"/>
    <s v="C18"/>
    <s v="Kilómetros mejorados"/>
    <n v="2864"/>
    <n v="286.40000000000003"/>
    <n v="286.40000000000003"/>
    <n v="800000"/>
    <s v="Costo promedio por km2 de vía mejorada o asfaltada"/>
    <s v="DRTyTC"/>
    <n v="229120000.00000003"/>
    <n v="231525760.00000003"/>
    <n v="229120000.00000003"/>
    <n v="231525760.00000003"/>
    <n v="45824000.000000007"/>
    <n v="46305152.000000007"/>
    <n v="45824000.000000007"/>
    <n v="46305152.000000007"/>
    <n v="45824000.000000007"/>
    <n v="46305152.000000007"/>
    <n v="45824000.000000007"/>
    <n v="46305152.000000007"/>
    <n v="45824000.000000007"/>
    <n v="46305152.000000007"/>
    <n v="0"/>
    <s v="X"/>
    <m/>
    <m/>
    <m/>
    <n v="0"/>
    <n v="3"/>
    <n v="1"/>
  </r>
  <r>
    <x v="0"/>
    <x v="10"/>
    <s v="Programas de inversión pública"/>
    <s v="1.11.4"/>
    <x v="49"/>
    <s v="Se cuenta con 160,810 Ha con probabilidad alta y muy alta para restauración, de las cuales 9,430.30 ha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s v="Programa de Asistencia Técnica para la recuperación de bosques"/>
    <s v="Recuperación de bosques mediante la recuperación y concervación de los suelos, el aprovechamiento de los serivicios ecosistemicos , manejo forstal, entre otros "/>
    <x v="6"/>
    <s v="COMP 5"/>
    <s v="HABILITANTE"/>
    <s v="TRANSVERSALES X UDT"/>
    <s v="C18"/>
    <s v="Hectáreas restauradas"/>
    <n v="128243.81000000001"/>
    <n v="32060.952500000003"/>
    <n v="25648.762000000002"/>
    <n v="500"/>
    <s v="El costo incluye la restauración de una hectárea, esta actividad se desarrollara de acuerdo a la metodología propuesta por el ARA, en coordinación con los productores seleccionados."/>
    <s v="ARA"/>
    <n v="16030476.250000002"/>
    <n v="16198796.250625001"/>
    <n v="12824381.000000002"/>
    <n v="12959037.000500001"/>
    <n v="3206095.2500000005"/>
    <n v="3239759.2501250003"/>
    <n v="3206095.2500000005"/>
    <n v="3239759.2501250003"/>
    <n v="3206095.2500000005"/>
    <n v="3239759.2501250003"/>
    <n v="3206095.2500000005"/>
    <n v="3239759.2501250003"/>
    <n v="3206095.2500000005"/>
    <n v="3239759.2501250003"/>
    <n v="0"/>
    <m/>
    <m/>
    <s v="X"/>
    <m/>
    <s v="RE"/>
    <n v="3"/>
    <n v="1"/>
  </r>
  <r>
    <x v="0"/>
    <x v="10"/>
    <s v="Programas de inversión pública"/>
    <s v="1.11.5"/>
    <x v="50"/>
    <s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
    <s v="NR"/>
    <x v="0"/>
    <s v="Programa de Infraestructura para la Competitividad "/>
    <s v="Generar condiciones para el desarrollo socio económico del territorio"/>
    <x v="9"/>
    <s v="COMP 10"/>
    <s v="HABILITANTE"/>
    <s v="TRANSVERSALES X UDT"/>
    <s v="C18"/>
    <s v="Centros educativos y postas médicas  implementados"/>
    <n v="0"/>
    <n v="10"/>
    <n v="16"/>
    <n v="3500000"/>
    <s v="El presupuesto esta relacionado a la implementación de la infraestructura, mobiliario y materiales educativos necesarios para que se brinde un servicio de calidad a los niños que aún no reciben dicho servicio de manera permanente. El presupuesto esta relacionado a la implementación de la infraestructura, equipos, materiales, insumos necesarios para que se brinde un servicio de calidad a la población que requiere dicho servicio "/>
    <s v="Colegio de ingenieros de San Martín / GRDS"/>
    <n v="35000000"/>
    <n v="35367500"/>
    <n v="56000000"/>
    <n v="56588000"/>
    <n v="7000000"/>
    <n v="7073500"/>
    <n v="7000000"/>
    <n v="7073500"/>
    <n v="7000000"/>
    <n v="7073500"/>
    <n v="7000000"/>
    <n v="7073500"/>
    <n v="7000000"/>
    <n v="7073500"/>
    <n v="0"/>
    <m/>
    <s v="X"/>
    <m/>
    <m/>
    <s v="RE"/>
    <n v="3"/>
    <n v="1"/>
  </r>
  <r>
    <x v="0"/>
    <x v="10"/>
    <s v="Programas de inversión pública"/>
    <s v="1.11.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
    <s v="NR"/>
    <x v="0"/>
    <s v="Programa de Infraestructura para la Competitividad "/>
    <s v="Generar condiciones para el desarrollo socio económico del territorio"/>
    <x v="8"/>
    <s v="COMP 9"/>
    <s v="HABILITANTE"/>
    <s v="TRANSVERSALES X UDT"/>
    <s v="C18"/>
    <s v="N° campañas"/>
    <n v="0"/>
    <n v="140"/>
    <n v="280"/>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RDS"/>
    <n v="3500000"/>
    <n v="3536750"/>
    <n v="7000000"/>
    <n v="7073500"/>
    <n v="700000"/>
    <n v="707350"/>
    <n v="700000"/>
    <n v="707350"/>
    <n v="700000"/>
    <n v="707350"/>
    <n v="700000"/>
    <n v="707350"/>
    <n v="700000"/>
    <n v="707350"/>
    <n v="0"/>
    <m/>
    <s v="X"/>
    <m/>
    <m/>
    <s v="RE"/>
    <n v="3"/>
    <n v="1"/>
  </r>
  <r>
    <x v="0"/>
    <x v="10"/>
    <s v="Programas de inversión pública"/>
    <s v="1.11.7"/>
    <x v="52"/>
    <s v="Promoción al acceso de la marca con los productores que cumplan los criterios de elegibilidad solicitados por el programa, como una estrategia de ubicar mercados diferenciados para los productos provenientes de estas zonas."/>
    <s v="NR"/>
    <x v="1"/>
    <s v="Programa de Asistencia Técnicas para incrementar la capacidad productiva de las principaes cadenas"/>
    <s v="Asistencia Técnica y Capacitación para incorporar tecnologias que eleven la productividad y calidad de los productos y procesos"/>
    <x v="5"/>
    <s v="COMP 3"/>
    <s v="HABILITANTE"/>
    <s v="TRANSVERSALES X UDT"/>
    <s v="C18"/>
    <s v="N° de empresas que acceden a la marca."/>
    <n v="0"/>
    <n v="30"/>
    <n v="40"/>
    <n v="3000"/>
    <s v="El costo incluye: Una inspección anual anunciada,  elaboración de informe de inspección, administración y comunicación, certificación según los estándares de la marca."/>
    <s v="Dircetur, Drasam"/>
    <n v="450000"/>
    <n v="454725"/>
    <n v="600000"/>
    <n v="606300"/>
    <n v="90000"/>
    <n v="90945"/>
    <n v="90000"/>
    <n v="90945"/>
    <n v="90000"/>
    <n v="90945"/>
    <n v="90000"/>
    <n v="90945"/>
    <n v="90000"/>
    <n v="90945"/>
    <n v="0"/>
    <m/>
    <m/>
    <s v="X"/>
    <m/>
    <n v="0"/>
    <n v="2"/>
    <n v="1"/>
  </r>
  <r>
    <x v="1"/>
    <x v="0"/>
    <s v="Invasiones"/>
    <s v="2.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20410.639082625901"/>
    <n v="10205.319541312951"/>
    <n v="10205.3195413129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0410639.082625899"/>
    <n v="20624950.792993471"/>
    <n v="20410639.082625899"/>
    <n v="20624950.792993471"/>
    <n v="2041063.9082625899"/>
    <n v="2062495.079299347"/>
    <n v="3061595.8623938849"/>
    <n v="3093742.6189490207"/>
    <n v="4082127.8165251799"/>
    <n v="4124990.158598694"/>
    <n v="6123191.7247877698"/>
    <n v="6187485.2378980415"/>
    <n v="5102659.7706564749"/>
    <n v="5156237.6982483678"/>
    <n v="0"/>
    <m/>
    <m/>
    <s v="X"/>
    <m/>
    <s v="RE"/>
    <n v="3"/>
    <n v="1"/>
  </r>
  <r>
    <x v="1"/>
    <x v="0"/>
    <s v="Programas de inversión pública"/>
    <s v="2.1.2"/>
    <x v="1"/>
    <s v="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ASISTENCIA TÉCNICA"/>
    <s v="C1"/>
    <s v="Productores asistidos"/>
    <n v="29531"/>
    <n v="17718.599999999999"/>
    <n v="11812.40000000000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9922416"/>
    <n v="10026601.367999999"/>
    <n v="6614944.0000000009"/>
    <n v="6684400.9120000005"/>
    <n v="1984483.2000000002"/>
    <n v="2005320.2736000002"/>
    <n v="1984483.2000000002"/>
    <n v="2005320.2736000002"/>
    <n v="1984483.2000000002"/>
    <n v="2005320.2736000002"/>
    <n v="1984483.2000000002"/>
    <n v="2005320.2736000002"/>
    <n v="1984483.2000000002"/>
    <n v="2005320.2736000002"/>
    <n v="0"/>
    <m/>
    <m/>
    <s v="X"/>
    <m/>
    <s v="RE"/>
    <n v="2"/>
    <n v="1"/>
  </r>
  <r>
    <x v="1"/>
    <x v="0"/>
    <s v="Programas de inversión pública"/>
    <s v="2.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intervenidas"/>
    <n v="65935"/>
    <n v="19780.5"/>
    <n v="19780.5"/>
    <n v="500"/>
    <s v="El costo incluye adquisición de semillas, insumos, fertilizantes, entre otras para la producción de plantas agroforestales o coberturas  verdes."/>
    <s v="DRASAM"/>
    <n v="9890250"/>
    <n v="9994097.625"/>
    <n v="9890250"/>
    <n v="9994097.625"/>
    <n v="1978050"/>
    <n v="1998819.5249999999"/>
    <n v="1978050"/>
    <n v="1998819.5249999999"/>
    <n v="1978050"/>
    <n v="1998819.5249999999"/>
    <n v="1978050"/>
    <n v="1998819.5249999999"/>
    <n v="1978050"/>
    <n v="1998819.5249999999"/>
    <n v="0"/>
    <m/>
    <m/>
    <s v="X"/>
    <m/>
    <m/>
    <n v="2"/>
    <n v="1"/>
  </r>
  <r>
    <x v="1"/>
    <x v="0"/>
    <s v="Programas de inversión pública"/>
    <s v="2.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fertilizadas"/>
    <n v="65935"/>
    <n v="13187"/>
    <n v="19780.5"/>
    <n v="2500"/>
    <s v="El costo incluye un análisis de suelos, paquete de fertilización según los resultados del análisis y la adquisición de fertilizantes. El costo incluye los tres abonamientos requeridos en una campaña (1 año)."/>
    <s v="Drasam"/>
    <n v="32967500"/>
    <n v="33313658.75"/>
    <n v="49451250"/>
    <n v="49970488.125"/>
    <n v="6593500"/>
    <n v="6662731.75"/>
    <n v="6593500"/>
    <n v="6662731.75"/>
    <n v="6593500"/>
    <n v="6662731.75"/>
    <n v="6593500"/>
    <n v="6662731.75"/>
    <n v="6593500"/>
    <n v="6662731.75"/>
    <n v="0"/>
    <m/>
    <m/>
    <s v="X"/>
    <m/>
    <s v="RE"/>
    <n v="3"/>
    <n v="1"/>
  </r>
  <r>
    <x v="1"/>
    <x v="0"/>
    <s v="Programas de inversión privada"/>
    <s v="2.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Hectáreas con sistemas de riego"/>
    <n v="65935"/>
    <n v="3296.75"/>
    <n v="4615.4500000000007"/>
    <n v="11500"/>
    <s v="El costo incluye la instalación de un sistema completo y un paquete de fertilización para la primera campaña. El costo va depender del tipo de cultivo, tipo de sistema y el tipo de materiales a usar en los sistemas de fertirriego."/>
    <s v="DRASAM"/>
    <n v="37912625"/>
    <n v="38310707.5625"/>
    <n v="53077675.000000007"/>
    <n v="53634990.587500006"/>
    <n v="7582525"/>
    <n v="7662141.5124999993"/>
    <n v="7582525"/>
    <n v="7662141.5124999993"/>
    <n v="7582525"/>
    <n v="7662141.5124999993"/>
    <n v="7582525"/>
    <n v="7662141.5124999993"/>
    <n v="7582525"/>
    <n v="7662141.5124999993"/>
    <n v="0"/>
    <m/>
    <m/>
    <s v="X"/>
    <m/>
    <s v="RE"/>
    <n v="3"/>
    <n v="1"/>
  </r>
  <r>
    <x v="1"/>
    <x v="0"/>
    <s v="Programas de inversión privada"/>
    <s v="2.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s v="RECONVERSIÓN"/>
    <s v="C12"/>
    <s v="Hectáreas reconvertidas/diversificadas"/>
    <n v="13187"/>
    <n v="1318.7"/>
    <n v="1318.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19780500"/>
    <n v="19988195.25"/>
    <n v="19780500"/>
    <n v="19988195.25"/>
    <n v="3956100"/>
    <n v="3997639.05"/>
    <n v="3956100"/>
    <n v="3997639.05"/>
    <n v="3956100"/>
    <n v="3997639.05"/>
    <n v="3956100"/>
    <n v="3997639.05"/>
    <n v="3956100"/>
    <n v="3997639.05"/>
    <n v="0"/>
    <s v="X"/>
    <m/>
    <m/>
    <m/>
    <s v="RE"/>
    <n v="2"/>
    <n v="1"/>
  </r>
  <r>
    <x v="1"/>
    <x v="0"/>
    <s v="Programas de inversión pública"/>
    <s v="2.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Productores beneficiados"/>
    <n v="29531"/>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38494987.395000003"/>
    <n v="76189980.000000015"/>
    <n v="76989974.790000007"/>
    <n v="7618998.0000000019"/>
    <n v="7698997.4790000012"/>
    <n v="7618998.0000000019"/>
    <n v="7698997.4790000012"/>
    <n v="7618998.0000000019"/>
    <n v="7698997.4790000012"/>
    <n v="7618998.0000000019"/>
    <n v="7698997.4790000012"/>
    <n v="7618998.0000000019"/>
    <n v="7698997.4790000012"/>
    <n v="0"/>
    <m/>
    <m/>
    <s v="X"/>
    <m/>
    <s v="RE"/>
    <n v="3"/>
    <n v="1"/>
  </r>
  <r>
    <x v="1"/>
    <x v="0"/>
    <s v="Programas de inversión pública"/>
    <s v="2.1.8"/>
    <x v="7"/>
    <s v="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ASISTENCIA TÉCNICA"/>
    <s v="C1"/>
    <s v="Acuicultores asistidos"/>
    <n v="324"/>
    <n v="324"/>
    <n v="324"/>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181440"/>
    <n v="183345.12"/>
    <n v="181440"/>
    <n v="183345.12"/>
    <n v="36288"/>
    <n v="36669.023999999998"/>
    <n v="36288"/>
    <n v="36669.023999999998"/>
    <n v="36288"/>
    <n v="36669.023999999998"/>
    <n v="36288"/>
    <n v="36669.023999999998"/>
    <n v="36288"/>
    <n v="36669.023999999998"/>
    <n v="0"/>
    <m/>
    <m/>
    <s v="X"/>
    <m/>
    <s v="RE"/>
    <n v="3"/>
    <n v="1"/>
  </r>
  <r>
    <x v="1"/>
    <x v="0"/>
    <s v="Ingresos y Capital"/>
    <s v="2.1.9"/>
    <x v="8"/>
    <s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Créditos otorgados"/>
    <n v="324"/>
    <n v="324"/>
    <n v="324"/>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4179600"/>
    <n v="4223485.8"/>
    <n v="4179600"/>
    <n v="4223485.8"/>
    <n v="835920"/>
    <n v="844697.15999999992"/>
    <n v="835920"/>
    <n v="844697.15999999992"/>
    <n v="835920"/>
    <n v="844697.15999999992"/>
    <n v="835920"/>
    <n v="844697.15999999992"/>
    <n v="835920"/>
    <n v="844697.15999999992"/>
    <n v="0"/>
    <s v="X"/>
    <m/>
    <m/>
    <m/>
    <s v="RE"/>
    <n v="3"/>
    <n v="1"/>
  </r>
  <r>
    <x v="1"/>
    <x v="0"/>
    <s v="Ingresos y Capital"/>
    <s v="2.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Créditos otorgados"/>
    <n v="29531"/>
    <n v="8859.2999999999993"/>
    <n v="5906.200000000000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GRDE"/>
    <n v="95237474.999999985"/>
    <n v="96237468.487499982"/>
    <n v="63491650.000000007"/>
    <n v="64158312.325000003"/>
    <n v="19047494.999999996"/>
    <n v="19247493.697499994"/>
    <n v="19047494.999999996"/>
    <n v="19247493.697499994"/>
    <n v="19047494.999999996"/>
    <n v="19247493.697499994"/>
    <n v="19047494.999999996"/>
    <n v="19247493.697499994"/>
    <n v="19047494.999999996"/>
    <n v="19247493.697499994"/>
    <n v="0"/>
    <s v="X"/>
    <m/>
    <m/>
    <m/>
    <s v="RE"/>
    <n v="3"/>
    <n v="1"/>
  </r>
  <r>
    <x v="1"/>
    <x v="0"/>
    <s v="Programas de inversión privada"/>
    <s v="2.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INFRAESTRUCTURA"/>
    <s v="C7"/>
    <s v="Planes de negocios/proyectos ejecutados"/>
    <n v="47"/>
    <n v="18.8"/>
    <n v="11.28"/>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15040000"/>
    <n v="15197920"/>
    <n v="9024000"/>
    <n v="9118752"/>
    <n v="3008000"/>
    <n v="3039584"/>
    <n v="3008000"/>
    <n v="3039584"/>
    <n v="3008000"/>
    <n v="3039584"/>
    <n v="3008000"/>
    <n v="3039584"/>
    <n v="3008000"/>
    <n v="3039584"/>
    <n v="0"/>
    <s v="X"/>
    <m/>
    <m/>
    <m/>
    <s v="RE"/>
    <n v="3"/>
    <n v="1"/>
  </r>
  <r>
    <x v="1"/>
    <x v="0"/>
    <s v="Programas de inversión privada"/>
    <s v="2.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Empresas y organizaciones atendidas"/>
    <n v="47"/>
    <n v="18.8"/>
    <n v="14.1"/>
    <n v="50000"/>
    <s v="El costo incluye la contratación de especialistas para brindar Asistencia Técnica en los procesos de implementación de las certificaciones de calidad, materiales para la capacitación y pasantías."/>
    <s v="DIREPRO"/>
    <n v="940000"/>
    <n v="949870"/>
    <n v="705000"/>
    <n v="712402.5"/>
    <n v="188000"/>
    <n v="189974"/>
    <n v="188000"/>
    <n v="189974"/>
    <n v="188000"/>
    <n v="189974"/>
    <n v="188000"/>
    <n v="189974"/>
    <n v="188000"/>
    <n v="189974"/>
    <n v="0"/>
    <m/>
    <m/>
    <s v="X"/>
    <m/>
    <s v="RE"/>
    <n v="3"/>
    <n v="1"/>
  </r>
  <r>
    <x v="1"/>
    <x v="0"/>
    <s v="Programas de inversión pública"/>
    <s v="2.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s v="Programa de promoción de la Asociatividad Empresarial"/>
    <s v="Desarrollar en los productores y produtoras capacidades colaborativas y de confianza hacia objetivos comunes"/>
    <x v="4"/>
    <s v="COMP 2"/>
    <s v="PRODUCCIÓN"/>
    <s v="ASOCIATIVIDAD"/>
    <s v="C2"/>
    <s v="Organizaciones auto sostenibles"/>
    <n v="47"/>
    <n v="14.1"/>
    <n v="28.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8460000"/>
    <n v="8548830"/>
    <n v="16920000"/>
    <n v="17097660"/>
    <n v="1692000"/>
    <n v="1709766"/>
    <n v="1692000"/>
    <n v="1709766"/>
    <n v="1692000"/>
    <n v="1709766"/>
    <n v="1692000"/>
    <n v="1709766"/>
    <n v="1692000"/>
    <n v="1709766"/>
    <n v="0"/>
    <m/>
    <m/>
    <s v="X"/>
    <m/>
    <m/>
    <n v="3"/>
    <n v="1"/>
  </r>
  <r>
    <x v="1"/>
    <x v="0"/>
    <s v="Programas de inversión privada"/>
    <s v="2.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Organizaciones certificadas"/>
    <n v="47"/>
    <n v="14.1"/>
    <n v="18.8"/>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20000"/>
    <n v="2849610"/>
    <n v="3760000"/>
    <n v="3799480"/>
    <n v="564000"/>
    <n v="569922"/>
    <n v="564000"/>
    <n v="569922"/>
    <n v="564000"/>
    <n v="569922"/>
    <n v="564000"/>
    <n v="569922"/>
    <n v="564000"/>
    <n v="569922"/>
    <n v="0"/>
    <m/>
    <m/>
    <s v="X"/>
    <m/>
    <m/>
    <n v="3"/>
    <n v="1"/>
  </r>
  <r>
    <x v="1"/>
    <x v="0"/>
    <s v="Control y vigilancia"/>
    <s v="2.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5250"/>
    <n v="500000"/>
    <n v="505250"/>
    <n v="100000"/>
    <n v="101050"/>
    <n v="100000"/>
    <n v="101050"/>
    <n v="100000"/>
    <n v="101050"/>
    <n v="100000"/>
    <n v="101050"/>
    <n v="100000"/>
    <n v="101050"/>
    <n v="0"/>
    <s v="X"/>
    <m/>
    <m/>
    <m/>
    <m/>
    <n v="2"/>
    <n v="1"/>
  </r>
  <r>
    <x v="1"/>
    <x v="1"/>
    <s v="Invasiones"/>
    <s v="2.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1265.8133615517399"/>
    <n v="632.90668077586997"/>
    <n v="632.90668077586997"/>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265813.36155174"/>
    <n v="1279104.4018480331"/>
    <n v="1265813.36155174"/>
    <n v="1279104.4018480331"/>
    <n v="126581.33615517401"/>
    <n v="127910.44018480333"/>
    <n v="189872.00423276098"/>
    <n v="191865.66027720497"/>
    <n v="253162.67231034802"/>
    <n v="255820.88036960666"/>
    <n v="379744.00846552197"/>
    <n v="383731.32055440993"/>
    <n v="316453.34038793499"/>
    <n v="319776.10046200827"/>
    <n v="0"/>
    <m/>
    <m/>
    <s v="X"/>
    <m/>
    <s v="RE"/>
    <n v="3"/>
    <n v="1"/>
  </r>
  <r>
    <x v="1"/>
    <x v="1"/>
    <s v="Programas de inversión pública"/>
    <s v="2.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Unidades semilleristas"/>
    <n v="10"/>
    <n v="5"/>
    <n v="5"/>
    <n v="15000"/>
    <s v="El costo Incluye la adquirió de semillas certificadas, los pagos y trámites al CORESE  y los Servicios de Asistencia Técnica especializada. No incluye costos de alquiler de terrenos. Con respecto al fortalecimiento del INIA, se espera que el MINAGRI, asigne un mayor presupuesto para este rubro."/>
    <s v="DRASAM"/>
    <n v="75000"/>
    <n v="75787.5"/>
    <n v="75000"/>
    <n v="75787.5"/>
    <n v="15000"/>
    <n v="15157.5"/>
    <n v="15000"/>
    <n v="15157.5"/>
    <n v="15000"/>
    <n v="15157.5"/>
    <n v="15000"/>
    <n v="15157.5"/>
    <n v="15000"/>
    <n v="15157.5"/>
    <n v="0"/>
    <m/>
    <s v="X"/>
    <m/>
    <m/>
    <s v="RE"/>
    <n v="3"/>
    <n v="1"/>
  </r>
  <r>
    <x v="1"/>
    <x v="1"/>
    <s v="Programas de inversión pública"/>
    <s v="2.2.3"/>
    <x v="16"/>
    <s v="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Productores asistidos"/>
    <n v="3741"/>
    <n v="1870.5"/>
    <n v="1122.3"/>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47480"/>
    <n v="1058478.54"/>
    <n v="628488"/>
    <n v="635087.12399999995"/>
    <n v="209496"/>
    <n v="211695.70799999998"/>
    <n v="209496"/>
    <n v="211695.70799999998"/>
    <n v="209496"/>
    <n v="211695.70799999998"/>
    <n v="209496"/>
    <n v="211695.70799999998"/>
    <n v="209496"/>
    <n v="211695.70799999998"/>
    <n v="0"/>
    <m/>
    <m/>
    <s v="X"/>
    <m/>
    <s v="RE"/>
    <n v="2"/>
    <n v="1"/>
  </r>
  <r>
    <x v="1"/>
    <x v="1"/>
    <s v="Programas de inversión privada"/>
    <s v="2.2.4"/>
    <x v="5"/>
    <s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s v="RECONVERSIÓN"/>
    <s v="C12"/>
    <s v="Hectáreas reconvertidas"/>
    <n v="3804.2000000000003"/>
    <n v="380.42000000000007"/>
    <n v="380.4200000000000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5706300.0000000009"/>
    <n v="5766216.1500000004"/>
    <n v="5706300.0000000009"/>
    <n v="5766216.1500000004"/>
    <n v="1141260.0000000002"/>
    <n v="1153243.2300000002"/>
    <n v="1141260.0000000002"/>
    <n v="1153243.2300000002"/>
    <n v="1141260.0000000002"/>
    <n v="1153243.2300000002"/>
    <n v="1141260.0000000002"/>
    <n v="1153243.2300000002"/>
    <n v="1141260.0000000002"/>
    <n v="1153243.2300000002"/>
    <n v="0"/>
    <m/>
    <m/>
    <s v="X"/>
    <m/>
    <s v="RE"/>
    <n v="3"/>
    <n v="1"/>
  </r>
  <r>
    <x v="1"/>
    <x v="1"/>
    <s v="Ingresos y Capital"/>
    <s v="2.2.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Productores atendidos"/>
    <n v="3741"/>
    <n v="1122.3"/>
    <n v="748.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2064725"/>
    <n v="12191404.612499999"/>
    <n v="8043150.0000000009"/>
    <n v="8127603.0750000002"/>
    <n v="2412945"/>
    <n v="2438280.9224999999"/>
    <n v="2412945"/>
    <n v="2438280.9224999999"/>
    <n v="2412945"/>
    <n v="2438280.9224999999"/>
    <n v="2412945"/>
    <n v="2438280.9224999999"/>
    <n v="2412945"/>
    <n v="2438280.9224999999"/>
    <n v="0"/>
    <s v="X"/>
    <m/>
    <m/>
    <m/>
    <s v="RE"/>
    <n v="3"/>
    <n v="1"/>
  </r>
  <r>
    <x v="1"/>
    <x v="1"/>
    <s v="Programas de inversión pública"/>
    <s v="2.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s v="ASOCIATIVIDAD"/>
    <s v="C2"/>
    <s v="Organizaciones formalizadas y fortalecidas"/>
    <n v="5"/>
    <n v="5"/>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3000000"/>
    <n v="3031500"/>
    <n v="3000000"/>
    <n v="3031500"/>
    <n v="600000"/>
    <n v="606300"/>
    <n v="600000"/>
    <n v="606300"/>
    <n v="600000"/>
    <n v="606300"/>
    <n v="600000"/>
    <n v="606300"/>
    <n v="600000"/>
    <n v="606300"/>
    <n v="0"/>
    <m/>
    <m/>
    <s v="X"/>
    <m/>
    <m/>
    <n v="3"/>
    <n v="1"/>
  </r>
  <r>
    <x v="1"/>
    <x v="1"/>
    <s v="Programas de inversión privada"/>
    <s v="2.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INFRAESTRUCTURA"/>
    <s v="C7"/>
    <s v="Planes de negocios ejecutados"/>
    <n v="0"/>
    <n v="5"/>
    <n v="5"/>
    <n v="15000"/>
    <s v="Para el logro de los objetivos, se considera el pago de profesionales para la formulación de los planes de negocios que beneficiarían directamente a los pequeños productores."/>
    <s v="DRASAM"/>
    <n v="375000"/>
    <n v="378937.5"/>
    <n v="375000"/>
    <n v="378937.5"/>
    <n v="187500"/>
    <n v="189468.75"/>
    <n v="0"/>
    <n v="0"/>
    <n v="187500"/>
    <n v="189468.75"/>
    <n v="0"/>
    <n v="0"/>
    <n v="0"/>
    <n v="0"/>
    <n v="0"/>
    <s v="X"/>
    <m/>
    <m/>
    <m/>
    <m/>
    <n v="2"/>
    <n v="1"/>
  </r>
  <r>
    <x v="1"/>
    <x v="1"/>
    <s v="Control y vigilancia"/>
    <s v="2.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5250"/>
    <n v="500000"/>
    <n v="505250"/>
    <n v="100000"/>
    <n v="101050"/>
    <n v="100000"/>
    <n v="101050"/>
    <n v="100000"/>
    <n v="101050"/>
    <n v="100000"/>
    <n v="101050"/>
    <n v="100000"/>
    <n v="101050"/>
    <n v="0"/>
    <s v="X"/>
    <m/>
    <m/>
    <m/>
    <m/>
    <n v="3"/>
    <n v="1"/>
  </r>
  <r>
    <x v="1"/>
    <x v="2"/>
    <s v="Invasiones"/>
    <s v="2.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877.84859269436697"/>
    <n v="438.92429634718349"/>
    <n v="438.9242963471834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877848.59269436693"/>
    <n v="887066.00291765772"/>
    <n v="877848.59269436693"/>
    <n v="887066.00291765772"/>
    <n v="87784.859269436696"/>
    <n v="88706.600291765775"/>
    <n v="131677.28890415502"/>
    <n v="133059.90043764864"/>
    <n v="175569.71853887339"/>
    <n v="177413.20058353155"/>
    <n v="263354.57780831004"/>
    <n v="266119.80087529728"/>
    <n v="219462.14817359173"/>
    <n v="221766.50072941443"/>
    <n v="0"/>
    <m/>
    <m/>
    <s v="X"/>
    <m/>
    <s v="RE"/>
    <n v="3"/>
    <n v="1"/>
  </r>
  <r>
    <x v="1"/>
    <x v="2"/>
    <s v="Programas de inversión pública"/>
    <s v="2.3.2"/>
    <x v="18"/>
    <s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ASISTENCIA TÉCNICA"/>
    <s v="C1"/>
    <s v="Ganaderos asistidos"/>
    <n v="1424"/>
    <n v="1424"/>
    <n v="1424"/>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7440"/>
    <n v="805813.12"/>
    <n v="797440"/>
    <n v="805813.12"/>
    <n v="159488"/>
    <n v="161162.62399999998"/>
    <n v="159488"/>
    <n v="161162.62399999998"/>
    <n v="159488"/>
    <n v="161162.62399999998"/>
    <n v="159488"/>
    <n v="161162.62399999998"/>
    <n v="159488"/>
    <n v="161162.62399999998"/>
    <n v="0"/>
    <m/>
    <m/>
    <s v="X"/>
    <m/>
    <s v="RE"/>
    <n v="3"/>
    <n v="1"/>
  </r>
  <r>
    <x v="1"/>
    <x v="2"/>
    <s v="Programas de inversión pública"/>
    <s v="2.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intervenidas"/>
    <n v="14015"/>
    <n v="2803"/>
    <n v="2803"/>
    <n v="500"/>
    <s v="El costo incluye adquisición de semillas, insumos, fertilizantes, entre otras para la producción de plantas agroforestales o coberturas  verdes."/>
    <s v="DRASAM"/>
    <n v="1401500"/>
    <n v="1416215.75"/>
    <n v="1401500"/>
    <n v="1416215.75"/>
    <n v="280300"/>
    <n v="283243.14999999997"/>
    <n v="280300"/>
    <n v="283243.14999999997"/>
    <n v="280300"/>
    <n v="283243.14999999997"/>
    <n v="280300"/>
    <n v="283243.14999999997"/>
    <n v="280300"/>
    <n v="283243.14999999997"/>
    <n v="0"/>
    <m/>
    <m/>
    <s v="X"/>
    <m/>
    <s v="RE"/>
    <n v="3"/>
    <n v="1"/>
  </r>
  <r>
    <x v="1"/>
    <x v="2"/>
    <s v="Programas de inversión pública"/>
    <s v="2.3.4"/>
    <x v="19"/>
    <s v="Reactivación, implementación y gestión de las postas de inseminación artificial, importación de material genético (pajillas de semen), capacitación y entrenamiento a inseminadores, transferencia de embriones a las granjas de los productores y asistencia técnica."/>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Postas activas y operativas"/>
    <n v="0"/>
    <n v="5"/>
    <n v="5"/>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1370000"/>
    <n v="1384385"/>
    <n v="1370000"/>
    <n v="1384385"/>
    <n v="274000"/>
    <n v="276877"/>
    <n v="274000"/>
    <n v="276877"/>
    <n v="274000"/>
    <n v="276877"/>
    <n v="274000"/>
    <n v="276877"/>
    <n v="274000"/>
    <n v="276877"/>
    <n v="0"/>
    <m/>
    <s v="X"/>
    <m/>
    <m/>
    <m/>
    <n v="3"/>
    <n v="1"/>
  </r>
  <r>
    <x v="1"/>
    <x v="2"/>
    <s v="Ingresos y Capital"/>
    <s v="2.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Ganaderos atendidos"/>
    <n v="1424"/>
    <n v="427.2"/>
    <n v="284.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4592400"/>
    <n v="4640620.2"/>
    <n v="3061600"/>
    <n v="3093746.8"/>
    <n v="918480"/>
    <n v="928124.03999999992"/>
    <n v="918480"/>
    <n v="928124.03999999992"/>
    <n v="918480"/>
    <n v="928124.03999999992"/>
    <n v="918480"/>
    <n v="928124.03999999992"/>
    <n v="918480"/>
    <n v="928124.03999999992"/>
    <n v="0"/>
    <s v="X"/>
    <m/>
    <m/>
    <m/>
    <s v="RE"/>
    <n v="3"/>
    <n v="1"/>
  </r>
  <r>
    <x v="1"/>
    <x v="2"/>
    <s v="Programas de inversión pública"/>
    <s v="2.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s v="ASOCIATIVIDAD"/>
    <s v="C2"/>
    <s v="Organizaciones fortalecidas"/>
    <n v="0"/>
    <n v="12"/>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0"/>
    <n v="7275600"/>
    <n v="7200000"/>
    <n v="7275600"/>
    <n v="1440000"/>
    <n v="1455120"/>
    <n v="1440000"/>
    <n v="1455120"/>
    <n v="1440000"/>
    <n v="1455120"/>
    <n v="1440000"/>
    <n v="1455120"/>
    <n v="1440000"/>
    <n v="1455120"/>
    <n v="0"/>
    <m/>
    <m/>
    <s v="X"/>
    <m/>
    <m/>
    <n v="3"/>
    <n v="1"/>
  </r>
  <r>
    <x v="1"/>
    <x v="2"/>
    <s v="Programas de inversión privada"/>
    <s v="2.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Planes de negocios implementados"/>
    <n v="0"/>
    <n v="15"/>
    <n v="15"/>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2000000"/>
    <n v="12126000"/>
    <n v="12000000"/>
    <n v="12126000"/>
    <n v="2400000"/>
    <n v="2425200"/>
    <n v="2400000"/>
    <n v="2425200"/>
    <n v="2400000"/>
    <n v="2425200"/>
    <n v="2400000"/>
    <n v="2425200"/>
    <n v="2400000"/>
    <n v="2425200"/>
    <n v="0"/>
    <s v="X"/>
    <m/>
    <m/>
    <m/>
    <s v="RE"/>
    <n v="2"/>
    <n v="1"/>
  </r>
  <r>
    <x v="1"/>
    <x v="2"/>
    <s v="Control y vigilancia"/>
    <s v="2.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5250"/>
    <n v="500000"/>
    <n v="505250"/>
    <n v="100000"/>
    <n v="101050"/>
    <n v="100000"/>
    <n v="101050"/>
    <n v="100000"/>
    <n v="101050"/>
    <n v="100000"/>
    <n v="101050"/>
    <n v="100000"/>
    <n v="101050"/>
    <n v="0"/>
    <s v="X"/>
    <m/>
    <m/>
    <m/>
    <m/>
    <n v="1"/>
    <n v="1"/>
  </r>
  <r>
    <x v="1"/>
    <x v="3"/>
    <s v="Invasiones"/>
    <s v="2.4.1"/>
    <x v="53"/>
    <s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_x000a_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
    <s v="NR"/>
    <x v="0"/>
    <s v="Programa de regulización, formalizacion y saneamiento de predios"/>
    <s v="Formalización de la situacion de legal de los predios, estableciendo medidas facilitadoras"/>
    <x v="0"/>
    <s v="COMP 8"/>
    <s v="PROTECCIÓN"/>
    <s v="GOBERNANZA"/>
    <s v="C20"/>
    <s v="Porcentaje de conflictos resueltos"/>
    <n v="0"/>
    <n v="14"/>
    <n v="0"/>
    <n v="420000"/>
    <s v="Gastos logísticos y administrativos para implementar reuniones con los actores involucrados, con la finalidad de solucionar los diferentes conflictos entre las CCNN y los productores, así mismo se  brindará asesoramiento legal y técnico a las CCNN para la solución de los conflicto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2100000"/>
    <n v="2122050"/>
    <n v="0"/>
    <n v="0"/>
    <n v="420000"/>
    <n v="424410"/>
    <n v="420000"/>
    <n v="424410"/>
    <n v="420000"/>
    <n v="424410"/>
    <n v="420000"/>
    <n v="424410"/>
    <n v="420000"/>
    <n v="424410"/>
    <n v="0"/>
    <m/>
    <m/>
    <s v="X"/>
    <m/>
    <m/>
    <n v="3"/>
    <n v="1"/>
  </r>
  <r>
    <x v="1"/>
    <x v="3"/>
    <s v="Programas de inversión pública"/>
    <s v="2.4.2"/>
    <x v="21"/>
    <s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s v="Programa de Asistencia Técnica para la recuperación de bosques"/>
    <s v="Recuperación de bosques mediante la recuperación y concervación de los suelos, el aprovechamiento de los serivicios ecosistemicos , manejo forstal, entre otros "/>
    <x v="6"/>
    <s v="COMP 5"/>
    <s v="PROTECCIÓN"/>
    <s v="ASISTENCIA TÉCNICA"/>
    <s v="C1"/>
    <s v="Productor asistido"/>
    <n v="1500"/>
    <n v="900"/>
    <n v="6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504000"/>
    <n v="509292"/>
    <n v="336000"/>
    <n v="339528"/>
    <n v="100800"/>
    <n v="101858.4"/>
    <n v="100800"/>
    <n v="101858.4"/>
    <n v="100800"/>
    <n v="101858.4"/>
    <n v="100800"/>
    <n v="101858.4"/>
    <n v="100800"/>
    <n v="101858.4"/>
    <n v="0"/>
    <m/>
    <m/>
    <s v="X"/>
    <m/>
    <s v="RE"/>
    <n v="3"/>
    <n v="1"/>
  </r>
  <r>
    <x v="1"/>
    <x v="3"/>
    <s v="Programas de inversión privada"/>
    <s v="2.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INNOVACIÓN"/>
    <s v="C8"/>
    <s v="Planes de negocio"/>
    <n v="0"/>
    <n v="45"/>
    <n v="30"/>
    <n v="15000"/>
    <s v="Se contratará profesionales para el asesoramiento y formulación de planes de negocios de las Comunidades Nativas y Campesinas."/>
    <s v="Drasam, Agroideas"/>
    <n v="675000"/>
    <n v="682087.5"/>
    <n v="450000"/>
    <n v="454725"/>
    <n v="135000"/>
    <n v="136417.5"/>
    <n v="135000"/>
    <n v="136417.5"/>
    <n v="135000"/>
    <n v="136417.5"/>
    <n v="135000"/>
    <n v="136417.5"/>
    <n v="135000"/>
    <n v="136417.5"/>
    <n v="0"/>
    <s v="X"/>
    <m/>
    <m/>
    <m/>
    <s v="RE"/>
    <n v="2"/>
    <n v="1"/>
  </r>
  <r>
    <x v="1"/>
    <x v="3"/>
    <s v="Programas de inversión pública"/>
    <s v="2.4.4"/>
    <x v="23"/>
    <s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s v="Programa de promoción de la Asociatividad Empresarial"/>
    <s v="Desarrollar en los productores y produtoras capacidades colaborativas y de confianza hacia objetivos comunes"/>
    <x v="4"/>
    <s v="COMP 2"/>
    <s v="PRODUCCIÓN"/>
    <s v="ASOCIATIVIDAD"/>
    <s v="C2"/>
    <s v="Comunidades fortalecidas"/>
    <n v="0"/>
    <n v="15"/>
    <n v="15"/>
    <n v="144000"/>
    <s v="Contratación de especialistas para dar acompañamiento y seguimiento a los procesos organizativos de las CCNN de forma permanente."/>
    <s v="Drasam, Direpro, Dircetur, ARA, CODEPISAM"/>
    <n v="10800000"/>
    <n v="10913400"/>
    <n v="10800000"/>
    <n v="10913400"/>
    <n v="2160000"/>
    <n v="2182680"/>
    <n v="2160000"/>
    <n v="2182680"/>
    <n v="2160000"/>
    <n v="2182680"/>
    <n v="2160000"/>
    <n v="2182680"/>
    <n v="2160000"/>
    <n v="2182680"/>
    <n v="0"/>
    <m/>
    <m/>
    <s v="X"/>
    <m/>
    <s v="RE"/>
    <n v="2"/>
    <n v="1"/>
  </r>
  <r>
    <x v="1"/>
    <x v="3"/>
    <s v="Programas de inversión privada"/>
    <s v="2.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Especialistas"/>
    <n v="0"/>
    <n v="2"/>
    <n v="2"/>
    <n v="3500"/>
    <s v="Contratación de especialista para identificación, acompañamiento y seguimiento a los procesos comerciales iniciados por las organizaciones de las CCNN"/>
    <s v="Drasam, Direpro, Dircetur, ARA, OPIPs"/>
    <n v="420000"/>
    <n v="424410"/>
    <n v="420000"/>
    <n v="424410"/>
    <n v="84000"/>
    <n v="84882"/>
    <n v="84000"/>
    <n v="84882"/>
    <n v="84000"/>
    <n v="84882"/>
    <n v="84000"/>
    <n v="84882"/>
    <n v="84000"/>
    <n v="84882"/>
    <n v="0"/>
    <s v="X"/>
    <m/>
    <m/>
    <m/>
    <s v="RE"/>
    <n v="2"/>
    <n v="1"/>
  </r>
  <r>
    <x v="1"/>
    <x v="3"/>
    <s v="Invasiones"/>
    <s v="2.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s v="Programa de incentivos para la protección de bosques"/>
    <s v="Contribuir a la sostenilidad de los bosques brindando incentivos financieros"/>
    <x v="3"/>
    <s v="COMP 11"/>
    <s v="PROTECCIÓN"/>
    <s v="FINANCIAMIENTO"/>
    <s v="C6"/>
    <s v="Comunidades atendidas"/>
    <n v="4"/>
    <n v="9"/>
    <n v="6"/>
    <n v="5000"/>
    <s v="El costo esta referido a los gastos administrativos y logísticos que impliquen la elaboración del expediente para ser presentado al programa. "/>
    <s v="Gerencia Regional de Desarrollo Social, Programa Geo bosques"/>
    <n v="225000"/>
    <n v="227362.5"/>
    <n v="150000"/>
    <n v="151575"/>
    <n v="45000"/>
    <n v="45472.5"/>
    <n v="45000"/>
    <n v="45472.5"/>
    <n v="45000"/>
    <n v="45472.5"/>
    <n v="45000"/>
    <n v="45472.5"/>
    <n v="45000"/>
    <n v="45472.5"/>
    <n v="0"/>
    <m/>
    <m/>
    <s v="X"/>
    <m/>
    <m/>
    <n v="3"/>
    <n v="1"/>
  </r>
  <r>
    <x v="1"/>
    <x v="3"/>
    <s v="Programas de inversión pública"/>
    <s v="2.4.7"/>
    <x v="26"/>
    <s v="Con el soporte de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s v="Programa de Infraestructura para la Competitividad "/>
    <s v="Generar condiciones para el desarrollo socio económico del territorio"/>
    <x v="8"/>
    <s v="COMP 9"/>
    <s v="INCLUSION"/>
    <s v="SERVICIO DE EDUCACIÓN Y SALUD ADECUADOS"/>
    <s v="C14"/>
    <s v="Módulos implementados"/>
    <n v="1500"/>
    <n v="450"/>
    <n v="300"/>
    <n v="30000"/>
    <s v="Implementación según las necesidades identificadas en cada comunidad, considerando si son aplicables en dichas zonas, si no hay restricciones de cualquier índole. "/>
    <s v="Goresam, MIDIS, DRTyTC, Drasam,Foncodes, Cooperación"/>
    <n v="13500000"/>
    <n v="13641750"/>
    <n v="9000000"/>
    <n v="9094500"/>
    <n v="2700000"/>
    <n v="2728350"/>
    <n v="2700000"/>
    <n v="2728350"/>
    <n v="2700000"/>
    <n v="2728350"/>
    <n v="2700000"/>
    <n v="2728350"/>
    <n v="2700000"/>
    <n v="2728350"/>
    <n v="0"/>
    <m/>
    <m/>
    <s v="X"/>
    <m/>
    <m/>
    <n v="2"/>
    <n v="1"/>
  </r>
  <r>
    <x v="1"/>
    <x v="3"/>
    <s v="Programas de inversión pública"/>
    <s v="2.4.8"/>
    <x v="27"/>
    <s v="Implementación de proyectos enfocados a mejorar los servicios básicos de las comunidades nativas, dichos servicios deberán contar con profesionales bilingües, para asegurar y garantizar la adecuada transferencia de dichos servicios.  "/>
    <s v="NR"/>
    <x v="0"/>
    <s v="Programa de Infraestructura para la Competitividad "/>
    <s v="Generar condiciones para el desarrollo socio económico del territorio"/>
    <x v="8"/>
    <s v="COMP 9"/>
    <s v="INCLUSION"/>
    <s v="SERVICIO DE EDUCACIÓN Y SALUD ADECUADOS"/>
    <s v="C14"/>
    <s v="Escuelas y postas médicas implementadas"/>
    <n v="15"/>
    <n v="8"/>
    <n v="7"/>
    <n v="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000000"/>
    <n v="2021000"/>
    <n v="1750000"/>
    <n v="1768375"/>
    <n v="400000"/>
    <n v="404200"/>
    <n v="400000"/>
    <n v="404200"/>
    <n v="400000"/>
    <n v="404200"/>
    <n v="400000"/>
    <n v="404200"/>
    <n v="400000"/>
    <n v="404200"/>
    <n v="0"/>
    <s v="X"/>
    <m/>
    <m/>
    <m/>
    <s v="RE"/>
    <n v="3"/>
    <n v="1"/>
  </r>
  <r>
    <x v="1"/>
    <x v="4"/>
    <s v="Ingresos y Capital"/>
    <s v="2.5.1"/>
    <x v="55"/>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s v="Programa de incentivos para la protección de bosques"/>
    <s v="Contribuir a la sostenilidad de los bosques brindando incentivos financieros"/>
    <x v="3"/>
    <s v="COMP 11"/>
    <s v="PROTECCIÓN"/>
    <s v="FINANCIAMIENTO"/>
    <s v="C6"/>
    <s v="Planes de negocio"/>
    <n v="4"/>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6300"/>
    <n v="600000"/>
    <n v="606300"/>
    <n v="120000"/>
    <n v="121260"/>
    <n v="120000"/>
    <n v="121260"/>
    <n v="120000"/>
    <n v="121260"/>
    <n v="120000"/>
    <n v="121260"/>
    <n v="120000"/>
    <n v="121260"/>
    <n v="0"/>
    <s v="X"/>
    <m/>
    <m/>
    <m/>
    <n v="0"/>
    <n v="3"/>
    <n v="1"/>
  </r>
  <r>
    <x v="1"/>
    <x v="4"/>
    <s v="Programas de inversión pública"/>
    <s v="2.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s v="Programa de Asistencia Técnica para la recuperación de bosques"/>
    <s v="Recuperación de bosques mediante la recuperación y concervación de los suelos, el aprovechamiento de los serivicios ecosistemicos , manejo forstal, entre otros "/>
    <x v="6"/>
    <s v="COMP 5"/>
    <s v="PROTECCIÓN"/>
    <s v="ASISTENCIA TÉCNICA"/>
    <s v="C1"/>
    <s v="Especialistas"/>
    <n v="0"/>
    <n v="2"/>
    <n v="2"/>
    <n v="4000"/>
    <s v="Contratación de especialista y gastos logísticos, pasantías regionales y nacionales para adquisición de know how en materia de turismo rural"/>
    <s v="Dircetur"/>
    <n v="480000"/>
    <n v="485040"/>
    <n v="480000"/>
    <n v="485040"/>
    <n v="240000"/>
    <n v="242520"/>
    <n v="240000"/>
    <n v="242520"/>
    <n v="0"/>
    <n v="0"/>
    <n v="0"/>
    <n v="0"/>
    <n v="0"/>
    <n v="0"/>
    <n v="0"/>
    <m/>
    <m/>
    <s v="X"/>
    <m/>
    <n v="0"/>
    <n v="3"/>
    <n v="1"/>
  </r>
  <r>
    <x v="1"/>
    <x v="4"/>
    <s v="Programas de inversión privada"/>
    <s v="2.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INNOVACIÓN"/>
    <s v="C8"/>
    <s v="Planes de negocio"/>
    <n v="0"/>
    <n v="4"/>
    <n v="8"/>
    <n v="150000"/>
    <s v="El costo hace referencia al proceso de implementación y funcionamiento de los productos para el desarrollo de  los emprendimientos."/>
    <s v="Dircetur, Agroideas"/>
    <n v="600000"/>
    <n v="606300"/>
    <n v="1200000"/>
    <n v="1212600"/>
    <n v="120000"/>
    <n v="121260"/>
    <n v="120000"/>
    <n v="121260"/>
    <n v="120000"/>
    <n v="121260"/>
    <n v="120000"/>
    <n v="121260"/>
    <n v="120000"/>
    <n v="121260"/>
    <n v="0"/>
    <s v="X"/>
    <m/>
    <m/>
    <m/>
    <s v="RE"/>
    <n v="3"/>
    <n v="1"/>
  </r>
  <r>
    <x v="1"/>
    <x v="4"/>
    <s v="Programas de inversión privada"/>
    <s v="2.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Rutas turísticas promocionados"/>
    <n v="0"/>
    <n v="4"/>
    <n v="4"/>
    <n v="40000"/>
    <s v="Participación en eventos de promoción (ferias regionales y nacionales, Fam Trip), el costo cubrirá gastos logísticos y administrativos de los operadores turísticos identificados "/>
    <s v="Mincetur, Dircetur"/>
    <n v="800000"/>
    <n v="808400"/>
    <n v="800000"/>
    <n v="808400"/>
    <n v="160000"/>
    <n v="161680"/>
    <n v="160000"/>
    <n v="161680"/>
    <n v="160000"/>
    <n v="161680"/>
    <n v="160000"/>
    <n v="161680"/>
    <n v="160000"/>
    <n v="161680"/>
    <n v="0"/>
    <m/>
    <m/>
    <s v="X"/>
    <m/>
    <n v="0"/>
    <n v="3"/>
    <n v="1"/>
  </r>
  <r>
    <x v="1"/>
    <x v="11"/>
    <s v="Control y vigilancia"/>
    <s v="2.6.1"/>
    <x v="35"/>
    <s v="Implementar con recursos necesarios al ente que administra el área, con la finalidad de aumentar el número de personas (guardaparques) que contribuyan a realizar acciones de control y vigilancia."/>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s v="CONTROL Y VIGILANCIA"/>
    <s v="C4"/>
    <s v="Número de guardaparques"/>
    <n v="0"/>
    <n v="10"/>
    <n v="10"/>
    <n v="2000"/>
    <s v="Contratación a guardaparques para garantizar el control y vigilancia del área otorgada."/>
    <s v="Ara, serfor, Sernanp"/>
    <n v="1200000"/>
    <n v="1212600"/>
    <n v="1200000"/>
    <n v="1212600"/>
    <n v="240000"/>
    <n v="242520"/>
    <n v="240000"/>
    <n v="242520"/>
    <n v="240000"/>
    <n v="242520"/>
    <n v="240000"/>
    <n v="242520"/>
    <n v="240000"/>
    <n v="242520"/>
    <n v="0"/>
    <m/>
    <s v="X"/>
    <m/>
    <m/>
    <s v="RE"/>
    <n v="3"/>
    <n v="1"/>
  </r>
  <r>
    <x v="1"/>
    <x v="11"/>
    <s v="Control y vigilancia"/>
    <s v="2.6.2"/>
    <x v="34"/>
    <s v="Campañas de sensibilización en distritos acentuadas en el ámbito del ANP, considerando la participación del ARA, DRASAM, DIRCETUR, GRDS, CGSCM, CGBPAM, PNCB, OSINFOR.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s v="CONTROL Y VIGILANCIA"/>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21000"/>
    <n v="2000000"/>
    <n v="2021000"/>
    <n v="400000"/>
    <n v="404200"/>
    <n v="400000"/>
    <n v="404200"/>
    <n v="400000"/>
    <n v="404200"/>
    <n v="400000"/>
    <n v="404200"/>
    <n v="400000"/>
    <n v="404200"/>
    <n v="0"/>
    <m/>
    <s v="X"/>
    <m/>
    <m/>
    <s v="RE"/>
    <n v="3"/>
    <n v="1"/>
  </r>
  <r>
    <x v="1"/>
    <x v="11"/>
    <s v="Programas de inversión pública"/>
    <s v="2.6.3"/>
    <x v="56"/>
    <s v="Promover la planificación comunal en centros poblados del interior en base a la zonificación y zona de amortiguamiento teniendo como base al Plan Maestro (incluye acuerdos de conservación)"/>
    <s v="NR"/>
    <x v="0"/>
    <s v="Programa de Infraestructura para la Competitividad "/>
    <s v="Generar condiciones para el desarrollo socio económico del territorio"/>
    <x v="8"/>
    <s v="COMP 9"/>
    <s v="HABILITANTE"/>
    <s v="PLANES DE VIDA"/>
    <s v="C10"/>
    <s v="Planes de gestión comunal"/>
    <n v="0"/>
    <n v="24"/>
    <n v="40"/>
    <n v="10000"/>
    <s v="Contratación de servicios profesionales para la elaboración de los planes de gestión comunal."/>
    <s v="Dircetur, Mincetur"/>
    <n v="240000"/>
    <n v="242520"/>
    <n v="400000"/>
    <n v="404200"/>
    <n v="48000"/>
    <n v="48504"/>
    <n v="48000"/>
    <n v="48504"/>
    <n v="48000"/>
    <n v="48504"/>
    <n v="48000"/>
    <n v="48504"/>
    <n v="48000"/>
    <n v="48504"/>
    <n v="0"/>
    <m/>
    <s v="X"/>
    <m/>
    <m/>
    <m/>
    <n v="3"/>
    <n v="1"/>
  </r>
  <r>
    <x v="1"/>
    <x v="11"/>
    <s v="Programas de inversión privada"/>
    <s v="2.6.4"/>
    <x v="57"/>
    <s v="Campañas de promoción y difusión en el ámbito regional y nacional de los circuitos turísticos que existen en la zona de amortiguamiento. acorde al plan maestro del BPAM.  https://es.scribd.com/document/74386745/PLAN-DE-USO-TURISTICO-BPAM"/>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Campañas de promoción"/>
    <n v="0"/>
    <n v="20"/>
    <n v="20"/>
    <n v="4000"/>
    <s v="Campañas de promoción que incluye, impresión de material de difusión, publicidad radial, televisiva y escrita."/>
    <s v="Dircetur, Mincetur"/>
    <n v="400000"/>
    <n v="404200"/>
    <n v="400000"/>
    <n v="404200"/>
    <n v="80000"/>
    <n v="80840"/>
    <n v="80000"/>
    <n v="80840"/>
    <n v="80000"/>
    <n v="80840"/>
    <n v="80000"/>
    <n v="80840"/>
    <n v="80000"/>
    <n v="80840"/>
    <n v="0"/>
    <m/>
    <m/>
    <s v="X"/>
    <m/>
    <m/>
    <n v="3"/>
    <n v="1"/>
  </r>
  <r>
    <x v="1"/>
    <x v="11"/>
    <s v="Programas de inversión privada"/>
    <s v="2.6.5"/>
    <x v="58"/>
    <s v="Realizar pasantías focalizadas en aquellos sectores claves que se necesita intervenir para disminuir la presión al ANP."/>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Pasantías"/>
    <n v="0"/>
    <n v="16"/>
    <n v="16"/>
    <n v="2500"/>
    <s v="El costo hace referencia a los gastos de pasajes, alimentación y otros para un grupo de 20 productores por pasantía."/>
    <s v="Drasam"/>
    <n v="200000"/>
    <n v="202100"/>
    <n v="200000"/>
    <n v="202100"/>
    <n v="40000"/>
    <n v="40420"/>
    <n v="40000"/>
    <n v="40420"/>
    <n v="40000"/>
    <n v="40420"/>
    <n v="40000"/>
    <n v="40420"/>
    <n v="40000"/>
    <n v="40420"/>
    <n v="0"/>
    <m/>
    <m/>
    <s v="X"/>
    <m/>
    <m/>
    <n v="2"/>
    <n v="1"/>
  </r>
  <r>
    <x v="1"/>
    <x v="11"/>
    <s v="Programas de inversión pública"/>
    <s v="2.6.6"/>
    <x v="59"/>
    <s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s v="Programa de Asistencia Técnica para la recuperación de bosques"/>
    <s v="Recuperación de bosques mediante la recuperación y concervación de los suelos, el aprovechamiento de los serivicios ecosistemicos , manejo forstal, entre otros "/>
    <x v="6"/>
    <s v="COMP 5"/>
    <s v="PROTECCIÓN"/>
    <s v="ASISTENCIA TÉCNICA"/>
    <s v="C1"/>
    <s v="Especialistas"/>
    <n v="0"/>
    <n v="3"/>
    <n v="3"/>
    <n v="3500"/>
    <s v="El costo comprende la contratación de profesionales para brindar asistencias técnica en los cultivos priorizados en la zona de intervención."/>
    <s v="Drasam"/>
    <n v="630000"/>
    <n v="636615"/>
    <n v="630000"/>
    <n v="636615"/>
    <n v="126000"/>
    <n v="127323"/>
    <n v="126000"/>
    <n v="127323"/>
    <n v="126000"/>
    <n v="127323"/>
    <n v="126000"/>
    <n v="127323"/>
    <n v="126000"/>
    <n v="127323"/>
    <n v="0"/>
    <m/>
    <m/>
    <s v="X"/>
    <m/>
    <s v="RE"/>
    <n v="3"/>
    <n v="1"/>
  </r>
  <r>
    <x v="1"/>
    <x v="11"/>
    <s v="Ingresos y Capital"/>
    <s v="2.6.7"/>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NR"/>
    <x v="2"/>
    <s v="Programa de incentivos para la protección de bosques"/>
    <s v="Contribuir a la sostenilidad de los bosques brindando incentivos financieros"/>
    <x v="3"/>
    <s v="COMP 11"/>
    <s v="PROTECCIÓN"/>
    <s v="FINANCIAMIENTO"/>
    <s v="C6"/>
    <s v="Planes de negocios"/>
    <n v="0"/>
    <n v="50"/>
    <n v="5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0"/>
    <n v="5052500"/>
    <n v="5000000"/>
    <n v="5052500"/>
    <n v="1000000"/>
    <n v="1010500"/>
    <n v="1000000"/>
    <n v="1010500"/>
    <n v="1000000"/>
    <n v="1010500"/>
    <n v="1000000"/>
    <n v="1010500"/>
    <n v="1000000"/>
    <n v="1010500"/>
    <n v="0"/>
    <s v="X"/>
    <m/>
    <m/>
    <m/>
    <s v="RE"/>
    <n v="3"/>
    <n v="1"/>
  </r>
  <r>
    <x v="1"/>
    <x v="8"/>
    <s v="Invasiones"/>
    <s v="2.7.1"/>
    <x v="40"/>
    <s v="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
    <s v="NR"/>
    <x v="0"/>
    <s v="Programa de regulización, formalizacion y saneamiento de predios"/>
    <s v="Formalización de la situacion de legal de los predios, estableciendo medidas facilitadoras"/>
    <x v="0"/>
    <s v="COMP 8"/>
    <s v="PROTECCIÓN-GOBERNANZA"/>
    <s v="DERECHOS SOBRE LA TIERRA"/>
    <s v="C5"/>
    <s v="Ha. con categoría territorial asignada"/>
    <n v="140920.89160839622"/>
    <n v="70460.445804198112"/>
    <n v="70460.445804198112"/>
    <n v="15"/>
    <s v="Para la implementación de las intervención será mecesario la contratación de especialistas para realizar las acciones que comtemplen dicha actividad. Gastos logísticos y trámites documentarios."/>
    <s v="GRSM - DEGT"/>
    <n v="1056906.6870629718"/>
    <n v="1068004.2072771329"/>
    <n v="1056906.6870629718"/>
    <n v="1068004.2072771329"/>
    <n v="211381.33741259435"/>
    <n v="213600.84145542659"/>
    <n v="211381.33741259435"/>
    <n v="213600.84145542659"/>
    <n v="211381.33741259435"/>
    <n v="213600.84145542659"/>
    <n v="211381.33741259435"/>
    <n v="213600.84145542659"/>
    <n v="211381.33741259435"/>
    <n v="213600.84145542659"/>
    <n v="0"/>
    <m/>
    <s v="X"/>
    <m/>
    <m/>
    <n v="0"/>
    <n v="3"/>
    <n v="1"/>
  </r>
  <r>
    <x v="1"/>
    <x v="8"/>
    <s v="Control y vigilancia"/>
    <s v="2.7.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s v="DERECHOS SOBRE LA TIERRA"/>
    <s v="C5"/>
    <s v="N° de responsables de administración que aprueban evaluación de capacitación "/>
    <n v="0"/>
    <n v="70"/>
    <n v="70"/>
    <n v="150"/>
    <s v="Considera materiales de capacitación, alimentación a capacitados en el área cercana a su comunidad y gastos de capacitadores"/>
    <s v="GRSM - DEGT"/>
    <n v="10500"/>
    <n v="10610.25"/>
    <n v="10500"/>
    <n v="10610.25"/>
    <n v="10500"/>
    <n v="10610.25"/>
    <n v="0"/>
    <n v="0"/>
    <n v="0"/>
    <n v="0"/>
    <n v="0"/>
    <n v="0"/>
    <n v="0"/>
    <n v="0"/>
    <n v="0"/>
    <m/>
    <s v="X"/>
    <m/>
    <m/>
    <n v="0"/>
    <n v="2"/>
    <n v="1"/>
  </r>
  <r>
    <x v="1"/>
    <x v="8"/>
    <s v="Control y vigilancia"/>
    <s v="2.7.3"/>
    <x v="42"/>
    <s v="Dependiendo de la categoría forestal a ser aplicada, se realizará un plan/declaración acorde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s v="DERECHOS SOBRE LA TIERRA"/>
    <s v="C5"/>
    <s v="N° Planes / Declaraciones elaborados"/>
    <n v="0"/>
    <n v="15"/>
    <n v="15"/>
    <n v="10000"/>
    <s v="Se considera la contratación de profesionales para la elaboración de los expedientes y/o declaraciones identificadas en los diferentes procesos."/>
    <s v="GRSM - DEGT"/>
    <n v="150000"/>
    <n v="151575"/>
    <n v="150000"/>
    <n v="151575"/>
    <n v="45000"/>
    <n v="45472.5"/>
    <n v="45000"/>
    <n v="45472.5"/>
    <n v="60000"/>
    <n v="60630"/>
    <n v="0"/>
    <n v="0"/>
    <n v="0"/>
    <n v="0"/>
    <n v="0"/>
    <m/>
    <s v="X"/>
    <m/>
    <m/>
    <n v="0"/>
    <n v="2"/>
    <n v="1"/>
  </r>
  <r>
    <x v="1"/>
    <x v="8"/>
    <s v="Invasiones"/>
    <s v="2.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s v="DERECHOS SOBRE LA TIERRA"/>
    <s v="C5"/>
    <s v="Ha. Inscritas"/>
    <n v="140920.89160839622"/>
    <n v="70460.445804198112"/>
    <n v="70460.445804198112"/>
    <n v="1"/>
    <s v="Contratación de dos profesioales para agilizar procesos con sunarp."/>
    <s v="GRSM - DEGT"/>
    <n v="70460.445804198112"/>
    <n v="71200.280485142182"/>
    <n v="70460.445804198112"/>
    <n v="71200.280485142182"/>
    <n v="14092.089160839623"/>
    <n v="14240.056097028439"/>
    <n v="14092.089160839623"/>
    <n v="14240.056097028439"/>
    <n v="14092.089160839623"/>
    <n v="14240.056097028439"/>
    <n v="14092.089160839623"/>
    <n v="14240.056097028439"/>
    <n v="14092.089160839623"/>
    <n v="14240.056097028439"/>
    <n v="0"/>
    <m/>
    <s v="X"/>
    <m/>
    <m/>
    <n v="0"/>
    <n v="2"/>
    <n v="1"/>
  </r>
  <r>
    <x v="1"/>
    <x v="9"/>
    <s v="Invasiones"/>
    <s v="2.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s v="Programa de regulización, formalizacion y saneamiento de predios"/>
    <s v="Formalización de la situacion de legal de los predios, estableciendo medidas facilitadoras"/>
    <x v="0"/>
    <s v="COMP 8"/>
    <s v="PROTECCIÓN-GOBERNANZA"/>
    <s v="DERECHOS SOBRE LA TIERRA"/>
    <s v="C5"/>
    <s v="Ha. con categoría territorial asignada"/>
    <n v="24905.186800862601"/>
    <n v="12452.5934004313"/>
    <n v="12452.5934004313"/>
    <n v="15"/>
    <s v="Para la implementación de las intervención será mecesario la contratación de especialistas para realizar las acciones que comtemplen dicha actividad. Gastos logísticos y trámites documentarios."/>
    <s v="GRSM - DEGT"/>
    <n v="186788.9010064695"/>
    <n v="188750.18446703741"/>
    <n v="186788.9010064695"/>
    <n v="188750.18446703741"/>
    <n v="37357.780201293899"/>
    <n v="37750.036893407487"/>
    <n v="37357.780201293899"/>
    <n v="37750.036893407487"/>
    <n v="37357.780201293899"/>
    <n v="37750.036893407487"/>
    <n v="37357.780201293899"/>
    <n v="37750.036893407487"/>
    <n v="37357.780201293899"/>
    <n v="37750.036893407487"/>
    <n v="0"/>
    <m/>
    <s v="X"/>
    <m/>
    <m/>
    <m/>
    <n v="3"/>
    <n v="1"/>
  </r>
  <r>
    <x v="1"/>
    <x v="9"/>
    <s v="Control y vigilancia"/>
    <s v="2.8.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s v="DERECHOS SOBRE LA TIERRA"/>
    <s v="C5"/>
    <s v="N° de responsables de administración que aprueban evaluación de capacitación "/>
    <n v="0"/>
    <n v="70"/>
    <n v="70"/>
    <n v="150"/>
    <s v="Considera materiales de capacitación, alimentación a capacitados en el área cercana a su comunidad y gastos de capacitadores"/>
    <s v="GRSM - DEGT"/>
    <n v="10500"/>
    <n v="10610.25"/>
    <n v="10500"/>
    <n v="10610.25"/>
    <n v="10500"/>
    <n v="10610.25"/>
    <n v="0"/>
    <n v="0"/>
    <n v="0"/>
    <n v="0"/>
    <n v="0"/>
    <n v="0"/>
    <n v="0"/>
    <n v="0"/>
    <n v="0"/>
    <m/>
    <s v="X"/>
    <m/>
    <m/>
    <m/>
    <n v="2"/>
    <n v="1"/>
  </r>
  <r>
    <x v="1"/>
    <x v="9"/>
    <s v="Control y vigilancia"/>
    <s v="2.8.3"/>
    <x v="42"/>
    <s v="Dependiendo de la categoría forestal a ser aplicada, se realizará un plan/declaración acorde a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s v="DERECHOS SOBRE LA TIERRA"/>
    <s v="C5"/>
    <s v="N° Planes / Declaraciones elaborados"/>
    <n v="0"/>
    <n v="5"/>
    <n v="5"/>
    <n v="10000"/>
    <s v="Se considera la contratación de profesionales para la elaboración de los expedientes y/o declaraciones identificadas en los diferentes procesos."/>
    <s v="GRSM - DEGT"/>
    <n v="50000"/>
    <n v="50525"/>
    <n v="50000"/>
    <n v="50525"/>
    <n v="15000"/>
    <n v="15157.5"/>
    <n v="15000"/>
    <n v="15157.5"/>
    <n v="20000"/>
    <n v="20210"/>
    <n v="0"/>
    <n v="0"/>
    <n v="0"/>
    <n v="0"/>
    <n v="0"/>
    <m/>
    <s v="X"/>
    <m/>
    <m/>
    <m/>
    <n v="2"/>
    <n v="1"/>
  </r>
  <r>
    <x v="1"/>
    <x v="9"/>
    <s v="Invasiones"/>
    <s v="2.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s v="DERECHOS SOBRE LA TIERRA"/>
    <s v="C5"/>
    <s v="Ha. Inscritas"/>
    <n v="24905.186800862601"/>
    <n v="12452.5934004313"/>
    <n v="12452.5934004313"/>
    <n v="1"/>
    <s v="Contratación de dos profesioales para agilizar procesos con sunarp."/>
    <s v="GRSM - DEGT"/>
    <n v="12452.5934004313"/>
    <n v="12583.345631135828"/>
    <n v="12452.5934004313"/>
    <n v="12583.345631135828"/>
    <n v="2490.5186800862602"/>
    <n v="2516.6691262271661"/>
    <n v="2490.5186800862602"/>
    <n v="2516.6691262271661"/>
    <n v="2490.5186800862602"/>
    <n v="2516.6691262271661"/>
    <n v="2490.5186800862602"/>
    <n v="2516.6691262271661"/>
    <n v="2490.5186800862602"/>
    <n v="2516.6691262271661"/>
    <n v="0"/>
    <m/>
    <s v="X"/>
    <m/>
    <m/>
    <m/>
    <n v="2"/>
    <n v="1"/>
  </r>
  <r>
    <x v="1"/>
    <x v="9"/>
    <s v="Ingresos y Capital"/>
    <s v="2.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s v="DERECHOS SOBRE LA TIERRA"/>
    <s v="C5"/>
    <s v="Hectáreas restauradas"/>
    <n v="0"/>
    <n v="5637.0492705921833"/>
    <n v="0"/>
    <n v="500"/>
    <s v="El costo incluye la restauración de una hectárea, esta actividad se desarrollara de acuerdo a la metodología propuesta por el ARA, en coordinación con los productores seleccionados."/>
    <s v="ARA"/>
    <n v="2818524.6352960919"/>
    <n v="2848119.1439667009"/>
    <n v="0"/>
    <n v="0"/>
    <n v="2818524.6352960919"/>
    <n v="2848119.1439667009"/>
    <n v="0"/>
    <n v="0"/>
    <n v="0"/>
    <n v="0"/>
    <n v="0"/>
    <n v="0"/>
    <n v="0"/>
    <n v="0"/>
    <n v="0"/>
    <m/>
    <s v="X"/>
    <m/>
    <m/>
    <m/>
    <n v="3"/>
    <n v="1"/>
  </r>
  <r>
    <x v="1"/>
    <x v="10"/>
    <s v="Programas de inversión pública"/>
    <s v="2.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s v="Programa de regulización, formalizacion y saneamiento de predios"/>
    <s v="Formalización de la situacion de legal de los predios, estableciendo medidas facilitadoras"/>
    <x v="0"/>
    <s v="COMP 8"/>
    <s v="PROTECCIÓN"/>
    <s v="TRANSVERSALES X UDT"/>
    <s v="C18"/>
    <s v="Acuerdos con rondas campesinas"/>
    <n v="0"/>
    <n v="19"/>
    <n v="19"/>
    <n v="2500"/>
    <s v="Reuniones con los diferentes actores involucrados y la sociedad civil para llegar a acuerdos de no deforestación, lo cual incluye  gastos logísticos en general."/>
    <s v="GRIS"/>
    <n v="237500"/>
    <n v="239993.75"/>
    <n v="237500"/>
    <n v="239993.75"/>
    <n v="47500"/>
    <n v="47998.75"/>
    <n v="47500"/>
    <n v="47998.75"/>
    <n v="47500"/>
    <n v="47998.75"/>
    <n v="47500"/>
    <n v="47998.75"/>
    <n v="47500"/>
    <n v="47998.75"/>
    <n v="0"/>
    <m/>
    <m/>
    <s v="X"/>
    <m/>
    <s v="RE"/>
    <n v="3"/>
    <n v="1"/>
  </r>
  <r>
    <x v="1"/>
    <x v="10"/>
    <s v="Programas de inversión pública"/>
    <s v="2.9.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Esta intervención será apoyada por las organizaciones formales de rondas campesinas, rondas campesinas rondas nativas y comités de monitoreo."/>
    <s v="NR"/>
    <x v="2"/>
    <s v="Programa de Asistencia Técnica para la recuperación de bosques"/>
    <s v="Recuperación de bosques mediante la recuperación y concervación de los suelos, el aprovechamiento de los serivicios ecosistemicos , manejo forstal, entre otros "/>
    <x v="6"/>
    <s v="COMP 5"/>
    <s v="PROTECCIÓN"/>
    <s v="TRANSVERSALES X UDT"/>
    <s v="C18"/>
    <s v="Especialistas"/>
    <n v="0"/>
    <n v="3"/>
    <n v="3"/>
    <n v="5000"/>
    <s v="Contratación de especialistas para realizar monitoreo de la cobertura de bosque, desde los diferentes órganos competentes. "/>
    <s v="ARA"/>
    <n v="900000"/>
    <n v="909450"/>
    <n v="900000"/>
    <n v="909450"/>
    <n v="180000"/>
    <n v="181890"/>
    <n v="180000"/>
    <n v="181890"/>
    <n v="180000"/>
    <n v="181890"/>
    <n v="180000"/>
    <n v="181890"/>
    <n v="180000"/>
    <n v="181890"/>
    <n v="0"/>
    <m/>
    <s v="X"/>
    <m/>
    <m/>
    <s v="RE"/>
    <n v="3"/>
    <n v="1"/>
  </r>
  <r>
    <x v="1"/>
    <x v="10"/>
    <s v="Programas de inversión pública"/>
    <s v="2.9.3"/>
    <x v="48"/>
    <s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s v="Programa de Infraestructura para la Competitividad "/>
    <s v="Generar condiciones para el desarrollo socio económico del territorio"/>
    <x v="9"/>
    <s v="COMP 10"/>
    <s v="HABILITANTE"/>
    <s v="TRANSVERSALES X UDT"/>
    <s v="C18"/>
    <s v="Kilómetros mejorados"/>
    <n v="1706"/>
    <n v="170.60000000000002"/>
    <n v="170.60000000000002"/>
    <n v="800000"/>
    <s v="Costo promedio de por km2 de vía mejorada o asfaltada"/>
    <s v="DRTyTC"/>
    <n v="136480000.00000003"/>
    <n v="137913040.00000003"/>
    <n v="136480000.00000003"/>
    <n v="137913040.00000003"/>
    <n v="27296000.000000007"/>
    <n v="27582608.000000007"/>
    <n v="27296000.000000007"/>
    <n v="27582608.000000007"/>
    <n v="27296000.000000007"/>
    <n v="27582608.000000007"/>
    <n v="27296000.000000007"/>
    <n v="27582608.000000007"/>
    <n v="27296000.000000007"/>
    <n v="27582608.000000007"/>
    <n v="0"/>
    <s v="X"/>
    <m/>
    <m/>
    <m/>
    <m/>
    <n v="2"/>
    <n v="1"/>
  </r>
  <r>
    <x v="1"/>
    <x v="10"/>
    <s v="Programas de inversión pública"/>
    <s v="2.9.4"/>
    <x v="49"/>
    <s v="En marco de la Zonificación Forestal donde se identificaron zonas de recuperación y tratamiento especial para la restauración de áreas con prioridad alta y muy alta para restauración, utilizando las diferentes metodologías de restauración propuesta por la entidad competente. Las actividades de restauración tendrán como objetivos desarrollar la agroforestería, recuperar servicios eco sistémicos y recuperar zonas productivas."/>
    <s v="NR"/>
    <x v="2"/>
    <s v="Programa de Asistencia Técnica para la recuperación de bosques"/>
    <s v="Recuperación de bosques mediante la recuperación y concervación de los suelos, el aprovechamiento de los serivicios ecosistemicos , manejo forstal, entre otros "/>
    <x v="6"/>
    <s v="COMP 5"/>
    <s v="PROTECCIÓN"/>
    <s v="TRANSVERSALES X UDT"/>
    <s v="C18"/>
    <s v="Hectáreas Restauradas"/>
    <n v="62130.95"/>
    <n v="15532.737499999999"/>
    <n v="12426.19"/>
    <n v="500"/>
    <s v="El costo incluye la restauración de una hectárea, esta actividad se desarrollara de acuerdo a la metodología propuesta por el ARA, en coordinación con los productores seleccionados."/>
    <s v="ARA"/>
    <n v="7766368.75"/>
    <n v="7847915.6218749993"/>
    <n v="6213095"/>
    <n v="6278332.4974999996"/>
    <n v="1553273.75"/>
    <n v="1569583.1243749999"/>
    <n v="1553273.75"/>
    <n v="1569583.1243749999"/>
    <n v="1553273.75"/>
    <n v="1569583.1243749999"/>
    <n v="1553273.75"/>
    <n v="1569583.1243749999"/>
    <n v="1553273.75"/>
    <n v="1569583.1243749999"/>
    <n v="0"/>
    <m/>
    <m/>
    <s v="X"/>
    <m/>
    <s v="RE"/>
    <n v="3"/>
    <n v="1"/>
  </r>
  <r>
    <x v="1"/>
    <x v="10"/>
    <s v="Programas de inversión pública"/>
    <s v="2.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s v="Programa de Infraestructura para la Competitividad "/>
    <s v="Generar condiciones para el desarrollo socio económico del territorio"/>
    <x v="8"/>
    <s v="COMP 9"/>
    <s v="INCLUSION"/>
    <s v="TRANSVERSALES X UDT"/>
    <s v="C18"/>
    <s v="Centros educativos y postas médicas implementados"/>
    <n v="0"/>
    <n v="5"/>
    <n v="5"/>
    <n v="3500000"/>
    <s v="El presupuesto esta relacionado a la implementación de la infraestructura, mobiliario y materiales educativos necesarios para que se brinde un servicio de calidad a los niños que aún no reciben dicho servicio de manera permanente."/>
    <s v="Colegio de ingenieros de San Martín / GRDS"/>
    <n v="17500000"/>
    <n v="17683750"/>
    <n v="17500000"/>
    <n v="17683750"/>
    <n v="3500000"/>
    <n v="3536750"/>
    <n v="3500000"/>
    <n v="3536750"/>
    <n v="3500000"/>
    <n v="3536750"/>
    <n v="3500000"/>
    <n v="3536750"/>
    <n v="3500000"/>
    <n v="3536750"/>
    <n v="0"/>
    <m/>
    <s v="X"/>
    <m/>
    <m/>
    <s v="RE"/>
    <n v="3"/>
    <n v="1"/>
  </r>
  <r>
    <x v="1"/>
    <x v="10"/>
    <s v="Programas de inversión pública"/>
    <s v="2.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s v="Programa de Infraestructura para la Competitividad "/>
    <s v="Generar condiciones para el desarrollo socio económico del territorio"/>
    <x v="8"/>
    <s v="COMP 9"/>
    <s v="INCLUSION"/>
    <s v="TRANSVERSALES X UDT"/>
    <s v="C18"/>
    <s v="N° campañas"/>
    <n v="0"/>
    <n v="166.25"/>
    <n v="166.25"/>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4156250"/>
    <n v="4199890.625"/>
    <n v="4156250"/>
    <n v="4199890.625"/>
    <n v="831250"/>
    <n v="839978.125"/>
    <n v="831250"/>
    <n v="839978.125"/>
    <n v="831250"/>
    <n v="839978.125"/>
    <n v="831250"/>
    <n v="839978.125"/>
    <n v="831250"/>
    <n v="839978.125"/>
    <n v="0"/>
    <m/>
    <s v="X"/>
    <m/>
    <m/>
    <s v="RE"/>
    <n v="3"/>
    <n v="1"/>
  </r>
  <r>
    <x v="1"/>
    <x v="10"/>
    <s v="Programas de inversión pública"/>
    <s v="2.9.7"/>
    <x v="52"/>
    <s v="Promoción al acceso de la marca con los productores que cumplan los criterios de elegibilidad solicitados por el programa, como una estrategia de ubicar mercados diferenciados para los productos provenientes de estas zo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TRANSVERSALES X UDT"/>
    <s v="C18"/>
    <s v="Organizaciones que acceden a la marca"/>
    <n v="0"/>
    <n v="10"/>
    <n v="15"/>
    <n v="3000"/>
    <s v="El costo incluye: Una inspección anual anunciada,  elaboración de informe de inspección, administración y comunicación, certificación según los estándares de la marca."/>
    <s v="GRDE"/>
    <n v="150000"/>
    <n v="151575"/>
    <n v="45000"/>
    <n v="45472.5"/>
    <n v="30000"/>
    <n v="30315"/>
    <n v="30000"/>
    <n v="30315"/>
    <n v="30000"/>
    <n v="30315"/>
    <n v="30000"/>
    <n v="30315"/>
    <n v="30000"/>
    <n v="30315"/>
    <n v="0"/>
    <m/>
    <m/>
    <s v="X"/>
    <m/>
    <m/>
    <n v="3"/>
    <n v="1"/>
  </r>
  <r>
    <x v="2"/>
    <x v="0"/>
    <s v="Invasiones"/>
    <s v="4.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6328.5309793106999"/>
    <n v="3164.2654896553499"/>
    <n v="3164.2654896553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328530.9793106997"/>
    <n v="6394980.5545934616"/>
    <n v="6328530.9793106997"/>
    <n v="6394980.5545934616"/>
    <n v="632853.09793107002"/>
    <n v="639498.05545934627"/>
    <n v="949279.64689660491"/>
    <n v="959247.08318901923"/>
    <n v="1265706.19586214"/>
    <n v="1278996.1109186925"/>
    <n v="1898559.2937932098"/>
    <n v="1918494.1663780385"/>
    <n v="1582132.7448276749"/>
    <n v="1598745.1386483654"/>
    <n v="0"/>
    <m/>
    <m/>
    <s v="X"/>
    <m/>
    <s v="RE"/>
    <n v="3"/>
    <n v="1"/>
  </r>
  <r>
    <x v="2"/>
    <x v="0"/>
    <s v="Programas de inversión pública"/>
    <s v="4.1.2"/>
    <x v="1"/>
    <s v="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ASISTENCIA TÉCNICA"/>
    <s v="C1"/>
    <s v="Productores asistidos"/>
    <n v="26029"/>
    <n v="15617.4"/>
    <n v="10411.6"/>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8745744"/>
    <n v="8837574.311999999"/>
    <n v="5830496"/>
    <n v="5891716.2079999996"/>
    <n v="1749148.8"/>
    <n v="1767514.8624"/>
    <n v="1749148.8"/>
    <n v="1767514.8624"/>
    <n v="1749148.8"/>
    <n v="1767514.8624"/>
    <n v="1749148.8"/>
    <n v="1767514.8624"/>
    <n v="1749148.8"/>
    <n v="1767514.8624"/>
    <n v="0"/>
    <m/>
    <m/>
    <s v="X"/>
    <m/>
    <s v="RE"/>
    <n v="3"/>
    <n v="1"/>
  </r>
  <r>
    <x v="2"/>
    <x v="0"/>
    <s v="Programas de inversión pública"/>
    <s v="4.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Intervenidas"/>
    <n v="71598"/>
    <n v="21479.399999999998"/>
    <n v="21479.399999999998"/>
    <n v="500"/>
    <s v="El costo incluye adquisición de semillas, insumos, fertilizantes, entre otras para la producción de plantas agroforestales o coberturas  verdes."/>
    <s v="DRASAM"/>
    <n v="10739699.999999998"/>
    <n v="10852466.849999998"/>
    <n v="10739699.999999998"/>
    <n v="10852466.849999998"/>
    <n v="2147939.9999999995"/>
    <n v="2170493.3699999996"/>
    <n v="2147939.9999999995"/>
    <n v="2170493.3699999996"/>
    <n v="2147939.9999999995"/>
    <n v="2170493.3699999996"/>
    <n v="2147939.9999999995"/>
    <n v="2170493.3699999996"/>
    <n v="2147939.9999999995"/>
    <n v="2170493.3699999996"/>
    <n v="0"/>
    <m/>
    <m/>
    <s v="X"/>
    <m/>
    <m/>
    <n v="3"/>
    <n v="1"/>
  </r>
  <r>
    <x v="2"/>
    <x v="0"/>
    <s v="Programas de inversión pública"/>
    <s v="4.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fertilizadas"/>
    <n v="71598"/>
    <n v="14319.6"/>
    <n v="21479.399999999998"/>
    <n v="2500"/>
    <s v="El costo incluye un análisis de suelos, paquete de fertilización según los resultados del análisis y la adquisición de fertilizantes. El costo incluye los tres abonamientos requeridos en una campaña (1 año)."/>
    <s v="Drasam"/>
    <n v="35799000"/>
    <n v="36174889.5"/>
    <n v="53698499.999999993"/>
    <n v="54262334.249999993"/>
    <n v="7159800"/>
    <n v="7234977.8999999994"/>
    <n v="7159800"/>
    <n v="7234977.8999999994"/>
    <n v="7159800"/>
    <n v="7234977.8999999994"/>
    <n v="7159800"/>
    <n v="7234977.8999999994"/>
    <n v="7159800"/>
    <n v="7234977.8999999994"/>
    <n v="0"/>
    <m/>
    <m/>
    <s v="X"/>
    <m/>
    <s v="RE"/>
    <n v="3"/>
    <n v="1"/>
  </r>
  <r>
    <x v="2"/>
    <x v="0"/>
    <s v="Programas de inversión privada"/>
    <s v="4.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Hectáreas con sistemas de riego"/>
    <n v="71598"/>
    <n v="3579.9"/>
    <n v="4295.88"/>
    <n v="11500"/>
    <s v="modulo instalado incluyendo fertilizantes para una campaña"/>
    <s v="DRASAM"/>
    <n v="41168850"/>
    <n v="41601122.924999997"/>
    <n v="49402620"/>
    <n v="49921347.509999998"/>
    <n v="8233770"/>
    <n v="8320224.585"/>
    <n v="8233770"/>
    <n v="8320224.585"/>
    <n v="8233770"/>
    <n v="8320224.585"/>
    <n v="8233770"/>
    <n v="8320224.585"/>
    <n v="8233770"/>
    <n v="8320224.585"/>
    <n v="0"/>
    <m/>
    <m/>
    <s v="X"/>
    <m/>
    <s v="RE"/>
    <n v="3"/>
    <n v="1"/>
  </r>
  <r>
    <x v="2"/>
    <x v="0"/>
    <s v="Programas de inversión privada"/>
    <s v="4.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s v="RECONVERSIÓN"/>
    <s v="C12"/>
    <s v="Hectáreas reconvertidas"/>
    <n v="14319.6"/>
    <n v="1431.96"/>
    <n v="1431.96"/>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479400"/>
    <n v="21704933.699999999"/>
    <n v="21479400"/>
    <n v="21704933.699999999"/>
    <n v="4295880"/>
    <n v="4340986.74"/>
    <n v="4295880"/>
    <n v="4340986.74"/>
    <n v="4295880"/>
    <n v="4340986.74"/>
    <n v="4295880"/>
    <n v="4340986.74"/>
    <n v="4295880"/>
    <n v="4340986.74"/>
    <n v="0"/>
    <s v="X"/>
    <m/>
    <m/>
    <m/>
    <s v="RE"/>
    <n v="3"/>
    <n v="1"/>
  </r>
  <r>
    <x v="2"/>
    <x v="0"/>
    <s v="Programas de inversión pública"/>
    <s v="4.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Productores beneficiados"/>
    <n v="26029"/>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38494987.395000003"/>
    <n v="76189980.000000015"/>
    <n v="76989974.790000007"/>
    <n v="7618998.0000000019"/>
    <n v="7698997.4790000012"/>
    <n v="7618998.0000000019"/>
    <n v="7698997.4790000012"/>
    <n v="7618998.0000000019"/>
    <n v="7698997.4790000012"/>
    <n v="7618998.0000000019"/>
    <n v="7698997.4790000012"/>
    <n v="7618998.0000000019"/>
    <n v="7698997.4790000012"/>
    <n v="0"/>
    <m/>
    <m/>
    <s v="X"/>
    <m/>
    <s v="RE"/>
    <n v="3"/>
    <n v="1"/>
  </r>
  <r>
    <x v="2"/>
    <x v="0"/>
    <s v="Programas de inversión pública"/>
    <s v="4.1.8"/>
    <x v="7"/>
    <s v="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ASISTENCIA TÉCNICA"/>
    <s v="C1"/>
    <s v="Acuicultores asistidos"/>
    <n v="0"/>
    <n v="70"/>
    <n v="70"/>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39200"/>
    <n v="39611.599999999999"/>
    <n v="39200"/>
    <n v="39611.599999999999"/>
    <n v="7840"/>
    <n v="7922.32"/>
    <n v="7840"/>
    <n v="7922.32"/>
    <n v="7840"/>
    <n v="7922.32"/>
    <n v="7840"/>
    <n v="7922.32"/>
    <n v="7840"/>
    <n v="7922.32"/>
    <n v="0"/>
    <m/>
    <m/>
    <s v="X"/>
    <m/>
    <s v="RE"/>
    <n v="3"/>
    <n v="1"/>
  </r>
  <r>
    <x v="2"/>
    <x v="0"/>
    <s v="Ingresos y Capital"/>
    <s v="4.1.9"/>
    <x v="8"/>
    <s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Créditos otorgados"/>
    <n v="0"/>
    <n v="70"/>
    <n v="70"/>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903000"/>
    <n v="912481.5"/>
    <n v="903000"/>
    <n v="912481.5"/>
    <n v="180600"/>
    <n v="182496.3"/>
    <n v="180600"/>
    <n v="182496.3"/>
    <n v="180600"/>
    <n v="182496.3"/>
    <n v="180600"/>
    <n v="182496.3"/>
    <n v="180600"/>
    <n v="182496.3"/>
    <n v="0"/>
    <s v="X"/>
    <m/>
    <m/>
    <m/>
    <s v="RE"/>
    <n v="3"/>
    <n v="1"/>
  </r>
  <r>
    <x v="2"/>
    <x v="0"/>
    <s v="Ingresos y Capital"/>
    <s v="4.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Créditos otorgados"/>
    <n v="26029"/>
    <n v="7808.7"/>
    <n v="5205.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83943525"/>
    <n v="84824932.012500003"/>
    <n v="55962350"/>
    <n v="56549954.674999997"/>
    <n v="16788705"/>
    <n v="16964986.4025"/>
    <n v="16788705"/>
    <n v="16964986.4025"/>
    <n v="16788705"/>
    <n v="16964986.4025"/>
    <n v="16788705"/>
    <n v="16964986.4025"/>
    <n v="16788705"/>
    <n v="16964986.4025"/>
    <n v="0"/>
    <s v="X"/>
    <m/>
    <m/>
    <m/>
    <s v="RE"/>
    <n v="2"/>
    <n v="1"/>
  </r>
  <r>
    <x v="2"/>
    <x v="0"/>
    <s v="Programas de inversión privada"/>
    <s v="4.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INFRAESTRUCTURA"/>
    <s v="C7"/>
    <s v="Planes de negocios/proyectos ejecutados"/>
    <n v="6"/>
    <n v="6"/>
    <n v="2"/>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800000"/>
    <n v="4850400"/>
    <n v="1600000"/>
    <n v="1616800"/>
    <n v="960000"/>
    <n v="970080"/>
    <n v="960000"/>
    <n v="970080"/>
    <n v="960000"/>
    <n v="970080"/>
    <n v="960000"/>
    <n v="970080"/>
    <n v="960000"/>
    <n v="970080"/>
    <n v="0"/>
    <s v="X"/>
    <m/>
    <m/>
    <m/>
    <s v="RE"/>
    <n v="3"/>
    <n v="1"/>
  </r>
  <r>
    <x v="2"/>
    <x v="0"/>
    <s v="Programas de inversión privada"/>
    <s v="4.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Empresas y organizaciones atendidas"/>
    <n v="6"/>
    <n v="4.8000000000000007"/>
    <n v="1.2000000000000002"/>
    <n v="50000"/>
    <s v="El costo incluye la contratación de especialistas para brindar Asistencia Técnica en los procesos de implementación de las certificaciones de calidad, materiales para la capacitación y pasantías."/>
    <s v="DIREPRO"/>
    <n v="240000.00000000003"/>
    <n v="242520.00000000003"/>
    <n v="60000.000000000007"/>
    <n v="60630.000000000007"/>
    <n v="48000.000000000007"/>
    <n v="48504.000000000007"/>
    <n v="48000.000000000007"/>
    <n v="48504.000000000007"/>
    <n v="48000.000000000007"/>
    <n v="48504.000000000007"/>
    <n v="48000.000000000007"/>
    <n v="48504.000000000007"/>
    <n v="48000.000000000007"/>
    <n v="48504.000000000007"/>
    <n v="0"/>
    <m/>
    <m/>
    <s v="X"/>
    <m/>
    <s v="RE"/>
    <n v="3"/>
    <n v="1"/>
  </r>
  <r>
    <x v="2"/>
    <x v="0"/>
    <s v="Programas de inversión pública"/>
    <s v="4.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s v="Programa de promoción de la Asociatividad Empresarial"/>
    <s v="Desarrollar en los productores y produtoras capacidades colaborativas y de confianza hacia objetivos comunes"/>
    <x v="4"/>
    <s v="COMP 2"/>
    <s v="PRODUCCIÓN"/>
    <s v="ASOCIATIVIDAD"/>
    <s v="C2"/>
    <s v="Organizaciones auto sostenibles"/>
    <n v="0"/>
    <n v="6"/>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
    <n v="727560"/>
    <n v="240000"/>
    <n v="242520"/>
    <n v="144000"/>
    <n v="145512"/>
    <n v="144000"/>
    <n v="145512"/>
    <n v="144000"/>
    <n v="145512"/>
    <n v="144000"/>
    <n v="145512"/>
    <n v="144000"/>
    <n v="145512"/>
    <n v="0"/>
    <m/>
    <m/>
    <s v="X"/>
    <m/>
    <m/>
    <n v="3"/>
    <n v="1"/>
  </r>
  <r>
    <x v="2"/>
    <x v="0"/>
    <s v="Programas de inversión privada"/>
    <s v="4.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Organizaciones certificadas"/>
    <n v="10"/>
    <n v="5"/>
    <n v="5"/>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1000000"/>
    <n v="1010500"/>
    <n v="1000000"/>
    <n v="1010500"/>
    <n v="200000"/>
    <n v="202100"/>
    <n v="200000"/>
    <n v="202100"/>
    <n v="200000"/>
    <n v="202100"/>
    <n v="200000"/>
    <n v="202100"/>
    <n v="200000"/>
    <n v="202100"/>
    <n v="0"/>
    <m/>
    <m/>
    <s v="X"/>
    <m/>
    <m/>
    <n v="3"/>
    <n v="1"/>
  </r>
  <r>
    <x v="2"/>
    <x v="0"/>
    <s v="Programas de inversión privada"/>
    <s v="4.1.15"/>
    <x v="60"/>
    <s v="Implementar y promover la certificación de plantaciones de 2161 pequeños productores, los cuales tienen 8,211 ha. La certificación RSPO permite facilitar el acceso a los mercados de los productos derivados de la palma aceitera. Esta intervención forma parte del fortalecimiento de la infraestrucura de la calidad en las cadenas."/>
    <s v="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Hectáreas certificadas"/>
    <n v="0"/>
    <n v="2463.2999999999997"/>
    <n v="4105.5"/>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6156082.2959999992"/>
    <n v="6220721.1601079991"/>
    <n v="10260137.16"/>
    <n v="10367868.60018"/>
    <n v="1231216.4591999999"/>
    <n v="1244144.2320215998"/>
    <n v="1231216.4591999999"/>
    <n v="1244144.2320215998"/>
    <n v="1231216.4591999999"/>
    <n v="1244144.2320215998"/>
    <n v="1231216.4591999999"/>
    <n v="1244144.2320215998"/>
    <n v="1231216.4591999999"/>
    <n v="1244144.2320215998"/>
    <n v="0"/>
    <m/>
    <m/>
    <s v="X"/>
    <m/>
    <m/>
    <n v="3"/>
    <n v="1"/>
  </r>
  <r>
    <x v="2"/>
    <x v="0"/>
    <s v="Programas de inversión pública"/>
    <s v="4.1.16"/>
    <x v="15"/>
    <s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Unidades semilleristas"/>
    <n v="0"/>
    <n v="3"/>
    <n v="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45000"/>
    <n v="45472.5"/>
    <n v="75000"/>
    <n v="75787.5"/>
    <n v="9000"/>
    <n v="9094.5"/>
    <n v="9000"/>
    <n v="9094.5"/>
    <n v="9000"/>
    <n v="9094.5"/>
    <n v="9000"/>
    <n v="9094.5"/>
    <n v="9000"/>
    <n v="9094.5"/>
    <n v="0"/>
    <m/>
    <m/>
    <s v="X"/>
    <m/>
    <m/>
    <n v="2"/>
    <n v="1"/>
  </r>
  <r>
    <x v="2"/>
    <x v="0"/>
    <s v="Control y vigilancia"/>
    <s v="4.1.17"/>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s v="X"/>
    <m/>
    <m/>
    <m/>
    <m/>
    <n v="3"/>
    <n v="1"/>
  </r>
  <r>
    <x v="2"/>
    <x v="2"/>
    <s v="Invasiones"/>
    <s v="4.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259.94579468684702"/>
    <n v="129.97289734342351"/>
    <n v="129.972897343423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9945.79468684702"/>
    <n v="262675.22553105891"/>
    <n v="259945.79468684702"/>
    <n v="262675.22553105891"/>
    <n v="25994.579468684704"/>
    <n v="26267.522553105893"/>
    <n v="38991.869203027054"/>
    <n v="39401.283829658838"/>
    <n v="51989.158937369408"/>
    <n v="52535.045106211786"/>
    <n v="77983.738406054108"/>
    <n v="78802.567659317676"/>
    <n v="64986.448671711754"/>
    <n v="65668.806382764727"/>
    <n v="0"/>
    <m/>
    <m/>
    <s v="X"/>
    <m/>
    <s v="RE"/>
    <n v="3"/>
    <n v="1"/>
  </r>
  <r>
    <x v="2"/>
    <x v="2"/>
    <s v="Programas de inversión pública"/>
    <s v="4.2.2"/>
    <x v="18"/>
    <s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ASISTENCIA TÉCNICA"/>
    <s v="C1"/>
    <s v="Ganaderos asistidos"/>
    <n v="1214"/>
    <n v="1214"/>
    <n v="121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679840"/>
    <n v="686978.32"/>
    <n v="679840"/>
    <n v="686978.32"/>
    <n v="135968"/>
    <n v="137395.66399999999"/>
    <n v="135968"/>
    <n v="137395.66399999999"/>
    <n v="135968"/>
    <n v="137395.66399999999"/>
    <n v="135968"/>
    <n v="137395.66399999999"/>
    <n v="135968"/>
    <n v="137395.66399999999"/>
    <n v="0"/>
    <m/>
    <m/>
    <s v="X"/>
    <m/>
    <s v="RE"/>
    <n v="3"/>
    <n v="1"/>
  </r>
  <r>
    <x v="2"/>
    <x v="2"/>
    <s v="Programas de inversión pública"/>
    <s v="4.2.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intervenidas"/>
    <n v="3975"/>
    <n v="795"/>
    <n v="795"/>
    <n v="500"/>
    <s v="El costo incluye adquisición de semillas, insumos, fertilizantes, entre otras para la producción de plantas agroforestales o coberturas  verdes."/>
    <s v="DRASAM"/>
    <n v="397500"/>
    <n v="401673.75"/>
    <n v="397500"/>
    <n v="401673.75"/>
    <n v="79500"/>
    <n v="80334.75"/>
    <n v="79500"/>
    <n v="80334.75"/>
    <n v="79500"/>
    <n v="80334.75"/>
    <n v="79500"/>
    <n v="80334.75"/>
    <n v="79500"/>
    <n v="80334.75"/>
    <n v="0"/>
    <m/>
    <m/>
    <s v="X"/>
    <m/>
    <s v="RE"/>
    <n v="2"/>
    <n v="1"/>
  </r>
  <r>
    <x v="2"/>
    <x v="2"/>
    <s v="Programas de inversión pública"/>
    <s v="4.2.4"/>
    <x v="19"/>
    <s v="Reactivación  , implementación y gestión de las postas de inseminación artificial, importación de material genético (pajillas de semen), capacitación y entrenamiento a inseminadores, transferencia de embriones."/>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Postas activas y operativas"/>
    <n v="0"/>
    <n v="3"/>
    <n v="3"/>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822000"/>
    <n v="830631"/>
    <n v="822000"/>
    <n v="830631"/>
    <n v="164400"/>
    <n v="166126.19999999998"/>
    <n v="164400"/>
    <n v="166126.19999999998"/>
    <n v="164400"/>
    <n v="166126.19999999998"/>
    <n v="164400"/>
    <n v="166126.19999999998"/>
    <n v="164400"/>
    <n v="166126.19999999998"/>
    <n v="0"/>
    <m/>
    <s v="X"/>
    <m/>
    <m/>
    <m/>
    <n v="3"/>
    <n v="1"/>
  </r>
  <r>
    <x v="2"/>
    <x v="2"/>
    <s v="Ingresos y Capital"/>
    <s v="4.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Créditos otorgados"/>
    <n v="1214"/>
    <n v="364.2"/>
    <n v="242.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3915150"/>
    <n v="3956259.0749999997"/>
    <n v="2610100"/>
    <n v="2637506.0499999998"/>
    <n v="783030"/>
    <n v="791251.81499999994"/>
    <n v="783030"/>
    <n v="791251.81499999994"/>
    <n v="783030"/>
    <n v="791251.81499999994"/>
    <n v="783030"/>
    <n v="791251.81499999994"/>
    <n v="783030"/>
    <n v="791251.81499999994"/>
    <n v="0"/>
    <s v="X"/>
    <m/>
    <m/>
    <m/>
    <s v="RE"/>
    <n v="3"/>
    <n v="1"/>
  </r>
  <r>
    <x v="2"/>
    <x v="2"/>
    <s v="Programas de inversión pública"/>
    <s v="4.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s v="ASOCIATIVIDAD"/>
    <s v="C2"/>
    <s v="Organizaciones fortalecidas"/>
    <n v="0"/>
    <n v="4"/>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2400000"/>
    <n v="2425200"/>
    <n v="3000000"/>
    <n v="3031500"/>
    <n v="480000"/>
    <n v="485040"/>
    <n v="480000"/>
    <n v="485040"/>
    <n v="480000"/>
    <n v="485040"/>
    <n v="480000"/>
    <n v="485040"/>
    <n v="480000"/>
    <n v="485040"/>
    <n v="0"/>
    <m/>
    <m/>
    <s v="X"/>
    <m/>
    <m/>
    <n v="3"/>
    <n v="1"/>
  </r>
  <r>
    <x v="2"/>
    <x v="2"/>
    <s v="Programas de inversión privada"/>
    <s v="4.2.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Planes de negocios implementados"/>
    <n v="0"/>
    <n v="6"/>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4800000"/>
    <n v="4850400"/>
    <n v="8000000"/>
    <n v="8084000"/>
    <n v="960000"/>
    <n v="970080"/>
    <n v="960000"/>
    <n v="970080"/>
    <n v="960000"/>
    <n v="970080"/>
    <n v="960000"/>
    <n v="970080"/>
    <n v="960000"/>
    <n v="970080"/>
    <n v="0"/>
    <s v="X"/>
    <m/>
    <m/>
    <m/>
    <m/>
    <n v="3"/>
    <n v="1"/>
  </r>
  <r>
    <x v="2"/>
    <x v="2"/>
    <s v="Control y vigilancia"/>
    <s v="4.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15"/>
    <n v="1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50000"/>
    <n v="151575"/>
    <n v="150000"/>
    <n v="151575"/>
    <n v="30000"/>
    <n v="30315"/>
    <n v="30000"/>
    <n v="30315"/>
    <n v="30000"/>
    <n v="30315"/>
    <n v="30000"/>
    <n v="30315"/>
    <n v="30000"/>
    <n v="30315"/>
    <n v="0"/>
    <s v="X"/>
    <m/>
    <m/>
    <m/>
    <m/>
    <n v="2"/>
    <n v="1"/>
  </r>
  <r>
    <x v="2"/>
    <x v="12"/>
    <s v="Invasiones"/>
    <s v="4.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398.95671568802999"/>
    <n v="199.47835784401499"/>
    <n v="199.47835784401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398956.71568803"/>
    <n v="403145.76120275428"/>
    <n v="398956.71568803"/>
    <n v="403145.76120275428"/>
    <n v="39895.671568803002"/>
    <n v="40314.576120275429"/>
    <n v="59843.507353204499"/>
    <n v="60471.86418041314"/>
    <n v="79791.343137606003"/>
    <n v="80629.152240550859"/>
    <n v="119687.014706409"/>
    <n v="120943.72836082628"/>
    <n v="99739.178922007501"/>
    <n v="100786.44030068857"/>
    <n v="0"/>
    <m/>
    <m/>
    <s v="X"/>
    <m/>
    <m/>
    <n v="3"/>
    <n v="1"/>
  </r>
  <r>
    <x v="2"/>
    <x v="12"/>
    <s v="Ingresos y Capital"/>
    <s v="4.3.2"/>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Productores atendidos"/>
    <n v="2161"/>
    <n v="648.29999999999995"/>
    <n v="432.2000000000000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6969224.9999999991"/>
    <n v="7042401.8624999989"/>
    <n v="4646150.0000000009"/>
    <n v="4694934.5750000011"/>
    <n v="1393845"/>
    <n v="1408480.3724999998"/>
    <n v="1393845"/>
    <n v="1408480.3724999998"/>
    <n v="1393845"/>
    <n v="1408480.3724999998"/>
    <n v="1393845"/>
    <n v="1408480.3724999998"/>
    <n v="1393845"/>
    <n v="1408480.3724999998"/>
    <n v="0"/>
    <m/>
    <m/>
    <s v="X"/>
    <m/>
    <m/>
    <n v="3"/>
    <n v="1"/>
  </r>
  <r>
    <x v="2"/>
    <x v="12"/>
    <s v="Programas de inversión privada"/>
    <s v="4.3.3"/>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Especialistas"/>
    <n v="0"/>
    <n v="2"/>
    <n v="2"/>
    <n v="3500"/>
    <s v="El costo incluye la contratación de profesionales que se encarguen de identificar propuestas de alianzas comerciales entre productores y empresas privadas."/>
    <s v="Drasam"/>
    <n v="420000"/>
    <n v="424410"/>
    <n v="420000"/>
    <n v="424410"/>
    <n v="84000"/>
    <n v="84882"/>
    <n v="84000"/>
    <n v="84882"/>
    <n v="84000"/>
    <n v="84882"/>
    <n v="84000"/>
    <n v="84882"/>
    <n v="84000"/>
    <n v="84882"/>
    <n v="0"/>
    <s v="X"/>
    <m/>
    <m/>
    <m/>
    <m/>
    <n v="3"/>
    <n v="1"/>
  </r>
  <r>
    <x v="2"/>
    <x v="12"/>
    <s v="Programas de inversión privada"/>
    <s v="4.3.4"/>
    <x v="63"/>
    <s v="Promover el financiamiento para el desarrollo e implementación de estudios de umbrales de carbono en el suelo y en los bosques."/>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445428.39999999997"/>
    <n v="0"/>
    <n v="0"/>
    <n v="220400"/>
    <n v="222714.19999999998"/>
    <n v="220400"/>
    <n v="222714.19999999998"/>
    <n v="0"/>
    <n v="0"/>
    <n v="0"/>
    <n v="0"/>
    <n v="0"/>
    <n v="0"/>
    <n v="0"/>
    <s v="X"/>
    <m/>
    <m/>
    <m/>
    <m/>
    <n v="3"/>
    <n v="1"/>
  </r>
  <r>
    <x v="2"/>
    <x v="3"/>
    <s v="Invasiones"/>
    <s v="4.4.1"/>
    <x v="20"/>
    <s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_x000a_Saneamiento físico legal (georreferenciación, actualización gráfica, e inscripción en registros públicos), en concordancia con la R.M. 0370-2017-MINAGRI, de 2 comunidades nativas: MUSHUCK LLACTA DE CHIPAOTA y  CHARAPILLO."/>
    <s v="NR"/>
    <x v="0"/>
    <s v="Programa de regulización, formalizacion y saneamiento de predios"/>
    <s v="Formalización de la situacion de legal de los predios, estableciendo medidas facilitadoras"/>
    <x v="0"/>
    <s v="COMP 8"/>
    <s v="PROTECCIÓN-GOBERNANZA"/>
    <s v="DERECHOS SOBRE LA TIERRA"/>
    <s v="C5"/>
    <s v="Comunidades tituladas"/>
    <n v="44"/>
    <n v="44"/>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3135000"/>
    <n v="3167917.5"/>
    <n v="0"/>
    <n v="0"/>
    <n v="627000"/>
    <n v="633583.5"/>
    <n v="627000"/>
    <n v="633583.5"/>
    <n v="627000"/>
    <n v="633583.5"/>
    <n v="627000"/>
    <n v="633583.5"/>
    <n v="627000"/>
    <n v="633583.5"/>
    <n v="0"/>
    <m/>
    <m/>
    <s v="X"/>
    <m/>
    <m/>
    <n v="3"/>
    <n v="1"/>
  </r>
  <r>
    <x v="2"/>
    <x v="3"/>
    <s v="Programas de inversión pública"/>
    <s v="4.4.2"/>
    <x v="21"/>
    <s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s v="Programa de Asistencia Técnica para la recuperación de bosques"/>
    <s v="Recuperación de bosques mediante la recuperación y concervación de los suelos, el aprovechamiento de los serivicios ecosistemicos , manejo forstal, entre otros "/>
    <x v="6"/>
    <s v="COMP 5"/>
    <s v="PROTECCIÓN"/>
    <s v="ASISTENCIA TÉCNICA"/>
    <s v="C1"/>
    <s v="Productor asistido"/>
    <n v="4700"/>
    <n v="4700"/>
    <n v="47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632000"/>
    <n v="2659636"/>
    <n v="2632000"/>
    <n v="2659636"/>
    <n v="526400"/>
    <n v="531927.19999999995"/>
    <n v="526400"/>
    <n v="531927.19999999995"/>
    <n v="526400"/>
    <n v="531927.19999999995"/>
    <n v="526400"/>
    <n v="531927.19999999995"/>
    <n v="526400"/>
    <n v="531927.19999999995"/>
    <n v="0"/>
    <m/>
    <m/>
    <s v="X"/>
    <m/>
    <s v="RE"/>
    <n v="3"/>
    <n v="1"/>
  </r>
  <r>
    <x v="2"/>
    <x v="3"/>
    <s v="Programas de inversión privada"/>
    <s v="4.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INNOVACIÓN"/>
    <s v="C8"/>
    <s v="Planes de negocios"/>
    <n v="0"/>
    <n v="60"/>
    <n v="40"/>
    <n v="15000"/>
    <s v="Se contratará profesionales para el asesoramiento y formulación de planes de negocios de las Comunidades Nativas."/>
    <s v="Drasam, Agroideas, CODEPISAM"/>
    <n v="900000"/>
    <n v="909450"/>
    <n v="600000"/>
    <n v="606300"/>
    <n v="180000"/>
    <n v="181890"/>
    <n v="180000"/>
    <n v="181890"/>
    <n v="180000"/>
    <n v="181890"/>
    <n v="180000"/>
    <n v="181890"/>
    <n v="180000"/>
    <n v="181890"/>
    <n v="0"/>
    <s v="X"/>
    <m/>
    <m/>
    <m/>
    <s v="RE"/>
    <n v="2"/>
    <n v="1"/>
  </r>
  <r>
    <x v="2"/>
    <x v="3"/>
    <s v="Programas de inversión pública"/>
    <s v="4.4.4"/>
    <x v="23"/>
    <s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s v="Programa de promoción de la Asociatividad Empresarial"/>
    <s v="Desarrollar en los productores y produtoras capacidades colaborativas y de confianza hacia objetivos comunes"/>
    <x v="4"/>
    <s v="COMP 2"/>
    <s v="PRODUCCIÓN"/>
    <s v="ASOCIATIVIDAD"/>
    <s v="C2"/>
    <s v="Comunidades fortalecidas"/>
    <n v="47"/>
    <n v="27"/>
    <n v="20"/>
    <n v="288000"/>
    <s v="Contratación de especialistas para dar acompañamiento y seguimiento a los procesos organizativos de las CCNN de forma permanente."/>
    <s v="Drasam, Direpro, Dircetur, ARA, CODEPISAM"/>
    <n v="1440000"/>
    <n v="1455120"/>
    <n v="1440000"/>
    <n v="1455120"/>
    <n v="288000"/>
    <n v="291024"/>
    <n v="288000"/>
    <n v="291024"/>
    <n v="288000"/>
    <n v="291024"/>
    <n v="288000"/>
    <n v="291024"/>
    <n v="288000"/>
    <n v="291024"/>
    <n v="0"/>
    <m/>
    <m/>
    <s v="X"/>
    <m/>
    <s v="RE"/>
    <n v="3"/>
    <n v="1"/>
  </r>
  <r>
    <x v="2"/>
    <x v="3"/>
    <s v="Programas de inversión privada"/>
    <s v="4.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Especialistas"/>
    <n v="0"/>
    <n v="3"/>
    <n v="3"/>
    <n v="3500"/>
    <s v="Contratación de especialista para identificación, acompañamiento y seguimiento a los procesos comerciales iniciados por las organizaciones de las CCNN"/>
    <s v="Drasam, Direpro, Dircetur, ARA, OPIPs, CODEPISAM"/>
    <n v="630000"/>
    <n v="636615"/>
    <n v="630000"/>
    <n v="636615"/>
    <n v="126000"/>
    <n v="127323"/>
    <n v="126000"/>
    <n v="127323"/>
    <n v="126000"/>
    <n v="127323"/>
    <n v="126000"/>
    <n v="127323"/>
    <n v="126000"/>
    <n v="127323"/>
    <n v="0"/>
    <s v="X"/>
    <m/>
    <m/>
    <m/>
    <s v="RE"/>
    <n v="3"/>
    <n v="1"/>
  </r>
  <r>
    <x v="2"/>
    <x v="3"/>
    <s v="Invasiones"/>
    <s v="4.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s v="Programa de incentivos para la protección de bosques"/>
    <s v="Contribuir a la sostenilidad de los bosques brindando incentivos financieros"/>
    <x v="3"/>
    <s v="COMP 11"/>
    <s v="PROTECCIÓN"/>
    <s v="FINANCIAMIENTO"/>
    <s v="C6"/>
    <s v="Comunidades atendidas"/>
    <n v="47"/>
    <n v="28.2"/>
    <n v="18.8"/>
    <n v="5000"/>
    <s v="El costo esta referido a los gastos administrativos y logísticos que impliquen la elaboración del expediente para ser presentado al programa. "/>
    <s v="Gerencia Regional de Desarrollo Social, Programa Geo bosques, CODEPISAM"/>
    <n v="705000"/>
    <n v="712402.5"/>
    <n v="470000"/>
    <n v="474935"/>
    <n v="141000"/>
    <n v="142480.5"/>
    <n v="141000"/>
    <n v="142480.5"/>
    <n v="141000"/>
    <n v="142480.5"/>
    <n v="141000"/>
    <n v="142480.5"/>
    <n v="141000"/>
    <n v="142480.5"/>
    <n v="0"/>
    <m/>
    <m/>
    <s v="X"/>
    <m/>
    <m/>
    <n v="3"/>
    <n v="1"/>
  </r>
  <r>
    <x v="2"/>
    <x v="3"/>
    <s v="Programas de inversión pública"/>
    <s v="4.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s v="Programa de Infraestructura para la Competitividad "/>
    <s v="Generar condiciones para el desarrollo socio económico del territorio"/>
    <x v="8"/>
    <s v="COMP 9"/>
    <s v="INCLUSION"/>
    <s v="SERVICIO DE EDUCACIÓN Y SALUD ADECUADOS"/>
    <s v="C14"/>
    <s v="Módulos implementados"/>
    <n v="4700"/>
    <n v="1410"/>
    <n v="940"/>
    <n v="30000"/>
    <s v="Implementación según las necesidades identificadas en cada comunidad, considerando si son aplicables en dichas zonas, si no hay restricciones de cualquier índole. "/>
    <s v="Goresam, MIDIS, DRTyTC, Drasam,Foncodes, Cooperación, CODEPISAM"/>
    <n v="42300000"/>
    <n v="42744150"/>
    <n v="28200000"/>
    <n v="28496100"/>
    <n v="8460000"/>
    <n v="8548830"/>
    <n v="8460000"/>
    <n v="8548830"/>
    <n v="8460000"/>
    <n v="8548830"/>
    <n v="8460000"/>
    <n v="8548830"/>
    <n v="8460000"/>
    <n v="8548830"/>
    <n v="0"/>
    <m/>
    <m/>
    <s v="X"/>
    <m/>
    <m/>
    <n v="3"/>
    <n v="1"/>
  </r>
  <r>
    <x v="2"/>
    <x v="3"/>
    <s v="Programas de inversión pública"/>
    <s v="4.4.8"/>
    <x v="27"/>
    <s v="Implementación de proyectos enfocados a mejorar los servicios básicos de las comunidades nativas, dichos servicios deberán contar con profesionales bilingües, para asegurar y garantizar la adecuada transferencia de dichos servicios.  "/>
    <s v="NR"/>
    <x v="0"/>
    <s v="Programa de Infraestructura para la Competitividad "/>
    <s v="Generar condiciones para el desarrollo socio económico del territorio"/>
    <x v="8"/>
    <s v="COMP 9"/>
    <s v="INCLUSION"/>
    <s v="SERVICIO DE EDUCACIÓN Y SALUD ADECUADOS"/>
    <s v="C14"/>
    <s v="Escuelas y postas médicas implementadas"/>
    <n v="47"/>
    <n v="23.5"/>
    <n v="23.5"/>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17625000"/>
    <n v="17810062.5"/>
    <n v="17625000"/>
    <n v="17810062.5"/>
    <n v="3525000"/>
    <n v="3562012.5"/>
    <n v="3525000"/>
    <n v="3562012.5"/>
    <n v="3525000"/>
    <n v="3562012.5"/>
    <n v="3525000"/>
    <n v="3562012.5"/>
    <n v="3525000"/>
    <n v="3562012.5"/>
    <n v="0"/>
    <s v="X"/>
    <m/>
    <m/>
    <m/>
    <s v="RE"/>
    <n v="3"/>
    <n v="1"/>
  </r>
  <r>
    <x v="2"/>
    <x v="4"/>
    <s v="Programas de inversión privada"/>
    <s v="4.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s v="Programa de incentivos para la protección de bosques"/>
    <s v="Contribuir a la sostenilidad de los bosques brindando incentivos financieros"/>
    <x v="3"/>
    <s v="COMP 11"/>
    <s v="PROTECCIÓN"/>
    <s v="FINANCIAMIENTO"/>
    <s v="C6"/>
    <s v="Planes de negocios"/>
    <n v="0"/>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6300"/>
    <n v="600000"/>
    <n v="606300"/>
    <n v="120000"/>
    <n v="121260"/>
    <n v="120000"/>
    <n v="121260"/>
    <n v="120000"/>
    <n v="121260"/>
    <n v="120000"/>
    <n v="121260"/>
    <n v="120000"/>
    <n v="121260"/>
    <n v="0"/>
    <s v="X"/>
    <m/>
    <m/>
    <m/>
    <s v="RE"/>
    <n v="3"/>
    <n v="1"/>
  </r>
  <r>
    <x v="2"/>
    <x v="4"/>
    <s v="Programas de inversión pública"/>
    <s v="4.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s v="Programa de Asistencia Técnica para la recuperación de bosques"/>
    <s v="Recuperación de bosques mediante la recuperación y concervación de los suelos, el aprovechamiento de los serivicios ecosistemicos , manejo forstal, entre otros "/>
    <x v="6"/>
    <s v="COMP 5"/>
    <s v="PROTECCIÓN"/>
    <s v="ASISTENCIA TÉCNICA"/>
    <s v="C1"/>
    <s v="Especialistas"/>
    <n v="0"/>
    <n v="2"/>
    <n v="2"/>
    <n v="4000"/>
    <s v="Contratación de especialista y gastos logísticos, pasantías regionales y nacionales para adquisición de know how en materia de turismo rural"/>
    <s v="Dircetur"/>
    <n v="480000"/>
    <n v="485040"/>
    <n v="480000"/>
    <n v="485040"/>
    <n v="96000"/>
    <n v="97008"/>
    <n v="96000"/>
    <n v="97008"/>
    <n v="96000"/>
    <n v="97008"/>
    <n v="96000"/>
    <n v="97008"/>
    <n v="96000"/>
    <n v="97008"/>
    <n v="0"/>
    <m/>
    <m/>
    <s v="X"/>
    <m/>
    <s v="RE"/>
    <n v="3"/>
    <n v="1"/>
  </r>
  <r>
    <x v="2"/>
    <x v="4"/>
    <s v="Programas de inversión privada"/>
    <s v="4.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INNOVACIÓN"/>
    <s v="C8"/>
    <s v="Planes de negocio"/>
    <n v="0"/>
    <n v="5"/>
    <n v="5"/>
    <n v="150000"/>
    <s v="El costo hace referencia al proceso de implementación y funcionamiento de los productos para el desarrollo de  los emprendimientos."/>
    <s v="Dircetur, Agroideas"/>
    <n v="750000"/>
    <n v="757875"/>
    <n v="750000"/>
    <n v="757875"/>
    <n v="150000"/>
    <n v="151575"/>
    <n v="150000"/>
    <n v="151575"/>
    <n v="150000"/>
    <n v="151575"/>
    <n v="150000"/>
    <n v="151575"/>
    <n v="150000"/>
    <n v="151575"/>
    <n v="0"/>
    <s v="X"/>
    <m/>
    <m/>
    <m/>
    <s v="RE"/>
    <n v="3"/>
    <n v="1"/>
  </r>
  <r>
    <x v="2"/>
    <x v="4"/>
    <s v="Programas de inversión privada"/>
    <s v="4.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rutas turísticas promocionados"/>
    <n v="0"/>
    <n v="2"/>
    <n v="2"/>
    <n v="40000"/>
    <s v="Participación en eventos de promoción (ferias regionales y nacionales, Fam Trip), el costo cubrirá gastos logísticos y administrativos de los operadores turísticos identificados "/>
    <s v="Mincetur, Dircetur"/>
    <n v="400000"/>
    <n v="404200"/>
    <n v="400000"/>
    <n v="404200"/>
    <n v="80000"/>
    <n v="80840"/>
    <n v="80000"/>
    <n v="80840"/>
    <n v="80000"/>
    <n v="80840"/>
    <n v="80000"/>
    <n v="80840"/>
    <n v="80000"/>
    <n v="80840"/>
    <n v="0"/>
    <m/>
    <m/>
    <s v="X"/>
    <m/>
    <s v="RE"/>
    <n v="3"/>
    <n v="1"/>
  </r>
  <r>
    <x v="2"/>
    <x v="13"/>
    <s v="Control y vigilancia"/>
    <s v="4.6.1"/>
    <x v="35"/>
    <s v="Implementar con recursos necesarios al ente que administra el área, con la finalidad de aumentar el número de personas (guardaparques) que contribuyan a realizar acciones de control y vigilancia."/>
    <s v="NR"/>
    <x v="2"/>
    <s v="Programa de regulización, formalizacion y saneamiento de predios"/>
    <s v="Formalización de la situacion de legal de los predios, estableciendo medidas facilitadoras"/>
    <x v="6"/>
    <s v="COMP 5"/>
    <s v="PROTECCIÓN-GOBERNANZA"/>
    <s v="CONTROL Y VIGILANCIA"/>
    <s v="C4"/>
    <s v="Número de guardaparques"/>
    <n v="0"/>
    <n v="5"/>
    <n v="5"/>
    <n v="2000"/>
    <s v="Contratación a guardaparques para garantizar el control y vigilancia del área otorgada."/>
    <s v="Ara, serfor, Sernanp"/>
    <n v="600000"/>
    <n v="606300"/>
    <n v="600000"/>
    <n v="606300"/>
    <n v="120000"/>
    <n v="121260"/>
    <n v="120000"/>
    <n v="121260"/>
    <n v="120000"/>
    <n v="121260"/>
    <n v="120000"/>
    <n v="121260"/>
    <n v="120000"/>
    <n v="121260"/>
    <n v="0"/>
    <m/>
    <s v="X"/>
    <m/>
    <m/>
    <s v="RE"/>
    <n v="3"/>
    <n v="1"/>
  </r>
  <r>
    <x v="2"/>
    <x v="13"/>
    <s v="Control y vigilancia"/>
    <s v="4.6.2"/>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s v="Programa de regulización, formalizacion y saneamiento de predios"/>
    <s v="Formalización de la situacion de legal de los predios, estableciendo medidas facilitadoras"/>
    <x v="6"/>
    <s v="COMP 5"/>
    <s v="PROTECCIÓN-GOBERNANZA"/>
    <s v="CONTROL Y VIGILANCIA"/>
    <s v="C4"/>
    <s v="Campañas de sensibilización"/>
    <n v="0"/>
    <n v="45"/>
    <n v="45"/>
    <n v="8000"/>
    <s v="Campañas de sensibilización con equipos técnicos de las instituciones involucradas, gastos logísticos, impresión de material de difusión, publicidad radial, televisiva y escrita."/>
    <s v="Ara, serfor, Sernanp"/>
    <n v="1800000"/>
    <n v="1818900"/>
    <n v="1800000"/>
    <n v="1818900"/>
    <n v="360000"/>
    <n v="363780"/>
    <n v="360000"/>
    <n v="363780"/>
    <n v="360000"/>
    <n v="363780"/>
    <n v="360000"/>
    <n v="363780"/>
    <n v="360000"/>
    <n v="363780"/>
    <n v="0"/>
    <m/>
    <s v="X"/>
    <m/>
    <m/>
    <s v="RE"/>
    <n v="3"/>
    <n v="1"/>
  </r>
  <r>
    <x v="2"/>
    <x v="13"/>
    <s v="Programas de inversión pública"/>
    <s v="4.6.3"/>
    <x v="64"/>
    <s v="Actualización y elaboración de planes de gestión comunal de las localidades acentuadas en las zonas de amortiguamiento con la finalidad de orientar adecuadamente la implementación y ejecución de proyectos."/>
    <s v="NR"/>
    <x v="0"/>
    <s v="Programa de Infraestructura para la Competitividad "/>
    <s v="Generar condiciones para el desarrollo socio económico del territorio"/>
    <x v="8"/>
    <s v="COMP 9"/>
    <s v="HABILITANTE"/>
    <s v="PLANES DE VIDA"/>
    <s v="C10"/>
    <s v="Planes de gestión comunal"/>
    <n v="0"/>
    <n v="9"/>
    <n v="15"/>
    <n v="10000"/>
    <s v="Contratación de servicios profesionales para la elaboración de los planes de gestión comunal."/>
    <s v="Dircetur, Mincetur"/>
    <n v="90000"/>
    <n v="90945"/>
    <n v="150000"/>
    <n v="151575"/>
    <n v="18000"/>
    <n v="18189"/>
    <n v="18000"/>
    <n v="18189"/>
    <n v="18000"/>
    <n v="18189"/>
    <n v="18000"/>
    <n v="18189"/>
    <n v="18000"/>
    <n v="18189"/>
    <n v="0"/>
    <m/>
    <s v="X"/>
    <m/>
    <m/>
    <m/>
    <n v="3"/>
    <n v="1"/>
  </r>
  <r>
    <x v="2"/>
    <x v="13"/>
    <s v="Programas de inversión privada"/>
    <s v="4.6.4"/>
    <x v="65"/>
    <s v="Campañas de promoción y difusión en el ámbito regional y nacional de los circuitos turísticos que existen en la zona de amortiguamien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Campañas de promoción"/>
    <n v="0"/>
    <n v="12"/>
    <n v="12"/>
    <n v="4000"/>
    <s v="Campañas de promoción que incluye, impresión de material de difusión, publicidad radial, televisiva y escrita."/>
    <s v="Dircetur, Mincetur"/>
    <n v="240000"/>
    <n v="242520"/>
    <n v="240000"/>
    <n v="242520"/>
    <n v="48000"/>
    <n v="48504"/>
    <n v="48000"/>
    <n v="48504"/>
    <n v="48000"/>
    <n v="48504"/>
    <n v="48000"/>
    <n v="48504"/>
    <n v="48000"/>
    <n v="48504"/>
    <n v="0"/>
    <m/>
    <m/>
    <s v="X"/>
    <m/>
    <m/>
    <n v="3"/>
    <n v="1"/>
  </r>
  <r>
    <x v="2"/>
    <x v="13"/>
    <s v="Programas de inversión privada"/>
    <s v="4.6.5"/>
    <x v="66"/>
    <s v="Pasantías regionales con productores con la finalidad de conocer  los diferentes sistemas productivos sostenibles a ser replicados en las comunidades."/>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Pasantías"/>
    <n v="0"/>
    <n v="6"/>
    <n v="6"/>
    <n v="2500"/>
    <s v="El costo hace referencia a los gastos de pasajes, alimentación y otros para un grupo de 20 productores por pasantía."/>
    <s v="Drasam"/>
    <n v="75000"/>
    <n v="75787.5"/>
    <n v="75000"/>
    <n v="75787.5"/>
    <n v="15000"/>
    <n v="15157.5"/>
    <n v="15000"/>
    <n v="15157.5"/>
    <n v="15000"/>
    <n v="15157.5"/>
    <n v="15000"/>
    <n v="15157.5"/>
    <n v="15000"/>
    <n v="15157.5"/>
    <n v="0"/>
    <m/>
    <m/>
    <s v="X"/>
    <m/>
    <m/>
    <n v="2"/>
    <n v="1"/>
  </r>
  <r>
    <x v="2"/>
    <x v="13"/>
    <s v="Programas de inversión pública"/>
    <s v="4.6.6"/>
    <x v="67"/>
    <s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493500"/>
    <n v="47000000"/>
    <n v="47493500"/>
    <n v="9400000"/>
    <n v="9498700"/>
    <n v="9400000"/>
    <n v="9498700"/>
    <n v="9400000"/>
    <n v="9498700"/>
    <n v="9400000"/>
    <n v="9498700"/>
    <n v="9400000"/>
    <n v="9498700"/>
    <n v="0"/>
    <m/>
    <m/>
    <s v="X"/>
    <m/>
    <m/>
    <n v="3"/>
    <n v="1"/>
  </r>
  <r>
    <x v="2"/>
    <x v="13"/>
    <s v="Ingresos y Capital"/>
    <s v="4.6.7"/>
    <x v="28"/>
    <s v="Implementación de planes de negocios para el desarrollo de rutas turísticas, turismo vivencial comunitario, y otras modalidades de servicios que sean generadoras de ingresos económicos, respetando el medio ambiente."/>
    <s v="NR"/>
    <x v="2"/>
    <s v="Programa de incentivos para la protección de bosques"/>
    <s v="Contribuir a la sostenilidad de los bosques brindando incentivos financieros"/>
    <x v="3"/>
    <s v="COMP 11"/>
    <s v="PROTECCIÓN"/>
    <s v="FINANCIAMIENTO"/>
    <s v="C6"/>
    <s v="Planes de negocios"/>
    <n v="0"/>
    <n v="5"/>
    <n v="8"/>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
    <n v="505250"/>
    <n v="800000"/>
    <n v="808400"/>
    <n v="100000"/>
    <n v="101050"/>
    <n v="100000"/>
    <n v="101050"/>
    <n v="100000"/>
    <n v="101050"/>
    <n v="100000"/>
    <n v="101050"/>
    <n v="100000"/>
    <n v="101050"/>
    <n v="0"/>
    <s v="X"/>
    <m/>
    <m/>
    <m/>
    <s v="RE"/>
    <n v="3"/>
    <n v="1"/>
  </r>
  <r>
    <x v="2"/>
    <x v="13"/>
    <s v="Programas de inversión pública"/>
    <s v="4.6.8"/>
    <x v="68"/>
    <s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s v="Programa de Asistencia Técnica para la recuperación de bosques"/>
    <s v="Recuperación de bosques mediante la recuperación y concervación de los suelos, el aprovechamiento de los serivicios ecosistemicos , manejo forstal, entre otros "/>
    <x v="6"/>
    <s v="COMP 5"/>
    <s v="PROTECCIÓN"/>
    <s v="ASISTENCIA TÉCNICA"/>
    <s v="C1"/>
    <s v="Especialistas"/>
    <n v="0"/>
    <n v="8"/>
    <n v="8"/>
    <n v="3500"/>
    <s v="El costo comprende la contratación de profesionales para brindar asistencias técnica en los cultivos priorizados en la zona de intervención."/>
    <s v="Drasam"/>
    <n v="1680000"/>
    <n v="1697640"/>
    <n v="1680000"/>
    <n v="1697640"/>
    <n v="336000"/>
    <n v="339528"/>
    <n v="336000"/>
    <n v="339528"/>
    <n v="336000"/>
    <n v="339528"/>
    <n v="336000"/>
    <n v="339528"/>
    <n v="336000"/>
    <n v="339528"/>
    <n v="0"/>
    <s v="X"/>
    <m/>
    <m/>
    <m/>
    <s v="RE"/>
    <n v="3"/>
    <n v="1"/>
  </r>
  <r>
    <x v="2"/>
    <x v="8"/>
    <s v="Invasiones"/>
    <s v="4.7.1"/>
    <x v="40"/>
    <s v="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
    <s v="NR"/>
    <x v="0"/>
    <s v="Programa de regulización, formalizacion y saneamiento de predios"/>
    <s v="Formalización de la situacion de legal de los predios, estableciendo medidas facilitadoras"/>
    <x v="0"/>
    <s v="COMP 8"/>
    <s v="PROTECCIÓN-GOBERNANZA"/>
    <s v="DERECHOS SOBRE LA TIERRA"/>
    <s v="C5"/>
    <s v="Ha. con categoría territorial asignada"/>
    <n v="80543.826408249835"/>
    <n v="40271.913204124918"/>
    <n v="40271.913204124918"/>
    <n v="15"/>
    <s v="Para la implementación de las intervención será mecesario la contratación de especialistas para realizar las acciones que comtemplen dicha actividad. Gastos logísticos y trámites documentarios."/>
    <s v="GRSM - DEGT"/>
    <n v="604078.69806187379"/>
    <n v="610421.52439152345"/>
    <n v="604078.69806187379"/>
    <n v="610421.52439152345"/>
    <n v="120815.73961237476"/>
    <n v="122084.30487830468"/>
    <n v="120815.73961237476"/>
    <n v="122084.30487830468"/>
    <n v="120815.73961237476"/>
    <n v="122084.30487830468"/>
    <n v="120815.73961237476"/>
    <n v="122084.30487830468"/>
    <n v="120815.73961237476"/>
    <n v="122084.30487830468"/>
    <n v="0"/>
    <m/>
    <s v="X"/>
    <m/>
    <m/>
    <m/>
    <n v="3"/>
    <n v="1"/>
  </r>
  <r>
    <x v="2"/>
    <x v="8"/>
    <s v="Control y vigilancia"/>
    <s v="4.7.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s v="DERECHOS SOBRE LA TIERRA"/>
    <s v="C5"/>
    <s v="N° de responsables de administración que aprueban evaluación de capacitación "/>
    <n v="0"/>
    <n v="40"/>
    <n v="40"/>
    <n v="150"/>
    <s v="Considera materiales de capacitación, alimentación a capacitados en el área cercana a su comunidad y gastos de capacitadores"/>
    <s v="GRSM - DEGT"/>
    <n v="6000"/>
    <n v="6063"/>
    <n v="6000"/>
    <n v="6063"/>
    <n v="6000"/>
    <n v="6063"/>
    <n v="0"/>
    <n v="0"/>
    <n v="0"/>
    <n v="0"/>
    <n v="0"/>
    <n v="0"/>
    <n v="0"/>
    <n v="0"/>
    <n v="0"/>
    <m/>
    <s v="X"/>
    <m/>
    <m/>
    <m/>
    <n v="2"/>
    <n v="1"/>
  </r>
  <r>
    <x v="2"/>
    <x v="8"/>
    <s v="Control y vigilancia"/>
    <s v="4.7.3"/>
    <x v="42"/>
    <s v="Dependiendo de la categoría forestal a ser aplicada, se realizará un plan/declaración acorde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s v="DERECHOS SOBRE LA TIERRA"/>
    <s v="C5"/>
    <s v="N° Planes / Declaraciones elaborados"/>
    <n v="0"/>
    <n v="8"/>
    <n v="8"/>
    <n v="10000"/>
    <s v="Se considera la contratación de profesionales para la elaboración de los expedientes y/o declaraciones identificadas en los diferentes procesos."/>
    <s v="GRSM - DEGT"/>
    <n v="80000"/>
    <n v="80840"/>
    <n v="80000"/>
    <n v="80840"/>
    <n v="24000"/>
    <n v="24252"/>
    <n v="24000"/>
    <n v="24252"/>
    <n v="32000"/>
    <n v="32336"/>
    <n v="0"/>
    <n v="0"/>
    <n v="0"/>
    <n v="0"/>
    <n v="0"/>
    <m/>
    <s v="X"/>
    <m/>
    <m/>
    <m/>
    <n v="2"/>
    <n v="1"/>
  </r>
  <r>
    <x v="2"/>
    <x v="8"/>
    <s v="Invasiones"/>
    <s v="4.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s v="DERECHOS SOBRE LA TIERRA"/>
    <s v="C5"/>
    <s v="Ha. Inscritas"/>
    <n v="80543.826408249835"/>
    <n v="40271.913204124918"/>
    <n v="40271.913204124918"/>
    <n v="1"/>
    <s v="Contratación de dos profesioales para agilizar procesos con sunarp."/>
    <s v="GRSM - DEGT"/>
    <n v="40271.913204124918"/>
    <n v="40694.768292768225"/>
    <n v="40271.913204124918"/>
    <n v="40694.768292768225"/>
    <n v="8054.3826408249843"/>
    <n v="8138.9536585536462"/>
    <n v="8054.3826408249843"/>
    <n v="8138.9536585536462"/>
    <n v="8054.3826408249843"/>
    <n v="8138.9536585536462"/>
    <n v="8054.3826408249843"/>
    <n v="8138.9536585536462"/>
    <n v="8054.3826408249843"/>
    <n v="8138.9536585536462"/>
    <n v="0"/>
    <m/>
    <s v="X"/>
    <m/>
    <m/>
    <m/>
    <n v="2"/>
    <n v="1"/>
  </r>
  <r>
    <x v="2"/>
    <x v="9"/>
    <s v="Invasiones"/>
    <s v="4.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s v="Programa de regulización, formalizacion y saneamiento de predios"/>
    <s v="Formalización de la situacion de legal de los predios, estableciendo medidas facilitadoras"/>
    <x v="0"/>
    <s v="COMP 8"/>
    <s v="PROTECCIÓN-GOBERNANZA"/>
    <s v="DERECHOS SOBRE LA TIERRA"/>
    <s v="C5"/>
    <s v="Ha. con categoría territorial asignada"/>
    <n v="0"/>
    <n v="47298.808366990103"/>
    <n v="47298.808366990103"/>
    <n v="15"/>
    <s v="Para la implementación de las intervención será mecesario la contratación de especialistas para realizar las acciones que comtemplen dicha actividad. Gastos logísticos y trámites documentarios."/>
    <s v="GRSM - DEGT"/>
    <n v="709482.12550485157"/>
    <n v="716931.68782265252"/>
    <n v="709482.12550485157"/>
    <n v="716931.68782265252"/>
    <n v="141896.42510097031"/>
    <n v="143386.33756453049"/>
    <n v="141896.42510097031"/>
    <n v="143386.33756453049"/>
    <n v="141896.42510097031"/>
    <n v="143386.33756453049"/>
    <n v="141896.42510097031"/>
    <n v="143386.33756453049"/>
    <n v="141896.42510097031"/>
    <n v="143386.33756453049"/>
    <n v="0"/>
    <m/>
    <s v="X"/>
    <m/>
    <m/>
    <m/>
    <n v="3"/>
    <n v="1"/>
  </r>
  <r>
    <x v="2"/>
    <x v="9"/>
    <s v="Control y vigilancia"/>
    <s v="4.8.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s v="DERECHOS SOBRE LA TIERRA"/>
    <s v="C5"/>
    <s v="N° de responsables de administración que aprueban evaluación de capacitación "/>
    <n v="0"/>
    <n v="90"/>
    <n v="90"/>
    <n v="150"/>
    <s v="Considera materiales de capacitación, alimentación a capacitados en el área cercana a su comunidad y gastos de capacitadores"/>
    <s v="GRSM - DEGT"/>
    <n v="13500"/>
    <n v="13641.75"/>
    <n v="13500"/>
    <n v="13641.75"/>
    <n v="13500"/>
    <n v="13641.75"/>
    <n v="0"/>
    <n v="0"/>
    <n v="0"/>
    <n v="0"/>
    <n v="0"/>
    <n v="0"/>
    <n v="0"/>
    <n v="0"/>
    <n v="0"/>
    <m/>
    <s v="X"/>
    <m/>
    <m/>
    <m/>
    <n v="2"/>
    <n v="1"/>
  </r>
  <r>
    <x v="2"/>
    <x v="9"/>
    <s v="Control y vigilancia"/>
    <s v="4.8.3"/>
    <x v="42"/>
    <s v="Dependiendo de la categoría forestal a ser aplicada, se realizará un plan/declaración acorde a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s v="DERECHOS SOBRE LA TIERRA"/>
    <s v="C5"/>
    <s v="N° Planes / Declaraciones elaborados"/>
    <n v="0"/>
    <n v="2"/>
    <n v="2"/>
    <n v="10000"/>
    <s v="Se considera la contratación de profesionales para la elaboración de los expedientes y/o declaraciones identificadas en los diferentes procesos."/>
    <s v="GRSM - DEGT"/>
    <n v="20000"/>
    <n v="20210"/>
    <n v="20000"/>
    <n v="20210"/>
    <n v="6000"/>
    <n v="6063"/>
    <n v="6000"/>
    <n v="6063"/>
    <n v="8000"/>
    <n v="8084"/>
    <n v="0"/>
    <n v="0"/>
    <n v="0"/>
    <n v="0"/>
    <n v="0"/>
    <m/>
    <s v="X"/>
    <m/>
    <m/>
    <m/>
    <n v="2"/>
    <n v="1"/>
  </r>
  <r>
    <x v="2"/>
    <x v="9"/>
    <s v="Invasiones"/>
    <s v="4.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s v="DERECHOS SOBRE LA TIERRA"/>
    <s v="C5"/>
    <s v="Ha. Inscritas"/>
    <n v="0"/>
    <n v="47298.808366990103"/>
    <n v="47298.808366990103"/>
    <n v="1"/>
    <s v="Contratación de dos profesioales para agilizar procesos con sunarp."/>
    <s v="GRSM - DEGT"/>
    <n v="47298.808366990103"/>
    <n v="47795.4458548435"/>
    <n v="47298.808366990103"/>
    <n v="47795.4458548435"/>
    <n v="9459.7616733980212"/>
    <n v="9559.0891709687003"/>
    <n v="9459.7616733980212"/>
    <n v="9559.0891709687003"/>
    <n v="9459.7616733980212"/>
    <n v="9559.0891709687003"/>
    <n v="9459.7616733980212"/>
    <n v="9559.0891709687003"/>
    <n v="9459.7616733980212"/>
    <n v="9559.0891709687003"/>
    <n v="0"/>
    <m/>
    <s v="X"/>
    <m/>
    <m/>
    <m/>
    <n v="2"/>
    <n v="1"/>
  </r>
  <r>
    <x v="2"/>
    <x v="9"/>
    <s v="Ingresos y Capital"/>
    <s v="4.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s v="DERECHOS SOBRE LA TIERRA"/>
    <s v="C5"/>
    <s v="Hectáreas restauradas"/>
    <n v="0"/>
    <n v="7171.9365069078503"/>
    <n v="7171.9365069078503"/>
    <n v="500"/>
    <s v="El costo incluye la restauración de una hectárea, esta actividad se desarrollara de acuerdo a la metodología propuesta por el ARA, en coordinación con los productores seleccionados."/>
    <s v="ARA"/>
    <n v="3585968.2534539253"/>
    <n v="3623620.9201151915"/>
    <n v="3585968.2534539253"/>
    <n v="3623620.9201151915"/>
    <n v="3585968.2534539253"/>
    <n v="3623620.9201151915"/>
    <n v="0"/>
    <n v="0"/>
    <n v="0"/>
    <n v="0"/>
    <n v="0"/>
    <n v="0"/>
    <n v="0"/>
    <n v="0"/>
    <n v="0"/>
    <m/>
    <s v="X"/>
    <m/>
    <m/>
    <m/>
    <n v="3"/>
    <n v="1"/>
  </r>
  <r>
    <x v="2"/>
    <x v="10"/>
    <s v="Programas de inversión pública"/>
    <s v="4.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s v="Programa de regulización, formalizacion y saneamiento de predios"/>
    <s v="Formalización de la situacion de legal de los predios, estableciendo medidas facilitadoras"/>
    <x v="0"/>
    <s v="COMP 8"/>
    <s v="HABILITANTE"/>
    <s v="TRANSVERSALES X UDT"/>
    <s v="C18"/>
    <s v="Acuerdos con rondas campesinas"/>
    <n v="0"/>
    <n v="19"/>
    <n v="19"/>
    <n v="2500"/>
    <s v="Reuniones con los diferentes actores involucrados y la sociedad civil para llegar a acuerdos de no deforestación, lo cual incluye  gastos logísticos en general."/>
    <s v="GRIS"/>
    <n v="237500"/>
    <n v="239993.75"/>
    <n v="237500"/>
    <n v="239993.75"/>
    <n v="47500"/>
    <n v="47998.75"/>
    <n v="47500"/>
    <n v="47998.75"/>
    <n v="47500"/>
    <n v="47998.75"/>
    <n v="47500"/>
    <n v="47998.75"/>
    <n v="47500"/>
    <n v="47998.75"/>
    <n v="0"/>
    <s v="X"/>
    <m/>
    <m/>
    <m/>
    <m/>
    <n v="3"/>
    <n v="1"/>
  </r>
  <r>
    <x v="2"/>
    <x v="10"/>
    <s v="Programas de inversión pública"/>
    <s v="4.9.2"/>
    <x v="48"/>
    <s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s v="Programa de Infraestructura para la Competitividad "/>
    <s v="Generar condiciones para el desarrollo socio económico del territorio"/>
    <x v="9"/>
    <s v="COMP 10"/>
    <s v="HABILITANTE"/>
    <s v="TRANSVERSALES X UDT"/>
    <s v="C18"/>
    <s v="Kilómetros mejorados"/>
    <n v="328"/>
    <n v="32.800000000000004"/>
    <n v="32.800000000000004"/>
    <n v="800000"/>
    <s v="Costo promedio de por km2 de vía mejorada o asfaltada"/>
    <s v="DRTyTC"/>
    <n v="26240000.000000004"/>
    <n v="26515520.000000004"/>
    <n v="26240000.000000004"/>
    <n v="26515520.000000004"/>
    <n v="5248000.0000000009"/>
    <n v="5303104.0000000009"/>
    <n v="5248000.0000000009"/>
    <n v="5303104.0000000009"/>
    <n v="5248000.0000000009"/>
    <n v="5303104.0000000009"/>
    <n v="5248000.0000000009"/>
    <n v="5303104.0000000009"/>
    <n v="5248000.0000000009"/>
    <n v="5303104.0000000009"/>
    <n v="0"/>
    <s v="X"/>
    <m/>
    <m/>
    <m/>
    <m/>
    <n v="2"/>
    <n v="1"/>
  </r>
  <r>
    <x v="2"/>
    <x v="10"/>
    <s v="Programas de inversión pública"/>
    <s v="4.9.3"/>
    <x v="49"/>
    <s v="Ejecución de proyectos de restauración dentro de las áreas con prioridad alta. La GRDE, el ARA y los proyectos especiales a través de sus diferentes direcciones de línea, deberán implementar esta actividad a través de los PIP y actividades propias de las direcciones."/>
    <s v="NR"/>
    <x v="2"/>
    <s v="Programa de Infraestructura para la Competitividad "/>
    <s v="Generar condiciones para el desarrollo socio económico del territorio"/>
    <x v="6"/>
    <s v="COMP 5"/>
    <s v="PROTECCIÓN"/>
    <s v="TRANSVERSALES X UDT"/>
    <s v="C18"/>
    <s v="Hectáreas restauradas"/>
    <n v="3078.73"/>
    <n v="1539.365"/>
    <n v="1539.365"/>
    <n v="500"/>
    <s v="El costo incluye la restauración de una hectárea, esta actividad se desarrollara de acuerdo a la metodología propuesta por el ARA, en coordinación con los productores seleccionados."/>
    <s v="ARA"/>
    <n v="769682.5"/>
    <n v="777764.16625000001"/>
    <n v="769682.5"/>
    <n v="777764.16625000001"/>
    <n v="153936.5"/>
    <n v="155552.83325"/>
    <n v="153936.5"/>
    <n v="155552.83325"/>
    <n v="153936.5"/>
    <n v="155552.83325"/>
    <n v="153936.5"/>
    <n v="155552.83325"/>
    <n v="153936.5"/>
    <n v="155552.83325"/>
    <n v="0"/>
    <m/>
    <m/>
    <s v="X"/>
    <m/>
    <s v="RE"/>
    <n v="3"/>
    <n v="1"/>
  </r>
  <r>
    <x v="2"/>
    <x v="10"/>
    <s v="Programas de inversión pública"/>
    <s v="4.9.4"/>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s v="Programa de Infraestructura para la Competitividad "/>
    <s v="Generar condiciones para el desarrollo socio económico del territorio"/>
    <x v="8"/>
    <s v="COMP 9"/>
    <s v="INCLUSION"/>
    <s v="TRANSVERSALES X UDT"/>
    <s v="C18"/>
    <s v="Centros de salud y colegios implementados"/>
    <n v="0"/>
    <n v="2"/>
    <n v="2"/>
    <n v="3500000"/>
    <s v="Construcción e implementación de centros educativos y postas medicas"/>
    <s v="DRTyTC"/>
    <n v="7000000"/>
    <n v="7073500"/>
    <n v="7000000"/>
    <n v="7073500"/>
    <n v="1400000"/>
    <n v="1414700"/>
    <n v="2100000"/>
    <n v="2122050"/>
    <n v="3500000"/>
    <n v="3536750"/>
    <n v="0"/>
    <n v="0"/>
    <n v="0"/>
    <n v="0"/>
    <n v="0"/>
    <m/>
    <s v="X"/>
    <m/>
    <m/>
    <s v="RE"/>
    <n v="3"/>
    <n v="1"/>
  </r>
  <r>
    <x v="2"/>
    <x v="10"/>
    <s v="Programas de inversión pública"/>
    <s v="4.9.5"/>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s v="Programa de Infraestructura para la Competitividad "/>
    <s v="Generar condiciones para el desarrollo socio económico del territorio"/>
    <x v="8"/>
    <s v="COMP 9"/>
    <s v="INCLUSION"/>
    <s v="TRANSVERSALES X UDT"/>
    <s v="C18"/>
    <s v="N° campañas"/>
    <n v="0"/>
    <n v="135.52500000000001"/>
    <n v="135.52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388125"/>
    <n v="3423700.3125"/>
    <n v="3388125"/>
    <n v="3423700.3125"/>
    <n v="677625"/>
    <n v="684740.0625"/>
    <n v="677625"/>
    <n v="684740.0625"/>
    <n v="677625"/>
    <n v="684740.0625"/>
    <n v="677625"/>
    <n v="684740.0625"/>
    <n v="677625"/>
    <n v="684740.0625"/>
    <n v="0"/>
    <m/>
    <s v="X"/>
    <m/>
    <m/>
    <s v="RE"/>
    <n v="3"/>
    <n v="1"/>
  </r>
  <r>
    <x v="2"/>
    <x v="10"/>
    <s v="Programas de inversión pública"/>
    <s v="4.9.6"/>
    <x v="52"/>
    <s v="Promoción al acceso de la marca con los productores que cumplan los criterios de elegibilidad solicitados por el programa, como una estrategia de ubicar mercados diferenciados para los productos provenientes de estas zo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TRANSVERSALES X UDT"/>
    <s v="C18"/>
    <s v="Organizaciones que acceden a la marca"/>
    <n v="0"/>
    <n v="10"/>
    <n v="15"/>
    <n v="3000"/>
    <s v="El costo incluye: Una inspección anual anunciada,  elaboración de informe de inspección, administración y comunicación, certificación según los estándares de la marca."/>
    <s v="GRDE"/>
    <n v="150000"/>
    <n v="151575"/>
    <n v="225000"/>
    <n v="227362.5"/>
    <n v="30000"/>
    <n v="30315"/>
    <n v="30000"/>
    <n v="30315"/>
    <n v="30000"/>
    <n v="30315"/>
    <n v="30000"/>
    <n v="30315"/>
    <n v="30000"/>
    <n v="30315"/>
    <n v="0"/>
    <m/>
    <m/>
    <s v="X"/>
    <m/>
    <m/>
    <n v="3"/>
    <n v="1"/>
  </r>
  <r>
    <x v="3"/>
    <x v="0"/>
    <s v="Invasiones"/>
    <s v="3.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6973.3958940467001"/>
    <n v="3486.69794702335"/>
    <n v="3486.69794702335"/>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973395.8940466996"/>
    <n v="7046616.5509341899"/>
    <n v="6973395.8940466996"/>
    <n v="7046616.5509341899"/>
    <n v="697339.58940467006"/>
    <n v="704661.65509341902"/>
    <n v="1046009.3841070049"/>
    <n v="1056992.4826401283"/>
    <n v="1394679.1788093401"/>
    <n v="1409323.310186838"/>
    <n v="2092018.7682140097"/>
    <n v="2113984.9652802567"/>
    <n v="1743348.9735116749"/>
    <n v="1761654.1377335475"/>
    <n v="0"/>
    <m/>
    <m/>
    <s v="X"/>
    <m/>
    <s v="RE"/>
    <n v="3"/>
    <n v="1"/>
  </r>
  <r>
    <x v="3"/>
    <x v="0"/>
    <s v="Programas de inversión pública"/>
    <s v="3.1.2"/>
    <x v="1"/>
    <s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ASISTENCIA TÉCNICA"/>
    <s v="C1"/>
    <s v="Productores asistidos"/>
    <n v="29823"/>
    <n v="17893.8"/>
    <n v="11929.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020528"/>
    <n v="10125743.544"/>
    <n v="6680352"/>
    <n v="6750495.6959999995"/>
    <n v="2004105.6"/>
    <n v="2025148.7087999999"/>
    <n v="2004105.6"/>
    <n v="2025148.7087999999"/>
    <n v="2004105.6"/>
    <n v="2025148.7087999999"/>
    <n v="2004105.6"/>
    <n v="2025148.7087999999"/>
    <n v="2004105.6"/>
    <n v="2025148.7087999999"/>
    <n v="0"/>
    <m/>
    <m/>
    <s v="X"/>
    <m/>
    <s v="RE"/>
    <n v="3"/>
    <n v="1"/>
  </r>
  <r>
    <x v="3"/>
    <x v="0"/>
    <s v="Programas de inversión pública"/>
    <s v="3.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intervenidas"/>
    <n v="70028"/>
    <n v="21008.399999999998"/>
    <n v="21008.399999999998"/>
    <n v="500"/>
    <s v="El costo incluye adquisición de semillas, insumos, fertilizantes, entre otras para la producción de plantas agroforestales o coberturas  verdes."/>
    <s v="DRASAM"/>
    <n v="10504199.999999998"/>
    <n v="10614494.099999998"/>
    <n v="10504199.999999998"/>
    <n v="10614494.099999998"/>
    <n v="2100839.9999999995"/>
    <n v="2122898.8199999994"/>
    <n v="2100839.9999999995"/>
    <n v="2122898.8199999994"/>
    <n v="2100839.9999999995"/>
    <n v="2122898.8199999994"/>
    <n v="2100839.9999999995"/>
    <n v="2122898.8199999994"/>
    <n v="2100839.9999999995"/>
    <n v="2122898.8199999994"/>
    <n v="0"/>
    <m/>
    <m/>
    <s v="X"/>
    <m/>
    <m/>
    <n v="3"/>
    <n v="1"/>
  </r>
  <r>
    <x v="3"/>
    <x v="0"/>
    <s v="Programas de inversión pública"/>
    <s v="3.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fertilizadas"/>
    <n v="70028"/>
    <n v="14005.6"/>
    <n v="21008.399999999998"/>
    <n v="2500"/>
    <s v="El costo incluye un análisis de suelos, paquete de fertilización según los resultados del análisis y la adquisición de fertilizantes. El costo incluye los tres abonamientos requeridos en una campaña (1 año)."/>
    <s v="Drasam"/>
    <n v="35014000"/>
    <n v="35381647"/>
    <n v="52520999.999999993"/>
    <n v="53072470.499999993"/>
    <n v="7002800"/>
    <n v="7076329.3999999994"/>
    <n v="7002800"/>
    <n v="7076329.3999999994"/>
    <n v="7002800"/>
    <n v="7076329.3999999994"/>
    <n v="7002800"/>
    <n v="7076329.3999999994"/>
    <n v="7002800"/>
    <n v="7076329.3999999994"/>
    <n v="0"/>
    <m/>
    <m/>
    <s v="X"/>
    <m/>
    <s v="RE"/>
    <n v="3"/>
    <n v="1"/>
  </r>
  <r>
    <x v="3"/>
    <x v="0"/>
    <s v="Programas de inversión privada"/>
    <s v="3.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Hectáreas con sistemas de riego"/>
    <n v="70028"/>
    <n v="3501.4"/>
    <n v="4201.68"/>
    <n v="11500"/>
    <s v="El costo incluye la instalación de un sistema completo y un paquete de fertilización para la primera campaña. El costo va depender del tipo de cultivo, tipo de sistema y el tipo de materiales a usar en los sistemas de fertirriego."/>
    <s v="DRASAM"/>
    <n v="40266100"/>
    <n v="40688894.049999997"/>
    <n v="48319320"/>
    <n v="48826672.859999999"/>
    <n v="8053220"/>
    <n v="8137778.8099999996"/>
    <n v="8053220"/>
    <n v="8137778.8099999996"/>
    <n v="8053220"/>
    <n v="8137778.8099999996"/>
    <n v="8053220"/>
    <n v="8137778.8099999996"/>
    <n v="8053220"/>
    <n v="8137778.8099999996"/>
    <n v="0"/>
    <m/>
    <m/>
    <s v="X"/>
    <m/>
    <s v="RE"/>
    <n v="3"/>
    <n v="1"/>
  </r>
  <r>
    <x v="3"/>
    <x v="0"/>
    <s v="Programas de inversión privada"/>
    <s v="3.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s v="RECONVERSIÓN"/>
    <s v="C12"/>
    <s v="Hectáreas reconvertidas"/>
    <n v="14005.6"/>
    <n v="1400.5600000000002"/>
    <n v="1400.5600000000002"/>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008400.000000004"/>
    <n v="21228988.200000003"/>
    <n v="21008400.000000004"/>
    <n v="21228988.200000003"/>
    <n v="4201680.0000000009"/>
    <n v="4245797.6400000006"/>
    <n v="4201680.0000000009"/>
    <n v="4245797.6400000006"/>
    <n v="4201680.0000000009"/>
    <n v="4245797.6400000006"/>
    <n v="4201680.0000000009"/>
    <n v="4245797.6400000006"/>
    <n v="4201680.0000000009"/>
    <n v="4245797.6400000006"/>
    <n v="0"/>
    <s v="X"/>
    <m/>
    <m/>
    <m/>
    <s v="RE"/>
    <n v="2"/>
    <n v="1"/>
  </r>
  <r>
    <x v="3"/>
    <x v="0"/>
    <s v="Programas de inversión pública"/>
    <s v="3.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Productores beneficiados"/>
    <n v="29823"/>
    <n v="2982.3"/>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471670"/>
    <n v="38875622.534999996"/>
    <n v="76189980.000000015"/>
    <n v="76989974.790000007"/>
    <n v="7694334"/>
    <n v="7775124.5069999993"/>
    <n v="7694334"/>
    <n v="7775124.5069999993"/>
    <n v="7694334"/>
    <n v="7775124.5069999993"/>
    <n v="7694334"/>
    <n v="7775124.5069999993"/>
    <n v="7694334"/>
    <n v="7775124.5069999993"/>
    <n v="0"/>
    <m/>
    <m/>
    <s v="X"/>
    <m/>
    <s v="RE"/>
    <n v="2"/>
    <n v="1"/>
  </r>
  <r>
    <x v="3"/>
    <x v="0"/>
    <s v="Programas de inversión pública"/>
    <s v="3.1.8"/>
    <x v="7"/>
    <s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ASISTENCIA TÉCNICA"/>
    <s v="C1"/>
    <s v="Acuicultores asistidos"/>
    <n v="431"/>
    <n v="431"/>
    <n v="43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241360"/>
    <n v="243894.28"/>
    <n v="241360"/>
    <n v="243894.28"/>
    <n v="48272"/>
    <n v="48778.856"/>
    <n v="48272"/>
    <n v="48778.856"/>
    <n v="48272"/>
    <n v="48778.856"/>
    <n v="48272"/>
    <n v="48778.856"/>
    <n v="48272"/>
    <n v="48778.856"/>
    <n v="0"/>
    <m/>
    <m/>
    <s v="X"/>
    <m/>
    <s v="RE"/>
    <n v="2"/>
    <n v="1"/>
  </r>
  <r>
    <x v="3"/>
    <x v="0"/>
    <s v="Ingresos y Capital"/>
    <s v="3.1.9"/>
    <x v="8"/>
    <s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Créditos otorgados"/>
    <n v="0"/>
    <n v="431"/>
    <n v="431"/>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5559900"/>
    <n v="5618278.9500000002"/>
    <n v="5559900"/>
    <n v="5618278.9500000002"/>
    <n v="1111980"/>
    <n v="1123655.79"/>
    <n v="1111980"/>
    <n v="1123655.79"/>
    <n v="1111980"/>
    <n v="1123655.79"/>
    <n v="1111980"/>
    <n v="1123655.79"/>
    <n v="1111980"/>
    <n v="1123655.79"/>
    <n v="0"/>
    <s v="X"/>
    <m/>
    <m/>
    <m/>
    <s v="RE"/>
    <n v="2"/>
    <n v="1"/>
  </r>
  <r>
    <x v="3"/>
    <x v="0"/>
    <s v="Ingresos y Capital"/>
    <s v="3.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Créditos otorgados"/>
    <n v="29823"/>
    <n v="8946.9"/>
    <n v="5964.6"/>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96179175"/>
    <n v="97189056.337499991"/>
    <n v="64119450.000000007"/>
    <n v="64792704.225000001"/>
    <n v="19235835"/>
    <n v="19437811.267499998"/>
    <n v="19235835"/>
    <n v="19437811.267499998"/>
    <n v="19235835"/>
    <n v="19437811.267499998"/>
    <n v="19235835"/>
    <n v="19437811.267499998"/>
    <n v="19235835"/>
    <n v="19437811.267499998"/>
    <n v="0"/>
    <s v="X"/>
    <m/>
    <m/>
    <m/>
    <s v="RE"/>
    <n v="2"/>
    <n v="1"/>
  </r>
  <r>
    <x v="3"/>
    <x v="0"/>
    <s v="Programas de inversión privada"/>
    <s v="3.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INFRAESTRUCTURA"/>
    <s v="C7"/>
    <s v="Planes de negocios/proyectos ejecutados"/>
    <n v="0"/>
    <n v="5.6000000000000005"/>
    <n v="8.4"/>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480000"/>
    <n v="4527040"/>
    <n v="6720000"/>
    <n v="6790560"/>
    <n v="896000"/>
    <n v="905408"/>
    <n v="896000"/>
    <n v="905408"/>
    <n v="896000"/>
    <n v="905408"/>
    <n v="896000"/>
    <n v="905408"/>
    <n v="896000"/>
    <n v="905408"/>
    <n v="0"/>
    <m/>
    <s v="X"/>
    <m/>
    <m/>
    <s v="RE"/>
    <n v="3"/>
    <n v="1"/>
  </r>
  <r>
    <x v="3"/>
    <x v="0"/>
    <s v="Programas de inversión privada"/>
    <s v="3.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Empresas y organizaciones atendidas"/>
    <n v="20"/>
    <n v="10"/>
    <n v="10"/>
    <n v="50000"/>
    <s v="El costo incluye la contratación de especialistas para brindar Asistencia Técnica en los procesos de implementación de las certificaciones de calidad, materiales para la capacitación y pasantías."/>
    <s v="DIREPRO"/>
    <n v="500000"/>
    <n v="505250"/>
    <n v="500000"/>
    <n v="505250"/>
    <n v="100000"/>
    <n v="101050"/>
    <n v="100000"/>
    <n v="101050"/>
    <n v="100000"/>
    <n v="101050"/>
    <n v="100000"/>
    <n v="101050"/>
    <n v="100000"/>
    <n v="101050"/>
    <n v="0"/>
    <s v="X"/>
    <m/>
    <m/>
    <m/>
    <s v="RE"/>
    <n v="2"/>
    <n v="1"/>
  </r>
  <r>
    <x v="3"/>
    <x v="0"/>
    <s v="Programas de inversión pública"/>
    <s v="3.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s v="Programa de promoción de la Asociatividad Empresarial"/>
    <s v="Desarrollar en los productores y produtoras capacidades colaborativas y de confianza hacia objetivos comunes"/>
    <x v="4"/>
    <s v="COMP 2"/>
    <s v="PRODUCCIÓN"/>
    <s v="ASOCIATIVIDAD"/>
    <s v="C2"/>
    <s v="Organizaciones auto sostenibles"/>
    <n v="28"/>
    <n v="10"/>
    <n v="8.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1200000"/>
    <n v="1212600"/>
    <n v="1008000"/>
    <n v="1018584"/>
    <n v="240000"/>
    <n v="242520"/>
    <n v="240000"/>
    <n v="242520"/>
    <n v="240000"/>
    <n v="242520"/>
    <n v="240000"/>
    <n v="242520"/>
    <n v="240000"/>
    <n v="242520"/>
    <n v="0"/>
    <m/>
    <m/>
    <s v="X"/>
    <m/>
    <m/>
    <n v="3"/>
    <n v="1"/>
  </r>
  <r>
    <x v="3"/>
    <x v="0"/>
    <s v="Programas de inversión privada"/>
    <s v="3.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Organizaciones certificadas"/>
    <n v="28"/>
    <n v="14"/>
    <n v="14"/>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00000"/>
    <n v="2829400"/>
    <n v="2800000"/>
    <n v="2829400"/>
    <n v="560000"/>
    <n v="565880"/>
    <n v="560000"/>
    <n v="565880"/>
    <n v="560000"/>
    <n v="565880"/>
    <n v="560000"/>
    <n v="565880"/>
    <n v="560000"/>
    <n v="565880"/>
    <n v="0"/>
    <m/>
    <m/>
    <s v="X"/>
    <m/>
    <m/>
    <n v="3"/>
    <n v="1"/>
  </r>
  <r>
    <x v="3"/>
    <x v="0"/>
    <s v="Control y vigilancia"/>
    <s v="3.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m/>
    <m/>
    <s v="X"/>
    <m/>
    <m/>
    <n v="2"/>
    <n v="1"/>
  </r>
  <r>
    <x v="3"/>
    <x v="0"/>
    <s v="Programas de inversión privada"/>
    <s v="3.1.16"/>
    <x v="60"/>
    <s v="Implementar y promover la certificación de plantaciones de 8,086 pequeños productores, los cuales tienen 30,728.3 ha. La certificación RSPO permite facilitar el acceso a los mercados de los productos derivados de la palma aceitera."/>
    <s v="R"/>
    <x v="1"/>
    <s v="Programa de Asistencia Técnicas para incrementar la capacidad productiva de las principaes cadenas"/>
    <s v="Asistencia Técnica y Capacitación para incorporar tecnologias que eleven la productividad y calidad de los productos y procesos"/>
    <x v="5"/>
    <s v="COMP 3"/>
    <s v="PRODUCCIÓN"/>
    <s v="MERCADO"/>
    <s v="C9"/>
    <s v="Hectáreas certificadas"/>
    <n v="0"/>
    <n v="9218.4"/>
    <n v="21509.599999999999"/>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23037887.807999998"/>
    <n v="23279785.629983999"/>
    <n v="53755071.551999994"/>
    <n v="54319499.803295992"/>
    <n v="4607577.5615999997"/>
    <n v="4655957.1259967992"/>
    <n v="4607577.5615999997"/>
    <n v="4655957.1259967992"/>
    <n v="4607577.5615999997"/>
    <n v="4655957.1259967992"/>
    <n v="4607577.5615999997"/>
    <n v="4655957.1259967992"/>
    <n v="4607577.5615999997"/>
    <n v="4655957.1259967992"/>
    <n v="0"/>
    <m/>
    <m/>
    <s v="X"/>
    <m/>
    <s v="RE"/>
    <n v="2"/>
    <n v="1"/>
  </r>
  <r>
    <x v="3"/>
    <x v="1"/>
    <s v="Invasiones"/>
    <s v="3.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95.985498947623199"/>
    <n v="47.9927494738116"/>
    <n v="47.9927494738116"/>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95985.4989476232"/>
    <n v="96993.346686573233"/>
    <n v="95985.4989476232"/>
    <n v="96993.346686573233"/>
    <n v="9598.54989476232"/>
    <n v="9699.3346686573241"/>
    <n v="14397.82484214348"/>
    <n v="14549.002002985986"/>
    <n v="19197.09978952464"/>
    <n v="19398.669337314648"/>
    <n v="28795.64968428696"/>
    <n v="29098.004005971972"/>
    <n v="23996.3747369058"/>
    <n v="24248.336671643308"/>
    <n v="0"/>
    <m/>
    <n v="0"/>
    <m/>
    <m/>
    <s v="RE"/>
    <n v="3"/>
    <n v="0"/>
  </r>
  <r>
    <x v="3"/>
    <x v="1"/>
    <s v="Programas de inversión pública"/>
    <s v="3.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Unidades semilleristas"/>
    <n v="5"/>
    <n v="2.5"/>
    <n v="1.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37500"/>
    <n v="37893.75"/>
    <n v="22500"/>
    <n v="22736.25"/>
    <n v="7500"/>
    <n v="7578.75"/>
    <n v="7500"/>
    <n v="7578.75"/>
    <n v="7500"/>
    <n v="7578.75"/>
    <n v="7500"/>
    <n v="7578.75"/>
    <n v="7500"/>
    <n v="7578.75"/>
    <n v="0"/>
    <m/>
    <s v="X"/>
    <m/>
    <m/>
    <s v="RE"/>
    <n v="3"/>
    <n v="1"/>
  </r>
  <r>
    <x v="3"/>
    <x v="1"/>
    <s v="Programas de inversión pública"/>
    <s v="3.2.3"/>
    <x v="16"/>
    <s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CAPACITACIÓN"/>
    <s v="C3"/>
    <s v="Productores asistidos"/>
    <n v="985"/>
    <n v="492.5"/>
    <n v="295.5"/>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275800"/>
    <n v="278695.89999999997"/>
    <n v="165480"/>
    <n v="167217.53999999998"/>
    <n v="55160"/>
    <n v="55739.18"/>
    <n v="55160"/>
    <n v="55739.18"/>
    <n v="55160"/>
    <n v="55739.18"/>
    <n v="55160"/>
    <n v="55739.18"/>
    <n v="55160"/>
    <n v="55739.18"/>
    <n v="0"/>
    <m/>
    <m/>
    <s v="X"/>
    <m/>
    <s v="RE"/>
    <n v="2"/>
    <n v="1"/>
  </r>
  <r>
    <x v="3"/>
    <x v="1"/>
    <s v="Programas de inversión privada"/>
    <s v="3.2.4"/>
    <x v="5"/>
    <s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s v="RECONVERSIÓN"/>
    <s v="C12"/>
    <s v="Hectáreas reconvertidas"/>
    <n v="1001.4000000000001"/>
    <n v="100.14000000000001"/>
    <n v="200.28000000000003"/>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1502100.0000000002"/>
    <n v="1517872.0500000003"/>
    <n v="3004200.0000000005"/>
    <n v="3035744.1000000006"/>
    <n v="300420.00000000006"/>
    <n v="303574.41000000003"/>
    <n v="300420.00000000006"/>
    <n v="303574.41000000003"/>
    <n v="300420.00000000006"/>
    <n v="303574.41000000003"/>
    <n v="300420.00000000006"/>
    <n v="303574.41000000003"/>
    <n v="300420.00000000006"/>
    <n v="303574.41000000003"/>
    <n v="0"/>
    <m/>
    <m/>
    <s v="X"/>
    <m/>
    <s v="RE"/>
    <n v="3"/>
    <n v="1"/>
  </r>
  <r>
    <x v="3"/>
    <x v="1"/>
    <s v="Ingresos y Capital"/>
    <s v="3.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Productores atendidos"/>
    <n v="985"/>
    <n v="295.5"/>
    <n v="19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3176625"/>
    <n v="3209979.5625"/>
    <n v="2117750"/>
    <n v="2139986.375"/>
    <n v="635325"/>
    <n v="641995.91249999998"/>
    <n v="635325"/>
    <n v="641995.91249999998"/>
    <n v="635325"/>
    <n v="641995.91249999998"/>
    <n v="635325"/>
    <n v="641995.91249999998"/>
    <n v="635325"/>
    <n v="641995.91249999998"/>
    <n v="0"/>
    <s v="X"/>
    <m/>
    <m/>
    <m/>
    <m/>
    <n v="3"/>
    <n v="1"/>
  </r>
  <r>
    <x v="3"/>
    <x v="1"/>
    <s v="Programas de inversión pública"/>
    <s v="3.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s v="ASOCIATIVIDAD"/>
    <s v="C2"/>
    <s v="Organizaciones formalizadas"/>
    <n v="0"/>
    <n v="2"/>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1200000"/>
    <n v="1212600"/>
    <n v="1200000"/>
    <n v="1212600"/>
    <n v="240000"/>
    <n v="242520"/>
    <n v="240000"/>
    <n v="242520"/>
    <n v="240000"/>
    <n v="242520"/>
    <n v="240000"/>
    <n v="242520"/>
    <n v="240000"/>
    <n v="242520"/>
    <n v="0"/>
    <m/>
    <m/>
    <s v="X"/>
    <m/>
    <m/>
    <n v="3"/>
    <n v="1"/>
  </r>
  <r>
    <x v="3"/>
    <x v="1"/>
    <s v="Programas de inversión privada"/>
    <s v="3.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
    <s v="NR"/>
    <x v="1"/>
    <s v="Programa de Asistencia Técnicas para incrementar la capacidad productiva de las principaes cadenas"/>
    <s v="Asistencia Técnica y Capacitación para incorporar tecnologias que eleven la productividad y calidad de los productos y procesos"/>
    <x v="2"/>
    <s v="COMP 4 "/>
    <s v="PRODUCCIÓN"/>
    <s v="INFRAESTRUCTURA"/>
    <s v="C7"/>
    <s v="Planes de negocios ejecutados"/>
    <n v="0"/>
    <n v="2"/>
    <n v="2"/>
    <n v="15000"/>
    <s v="Para el logro de los objetivos, se considera el pago de profesionales para la formulación de los planes de negocios que beneficiarían directamente a los pequeños productores."/>
    <s v="DRASAM"/>
    <n v="150000"/>
    <n v="151575"/>
    <n v="150000"/>
    <n v="151575"/>
    <n v="75000"/>
    <n v="75787.5"/>
    <n v="0"/>
    <n v="0"/>
    <n v="75000"/>
    <n v="75787.5"/>
    <n v="0"/>
    <n v="0"/>
    <n v="0"/>
    <n v="0"/>
    <n v="0"/>
    <s v="X"/>
    <m/>
    <m/>
    <m/>
    <m/>
    <n v="3"/>
    <n v="1"/>
  </r>
  <r>
    <x v="3"/>
    <x v="1"/>
    <s v="Control y vigilancia"/>
    <s v="3.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s v="X"/>
    <m/>
    <m/>
    <m/>
    <m/>
    <n v="3"/>
    <n v="1"/>
  </r>
  <r>
    <x v="3"/>
    <x v="2"/>
    <s v="Invasiones"/>
    <s v="3.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s v="DERECHOS SOBRE LA TIERRA"/>
    <s v="C5"/>
    <s v="N° Títulos/Contratos otorgados"/>
    <n v="463.30581406844504"/>
    <n v="231.65290703422252"/>
    <n v="231.652907034222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463305.81406844506"/>
    <n v="468170.52511616371"/>
    <n v="463305.81406844506"/>
    <n v="468170.52511616371"/>
    <n v="46330.581406844511"/>
    <n v="46817.052511616377"/>
    <n v="69495.872110266762"/>
    <n v="70225.578767424566"/>
    <n v="92661.162813689021"/>
    <n v="93634.105023232754"/>
    <n v="138991.74422053352"/>
    <n v="140451.15753484913"/>
    <n v="115826.45351711127"/>
    <n v="117042.63127904093"/>
    <n v="0"/>
    <m/>
    <m/>
    <s v="X"/>
    <m/>
    <s v="RE"/>
    <n v="3"/>
    <n v="1"/>
  </r>
  <r>
    <x v="3"/>
    <x v="2"/>
    <s v="Programas de inversión pública"/>
    <s v="3.3.2"/>
    <x v="18"/>
    <s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s v="ASISTENCIA TÉCNICA"/>
    <s v="C1"/>
    <s v="Ganaderos asistidos"/>
    <n v="587"/>
    <n v="587"/>
    <n v="587"/>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328720"/>
    <n v="332171.56"/>
    <n v="328720"/>
    <n v="332171.56"/>
    <n v="65744"/>
    <n v="66434.311999999991"/>
    <n v="65744"/>
    <n v="66434.311999999991"/>
    <n v="65744"/>
    <n v="66434.311999999991"/>
    <n v="65744"/>
    <n v="66434.311999999991"/>
    <n v="65744"/>
    <n v="66434.311999999991"/>
    <n v="0"/>
    <m/>
    <m/>
    <s v="X"/>
    <m/>
    <s v="RE"/>
    <n v="3"/>
    <n v="1"/>
  </r>
  <r>
    <x v="3"/>
    <x v="2"/>
    <s v="Programas de inversión pública"/>
    <s v="3.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s v="Programa de Asistencia Técnicas para incrementar la capacidad productiva de las principaes cadenas"/>
    <s v="Asistencia Técnica y Capacitación para incorporar tecnologias que eleven la productividad y calidad de los productos y procesos"/>
    <x v="1"/>
    <s v="COMP 1"/>
    <s v="PRODUCCIÓN"/>
    <s v="TECNOLOGÍA"/>
    <s v="C17"/>
    <s v="Hectáreas intervenidas"/>
    <n v="11251"/>
    <n v="2250.2000000000003"/>
    <n v="2250.2000000000003"/>
    <n v="500"/>
    <s v="El costo incluye adquisición de semillas, insumos, fertilizantes, entre otras para la producción de plantas agroforestales o coberturas  verdes."/>
    <s v="DRASAM"/>
    <n v="1125100.0000000002"/>
    <n v="1136913.5500000003"/>
    <n v="1125100.0000000002"/>
    <n v="1136913.5500000003"/>
    <n v="225020.00000000006"/>
    <n v="227382.71000000005"/>
    <n v="225020.00000000006"/>
    <n v="227382.71000000005"/>
    <n v="225020.00000000006"/>
    <n v="227382.71000000005"/>
    <n v="225020.00000000006"/>
    <n v="227382.71000000005"/>
    <n v="225020.00000000006"/>
    <n v="227382.71000000005"/>
    <n v="0"/>
    <m/>
    <m/>
    <s v="X"/>
    <m/>
    <s v="RE"/>
    <n v="2"/>
    <n v="1"/>
  </r>
  <r>
    <x v="3"/>
    <x v="2"/>
    <s v="Programas de inversión pública"/>
    <s v="3.3.4"/>
    <x v="19"/>
    <s v="Reactivación  , implementación y gestión de las postas de inseminación artificial, importación de material genético (pajillas de semen), capacitación y entrenamiento a inseminadores, transferencia de embriones."/>
    <s v="R"/>
    <x v="1"/>
    <s v="Programa de Asistencia Técnicas para incrementar la capacidad productiva de las principaes cadenas"/>
    <s v="Asistencia Técnica y Capacitación para incorporar tecnologias que eleven la productividad y calidad de los productos y procesos"/>
    <x v="2"/>
    <s v="COMP 4 "/>
    <s v="PRODUCCIÓN"/>
    <s v="TECNOLOGÍA"/>
    <s v="C17"/>
    <s v="Postas Reactivadas"/>
    <n v="0"/>
    <n v="2"/>
    <n v="2"/>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548000"/>
    <n v="553754"/>
    <n v="548000"/>
    <n v="553754"/>
    <n v="109600"/>
    <n v="110750.79999999999"/>
    <n v="109600"/>
    <n v="110750.79999999999"/>
    <n v="109600"/>
    <n v="110750.79999999999"/>
    <n v="109600"/>
    <n v="110750.79999999999"/>
    <n v="109600"/>
    <n v="110750.79999999999"/>
    <n v="0"/>
    <m/>
    <s v="X"/>
    <m/>
    <m/>
    <m/>
    <n v="2"/>
    <n v="1"/>
  </r>
  <r>
    <x v="3"/>
    <x v="2"/>
    <s v="Ingresos y Capital"/>
    <s v="3.3.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
    <s v="R"/>
    <x v="1"/>
    <s v="Programa de acceso al crédito"/>
    <s v="Acceso al crédito, organizanco a la oferta de productores, capacitándolos y asesorando  educación financiera, desarrollo de productos finacnieros adecuados y asesoria para la  acceso al crédito"/>
    <x v="3"/>
    <s v="COMP 11"/>
    <s v="PRODUCCIÓN"/>
    <s v="FINANCIAMIENTO"/>
    <s v="C6"/>
    <s v="Ganaderos atendidos"/>
    <n v="587"/>
    <n v="176.1"/>
    <n v="117.4"/>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1893075"/>
    <n v="1912952.2874999999"/>
    <n v="1262050"/>
    <n v="1275301.5249999999"/>
    <n v="378615"/>
    <n v="382590.45749999996"/>
    <n v="378615"/>
    <n v="382590.45749999996"/>
    <n v="378615"/>
    <n v="382590.45749999996"/>
    <n v="378615"/>
    <n v="382590.45749999996"/>
    <n v="378615"/>
    <n v="382590.45749999996"/>
    <n v="0"/>
    <s v="X"/>
    <m/>
    <m/>
    <m/>
    <s v="RE"/>
    <n v="3"/>
    <n v="1"/>
  </r>
  <r>
    <x v="3"/>
    <x v="2"/>
    <s v="Programas de inversión pública"/>
    <s v="3.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s v="ASOCIATIVIDAD"/>
    <s v="C2"/>
    <s v="Organizaciones fortalecidas"/>
    <n v="0"/>
    <n v="8"/>
    <n v="8"/>
    <n v="120000"/>
    <s v="Costo implica la contratación de un profesional para realizar las labores de seguimiento y fortalecimiento de las organizaciones de forma permanente por el periodo de 10 años (120 meses)"/>
    <s v="Drasam, Dircetur, Direpro"/>
    <n v="4800000"/>
    <n v="4850400"/>
    <n v="4800000"/>
    <n v="4850400"/>
    <n v="960000"/>
    <n v="970080"/>
    <n v="960000"/>
    <n v="970080"/>
    <n v="960000"/>
    <n v="970080"/>
    <n v="960000"/>
    <n v="970080"/>
    <n v="960000"/>
    <n v="970080"/>
    <n v="0"/>
    <m/>
    <m/>
    <s v="X"/>
    <m/>
    <m/>
    <n v="3"/>
    <n v="1"/>
  </r>
  <r>
    <x v="3"/>
    <x v="2"/>
    <s v="Programas de inversión privada"/>
    <s v="3.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s v="Programa de Asistencia Técnicas para incrementar la capacidad productiva de las principaes cadenas"/>
    <s v="Asistencia Técnica y Capacitación para incorporar tecnologias que eleven la productividad y calidad de los productos y procesos"/>
    <x v="2"/>
    <s v="COMP 4 "/>
    <s v="PRODUCCIÓN"/>
    <s v="INFRAESTRUCTURA"/>
    <s v="C7"/>
    <s v="Planes de negocios implementados"/>
    <n v="0"/>
    <n v="8"/>
    <n v="8"/>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6400000"/>
    <n v="6467200"/>
    <n v="6400000"/>
    <n v="6467200"/>
    <n v="1280000"/>
    <n v="1293440"/>
    <n v="1280000"/>
    <n v="1293440"/>
    <n v="1280000"/>
    <n v="1293440"/>
    <n v="1280000"/>
    <n v="1293440"/>
    <n v="1280000"/>
    <n v="1293440"/>
    <n v="0"/>
    <s v="X"/>
    <m/>
    <m/>
    <m/>
    <s v="RE"/>
    <n v="2"/>
    <n v="1"/>
  </r>
  <r>
    <x v="3"/>
    <x v="2"/>
    <s v="Control y vigilancia"/>
    <s v="3.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s v="X"/>
    <m/>
    <m/>
    <m/>
    <m/>
    <n v="2"/>
    <n v="1"/>
  </r>
  <r>
    <x v="3"/>
    <x v="12"/>
    <s v="Invasiones"/>
    <s v="3.4.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R"/>
    <x v="0"/>
    <s v="Programa de regulización, formalizacion y saneamiento de predios"/>
    <s v="Formalización de la situacion de legal de los predios, estableciendo medidas facilitadoras"/>
    <x v="0"/>
    <s v="COMP 8"/>
    <s v="PROTECCIÓN-GOBERNANZA"/>
    <s v="DERECHOS SOBRE LA TIERRA"/>
    <s v="C5"/>
    <s v="N° Títulos/Contratos otorgados"/>
    <n v="1165.1265258785102"/>
    <n v="582.56326293925508"/>
    <n v="582.56326293925508"/>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165126.5258785102"/>
    <n v="1177360.3544002345"/>
    <n v="1165126.5258785102"/>
    <n v="1177360.3544002345"/>
    <n v="116512.65258785103"/>
    <n v="117736.03544002346"/>
    <n v="174768.97888177654"/>
    <n v="176604.05316003517"/>
    <n v="233025.30517570206"/>
    <n v="235472.07088004693"/>
    <n v="349537.95776355307"/>
    <n v="353208.10632007034"/>
    <n v="291281.63146962755"/>
    <n v="294340.08860005863"/>
    <n v="0"/>
    <m/>
    <m/>
    <s v="X"/>
    <m/>
    <s v="RE"/>
    <n v="3"/>
    <n v="1"/>
  </r>
  <r>
    <x v="3"/>
    <x v="12"/>
    <s v="Ingresos y Capital"/>
    <s v="3.4.2"/>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s v="Programa de Asistencia Técnica para la recuperación de bosques"/>
    <s v="Recuperación de bosques mediante la recuperación y concervación de los suelos, el aprovechamiento de los serivicios ecosistemicos , manejo forstal, entre otros "/>
    <x v="3"/>
    <s v="COMP 11"/>
    <s v="PRODUCCIÓN"/>
    <s v="FINANCIAMIENTO"/>
    <s v="C6"/>
    <s v="Productores atendidos"/>
    <n v="8086"/>
    <n v="2425.7999999999997"/>
    <n v="1617.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26077349.999999996"/>
    <n v="26351162.174999993"/>
    <n v="17384900"/>
    <n v="17567441.449999999"/>
    <n v="5215470"/>
    <n v="5270232.4349999996"/>
    <n v="5215470"/>
    <n v="5270232.4349999996"/>
    <n v="5215470"/>
    <n v="5270232.4349999996"/>
    <n v="5215470"/>
    <n v="5270232.4349999996"/>
    <n v="5215470"/>
    <n v="5270232.4349999996"/>
    <n v="0"/>
    <m/>
    <m/>
    <s v="X"/>
    <m/>
    <s v="RE"/>
    <n v="3"/>
    <n v="1"/>
  </r>
  <r>
    <x v="3"/>
    <x v="12"/>
    <s v="Programas de inversión privada"/>
    <s v="3.4.3"/>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5"/>
    <s v="COMP 3"/>
    <s v="PRODUCCIÓN"/>
    <s v="MERCADO"/>
    <s v="C9"/>
    <s v="Especialistas"/>
    <n v="0"/>
    <n v="2"/>
    <n v="2"/>
    <n v="3500"/>
    <s v="El costo incluye la contratación de profesionales que se encarguen de identificar propuestas de alianzas comerciales entre productores y empresas privadas."/>
    <s v="Drasam"/>
    <n v="420000"/>
    <n v="424410"/>
    <n v="420000"/>
    <n v="424410"/>
    <n v="84000"/>
    <n v="84882"/>
    <n v="84000"/>
    <n v="84882"/>
    <n v="84000"/>
    <n v="84882"/>
    <n v="84000"/>
    <n v="84882"/>
    <n v="84000"/>
    <n v="84882"/>
    <n v="0"/>
    <s v="X"/>
    <m/>
    <m/>
    <m/>
    <s v="RE"/>
    <n v="3"/>
    <n v="1"/>
  </r>
  <r>
    <x v="3"/>
    <x v="12"/>
    <s v="Programas de inversión privada"/>
    <s v="3.4.4"/>
    <x v="63"/>
    <s v="Promover el financiamiento para el desarrollo e implementación de estudios de umbrales de carbono en el suelo y en los bosques."/>
    <s v="NR"/>
    <x v="1"/>
    <s v="Programa de promoción de la Asociatividad Empresarial"/>
    <s v="Desarrollar en los productores y produtoras capacidades colaborativas y de confianza hacia objetivos comunes"/>
    <x v="5"/>
    <s v="COMP 3"/>
    <s v="PRODUCCIÓN"/>
    <s v="MERCADO"/>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445428.39999999997"/>
    <n v="0"/>
    <n v="0"/>
    <n v="220400"/>
    <n v="222714.19999999998"/>
    <n v="220400"/>
    <n v="222714.19999999998"/>
    <n v="0"/>
    <n v="0"/>
    <n v="0"/>
    <n v="0"/>
    <n v="0"/>
    <n v="0"/>
    <n v="0"/>
    <s v="X"/>
    <m/>
    <m/>
    <m/>
    <s v="RE"/>
    <n v="3"/>
    <n v="1"/>
  </r>
  <r>
    <x v="3"/>
    <x v="4"/>
    <s v="Programas de inversión privada"/>
    <s v="3.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s v="Programa de incentivos para la protección de bosques"/>
    <s v="Contribuir a la sostenilidad de los bosques brindando incentivos financieros"/>
    <x v="3"/>
    <s v="COMP 11"/>
    <s v="PROTECCIÓN"/>
    <s v="FINANCIAMIENTO"/>
    <s v="C6"/>
    <s v="Planes de negocios"/>
    <n v="0"/>
    <n v="7"/>
    <n v="10"/>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050000"/>
    <n v="1061025"/>
    <n v="1500000"/>
    <n v="1515750"/>
    <n v="210000"/>
    <n v="212205"/>
    <n v="210000"/>
    <n v="212205"/>
    <n v="210000"/>
    <n v="212205"/>
    <n v="210000"/>
    <n v="212205"/>
    <n v="210000"/>
    <n v="212205"/>
    <n v="0"/>
    <s v="X"/>
    <m/>
    <m/>
    <m/>
    <s v="RE"/>
    <n v="3"/>
    <n v="1"/>
  </r>
  <r>
    <x v="3"/>
    <x v="4"/>
    <s v="Programas de inversión pública"/>
    <s v="3.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s v="Programa de Asistencia Técnica para la recuperación de bosques"/>
    <s v="Recuperación de bosques mediante la recuperación y concervación de los suelos, el aprovechamiento de los serivicios ecosistemicos , manejo forstal, entre otros "/>
    <x v="6"/>
    <s v="COMP 5"/>
    <s v="PROTECCIÓN"/>
    <s v="ASISTENCIA TÉCNICA"/>
    <s v="C1"/>
    <s v="Especialistas"/>
    <n v="0"/>
    <n v="2"/>
    <n v="2"/>
    <n v="4000"/>
    <s v="Contratación de especialista y gastos logísticos, pasantías regionales y nacionales para adquisición de know how en materia de turismo rural"/>
    <s v="Dircetur"/>
    <n v="480000"/>
    <n v="485040"/>
    <n v="480000"/>
    <n v="485040"/>
    <n v="96000"/>
    <n v="97008"/>
    <n v="96000"/>
    <n v="97008"/>
    <n v="96000"/>
    <n v="97008"/>
    <n v="96000"/>
    <n v="97008"/>
    <n v="96000"/>
    <n v="97008"/>
    <n v="0"/>
    <m/>
    <m/>
    <s v="X"/>
    <m/>
    <s v="RE"/>
    <n v="3"/>
    <n v="1"/>
  </r>
  <r>
    <x v="3"/>
    <x v="4"/>
    <s v="Programas de inversión privada"/>
    <s v="3.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INNOVACIÓN"/>
    <s v="C8"/>
    <s v="Planes de negocio"/>
    <n v="0"/>
    <n v="4"/>
    <n v="8"/>
    <n v="150000"/>
    <s v="El costo hace referencia al proceso de implementación y funcionamiento de los productos para el desarrollo de  los emprendimientos."/>
    <s v="Dircetur, Agroideas"/>
    <n v="600000"/>
    <n v="606300"/>
    <n v="1200000"/>
    <n v="1212600"/>
    <n v="120000"/>
    <n v="121260"/>
    <n v="120000"/>
    <n v="121260"/>
    <n v="120000"/>
    <n v="121260"/>
    <n v="120000"/>
    <n v="121260"/>
    <n v="120000"/>
    <n v="121260"/>
    <n v="0"/>
    <s v="X"/>
    <m/>
    <m/>
    <m/>
    <s v="RE"/>
    <n v="3"/>
    <n v="1"/>
  </r>
  <r>
    <x v="3"/>
    <x v="4"/>
    <s v="Programas de inversión privada"/>
    <s v="3.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rutas turísticas promocionados"/>
    <n v="0"/>
    <n v="3"/>
    <n v="3"/>
    <n v="40000"/>
    <s v="Participación en eventos de promoción (ferias regionales y nacionales, Fam Trip), el costo cubrirá gastos logísticos y administrativos de los operadores turísticos identificados "/>
    <s v="Mincetur, Dircetur"/>
    <n v="600000"/>
    <n v="606300"/>
    <n v="600000"/>
    <n v="606300"/>
    <n v="120000"/>
    <n v="121260"/>
    <n v="120000"/>
    <n v="121260"/>
    <n v="120000"/>
    <n v="121260"/>
    <n v="120000"/>
    <n v="121260"/>
    <n v="120000"/>
    <n v="121260"/>
    <n v="0"/>
    <m/>
    <m/>
    <s v="X"/>
    <m/>
    <s v="RE"/>
    <n v="3"/>
    <n v="1"/>
  </r>
  <r>
    <x v="3"/>
    <x v="5"/>
    <s v="Invasiones"/>
    <s v="3.6.1"/>
    <x v="31"/>
    <s v="Realizar un sinceramiento de las concesiones forestales activas e inactivas para excluir o realizar nuevos otorgamientos a empresas que puedan cumplir técnica y económicamente con lo predispuesto en la directiva."/>
    <s v="NR"/>
    <x v="0"/>
    <s v="Programa de regulización, formalizacion y saneamiento de predios"/>
    <s v="Formalización de la situacion de legal de los predios, estableciendo medidas facilitadoras"/>
    <x v="0"/>
    <s v="COMP 8"/>
    <s v="PROTECCIÓN-GOBERNANZA"/>
    <s v="DERECHOS SOBRE LA TIERRA"/>
    <s v="C5"/>
    <s v="N° de concesiones "/>
    <n v="0"/>
    <n v="9"/>
    <n v="9"/>
    <n v="30000"/>
    <s v="Gastos operativos y logísticos para la elaboración de expedientes técnicos sustentatorios para los procesos legales y administrativos que conllevan dicho procedimiento."/>
    <s v="ARA, SERFOR, MINAM"/>
    <n v="270000"/>
    <n v="272835"/>
    <n v="270000"/>
    <n v="272835"/>
    <n v="54000"/>
    <n v="54567"/>
    <n v="54000"/>
    <n v="54567"/>
    <n v="54000"/>
    <n v="54567"/>
    <n v="54000"/>
    <n v="54567"/>
    <n v="54000"/>
    <n v="54567"/>
    <n v="0"/>
    <m/>
    <m/>
    <s v="X"/>
    <m/>
    <m/>
    <n v="3"/>
    <n v="1"/>
  </r>
  <r>
    <x v="3"/>
    <x v="5"/>
    <s v="Programas de inversión privada"/>
    <s v="3.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s v="Programa de incentivos para la protección de bosques"/>
    <s v="Contribuir a la sostenilidad de los bosques brindando incentivos financieros"/>
    <x v="3"/>
    <s v="COMP 11"/>
    <s v="PROTECCIÓN"/>
    <s v="FINANCIAMIENTO"/>
    <s v="C6"/>
    <s v="Créditos otorgados"/>
    <n v="0"/>
    <n v="3"/>
    <n v="3"/>
    <n v="150000"/>
    <s v="El costo incluye los gastos operativos y logísticos para la extracción de la madera de acuerdo al plan de extracción y la implementación de los planes de manejo. ambiental."/>
    <s v="ARA, SERFOR, MINAM"/>
    <n v="450000"/>
    <n v="454725"/>
    <n v="450000"/>
    <n v="454725"/>
    <n v="90000"/>
    <n v="90945"/>
    <n v="90000"/>
    <n v="90945"/>
    <n v="90000"/>
    <n v="90945"/>
    <n v="90000"/>
    <n v="90945"/>
    <n v="90000"/>
    <n v="90945"/>
    <n v="0"/>
    <s v="X"/>
    <m/>
    <m/>
    <m/>
    <m/>
    <n v="3"/>
    <n v="1"/>
  </r>
  <r>
    <x v="3"/>
    <x v="5"/>
    <s v="Programas de inversión pública"/>
    <s v="3.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puedan acceder a este beneficio."/>
    <s v="R"/>
    <x v="0"/>
    <s v="Programa de regulización, formalizacion y saneamiento de predios"/>
    <s v="Formalización de la situacion de legal de los predios, estableciendo medidas facilitadoras"/>
    <x v="0"/>
    <s v="COMP 8"/>
    <s v="HABILITANTE"/>
    <s v="GESTIÓN PUBLICA"/>
    <s v="C21"/>
    <s v="Concesiones reactivas"/>
    <n v="0"/>
    <n v="9"/>
    <n v="0"/>
    <n v="20000"/>
    <s v="Gastos operativos y logísticos para la elaboración de expedientes técnicos sustentatorios para los procesos legales y administrativos que conllevan dicho procedimiento."/>
    <s v="ARA, SERFOR, MINAM"/>
    <n v="180000"/>
    <n v="181890"/>
    <n v="0"/>
    <n v="0"/>
    <n v="36000"/>
    <n v="36378"/>
    <n v="36000"/>
    <n v="36378"/>
    <n v="36000"/>
    <n v="36378"/>
    <n v="36000"/>
    <n v="36378"/>
    <n v="36000"/>
    <n v="36378"/>
    <n v="0"/>
    <m/>
    <m/>
    <s v="X"/>
    <m/>
    <m/>
    <n v="1"/>
    <n v="1"/>
  </r>
  <r>
    <x v="3"/>
    <x v="14"/>
    <s v="Control y vigilancia"/>
    <s v="3.7.1"/>
    <x v="69"/>
    <s v="Propuesta de lineamientos para aprovechamiento sostenible de los Recursos Naturales Presentes."/>
    <s v="NR"/>
    <x v="0"/>
    <s v="Programa de regulización, formalizacion y saneamiento de predios"/>
    <s v="Formalización de la situacion de legal de los predios, estableciendo medidas facilitadoras"/>
    <x v="0"/>
    <s v="COMP 8"/>
    <s v="PROTECCIÓN-GOBERNANZA"/>
    <s v="DERECHOS SOBRE LA TIERRA"/>
    <s v="C5"/>
    <s v="Lineamientos"/>
    <n v="0"/>
    <n v="1"/>
    <n v="0"/>
    <n v="100000"/>
    <s v="Contratación de equipo de profesionales para la elaboración de lineamientos de uso y demarcación de la ACR."/>
    <s v="Ara, serfor, Sernanp"/>
    <n v="100000"/>
    <n v="101050"/>
    <n v="0"/>
    <n v="0"/>
    <n v="100000"/>
    <n v="101050"/>
    <n v="0"/>
    <n v="0"/>
    <n v="0"/>
    <n v="0"/>
    <n v="0"/>
    <n v="0"/>
    <n v="0"/>
    <n v="0"/>
    <n v="0"/>
    <m/>
    <s v="X"/>
    <m/>
    <m/>
    <s v="RE"/>
    <n v="3"/>
    <n v="1"/>
  </r>
  <r>
    <x v="3"/>
    <x v="14"/>
    <s v="Control y vigilancia"/>
    <s v="3.7.2"/>
    <x v="35"/>
    <s v="Implementar con recursos necesarios al ente que administra el área, con la finalidad de aumentar el número de personas (guardaparques) que contribuyan a realizar acciones de control y vigilancia."/>
    <s v="NR"/>
    <x v="2"/>
    <s v="Programa de regulización, formalizacion y saneamiento de predios"/>
    <s v="Formalización de la situacion de legal de los predios, estableciendo medidas facilitadoras"/>
    <x v="6"/>
    <s v="COMP 5"/>
    <s v="PROTECCIÓN-GOBERNANZA"/>
    <s v="CONTROL Y VIGILANCIA"/>
    <s v="C4"/>
    <s v="Número de guardaparques"/>
    <n v="0"/>
    <n v="50"/>
    <n v="50"/>
    <n v="2000"/>
    <s v="Contratación a guardaparques para garantizar el control y vigilancia del área otorgada."/>
    <s v="Ara, serfor, Sernanp"/>
    <n v="6000000"/>
    <n v="6063000"/>
    <n v="6000000"/>
    <n v="6063000"/>
    <n v="1200000"/>
    <n v="1212600"/>
    <n v="1200000"/>
    <n v="1212600"/>
    <n v="1200000"/>
    <n v="1212600"/>
    <n v="1200000"/>
    <n v="1212600"/>
    <n v="1200000"/>
    <n v="1212600"/>
    <n v="0"/>
    <m/>
    <s v="X"/>
    <m/>
    <m/>
    <s v="RE"/>
    <n v="3"/>
    <n v="1"/>
  </r>
  <r>
    <x v="3"/>
    <x v="14"/>
    <s v="Control y vigilancia"/>
    <s v="3.7.3"/>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s v="Programa de regulización, formalizacion y saneamiento de predios"/>
    <s v="Formalización de la situacion de legal de los predios, estableciendo medidas facilitadoras"/>
    <x v="6"/>
    <s v="COMP 5"/>
    <s v="PROTECCIÓN-GOBERNANZA"/>
    <s v="CONTROL Y VIGILANCIA"/>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21000"/>
    <n v="2000000"/>
    <n v="2021000"/>
    <n v="400000"/>
    <n v="404200"/>
    <n v="400000"/>
    <n v="404200"/>
    <n v="400000"/>
    <n v="404200"/>
    <n v="400000"/>
    <n v="404200"/>
    <n v="400000"/>
    <n v="404200"/>
    <n v="0"/>
    <m/>
    <s v="X"/>
    <m/>
    <m/>
    <s v="RE"/>
    <n v="3"/>
    <n v="1"/>
  </r>
  <r>
    <x v="3"/>
    <x v="14"/>
    <s v="Programas de inversión privada"/>
    <s v="3.7.4"/>
    <x v="66"/>
    <s v="Encuentros de productores con la finalidad de promocionar los diferentes sistemas productivos sostenibles a ser replicados en las comunidades."/>
    <s v="NR"/>
    <x v="2"/>
    <s v="Programa de regulización, formalizacion y saneamiento de predios"/>
    <s v="Formalización de la situacion de legal de los predios, estableciendo medidas facilitadoras"/>
    <x v="7"/>
    <s v="COMP 6"/>
    <s v="PROTECCIÓN"/>
    <s v="PROMOCIÓN ACTIVIDADES ECONÓMICOS"/>
    <s v="C11"/>
    <s v="Encuentros"/>
    <n v="0"/>
    <n v="50"/>
    <n v="50"/>
    <n v="2500"/>
    <s v="El costo hace referencia a los gastos de pasajes, alimentación y otros para un grupo de 20 productores por pasantía."/>
    <s v="Drasam"/>
    <n v="625000"/>
    <n v="631562.5"/>
    <n v="625000"/>
    <n v="631562.5"/>
    <n v="125000"/>
    <n v="126312.5"/>
    <n v="125000"/>
    <n v="126312.5"/>
    <n v="125000"/>
    <n v="126312.5"/>
    <n v="125000"/>
    <n v="126312.5"/>
    <n v="125000"/>
    <n v="126312.5"/>
    <n v="0"/>
    <m/>
    <m/>
    <s v="X"/>
    <m/>
    <m/>
    <n v="3"/>
    <n v="1"/>
  </r>
  <r>
    <x v="3"/>
    <x v="14"/>
    <s v="Programas de inversión privada"/>
    <s v="3.7.5"/>
    <x v="65"/>
    <s v="Campañas de promoción y difusión en el ámbito regional y nacional de los circuitos turísticos que existen en la zona de amortiguamien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s v="PROMOCIÓN ACTIVIDADES ECONÓMICOS"/>
    <s v="C11"/>
    <s v="Campañas de promoción"/>
    <n v="0"/>
    <n v="10"/>
    <n v="10"/>
    <n v="4000"/>
    <s v="Campañas de promoción que incluye, impresión de material de difusión, publicidad radial, televisiva y escrita."/>
    <s v="Dircetur, Mincetur"/>
    <n v="200000"/>
    <n v="202100"/>
    <n v="200000"/>
    <n v="202100"/>
    <n v="40000"/>
    <n v="40420"/>
    <n v="40000"/>
    <n v="40420"/>
    <n v="40000"/>
    <n v="40420"/>
    <n v="40000"/>
    <n v="40420"/>
    <n v="40000"/>
    <n v="40420"/>
    <n v="0"/>
    <m/>
    <m/>
    <s v="X"/>
    <m/>
    <m/>
    <n v="3"/>
    <n v="1"/>
  </r>
  <r>
    <x v="3"/>
    <x v="14"/>
    <s v="Programas de inversión pública"/>
    <s v="3.7.6"/>
    <x v="64"/>
    <s v="Actualización y elaboración de planes de gestión comunal de las localidades acentuadas en las zonas de amortiguamiento con la finalidad de orientar adecuadamente la implementación y ejecución de proyectos."/>
    <s v="NR"/>
    <x v="0"/>
    <s v="Programa de Infraestructura para la Competitividad "/>
    <s v="Generar condiciones para el desarrollo socio económico del territorio"/>
    <x v="8"/>
    <s v="COMP 9"/>
    <s v="HABILITANTE"/>
    <s v="PLANES DE VIDA"/>
    <s v="C10"/>
    <s v="Planes de gestión comunal"/>
    <n v="0"/>
    <n v="12"/>
    <n v="20"/>
    <n v="20000"/>
    <s v="Contratación de servicios profesionales para la elaboración de los planes de gestión comunal."/>
    <s v="Dircetur, Mincetur"/>
    <n v="240000"/>
    <n v="242520"/>
    <n v="400000"/>
    <n v="404200"/>
    <n v="48000"/>
    <n v="48504"/>
    <n v="48000"/>
    <n v="48504"/>
    <n v="48000"/>
    <n v="48504"/>
    <n v="48000"/>
    <n v="48504"/>
    <n v="48000"/>
    <n v="48504"/>
    <n v="0"/>
    <m/>
    <m/>
    <s v="X"/>
    <m/>
    <m/>
    <n v="3"/>
    <n v="1"/>
  </r>
  <r>
    <x v="3"/>
    <x v="14"/>
    <s v="Programas de inversión pública"/>
    <s v="3.7.7"/>
    <x v="67"/>
    <s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s v="Programa de Asistencia Técnica para la recuperación de bosques"/>
    <s v="Recuperación de bosques mediante la recuperación y concervación de los suelos, el aprovechamiento de los serivicios ecosistemicos , manejo forstal, entre otros "/>
    <x v="6"/>
    <s v="COMP 5"/>
    <s v="PROTECCIÓN"/>
    <s v="SERVICIOS ECOSISTÉMICOS"/>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493500"/>
    <n v="47000000"/>
    <n v="47493500"/>
    <n v="9400000"/>
    <n v="9498700"/>
    <n v="9400000"/>
    <n v="9498700"/>
    <n v="9400000"/>
    <n v="9498700"/>
    <n v="9400000"/>
    <n v="9498700"/>
    <n v="9400000"/>
    <n v="9498700"/>
    <n v="0"/>
    <m/>
    <m/>
    <s v="X"/>
    <m/>
    <s v="RE"/>
    <n v="3"/>
    <n v="1"/>
  </r>
  <r>
    <x v="3"/>
    <x v="14"/>
    <s v="Ingresos y Capital"/>
    <s v="3.7.8"/>
    <x v="28"/>
    <s v="Implementación de planes de negocios para  la Diversificación y consolidación de la oferta turística, de esta manera promover el acondicionamiento y la gestión técnica en torno de los recursos y atractivos priorizados."/>
    <s v="NR"/>
    <x v="2"/>
    <s v="Programa de incentivos para la protección de bosques"/>
    <s v="Contribuir a la sostenilidad de los bosques brindando incentivos financieros"/>
    <x v="3"/>
    <s v="COMP 11"/>
    <s v="PROTECCIÓN"/>
    <s v="FINANCIAMIENTO"/>
    <s v="C6"/>
    <s v="Planes de negocios"/>
    <n v="0"/>
    <n v="10"/>
    <n v="1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1000000"/>
    <n v="1010500"/>
    <n v="1000000"/>
    <n v="1010500"/>
    <n v="200000"/>
    <n v="202100"/>
    <n v="200000"/>
    <n v="202100"/>
    <n v="200000"/>
    <n v="202100"/>
    <n v="200000"/>
    <n v="202100"/>
    <n v="200000"/>
    <n v="202100"/>
    <n v="0"/>
    <s v="X"/>
    <m/>
    <m/>
    <m/>
    <s v="RE"/>
    <n v="3"/>
    <n v="1"/>
  </r>
  <r>
    <x v="3"/>
    <x v="9"/>
    <s v="Invasiones"/>
    <s v="3.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s v="Programa de regulización, formalizacion y saneamiento de predios"/>
    <s v="Formalización de la situacion de legal de los predios, estableciendo medidas facilitadoras"/>
    <x v="0"/>
    <s v="COMP 8"/>
    <s v="PROTECCIÓN-GOBERNANZA"/>
    <s v="DERECHOS SOBRE LA TIERRA"/>
    <s v="C5"/>
    <s v="Ha. con categoría territorial asignada"/>
    <n v="37092.698274879796"/>
    <n v="18546.349137439898"/>
    <n v="18546.349137439898"/>
    <n v="15"/>
    <s v="Para la implementación de las intervención será mecesario la contratación de especialistas para realizar las acciones que comtemplen dicha actividad. Gastos logísticos y trámites documentarios."/>
    <s v="GRSM - DEGT"/>
    <n v="278195.23706159845"/>
    <n v="281116.28705074522"/>
    <n v="278195.23706159845"/>
    <n v="281116.28705074522"/>
    <n v="55639.047412319691"/>
    <n v="56223.257410149046"/>
    <n v="55639.047412319691"/>
    <n v="56223.257410149046"/>
    <n v="55639.047412319691"/>
    <n v="56223.257410149046"/>
    <n v="55639.047412319691"/>
    <n v="56223.257410149046"/>
    <n v="55639.047412319691"/>
    <n v="56223.257410149046"/>
    <n v="0"/>
    <m/>
    <s v="X"/>
    <m/>
    <m/>
    <m/>
    <n v="3"/>
    <n v="1"/>
  </r>
  <r>
    <x v="3"/>
    <x v="9"/>
    <s v="Control y vigilancia"/>
    <s v="3.8.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s v="DERECHOS SOBRE LA TIERRA"/>
    <s v="C5"/>
    <s v="N° de responsables de administración que aprueban evaluación de capacitación "/>
    <n v="0"/>
    <n v="80"/>
    <n v="80"/>
    <n v="150"/>
    <s v="Considera materiales de capacitación, alimentación a capacitados en el área cercana a su comunidad y gastos de capacitadores"/>
    <s v="GRSM - DEGT"/>
    <n v="12000"/>
    <n v="12126"/>
    <n v="12000"/>
    <n v="12126"/>
    <n v="12000"/>
    <n v="12126"/>
    <n v="0"/>
    <n v="0"/>
    <n v="0"/>
    <n v="0"/>
    <n v="0"/>
    <n v="0"/>
    <n v="0"/>
    <n v="0"/>
    <n v="0"/>
    <m/>
    <s v="X"/>
    <m/>
    <m/>
    <m/>
    <n v="2"/>
    <n v="1"/>
  </r>
  <r>
    <x v="3"/>
    <x v="9"/>
    <s v="Control y vigilancia"/>
    <s v="3.8.3"/>
    <x v="42"/>
    <s v="Dependiendo de la categoría forestal a ser aplicada, se realizará un plan/declaración acorde a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s v="DERECHOS SOBRE LA TIERRA"/>
    <s v="C5"/>
    <s v="N° Planes / Declaraciones elaborados"/>
    <n v="0"/>
    <n v="8"/>
    <n v="8"/>
    <n v="10000"/>
    <s v="Se considera la contratación de profesionales para la elaboración de los expedientes y/o declaraciones identificadas en los diferentes procesos."/>
    <s v="GRSM - DEGT"/>
    <n v="80000"/>
    <n v="80840"/>
    <n v="80000"/>
    <n v="80840"/>
    <n v="24000"/>
    <n v="24252"/>
    <n v="24000"/>
    <n v="24252"/>
    <n v="32000"/>
    <n v="32336"/>
    <n v="0"/>
    <n v="0"/>
    <n v="0"/>
    <n v="0"/>
    <n v="0"/>
    <m/>
    <s v="X"/>
    <m/>
    <m/>
    <m/>
    <n v="2"/>
    <n v="1"/>
  </r>
  <r>
    <x v="3"/>
    <x v="9"/>
    <s v="Invasiones"/>
    <s v="3.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s v="DERECHOS SOBRE LA TIERRA"/>
    <s v="C5"/>
    <s v="Ha. Inscritas"/>
    <n v="37092.698274879796"/>
    <n v="18546.349137439898"/>
    <n v="18546.349137439898"/>
    <n v="1"/>
    <s v="Contratación de dos profesioales para agilizar procesos con sunarp."/>
    <s v="GRSM - DEGT"/>
    <n v="18546.349137439898"/>
    <n v="18741.085803383015"/>
    <n v="18546.349137439898"/>
    <n v="18741.085803383015"/>
    <n v="3709.2698274879799"/>
    <n v="3748.2171606766037"/>
    <n v="3709.2698274879799"/>
    <n v="3748.2171606766037"/>
    <n v="3709.2698274879799"/>
    <n v="3748.2171606766037"/>
    <n v="3709.2698274879799"/>
    <n v="3748.2171606766037"/>
    <n v="3709.2698274879799"/>
    <n v="3748.2171606766037"/>
    <n v="0"/>
    <m/>
    <s v="X"/>
    <m/>
    <m/>
    <m/>
    <n v="2"/>
    <n v="1"/>
  </r>
  <r>
    <x v="3"/>
    <x v="9"/>
    <s v="Ingresos y Capital"/>
    <s v="3.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s v="DERECHOS SOBRE LA TIERRA"/>
    <s v="C5"/>
    <s v="Hectáreas restauradas"/>
    <n v="0"/>
    <n v="4281.2943442937603"/>
    <n v="0"/>
    <n v="500"/>
    <s v="El costo incluye la restauración de una hectárea, esta actividad se desarrollara de acuerdo a la metodología propuesta por el ARA, en coordinación con los productores seleccionados."/>
    <s v="ARA"/>
    <n v="2140647.1721468801"/>
    <n v="2163123.9674544223"/>
    <n v="0"/>
    <n v="0"/>
    <n v="2140647.1721468801"/>
    <n v="2163123.9674544223"/>
    <n v="0"/>
    <n v="0"/>
    <n v="0"/>
    <n v="0"/>
    <n v="0"/>
    <n v="0"/>
    <n v="0"/>
    <n v="0"/>
    <n v="0"/>
    <m/>
    <s v="X"/>
    <m/>
    <m/>
    <m/>
    <n v="3"/>
    <n v="1"/>
  </r>
  <r>
    <x v="3"/>
    <x v="10"/>
    <s v="Programas de inversión pública"/>
    <s v="3.9.1"/>
    <x v="70"/>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s v="Programa de regulización, formalizacion y saneamiento de predios"/>
    <s v="Formalización de la situacion de legal de los predios, estableciendo medidas facilitadoras"/>
    <x v="0"/>
    <s v="COMP 10"/>
    <s v="HABILITANTE"/>
    <s v="TRANSVERSALES X UDT"/>
    <s v="C18"/>
    <s v="Acuerdos con rondas campesinas"/>
    <n v="0"/>
    <n v="19"/>
    <n v="19"/>
    <n v="2500"/>
    <s v="Reuniones con los diferentes actores involucrados y la sociedad civil para llegar a acuerdos de no deforestación, lo cual incluye  gastos logísticos en general."/>
    <s v="GRIS"/>
    <n v="237500"/>
    <n v="239993.75"/>
    <n v="237500"/>
    <n v="239993.75"/>
    <n v="47500"/>
    <n v="47998.75"/>
    <n v="47500"/>
    <n v="47998.75"/>
    <n v="47500"/>
    <n v="47998.75"/>
    <n v="47500"/>
    <n v="47998.75"/>
    <n v="47500"/>
    <n v="47998.75"/>
    <n v="0"/>
    <m/>
    <m/>
    <s v="X"/>
    <m/>
    <s v="RE"/>
    <n v="3"/>
    <n v="1"/>
  </r>
  <r>
    <x v="3"/>
    <x v="10"/>
    <s v="Programas de inversión pública"/>
    <s v="3.9.2"/>
    <x v="71"/>
    <s v="Los cultivos alternativos promovidos por los programas de cooperación deberán considerar la no ampliación de la frontera agrícola, la no deforestación de bosques primarios y las intervenciones transversales de recuperación de áreas. "/>
    <s v="NR"/>
    <x v="1"/>
    <s v="Programa de Infraestructura para la Competitividad "/>
    <s v="Generar condiciones para el desarrollo socio económico del territorio"/>
    <x v="1"/>
    <s v="COMP 1"/>
    <s v="HABILITANTE"/>
    <s v="TRANSVERSALES X UDT"/>
    <s v="C18"/>
    <s v="Reuniones de coordinación"/>
    <n v="0"/>
    <n v="5"/>
    <n v="5"/>
    <n v="1800"/>
    <s v="Costo para cubrir los gastos logísticos para las reuniones con los diferentes actores involucrados y la sociedad civil para llegar a acuerdos para la implementación de proyectos agroforestales."/>
    <s v="Drasam"/>
    <n v="45000"/>
    <n v="45472.5"/>
    <n v="45000"/>
    <n v="45472.5"/>
    <n v="9000"/>
    <n v="9094.5"/>
    <n v="9000"/>
    <n v="9094.5"/>
    <n v="9000"/>
    <n v="9094.5"/>
    <n v="9000"/>
    <n v="9094.5"/>
    <n v="9000"/>
    <n v="9094.5"/>
    <n v="0"/>
    <m/>
    <m/>
    <s v="X"/>
    <m/>
    <s v="RE"/>
    <n v="1"/>
    <n v="1"/>
  </r>
  <r>
    <x v="3"/>
    <x v="10"/>
    <s v="Programas de inversión pública"/>
    <s v="3.9.3"/>
    <x v="48"/>
    <s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s v="Programa de Infraestructura para la Competitividad "/>
    <s v="Generar condiciones para el desarrollo socio económico del territorio"/>
    <x v="9"/>
    <s v="COMP 10"/>
    <s v="HABILITANTE"/>
    <s v="TRANSVERSALES X UDT"/>
    <s v="C18"/>
    <s v="Kilómetros mejorados"/>
    <n v="479"/>
    <n v="47.900000000000006"/>
    <n v="47.900000000000006"/>
    <n v="800000"/>
    <s v="Costo promedio de por km2 de vía mejorada o asfaltada"/>
    <s v="DRTyTC"/>
    <n v="38320000.000000007"/>
    <n v="38722360.000000007"/>
    <n v="38320000.000000007"/>
    <n v="38722360.000000007"/>
    <n v="7664000.0000000019"/>
    <n v="7744472.0000000019"/>
    <n v="7664000.0000000019"/>
    <n v="7744472.0000000019"/>
    <n v="7664000.0000000019"/>
    <n v="7744472.0000000019"/>
    <n v="7664000.0000000019"/>
    <n v="7744472.0000000019"/>
    <n v="7664000.0000000019"/>
    <n v="7744472.0000000019"/>
    <n v="0"/>
    <s v="X"/>
    <m/>
    <m/>
    <m/>
    <m/>
    <n v="2"/>
    <n v="1"/>
  </r>
  <r>
    <x v="3"/>
    <x v="10"/>
    <s v="Programas de inversión pública"/>
    <s v="3.9.4"/>
    <x v="49"/>
    <s v="Ejecución de proyectos de restauración en las 663 Ha con probabilidad alta y muy alta para desarrollar esta actividad; se cuenta con 401 ha que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s v="Programa de Infraestructura para la Competitividad "/>
    <s v="Generar condiciones para el desarrollo socio económico del territorio"/>
    <x v="6"/>
    <s v="COMP 5"/>
    <s v="PROTECCIÓN"/>
    <s v="TRANSVERSALES X UDT"/>
    <s v="C18"/>
    <s v="Hectáreas restauradas"/>
    <n v="3201.8"/>
    <n v="800.45"/>
    <n v="640.36000000000013"/>
    <n v="500"/>
    <s v="El costo incluye la restauración de una hectárea, esta actividad se desarrollara de acuerdo a la metodología propuesta por el ARA, en coordinación con los productores seleccionados."/>
    <s v="ARA, SERFOR"/>
    <n v="400225"/>
    <n v="404427.36249999999"/>
    <n v="320180.00000000006"/>
    <n v="323541.89000000007"/>
    <n v="80045"/>
    <n v="80885.472500000003"/>
    <n v="80045"/>
    <n v="80885.472500000003"/>
    <n v="80045"/>
    <n v="80885.472500000003"/>
    <n v="80045"/>
    <n v="80885.472500000003"/>
    <n v="80045"/>
    <n v="80885.472500000003"/>
    <n v="0"/>
    <m/>
    <m/>
    <s v="X"/>
    <m/>
    <s v="RE"/>
    <n v="3"/>
    <n v="1"/>
  </r>
  <r>
    <x v="3"/>
    <x v="10"/>
    <s v="Programas de inversión pública"/>
    <s v="3.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s v="Programa de Infraestructura para la Competitividad "/>
    <s v="Generar condiciones para el desarrollo socio económico del territorio"/>
    <x v="8"/>
    <s v="COMP 9"/>
    <s v="INCLUSION"/>
    <s v="TRANSVERSALES X UDT"/>
    <s v="C18"/>
    <s v="Centros de salud y colegios implementados"/>
    <n v="0"/>
    <n v="7"/>
    <n v="5"/>
    <n v="3500000"/>
    <s v="Construcción e implementación de centros educativos y postas medicas"/>
    <s v="DRTyTC"/>
    <n v="24500000"/>
    <n v="24757250"/>
    <n v="17500000"/>
    <n v="17683750"/>
    <n v="4900000"/>
    <n v="4951450"/>
    <n v="4900000"/>
    <n v="4951450"/>
    <n v="4900000"/>
    <n v="4951450"/>
    <n v="4900000"/>
    <n v="4951450"/>
    <n v="4900000"/>
    <n v="4951450"/>
    <n v="0"/>
    <m/>
    <s v="X"/>
    <m/>
    <m/>
    <s v="RE"/>
    <n v="3"/>
    <n v="1"/>
  </r>
  <r>
    <x v="3"/>
    <x v="10"/>
    <s v="Programas de inversión pública"/>
    <s v="3.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s v="Programa de Infraestructura para la Competitividad "/>
    <s v="Generar condiciones para el desarrollo socio económico del territorio"/>
    <x v="8"/>
    <s v="COMP 9"/>
    <s v="INCLUSION"/>
    <s v="TRANSVERSALES X UDT"/>
    <s v="C18"/>
    <s v="N° Campañas"/>
    <n v="0"/>
    <n v="149.11500000000001"/>
    <n v="149.11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727875"/>
    <n v="3767017.6875"/>
    <n v="3727875"/>
    <n v="3767017.6875"/>
    <n v="745575"/>
    <n v="753403.53749999998"/>
    <n v="745575"/>
    <n v="753403.53749999998"/>
    <n v="745575"/>
    <n v="753403.53749999998"/>
    <n v="745575"/>
    <n v="753403.53749999998"/>
    <n v="745575"/>
    <n v="753403.53749999998"/>
    <n v="0"/>
    <m/>
    <s v="X"/>
    <m/>
    <m/>
    <s v="RE"/>
    <n v="3"/>
    <n v="1"/>
  </r>
  <r>
    <x v="3"/>
    <x v="10"/>
    <s v="Programas de inversión pública"/>
    <s v="3.9.7"/>
    <x v="52"/>
    <s v="Promoción al acceso de la marca con los productores que cumplan los criterios de elegibilidad solicitados por el programa, como una estrategia de ubicar mercados diferenciados para los productos provenientes de estas zo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s v="TRANSVERSALES X UDT"/>
    <s v="C18"/>
    <s v="Organizaciones que acceden a la marca"/>
    <n v="0"/>
    <n v="25"/>
    <n v="20"/>
    <n v="3000"/>
    <s v="El costo incluye: Una inspección anual anunciada,  elaboración de informe de inspección, administración y comunicación, certificación según los estándares de la marca."/>
    <s v="ARA"/>
    <n v="375000"/>
    <n v="378937.5"/>
    <n v="300000"/>
    <n v="303150"/>
    <n v="75000"/>
    <n v="75787.5"/>
    <n v="75000"/>
    <n v="75787.5"/>
    <n v="75000"/>
    <n v="75787.5"/>
    <n v="75000"/>
    <n v="75787.5"/>
    <n v="75000"/>
    <n v="75787.5"/>
    <n v="0"/>
    <m/>
    <m/>
    <s v="X"/>
    <m/>
    <m/>
    <n v="3"/>
    <n v="1"/>
  </r>
  <r>
    <x v="4"/>
    <x v="15"/>
    <s v="Programas de inversión pública"/>
    <n v="1"/>
    <x v="72"/>
    <s v="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
    <s v="NR"/>
    <x v="2"/>
    <s v="Programa de Mejoramiento de condiciones para el monitoreo"/>
    <s v="Desarrollar capaciades en la poblacion y dotarlo de módulos productivos  en compensación a la participación en el monitorei de su ámbito"/>
    <x v="6"/>
    <s v="COMP 10"/>
    <s v="HABILITANTE"/>
    <s v="TRANSVERSAL REGIONAL"/>
    <s v="C19"/>
    <s v="Plan de Ordenamiento Agroteritorial implementado"/>
    <n v="1"/>
    <n v="1"/>
    <n v="0"/>
    <n v="9082000"/>
    <s v="Implementación de las actividades referidas al proyecto ZAE, asi mismo la contratación de dos profesionales para realizar el monitoreo de las estaciones metereologicas; seconsidera la compra de 77 estaciones para ser instaladas en cada distrito de la región, tambien se costea los gastos de mantenimiento de dichos equipos.  "/>
    <s v="Drasam"/>
    <n v="9082000"/>
    <n v="9177361"/>
    <n v="1635000"/>
    <n v="1652167.5"/>
    <n v="3374000"/>
    <n v="3409427"/>
    <n v="2527000"/>
    <n v="2553533.5"/>
    <n v="2527000"/>
    <n v="2553533.5"/>
    <n v="327000"/>
    <n v="330433.5"/>
    <n v="327000"/>
    <n v="330433.5"/>
    <n v="0"/>
    <m/>
    <s v="X"/>
    <m/>
    <m/>
    <s v="RE"/>
    <n v="3"/>
    <n v="1"/>
  </r>
  <r>
    <x v="4"/>
    <x v="15"/>
    <s v="Programas de inversión pública"/>
    <n v="2"/>
    <x v="73"/>
    <s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
    <s v="NR"/>
    <x v="2"/>
    <s v="Programa de Mejoramiento de condiciones para el monitoreo"/>
    <s v="Desarrollar capaciades en la poblacion y dotarlo de módulos productivos  en compensación a la participación en el monitorei de su ámbito"/>
    <x v="6"/>
    <s v="COMP 10"/>
    <s v="HABILITANTE"/>
    <s v="TRANSVERSAL REGIONAL"/>
    <s v="C19"/>
    <s v="Especialistas"/>
    <n v="395356.07"/>
    <n v="395356.07"/>
    <m/>
    <n v="16"/>
    <s v="Para la implementación de las intervención será mecesario la contratación de especialistas para realizar las acciones que comtemplen dicha actividad. Gastos logísticos y trámites documentarios. Contratación de dos profesioales para agilizar procesos con sunarp."/>
    <s v="ARA"/>
    <n v="6325697.1200000001"/>
    <n v="6392116.9397599995"/>
    <n v="6325697.1200000001"/>
    <n v="6392116.9397599995"/>
    <n v="1265139.4240000001"/>
    <n v="1278423.3879520001"/>
    <n v="1265139.4240000001"/>
    <n v="1278423.3879520001"/>
    <n v="1265139.4240000001"/>
    <n v="1278423.3879520001"/>
    <n v="1265139.4240000001"/>
    <n v="1278423.3879520001"/>
    <n v="1265139.4240000001"/>
    <n v="1278423.3879520001"/>
    <n v="0"/>
    <m/>
    <s v="X"/>
    <m/>
    <m/>
    <m/>
    <n v="3"/>
    <n v="1"/>
  </r>
  <r>
    <x v="4"/>
    <x v="15"/>
    <s v="Programas de inversión pública"/>
    <n v="3"/>
    <x v="74"/>
    <s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
    <s v="NR"/>
    <x v="1"/>
    <s v="Programa de Apoyo especializado para la Competitividad"/>
    <s v="Velar por la calidad y productividad de los productos y  por el acceso al mercado en condiciones competitivas "/>
    <x v="5"/>
    <s v="COMP 3"/>
    <s v="HABILITANTE"/>
    <s v="TRANSVERSAL REGIONAL"/>
    <s v="C19"/>
    <s v="Proyectos viables"/>
    <n v="10"/>
    <n v="15"/>
    <m/>
    <n v="6000000"/>
    <s v="El costo es referencial para un proyecto agropecuario de acuerdo a las cadenas priorizadas, donde se consideran componentes como Asistencia Técnica, Fortalecimiento organizacional, promoción de mercados sostenibles, manejo ambiental, etc."/>
    <s v="Drasam, ARA, Dircetur, Direpro, GRDE"/>
    <n v="60000000"/>
    <n v="60630000"/>
    <n v="90000000"/>
    <n v="90945000"/>
    <n v="12000000"/>
    <n v="12126000"/>
    <n v="12000000"/>
    <n v="12126000"/>
    <n v="12000000"/>
    <n v="12126000"/>
    <n v="12000000"/>
    <n v="12126000"/>
    <n v="12000000"/>
    <n v="12126000"/>
    <n v="0"/>
    <m/>
    <m/>
    <s v="X"/>
    <m/>
    <s v="RE"/>
    <n v="3"/>
    <n v="1"/>
  </r>
  <r>
    <x v="4"/>
    <x v="15"/>
    <s v="Programas de inversión privada"/>
    <n v="4"/>
    <x v="75"/>
    <s v="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
    <s v="FR"/>
    <x v="2"/>
    <s v="Programa de Mejoramiento de condiciones para el monitoreo"/>
    <s v="Desarrollar capaciades en la poblacion y dotarlo de módulos productivos  en compensación a la participación en el monitorei de su ámbito"/>
    <x v="6"/>
    <s v="COMP 10"/>
    <s v="HABILITANTE"/>
    <s v="TRANSVERSAL REGIONAL"/>
    <s v="C19"/>
    <s v="Módulos implementados."/>
    <n v="10"/>
    <n v="10"/>
    <m/>
    <n v="200000"/>
    <s v="Implementación de maquinaria y equipos necesarios para el proceso y transformación de la madera."/>
    <s v="Ara, Serfor"/>
    <n v="2000000"/>
    <n v="2021000"/>
    <n v="2000000"/>
    <n v="2021000"/>
    <n v="400000"/>
    <n v="404200"/>
    <n v="400000"/>
    <n v="404200"/>
    <n v="400000"/>
    <n v="404200"/>
    <n v="400000"/>
    <n v="404200"/>
    <n v="400000"/>
    <n v="404200"/>
    <n v="0"/>
    <s v="X"/>
    <m/>
    <m/>
    <m/>
    <s v="RE"/>
    <n v="2"/>
    <n v="1"/>
  </r>
  <r>
    <x v="4"/>
    <x v="15"/>
    <s v="Ingresos y Capital"/>
    <n v="5"/>
    <x v="76"/>
    <s v="Implementar un programa de incentivos que podrán ser de asistencia técnica, ejecución de proyectos sociales u otras acciones que permitan mejorar las condiciones de vida de los productores que realicen acciones de restauración."/>
    <s v="NR"/>
    <x v="2"/>
    <s v="Programa de Mejoramiento de condiciones para el monitoreo"/>
    <s v="Desarrollar capaciades en la poblacion y dotarlo de módulos productivos  en compensación a la participación en el monitorei de su ámbito"/>
    <x v="6"/>
    <s v="COMP 5"/>
    <s v="HABILITANTE"/>
    <s v="TRANSVERSAL REGIONAL"/>
    <s v="C19"/>
    <s v="Número de Organizaciones beneficiarias"/>
    <n v="30"/>
    <n v="20"/>
    <m/>
    <n v="100000"/>
    <s v="Presupuesto que servirá para cubrir los gastos de los incentivos que se determinaran de acuerdo a la evaluación de los criterios correspondientes para los procesos de restauración."/>
    <s v="Drasam, ARA"/>
    <n v="3000000"/>
    <n v="3031500"/>
    <n v="2000000"/>
    <n v="2021000"/>
    <n v="600000"/>
    <n v="606300"/>
    <n v="600000"/>
    <n v="606300"/>
    <n v="600000"/>
    <n v="606300"/>
    <n v="600000"/>
    <n v="606300"/>
    <n v="600000"/>
    <n v="606300"/>
    <n v="0"/>
    <m/>
    <m/>
    <s v="X"/>
    <m/>
    <s v="RE"/>
    <n v="3"/>
    <n v="1"/>
  </r>
  <r>
    <x v="4"/>
    <x v="15"/>
    <s v="Ingresos y Capital"/>
    <n v="6"/>
    <x v="77"/>
    <s v="Implementar los lineamientos finales para poner en vigencia el fondo de garantía de 5 millones de soles, para beneficiar a productores agropecuarios forestales organizados y no organizados que cumplan los atributos de la Marca certificadora “San Martín Región” y los propios requisitos que se establezcan en la directiva del fondo el cual será elaborado por el Gobierno Regional de San Martín en coordinación con la institución que administrará dichos fondos (COFIDE). Dentro de la directiva para la implementación del FONDESAM, se incorporará los mecanismos de tasas preferenciales para los créditos orientados a la innovación (Hoja de ruta del FONDESAM con el beneficiario). a financiar impactos en la cadena de producción."/>
    <s v="NR"/>
    <x v="1"/>
    <s v="Programa de acceso al crédito"/>
    <s v="Acceso al crédito, organizanco a la oferta de productores, capacitándolos y asesorando  educación financiera, desarrollo de productos finacnieros adecuados y asesoria para la  acceso al crédito"/>
    <x v="3"/>
    <s v="COMP 11"/>
    <s v="HABILITANTE"/>
    <s v="TRANSVERSAL REGIONAL"/>
    <s v="C19"/>
    <s v="Consultoría"/>
    <n v="1"/>
    <n v="1"/>
    <n v="0"/>
    <n v="100000"/>
    <s v="Ejecución de informes de sustento para la Gerencia General del GRSM, consolidación del proceso de modificación del convenio entre el GRSM y COFIDE. Gastos logísticos, administrativos y contratación de especialistas y asesores para culminar el proceso. "/>
    <s v="GRDE"/>
    <n v="100000"/>
    <n v="101050"/>
    <n v="0"/>
    <n v="0"/>
    <n v="100000"/>
    <n v="101050"/>
    <n v="0"/>
    <n v="0"/>
    <n v="0"/>
    <n v="0"/>
    <n v="0"/>
    <n v="0"/>
    <n v="0"/>
    <n v="0"/>
    <n v="0"/>
    <m/>
    <m/>
    <s v="X"/>
    <m/>
    <s v="RE"/>
    <n v="3"/>
    <n v="1"/>
  </r>
  <r>
    <x v="4"/>
    <x v="15"/>
    <s v="Programas de inversión pública"/>
    <n v="7"/>
    <x v="78"/>
    <s v="Implementar un programa para productores líderes, contemplando módulos como: Educación Financiera dirigido a pequeños y medianos productores del sector rural, Costos de producción, Productos y servicios financieros, ahorro, capital semilla,  endeudamiento, gestion empresarial, para mejorar la prodcutividad y competitividad. "/>
    <s v="NR"/>
    <x v="1"/>
    <s v="Programa de acceso al crédito"/>
    <s v="Acceso al crédito, organizanco a la oferta de productores, capacitándolos y asesorando  educación financiera, desarrollo de productos finacnieros adecuados y asesoria para la  acceso al crédito"/>
    <x v="4"/>
    <s v="COMP 2"/>
    <s v="HABILITANTE"/>
    <s v="TRANSVERSAL REGIONAL"/>
    <s v="C19"/>
    <s v="Especialistas"/>
    <n v="20"/>
    <n v="20"/>
    <m/>
    <n v="4000"/>
    <s v="Contratación de profesionales a nivel regional para ejecutar acciones de enseñanza financiera a los productores agropecuarios organizados y no organizados."/>
    <s v="GRDE"/>
    <n v="4800000"/>
    <n v="4850400"/>
    <n v="4800000"/>
    <n v="4850400"/>
    <n v="960000"/>
    <n v="970080"/>
    <n v="960000"/>
    <n v="970080"/>
    <n v="960000"/>
    <n v="970080"/>
    <n v="960000"/>
    <n v="970080"/>
    <n v="960000"/>
    <n v="970080"/>
    <n v="0"/>
    <m/>
    <m/>
    <s v="X"/>
    <m/>
    <s v="RE"/>
    <n v="2"/>
    <n v="1"/>
  </r>
  <r>
    <x v="4"/>
    <x v="15"/>
    <s v="Programas de inversión pública"/>
    <n v="8"/>
    <x v="79"/>
    <s v="Implementar los lineamientos finales de la Marca Certificadora &quot;San Martín Región&quot;, asignándole un presupuesto y equipo técnico para poner en vigencia esta herramienta que busca facilitar el acceso a mercados a empresas de los diferentes sectores (agrícola, pecuario, acuícola, apícola, biocomercio, y otros) de la región. Promoción y articulación a mercados diferenciados y  nichos de mercados de alto valor con atributos  de la marca San Martín ( Bajo en emisiones, no vinculado a actividades ilegales, Innovadores y con estándares de calidad). La búsqueda y diversificación de mercados a través de misiones comerciales nacionales e internacionales, con estrategias difernciadas para productos tradicionalmente vinculados a la deforestación. Ejemplo Palma Aceitera."/>
    <s v="NR"/>
    <x v="1"/>
    <s v="Programa de Apoyo especializado para la Competitividad"/>
    <s v="Velar por la calidad y productividad de los productos y  por el acceso al mercado en condiciones competitivas "/>
    <x v="5"/>
    <s v="COMP 10"/>
    <s v="HABILITANTE"/>
    <s v="TRANSVERSAL REGIONAL"/>
    <s v="C19"/>
    <s v="Consultoría"/>
    <n v="1"/>
    <n v="1"/>
    <n v="0"/>
    <n v="100000"/>
    <s v="Contratación de profesionales para culminar la descripción de los atributos y criterios priorizados, que permitan la operatividad de la marca certificadora &quot;San Martín Región&quot;."/>
    <s v="GRDE, Dircetur"/>
    <n v="100000"/>
    <n v="101050"/>
    <n v="0"/>
    <n v="0"/>
    <n v="100000"/>
    <n v="101050"/>
    <n v="0"/>
    <n v="0"/>
    <n v="0"/>
    <n v="0"/>
    <n v="0"/>
    <n v="0"/>
    <n v="0"/>
    <n v="0"/>
    <n v="0"/>
    <s v="X"/>
    <m/>
    <m/>
    <m/>
    <m/>
    <n v="2"/>
    <n v="1"/>
  </r>
  <r>
    <x v="4"/>
    <x v="15"/>
    <s v="Programas de inversión pública"/>
    <n v="9"/>
    <x v="80"/>
    <s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
    <s v="NR"/>
    <x v="0"/>
    <s v="Programa Anticorrupción"/>
    <s v="Establecer los mecanismos,  estrucutras y plan para la participacion activa de la población organizada "/>
    <x v="8"/>
    <s v="COMP 10"/>
    <s v="HABILITANTE"/>
    <s v="TRANSVERSAL REGIONAL"/>
    <s v="C19"/>
    <s v="Centros Informativos implementados"/>
    <n v="50"/>
    <n v="50"/>
    <m/>
    <n v="5000"/>
    <s v="Se contratará personal adecuado para brindar orientación a la población en situación de vulnerabilidad, así mismo la implementación de los centros informativos con material divulgativo y promociones radiales. "/>
    <s v="GRDS"/>
    <n v="1250000"/>
    <n v="1263125"/>
    <n v="1250000"/>
    <n v="1263125"/>
    <n v="250000"/>
    <n v="252625"/>
    <n v="250000"/>
    <n v="252625"/>
    <n v="250000"/>
    <n v="252625"/>
    <n v="250000"/>
    <n v="252625"/>
    <n v="250000"/>
    <n v="252625"/>
    <n v="0"/>
    <m/>
    <s v="X"/>
    <m/>
    <m/>
    <s v="RE"/>
    <n v="2"/>
    <n v="1"/>
  </r>
  <r>
    <x v="4"/>
    <x v="15"/>
    <s v="Programas de inversión privada"/>
    <n v="10"/>
    <x v="81"/>
    <s v="Financiamiento de emprendimientos rurales juveniles para incentivar el empalme generacional y el empleo formal juvenil (incluye fondo de capital semilla para emprendimientos). Promover y financiar emprendimientos orientados a la reducción de emisiones."/>
    <s v="NR"/>
    <x v="2"/>
    <s v="Programa de Emprendimientos juvenil en base a los recursos natural de la Región"/>
    <s v="identificar iniciativas a partir de desarrollo de capacidades a los emprendedores"/>
    <x v="7"/>
    <s v="COMP 6"/>
    <s v="HABILITANTE"/>
    <s v="TRANSVERSAL REGIONAL"/>
    <s v="C19"/>
    <s v="Planes de negocios"/>
    <n v="250"/>
    <n v="250"/>
    <m/>
    <n v="30000"/>
    <s v="El presupuesto hace referencia a la implementación de planes de negocios agropecuarios, para cubrir gastos como, adquisición de semillas, materiales o equipos que hagan posible el desarrollo de los emprendimientos rurales juveniles."/>
    <s v="GRDE, ARA, Proyectos especiales"/>
    <n v="7500000"/>
    <n v="7578750"/>
    <n v="7500000"/>
    <n v="7578750"/>
    <n v="1500000"/>
    <n v="1515750"/>
    <n v="1500000"/>
    <n v="1515750"/>
    <n v="1500000"/>
    <n v="1515750"/>
    <n v="1500000"/>
    <n v="1515750"/>
    <n v="1500000"/>
    <n v="1515750"/>
    <n v="0"/>
    <s v="X"/>
    <m/>
    <m/>
    <m/>
    <s v="RE"/>
    <n v="2"/>
    <n v="1"/>
  </r>
  <r>
    <x v="4"/>
    <x v="15"/>
    <s v="Programas de inversión privada"/>
    <n v="11"/>
    <x v="82"/>
    <s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_x000a_El programa debe regirse según las normas vigentes para  disminuir la informalidad en el sector, así mismo lograr la satisfacción plena de los turistas que visitan la región."/>
    <s v="NR"/>
    <x v="2"/>
    <s v="Programa de Emprendimientos juvenil en base a los recursos natural de la Región"/>
    <s v="identificar iniciativas a partir de desarrollo de capacidades a los emprendedores"/>
    <x v="7"/>
    <s v="COMP 6"/>
    <s v="HABILITANTE"/>
    <s v="TRANSVERSAL REGIONAL"/>
    <s v="C19"/>
    <s v="Programas  de capacitación"/>
    <n v="50"/>
    <n v="50"/>
    <m/>
    <n v="62000"/>
    <s v="El costo atribuye al fortalecimiento de capacidades de gestión de los diferentes prestadores de servicios turísticos, asi como la implementación de un diplomado para el fortalecimiento de capacidades del personal. "/>
    <s v="GRSM, DIRCETUR"/>
    <n v="560000"/>
    <n v="565880"/>
    <n v="500000"/>
    <n v="505250"/>
    <n v="160000"/>
    <n v="161680"/>
    <n v="100000"/>
    <n v="101050"/>
    <n v="100000"/>
    <n v="101050"/>
    <n v="100000"/>
    <n v="101050"/>
    <n v="100000"/>
    <n v="101050"/>
    <n v="0"/>
    <m/>
    <m/>
    <s v="X"/>
    <m/>
    <m/>
    <n v="2"/>
    <n v="1"/>
  </r>
  <r>
    <x v="4"/>
    <x v="15"/>
    <s v="Programas de inversión pública"/>
    <n v="12"/>
    <x v="83"/>
    <s v="Promover el desarrollo comunitario mediante la identificación y cuantificación de recursos disponibles en una determinada jurisdicción, promoviendo la participación activa de todos los actores clave y su articulación a los planes de desarrollo local."/>
    <s v="NR"/>
    <x v="0"/>
    <s v="Programa Anticorrupción"/>
    <s v="Establecer los mecanismos,  estrucutras y plan para la participacion activa de la población organizada "/>
    <x v="8"/>
    <s v="COMP 9"/>
    <s v="HABILITANTE"/>
    <s v="TRANSVERSAL REGIONAL"/>
    <s v="C19"/>
    <s v="PDC"/>
    <n v="100"/>
    <n v="100"/>
    <m/>
    <n v="20000"/>
    <s v="Contratación de servicios profesionales para la elaboración de los planes de desarrollo comunitario."/>
    <s v="GRSM, DRASAM"/>
    <n v="2000000"/>
    <n v="2021000"/>
    <n v="2000000"/>
    <n v="2021000"/>
    <n v="400000"/>
    <n v="404200"/>
    <n v="400000"/>
    <n v="404200"/>
    <n v="400000"/>
    <n v="404200"/>
    <n v="400000"/>
    <n v="404200"/>
    <n v="400000"/>
    <n v="404200"/>
    <n v="0"/>
    <m/>
    <s v="X"/>
    <m/>
    <m/>
    <m/>
    <n v="2"/>
    <n v="1"/>
  </r>
  <r>
    <x v="4"/>
    <x v="15"/>
    <s v="Programas de inversión pública"/>
    <n v="13"/>
    <x v="84"/>
    <s v="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
    <s v="NR"/>
    <x v="1"/>
    <s v="Programa de Apoyo especializado para la Competitividad"/>
    <s v="Velar por la calidad y productividad de los productos y  por el acceso al mercado en condiciones competitivas "/>
    <x v="2"/>
    <s v="COMP 4 "/>
    <s v="HABILITANTE"/>
    <s v="TRANSVERSAL REGIONAL"/>
    <s v="C19"/>
    <s v="Nº de proyectos ejecutados alineados a las prioridades de investigación e innovación regionales"/>
    <n v="10"/>
    <n v="10"/>
    <m/>
    <n v="72000"/>
    <s v="El costo va estar orientado a tener un equipo técnico especializado que apoye o promueva la generación de estas directivas del PMI, también la adecuación de los requisitos de los programas nacionales con la incorporación de las opiniones favorables del CTRIA y CGRA para ser elegibles; y por último la asistencia técnica para obtención y ejecución de la mayor cantidad de proyectos (de cualquier fuente), alineados a las prioridades regionales"/>
    <n v="0"/>
    <n v="720000"/>
    <n v="727560"/>
    <n v="720000"/>
    <n v="727560"/>
    <n v="144000"/>
    <n v="145512"/>
    <n v="144000"/>
    <n v="145512"/>
    <n v="144000"/>
    <n v="145512"/>
    <n v="144000"/>
    <n v="145512"/>
    <n v="144000"/>
    <n v="145512"/>
    <n v="0"/>
    <m/>
    <s v="X"/>
    <m/>
    <m/>
    <m/>
    <n v="3"/>
    <n v="1"/>
  </r>
  <r>
    <x v="4"/>
    <x v="15"/>
    <s v="Programas de inversión privada"/>
    <n v="14"/>
    <x v="85"/>
    <s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_x000a_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juvenil en base a los recursos natural de la Región"/>
    <s v="identificar iniciativas a partir de desarrollo de capacidades a los emprendedores"/>
    <x v="7"/>
    <s v="COMP 10"/>
    <s v="HABILITANTE"/>
    <s v="TRANSVERSAL REGIONAL"/>
    <s v="C19"/>
    <s v="Planes de negocios"/>
    <n v="25"/>
    <n v="25"/>
    <m/>
    <n v="80000"/>
    <s v="El presupuesto hace referencia a la implementación de planes de negocios agroindustriales para cubrir gastos y costos de implementación. Se debe desarrollar los lineamientos para orientar adecuadamente los recursos."/>
    <s v="DIREPRO"/>
    <n v="2000000"/>
    <n v="2021000"/>
    <n v="2000000"/>
    <n v="2021000"/>
    <n v="400000"/>
    <n v="404200"/>
    <n v="400000"/>
    <n v="404200"/>
    <n v="400000"/>
    <n v="404200"/>
    <n v="400000"/>
    <n v="404200"/>
    <n v="400000"/>
    <n v="404200"/>
    <n v="0"/>
    <s v="X"/>
    <m/>
    <m/>
    <m/>
    <m/>
    <n v="3"/>
    <n v="1"/>
  </r>
  <r>
    <x v="4"/>
    <x v="15"/>
    <s v="Programas de inversión privada"/>
    <n v="15"/>
    <x v="86"/>
    <s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
    <s v="NR"/>
    <x v="1"/>
    <s v="Programa de Apoyo especializado para la Competitividad"/>
    <s v="Velar por la calidad y productividad de los productos y  por el acceso al mercado en condiciones competitivas "/>
    <x v="5"/>
    <s v="COMP 3"/>
    <s v="HABILITANTE"/>
    <s v="TRANSVERSAL REGIONAL"/>
    <s v="C19"/>
    <s v="Empresas y organizaciones atendidas"/>
    <n v="30"/>
    <n v="30"/>
    <m/>
    <n v="45000"/>
    <s v="La inversión  estará enfocada a la gestión y renovación de registros sanitarios, implementación de Buenas Prácticas de Manufactura."/>
    <s v="DIREPRO, DIRCETUR"/>
    <n v="6750000"/>
    <n v="6820875"/>
    <n v="6750000"/>
    <n v="6820875"/>
    <n v="1350000"/>
    <n v="1364175"/>
    <n v="1350000"/>
    <n v="1364175"/>
    <n v="1350000"/>
    <n v="1364175"/>
    <n v="1350000"/>
    <n v="1364175"/>
    <n v="1350000"/>
    <n v="1364175"/>
    <n v="0"/>
    <s v="X"/>
    <m/>
    <m/>
    <m/>
    <m/>
    <n v="3"/>
    <n v="1"/>
  </r>
  <r>
    <x v="4"/>
    <x v="15"/>
    <s v="Control y vigilancia"/>
    <n v="16"/>
    <x v="87"/>
    <s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
    <s v="NR"/>
    <x v="0"/>
    <s v="Programa Anticorrupción"/>
    <s v="Establecer los mecanismos,  estrucutras y plan para la participacion activa de la población organizada "/>
    <x v="0"/>
    <s v="COMP 8"/>
    <s v="HABILITANTE"/>
    <s v="TRANSVERSAL REGIONAL"/>
    <s v="C19"/>
    <s v="Títulos registrados"/>
    <n v="1"/>
    <n v="1"/>
    <n v="0"/>
    <n v="105000"/>
    <s v="La implementación del sistema de formalización contempla el diseño de una plataforma digital y el desarrollo de un manual para su adecuado uso y mantenimiento."/>
    <s v="ARA-DRASAM-MINAGRI"/>
    <n v="105000"/>
    <n v="106102.5"/>
    <n v="0"/>
    <n v="0"/>
    <n v="105000"/>
    <n v="106102.5"/>
    <n v="0"/>
    <n v="0"/>
    <n v="0"/>
    <n v="0"/>
    <n v="0"/>
    <n v="0"/>
    <n v="0"/>
    <n v="0"/>
    <n v="0"/>
    <m/>
    <s v="X"/>
    <m/>
    <m/>
    <m/>
    <n v="3"/>
    <n v="1"/>
  </r>
  <r>
    <x v="4"/>
    <x v="15"/>
    <s v="Programas de inversión privada"/>
    <n v="17"/>
    <x v="88"/>
    <s v="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
    <s v="NR"/>
    <x v="1"/>
    <s v="Programa de acceso al crédito"/>
    <s v="Acceso al crédito, organizanco a la oferta de productores, capacitándolos y asesorando  educación financiera, desarrollo de productos finacnieros adecuados y asesoria para la  acceso al crédito"/>
    <x v="3"/>
    <s v="COMP 11"/>
    <s v="HABILITANTE"/>
    <s v="TRANSVERSAL REGIONAL"/>
    <s v="C19"/>
    <s v="Convocatorias / créditos"/>
    <n v="5"/>
    <n v="5"/>
    <n v="5"/>
    <n v="1500000"/>
    <s v="Debe comprender costo de convocatoria, parte legal contractual, fondo de pago por éxitos (entre 1% a 3%), monitoreo y seguimiento"/>
    <s v="OPIPs"/>
    <n v="7500000"/>
    <n v="7578750"/>
    <n v="7500000"/>
    <n v="7578750"/>
    <n v="1500000"/>
    <n v="1515750"/>
    <n v="1500000"/>
    <n v="1515750"/>
    <n v="1500000"/>
    <n v="1515750"/>
    <n v="1500000"/>
    <n v="1515750"/>
    <n v="1500000"/>
    <n v="1515750"/>
    <n v="0"/>
    <m/>
    <m/>
    <n v="0"/>
    <m/>
    <m/>
    <n v="2"/>
    <n v="0"/>
  </r>
  <r>
    <x v="4"/>
    <x v="15"/>
    <s v="Ingresos y Capital"/>
    <n v="18"/>
    <x v="89"/>
    <s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
    <s v="NR"/>
    <x v="1"/>
    <s v="Programa de acceso al crédito"/>
    <s v="Acceso al crédito, organizanco a la oferta de productores, capacitándolos y asesorando  educación financiera, desarrollo de productos finacnieros adecuados y asesoria para la  acceso al crédito"/>
    <x v="3"/>
    <s v="COMP 11"/>
    <s v="HABILITANTE"/>
    <s v="TRANSVERSAL REGIONAL"/>
    <s v="C19"/>
    <s v="Productos financieros específicos para cada cadena implementados"/>
    <n v="10"/>
    <n v="10"/>
    <n v="0"/>
    <n v="35000"/>
    <s v="Consultoría, sistematización de información en campo, al menos dos pilotos en campo, diseño de salvaguardas y monitoreo y compromisos"/>
    <s v="GRDE-DRASAM-OPIPS"/>
    <n v="350000"/>
    <n v="353675"/>
    <n v="0"/>
    <n v="0"/>
    <n v="70000"/>
    <n v="70735"/>
    <n v="70000"/>
    <n v="70735"/>
    <n v="70000"/>
    <n v="70735"/>
    <n v="70000"/>
    <n v="70735"/>
    <n v="70000"/>
    <n v="70735"/>
    <n v="0"/>
    <m/>
    <m/>
    <n v="0"/>
    <m/>
    <m/>
    <n v="3"/>
    <n v="0"/>
  </r>
  <r>
    <x v="4"/>
    <x v="15"/>
    <s v="Programas de inversión privada"/>
    <n v="19"/>
    <x v="90"/>
    <s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
    <s v="NR"/>
    <x v="1"/>
    <s v="Programa de Apoyo especializado para la Competitividad"/>
    <s v="Velar por la calidad y productividad de los productos y  por el acceso al mercado en condiciones competitivas "/>
    <x v="5"/>
    <s v="COMP 3"/>
    <s v="HABILITANTE"/>
    <s v="TRANSVERSAL REGIONAL"/>
    <s v="C19"/>
    <s v="Alianzas privadas entre empresas y productores."/>
    <n v="50"/>
    <n v="50"/>
    <n v="40"/>
    <n v="24000"/>
    <s v="Contratación de especialistas para levantar la información de potenciales alianzas, asistencia técnica en fortalecimiento organizacional y comercial, relaciones comerciales, prácticas agrícolas innovadoras, desarrollo de proveedores y productos financieros, movilidad a áreas productivas, talleres con productores, reuniones con empresas y productores, preparación de propuestas de proyectos o acceso a financiamiento, elaboración de base de datos, diseño de salvaguardas y sistema de monitoreo."/>
    <s v="GRDE-DIRCETUR-OPIPS"/>
    <n v="1200000"/>
    <n v="1212600"/>
    <n v="960000"/>
    <n v="970080"/>
    <n v="240000"/>
    <n v="242520"/>
    <n v="240000"/>
    <n v="242520"/>
    <n v="240000"/>
    <n v="242520"/>
    <n v="240000"/>
    <n v="242520"/>
    <n v="240000"/>
    <n v="242520"/>
    <n v="0"/>
    <m/>
    <m/>
    <n v="0"/>
    <m/>
    <m/>
    <n v="2"/>
    <n v="0"/>
  </r>
  <r>
    <x v="4"/>
    <x v="15"/>
    <s v="Programas de inversión privada"/>
    <n v="20"/>
    <x v="91"/>
    <s v="_x000a_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
    <s v="NR"/>
    <x v="1"/>
    <s v="Programa de Apoyo especializado para la Competitividad"/>
    <s v="Velar por la calidad y productividad de los productos y  por el acceso al mercado en condiciones competitivas "/>
    <x v="5"/>
    <s v="COMP 10"/>
    <s v="HABILITANTE"/>
    <s v="TRANSVERSAL REGIONAL"/>
    <s v="C19"/>
    <s v="Estudios de mercado"/>
    <n v="8"/>
    <n v="8"/>
    <n v="8"/>
    <n v="78000"/>
    <s v="El costo incluye la elaboración de 8 estudios de mercado, estrategias comerciales  e implementación de instrumentos de promoción en los 4 primeros años (S/ 30,000.0 por estudio) y la contratación de  un especialista en DIRCETUR para monitoreo e implementación de dichos estudios por un monto de S/ 48,000.00 al año."/>
    <s v="DIRCETUR-GRDE"/>
    <n v="480000"/>
    <n v="485040"/>
    <n v="480000"/>
    <n v="485040"/>
    <n v="108000"/>
    <n v="109134"/>
    <n v="108000"/>
    <n v="109134"/>
    <n v="108000"/>
    <n v="109134"/>
    <n v="108000"/>
    <n v="109134"/>
    <n v="48000"/>
    <n v="48504"/>
    <n v="0"/>
    <m/>
    <m/>
    <n v="0"/>
    <m/>
    <m/>
    <n v="2"/>
    <n v="0"/>
  </r>
  <r>
    <x v="4"/>
    <x v="15"/>
    <s v="Programas de inversión pública"/>
    <n v="21"/>
    <x v="92"/>
    <s v="Reuniones de trabajo con gremios para firma de acuerdo, firma de acuerdo, monitoreo de cumplimiento, generar información para la iniciativa de campeones por los bosques tropicales (TFC), reuniones del espacio regional de la coalición público privada por una producción sostenible"/>
    <s v="NR"/>
    <x v="2"/>
    <s v="Programa de Mejoramiento de condiciones para el monitoreo"/>
    <s v="Desarrollar capaciades en la poblacion y dotarlo de módulos productivos  en compensación a la participación en el monitorei de su ámbito"/>
    <x v="6"/>
    <s v="COMP 10"/>
    <s v="HABILITANTE"/>
    <s v="TRANSVERSAL REGIONAL"/>
    <s v="C19"/>
    <s v="Acuerdos "/>
    <n v="1"/>
    <n v="1"/>
    <n v="0"/>
    <n v="61000"/>
    <s v="Reuniones de trabajo con empresas, asociaciones de productores y gremios, generar información, reuniones públicas de presentación de acuerdos, difusión internacional de acuerdos"/>
    <s v="ARA-SERFOR-DRASAM-GRDE"/>
    <n v="61000"/>
    <n v="61640.5"/>
    <n v="0"/>
    <n v="0"/>
    <n v="30500"/>
    <n v="30820.25"/>
    <n v="30500"/>
    <n v="30820.25"/>
    <n v="0"/>
    <n v="0"/>
    <n v="0"/>
    <n v="0"/>
    <n v="0"/>
    <n v="0"/>
    <n v="0"/>
    <m/>
    <m/>
    <n v="0"/>
    <m/>
    <m/>
    <n v="3"/>
    <n v="0"/>
  </r>
  <r>
    <x v="4"/>
    <x v="15"/>
    <s v="Corrupción"/>
    <n v="22"/>
    <x v="93"/>
    <s v="Diseño de programa de capacitación e implementación, para hacer conocer y cumplir el código de ética de la función pública para evitar los actos de corrupción."/>
    <s v="NR"/>
    <x v="0"/>
    <s v="Programa Anticorrupción"/>
    <s v="Establecer los mecanismos,  estrucutras y plan para la participacion activa de la población organizada "/>
    <x v="0"/>
    <s v="COMP 8"/>
    <s v="HABILITANTE"/>
    <s v="TRANSVERSAL REGIONAL"/>
    <s v="C19"/>
    <s v="Funcionarios capacitados que aprueban evaluación"/>
    <n v="75"/>
    <n v="75"/>
    <n v="75"/>
    <n v="25"/>
    <s v="Diseño de modulo de capacitación, implementación de curso y evaluación para funcionarios regionales"/>
    <s v="GRSM"/>
    <n v="18750"/>
    <n v="18946.875"/>
    <n v="1875"/>
    <n v="1894.6875"/>
    <n v="3750"/>
    <n v="3789.375"/>
    <n v="3750"/>
    <n v="3789.375"/>
    <n v="3750"/>
    <n v="3789.375"/>
    <n v="3750"/>
    <n v="3789.375"/>
    <n v="3750"/>
    <n v="3789.375"/>
    <n v="0"/>
    <m/>
    <m/>
    <n v="0"/>
    <m/>
    <m/>
    <n v="2"/>
    <n v="0"/>
  </r>
  <r>
    <x v="4"/>
    <x v="15"/>
    <s v="Corrupción"/>
    <n v="23"/>
    <x v="94"/>
    <s v="Mejora de los TUPAs (incluye proceso integrado para clasificación de suelos + uso actual de la ley forestal), material de difusión, y capacitaciones periódicas a usuarios"/>
    <s v="NR"/>
    <x v="0"/>
    <s v="Programa Anticorrupción"/>
    <s v="Establecer los mecanismos,  estrucutras y plan para la participacion activa de la población organizada "/>
    <x v="0"/>
    <s v="COMP 8"/>
    <s v="HABILITANTE"/>
    <s v="TRANSVERSAL REGIONAL"/>
    <s v="C19"/>
    <s v="TUPA  mejorado "/>
    <n v="1"/>
    <n v="1"/>
    <n v="0"/>
    <n v="150000"/>
    <s v="Consultoría de análisis de procedimientos administrativos regionales de la DRA, ARA, GDE, OPIPS, elaboración de proyecto de TUPA, aprobación de TUPA, capacitación a funcionarios, difusión en portal web y elaboración de material informativo para usuarios"/>
    <s v="GRSM"/>
    <n v="150000"/>
    <n v="151575"/>
    <n v="0"/>
    <n v="0"/>
    <n v="150000"/>
    <n v="151575"/>
    <n v="0"/>
    <n v="0"/>
    <n v="0"/>
    <n v="0"/>
    <n v="0"/>
    <n v="0"/>
    <n v="0"/>
    <n v="0"/>
    <n v="0"/>
    <m/>
    <m/>
    <n v="0"/>
    <m/>
    <m/>
    <n v="3"/>
    <n v="0"/>
  </r>
  <r>
    <x v="4"/>
    <x v="15"/>
    <s v="Corrupción"/>
    <n v="24"/>
    <x v="95"/>
    <s v="Implementar a nivel regional un clasificador de cargos por especialidades y competencias de las distintas áreas del GRSM, con la finalidad de contar con profesionales altamente capacitados y con experiencia, acorde a los distintos cargos que se disponga en el ámbito regional. Considerar asi mismo afectar esta disposición a los cargos de confianza cumpliendo los requisitos plasmados en el clasificador. "/>
    <s v="NR"/>
    <x v="0"/>
    <s v="Programa Anticorrupción"/>
    <s v="Establecer los mecanismos,  estrucutras y plan para la participacion activa de la población organizada "/>
    <x v="0"/>
    <s v="COMP 8"/>
    <s v="HABILITANTE"/>
    <s v="TRANSVERSAL REGIONAL"/>
    <s v="C19"/>
    <s v="Clasificador de cargos implementado"/>
    <n v="1"/>
    <n v="1"/>
    <n v="1"/>
    <n v="50000"/>
    <s v="Consultorías, reuniones con trabajadores, sistematización de información y punto focal responsable de implementación"/>
    <s v="GRSM"/>
    <n v="60000"/>
    <n v="60630"/>
    <n v="0"/>
    <n v="0"/>
    <n v="60000"/>
    <n v="60630"/>
    <n v="0"/>
    <n v="0"/>
    <n v="0"/>
    <n v="0"/>
    <n v="0"/>
    <n v="0"/>
    <n v="0"/>
    <n v="0"/>
    <n v="0"/>
    <m/>
    <m/>
    <n v="0"/>
    <m/>
    <m/>
    <n v="2"/>
    <n v="0"/>
  </r>
  <r>
    <x v="4"/>
    <x v="15"/>
    <s v="Corrupción"/>
    <n v="25"/>
    <x v="96"/>
    <s v="Ejecutar un estudio sobre las necesidades de la OCI Regional y las OCI de las diferentes direcciones regionales y proyectos especiales referidos a la necesidad de especialistas por cada oficina, asi mismo el perfil profesional minimo para cubrir dichos puestos. Con la finalidad de mejorar y asegurar el ejercicio oportuno, efectivo y eficiente del control gubernamental, así como de optimizar sus capacidades orientadas a la prevención y lucha contra la corrupción."/>
    <s v="NR"/>
    <x v="0"/>
    <s v="Programa Anticorrupción"/>
    <s v="Establecer los mecanismos,  estrucutras y plan para la participacion activa de la población organizada "/>
    <x v="0"/>
    <s v="COMP 8"/>
    <s v="HABILITANTE"/>
    <s v="TRANSVERSAL REGIONAL"/>
    <s v="C19"/>
    <s v="Estudio"/>
    <n v="1"/>
    <n v="1"/>
    <n v="1"/>
    <n v="30000"/>
    <s v="El costo va estar orientado a tener un equipo con personal especializado "/>
    <s v="CONTRALORIA, OCI, GRSM"/>
    <n v="50000"/>
    <n v="50525"/>
    <n v="0"/>
    <n v="0"/>
    <n v="50000"/>
    <n v="50525"/>
    <n v="0"/>
    <n v="0"/>
    <n v="0"/>
    <n v="0"/>
    <n v="0"/>
    <n v="0"/>
    <n v="0"/>
    <n v="0"/>
    <n v="0"/>
    <m/>
    <m/>
    <n v="0"/>
    <m/>
    <m/>
    <n v="2"/>
    <n v="0"/>
  </r>
  <r>
    <x v="4"/>
    <x v="15"/>
    <s v="Corrupción"/>
    <n v="26"/>
    <x v="97"/>
    <s v="Campañas orientadas a sensibilizar el impacto negativo de la corrupcion al crecimiento de la región, asi mismo realizar las denuncias correspondientes de forma anónima para que los órganos competentes puedan aplicar sanciones a dichos actos de corrupción. Brindar las medidas de protección necesarias a las personas que denuncian estos actos. "/>
    <s v="NR"/>
    <x v="0"/>
    <s v="Programa Anticorrupción"/>
    <s v="Establecer los mecanismos,  estrucutras y plan para la participacion activa de la población organizada "/>
    <x v="0"/>
    <s v="COMP 10"/>
    <s v="HABILITANTE"/>
    <s v="TRANSVERSAL REGIONAL"/>
    <s v="C19"/>
    <s v="Campañas de difudión."/>
    <n v="1"/>
    <n v="1"/>
    <n v="1"/>
    <n v="180000"/>
    <s v="Reuniones de trabajo con empresas, asociaciones de productores y gremios, generar información, reuniones públicas de presentación de acuerdos"/>
    <s v="GRSM"/>
    <n v="900000"/>
    <n v="909450"/>
    <n v="900000"/>
    <n v="909450"/>
    <n v="180000"/>
    <n v="181890"/>
    <n v="180000"/>
    <n v="181890"/>
    <n v="180000"/>
    <n v="181890"/>
    <n v="180000"/>
    <n v="181890"/>
    <n v="180000"/>
    <n v="181890"/>
    <n v="0"/>
    <m/>
    <m/>
    <n v="0"/>
    <m/>
    <m/>
    <n v="2"/>
    <n v="0"/>
  </r>
  <r>
    <x v="4"/>
    <x v="15"/>
    <s v="Control y vigilancia"/>
    <n v="27"/>
    <x v="98"/>
    <s v="Reuniones periódicas y extraordinarias de mesa regional de control y vigilancia forestal y de fauna silvestre "/>
    <s v="NR"/>
    <x v="0"/>
    <s v="Programa Anticorrupción"/>
    <s v="Establecer los mecanismos,  estrucutras y plan para la participacion activa de la población organizada "/>
    <x v="0"/>
    <s v="COMP 8"/>
    <s v="HABILITANTE"/>
    <s v="TRANSVERSAL REGIONAL"/>
    <s v="C19"/>
    <s v="Acuerdos adoptados en las reuniones de la mesa"/>
    <n v="40"/>
    <n v="40"/>
    <n v="40"/>
    <n v="1000"/>
    <s v="Reuniones entre instituciones públicas dedicadas al control y vigilancia forestal para articular protocolos, procedimientos y operativos para el control de la deforestación y tala ilegal"/>
    <s v="SERFOR, ARA, MP, OSINFOR"/>
    <n v="40000"/>
    <n v="40420"/>
    <n v="40000"/>
    <n v="40420"/>
    <n v="8000"/>
    <n v="8084"/>
    <n v="8000"/>
    <n v="8084"/>
    <n v="8000"/>
    <n v="8084"/>
    <n v="8000"/>
    <n v="8084"/>
    <n v="8000"/>
    <n v="8084"/>
    <n v="0"/>
    <m/>
    <m/>
    <n v="0"/>
    <m/>
    <m/>
    <n v="2"/>
    <n v="0"/>
  </r>
  <r>
    <x v="4"/>
    <x v="15"/>
    <s v="Control y vigilancia"/>
    <n v="28"/>
    <x v="99"/>
    <s v="1 capacitación de una semana en el ámbito cercano al trabajo de la comunidad (puede ser una capacitación espaciada) "/>
    <s v="NR"/>
    <x v="2"/>
    <s v="Programa de Mejoramiento de condiciones para el monitoreo"/>
    <s v="Desarrollar capaciades en la poblacion y dotarlo de módulos productivos  en compensación a la participación en el monitorei de su ámbito"/>
    <x v="6"/>
    <s v="COMP 10"/>
    <s v="HABILITANTE"/>
    <s v="TRANSVERSAL REGIONAL"/>
    <s v="C19"/>
    <s v="Ronderos y custodios que aprueban evaluación de capacitación "/>
    <n v="250"/>
    <n v="250"/>
    <n v="250"/>
    <n v="150"/>
    <s v="Considera materiales de capacitación, alimentación a capacitados en el área cercana a su comunidad y gastos de capacitadores"/>
    <s v="SERFOR, ARA, MP, OSINFOR"/>
    <n v="37500"/>
    <n v="37893.75"/>
    <n v="37500"/>
    <n v="37893.75"/>
    <n v="7500"/>
    <n v="7578.75"/>
    <n v="7500"/>
    <n v="7578.75"/>
    <n v="7500"/>
    <n v="7578.75"/>
    <n v="7500"/>
    <n v="7578.75"/>
    <n v="7500"/>
    <n v="7578.75"/>
    <n v="0"/>
    <m/>
    <m/>
    <s v="X"/>
    <m/>
    <m/>
    <n v="2"/>
    <n v="1"/>
  </r>
  <r>
    <x v="4"/>
    <x v="15"/>
    <s v="Control y vigilancia"/>
    <n v="29"/>
    <x v="100"/>
    <s v="Uniforme básico, GPS por brigadas,  1 dron por comunidad, equipos de radio por comunidad (radio corta portátil)"/>
    <s v="NR"/>
    <x v="2"/>
    <s v="Programa de Mejoramiento de condiciones para el monitoreo"/>
    <s v="Desarrollar capaciades en la poblacion y dotarlo de módulos productivos  en compensación a la participación en el monitorei de su ámbito"/>
    <x v="6"/>
    <s v="COMP 10"/>
    <s v="HABILITANTE"/>
    <s v="TRANSVERSAL REGIONAL"/>
    <s v="C19"/>
    <s v="Ronderos y custodios equipados"/>
    <n v="250"/>
    <n v="250"/>
    <n v="250"/>
    <n v="1945"/>
    <s v="Uniforme básico para 250 personas, GPS para 25 comunidades,  1 dron para 25 comunidades, equipos de radio para 25 comunidades (radio corta portátil)"/>
    <s v="ARA "/>
    <n v="486250"/>
    <n v="491355.625"/>
    <n v="486250"/>
    <n v="491355.625"/>
    <n v="97250"/>
    <n v="98271.125"/>
    <n v="97250"/>
    <n v="98271.125"/>
    <n v="97250"/>
    <n v="98271.125"/>
    <n v="97250"/>
    <n v="98271.125"/>
    <n v="97250"/>
    <n v="98271.125"/>
    <n v="0"/>
    <m/>
    <m/>
    <s v="X"/>
    <m/>
    <m/>
    <n v="3"/>
    <n v="1"/>
  </r>
  <r>
    <x v="4"/>
    <x v="15"/>
    <s v="Control y vigilancia"/>
    <n v="30"/>
    <x v="101"/>
    <s v="Personal de campo dedicado al control de actividades ilegales (deforestación y tala ilegal),  combustible y raciones para acciones de control"/>
    <s v="NR"/>
    <x v="0"/>
    <s v="Programa Anticorrupción"/>
    <s v="Establecer los mecanismos,  estrucutras y plan para la participacion activa de la población organizada "/>
    <x v="0"/>
    <s v="COMP 8"/>
    <s v="HABILITANTE"/>
    <s v="TRANSVERSAL REGIONAL"/>
    <s v="C19"/>
    <s v="Informes de inspecciones"/>
    <n v="125"/>
    <n v="125"/>
    <n v="125"/>
    <n v="236000"/>
    <s v="Unidad conformada al menos por cuatro especialistas, y gastos de movilidad y alimentación"/>
    <s v="ARA"/>
    <n v="1180000"/>
    <n v="1192390"/>
    <n v="1180000"/>
    <n v="1192390"/>
    <n v="236000"/>
    <n v="238478"/>
    <n v="236000"/>
    <n v="238478"/>
    <n v="236000"/>
    <n v="238478"/>
    <n v="236000"/>
    <n v="238478"/>
    <n v="236000"/>
    <n v="238478"/>
    <n v="0"/>
    <m/>
    <m/>
    <n v="0"/>
    <m/>
    <m/>
    <n v="3"/>
    <n v="0"/>
  </r>
  <r>
    <x v="4"/>
    <x v="15"/>
    <s v="Control y vigilancia"/>
    <n v="31"/>
    <x v="102"/>
    <s v="Equipamiento (GPS, cámaras, computadora),  camionetas, carpas, sleepings, binoculares y uniformes"/>
    <s v="NR"/>
    <x v="0"/>
    <s v="Programa Anticorrupción"/>
    <s v="Establecer los mecanismos,  estrucutras y plan para la participacion activa de la población organizada "/>
    <x v="0"/>
    <s v="COMP 10"/>
    <s v="HABILITANTE"/>
    <s v="TRANSVERSAL REGIONAL"/>
    <s v="C19"/>
    <s v="Informes de inspecciones"/>
    <n v="0"/>
    <n v="0"/>
    <n v="0"/>
    <n v="1182.4000000000001"/>
    <s v="Dos camionetas, cuatro computadoras, cuatro GPS, cuatro cámaras fotográficas,  ocho uniformes y equipo básico de campo para 4 personas (solo en los primeros cinco años). Considera uniformes nuevos al año 5"/>
    <s v="ARA "/>
    <n v="147800"/>
    <n v="149351.9"/>
    <n v="1600"/>
    <n v="1616.8"/>
    <n v="29560"/>
    <n v="29870.379999999997"/>
    <n v="29560"/>
    <n v="29870.379999999997"/>
    <n v="29560"/>
    <n v="29870.379999999997"/>
    <n v="29560"/>
    <n v="29870.379999999997"/>
    <n v="29560"/>
    <n v="29870.379999999997"/>
    <n v="0"/>
    <m/>
    <m/>
    <n v="0"/>
    <m/>
    <m/>
    <n v="3"/>
    <n v="0"/>
  </r>
  <r>
    <x v="4"/>
    <x v="15"/>
    <s v="Control y vigilancia"/>
    <s v="32 A"/>
    <x v="103"/>
    <s v="Contratación de fiscales especializados en materia ambiental para que puedan atender oportunamente la necesidad de toda la región. Actualmente solo se cuenta con 5 fiscales en toda la región distribuidos de la siguiente manera: 2 fiscales para las provincias de (Tocache, Mariscal Cáceres, Bellavista y Huallaga) y 3 fiscales para las provincias de (El Dorado, Picota, Lamas, San Martín, Moyobamba Y Rioja)."/>
    <s v="NR"/>
    <x v="0"/>
    <s v="Programa Anticorrupción"/>
    <s v="Establecer los mecanismos,  estrucutras y plan para la participacion activa de la población organizada "/>
    <x v="0"/>
    <s v="COMP 8"/>
    <s v="HABILITANTE"/>
    <s v="TRANSVERSAL REGIONAL"/>
    <s v="C19"/>
    <s v="Contratación de fiscales"/>
    <n v="6"/>
    <n v="6"/>
    <n v="6"/>
    <n v="8000"/>
    <s v="Contratación de fiscales."/>
    <s v="ARA"/>
    <n v="2880000"/>
    <n v="2910240"/>
    <n v="2880000"/>
    <n v="2910240"/>
    <n v="576000"/>
    <n v="582048"/>
    <n v="576000"/>
    <n v="582048"/>
    <n v="576000"/>
    <n v="582048"/>
    <n v="576000"/>
    <n v="582048"/>
    <n v="576000"/>
    <n v="582048"/>
    <n v="0"/>
    <m/>
    <m/>
    <n v="0"/>
    <m/>
    <m/>
    <n v="3"/>
    <n v="0"/>
  </r>
  <r>
    <x v="4"/>
    <x v="15"/>
    <s v="Control y vigilancia"/>
    <s v="32 B"/>
    <x v="104"/>
    <s v="Implementación de logística para fiscalías especializadas en materia ambiental"/>
    <s v="NR"/>
    <x v="0"/>
    <s v="Programa Anticorrupción"/>
    <s v="Establecer los mecanismos,  estrucutras y plan para la participacion activa de la población organizada "/>
    <x v="0"/>
    <s v="COMP 8"/>
    <s v="HABILITANTE"/>
    <s v="TRANSVERSAL REGIONAL"/>
    <s v="C19"/>
    <s v="Unidades móviles"/>
    <n v="5"/>
    <n v="5"/>
    <n v="0"/>
    <n v="150000"/>
    <s v="Adquisión de movilidades para la inspección oportuna de los fiscales cuando se reporte algún tipo de delito ambiental."/>
    <s v="ARA"/>
    <n v="750000"/>
    <n v="757875"/>
    <n v="0"/>
    <n v="0"/>
    <n v="750000"/>
    <n v="757875"/>
    <n v="0"/>
    <n v="0"/>
    <n v="0"/>
    <n v="0"/>
    <n v="0"/>
    <n v="0"/>
    <n v="0"/>
    <n v="0"/>
    <n v="0"/>
    <m/>
    <m/>
    <n v="0"/>
    <m/>
    <m/>
    <n v="3"/>
    <n v="0"/>
  </r>
  <r>
    <x v="4"/>
    <x v="15"/>
    <s v="Control y vigilancia"/>
    <n v="33"/>
    <x v="105"/>
    <s v="Operativos específicos para control de tala ilegal y deforestación coordinado entre varias instituciones públicas (ARA, MP, OSINFOR, entre otros)"/>
    <s v="NR"/>
    <x v="0"/>
    <s v="Programa Anticorrupción"/>
    <s v="Establecer los mecanismos,  estrucutras y plan para la participacion activa de la población organizada "/>
    <x v="0"/>
    <s v="COMP 8"/>
    <s v="HABILITANTE"/>
    <s v="TRANSVERSAL REGIONAL"/>
    <s v="C19"/>
    <s v="Procesos administrativos o penales iniciados "/>
    <n v="15"/>
    <n v="15"/>
    <n v="15"/>
    <n v="30000"/>
    <s v="Operativos en campo que implican desplazamiento de la policía nacional del Perú, el ministerio público (gasolina, raciones), sobrevuelo"/>
    <s v="SERFOR, ARA, MP, OSINFOR"/>
    <n v="450000"/>
    <n v="454725"/>
    <n v="450000"/>
    <n v="454725"/>
    <n v="90000"/>
    <n v="90945"/>
    <n v="90000"/>
    <n v="90945"/>
    <n v="90000"/>
    <n v="90945"/>
    <n v="90000"/>
    <n v="90945"/>
    <n v="90000"/>
    <n v="90945"/>
    <n v="0"/>
    <m/>
    <m/>
    <s v="X"/>
    <m/>
    <m/>
    <n v="3"/>
    <n v="1"/>
  </r>
  <r>
    <x v="4"/>
    <x v="15"/>
    <s v="Corrupción"/>
    <s v="34 A"/>
    <x v="106"/>
    <s v="a) Mapear procedimientos regionales vinculados a otorgamiento de propiedad agraria (titulación y adjudicaciones), cambio de uso actual de tierras de aptitud A y C, procesos de bosque y estudios de impacto ambiental del sector agrario, b) aprobación de lineamientos o norma complementaria nacional para implementación del  cambio de uso actual de acuerdo a nueva LFFS y RLFFS*, c) elaboración de propuesta de procedimiento regional articulado y modificaciones al TUPA del GORESAM, d) elaboración y aprobación de propuesta de ordenanza regional que aprueba procedimiento y modificación de TUPA del GORESAM, e) capacitación de funcionarios y socialización de actores claves, f) elaboración de estudios de suelos en áreas identificadas para futuros procesos de titulación y adjudicaciones, g) implementación de procedimiento de cambio de uso actual en A y C para definir áreas en donde es posible realizar adjudicaciones de acuerdo a LFFFS, h) ejecución de procedimientos de titulación de predios,  adjucación o cesión en uso. Nota1: la elaboración de estudios de suelos debe ser en grandes espacios en los donde se piensa promover la titulación de predios rurales (a nivel de unidades catastrales) y adjudicaciones agrarias, de maneras previas a las solicitudes de titulación. Nota2: evaluar con DGAA el nivel del estudio de suelo, se recomienda estudios simplificado y un proceso en etapas que permita liberar primero las tierras X y F. Nota 3: Reto opinión previa de SERFOR y MINAM ¿Como no demorar este proceso?                                               "/>
    <s v="NR"/>
    <x v="0"/>
    <s v="Programa Anticorrupción"/>
    <s v="Establecer los mecanismos,  estrucutras y plan para la participacion activa de la población organizada "/>
    <x v="0"/>
    <s v="COMP 8"/>
    <s v="HABILITANTE"/>
    <s v="TRANSVERSAL REGIONAL"/>
    <s v="C19"/>
    <s v="Documento técnico legal que mapea procesos vinculados al cambio de uso, otorgamiento de la propiedad agraria y evaluaciones de impacto ambiental en el GORESAM"/>
    <n v="1"/>
    <n v="1"/>
    <n v="1"/>
    <n v="20000"/>
    <s v="Analisis técnico y legal (puede hacerse directamente por el equipo del GORESAM o a través de consultores), reuniones de trabajo, facilitadores de reuniones,"/>
    <s v="ARA, DRASAM, GDE, GPP"/>
    <n v="20000"/>
    <n v="20210"/>
    <n v="20000"/>
    <n v="20210"/>
    <n v="20000"/>
    <n v="20210"/>
    <n v="0"/>
    <n v="0"/>
    <n v="0"/>
    <n v="0"/>
    <n v="0"/>
    <n v="0"/>
    <n v="0"/>
    <n v="0"/>
    <n v="0"/>
    <m/>
    <m/>
    <n v="0"/>
    <m/>
    <m/>
    <s v="X"/>
    <n v="0"/>
  </r>
  <r>
    <x v="4"/>
    <x v="15"/>
    <s v="Invasiones "/>
    <s v="34 B"/>
    <x v="106"/>
    <s v="Descripciión compartida con 34 A"/>
    <s v="NR"/>
    <x v="0"/>
    <s v="Programa Anticorrupción"/>
    <s v="Establecer los mecanismos,  estrucutras y plan para la participacion activa de la población organizada "/>
    <x v="0"/>
    <s v="COMP 8"/>
    <s v="HABILITANTE"/>
    <s v="TRANSVERSAL REGIONAL"/>
    <s v="C19"/>
    <s v="Resolución Ministerial, o norma pertiente, que aprueba lineamientos a nivel nacional "/>
    <n v="1"/>
    <n v="1"/>
    <n v="1"/>
    <n v="20000"/>
    <s v="Elaboración de propuesta de norma, talleres de socialización y retroalimentación a nivel nacional, "/>
    <s v="MINAGRI, SERFOR, MINAM"/>
    <n v="20000"/>
    <n v="20210"/>
    <n v="20000"/>
    <n v="20210"/>
    <n v="20000"/>
    <n v="20210"/>
    <n v="0"/>
    <n v="0"/>
    <n v="0"/>
    <n v="0"/>
    <n v="0"/>
    <n v="0"/>
    <n v="0"/>
    <n v="0"/>
    <n v="0"/>
    <m/>
    <m/>
    <n v="0"/>
    <m/>
    <m/>
    <s v="X"/>
    <n v="0"/>
  </r>
  <r>
    <x v="4"/>
    <x v="15"/>
    <s v="Corrupción"/>
    <s v="34 C"/>
    <x v="106"/>
    <s v="Descripciión compartida con 34 A"/>
    <s v="NR"/>
    <x v="0"/>
    <s v="Programa Anticorrupción"/>
    <s v="Establecer los mecanismos,  estrucutras y plan para la participacion activa de la población organizada "/>
    <x v="0"/>
    <s v="COMP 8"/>
    <s v="HABILITANTE"/>
    <s v="TRANSVERSAL REGIONAL"/>
    <s v="C19"/>
    <s v="Ordenanza regional de procedimiento integrado sobre cambio de "/>
    <n v="1"/>
    <n v="1"/>
    <n v="0"/>
    <n v="30000"/>
    <s v="Consultoría para la elaboración de la propuesta de inclusión de procedimiento integrado  de cambio de uso actual."/>
    <s v="DRASAM, ARA, GPP"/>
    <n v="30000"/>
    <n v="30315"/>
    <n v="0"/>
    <n v="0"/>
    <n v="30000"/>
    <n v="30315"/>
    <n v="0"/>
    <n v="0"/>
    <n v="0"/>
    <n v="0"/>
    <n v="0"/>
    <n v="0"/>
    <n v="0"/>
    <n v="0"/>
    <n v="0"/>
    <m/>
    <m/>
    <n v="0"/>
    <m/>
    <m/>
    <s v="X"/>
    <n v="0"/>
  </r>
  <r>
    <x v="4"/>
    <x v="15"/>
    <s v="Corrupción"/>
    <s v="34 D"/>
    <x v="106"/>
    <s v="Descripciión compartida con 34 A"/>
    <s v="NR"/>
    <x v="0"/>
    <s v="Programa Anticorrupción"/>
    <s v="Establecer los mecanismos,  estrucutras y plan para la participacion activa de la población organizada "/>
    <x v="0"/>
    <s v="COMP 8"/>
    <s v="HABILITANTE"/>
    <s v="TRANSVERSAL REGIONAL"/>
    <s v="C19"/>
    <s v="Guias didacticas para implementar el procedimiento "/>
    <n v="1"/>
    <n v="1"/>
    <n v="0"/>
    <n v="20000"/>
    <s v="Elaboración de manual de capacitación y versiones sencillas del procedimiento, talleres de capacitación a usuarios y funcionarios. "/>
    <s v="DRASAM, ARA"/>
    <n v="20000"/>
    <n v="20210"/>
    <n v="0"/>
    <n v="0"/>
    <n v="20000"/>
    <n v="20210"/>
    <n v="0"/>
    <n v="0"/>
    <n v="0"/>
    <n v="0"/>
    <n v="0"/>
    <n v="0"/>
    <n v="0"/>
    <n v="0"/>
    <n v="0"/>
    <m/>
    <m/>
    <n v="0"/>
    <m/>
    <m/>
    <s v="X"/>
    <n v="0"/>
  </r>
  <r>
    <x v="4"/>
    <x v="15"/>
    <s v="Corrupción"/>
    <s v="34 E"/>
    <x v="106"/>
    <s v="Descripciión compartida con 34 A"/>
    <s v="NR"/>
    <x v="0"/>
    <s v="Programa Anticorrupción"/>
    <s v="Establecer los mecanismos,  estrucutras y plan para la participacion activa de la población organizada "/>
    <x v="0"/>
    <s v="COMP 8"/>
    <s v="HABILITANTE"/>
    <s v="TRANSVERSAL REGIONAL"/>
    <s v="C19"/>
    <s v="Hectáreas evaluadas bajo procedimiento de cambio actual con procedimientos integrados. "/>
    <n v="493395.07454789948"/>
    <n v="493395.07454789948"/>
    <n v="493395.07454789948"/>
    <n v="0.98"/>
    <s v="Contratación de especialistas para mapeo de procedimientos administrativos, especialista legal, especialista de costeo, costo operativo de atención de trámites."/>
    <s v="DRASAM, ARA"/>
    <n v="483527.17305694148"/>
    <n v="488604.20837403933"/>
    <n v="483527.17305694148"/>
    <n v="488604.20837403933"/>
    <n v="96705.434611388308"/>
    <n v="97720.841674807874"/>
    <n v="96705.434611388308"/>
    <n v="97720.841674807874"/>
    <n v="96705.434611388308"/>
    <n v="97720.841674807874"/>
    <n v="96705.434611388308"/>
    <n v="97720.841674807874"/>
    <n v="96705.434611388308"/>
    <n v="97720.841674807874"/>
    <n v="0"/>
    <m/>
    <m/>
    <n v="0"/>
    <m/>
    <m/>
    <n v="2"/>
    <n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2">
  <r>
    <x v="0"/>
    <x v="0"/>
    <s v="Invasiones"/>
    <s v="1.1.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51977.568789166602"/>
    <n v="25988.784394583301"/>
    <n v="25988.78439458330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1977568.7891666"/>
    <n v="52523333.261452846"/>
    <n v="51977568.7891666"/>
    <n v="52523333.261452846"/>
    <n v="5197756.8789166603"/>
    <n v="5252333.3261452848"/>
    <n v="7796635.3183749896"/>
    <n v="7878499.9892179267"/>
    <n v="10395513.757833321"/>
    <n v="10504666.65229057"/>
    <n v="15593270.636749979"/>
    <n v="15756999.978435853"/>
    <n v="12994392.19729165"/>
    <n v="13130833.315363212"/>
    <n v="0"/>
    <m/>
    <m/>
    <s v="X"/>
    <m/>
    <s v="RE"/>
    <n v="3"/>
    <n v="1"/>
  </r>
  <r>
    <x v="0"/>
    <x v="0"/>
    <s v="Programas de inversión pública"/>
    <s v="1.1.2"/>
    <s v="Asistencia técnica con enfoque bajo en emisiones"/>
    <s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s v="Programa de produccion y tecnolgía para el desarrollo sostenible"/>
    <s v="Programa de Asistencia Técnicas para incrementar la capacidad productiva de las principaes cadenas"/>
    <x v="1"/>
    <x v="1"/>
    <s v="COMP 1"/>
    <s v="PRODUCCIÓN"/>
    <s v="ASISTENCIA TÉCNICA"/>
    <s v="C1"/>
    <s v="Productores asistidos"/>
    <n v="74562"/>
    <n v="22368.6"/>
    <n v="29824.800000000003"/>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2526416"/>
    <n v="12657943.367999999"/>
    <n v="16701888.000000002"/>
    <n v="16877257.824000001"/>
    <n v="2505283.2000000002"/>
    <n v="2531588.6735999999"/>
    <n v="2505283.2000000002"/>
    <n v="2531588.6735999999"/>
    <n v="2505283.2000000002"/>
    <n v="2531588.6735999999"/>
    <n v="2505283.2000000002"/>
    <n v="2531588.6735999999"/>
    <n v="2505283.2000000002"/>
    <n v="2531588.6735999999"/>
    <n v="0"/>
    <m/>
    <m/>
    <s v="X"/>
    <m/>
    <s v="RE"/>
    <n v="2"/>
    <n v="1"/>
  </r>
  <r>
    <x v="0"/>
    <x v="0"/>
    <s v="Programas de inversión pública"/>
    <s v="1.1.3"/>
    <s v="Manejo, conservación y recuperación de suelos degradados"/>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s v="Programa de produccion y tecnolgía para el desarrollo sostenible"/>
    <s v="Programa de Asistencia Técnicas para incrementar la capacidad productiva de las principaes cadenas"/>
    <x v="1"/>
    <x v="1"/>
    <s v="COMP 1"/>
    <s v="PRODUCCIÓN"/>
    <s v="TECNOLOGÍA"/>
    <s v="C17"/>
    <s v="Hectáreas intervenidas"/>
    <n v="155570"/>
    <n v="46671"/>
    <n v="46671"/>
    <n v="500"/>
    <s v="El costo incluye adquisición de semillas, insumos, fertilizantes, entre otras para la producción de plantas agroforestales o coberturas  verdes."/>
    <s v="DRASAM"/>
    <n v="23335500"/>
    <n v="23580522.75"/>
    <n v="23335500"/>
    <n v="23580522.75"/>
    <n v="7000650"/>
    <n v="7074156.8249999993"/>
    <n v="5833875"/>
    <n v="5895130.6875"/>
    <n v="4667100"/>
    <n v="4716104.55"/>
    <n v="3500325"/>
    <n v="3537078.4124999996"/>
    <n v="2333550"/>
    <n v="2358052.2749999999"/>
    <n v="0"/>
    <m/>
    <m/>
    <s v="X"/>
    <m/>
    <m/>
    <n v="3"/>
    <n v="1"/>
  </r>
  <r>
    <x v="0"/>
    <x v="0"/>
    <s v="Programas de inversión pública"/>
    <s v="1.1.4"/>
    <s v="Fertilización de áreas productivas de acuerdo a la etapa fenológica del cultivo"/>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s v="Programa de produccion y tecnolgía para el desarrollo sostenible"/>
    <s v="Programa de Asistencia Técnicas para incrementar la capacidad productiva de las principaes cadenas"/>
    <x v="1"/>
    <x v="1"/>
    <s v="COMP 1"/>
    <s v="PRODUCCIÓN"/>
    <s v="TECNOLOGÍA"/>
    <s v="C17"/>
    <s v="hectáreas fertilizadas"/>
    <n v="155570"/>
    <n v="31114"/>
    <n v="46671"/>
    <n v="2500"/>
    <s v="El costo incluye un análisis de suelos, paquete de fertilización según los resultados del análisis y la adquisición de fertilizantes. El costo incluye los tres abonamientos requeridos en una campaña (1 año)."/>
    <s v="DRASAM"/>
    <n v="77785000"/>
    <n v="78601742.5"/>
    <n v="116677500"/>
    <n v="117902613.75"/>
    <n v="15557000"/>
    <n v="15720348.5"/>
    <n v="15557000"/>
    <n v="15720348.5"/>
    <n v="15557000"/>
    <n v="15720348.5"/>
    <n v="15557000"/>
    <n v="15720348.5"/>
    <n v="15557000"/>
    <n v="15720348.5"/>
    <n v="0"/>
    <m/>
    <m/>
    <s v="X"/>
    <m/>
    <s v="RE"/>
    <n v="3"/>
    <n v="1"/>
  </r>
  <r>
    <x v="0"/>
    <x v="0"/>
    <s v="Programas de inversión privada"/>
    <s v="1.1.5"/>
    <s v="Instalación de sistemas de fertirriego"/>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s v="Programa de produccion y tecnolgía para el desarrollo sostenible"/>
    <s v="Programa de Asistencia Técnicas para incrementar la capacidad productiva de las principaes cadenas"/>
    <x v="1"/>
    <x v="2"/>
    <s v="COMP 4 "/>
    <s v="PRODUCCIÓN"/>
    <s v="TECNOLOGÍA"/>
    <s v="C17"/>
    <s v="Hectáreas con sistemas de riego"/>
    <n v="155570"/>
    <n v="7778.5"/>
    <n v="15557"/>
    <n v="11500"/>
    <s v="El costo incluye la instalación de un sistema completo y un paquete de fertilización para la primera campaña. El costo va depender del tipo de cultivo, tipo de sistema y el tipo de materiales a usar en los sistemas de fertirriego."/>
    <s v="DRASAM"/>
    <n v="89452750"/>
    <n v="90392003.875"/>
    <n v="178905500"/>
    <n v="180784007.75"/>
    <n v="17890550"/>
    <n v="18078400.774999999"/>
    <n v="17890550"/>
    <n v="18078400.774999999"/>
    <n v="17890550"/>
    <n v="18078400.774999999"/>
    <n v="17890550"/>
    <n v="18078400.774999999"/>
    <n v="17890550"/>
    <n v="18078400.774999999"/>
    <n v="0"/>
    <m/>
    <m/>
    <s v="X"/>
    <m/>
    <s v="RE"/>
    <n v="3"/>
    <n v="1"/>
  </r>
  <r>
    <x v="0"/>
    <x v="0"/>
    <s v="Programas de inversión privada"/>
    <s v="1.1.6"/>
    <s v="Reconversión y diversificación productiva "/>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s v="Programa de produccion y tecnolgía para el desarrollo sostenible"/>
    <s v="Programa de Asistencia Técnicas para incrementar la capacidad productiva de las principaes cadenas"/>
    <x v="1"/>
    <x v="2"/>
    <s v="COMP 4 "/>
    <s v="PRODUCCIÓN"/>
    <s v="RECONVERSIÓN"/>
    <s v="C12"/>
    <s v="Hectáreas reconvertidas/diversificadas"/>
    <n v="31114"/>
    <n v="3111.4"/>
    <n v="3111.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AGROIDEAS"/>
    <n v="46671000"/>
    <n v="47161045.5"/>
    <n v="46671000"/>
    <n v="47161045.5"/>
    <n v="9334200"/>
    <n v="9432209.0999999996"/>
    <n v="9334200"/>
    <n v="9432209.0999999996"/>
    <n v="9334200"/>
    <n v="9432209.0999999996"/>
    <n v="9334200"/>
    <n v="9432209.0999999996"/>
    <n v="9334200"/>
    <n v="9432209.0999999996"/>
    <n v="0"/>
    <s v="X"/>
    <m/>
    <m/>
    <m/>
    <s v="RE"/>
    <n v="3"/>
    <n v="1"/>
  </r>
  <r>
    <x v="0"/>
    <x v="0"/>
    <s v="Programas de inversión pública"/>
    <s v="1.1.7"/>
    <s v="Promoción de agricultura familiar con enfoque de mercado"/>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s v="Programa de produccion y tecnolgía para el desarrollo sostenible"/>
    <s v="Programa de Asistencia Técnicas para incrementar la capacidad productiva de las principaes cadenas"/>
    <x v="1"/>
    <x v="1"/>
    <s v="COMP 1"/>
    <s v="PRODUCCIÓN"/>
    <s v="CAPACITACIÓN"/>
    <s v="C3"/>
    <s v="Productores beneficiados"/>
    <n v="74562"/>
    <n v="18640.5"/>
    <n v="26096.69999999999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FONCODES"/>
    <n v="240462450"/>
    <n v="242987305.72499999"/>
    <n v="336647429.99999994"/>
    <n v="340182228.01499993"/>
    <n v="48092490"/>
    <n v="48597461.144999996"/>
    <n v="48092490"/>
    <n v="48597461.144999996"/>
    <n v="48092490"/>
    <n v="48597461.144999996"/>
    <n v="48092490"/>
    <n v="48597461.144999996"/>
    <n v="48092490"/>
    <n v="48597461.144999996"/>
    <n v="0"/>
    <m/>
    <m/>
    <s v="X"/>
    <m/>
    <s v="RE"/>
    <n v="2"/>
    <n v="1"/>
  </r>
  <r>
    <x v="0"/>
    <x v="0"/>
    <s v="Programas de inversión pública"/>
    <s v="1.1.8"/>
    <s v="Asistencia técnica para el desarrollo de la acuicultura"/>
    <s v="Capacitaciones a pequeños productores acuícolas en temas relacionados a: Asociatividad, Gestión y administración de piscigranjas, programación de la producción, formalización, gestión de la calidad entre otros temas que permitan la sostenibilidad de la actividad."/>
    <s v="NR"/>
    <s v="Programa de produccion y tecnolgía para el desarrollo sostenible"/>
    <s v="Programa de Asistencia Técnicas para incrementar la capacidad productiva de las principaes cadenas"/>
    <x v="1"/>
    <x v="2"/>
    <s v="COMP 4 "/>
    <s v="PRODUCCIÓN"/>
    <s v="ASISTENCIA TÉCNICA"/>
    <s v="C1"/>
    <s v="Acuicultores atendidos"/>
    <n v="668"/>
    <n v="801.6"/>
    <n v="935.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448896"/>
    <n v="453609.408"/>
    <n v="523712"/>
    <n v="529210.97600000002"/>
    <n v="89779.200000000012"/>
    <n v="90721.881600000008"/>
    <n v="89779.200000000012"/>
    <n v="90721.881600000008"/>
    <n v="89779.200000000012"/>
    <n v="90721.881600000008"/>
    <n v="89779.200000000012"/>
    <n v="90721.881600000008"/>
    <n v="89779.200000000012"/>
    <n v="90721.881600000008"/>
    <n v="0"/>
    <m/>
    <m/>
    <s v="X"/>
    <m/>
    <s v="RE"/>
    <n v="3"/>
    <n v="1"/>
  </r>
  <r>
    <x v="0"/>
    <x v="0"/>
    <s v="Ingresos y Capital"/>
    <s v="1.1.9"/>
    <s v="Incentivos financieros para la acuicultura "/>
    <s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s v="Programa de produccion y tecnolgía para el desarrollo sostenible"/>
    <s v="Programa de acceso al crédito"/>
    <x v="2"/>
    <x v="3"/>
    <s v="COMP 11"/>
    <s v="PRODUCCIÓN"/>
    <s v="FINANCIAMIENTO"/>
    <s v="C6"/>
    <s v="Créditos otorgados"/>
    <n v="668"/>
    <n v="801.6"/>
    <n v="935.2"/>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s v="DIREPRO"/>
    <n v="10340640"/>
    <n v="10449216.719999999"/>
    <n v="12064080"/>
    <n v="12190752.84"/>
    <n v="2585160"/>
    <n v="2612304.1799999997"/>
    <n v="2585160"/>
    <n v="2612304.1799999997"/>
    <n v="2068128"/>
    <n v="2089843.3439999998"/>
    <n v="1551096"/>
    <n v="1567382.5079999999"/>
    <n v="1551096"/>
    <n v="1567382.5079999999"/>
    <n v="0"/>
    <s v="X"/>
    <m/>
    <m/>
    <m/>
    <s v="RE"/>
    <n v="3"/>
    <n v="1"/>
  </r>
  <r>
    <x v="0"/>
    <x v="0"/>
    <s v="Ingresos y Capital"/>
    <s v="1.1.10"/>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s v="Programa de produccion y tecnolgía para el desarrollo sostenible"/>
    <s v="Programa de acceso al crédito"/>
    <x v="2"/>
    <x v="3"/>
    <s v="COMP 11"/>
    <s v="PRODUCCIÓN"/>
    <s v="FINANCIAMIENTO"/>
    <s v="C6"/>
    <s v="Créditos otorgados"/>
    <n v="74562"/>
    <n v="22368.6"/>
    <n v="14912.4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240462449.99999997"/>
    <n v="242987305.72499996"/>
    <n v="160308300.00000003"/>
    <n v="161991537.15000004"/>
    <n v="48092490"/>
    <n v="48597461.144999996"/>
    <n v="48092490"/>
    <n v="48597461.144999996"/>
    <n v="48092490"/>
    <n v="48597461.144999996"/>
    <n v="48092490"/>
    <n v="48597461.144999996"/>
    <n v="48092490"/>
    <n v="48597461.144999996"/>
    <n v="0"/>
    <s v="X"/>
    <m/>
    <m/>
    <m/>
    <s v="RE"/>
    <n v="3"/>
    <n v="1"/>
  </r>
  <r>
    <x v="0"/>
    <x v="0"/>
    <s v="Programas de inversión privada"/>
    <s v="1.1.11"/>
    <s v="Implementación de infraestructura productiva con énfasis a la agro exportación "/>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s v="Programa de produccion y tecnolgía para el desarrollo sostenible"/>
    <s v="Programa de Asistencia Técnicas para incrementar la capacidad productiva de las principaes cadenas"/>
    <x v="1"/>
    <x v="2"/>
    <s v="COMP 4 "/>
    <s v="PRODUCCIÓN"/>
    <s v="INFRAESTRUCTURA"/>
    <s v="C7"/>
    <s v="Planes de negocios/proyectos ejecutados"/>
    <n v="48"/>
    <n v="9.6000000000000014"/>
    <n v="14.399999999999999"/>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7680000.0000000009"/>
    <n v="7760640.0000000009"/>
    <n v="11519999.999999998"/>
    <n v="11640959.999999998"/>
    <n v="768000.00000000012"/>
    <n v="776064.00000000012"/>
    <n v="768000.00000000012"/>
    <n v="776064.00000000012"/>
    <n v="1920000.0000000002"/>
    <n v="1940160.0000000002"/>
    <n v="1920000.0000000002"/>
    <n v="1940160.0000000002"/>
    <n v="2304000"/>
    <n v="2328192"/>
    <n v="0"/>
    <s v="X"/>
    <m/>
    <m/>
    <m/>
    <s v="RE"/>
    <n v="3"/>
    <n v="1"/>
  </r>
  <r>
    <x v="0"/>
    <x v="0"/>
    <s v="Programas de inversión privada"/>
    <s v="1.1.12"/>
    <s v="Fortalecimiento de capacidades en gestión de la calidad en las distintas cadenas de valor "/>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s v="Programa de produccion y tecnolgía para el desarrollo sostenible"/>
    <s v="Programa de Asistencia Técnicas para incrementar la capacidad productiva de las principaes cadenas"/>
    <x v="1"/>
    <x v="1"/>
    <s v="COMP 1"/>
    <s v="PRODUCCIÓN"/>
    <s v="CAPACITACIÓN"/>
    <s v="C3"/>
    <s v="Empresas y organizaciones atendidas"/>
    <n v="48"/>
    <n v="28.799999999999997"/>
    <n v="14.399999999999999"/>
    <n v="50000"/>
    <s v="El costo incluye la contratación de especialistas para brindar Asistencia Técnica en los procesos de implementación de las certificaciones de calidad, materiales para la capacitación y pasantías."/>
    <s v="DIREPRO"/>
    <n v="1439999.9999999998"/>
    <n v="1455119.9999999998"/>
    <n v="719999.99999999988"/>
    <n v="727559.99999999988"/>
    <n v="287999.99999999994"/>
    <n v="291023.99999999994"/>
    <n v="287999.99999999994"/>
    <n v="291023.99999999994"/>
    <n v="287999.99999999994"/>
    <n v="291023.99999999994"/>
    <n v="287999.99999999994"/>
    <n v="291023.99999999994"/>
    <n v="287999.99999999994"/>
    <n v="291023.99999999994"/>
    <n v="0"/>
    <m/>
    <m/>
    <s v="X"/>
    <m/>
    <s v="RE"/>
    <n v="2"/>
    <n v="1"/>
  </r>
  <r>
    <x v="0"/>
    <x v="0"/>
    <s v="Programas de inversión pública"/>
    <s v="1.1.13"/>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s v="Programa de produccion y tecnolgía para el desarrollo sostenible"/>
    <s v="Programa de promoción de la Asociatividad Empresarial"/>
    <x v="3"/>
    <x v="4"/>
    <s v="COMP 2"/>
    <s v="PRODUCCIÓN"/>
    <s v="ASOCIATIVIDAD"/>
    <s v="C2"/>
    <s v="Organizaciones auto sostenibles"/>
    <n v="48"/>
    <n v="9.6000000000000014"/>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1152000.0000000002"/>
    <n v="1164096.0000000002"/>
    <n v="1440000"/>
    <n v="1455120"/>
    <n v="230400.00000000006"/>
    <n v="232819.20000000004"/>
    <n v="230400.00000000006"/>
    <n v="232819.20000000004"/>
    <n v="230400.00000000006"/>
    <n v="232819.20000000004"/>
    <n v="230400.00000000006"/>
    <n v="232819.20000000004"/>
    <n v="230400.00000000006"/>
    <n v="232819.20000000004"/>
    <n v="0"/>
    <m/>
    <m/>
    <s v="X"/>
    <m/>
    <m/>
    <n v="3"/>
    <n v="1"/>
  </r>
  <r>
    <x v="0"/>
    <x v="0"/>
    <s v="Programas de inversión privada"/>
    <s v="1.1.14"/>
    <s v="Certificación orgánica y  Comercio Justo"/>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s v="Programa de produccion y tecnolgía para el desarrollo sostenible"/>
    <s v="Programa de Asistencia Técnicas para incrementar la capacidad productiva de las principaes cadenas"/>
    <x v="1"/>
    <x v="5"/>
    <s v="COMP 3"/>
    <s v="PRODUCCIÓN"/>
    <s v="MERCADO"/>
    <s v="C9"/>
    <s v="Organizaciones certificadas"/>
    <n v="48"/>
    <n v="19.200000000000003"/>
    <n v="19.200000000000003"/>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3840000.0000000005"/>
    <n v="3880320.0000000005"/>
    <n v="3840000.0000000005"/>
    <n v="3880320.0000000005"/>
    <n v="768000.00000000012"/>
    <n v="776064.00000000012"/>
    <n v="768000.00000000012"/>
    <n v="776064.00000000012"/>
    <n v="768000.00000000012"/>
    <n v="776064.00000000012"/>
    <n v="768000.00000000012"/>
    <n v="776064.00000000012"/>
    <n v="768000.00000000012"/>
    <n v="776064.00000000012"/>
    <n v="0"/>
    <m/>
    <m/>
    <s v="X"/>
    <m/>
    <m/>
    <n v="3"/>
    <n v="1"/>
  </r>
  <r>
    <x v="0"/>
    <x v="0"/>
    <s v="Control y vigilancia"/>
    <s v="1.1.15"/>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68375"/>
    <n v="1750000"/>
    <n v="1768375"/>
    <n v="350000"/>
    <n v="353675"/>
    <n v="350000"/>
    <n v="353675"/>
    <n v="350000"/>
    <n v="353675"/>
    <n v="350000"/>
    <n v="353675"/>
    <n v="350000"/>
    <n v="353675"/>
    <n v="0"/>
    <s v="X"/>
    <m/>
    <m/>
    <m/>
    <m/>
    <n v="2"/>
    <n v="1"/>
  </r>
  <r>
    <x v="0"/>
    <x v="1"/>
    <s v="Invasiones"/>
    <s v="1.2.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2572.6683236398999"/>
    <n v="1286.3341618199499"/>
    <n v="1286.3341618199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72668.3236399"/>
    <n v="2599681.3410381186"/>
    <n v="2572668.3236399"/>
    <n v="2599681.3410381186"/>
    <n v="257266.83236399002"/>
    <n v="259968.1341038119"/>
    <n v="385900.24854598497"/>
    <n v="389952.20115571778"/>
    <n v="514533.66472798004"/>
    <n v="519936.2682076238"/>
    <n v="771800.49709196994"/>
    <n v="779904.40231143555"/>
    <n v="643167.08090997499"/>
    <n v="649920.33525952965"/>
    <n v="0"/>
    <m/>
    <m/>
    <s v="X"/>
    <m/>
    <s v="RE"/>
    <n v="3"/>
    <n v="1"/>
  </r>
  <r>
    <x v="0"/>
    <x v="1"/>
    <s v="Programas de inversión pública"/>
    <s v="1.2.2"/>
    <s v="Promoción y desarrollo de proveedores de semillas mejoradas"/>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s v="Programa de produccion y tecnolgía para el desarrollo sostenible"/>
    <s v="Programa de Asistencia Técnicas para incrementar la capacidad productiva de las principaes cadenas"/>
    <x v="1"/>
    <x v="2"/>
    <s v="COMP 4 "/>
    <s v="PRODUCCIÓN"/>
    <s v="TECNOLOGÍA"/>
    <s v="C17"/>
    <s v="Unidades semilleristas"/>
    <n v="15"/>
    <n v="7.5"/>
    <n v="7.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112500"/>
    <n v="113681.25"/>
    <n v="112500"/>
    <n v="113681.25"/>
    <n v="16875"/>
    <n v="17052.1875"/>
    <n v="22500"/>
    <n v="22736.25"/>
    <n v="22500"/>
    <n v="22736.25"/>
    <n v="28125"/>
    <n v="28420.3125"/>
    <n v="22500"/>
    <n v="22736.25"/>
    <n v="0"/>
    <m/>
    <s v="X"/>
    <m/>
    <m/>
    <s v="RE"/>
    <n v="3"/>
    <n v="1"/>
  </r>
  <r>
    <x v="0"/>
    <x v="1"/>
    <s v="Programas de inversión pública"/>
    <s v="1.2.3"/>
    <s v="Promoción de Sistemas de producción sostenibles"/>
    <s v="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s v="Programa de produccion y tecnolgía para el desarrollo sostenible"/>
    <s v="Programa de Asistencia Técnicas para incrementar la capacidad productiva de las principaes cadenas"/>
    <x v="1"/>
    <x v="1"/>
    <s v="COMP 1"/>
    <s v="PRODUCCIÓN"/>
    <s v="CAPACITACIÓN"/>
    <s v="C3"/>
    <s v="Productores asistidos"/>
    <n v="5747"/>
    <n v="2586.15"/>
    <n v="3160.850000000000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448244"/>
    <n v="1463450.5619999999"/>
    <n v="1770076.0000000002"/>
    <n v="1788661.7980000002"/>
    <n v="289648.8"/>
    <n v="292690.11239999998"/>
    <n v="289648.8"/>
    <n v="292690.11239999998"/>
    <n v="289648.8"/>
    <n v="292690.11239999998"/>
    <n v="289648.8"/>
    <n v="292690.11239999998"/>
    <n v="289648.8"/>
    <n v="292690.11239999998"/>
    <n v="0"/>
    <m/>
    <m/>
    <s v="X"/>
    <m/>
    <s v="RE"/>
    <n v="3"/>
    <n v="1"/>
  </r>
  <r>
    <x v="0"/>
    <x v="1"/>
    <s v="Programas de inversión privada"/>
    <s v="1.2.4"/>
    <s v="Reconversión y diversificación productiva "/>
    <s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s v="Programa de produccion y tecnolgía para el desarrollo sostenible"/>
    <s v="Programa de Asistencia Técnicas para incrementar la capacidad productiva de las principaes cadenas"/>
    <x v="1"/>
    <x v="2"/>
    <s v="COMP 4 "/>
    <s v="PRODUCCIÓN"/>
    <s v="RECONVERSIÓN"/>
    <s v="C12"/>
    <s v="Hectáreas reconvertidas"/>
    <n v="5844"/>
    <n v="584.4"/>
    <n v="584.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8766000"/>
    <n v="8858043"/>
    <n v="8766000"/>
    <n v="8858043"/>
    <n v="1753200"/>
    <n v="1771608.5999999999"/>
    <n v="1753200"/>
    <n v="1771608.5999999999"/>
    <n v="1753200"/>
    <n v="1771608.5999999999"/>
    <n v="1753200"/>
    <n v="1771608.5999999999"/>
    <n v="1753200"/>
    <n v="1771608.5999999999"/>
    <n v="0"/>
    <m/>
    <m/>
    <s v="X"/>
    <m/>
    <s v="RE"/>
    <n v="3"/>
    <n v="1"/>
  </r>
  <r>
    <x v="0"/>
    <x v="1"/>
    <s v="Ingresos y Capital"/>
    <s v="1.2.5"/>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s v="Programa de produccion y tecnolgía para el desarrollo sostenible"/>
    <s v="Programa de acceso al crédito"/>
    <x v="2"/>
    <x v="3"/>
    <s v="COMP 11"/>
    <s v="PRODUCCIÓN"/>
    <s v="FINANCIAMIENTO"/>
    <s v="C6"/>
    <s v="Productores atendidos"/>
    <n v="5747"/>
    <n v="1724.1"/>
    <n v="1149.40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8534075"/>
    <n v="18728682.787499998"/>
    <n v="12356050.000000002"/>
    <n v="12485788.525000002"/>
    <n v="1853407.5"/>
    <n v="1872868.2787499998"/>
    <n v="2780111.25"/>
    <n v="2809302.4181249999"/>
    <n v="3706815"/>
    <n v="3745736.5574999996"/>
    <n v="4633518.75"/>
    <n v="4682170.6968749994"/>
    <n v="5560222.5"/>
    <n v="5618604.8362499997"/>
    <n v="0"/>
    <s v="X"/>
    <m/>
    <m/>
    <m/>
    <s v="RE"/>
    <n v="3"/>
    <n v="1"/>
  </r>
  <r>
    <x v="0"/>
    <x v="1"/>
    <s v="Programas de inversión pública"/>
    <s v="1.2.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
    <s v="NR"/>
    <s v="Programa de produccion y tecnolgía para el desarrollo sostenible"/>
    <s v="Programa de promoción de la Asociatividad Empresarial"/>
    <x v="3"/>
    <x v="4"/>
    <s v="COMP 2"/>
    <s v="PRODUCCIÓN"/>
    <s v="ASOCIATIVIDAD"/>
    <s v="C2"/>
    <s v="Organizaciones formalizadas y fortalecidas"/>
    <n v="3"/>
    <n v="3"/>
    <n v="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n v="1800000"/>
    <n v="1818900"/>
    <n v="2400000"/>
    <n v="2425200"/>
    <n v="360000"/>
    <n v="363780"/>
    <n v="360000"/>
    <n v="363780"/>
    <n v="360000"/>
    <n v="363780"/>
    <n v="360000"/>
    <n v="363780"/>
    <n v="360000"/>
    <n v="363780"/>
    <n v="0"/>
    <m/>
    <m/>
    <s v="X"/>
    <m/>
    <m/>
    <n v="3"/>
    <n v="1"/>
  </r>
  <r>
    <x v="0"/>
    <x v="1"/>
    <s v="Programas de inversión privada"/>
    <s v="1.2.7"/>
    <s v="Implementación de infraestructura productiva baja en emisiones"/>
    <s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s v="Programa de produccion y tecnolgía para el desarrollo sostenible"/>
    <s v="Programa de Asistencia Técnicas para incrementar la capacidad productiva de las principaes cadenas"/>
    <x v="1"/>
    <x v="2"/>
    <s v="COMP 4 "/>
    <s v="PRODUCCIÓN"/>
    <s v="INFRAESTRUCTURA"/>
    <s v="C7"/>
    <s v="Planes de negocios ejecutados"/>
    <n v="0"/>
    <n v="3"/>
    <n v="4"/>
    <n v="15000"/>
    <s v="Para el logro de los objetivos, se considera el pago de profesionales para la formulación de los planes de negocios que beneficiarían directamente a los pequeños productores."/>
    <n v="0"/>
    <n v="225000"/>
    <n v="227362.5"/>
    <n v="300000"/>
    <n v="303150"/>
    <n v="112500"/>
    <n v="113681.25"/>
    <n v="0"/>
    <n v="0"/>
    <n v="112500"/>
    <n v="113681.25"/>
    <n v="0"/>
    <n v="0"/>
    <n v="0"/>
    <n v="0"/>
    <n v="0"/>
    <s v="X"/>
    <m/>
    <m/>
    <m/>
    <m/>
    <n v="3"/>
    <n v="1"/>
  </r>
  <r>
    <x v="0"/>
    <x v="1"/>
    <s v="Control y vigilancia"/>
    <s v="1.2.8"/>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68375"/>
    <n v="1750000"/>
    <n v="1768375"/>
    <n v="350000"/>
    <n v="353675"/>
    <n v="350000"/>
    <n v="353675"/>
    <n v="350000"/>
    <n v="353675"/>
    <n v="350000"/>
    <n v="353675"/>
    <n v="350000"/>
    <n v="353675"/>
    <n v="0"/>
    <s v="X"/>
    <m/>
    <m/>
    <m/>
    <m/>
    <n v="2"/>
    <n v="1"/>
  </r>
  <r>
    <x v="0"/>
    <x v="2"/>
    <s v="Invasiones"/>
    <s v="1.3.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5860.2605324035703"/>
    <n v="2930.1302662017852"/>
    <n v="2930.13026620178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860260.5324035706"/>
    <n v="5921793.2679938078"/>
    <n v="5860260.5324035706"/>
    <n v="5921793.2679938078"/>
    <n v="586026.05324035708"/>
    <n v="592179.32679938083"/>
    <n v="879039.07986053557"/>
    <n v="888268.99019907112"/>
    <n v="1172052.1064807142"/>
    <n v="1184358.6535987617"/>
    <n v="1758078.1597210711"/>
    <n v="1776537.9803981422"/>
    <n v="1465065.1331008926"/>
    <n v="1480448.3169984519"/>
    <n v="0"/>
    <m/>
    <m/>
    <s v="X"/>
    <m/>
    <s v="RE"/>
    <n v="3"/>
    <n v="1"/>
  </r>
  <r>
    <x v="0"/>
    <x v="2"/>
    <s v="Programas de inversión pública"/>
    <s v="1.3.2"/>
    <s v="Asistencia técnica para el mejoramiento de pastos y ganadería "/>
    <s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s v="Programa de produccion y tecnolgía para el desarrollo sostenible"/>
    <s v="Programa de Asistencia Técnicas para incrementar la capacidad productiva de las principaes cadenas"/>
    <x v="1"/>
    <x v="1"/>
    <s v="COMP 1"/>
    <s v="PRODUCCIÓN"/>
    <s v="ASISTENCIA TÉCNICA"/>
    <s v="C1"/>
    <s v="Ganaderos asistidos"/>
    <n v="2375"/>
    <n v="1425"/>
    <n v="950"/>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8000"/>
    <n v="806379"/>
    <n v="532000"/>
    <n v="537586"/>
    <n v="159600"/>
    <n v="161275.79999999999"/>
    <n v="159600"/>
    <n v="161275.79999999999"/>
    <n v="159600"/>
    <n v="161275.79999999999"/>
    <n v="159600"/>
    <n v="161275.79999999999"/>
    <n v="159600"/>
    <n v="161275.79999999999"/>
    <n v="0"/>
    <m/>
    <m/>
    <s v="X"/>
    <m/>
    <s v="RE"/>
    <n v="3"/>
    <n v="1"/>
  </r>
  <r>
    <x v="0"/>
    <x v="2"/>
    <s v="Programas de inversión pública"/>
    <s v="1.3.3"/>
    <s v="Manejo, conservación y recuperación de suelos degradados"/>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s v="Programa de produccion y tecnolgía para el desarrollo sostenible"/>
    <s v="Programa de Asistencia Técnicas para incrementar la capacidad productiva de las principaes cadenas"/>
    <x v="1"/>
    <x v="1"/>
    <s v="COMP 1"/>
    <s v="PRODUCCIÓN"/>
    <s v="TECNOLOGÍA"/>
    <s v="C17"/>
    <s v="Hectáreas intervenidas"/>
    <n v="71251"/>
    <n v="14250.2"/>
    <n v="14250.2"/>
    <n v="500"/>
    <s v="El costo incluye adquisición de semillas, insumos, fertilizantes, entre otras para la producción de plantas agroforestales o coberturas  verdes."/>
    <s v="DRASAM, ICT"/>
    <n v="7125100"/>
    <n v="7199913.5499999998"/>
    <n v="7125100"/>
    <n v="7199913.5499999998"/>
    <n v="1068765"/>
    <n v="1079987.0325"/>
    <n v="1068765"/>
    <n v="1079987.0325"/>
    <n v="1425020"/>
    <n v="1439982.71"/>
    <n v="1781275"/>
    <n v="1799978.3875"/>
    <n v="1781275"/>
    <n v="1799978.3875"/>
    <n v="0"/>
    <m/>
    <m/>
    <s v="X"/>
    <m/>
    <s v="RE"/>
    <n v="3"/>
    <n v="1"/>
  </r>
  <r>
    <x v="0"/>
    <x v="2"/>
    <s v="Programas de inversión pública"/>
    <s v="1.3.4"/>
    <s v="Mejoramiento genético de ganado bovino"/>
    <s v=" Reactivación, implementación y gestión de las postas de inseminación artificial, material genético, capacitación y entrenamiento a inseminadores (certificar por competencia a través del SINEACE), transferencia de embriones a las granjas de los productores y asistencia técnica."/>
    <s v="R"/>
    <s v="Programa de produccion y tecnolgía para el desarrollo sostenible"/>
    <s v="Programa de Asistencia Técnicas para incrementar la capacidad productiva de las principaes cadenas"/>
    <x v="1"/>
    <x v="2"/>
    <s v="COMP 4 "/>
    <s v="PRODUCCIÓN"/>
    <s v="TECNOLOGÍA"/>
    <s v="C17"/>
    <s v="Postas activas y operativas"/>
    <n v="0"/>
    <n v="21"/>
    <n v="21"/>
    <n v="54800"/>
    <s v="Costo por posta reactivada y/o instalada, cada una estará ubicada en punto estratégico para cobertura la mayor cantidad de ganaderos. Considerando la implementación con tanques criogénicos, materiales diversos, pajillas, técnico especialista, movilidad entre otros. "/>
    <s v="DIREPRO"/>
    <n v="5754000"/>
    <n v="5814417"/>
    <n v="5754000"/>
    <n v="5814417"/>
    <n v="1150800"/>
    <n v="1162883.3999999999"/>
    <n v="1150800"/>
    <n v="1162883.3999999999"/>
    <n v="1150800"/>
    <n v="1162883.3999999999"/>
    <n v="1150800"/>
    <n v="1162883.3999999999"/>
    <n v="1150800"/>
    <n v="1162883.3999999999"/>
    <n v="0"/>
    <m/>
    <s v="X"/>
    <m/>
    <m/>
    <m/>
    <n v="3"/>
    <n v="1"/>
  </r>
  <r>
    <x v="0"/>
    <x v="2"/>
    <s v="Ingresos y Capital"/>
    <s v="1.3.5"/>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s v="Programa de produccion y tecnolgía para el desarrollo sostenible"/>
    <s v="Programa de acceso al crédito"/>
    <x v="2"/>
    <x v="3"/>
    <s v="COMP 11"/>
    <s v="PRODUCCIÓN"/>
    <s v="FINANCIAMIENTO"/>
    <s v="C6"/>
    <s v="Ganaderos atendidos"/>
    <n v="2375"/>
    <n v="712.5"/>
    <n v="47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7659375"/>
    <n v="7739798.4375"/>
    <n v="5106250"/>
    <n v="5159865.625"/>
    <n v="765937.5"/>
    <n v="773979.84375"/>
    <n v="1148906.25"/>
    <n v="1160969.765625"/>
    <n v="1148906.25"/>
    <n v="1160969.765625"/>
    <n v="2297812.5"/>
    <n v="2321939.53125"/>
    <n v="2297812.5"/>
    <n v="2321939.53125"/>
    <n v="0"/>
    <s v="X"/>
    <m/>
    <m/>
    <m/>
    <s v="RE"/>
    <n v="3"/>
    <n v="1"/>
  </r>
  <r>
    <x v="0"/>
    <x v="2"/>
    <s v="Programas de inversión pública"/>
    <s v="1.3.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s v="Programa de produccion y tecnolgía para el desarrollo sostenible"/>
    <s v="Programa de promoción de la Asociatividad Empresarial"/>
    <x v="3"/>
    <x v="4"/>
    <s v="COMP 2"/>
    <s v="PRODUCCIÓN"/>
    <s v="ASOCIATIVIDAD"/>
    <s v="C2"/>
    <s v="Organizaciones fortalecidas"/>
    <n v="24"/>
    <n v="10.8"/>
    <n v="7.1999999999999993"/>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6480000"/>
    <n v="6548040"/>
    <n v="4319999.9999999991"/>
    <n v="4365359.9999999991"/>
    <n v="1296000"/>
    <n v="1309608"/>
    <n v="1296000"/>
    <n v="1309608"/>
    <n v="1296000"/>
    <n v="1309608"/>
    <n v="1296000"/>
    <n v="1309608"/>
    <n v="1296000"/>
    <n v="1309608"/>
    <n v="0"/>
    <m/>
    <m/>
    <s v="X"/>
    <m/>
    <m/>
    <n v="3"/>
    <n v="1"/>
  </r>
  <r>
    <x v="0"/>
    <x v="2"/>
    <s v="Programas de inversión privada"/>
    <s v="1.3.7"/>
    <s v="Implementación de infraestructura productiva baja en emisiones"/>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s v="Programa de produccion y tecnolgía para el desarrollo sostenible"/>
    <s v="Programa de Asistencia Técnicas para incrementar la capacidad productiva de las principaes cadenas"/>
    <x v="1"/>
    <x v="2"/>
    <s v="COMP 4 "/>
    <s v="PRODUCCIÓN"/>
    <s v="TECNOLOGÍA"/>
    <s v="C17"/>
    <s v="Planes de negocios implementados"/>
    <n v="0"/>
    <n v="20"/>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6000000"/>
    <n v="16168000"/>
    <n v="8000000"/>
    <n v="8084000"/>
    <n v="3200000"/>
    <n v="3233600"/>
    <n v="3200000"/>
    <n v="3233600"/>
    <n v="3200000"/>
    <n v="3233600"/>
    <n v="3200000"/>
    <n v="3233600"/>
    <n v="3200000"/>
    <n v="3233600"/>
    <n v="0"/>
    <s v="X"/>
    <m/>
    <m/>
    <m/>
    <s v="RE"/>
    <n v="3"/>
    <n v="1"/>
  </r>
  <r>
    <x v="0"/>
    <x v="2"/>
    <s v="Control y vigilancia"/>
    <s v="1.3.8"/>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68375"/>
    <n v="1750000"/>
    <n v="1768375"/>
    <n v="350000"/>
    <n v="353675"/>
    <n v="350000"/>
    <n v="353675"/>
    <n v="350000"/>
    <n v="353675"/>
    <n v="350000"/>
    <n v="353675"/>
    <n v="350000"/>
    <n v="353675"/>
    <n v="0"/>
    <s v="X"/>
    <m/>
    <m/>
    <m/>
    <m/>
    <n v="2"/>
    <n v="1"/>
  </r>
  <r>
    <x v="0"/>
    <x v="3"/>
    <s v="Invasiones"/>
    <s v="1.4.1"/>
    <s v="Concluir reconocimiento y titulación "/>
    <s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_x000a_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
    <s v="NR"/>
    <s v="Programa de incentivos públicos promoviendo el bienestrar sostenible de sus habilitantes"/>
    <s v="Programa de regulización, formalizacion y saneamiento de predios"/>
    <x v="0"/>
    <x v="0"/>
    <s v="COMP 8"/>
    <s v="PROTECCIÓN-GOBERNANZA"/>
    <s v="DERECHOS SOBRE LA TIERRA"/>
    <s v="C5"/>
    <s v="Comunidades tituladas"/>
    <n v="63"/>
    <n v="63"/>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4488750"/>
    <n v="4535881.875"/>
    <n v="0"/>
    <n v="0"/>
    <n v="897750"/>
    <n v="907176.375"/>
    <n v="897750"/>
    <n v="907176.375"/>
    <n v="897750"/>
    <n v="907176.375"/>
    <n v="897750"/>
    <n v="907176.375"/>
    <n v="897750"/>
    <n v="907176.375"/>
    <n v="0"/>
    <m/>
    <m/>
    <s v="X"/>
    <m/>
    <m/>
    <n v="3"/>
    <n v="1"/>
  </r>
  <r>
    <x v="0"/>
    <x v="3"/>
    <s v="Programas de inversión pública"/>
    <s v="1.4.2"/>
    <s v="Asistencia técnica para el manejo agroforestal "/>
    <s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s v="Programa  de Gestion sostenible de los bosques amazónicos frente al cambio climatico."/>
    <s v="Programa de Asistencia Técnica para la recuperación de bosques"/>
    <x v="4"/>
    <x v="6"/>
    <s v="COMP 5"/>
    <s v="PROTECCIÓN"/>
    <s v="ASISTENCIA TÉCNICA"/>
    <s v="C1"/>
    <s v="Productor asistido"/>
    <n v="6900"/>
    <n v="4140"/>
    <n v="276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318400"/>
    <n v="2342743.1999999997"/>
    <n v="1545600"/>
    <n v="1561828.7999999998"/>
    <n v="463680"/>
    <n v="468548.63999999996"/>
    <n v="463680"/>
    <n v="468548.63999999996"/>
    <n v="463680"/>
    <n v="468548.63999999996"/>
    <n v="463680"/>
    <n v="468548.63999999996"/>
    <n v="463680"/>
    <n v="468548.63999999996"/>
    <n v="0"/>
    <m/>
    <m/>
    <s v="X"/>
    <m/>
    <s v="RE"/>
    <n v="3"/>
    <n v="1"/>
  </r>
  <r>
    <x v="0"/>
    <x v="3"/>
    <s v="Programas de inversión privada"/>
    <s v="1.4.3"/>
    <s v="Promoción de Bionegocios con productos forestales no maderables "/>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s v="Programa  de Gestion sostenible de los bosques amazónicos frente al cambio climatico."/>
    <s v="Programa de Emprendimientos que coadyuvan a la sostebilidad de los Bossques"/>
    <x v="5"/>
    <x v="7"/>
    <s v="COMP 6"/>
    <s v="PROTECCIÓN"/>
    <s v="INNOVACIÓN"/>
    <s v="C8"/>
    <s v="Planes de negocio"/>
    <n v="0"/>
    <n v="40"/>
    <n v="40"/>
    <n v="15000"/>
    <s v="Se contratará profesionales para el asesoramiento y formulación de planes de negocios de las Comunidades Nativas."/>
    <s v="Drasam, Agroideas"/>
    <n v="600000"/>
    <n v="606300"/>
    <n v="600000"/>
    <n v="606300"/>
    <n v="120000"/>
    <n v="121260"/>
    <n v="120000"/>
    <n v="121260"/>
    <n v="120000"/>
    <n v="121260"/>
    <n v="120000"/>
    <n v="121260"/>
    <n v="120000"/>
    <n v="121260"/>
    <n v="0"/>
    <s v="X"/>
    <m/>
    <m/>
    <m/>
    <s v="RE"/>
    <n v="2"/>
    <n v="1"/>
  </r>
  <r>
    <x v="0"/>
    <x v="3"/>
    <s v="Programas de inversión pública"/>
    <s v="1.4.4"/>
    <s v="Fortalecimiento de capacidades"/>
    <s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s v="Programa de produccion y tecnolgía para el desarrollo sostenible"/>
    <s v="Programa de promoción de la Asociatividad Empresarial"/>
    <x v="3"/>
    <x v="4"/>
    <s v="COMP 2"/>
    <s v="PRODUCCIÓN"/>
    <s v="ASOCIATIVIDAD"/>
    <s v="C2"/>
    <s v="Comunidades fortalecidas"/>
    <n v="66"/>
    <n v="39.6"/>
    <n v="26.400000000000002"/>
    <n v="288000"/>
    <s v="Contratación de especialistas para dar acompañamiento y seguimiento a los procesos organizativos de las CCNN de forma permanente."/>
    <s v="Drasam, Direpro, Dircetur, ARA, CODEPISAM"/>
    <n v="1440000"/>
    <n v="1455120"/>
    <n v="1440000"/>
    <n v="1455120"/>
    <n v="288000"/>
    <n v="291024"/>
    <n v="288000"/>
    <n v="291024"/>
    <n v="288000"/>
    <n v="291024"/>
    <n v="288000"/>
    <n v="291024"/>
    <n v="288000"/>
    <n v="291024"/>
    <n v="0"/>
    <m/>
    <m/>
    <s v="X"/>
    <m/>
    <s v="RE"/>
    <n v="2"/>
    <n v="1"/>
  </r>
  <r>
    <x v="0"/>
    <x v="3"/>
    <s v="Programas de inversión privada"/>
    <s v="1.4.5"/>
    <s v="Identificación y apertura de mercado para productos del bosque."/>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s v="Programa de produccion y tecnolgía para el desarrollo sostenible"/>
    <s v="Programa de Asistencia Técnicas para incrementar la capacidad productiva de las principaes cadenas"/>
    <x v="1"/>
    <x v="5"/>
    <s v="COMP 3"/>
    <s v="PRODUCCIÓN"/>
    <s v="MERCADO"/>
    <s v="C9"/>
    <s v="Especialistas"/>
    <n v="0"/>
    <n v="5"/>
    <n v="5"/>
    <n v="3500"/>
    <s v="Contratación de especialista para identificación, acompañamiento y seguimiento a los procesos comerciales iniciados por las organizaciones de las CCNN"/>
    <s v="Drasam, Direpro, Dircetur, ARA, OPIPs"/>
    <n v="1050000"/>
    <n v="1061025"/>
    <n v="1050000"/>
    <n v="1061025"/>
    <n v="210000"/>
    <n v="212205"/>
    <n v="210000"/>
    <n v="212205"/>
    <n v="210000"/>
    <n v="212205"/>
    <n v="210000"/>
    <n v="212205"/>
    <n v="210000"/>
    <n v="212205"/>
    <n v="0"/>
    <s v="X"/>
    <m/>
    <m/>
    <m/>
    <s v="RE"/>
    <n v="2"/>
    <n v="1"/>
  </r>
  <r>
    <x v="0"/>
    <x v="3"/>
    <s v="Invasiones"/>
    <s v="1.4.6"/>
    <s v="Transferencias de Incentivos para protección de bosques"/>
    <s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
    <s v="NR"/>
    <s v="Programa  de Gestion sostenible de los bosques amazónicos frente al cambio climatico."/>
    <s v="Programa de incentivos para la protección de bosques"/>
    <x v="6"/>
    <x v="3"/>
    <s v="COMP 11"/>
    <s v="PROTECCIÓN"/>
    <s v="FINANCIAMIENTO"/>
    <s v="C6"/>
    <s v="Comunidades atendidas"/>
    <n v="9"/>
    <n v="30"/>
    <n v="27"/>
    <n v="5000"/>
    <s v="El costo esta referido a los gastos administrativos y logísticos que impliquen la elaboración del expediente para ser presentado a los programas de incentivos. "/>
    <s v="Gerencia Regional de Desarrollo Social, Programa Geo bosques, CODEPISAM"/>
    <n v="750000"/>
    <n v="757875"/>
    <n v="675000"/>
    <n v="682087.5"/>
    <n v="150000"/>
    <n v="151575"/>
    <n v="150000"/>
    <n v="151575"/>
    <n v="150000"/>
    <n v="151575"/>
    <n v="150000"/>
    <n v="151575"/>
    <n v="150000"/>
    <n v="151575"/>
    <n v="0"/>
    <m/>
    <m/>
    <s v="X"/>
    <m/>
    <m/>
    <n v="3"/>
    <n v="1"/>
  </r>
  <r>
    <x v="0"/>
    <x v="3"/>
    <s v="Programas de inversión pública"/>
    <s v="1.4.7"/>
    <s v="Infraestructura comunitaria ( Tambos, Cobertizos, almacenes, cocinas mejoradas, Baños)"/>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s v="Programa de incentivos públicos promoviendo el bienestrar sostenible de sus habilitantes"/>
    <s v="Programa de Infraestructura para la Competitividad "/>
    <x v="7"/>
    <x v="8"/>
    <s v="COMP 9"/>
    <s v="INCLUSION"/>
    <s v="SERVICIO DE EDUCACIÓN Y SALUD ADECUADOS"/>
    <s v="C14"/>
    <s v="Módulos implementados"/>
    <n v="6600"/>
    <n v="1980"/>
    <n v="2640"/>
    <n v="30000"/>
    <s v="Implementación según las necesidades identificadas en cada comunidad, considerando si son aplicables en dichas zonas, si no hay restricciones de cualquier índole. "/>
    <s v="Goresam, MIDIS, DRTyTC, Drasam,Foncodes, Cooperación, CODEPISAM"/>
    <n v="59400000"/>
    <n v="60023700"/>
    <n v="79200000"/>
    <n v="80031600"/>
    <n v="11880000"/>
    <n v="12004740"/>
    <n v="11880000"/>
    <n v="12004740"/>
    <n v="11880000"/>
    <n v="12004740"/>
    <n v="11880000"/>
    <n v="12004740"/>
    <n v="11880000"/>
    <n v="12004740"/>
    <n v="0"/>
    <m/>
    <m/>
    <s v="X"/>
    <m/>
    <m/>
    <n v="2"/>
    <n v="1"/>
  </r>
  <r>
    <x v="0"/>
    <x v="3"/>
    <s v="Programas de inversión pública"/>
    <s v="1.4.8"/>
    <s v="Servicios básicos de calidad"/>
    <s v="Implementación de proyectos enfocados a mejorar los servicios básicos de las comunidades nativas, dichos servicios deberán contar con profesionales bilingües, para asegurar y garantizar la adecuada transferencia de dichos servicios.  "/>
    <s v="NR"/>
    <s v="Programa de incentivos públicos promoviendo el bienestrar sostenible de sus habilitantes"/>
    <s v="Programa de Infraestructura para la Competitividad "/>
    <x v="7"/>
    <x v="8"/>
    <s v="COMP 9"/>
    <s v="INCLUSION"/>
    <s v="SERVICIO DE EDUCACIÓN Y SALUD ADECUADOS"/>
    <s v="C14"/>
    <s v="Escuelas y postas médicas implementadas"/>
    <n v="66"/>
    <n v="36"/>
    <n v="30"/>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7000000"/>
    <n v="27283500"/>
    <n v="22500000"/>
    <n v="22736250"/>
    <n v="5400000"/>
    <n v="5456700"/>
    <n v="5400000"/>
    <n v="5456700"/>
    <n v="5400000"/>
    <n v="5456700"/>
    <n v="5400000"/>
    <n v="5456700"/>
    <n v="5400000"/>
    <n v="5456700"/>
    <n v="0"/>
    <s v="X"/>
    <m/>
    <m/>
    <m/>
    <s v="RE"/>
    <n v="3"/>
    <n v="1"/>
  </r>
  <r>
    <x v="0"/>
    <x v="4"/>
    <s v="Programas de inversión privada"/>
    <s v="1.5.1"/>
    <s v="Incentivos financieros par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s v="Programa  de Gestion sostenible de los bosques amazónicos frente al cambio climatico."/>
    <s v="Programa de incentivos para la protección de bosques"/>
    <x v="6"/>
    <x v="3"/>
    <s v="COMP 11"/>
    <s v="PROTECCIÓN"/>
    <s v="FINANCIAMIENTO"/>
    <s v="C6"/>
    <s v="Planes de negocio"/>
    <n v="14"/>
    <n v="8.4"/>
    <n v="5.6000000000000005"/>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260000"/>
    <n v="1273230"/>
    <n v="840000.00000000012"/>
    <n v="848820.00000000012"/>
    <n v="252000"/>
    <n v="254646"/>
    <n v="252000"/>
    <n v="254646"/>
    <n v="252000"/>
    <n v="254646"/>
    <n v="252000"/>
    <n v="254646"/>
    <n v="252000"/>
    <n v="254646"/>
    <n v="0"/>
    <s v="X"/>
    <m/>
    <m/>
    <m/>
    <s v="RE"/>
    <n v="2"/>
    <n v="1"/>
  </r>
  <r>
    <x v="0"/>
    <x v="4"/>
    <s v="Programas de inversión pública"/>
    <s v="1.5.2"/>
    <s v="Asistencia técnica para la gestión del turismo y acciones integradas para el desarrollo de las organizaciones  o emprendimientos comunitarios"/>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s v="Programa  de Gestion sostenible de los bosques amazónicos frente al cambio climatico."/>
    <s v="Programa de Asistencia Técnica para la recuperación de bosques"/>
    <x v="4"/>
    <x v="6"/>
    <s v="COMP 5"/>
    <s v="PROTECCIÓN"/>
    <s v="ASISTENCIA TÉCNICA"/>
    <s v="C1"/>
    <s v="Especialistas"/>
    <n v="0"/>
    <n v="3"/>
    <n v="3"/>
    <n v="4000"/>
    <s v="Contratación de especialista y gastos logísticos, pasantías regionales y nacionales para adquisición de know how en materia de turismo rural"/>
    <s v="Dircetur"/>
    <n v="720000"/>
    <n v="727560"/>
    <n v="720000"/>
    <n v="727560"/>
    <n v="144000"/>
    <n v="145512"/>
    <n v="144000"/>
    <n v="145512"/>
    <n v="144000"/>
    <n v="145512"/>
    <n v="144000"/>
    <n v="145512"/>
    <n v="144000"/>
    <n v="145512"/>
    <n v="0"/>
    <m/>
    <m/>
    <s v="X"/>
    <m/>
    <s v="RE"/>
    <n v="3"/>
    <n v="1"/>
  </r>
  <r>
    <x v="0"/>
    <x v="4"/>
    <s v="Programas de inversión privada"/>
    <s v="1.5.3"/>
    <s v="Promoción de Bionegocios con productos forestales no maderables "/>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s v="Programa  de Gestion sostenible de los bosques amazónicos frente al cambio climatico."/>
    <s v="Programa de Emprendimientos que coadyuvan a la sostebilidad de los Bossques"/>
    <x v="5"/>
    <x v="7"/>
    <s v="COMP 6"/>
    <s v="PROTECCIÓN"/>
    <s v="INNOVACIÓN"/>
    <s v="C8"/>
    <s v="Planes de negocio"/>
    <n v="0"/>
    <n v="7"/>
    <n v="7"/>
    <n v="150000"/>
    <s v="El costo hace referencia al proceso de implementación y funcionamiento de los productos para el desarrollo de  los emprendimientos."/>
    <s v="Dircetur, Agroideas"/>
    <n v="1050000"/>
    <n v="1061025"/>
    <n v="1050000"/>
    <n v="1061025"/>
    <n v="210000"/>
    <n v="212205"/>
    <n v="210000"/>
    <n v="212205"/>
    <n v="210000"/>
    <n v="212205"/>
    <n v="210000"/>
    <n v="212205"/>
    <n v="210000"/>
    <n v="212205"/>
    <n v="0"/>
    <s v="X"/>
    <m/>
    <m/>
    <m/>
    <s v="RE"/>
    <n v="3"/>
    <n v="1"/>
  </r>
  <r>
    <x v="0"/>
    <x v="4"/>
    <s v="Programas de inversión privada"/>
    <s v="1.5.4"/>
    <s v=" Promoción de mercados turísticos"/>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s v="Programa  de Gestion sostenible de los bosques amazónicos frente al cambio climatico."/>
    <s v="Programa de Emprendimientos que coadyuvan a la sostebilidad de los Bossques"/>
    <x v="5"/>
    <x v="7"/>
    <s v="COMP 6"/>
    <s v="PROTECCIÓN"/>
    <s v="PROMOCIÓN ACTIVIDADES ECONÓMICOS"/>
    <s v="C11"/>
    <s v="Rutas turísticas promocionados"/>
    <n v="0"/>
    <n v="7"/>
    <n v="7"/>
    <n v="40000"/>
    <s v="Participación en eventos de promoción (ferias regionales y nacionales, Fam Trip), el costo cubrirá gastos logísticos y administrativos de los operadores turísticos identificados "/>
    <s v="Mincetur, Dircetur"/>
    <n v="1400000"/>
    <n v="1414700"/>
    <n v="1400000"/>
    <n v="1414700"/>
    <n v="280000"/>
    <n v="282940"/>
    <n v="280000"/>
    <n v="282940"/>
    <n v="280000"/>
    <n v="282940"/>
    <n v="280000"/>
    <n v="282940"/>
    <n v="280000"/>
    <n v="282940"/>
    <n v="0"/>
    <m/>
    <m/>
    <s v="X"/>
    <m/>
    <s v="RE"/>
    <n v="3"/>
    <n v="1"/>
  </r>
  <r>
    <x v="0"/>
    <x v="5"/>
    <s v="Invasiones"/>
    <s v="1.6.1"/>
    <s v="Exclusión y compensación de concesiones forestales maderables a solicitud del concesionario"/>
    <s v="Realizar un sinceramiento de las concesiones forestales activas e inactivas para excluir o realizar nuevos otorgamientos a empresas que puedan cumplir técnica y económicamente con lo predispuesto en la directiva."/>
    <s v="NR"/>
    <s v="Programa de incentivos públicos promoviendo el bienestrar sostenible de sus habilitantes"/>
    <s v="Programa de regulización, formalizacion y saneamiento de predios"/>
    <x v="0"/>
    <x v="0"/>
    <s v="COMP 8"/>
    <s v="PROTECCIÓN-GOBERNANZA"/>
    <s v="DERECHOS SOBRE LA TIERRA"/>
    <s v="C5"/>
    <s v="N° de concesiones "/>
    <n v="0"/>
    <n v="9"/>
    <n v="10"/>
    <n v="30000"/>
    <s v="Gastos operativos y logísticos para la elaboración de expedientes técnicos sustentatorios para los procesos legales y administrativos que conllevan dicho procedimiento."/>
    <s v="ARA, SERFOR, MINAM"/>
    <n v="270000"/>
    <n v="272835"/>
    <n v="300000"/>
    <n v="303150"/>
    <n v="54000"/>
    <n v="54567"/>
    <n v="108000"/>
    <n v="109134"/>
    <n v="108000"/>
    <n v="109134"/>
    <n v="0"/>
    <n v="0"/>
    <n v="0"/>
    <n v="0"/>
    <n v="0"/>
    <m/>
    <m/>
    <s v="X"/>
    <m/>
    <m/>
    <n v="3"/>
    <n v="1"/>
  </r>
  <r>
    <x v="0"/>
    <x v="5"/>
    <s v="Programas de inversión privada"/>
    <s v="1.6.2"/>
    <s v="Incentivos financieros para manejo forestal sostenible"/>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s v="Programa  de Gestion sostenible de los bosques amazónicos frente al cambio climatico."/>
    <s v="Programa de incentivos para la protección de bosques"/>
    <x v="6"/>
    <x v="3"/>
    <s v="COMP 11"/>
    <s v="PROTECCIÓN"/>
    <s v="FINANCIAMIENTO"/>
    <s v="C6"/>
    <s v="Créditos otorgados"/>
    <n v="0"/>
    <n v="5"/>
    <n v="10"/>
    <n v="150000"/>
    <s v="El costo incluye los gastos operativos y logísticos para la extracción de la madera de acuerdo al plan de extracción y la implementación de los planes de manejo. ambiental."/>
    <s v="ARA, SERFOR, MINAM"/>
    <n v="750000"/>
    <n v="757875"/>
    <n v="1500000"/>
    <n v="1515750"/>
    <n v="150000"/>
    <n v="151575"/>
    <n v="150000"/>
    <n v="151575"/>
    <n v="150000"/>
    <n v="151575"/>
    <n v="150000"/>
    <n v="151575"/>
    <n v="150000"/>
    <n v="151575"/>
    <n v="0"/>
    <s v="X"/>
    <m/>
    <m/>
    <m/>
    <s v="RE"/>
    <n v="3"/>
    <n v="1"/>
  </r>
  <r>
    <x v="0"/>
    <x v="5"/>
    <s v="Programas de inversión pública"/>
    <s v="1.6.3"/>
    <s v="Nuevos mecanismos de pagos de deudas por sanciones"/>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inactivas, al menos el 60% se reactiven y cierren los contratos pendientes por ejecutar. "/>
    <s v="R"/>
    <s v="Programa de incentivos públicos promoviendo el bienestrar sostenible de sus habilitantes"/>
    <s v="Programa de regulización, formalizacion y saneamiento de predios"/>
    <x v="0"/>
    <x v="0"/>
    <s v="COMP 8"/>
    <s v="HABILITANTE"/>
    <s v="GESTIÓN PUBLICA"/>
    <s v="C21"/>
    <s v="Concesiones reactivadas"/>
    <n v="0"/>
    <n v="5"/>
    <n v="0"/>
    <n v="20000"/>
    <s v="Gastos operativos y logísticos para la elaboración de expedientes técnicos sustentatorios para los procesos legales y administrativos que conllevan dicho procedimiento."/>
    <s v="ARA, SERFOR, MINAM"/>
    <n v="100000"/>
    <n v="101050"/>
    <n v="0"/>
    <n v="0"/>
    <n v="20000"/>
    <n v="20210"/>
    <n v="20000"/>
    <n v="20210"/>
    <n v="20000"/>
    <n v="20210"/>
    <n v="20000"/>
    <n v="20210"/>
    <n v="20000"/>
    <n v="20210"/>
    <n v="0"/>
    <m/>
    <m/>
    <s v="X"/>
    <m/>
    <m/>
    <n v="1"/>
    <n v="1"/>
  </r>
  <r>
    <x v="0"/>
    <x v="6"/>
    <s v="Control y vigilancia"/>
    <s v="1.7.1"/>
    <s v="Sensibilización para el fortalecimiento del control y vigilancia en zona de amortiguamiento"/>
    <s v="Campañas de sensibilización en los distritos acentuadas en las zonas de amortiguamiento, considerando la participación del ARA, DRASAM, DIRCETUR, GRDS. Articular acciones de vigilancia y control entre el ente que administra el ANP (SERNANP), cooperantes, población organizada como Juntas vecinales, comités de vigilancia, rondas campesinas, productores, comités y otros que se benefician de los servicios eco sistémicos del ANP."/>
    <s v="NR"/>
    <s v="Programa  de Gestion sostenible de los bosques amazónicos frente al cambio climatico."/>
    <s v="Programa de Asistencia Técnica para la recuperación de bosques"/>
    <x v="4"/>
    <x v="6"/>
    <s v="COMP 5"/>
    <s v="PROTECCIÓN-GOBERNANZA"/>
    <s v="CONTROL Y VIGILANCIA"/>
    <s v="C4"/>
    <s v="Campañas de sensibilización"/>
    <n v="0"/>
    <n v="81"/>
    <n v="81"/>
    <n v="8000"/>
    <s v="Campañas de sensibilización con equipos técnicos de las instituciones involucradas, gastos logísticos, impresión de material de difusión, publicidad radial, televisiva y escrita."/>
    <s v="ARA, SERFOR, SERNANP, CIMA"/>
    <n v="3240000"/>
    <n v="3274020"/>
    <n v="3240000"/>
    <n v="3274020"/>
    <n v="648000"/>
    <n v="654804"/>
    <n v="648000"/>
    <n v="654804"/>
    <n v="648000"/>
    <n v="654804"/>
    <n v="648000"/>
    <n v="654804"/>
    <n v="648000"/>
    <n v="654804"/>
    <n v="0"/>
    <m/>
    <m/>
    <s v="X"/>
    <m/>
    <s v="RE"/>
    <n v="3"/>
    <n v="1"/>
  </r>
  <r>
    <x v="0"/>
    <x v="6"/>
    <s v="Control y vigilancia"/>
    <s v="1.7.2"/>
    <s v="Fortalecer el control y vigilancia"/>
    <s v="Implementar con recursos necesarios al ente que administra el área, con la finalidad de aumentar el número de personas (guardaparques) que contribuyan a realizar acciones de control y vigilancia."/>
    <s v="NR"/>
    <s v="Programa  de Gestion sostenible de los bosques amazónicos frente al cambio climatico."/>
    <s v="Programa de Asistencia Técnica para la recuperación de bosques"/>
    <x v="4"/>
    <x v="6"/>
    <s v="COMP 5"/>
    <s v="PROTECCIÓN-GOBERNANZA"/>
    <s v="CONTROL Y VIGILANCIA"/>
    <s v="C4"/>
    <s v="Número de guardaparques"/>
    <n v="0"/>
    <n v="18"/>
    <n v="18"/>
    <n v="2000"/>
    <s v="Contratación a guardaparques para garantizar el control y vigilancia del área otorgada."/>
    <s v="ARA, SERFOR, SERNANP, CIMA"/>
    <n v="2160000"/>
    <n v="2182680"/>
    <n v="2160000"/>
    <n v="2182680"/>
    <n v="432000"/>
    <n v="436536"/>
    <n v="432000"/>
    <n v="436536"/>
    <n v="432000"/>
    <n v="436536"/>
    <n v="432000"/>
    <n v="436536"/>
    <n v="432000"/>
    <n v="436536"/>
    <n v="0"/>
    <m/>
    <m/>
    <s v="X"/>
    <m/>
    <s v="RE"/>
    <n v="3"/>
    <n v="1"/>
  </r>
  <r>
    <x v="0"/>
    <x v="6"/>
    <s v="Programas de inversión pública"/>
    <s v="1.7.3"/>
    <s v="Promover acuerdos de conservación con cadena de valor para aquellos productos sostenibles con el parque."/>
    <s v="Promover la planificación comunal en centros poblados del interior en base a la zonificación y zona de amortiguamiento teniendo como base al Plan Maestro (incluye acuerdos de conservación)"/>
    <s v="NR"/>
    <s v="Programa de incentivos públicos promoviendo el bienestrar sostenible de sus habilitantes"/>
    <s v="Programa de Infraestructura para la Competitividad "/>
    <x v="7"/>
    <x v="8"/>
    <s v="COMP 9"/>
    <s v="HABILITANTE"/>
    <s v="PLANES DE VIDA"/>
    <s v="C10"/>
    <s v="Planes de gestión comunal"/>
    <n v="0"/>
    <n v="81"/>
    <n v="135"/>
    <n v="10000"/>
    <s v="Contratación de servicios profesionales para la elaboración de los planes de gestión comunal."/>
    <s v="ARA, SERFOR, SERNANP, CIMA"/>
    <n v="810000"/>
    <n v="818505"/>
    <n v="1350000"/>
    <n v="1364175"/>
    <n v="162000"/>
    <n v="163701"/>
    <n v="162000"/>
    <n v="163701"/>
    <n v="162000"/>
    <n v="163701"/>
    <n v="162000"/>
    <n v="163701"/>
    <n v="162000"/>
    <n v="163701"/>
    <n v="0"/>
    <m/>
    <m/>
    <s v="X"/>
    <m/>
    <m/>
    <n v="3"/>
    <n v="1"/>
  </r>
  <r>
    <x v="0"/>
    <x v="6"/>
    <s v="Programas de inversión privada"/>
    <s v="1.7.4"/>
    <s v="Promoción del turismo comunitario en zona de amortiguamiento y al interior del parque"/>
    <s v="Campañas de promoción y difusión en el ámbito regional y nacional de los circuitos turísticos que existen en la zona de amortiguamiento. acorde al plan maestro del parque.  "/>
    <s v="NR"/>
    <s v="Programa  de Gestion sostenible de los bosques amazónicos frente al cambio climatico."/>
    <s v="Programa de Emprendimientos que coadyuvan a la sostebilidad de los Bossques"/>
    <x v="5"/>
    <x v="7"/>
    <s v="COMP 6"/>
    <s v="PROTECCIÓN"/>
    <s v="PROMOCIÓN ACTIVIDADES ECONÓMICOS"/>
    <s v="C11"/>
    <s v="Campañas de promoción"/>
    <n v="0"/>
    <n v="54"/>
    <n v="54"/>
    <n v="4000"/>
    <s v="Campañas de promoción que incluye, impresión de material de difusión, publicidad radial, televisiva y escrita."/>
    <s v="ARA, SERFOR, SERNANP, CIMA"/>
    <n v="1080000"/>
    <n v="1091340"/>
    <n v="1080000"/>
    <n v="1091340"/>
    <n v="216000"/>
    <n v="218268"/>
    <n v="216000"/>
    <n v="218268"/>
    <n v="216000"/>
    <n v="218268"/>
    <n v="216000"/>
    <n v="218268"/>
    <n v="216000"/>
    <n v="218268"/>
    <n v="0"/>
    <m/>
    <s v="X"/>
    <m/>
    <m/>
    <m/>
    <n v="3"/>
    <n v="1"/>
  </r>
  <r>
    <x v="0"/>
    <x v="6"/>
    <s v="Programas de inversión privada"/>
    <s v="1.7.5"/>
    <s v="Promoción de agroforestería sostenible en zona de amortiguamiento y al interior del parque"/>
    <s v="Realizar pasantías focalizadas en aquellos sectores claves que se necesita intervenir para disminuir la presión del parque."/>
    <s v="NR"/>
    <s v="Programa  de Gestion sostenible de los bosques amazónicos frente al cambio climatico."/>
    <s v="Programa de Emprendimientos que coadyuvan a la sostebilidad de los Bossques"/>
    <x v="5"/>
    <x v="7"/>
    <s v="COMP 6"/>
    <s v="PROTECCIÓN"/>
    <s v="PROMOCIÓN ACTIVIDADES ECONÓMICOS"/>
    <s v="C11"/>
    <s v="Pasantías"/>
    <n v="0"/>
    <n v="54"/>
    <n v="54"/>
    <n v="5000"/>
    <s v="El costo hace referencia a los gastos de pasajes, alimentación y otros para un grupo de 20 productores por pasantía."/>
    <s v="ARA, SERFOR, SERNANP, CIMA"/>
    <n v="1350000"/>
    <n v="1364175"/>
    <n v="1350000"/>
    <n v="1364175"/>
    <n v="270000"/>
    <n v="272835"/>
    <n v="270000"/>
    <n v="272835"/>
    <n v="270000"/>
    <n v="272835"/>
    <n v="270000"/>
    <n v="272835"/>
    <n v="270000"/>
    <n v="272835"/>
    <n v="0"/>
    <m/>
    <s v="X"/>
    <m/>
    <m/>
    <m/>
    <n v="3"/>
    <n v="1"/>
  </r>
  <r>
    <x v="0"/>
    <x v="7"/>
    <s v="Programas de inversión pública"/>
    <s v="1.8.1"/>
    <s v="Promover acuerdos de conservación con cadena de valor para aquellos productos sostenibles con el parque."/>
    <s v="Promover la planificación comunal en centros poblados en base a la zonificación y zona de amortiguamiento teniendo como base al Plan Maestro (incluye acuerdos de conservación)"/>
    <s v="NR"/>
    <s v="Programa de incentivos públicos promoviendo el bienestrar sostenible de sus habilitantes"/>
    <s v="Programa de Infraestructura para la Competitividad "/>
    <x v="7"/>
    <x v="8"/>
    <s v="COMP 9"/>
    <s v="PROTECCIÓN"/>
    <s v="PROMOCIÓN ACTIVIDADES ECONÓMICOS"/>
    <s v="C11"/>
    <s v="Planes de gestión comunal"/>
    <n v="0"/>
    <n v="18"/>
    <n v="18"/>
    <n v="10000"/>
    <s v="Contratación de servicios profesionales para la elaboración de los planes de gestión comunal."/>
    <s v="ARA, SERFOR, SERNANP, CIMA"/>
    <n v="180000"/>
    <n v="181890"/>
    <n v="180000"/>
    <n v="181890"/>
    <n v="36000"/>
    <n v="36378"/>
    <n v="36000"/>
    <n v="36378"/>
    <n v="36000"/>
    <n v="36378"/>
    <n v="36000"/>
    <n v="36378"/>
    <n v="36000"/>
    <n v="36378"/>
    <n v="0"/>
    <m/>
    <m/>
    <s v="X"/>
    <m/>
    <m/>
    <n v="3"/>
    <n v="1"/>
  </r>
  <r>
    <x v="0"/>
    <x v="7"/>
    <s v="Programas de inversión privada"/>
    <s v="1.8.2"/>
    <s v="Promoción del turismo comunitario en zona de amortiguamiento y al interior del parque"/>
    <s v="Campañas de promoción y difusión en el ámbito regional y nacional de los circuitos turísticos que existen en la zona de amortiguamiento. acorde al plan maestro del parque.  "/>
    <s v="NR"/>
    <s v="Programa  de Gestion sostenible de los bosques amazónicos frente al cambio climatico."/>
    <s v="Programa de Emprendimientos que coadyuvan a la sostebilidad de los Bossques"/>
    <x v="5"/>
    <x v="7"/>
    <s v="COMP 6"/>
    <s v="PROTECCIÓN"/>
    <s v="PROMOCIÓN ACTIVIDADES ECONÓMICOS"/>
    <s v="C11"/>
    <s v="Campañas de promoción"/>
    <n v="0"/>
    <n v="36"/>
    <n v="36"/>
    <n v="4000"/>
    <s v="Campañas de promoción que incluye, impresión de material de difusión, publicidad radial, televisiva y escrita."/>
    <s v="ARA, SERFOR, SERNANP, CIMA"/>
    <n v="720000"/>
    <n v="727560"/>
    <n v="720000"/>
    <n v="727560"/>
    <n v="144000"/>
    <n v="145512"/>
    <n v="144000"/>
    <n v="145512"/>
    <n v="144000"/>
    <n v="145512"/>
    <n v="144000"/>
    <n v="145512"/>
    <n v="144000"/>
    <n v="145512"/>
    <n v="0"/>
    <m/>
    <s v="X"/>
    <m/>
    <m/>
    <m/>
    <n v="3"/>
    <n v="1"/>
  </r>
  <r>
    <x v="0"/>
    <x v="7"/>
    <s v="Programas de inversión privada"/>
    <s v="1.8.3"/>
    <s v="Promoción de agroforestería sostenible en zona de amortiguamiento del parque"/>
    <s v="Realizar pasantías focalizadas en aquellos sectores claves que se necesita intervenir para disminuir la presión del parque."/>
    <s v="NR"/>
    <s v="Programa  de Gestion sostenible de los bosques amazónicos frente al cambio climatico."/>
    <s v="Programa de Emprendimientos que coadyuvan a la sostebilidad de los Bossques"/>
    <x v="5"/>
    <x v="7"/>
    <s v="COMP 6"/>
    <s v="PROTECCIÓN"/>
    <s v="PROMOCIÓN ACTIVIDADES ECONÓMICOS"/>
    <s v="C11"/>
    <s v="Pasantías"/>
    <n v="0"/>
    <n v="36"/>
    <n v="36"/>
    <n v="5000"/>
    <s v="El costo hace referencia a los gastos de pasajes, alimentación y otros para un grupo de 20 productores por pasantía."/>
    <s v="ARA, SERFOR, SERNANP, CIMA"/>
    <n v="900000"/>
    <n v="909450"/>
    <n v="900000"/>
    <n v="909450"/>
    <n v="180000"/>
    <n v="181890"/>
    <n v="180000"/>
    <n v="181890"/>
    <n v="180000"/>
    <n v="181890"/>
    <n v="180000"/>
    <n v="181890"/>
    <n v="180000"/>
    <n v="181890"/>
    <n v="0"/>
    <m/>
    <s v="X"/>
    <m/>
    <m/>
    <m/>
    <n v="3"/>
    <n v="1"/>
  </r>
  <r>
    <x v="0"/>
    <x v="8"/>
    <s v="Invasiones"/>
    <s v="1.9.1"/>
    <s v="Adecuación de ZoCRE a unidad de ordenamiento forestal y/o titulo habilitante forestal y de fauna silvestre de acuerdo a LFFS (Ley No 29763)"/>
    <s v="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
    <s v="NR"/>
    <s v="Programa de incentivos públicos promoviendo el bienestrar sostenible de sus habilitantes"/>
    <s v="Programa de regulización, formalizacion y saneamiento de predios"/>
    <x v="0"/>
    <x v="0"/>
    <s v="COMP 8"/>
    <s v="PROTECCIÓN-GOBERNANZA"/>
    <s v="DERECHOS SOBRE LA TIERRA"/>
    <s v="C5"/>
    <s v="Ha. con categoría territorial asignada"/>
    <n v="37076.060156214648"/>
    <n v="18538.030078107324"/>
    <n v="18538.030078107324"/>
    <n v="15"/>
    <s v="Para la implementación de las intervención será mecesario la contratación de especialistas para realizar las acciones que comtemplen dicha actividad. Gastos logísticos y trámites documentarios."/>
    <s v="GRSM - DEGT"/>
    <n v="278070.45117160986"/>
    <n v="280990.19090891175"/>
    <n v="278070.45117160986"/>
    <n v="280990.19090891175"/>
    <n v="55614.090234321979"/>
    <n v="56198.038181782358"/>
    <n v="55614.090234321979"/>
    <n v="56198.038181782358"/>
    <n v="55614.090234321979"/>
    <n v="56198.038181782358"/>
    <n v="55614.090234321979"/>
    <n v="56198.038181782358"/>
    <n v="55614.090234321979"/>
    <n v="56198.038181782358"/>
    <n v="0"/>
    <m/>
    <s v="X"/>
    <m/>
    <m/>
    <m/>
    <n v="3"/>
    <n v="1"/>
  </r>
  <r>
    <x v="0"/>
    <x v="8"/>
    <s v="Control y vigilancia"/>
    <s v="1.9.2"/>
    <s v="Fortalecimiento de capacidades de los responsables de la administración de las nuevas categorías de ordenamiento forestal y títulos habilitantes forestales"/>
    <s v="Comprende la capacitación en manejo de normatividad forestal y manejo de bosques, contratación de especialistas para tener presencia física en el área, equipamiento e infraestructura."/>
    <s v="NR"/>
    <s v="Programa de incentivos públicos promoviendo el bienestrar sostenible de sus habilitantes"/>
    <s v="Programa de regulización, formalizacion y saneamiento de predios"/>
    <x v="0"/>
    <x v="0"/>
    <s v="COMP 8"/>
    <s v="PROTECCIÓN-GOBERNANZA"/>
    <s v="DERECHOS SOBRE LA TIERRA"/>
    <s v="C5"/>
    <s v="N° de responsables de administración que aprueban evaluación de capacitación "/>
    <n v="0"/>
    <n v="20"/>
    <n v="20"/>
    <n v="150"/>
    <s v="Considera materiales de capacitación, alimentación a capacitados en el área cercana a su comunidad y gastos de capacitadores"/>
    <s v="GRSM - DEGT"/>
    <n v="3000"/>
    <n v="3031.5"/>
    <n v="3000"/>
    <n v="3031.5"/>
    <n v="3000"/>
    <n v="3031.5"/>
    <n v="0"/>
    <n v="0"/>
    <n v="0"/>
    <n v="0"/>
    <n v="0"/>
    <n v="0"/>
    <n v="0"/>
    <n v="0"/>
    <n v="0"/>
    <m/>
    <s v="X"/>
    <m/>
    <m/>
    <m/>
    <n v="2"/>
    <n v="1"/>
  </r>
  <r>
    <x v="0"/>
    <x v="8"/>
    <s v="Control y vigilancia"/>
    <s v="1.9.3"/>
    <s v="Elaboración del plan/declaración de manejo de las nuevas categorías de ordenamiento forestal y títulos habilitantes forestales"/>
    <s v="Dependiendo de la categoría forestal a ser aplicada, se realizará un plan/declaración acorde la unidad, en el marco de la ley forestal y fauna silvestre N° 29763."/>
    <s v="NR"/>
    <s v="Programa de incentivos públicos promoviendo el bienestrar sostenible de sus habilitantes"/>
    <s v="Programa de regulización, formalizacion y saneamiento de predios"/>
    <x v="0"/>
    <x v="0"/>
    <s v="COMP 8"/>
    <s v="PROTECCIÓN-GOBERNANZA"/>
    <s v="DERECHOS SOBRE LA TIERRA"/>
    <s v="C5"/>
    <s v="N° Planes / Declaraciones elaborados"/>
    <n v="0"/>
    <n v="5"/>
    <n v="5"/>
    <n v="10000"/>
    <s v="Se considera la contratación de profesionales para la elaboración de los expedientes y/o declaraciones identificadas en los diferentes procesos."/>
    <s v="GRSM - DEGT"/>
    <n v="50000"/>
    <n v="50525"/>
    <n v="50000"/>
    <n v="50525"/>
    <n v="15000"/>
    <n v="15157.5"/>
    <n v="15000"/>
    <n v="15157.5"/>
    <n v="20000"/>
    <n v="20210"/>
    <n v="0"/>
    <n v="0"/>
    <n v="0"/>
    <n v="0"/>
    <n v="0"/>
    <m/>
    <s v="X"/>
    <m/>
    <m/>
    <m/>
    <n v="2"/>
    <n v="1"/>
  </r>
  <r>
    <x v="0"/>
    <x v="8"/>
    <s v="Invasiones"/>
    <s v="1.9.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s v="Programa de incentivos públicos promoviendo el bienestrar sostenible de sus habilitantes"/>
    <s v="Programa de regulización, formalizacion y saneamiento de predios"/>
    <x v="0"/>
    <x v="0"/>
    <s v="COMP 8"/>
    <s v="PROTECCIÓN-GOBERNANZA"/>
    <s v="DERECHOS SOBRE LA TIERRA"/>
    <s v="C5"/>
    <s v="Ha. Inscritas"/>
    <n v="37076.060156214648"/>
    <n v="18538.030078107324"/>
    <n v="18538.030078107324"/>
    <n v="1"/>
    <s v="Contratación de dos profesioales para agilizar procesos con sunarp."/>
    <s v="GRSM - DEGT"/>
    <n v="18538.030078107324"/>
    <n v="18732.67939392745"/>
    <n v="18538.030078107324"/>
    <n v="18732.67939392745"/>
    <n v="3707.6060156214648"/>
    <n v="3746.5358787854902"/>
    <n v="3707.6060156214648"/>
    <n v="3746.5358787854902"/>
    <n v="3707.6060156214648"/>
    <n v="3746.5358787854902"/>
    <n v="3707.6060156214648"/>
    <n v="3746.5358787854902"/>
    <n v="3707.6060156214648"/>
    <n v="3746.5358787854902"/>
    <n v="0"/>
    <m/>
    <s v="X"/>
    <m/>
    <m/>
    <m/>
    <n v="2"/>
    <n v="1"/>
  </r>
  <r>
    <x v="0"/>
    <x v="9"/>
    <s v="Invasiones"/>
    <s v="1.10.1"/>
    <s v="Creación y establecimiento de unidades de ordenamiento forestal, otorgamiento de títulos habilitantes forestales y tenencia de la tierra"/>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s v="Programa de incentivos públicos promoviendo el bienestrar sostenible de sus habilitantes"/>
    <s v="Programa de regulización, formalizacion y saneamiento de predios"/>
    <x v="0"/>
    <x v="0"/>
    <s v="COMP 8"/>
    <s v="PROTECCIÓN-GOBERNANZA"/>
    <s v="DERECHOS SOBRE LA TIERRA"/>
    <s v="C5"/>
    <s v="Ha. con categoría territorial asignada"/>
    <n v="237645.43945778001"/>
    <n v="118822.71972889001"/>
    <n v="118822.71972889001"/>
    <n v="15"/>
    <s v="Para la implementación de las intervención será mecesario la contratación de especialistas para realizar las acciones que comtemplen dicha actividad. Gastos logísticos y trámites documentarios."/>
    <s v="GRSM - DEGT"/>
    <n v="1782340.79593335"/>
    <n v="1801055.37429065"/>
    <n v="1782340.79593335"/>
    <n v="1801055.37429065"/>
    <n v="356468.15918667003"/>
    <n v="360211.07485813007"/>
    <n v="356468.15918667003"/>
    <n v="360211.07485813007"/>
    <n v="356468.15918667003"/>
    <n v="360211.07485813007"/>
    <n v="356468.15918667003"/>
    <n v="360211.07485813007"/>
    <n v="356468.15918667003"/>
    <n v="360211.07485813007"/>
    <n v="0"/>
    <m/>
    <s v="X"/>
    <m/>
    <m/>
    <m/>
    <n v="3"/>
    <n v="1"/>
  </r>
  <r>
    <x v="0"/>
    <x v="9"/>
    <s v="Control y vigilancia"/>
    <s v="1.10.2"/>
    <s v="Fortalecimiento de capacidades de los responsables de la administración de las nuevas categorías de ordenamiento forestal y títulos habilitantes forestales"/>
    <s v="Comprende la capacitación en manejo de normatividad forestal y manejo de bosques, contratación de especialistas para tener presencia física en el área, equipamiento e infraestructura."/>
    <s v="NR"/>
    <s v="Programa de incentivos públicos promoviendo el bienestrar sostenible de sus habilitantes"/>
    <s v="Programa de regulización, formalizacion y saneamiento de predios"/>
    <x v="0"/>
    <x v="0"/>
    <s v="COMP 8"/>
    <s v="PROTECCIÓN-GOBERNANZA"/>
    <s v="DERECHOS SOBRE LA TIERRA"/>
    <s v="C5"/>
    <s v="N° de responsables de administración que aprueban evaluación de capacitación "/>
    <n v="0"/>
    <n v="100"/>
    <n v="80"/>
    <n v="150"/>
    <s v="Considera materiales de capacitación, alimentación a capacitados en el área cercana a su comunidad y gastos de capacitadores"/>
    <s v="GRSM - DEGT"/>
    <n v="15000"/>
    <n v="15157.5"/>
    <n v="12000"/>
    <n v="12126"/>
    <n v="15000"/>
    <n v="15157.5"/>
    <n v="0"/>
    <n v="0"/>
    <n v="0"/>
    <n v="0"/>
    <n v="0"/>
    <n v="0"/>
    <n v="0"/>
    <n v="0"/>
    <n v="0"/>
    <m/>
    <s v="X"/>
    <m/>
    <m/>
    <m/>
    <n v="2"/>
    <n v="1"/>
  </r>
  <r>
    <x v="0"/>
    <x v="9"/>
    <s v="Control y vigilancia"/>
    <s v="1.10.3"/>
    <s v="Elaboración del plan/declaración de manejo de las nuevas categorías de ordenamiento forestal y títulos habilitantes forestales"/>
    <s v="Dependiendo de la categoría forestal a ser aplicada, se realizará un plan/declaración acorde a la unidad, en el marco de la ley forestal y fauna silvestre N° 29763."/>
    <s v="NR"/>
    <s v="Programa de incentivos públicos promoviendo el bienestrar sostenible de sus habilitantes"/>
    <s v="Programa de regulización, formalizacion y saneamiento de predios"/>
    <x v="0"/>
    <x v="0"/>
    <s v="COMP 8"/>
    <s v="PROTECCIÓN-GOBERNANZA"/>
    <s v="DERECHOS SOBRE LA TIERRA"/>
    <s v="C5"/>
    <s v="N° Planes / Declaraciones elaborados"/>
    <n v="0"/>
    <n v="10"/>
    <n v="10"/>
    <n v="10000"/>
    <s v="Se considera la contratación de profesionales para la elaboración de los expedientes y/o declaraciones identificadas en los diferentes procesos."/>
    <s v="GRSM - DEGT"/>
    <n v="100000"/>
    <n v="101050"/>
    <n v="100000"/>
    <n v="101050"/>
    <n v="30000"/>
    <n v="30315"/>
    <n v="30000"/>
    <n v="30315"/>
    <n v="40000"/>
    <n v="40420"/>
    <n v="0"/>
    <n v="0"/>
    <n v="0"/>
    <n v="0"/>
    <n v="0"/>
    <m/>
    <s v="X"/>
    <m/>
    <m/>
    <m/>
    <n v="2"/>
    <n v="1"/>
  </r>
  <r>
    <x v="0"/>
    <x v="9"/>
    <s v="Invasiones"/>
    <s v="1.10.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s v="Programa de incentivos públicos promoviendo el bienestrar sostenible de sus habilitantes"/>
    <s v="Programa de regulización, formalizacion y saneamiento de predios"/>
    <x v="0"/>
    <x v="0"/>
    <s v="COMP 8"/>
    <s v="PROTECCIÓN-GOBERNANZA"/>
    <s v="DERECHOS SOBRE LA TIERRA"/>
    <s v="C5"/>
    <s v="Ha. Inscritas"/>
    <n v="237645.43945778001"/>
    <n v="118822.71972889001"/>
    <n v="118822.71972889001"/>
    <n v="1"/>
    <s v="Contratación de dos profesioales para agilizar procesos con sunarp."/>
    <s v="GRSM - DEGT"/>
    <n v="118822.71972889001"/>
    <n v="120070.35828604335"/>
    <n v="118822.71972889001"/>
    <n v="120070.35828604335"/>
    <n v="23764.543945778001"/>
    <n v="24014.071657208668"/>
    <n v="23764.543945778001"/>
    <n v="24014.071657208668"/>
    <n v="23764.543945778001"/>
    <n v="24014.071657208668"/>
    <n v="23764.543945778001"/>
    <n v="24014.071657208668"/>
    <n v="23764.543945778001"/>
    <n v="24014.071657208668"/>
    <n v="0"/>
    <m/>
    <s v="X"/>
    <m/>
    <m/>
    <m/>
    <n v="2"/>
    <n v="1"/>
  </r>
  <r>
    <x v="0"/>
    <x v="9"/>
    <s v="Ingresos y Capital"/>
    <s v="1.10.5"/>
    <s v="Restauración de áreas degradadas"/>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s v="Programa  de Gestion sostenible de los bosques amazónicos frente al cambio climatico."/>
    <s v="Programa de Asistencia Técnica para la recuperación de bosques"/>
    <x v="4"/>
    <x v="6"/>
    <s v="COMP 5"/>
    <s v="PROTECCIÓN-GOBERNANZA"/>
    <s v="DERECHOS SOBRE LA TIERRA"/>
    <s v="C5"/>
    <s v="Hectáreas restauradas"/>
    <n v="0"/>
    <n v="44125.567761421902"/>
    <n v="44125.567761421902"/>
    <n v="500"/>
    <s v="El costo incluye la restauración de una hectárea, esta actividad se desarrollara de acuerdo a la metodología propuesta por el ARA, en coordinación con los productores seleccionados."/>
    <s v="ARA"/>
    <n v="22062783.880710952"/>
    <n v="22294443.111458417"/>
    <n v="22062783.880710952"/>
    <n v="22294443.111458417"/>
    <n v="22062783.880710952"/>
    <n v="22294443.111458417"/>
    <n v="0"/>
    <n v="0"/>
    <n v="0"/>
    <n v="0"/>
    <n v="0"/>
    <n v="0"/>
    <n v="0"/>
    <n v="0"/>
    <n v="0"/>
    <m/>
    <s v="X"/>
    <m/>
    <m/>
    <m/>
    <n v="3"/>
    <n v="1"/>
  </r>
  <r>
    <x v="0"/>
    <x v="10"/>
    <s v="Programas de inversión pública"/>
    <s v="1.11.1"/>
    <s v="Acuerdos con rondas campesinas y rondas nativas para cumplimiento de compromisos de no deforestación y tráfico de tierras e invasiones"/>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s v="Programa de incentivos públicos promoviendo el bienestrar sostenible de sus habilitantes"/>
    <s v="Programa de regulización, formalizacion y saneamiento de predios"/>
    <x v="0"/>
    <x v="0"/>
    <s v="COMP 8"/>
    <s v="HABILITANTE"/>
    <s v="TRANSVERSALES X UDT"/>
    <s v="C18"/>
    <s v="Acuerdos con rondas campesinas"/>
    <n v="0"/>
    <n v="25"/>
    <n v="29"/>
    <n v="2500"/>
    <s v="Reuniones con los diferentes actores involucrados y la sociedad civil para llegar a acuerdos de no deforestación, lo cual incluye  gastos logísticos en general."/>
    <s v="GRDS, ARA"/>
    <n v="312500"/>
    <n v="315781.25"/>
    <n v="362500"/>
    <n v="366306.25"/>
    <n v="62500"/>
    <n v="63156.25"/>
    <n v="62500"/>
    <n v="63156.25"/>
    <n v="62500"/>
    <n v="63156.25"/>
    <n v="62500"/>
    <n v="63156.25"/>
    <n v="62500"/>
    <n v="63156.25"/>
    <n v="0"/>
    <m/>
    <m/>
    <s v="X"/>
    <m/>
    <s v="RE"/>
    <n v="3"/>
    <n v="1"/>
  </r>
  <r>
    <x v="0"/>
    <x v="10"/>
    <s v="Programas de inversión pública"/>
    <s v="1.11.2"/>
    <s v="Fortalecimiento del monitoreo de la cobertura de bosques y control de la tala ilegal (deforestación, extracción de especies forestales de valor comercial y forestales para tutores de cultivos)"/>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 Esta intervención será apoyada por las organizaciones formales de rondas campesinas rondas nativa si comités de monitoreo."/>
    <s v="NR"/>
    <s v="Programa  de Gestion sostenible de los bosques amazónicos frente al cambio climatico."/>
    <s v="Programa de Asistencia Técnica para la recuperación de bosques"/>
    <x v="4"/>
    <x v="6"/>
    <s v="COMP 5"/>
    <s v="HABILITANTE"/>
    <s v="TRANSVERSALES X UDT"/>
    <s v="C18"/>
    <s v="Especialistas"/>
    <n v="0"/>
    <n v="5"/>
    <n v="5"/>
    <n v="5000"/>
    <s v="Contratación de especialistas para realizar monitoreo de la cobertura de bosque, desde los diferentes órganos competentes. "/>
    <s v="ARA, Serfor, Sernanp"/>
    <n v="1500000"/>
    <n v="1515750"/>
    <n v="1500000"/>
    <n v="1515750"/>
    <n v="300000"/>
    <n v="303150"/>
    <n v="300000"/>
    <n v="303150"/>
    <n v="300000"/>
    <n v="303150"/>
    <n v="300000"/>
    <n v="303150"/>
    <n v="300000"/>
    <n v="303150"/>
    <n v="0"/>
    <m/>
    <s v="X"/>
    <m/>
    <m/>
    <s v="RE"/>
    <n v="3"/>
    <n v="1"/>
  </r>
  <r>
    <x v="0"/>
    <x v="10"/>
    <s v="Programas de inversión pública"/>
    <s v="1.11.3"/>
    <s v="Mejoramiento de vías de acceso"/>
    <s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s v="Programa de incentivos públicos promoviendo el bienestrar sostenible de sus habilitantes"/>
    <s v="Programa de Infraestructura para la Competitividad "/>
    <x v="7"/>
    <x v="9"/>
    <s v="COMP 10"/>
    <s v="HABILITANTE"/>
    <s v="TRANSVERSALES X UDT"/>
    <s v="C18"/>
    <s v="Kilómetros mejorados"/>
    <n v="2864"/>
    <n v="286.40000000000003"/>
    <n v="286.40000000000003"/>
    <n v="800000"/>
    <s v="Costo promedio por km2 de vía mejorada o asfaltada"/>
    <s v="DRTyTC"/>
    <n v="229120000.00000003"/>
    <n v="231525760.00000003"/>
    <n v="229120000.00000003"/>
    <n v="231525760.00000003"/>
    <n v="45824000.000000007"/>
    <n v="46305152.000000007"/>
    <n v="45824000.000000007"/>
    <n v="46305152.000000007"/>
    <n v="45824000.000000007"/>
    <n v="46305152.000000007"/>
    <n v="45824000.000000007"/>
    <n v="46305152.000000007"/>
    <n v="45824000.000000007"/>
    <n v="46305152.000000007"/>
    <n v="0"/>
    <s v="X"/>
    <m/>
    <m/>
    <m/>
    <n v="0"/>
    <n v="3"/>
    <n v="1"/>
  </r>
  <r>
    <x v="0"/>
    <x v="10"/>
    <s v="Programas de inversión pública"/>
    <s v="1.11.4"/>
    <s v="Restauración ecológica del paisaje"/>
    <s v="Se cuenta con 160,810 Ha con probabilidad alta y muy alta para restauración, de las cuales 9,430.30 ha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s v="Programa  de Gestion sostenible de los bosques amazónicos frente al cambio climatico."/>
    <s v="Programa de Asistencia Técnica para la recuperación de bosques"/>
    <x v="4"/>
    <x v="6"/>
    <s v="COMP 5"/>
    <s v="HABILITANTE"/>
    <s v="TRANSVERSALES X UDT"/>
    <s v="C18"/>
    <s v="Hectáreas restauradas"/>
    <n v="128243.81000000001"/>
    <n v="32060.952500000003"/>
    <n v="25648.762000000002"/>
    <n v="500"/>
    <s v="El costo incluye la restauración de una hectárea, esta actividad se desarrollara de acuerdo a la metodología propuesta por el ARA, en coordinación con los productores seleccionados."/>
    <s v="ARA"/>
    <n v="16030476.250000002"/>
    <n v="16198796.250625001"/>
    <n v="12824381.000000002"/>
    <n v="12959037.000500001"/>
    <n v="3206095.2500000005"/>
    <n v="3239759.2501250003"/>
    <n v="3206095.2500000005"/>
    <n v="3239759.2501250003"/>
    <n v="3206095.2500000005"/>
    <n v="3239759.2501250003"/>
    <n v="3206095.2500000005"/>
    <n v="3239759.2501250003"/>
    <n v="3206095.2500000005"/>
    <n v="3239759.2501250003"/>
    <n v="0"/>
    <m/>
    <m/>
    <s v="X"/>
    <m/>
    <s v="RE"/>
    <n v="3"/>
    <n v="1"/>
  </r>
  <r>
    <x v="0"/>
    <x v="10"/>
    <s v="Programas de inversión pública"/>
    <s v="1.11.5"/>
    <s v="Mejor cobertura y calidad de servicios de educación y salud"/>
    <s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
    <s v="NR"/>
    <s v="Programa de incentivos públicos promoviendo el bienestrar sostenible de sus habilitantes"/>
    <s v="Programa de Infraestructura para la Competitividad "/>
    <x v="7"/>
    <x v="9"/>
    <s v="COMP 10"/>
    <s v="HABILITANTE"/>
    <s v="TRANSVERSALES X UDT"/>
    <s v="C18"/>
    <s v="Centros educativos y postas médicas  implementados"/>
    <n v="0"/>
    <n v="10"/>
    <n v="16"/>
    <n v="3500000"/>
    <s v="El presupuesto esta relacionado a la implementación de la infraestructura, mobiliario y materiales educativos necesarios para que se brinde un servicio de calidad a los niños que aún no reciben dicho servicio de manera permanente. El presupuesto esta relacionado a la implementación de la infraestructura, equipos, materiales, insumos necesarios para que se brinde un servicio de calidad a la población que requiere dicho servicio "/>
    <s v="Colegio de ingenieros de San Martín / GRDS"/>
    <n v="35000000"/>
    <n v="35367500"/>
    <n v="56000000"/>
    <n v="56588000"/>
    <n v="7000000"/>
    <n v="7073500"/>
    <n v="7000000"/>
    <n v="7073500"/>
    <n v="7000000"/>
    <n v="7073500"/>
    <n v="7000000"/>
    <n v="7073500"/>
    <n v="7000000"/>
    <n v="7073500"/>
    <n v="0"/>
    <m/>
    <s v="X"/>
    <m/>
    <m/>
    <s v="RE"/>
    <n v="3"/>
    <n v="1"/>
  </r>
  <r>
    <x v="0"/>
    <x v="10"/>
    <s v="Programas de inversión pública"/>
    <s v="1.11.6"/>
    <s v="Programa de servicios públicos móviles"/>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
    <s v="NR"/>
    <s v="Programa de incentivos públicos promoviendo el bienestrar sostenible de sus habilitantes"/>
    <s v="Programa de Infraestructura para la Competitividad "/>
    <x v="7"/>
    <x v="8"/>
    <s v="COMP 9"/>
    <s v="HABILITANTE"/>
    <s v="TRANSVERSALES X UDT"/>
    <s v="C18"/>
    <s v="N° campañas"/>
    <n v="0"/>
    <n v="140"/>
    <n v="280"/>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RDS"/>
    <n v="3500000"/>
    <n v="3536750"/>
    <n v="7000000"/>
    <n v="7073500"/>
    <n v="700000"/>
    <n v="707350"/>
    <n v="700000"/>
    <n v="707350"/>
    <n v="700000"/>
    <n v="707350"/>
    <n v="700000"/>
    <n v="707350"/>
    <n v="700000"/>
    <n v="707350"/>
    <n v="0"/>
    <m/>
    <s v="X"/>
    <m/>
    <m/>
    <s v="RE"/>
    <n v="3"/>
    <n v="1"/>
  </r>
  <r>
    <x v="0"/>
    <x v="10"/>
    <s v="Programas de inversión pública"/>
    <s v="1.11.7"/>
    <s v="Promoción Marca &quot;San Martín Región&quot; y &quot;Aliados por la Conservación&quot; "/>
    <s v="Promoción al acceso de la marca con los productores que cumplan los criterios de elegibilidad solicitados por el programa, como una estrategia de ubicar mercados diferenciados para los productos provenientes de estas zonas."/>
    <s v="NR"/>
    <s v="Programa de produccion y tecnolgía para el desarrollo sostenible"/>
    <s v="Programa de Asistencia Técnicas para incrementar la capacidad productiva de las principaes cadenas"/>
    <x v="1"/>
    <x v="5"/>
    <s v="COMP 3"/>
    <s v="HABILITANTE"/>
    <s v="TRANSVERSALES X UDT"/>
    <s v="C18"/>
    <s v="N° de empresas que acceden a la marca."/>
    <n v="0"/>
    <n v="30"/>
    <n v="40"/>
    <n v="3000"/>
    <s v="El costo incluye: Una inspección anual anunciada,  elaboración de informe de inspección, administración y comunicación, certificación según los estándares de la marca."/>
    <s v="Dircetur, Drasam"/>
    <n v="450000"/>
    <n v="454725"/>
    <n v="600000"/>
    <n v="606300"/>
    <n v="90000"/>
    <n v="90945"/>
    <n v="90000"/>
    <n v="90945"/>
    <n v="90000"/>
    <n v="90945"/>
    <n v="90000"/>
    <n v="90945"/>
    <n v="90000"/>
    <n v="90945"/>
    <n v="0"/>
    <m/>
    <m/>
    <s v="X"/>
    <m/>
    <n v="0"/>
    <n v="2"/>
    <n v="1"/>
  </r>
  <r>
    <x v="1"/>
    <x v="0"/>
    <s v="Invasiones"/>
    <s v="2.1.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20410.639082625901"/>
    <n v="10205.319541312951"/>
    <n v="10205.3195413129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0410639.082625899"/>
    <n v="20624950.792993471"/>
    <n v="20410639.082625899"/>
    <n v="20624950.792993471"/>
    <n v="2041063.9082625899"/>
    <n v="2062495.079299347"/>
    <n v="3061595.8623938849"/>
    <n v="3093742.6189490207"/>
    <n v="4082127.8165251799"/>
    <n v="4124990.158598694"/>
    <n v="6123191.7247877698"/>
    <n v="6187485.2378980415"/>
    <n v="5102659.7706564749"/>
    <n v="5156237.6982483678"/>
    <n v="0"/>
    <m/>
    <m/>
    <s v="X"/>
    <m/>
    <s v="RE"/>
    <n v="3"/>
    <n v="1"/>
  </r>
  <r>
    <x v="1"/>
    <x v="0"/>
    <s v="Programas de inversión pública"/>
    <s v="2.1.2"/>
    <s v="Asistencia técnica con enfoque bajo en emisiones"/>
    <s v="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s v="Programa de produccion y tecnolgía para el desarrollo sostenible"/>
    <s v="Programa de Asistencia Técnicas para incrementar la capacidad productiva de las principaes cadenas"/>
    <x v="1"/>
    <x v="1"/>
    <s v="COMP 1"/>
    <s v="PRODUCCIÓN"/>
    <s v="ASISTENCIA TÉCNICA"/>
    <s v="C1"/>
    <s v="Productores asistidos"/>
    <n v="29531"/>
    <n v="17718.599999999999"/>
    <n v="11812.40000000000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9922416"/>
    <n v="10026601.367999999"/>
    <n v="6614944.0000000009"/>
    <n v="6684400.9120000005"/>
    <n v="1984483.2000000002"/>
    <n v="2005320.2736000002"/>
    <n v="1984483.2000000002"/>
    <n v="2005320.2736000002"/>
    <n v="1984483.2000000002"/>
    <n v="2005320.2736000002"/>
    <n v="1984483.2000000002"/>
    <n v="2005320.2736000002"/>
    <n v="1984483.2000000002"/>
    <n v="2005320.2736000002"/>
    <n v="0"/>
    <m/>
    <m/>
    <s v="X"/>
    <m/>
    <s v="RE"/>
    <n v="2"/>
    <n v="1"/>
  </r>
  <r>
    <x v="1"/>
    <x v="0"/>
    <s v="Programas de inversión pública"/>
    <s v="2.1.3"/>
    <s v="Manejo, conservación y recuperación de suelos degradados"/>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s v="Programa de produccion y tecnolgía para el desarrollo sostenible"/>
    <s v="Programa de Asistencia Técnicas para incrementar la capacidad productiva de las principaes cadenas"/>
    <x v="1"/>
    <x v="1"/>
    <s v="COMP 1"/>
    <s v="PRODUCCIÓN"/>
    <s v="TECNOLOGÍA"/>
    <s v="C17"/>
    <s v="Hectáreas intervenidas"/>
    <n v="65935"/>
    <n v="19780.5"/>
    <n v="19780.5"/>
    <n v="500"/>
    <s v="El costo incluye adquisición de semillas, insumos, fertilizantes, entre otras para la producción de plantas agroforestales o coberturas  verdes."/>
    <s v="DRASAM"/>
    <n v="9890250"/>
    <n v="9994097.625"/>
    <n v="9890250"/>
    <n v="9994097.625"/>
    <n v="1978050"/>
    <n v="1998819.5249999999"/>
    <n v="1978050"/>
    <n v="1998819.5249999999"/>
    <n v="1978050"/>
    <n v="1998819.5249999999"/>
    <n v="1978050"/>
    <n v="1998819.5249999999"/>
    <n v="1978050"/>
    <n v="1998819.5249999999"/>
    <n v="0"/>
    <m/>
    <m/>
    <s v="X"/>
    <m/>
    <m/>
    <n v="2"/>
    <n v="1"/>
  </r>
  <r>
    <x v="1"/>
    <x v="0"/>
    <s v="Programas de inversión pública"/>
    <s v="2.1.4"/>
    <s v="Fertilización de áreas productivas de acuerdo a la etapa fenológica del cultivo"/>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s v="Programa de produccion y tecnolgía para el desarrollo sostenible"/>
    <s v="Programa de Asistencia Técnicas para incrementar la capacidad productiva de las principaes cadenas"/>
    <x v="1"/>
    <x v="1"/>
    <s v="COMP 1"/>
    <s v="PRODUCCIÓN"/>
    <s v="TECNOLOGÍA"/>
    <s v="C17"/>
    <s v="hectáreas fertilizadas"/>
    <n v="65935"/>
    <n v="13187"/>
    <n v="19780.5"/>
    <n v="2500"/>
    <s v="El costo incluye un análisis de suelos, paquete de fertilización según los resultados del análisis y la adquisición de fertilizantes. El costo incluye los tres abonamientos requeridos en una campaña (1 año)."/>
    <s v="Drasam"/>
    <n v="32967500"/>
    <n v="33313658.75"/>
    <n v="49451250"/>
    <n v="49970488.125"/>
    <n v="6593500"/>
    <n v="6662731.75"/>
    <n v="6593500"/>
    <n v="6662731.75"/>
    <n v="6593500"/>
    <n v="6662731.75"/>
    <n v="6593500"/>
    <n v="6662731.75"/>
    <n v="6593500"/>
    <n v="6662731.75"/>
    <n v="0"/>
    <m/>
    <m/>
    <s v="X"/>
    <m/>
    <s v="RE"/>
    <n v="3"/>
    <n v="1"/>
  </r>
  <r>
    <x v="1"/>
    <x v="0"/>
    <s v="Programas de inversión privada"/>
    <s v="2.1.5"/>
    <s v="Instalación de sistemas de fertirriego"/>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s v="Programa de produccion y tecnolgía para el desarrollo sostenible"/>
    <s v="Programa de Asistencia Técnicas para incrementar la capacidad productiva de las principaes cadenas"/>
    <x v="1"/>
    <x v="2"/>
    <s v="COMP 4 "/>
    <s v="PRODUCCIÓN"/>
    <s v="TECNOLOGÍA"/>
    <s v="C17"/>
    <s v="Hectáreas con sistemas de riego"/>
    <n v="65935"/>
    <n v="3296.75"/>
    <n v="4615.4500000000007"/>
    <n v="11500"/>
    <s v="El costo incluye la instalación de un sistema completo y un paquete de fertilización para la primera campaña. El costo va depender del tipo de cultivo, tipo de sistema y el tipo de materiales a usar en los sistemas de fertirriego."/>
    <s v="DRASAM"/>
    <n v="37912625"/>
    <n v="38310707.5625"/>
    <n v="53077675.000000007"/>
    <n v="53634990.587500006"/>
    <n v="7582525"/>
    <n v="7662141.5124999993"/>
    <n v="7582525"/>
    <n v="7662141.5124999993"/>
    <n v="7582525"/>
    <n v="7662141.5124999993"/>
    <n v="7582525"/>
    <n v="7662141.5124999993"/>
    <n v="7582525"/>
    <n v="7662141.5124999993"/>
    <n v="0"/>
    <m/>
    <m/>
    <s v="X"/>
    <m/>
    <s v="RE"/>
    <n v="3"/>
    <n v="1"/>
  </r>
  <r>
    <x v="1"/>
    <x v="0"/>
    <s v="Programas de inversión privada"/>
    <s v="2.1.6"/>
    <s v="Reconversión y diversificación productiva "/>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s v="Programa de produccion y tecnolgía para el desarrollo sostenible"/>
    <s v="Programa de Asistencia Técnicas para incrementar la capacidad productiva de las principaes cadenas"/>
    <x v="1"/>
    <x v="2"/>
    <s v="COMP 4 "/>
    <s v="PRODUCCIÓN"/>
    <s v="RECONVERSIÓN"/>
    <s v="C12"/>
    <s v="Hectáreas reconvertidas/diversificadas"/>
    <n v="13187"/>
    <n v="1318.7"/>
    <n v="1318.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19780500"/>
    <n v="19988195.25"/>
    <n v="19780500"/>
    <n v="19988195.25"/>
    <n v="3956100"/>
    <n v="3997639.05"/>
    <n v="3956100"/>
    <n v="3997639.05"/>
    <n v="3956100"/>
    <n v="3997639.05"/>
    <n v="3956100"/>
    <n v="3997639.05"/>
    <n v="3956100"/>
    <n v="3997639.05"/>
    <n v="0"/>
    <s v="X"/>
    <m/>
    <m/>
    <m/>
    <s v="RE"/>
    <n v="2"/>
    <n v="1"/>
  </r>
  <r>
    <x v="1"/>
    <x v="0"/>
    <s v="Programas de inversión pública"/>
    <s v="2.1.7"/>
    <s v="Promoción de agricultura familiar con enfoque de mercado"/>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s v="Programa de produccion y tecnolgía para el desarrollo sostenible"/>
    <s v="Programa de Asistencia Técnicas para incrementar la capacidad productiva de las principaes cadenas"/>
    <x v="1"/>
    <x v="1"/>
    <s v="COMP 1"/>
    <s v="PRODUCCIÓN"/>
    <s v="CAPACITACIÓN"/>
    <s v="C3"/>
    <s v="Productores beneficiados"/>
    <n v="29531"/>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38494987.395000003"/>
    <n v="76189980.000000015"/>
    <n v="76989974.790000007"/>
    <n v="7618998.0000000019"/>
    <n v="7698997.4790000012"/>
    <n v="7618998.0000000019"/>
    <n v="7698997.4790000012"/>
    <n v="7618998.0000000019"/>
    <n v="7698997.4790000012"/>
    <n v="7618998.0000000019"/>
    <n v="7698997.4790000012"/>
    <n v="7618998.0000000019"/>
    <n v="7698997.4790000012"/>
    <n v="0"/>
    <m/>
    <m/>
    <s v="X"/>
    <m/>
    <s v="RE"/>
    <n v="3"/>
    <n v="1"/>
  </r>
  <r>
    <x v="1"/>
    <x v="0"/>
    <s v="Programas de inversión pública"/>
    <s v="2.1.8"/>
    <s v="Asistencia técnica para el desarrollo de la acuicultura"/>
    <s v="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s v="Programa de produccion y tecnolgía para el desarrollo sostenible"/>
    <s v="Programa de Asistencia Técnicas para incrementar la capacidad productiva de las principaes cadenas"/>
    <x v="1"/>
    <x v="2"/>
    <s v="COMP 4 "/>
    <s v="PRODUCCIÓN"/>
    <s v="ASISTENCIA TÉCNICA"/>
    <s v="C1"/>
    <s v="Acuicultores asistidos"/>
    <n v="324"/>
    <n v="324"/>
    <n v="324"/>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181440"/>
    <n v="183345.12"/>
    <n v="181440"/>
    <n v="183345.12"/>
    <n v="36288"/>
    <n v="36669.023999999998"/>
    <n v="36288"/>
    <n v="36669.023999999998"/>
    <n v="36288"/>
    <n v="36669.023999999998"/>
    <n v="36288"/>
    <n v="36669.023999999998"/>
    <n v="36288"/>
    <n v="36669.023999999998"/>
    <n v="0"/>
    <m/>
    <m/>
    <s v="X"/>
    <m/>
    <s v="RE"/>
    <n v="3"/>
    <n v="1"/>
  </r>
  <r>
    <x v="1"/>
    <x v="0"/>
    <s v="Ingresos y Capital"/>
    <s v="2.1.9"/>
    <s v="Incentivos financieros para la acuicultura "/>
    <s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s v="Programa de produccion y tecnolgía para el desarrollo sostenible"/>
    <s v="Programa de acceso al crédito"/>
    <x v="2"/>
    <x v="3"/>
    <s v="COMP 11"/>
    <s v="PRODUCCIÓN"/>
    <s v="FINANCIAMIENTO"/>
    <s v="C6"/>
    <s v="Créditos otorgados"/>
    <n v="324"/>
    <n v="324"/>
    <n v="324"/>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4179600"/>
    <n v="4223485.8"/>
    <n v="4179600"/>
    <n v="4223485.8"/>
    <n v="835920"/>
    <n v="844697.15999999992"/>
    <n v="835920"/>
    <n v="844697.15999999992"/>
    <n v="835920"/>
    <n v="844697.15999999992"/>
    <n v="835920"/>
    <n v="844697.15999999992"/>
    <n v="835920"/>
    <n v="844697.15999999992"/>
    <n v="0"/>
    <s v="X"/>
    <m/>
    <m/>
    <m/>
    <s v="RE"/>
    <n v="3"/>
    <n v="1"/>
  </r>
  <r>
    <x v="1"/>
    <x v="0"/>
    <s v="Ingresos y Capital"/>
    <s v="2.1.10"/>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s v="Programa de produccion y tecnolgía para el desarrollo sostenible"/>
    <s v="Programa de acceso al crédito"/>
    <x v="2"/>
    <x v="3"/>
    <s v="COMP 11"/>
    <s v="PRODUCCIÓN"/>
    <s v="FINANCIAMIENTO"/>
    <s v="C6"/>
    <s v="Créditos otorgados"/>
    <n v="29531"/>
    <n v="8859.2999999999993"/>
    <n v="5906.200000000000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GRDE"/>
    <n v="95237474.999999985"/>
    <n v="96237468.487499982"/>
    <n v="63491650.000000007"/>
    <n v="64158312.325000003"/>
    <n v="19047494.999999996"/>
    <n v="19247493.697499994"/>
    <n v="19047494.999999996"/>
    <n v="19247493.697499994"/>
    <n v="19047494.999999996"/>
    <n v="19247493.697499994"/>
    <n v="19047494.999999996"/>
    <n v="19247493.697499994"/>
    <n v="19047494.999999996"/>
    <n v="19247493.697499994"/>
    <n v="0"/>
    <s v="X"/>
    <m/>
    <m/>
    <m/>
    <s v="RE"/>
    <n v="3"/>
    <n v="1"/>
  </r>
  <r>
    <x v="1"/>
    <x v="0"/>
    <s v="Programas de inversión privada"/>
    <s v="2.1.11"/>
    <s v="Implementación de infraestructura productiva con énfasis a la agro exportación "/>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s v="Programa de produccion y tecnolgía para el desarrollo sostenible"/>
    <s v="Programa de Asistencia Técnicas para incrementar la capacidad productiva de las principaes cadenas"/>
    <x v="1"/>
    <x v="2"/>
    <s v="COMP 4 "/>
    <s v="PRODUCCIÓN"/>
    <s v="INFRAESTRUCTURA"/>
    <s v="C7"/>
    <s v="Planes de negocios/proyectos ejecutados"/>
    <n v="47"/>
    <n v="18.8"/>
    <n v="11.28"/>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15040000"/>
    <n v="15197920"/>
    <n v="9024000"/>
    <n v="9118752"/>
    <n v="3008000"/>
    <n v="3039584"/>
    <n v="3008000"/>
    <n v="3039584"/>
    <n v="3008000"/>
    <n v="3039584"/>
    <n v="3008000"/>
    <n v="3039584"/>
    <n v="3008000"/>
    <n v="3039584"/>
    <n v="0"/>
    <s v="X"/>
    <m/>
    <m/>
    <m/>
    <s v="RE"/>
    <n v="3"/>
    <n v="1"/>
  </r>
  <r>
    <x v="1"/>
    <x v="0"/>
    <s v="Programas de inversión privada"/>
    <s v="2.1.12"/>
    <s v="Fortalecimiento de capacidades en gestión de la calidad en las distintas cadenas de valor "/>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s v="Programa de produccion y tecnolgía para el desarrollo sostenible"/>
    <s v="Programa de Asistencia Técnicas para incrementar la capacidad productiva de las principaes cadenas"/>
    <x v="1"/>
    <x v="1"/>
    <s v="COMP 1"/>
    <s v="PRODUCCIÓN"/>
    <s v="CAPACITACIÓN"/>
    <s v="C3"/>
    <s v="Empresas y organizaciones atendidas"/>
    <n v="47"/>
    <n v="18.8"/>
    <n v="14.1"/>
    <n v="50000"/>
    <s v="El costo incluye la contratación de especialistas para brindar Asistencia Técnica en los procesos de implementación de las certificaciones de calidad, materiales para la capacitación y pasantías."/>
    <s v="DIREPRO"/>
    <n v="940000"/>
    <n v="949870"/>
    <n v="705000"/>
    <n v="712402.5"/>
    <n v="188000"/>
    <n v="189974"/>
    <n v="188000"/>
    <n v="189974"/>
    <n v="188000"/>
    <n v="189974"/>
    <n v="188000"/>
    <n v="189974"/>
    <n v="188000"/>
    <n v="189974"/>
    <n v="0"/>
    <m/>
    <m/>
    <s v="X"/>
    <m/>
    <s v="RE"/>
    <n v="3"/>
    <n v="1"/>
  </r>
  <r>
    <x v="1"/>
    <x v="0"/>
    <s v="Programas de inversión pública"/>
    <s v="2.1.13"/>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s v="Programa de produccion y tecnolgía para el desarrollo sostenible"/>
    <s v="Programa de promoción de la Asociatividad Empresarial"/>
    <x v="3"/>
    <x v="4"/>
    <s v="COMP 2"/>
    <s v="PRODUCCIÓN"/>
    <s v="ASOCIATIVIDAD"/>
    <s v="C2"/>
    <s v="Organizaciones auto sostenibles"/>
    <n v="47"/>
    <n v="14.1"/>
    <n v="28.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8460000"/>
    <n v="8548830"/>
    <n v="16920000"/>
    <n v="17097660"/>
    <n v="1692000"/>
    <n v="1709766"/>
    <n v="1692000"/>
    <n v="1709766"/>
    <n v="1692000"/>
    <n v="1709766"/>
    <n v="1692000"/>
    <n v="1709766"/>
    <n v="1692000"/>
    <n v="1709766"/>
    <n v="0"/>
    <m/>
    <m/>
    <s v="X"/>
    <m/>
    <m/>
    <n v="3"/>
    <n v="1"/>
  </r>
  <r>
    <x v="1"/>
    <x v="0"/>
    <s v="Programas de inversión privada"/>
    <s v="2.1.14"/>
    <s v="Certificación orgánica y  Comercio Justo"/>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s v="Programa de produccion y tecnolgía para el desarrollo sostenible"/>
    <s v="Programa de Asistencia Técnicas para incrementar la capacidad productiva de las principaes cadenas"/>
    <x v="1"/>
    <x v="5"/>
    <s v="COMP 3"/>
    <s v="PRODUCCIÓN"/>
    <s v="MERCADO"/>
    <s v="C9"/>
    <s v="Organizaciones certificadas"/>
    <n v="47"/>
    <n v="14.1"/>
    <n v="18.8"/>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20000"/>
    <n v="2849610"/>
    <n v="3760000"/>
    <n v="3799480"/>
    <n v="564000"/>
    <n v="569922"/>
    <n v="564000"/>
    <n v="569922"/>
    <n v="564000"/>
    <n v="569922"/>
    <n v="564000"/>
    <n v="569922"/>
    <n v="564000"/>
    <n v="569922"/>
    <n v="0"/>
    <m/>
    <m/>
    <s v="X"/>
    <m/>
    <m/>
    <n v="3"/>
    <n v="1"/>
  </r>
  <r>
    <x v="1"/>
    <x v="0"/>
    <s v="Control y vigilancia"/>
    <s v="2.1.15"/>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5250"/>
    <n v="500000"/>
    <n v="505250"/>
    <n v="100000"/>
    <n v="101050"/>
    <n v="100000"/>
    <n v="101050"/>
    <n v="100000"/>
    <n v="101050"/>
    <n v="100000"/>
    <n v="101050"/>
    <n v="100000"/>
    <n v="101050"/>
    <n v="0"/>
    <s v="X"/>
    <m/>
    <m/>
    <m/>
    <m/>
    <n v="2"/>
    <n v="1"/>
  </r>
  <r>
    <x v="1"/>
    <x v="1"/>
    <s v="Invasiones"/>
    <s v="2.2.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1265.8133615517399"/>
    <n v="632.90668077586997"/>
    <n v="632.90668077586997"/>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265813.36155174"/>
    <n v="1279104.4018480331"/>
    <n v="1265813.36155174"/>
    <n v="1279104.4018480331"/>
    <n v="126581.33615517401"/>
    <n v="127910.44018480333"/>
    <n v="189872.00423276098"/>
    <n v="191865.66027720497"/>
    <n v="253162.67231034802"/>
    <n v="255820.88036960666"/>
    <n v="379744.00846552197"/>
    <n v="383731.32055440993"/>
    <n v="316453.34038793499"/>
    <n v="319776.10046200827"/>
    <n v="0"/>
    <m/>
    <m/>
    <s v="X"/>
    <m/>
    <s v="RE"/>
    <n v="3"/>
    <n v="1"/>
  </r>
  <r>
    <x v="1"/>
    <x v="1"/>
    <s v="Programas de inversión pública"/>
    <s v="2.2.2"/>
    <s v="Promoción y desarrollo de proveedores de semillas mejoradas"/>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s v="Programa de produccion y tecnolgía para el desarrollo sostenible"/>
    <s v="Programa de Asistencia Técnicas para incrementar la capacidad productiva de las principaes cadenas"/>
    <x v="1"/>
    <x v="2"/>
    <s v="COMP 4 "/>
    <s v="PRODUCCIÓN"/>
    <s v="TECNOLOGÍA"/>
    <s v="C17"/>
    <s v="Unidades semilleristas"/>
    <n v="10"/>
    <n v="5"/>
    <n v="5"/>
    <n v="15000"/>
    <s v="El costo Incluye la adquirió de semillas certificadas, los pagos y trámites al CORESE  y los Servicios de Asistencia Técnica especializada. No incluye costos de alquiler de terrenos. Con respecto al fortalecimiento del INIA, se espera que el MINAGRI, asigne un mayor presupuesto para este rubro."/>
    <s v="DRASAM"/>
    <n v="75000"/>
    <n v="75787.5"/>
    <n v="75000"/>
    <n v="75787.5"/>
    <n v="15000"/>
    <n v="15157.5"/>
    <n v="15000"/>
    <n v="15157.5"/>
    <n v="15000"/>
    <n v="15157.5"/>
    <n v="15000"/>
    <n v="15157.5"/>
    <n v="15000"/>
    <n v="15157.5"/>
    <n v="0"/>
    <m/>
    <s v="X"/>
    <m/>
    <m/>
    <s v="RE"/>
    <n v="3"/>
    <n v="1"/>
  </r>
  <r>
    <x v="1"/>
    <x v="1"/>
    <s v="Programas de inversión pública"/>
    <s v="2.2.3"/>
    <s v="Promoción de Sistemas de producción sostenibles"/>
    <s v="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s v="Programa de produccion y tecnolgía para el desarrollo sostenible"/>
    <s v="Programa de Asistencia Técnicas para incrementar la capacidad productiva de las principaes cadenas"/>
    <x v="1"/>
    <x v="1"/>
    <s v="COMP 1"/>
    <s v="PRODUCCIÓN"/>
    <s v="CAPACITACIÓN"/>
    <s v="C3"/>
    <s v="Productores asistidos"/>
    <n v="3741"/>
    <n v="1870.5"/>
    <n v="1122.3"/>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47480"/>
    <n v="1058478.54"/>
    <n v="628488"/>
    <n v="635087.12399999995"/>
    <n v="209496"/>
    <n v="211695.70799999998"/>
    <n v="209496"/>
    <n v="211695.70799999998"/>
    <n v="209496"/>
    <n v="211695.70799999998"/>
    <n v="209496"/>
    <n v="211695.70799999998"/>
    <n v="209496"/>
    <n v="211695.70799999998"/>
    <n v="0"/>
    <m/>
    <m/>
    <s v="X"/>
    <m/>
    <s v="RE"/>
    <n v="2"/>
    <n v="1"/>
  </r>
  <r>
    <x v="1"/>
    <x v="1"/>
    <s v="Programas de inversión privada"/>
    <s v="2.2.4"/>
    <s v="Reconversión y diversificación productiva "/>
    <s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s v="Programa de produccion y tecnolgía para el desarrollo sostenible"/>
    <s v="Programa de Asistencia Técnicas para incrementar la capacidad productiva de las principaes cadenas"/>
    <x v="1"/>
    <x v="2"/>
    <s v="COMP 4 "/>
    <s v="PRODUCCIÓN"/>
    <s v="RECONVERSIÓN"/>
    <s v="C12"/>
    <s v="Hectáreas reconvertidas"/>
    <n v="3804.2000000000003"/>
    <n v="380.42000000000007"/>
    <n v="380.4200000000000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5706300.0000000009"/>
    <n v="5766216.1500000004"/>
    <n v="5706300.0000000009"/>
    <n v="5766216.1500000004"/>
    <n v="1141260.0000000002"/>
    <n v="1153243.2300000002"/>
    <n v="1141260.0000000002"/>
    <n v="1153243.2300000002"/>
    <n v="1141260.0000000002"/>
    <n v="1153243.2300000002"/>
    <n v="1141260.0000000002"/>
    <n v="1153243.2300000002"/>
    <n v="1141260.0000000002"/>
    <n v="1153243.2300000002"/>
    <n v="0"/>
    <m/>
    <m/>
    <s v="X"/>
    <m/>
    <s v="RE"/>
    <n v="3"/>
    <n v="1"/>
  </r>
  <r>
    <x v="1"/>
    <x v="1"/>
    <s v="Ingresos y Capital"/>
    <s v="2.2.5"/>
    <s v="Programa de acceso al financiamiento agropecuario condicionado"/>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s v="Programa de produccion y tecnolgía para el desarrollo sostenible"/>
    <s v="Programa de acceso al crédito"/>
    <x v="2"/>
    <x v="3"/>
    <s v="COMP 11"/>
    <s v="PRODUCCIÓN"/>
    <s v="FINANCIAMIENTO"/>
    <s v="C6"/>
    <s v="Productores atendidos"/>
    <n v="3741"/>
    <n v="1122.3"/>
    <n v="748.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2064725"/>
    <n v="12191404.612499999"/>
    <n v="8043150.0000000009"/>
    <n v="8127603.0750000002"/>
    <n v="2412945"/>
    <n v="2438280.9224999999"/>
    <n v="2412945"/>
    <n v="2438280.9224999999"/>
    <n v="2412945"/>
    <n v="2438280.9224999999"/>
    <n v="2412945"/>
    <n v="2438280.9224999999"/>
    <n v="2412945"/>
    <n v="2438280.9224999999"/>
    <n v="0"/>
    <s v="X"/>
    <m/>
    <m/>
    <m/>
    <s v="RE"/>
    <n v="3"/>
    <n v="1"/>
  </r>
  <r>
    <x v="1"/>
    <x v="1"/>
    <s v="Programas de inversión pública"/>
    <s v="2.2.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s v="Programa de produccion y tecnolgía para el desarrollo sostenible"/>
    <s v="Programa de promoción de la Asociatividad Empresarial"/>
    <x v="3"/>
    <x v="4"/>
    <s v="COMP 2"/>
    <s v="PRODUCCIÓN"/>
    <s v="ASOCIATIVIDAD"/>
    <s v="C2"/>
    <s v="Organizaciones formalizadas y fortalecidas"/>
    <n v="5"/>
    <n v="5"/>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3000000"/>
    <n v="3031500"/>
    <n v="3000000"/>
    <n v="3031500"/>
    <n v="600000"/>
    <n v="606300"/>
    <n v="600000"/>
    <n v="606300"/>
    <n v="600000"/>
    <n v="606300"/>
    <n v="600000"/>
    <n v="606300"/>
    <n v="600000"/>
    <n v="606300"/>
    <n v="0"/>
    <m/>
    <m/>
    <s v="X"/>
    <m/>
    <m/>
    <n v="3"/>
    <n v="1"/>
  </r>
  <r>
    <x v="1"/>
    <x v="1"/>
    <s v="Programas de inversión privada"/>
    <s v="2.2.7"/>
    <s v="Implementación de infraestructura productiva baja en emisiones"/>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s v="Programa de produccion y tecnolgía para el desarrollo sostenible"/>
    <s v="Programa de Asistencia Técnicas para incrementar la capacidad productiva de las principaes cadenas"/>
    <x v="1"/>
    <x v="2"/>
    <s v="COMP 4 "/>
    <s v="PRODUCCIÓN"/>
    <s v="INFRAESTRUCTURA"/>
    <s v="C7"/>
    <s v="Planes de negocios ejecutados"/>
    <n v="0"/>
    <n v="5"/>
    <n v="5"/>
    <n v="15000"/>
    <s v="Para el logro de los objetivos, se considera el pago de profesionales para la formulación de los planes de negocios que beneficiarían directamente a los pequeños productores."/>
    <s v="DRASAM"/>
    <n v="375000"/>
    <n v="378937.5"/>
    <n v="375000"/>
    <n v="378937.5"/>
    <n v="187500"/>
    <n v="189468.75"/>
    <n v="0"/>
    <n v="0"/>
    <n v="187500"/>
    <n v="189468.75"/>
    <n v="0"/>
    <n v="0"/>
    <n v="0"/>
    <n v="0"/>
    <n v="0"/>
    <s v="X"/>
    <m/>
    <m/>
    <m/>
    <m/>
    <n v="2"/>
    <n v="1"/>
  </r>
  <r>
    <x v="1"/>
    <x v="1"/>
    <s v="Control y vigilancia"/>
    <s v="2.2.8"/>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5250"/>
    <n v="500000"/>
    <n v="505250"/>
    <n v="100000"/>
    <n v="101050"/>
    <n v="100000"/>
    <n v="101050"/>
    <n v="100000"/>
    <n v="101050"/>
    <n v="100000"/>
    <n v="101050"/>
    <n v="100000"/>
    <n v="101050"/>
    <n v="0"/>
    <s v="X"/>
    <m/>
    <m/>
    <m/>
    <m/>
    <n v="3"/>
    <n v="1"/>
  </r>
  <r>
    <x v="1"/>
    <x v="2"/>
    <s v="Invasiones"/>
    <s v="2.3.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877.84859269436697"/>
    <n v="438.92429634718349"/>
    <n v="438.9242963471834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877848.59269436693"/>
    <n v="887066.00291765772"/>
    <n v="877848.59269436693"/>
    <n v="887066.00291765772"/>
    <n v="87784.859269436696"/>
    <n v="88706.600291765775"/>
    <n v="131677.28890415502"/>
    <n v="133059.90043764864"/>
    <n v="175569.71853887339"/>
    <n v="177413.20058353155"/>
    <n v="263354.57780831004"/>
    <n v="266119.80087529728"/>
    <n v="219462.14817359173"/>
    <n v="221766.50072941443"/>
    <n v="0"/>
    <m/>
    <m/>
    <s v="X"/>
    <m/>
    <s v="RE"/>
    <n v="3"/>
    <n v="1"/>
  </r>
  <r>
    <x v="1"/>
    <x v="2"/>
    <s v="Programas de inversión pública"/>
    <s v="2.3.2"/>
    <s v="Asistencia técnica para el mejoramiento de pastos y ganadería "/>
    <s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s v="Programa de produccion y tecnolgía para el desarrollo sostenible"/>
    <s v="Programa de Asistencia Técnicas para incrementar la capacidad productiva de las principaes cadenas"/>
    <x v="1"/>
    <x v="1"/>
    <s v="COMP 1"/>
    <s v="PRODUCCIÓN"/>
    <s v="ASISTENCIA TÉCNICA"/>
    <s v="C1"/>
    <s v="Ganaderos asistidos"/>
    <n v="1424"/>
    <n v="1424"/>
    <n v="1424"/>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7440"/>
    <n v="805813.12"/>
    <n v="797440"/>
    <n v="805813.12"/>
    <n v="159488"/>
    <n v="161162.62399999998"/>
    <n v="159488"/>
    <n v="161162.62399999998"/>
    <n v="159488"/>
    <n v="161162.62399999998"/>
    <n v="159488"/>
    <n v="161162.62399999998"/>
    <n v="159488"/>
    <n v="161162.62399999998"/>
    <n v="0"/>
    <m/>
    <m/>
    <s v="X"/>
    <m/>
    <s v="RE"/>
    <n v="3"/>
    <n v="1"/>
  </r>
  <r>
    <x v="1"/>
    <x v="2"/>
    <s v="Programas de inversión pública"/>
    <s v="2.3.3"/>
    <s v="Manejo, conservación y recuperación de suelos degradados"/>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s v="Programa de produccion y tecnolgía para el desarrollo sostenible"/>
    <s v="Programa de Asistencia Técnicas para incrementar la capacidad productiva de las principaes cadenas"/>
    <x v="1"/>
    <x v="1"/>
    <s v="COMP 1"/>
    <s v="PRODUCCIÓN"/>
    <s v="TECNOLOGÍA"/>
    <s v="C17"/>
    <s v="Hectáreas intervenidas"/>
    <n v="14015"/>
    <n v="2803"/>
    <n v="2803"/>
    <n v="500"/>
    <s v="El costo incluye adquisición de semillas, insumos, fertilizantes, entre otras para la producción de plantas agroforestales o coberturas  verdes."/>
    <s v="DRASAM"/>
    <n v="1401500"/>
    <n v="1416215.75"/>
    <n v="1401500"/>
    <n v="1416215.75"/>
    <n v="280300"/>
    <n v="283243.14999999997"/>
    <n v="280300"/>
    <n v="283243.14999999997"/>
    <n v="280300"/>
    <n v="283243.14999999997"/>
    <n v="280300"/>
    <n v="283243.14999999997"/>
    <n v="280300"/>
    <n v="283243.14999999997"/>
    <n v="0"/>
    <m/>
    <m/>
    <s v="X"/>
    <m/>
    <s v="RE"/>
    <n v="3"/>
    <n v="1"/>
  </r>
  <r>
    <x v="1"/>
    <x v="2"/>
    <s v="Programas de inversión pública"/>
    <s v="2.3.4"/>
    <s v="Mejoramiento genético de ganado bovino"/>
    <s v="Reactivación, implementación y gestión de las postas de inseminación artificial, importación de material genético (pajillas de semen), capacitación y entrenamiento a inseminadores, transferencia de embriones a las granjas de los productores y asistencia técnica."/>
    <s v="R"/>
    <s v="Programa de produccion y tecnolgía para el desarrollo sostenible"/>
    <s v="Programa de Asistencia Técnicas para incrementar la capacidad productiva de las principaes cadenas"/>
    <x v="1"/>
    <x v="2"/>
    <s v="COMP 4 "/>
    <s v="PRODUCCIÓN"/>
    <s v="TECNOLOGÍA"/>
    <s v="C17"/>
    <s v="Postas activas y operativas"/>
    <n v="0"/>
    <n v="5"/>
    <n v="5"/>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1370000"/>
    <n v="1384385"/>
    <n v="1370000"/>
    <n v="1384385"/>
    <n v="274000"/>
    <n v="276877"/>
    <n v="274000"/>
    <n v="276877"/>
    <n v="274000"/>
    <n v="276877"/>
    <n v="274000"/>
    <n v="276877"/>
    <n v="274000"/>
    <n v="276877"/>
    <n v="0"/>
    <m/>
    <s v="X"/>
    <m/>
    <m/>
    <m/>
    <n v="3"/>
    <n v="1"/>
  </r>
  <r>
    <x v="1"/>
    <x v="2"/>
    <s v="Ingresos y Capital"/>
    <s v="2.3.5"/>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s v="Programa de produccion y tecnolgía para el desarrollo sostenible"/>
    <s v="Programa de acceso al crédito"/>
    <x v="2"/>
    <x v="3"/>
    <s v="COMP 11"/>
    <s v="PRODUCCIÓN"/>
    <s v="FINANCIAMIENTO"/>
    <s v="C6"/>
    <s v="Ganaderos atendidos"/>
    <n v="1424"/>
    <n v="427.2"/>
    <n v="284.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4592400"/>
    <n v="4640620.2"/>
    <n v="3061600"/>
    <n v="3093746.8"/>
    <n v="918480"/>
    <n v="928124.03999999992"/>
    <n v="918480"/>
    <n v="928124.03999999992"/>
    <n v="918480"/>
    <n v="928124.03999999992"/>
    <n v="918480"/>
    <n v="928124.03999999992"/>
    <n v="918480"/>
    <n v="928124.03999999992"/>
    <n v="0"/>
    <s v="X"/>
    <m/>
    <m/>
    <m/>
    <s v="RE"/>
    <n v="3"/>
    <n v="1"/>
  </r>
  <r>
    <x v="1"/>
    <x v="2"/>
    <s v="Programas de inversión pública"/>
    <s v="2.3.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s v="Programa de produccion y tecnolgía para el desarrollo sostenible"/>
    <s v="Programa de promoción de la Asociatividad Empresarial"/>
    <x v="3"/>
    <x v="4"/>
    <s v="COMP 2"/>
    <s v="PRODUCCIÓN"/>
    <s v="ASOCIATIVIDAD"/>
    <s v="C2"/>
    <s v="Organizaciones fortalecidas"/>
    <n v="0"/>
    <n v="12"/>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0"/>
    <n v="7275600"/>
    <n v="7200000"/>
    <n v="7275600"/>
    <n v="1440000"/>
    <n v="1455120"/>
    <n v="1440000"/>
    <n v="1455120"/>
    <n v="1440000"/>
    <n v="1455120"/>
    <n v="1440000"/>
    <n v="1455120"/>
    <n v="1440000"/>
    <n v="1455120"/>
    <n v="0"/>
    <m/>
    <m/>
    <s v="X"/>
    <m/>
    <m/>
    <n v="3"/>
    <n v="1"/>
  </r>
  <r>
    <x v="1"/>
    <x v="2"/>
    <s v="Programas de inversión privada"/>
    <s v="2.3.7"/>
    <s v="Implementación de infraestructura productiva baja en emisiones"/>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s v="Programa de produccion y tecnolgía para el desarrollo sostenible"/>
    <s v="Programa de Asistencia Técnicas para incrementar la capacidad productiva de las principaes cadenas"/>
    <x v="1"/>
    <x v="2"/>
    <s v="COMP 4 "/>
    <s v="PRODUCCIÓN"/>
    <s v="TECNOLOGÍA"/>
    <s v="C17"/>
    <s v="Planes de negocios implementados"/>
    <n v="0"/>
    <n v="15"/>
    <n v="15"/>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2000000"/>
    <n v="12126000"/>
    <n v="12000000"/>
    <n v="12126000"/>
    <n v="2400000"/>
    <n v="2425200"/>
    <n v="2400000"/>
    <n v="2425200"/>
    <n v="2400000"/>
    <n v="2425200"/>
    <n v="2400000"/>
    <n v="2425200"/>
    <n v="2400000"/>
    <n v="2425200"/>
    <n v="0"/>
    <s v="X"/>
    <m/>
    <m/>
    <m/>
    <s v="RE"/>
    <n v="2"/>
    <n v="1"/>
  </r>
  <r>
    <x v="1"/>
    <x v="2"/>
    <s v="Control y vigilancia"/>
    <s v="2.3.8"/>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5250"/>
    <n v="500000"/>
    <n v="505250"/>
    <n v="100000"/>
    <n v="101050"/>
    <n v="100000"/>
    <n v="101050"/>
    <n v="100000"/>
    <n v="101050"/>
    <n v="100000"/>
    <n v="101050"/>
    <n v="100000"/>
    <n v="101050"/>
    <n v="0"/>
    <s v="X"/>
    <m/>
    <m/>
    <m/>
    <m/>
    <n v="1"/>
    <n v="1"/>
  </r>
  <r>
    <x v="1"/>
    <x v="3"/>
    <s v="Invasiones"/>
    <s v="2.4.1"/>
    <s v="Solución de conflictos en las CCNN"/>
    <s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_x000a_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
    <s v="NR"/>
    <s v="Programa de incentivos públicos promoviendo el bienestrar sostenible de sus habilitantes"/>
    <s v="Programa de regulización, formalizacion y saneamiento de predios"/>
    <x v="0"/>
    <x v="0"/>
    <s v="COMP 8"/>
    <s v="PROTECCIÓN"/>
    <s v="GOBERNANZA"/>
    <s v="C20"/>
    <s v="Porcentaje de conflictos resueltos"/>
    <n v="0"/>
    <n v="14"/>
    <n v="0"/>
    <n v="420000"/>
    <s v="Gastos logísticos y administrativos para implementar reuniones con los actores involucrados, con la finalidad de solucionar los diferentes conflictos entre las CCNN y los productores, así mismo se  brindará asesoramiento legal y técnico a las CCNN para la solución de los conflicto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2100000"/>
    <n v="2122050"/>
    <n v="0"/>
    <n v="0"/>
    <n v="420000"/>
    <n v="424410"/>
    <n v="420000"/>
    <n v="424410"/>
    <n v="420000"/>
    <n v="424410"/>
    <n v="420000"/>
    <n v="424410"/>
    <n v="420000"/>
    <n v="424410"/>
    <n v="0"/>
    <m/>
    <m/>
    <s v="X"/>
    <m/>
    <m/>
    <n v="3"/>
    <n v="1"/>
  </r>
  <r>
    <x v="1"/>
    <x v="3"/>
    <s v="Programas de inversión pública"/>
    <s v="2.4.2"/>
    <s v="Asistencia técnica para el manejo agroforestal "/>
    <s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s v="Programa  de Gestion sostenible de los bosques amazónicos frente al cambio climatico."/>
    <s v="Programa de Asistencia Técnica para la recuperación de bosques"/>
    <x v="4"/>
    <x v="6"/>
    <s v="COMP 5"/>
    <s v="PROTECCIÓN"/>
    <s v="ASISTENCIA TÉCNICA"/>
    <s v="C1"/>
    <s v="Productor asistido"/>
    <n v="1500"/>
    <n v="900"/>
    <n v="6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504000"/>
    <n v="509292"/>
    <n v="336000"/>
    <n v="339528"/>
    <n v="100800"/>
    <n v="101858.4"/>
    <n v="100800"/>
    <n v="101858.4"/>
    <n v="100800"/>
    <n v="101858.4"/>
    <n v="100800"/>
    <n v="101858.4"/>
    <n v="100800"/>
    <n v="101858.4"/>
    <n v="0"/>
    <m/>
    <m/>
    <s v="X"/>
    <m/>
    <s v="RE"/>
    <n v="3"/>
    <n v="1"/>
  </r>
  <r>
    <x v="1"/>
    <x v="3"/>
    <s v="Programas de inversión privada"/>
    <s v="2.4.3"/>
    <s v="Promoción de Bionegocios con productos forestales no maderables "/>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s v="Programa  de Gestion sostenible de los bosques amazónicos frente al cambio climatico."/>
    <s v="Programa de Emprendimientos que coadyuvan a la sostebilidad de los Bossques"/>
    <x v="5"/>
    <x v="7"/>
    <s v="COMP 6"/>
    <s v="PROTECCIÓN"/>
    <s v="INNOVACIÓN"/>
    <s v="C8"/>
    <s v="Planes de negocio"/>
    <n v="0"/>
    <n v="45"/>
    <n v="30"/>
    <n v="15000"/>
    <s v="Se contratará profesionales para el asesoramiento y formulación de planes de negocios de las Comunidades Nativas y Campesinas."/>
    <s v="Drasam, Agroideas"/>
    <n v="675000"/>
    <n v="682087.5"/>
    <n v="450000"/>
    <n v="454725"/>
    <n v="135000"/>
    <n v="136417.5"/>
    <n v="135000"/>
    <n v="136417.5"/>
    <n v="135000"/>
    <n v="136417.5"/>
    <n v="135000"/>
    <n v="136417.5"/>
    <n v="135000"/>
    <n v="136417.5"/>
    <n v="0"/>
    <s v="X"/>
    <m/>
    <m/>
    <m/>
    <s v="RE"/>
    <n v="2"/>
    <n v="1"/>
  </r>
  <r>
    <x v="1"/>
    <x v="3"/>
    <s v="Programas de inversión pública"/>
    <s v="2.4.4"/>
    <s v="Fortalecimiento de capacidades"/>
    <s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s v="Programa de produccion y tecnolgía para el desarrollo sostenible"/>
    <s v="Programa de promoción de la Asociatividad Empresarial"/>
    <x v="3"/>
    <x v="4"/>
    <s v="COMP 2"/>
    <s v="PRODUCCIÓN"/>
    <s v="ASOCIATIVIDAD"/>
    <s v="C2"/>
    <s v="Comunidades fortalecidas"/>
    <n v="0"/>
    <n v="15"/>
    <n v="15"/>
    <n v="144000"/>
    <s v="Contratación de especialistas para dar acompañamiento y seguimiento a los procesos organizativos de las CCNN de forma permanente."/>
    <s v="Drasam, Direpro, Dircetur, ARA, CODEPISAM"/>
    <n v="10800000"/>
    <n v="10913400"/>
    <n v="10800000"/>
    <n v="10913400"/>
    <n v="2160000"/>
    <n v="2182680"/>
    <n v="2160000"/>
    <n v="2182680"/>
    <n v="2160000"/>
    <n v="2182680"/>
    <n v="2160000"/>
    <n v="2182680"/>
    <n v="2160000"/>
    <n v="2182680"/>
    <n v="0"/>
    <m/>
    <m/>
    <s v="X"/>
    <m/>
    <s v="RE"/>
    <n v="2"/>
    <n v="1"/>
  </r>
  <r>
    <x v="1"/>
    <x v="3"/>
    <s v="Programas de inversión privada"/>
    <s v="2.4.5"/>
    <s v="Identificación y apertura de mercado para productos del bosque."/>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s v="Programa de produccion y tecnolgía para el desarrollo sostenible"/>
    <s v="Programa de Asistencia Técnicas para incrementar la capacidad productiva de las principaes cadenas"/>
    <x v="1"/>
    <x v="5"/>
    <s v="COMP 3"/>
    <s v="PRODUCCIÓN"/>
    <s v="MERCADO"/>
    <s v="C9"/>
    <s v="Especialistas"/>
    <n v="0"/>
    <n v="2"/>
    <n v="2"/>
    <n v="3500"/>
    <s v="Contratación de especialista para identificación, acompañamiento y seguimiento a los procesos comerciales iniciados por las organizaciones de las CCNN"/>
    <s v="Drasam, Direpro, Dircetur, ARA, OPIPs"/>
    <n v="420000"/>
    <n v="424410"/>
    <n v="420000"/>
    <n v="424410"/>
    <n v="84000"/>
    <n v="84882"/>
    <n v="84000"/>
    <n v="84882"/>
    <n v="84000"/>
    <n v="84882"/>
    <n v="84000"/>
    <n v="84882"/>
    <n v="84000"/>
    <n v="84882"/>
    <n v="0"/>
    <s v="X"/>
    <m/>
    <m/>
    <m/>
    <s v="RE"/>
    <n v="2"/>
    <n v="1"/>
  </r>
  <r>
    <x v="1"/>
    <x v="3"/>
    <s v="Invasiones"/>
    <s v="2.4.6"/>
    <s v="Transferencias de incentivos por conservación de bosques"/>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s v="Programa  de Gestion sostenible de los bosques amazónicos frente al cambio climatico."/>
    <s v="Programa de incentivos para la protección de bosques"/>
    <x v="6"/>
    <x v="3"/>
    <s v="COMP 11"/>
    <s v="PROTECCIÓN"/>
    <s v="FINANCIAMIENTO"/>
    <s v="C6"/>
    <s v="Comunidades atendidas"/>
    <n v="4"/>
    <n v="9"/>
    <n v="6"/>
    <n v="5000"/>
    <s v="El costo esta referido a los gastos administrativos y logísticos que impliquen la elaboración del expediente para ser presentado al programa. "/>
    <s v="Gerencia Regional de Desarrollo Social, Programa Geo bosques"/>
    <n v="225000"/>
    <n v="227362.5"/>
    <n v="150000"/>
    <n v="151575"/>
    <n v="45000"/>
    <n v="45472.5"/>
    <n v="45000"/>
    <n v="45472.5"/>
    <n v="45000"/>
    <n v="45472.5"/>
    <n v="45000"/>
    <n v="45472.5"/>
    <n v="45000"/>
    <n v="45472.5"/>
    <n v="0"/>
    <m/>
    <m/>
    <s v="X"/>
    <m/>
    <m/>
    <n v="3"/>
    <n v="1"/>
  </r>
  <r>
    <x v="1"/>
    <x v="3"/>
    <s v="Programas de inversión pública"/>
    <s v="2.4.7"/>
    <s v="Infraestructura comunitaria ( Tambos, Cobertizos, almacenes, cocinas mejoradas, Baños)"/>
    <s v="Con el soporte de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s v="Programa de incentivos públicos promoviendo el bienestrar sostenible de sus habilitantes"/>
    <s v="Programa de Infraestructura para la Competitividad "/>
    <x v="7"/>
    <x v="8"/>
    <s v="COMP 9"/>
    <s v="INCLUSION"/>
    <s v="SERVICIO DE EDUCACIÓN Y SALUD ADECUADOS"/>
    <s v="C14"/>
    <s v="Módulos implementados"/>
    <n v="1500"/>
    <n v="450"/>
    <n v="300"/>
    <n v="30000"/>
    <s v="Implementación según las necesidades identificadas en cada comunidad, considerando si son aplicables en dichas zonas, si no hay restricciones de cualquier índole. "/>
    <s v="Goresam, MIDIS, DRTyTC, Drasam,Foncodes, Cooperación"/>
    <n v="13500000"/>
    <n v="13641750"/>
    <n v="9000000"/>
    <n v="9094500"/>
    <n v="2700000"/>
    <n v="2728350"/>
    <n v="2700000"/>
    <n v="2728350"/>
    <n v="2700000"/>
    <n v="2728350"/>
    <n v="2700000"/>
    <n v="2728350"/>
    <n v="2700000"/>
    <n v="2728350"/>
    <n v="0"/>
    <m/>
    <m/>
    <s v="X"/>
    <m/>
    <m/>
    <n v="2"/>
    <n v="1"/>
  </r>
  <r>
    <x v="1"/>
    <x v="3"/>
    <s v="Programas de inversión pública"/>
    <s v="2.4.8"/>
    <s v="Servicios básicos de calidad"/>
    <s v="Implementación de proyectos enfocados a mejorar los servicios básicos de las comunidades nativas, dichos servicios deberán contar con profesionales bilingües, para asegurar y garantizar la adecuada transferencia de dichos servicios.  "/>
    <s v="NR"/>
    <s v="Programa de incentivos públicos promoviendo el bienestrar sostenible de sus habilitantes"/>
    <s v="Programa de Infraestructura para la Competitividad "/>
    <x v="7"/>
    <x v="8"/>
    <s v="COMP 9"/>
    <s v="INCLUSION"/>
    <s v="SERVICIO DE EDUCACIÓN Y SALUD ADECUADOS"/>
    <s v="C14"/>
    <s v="Escuelas y postas médicas implementadas"/>
    <n v="15"/>
    <n v="8"/>
    <n v="7"/>
    <n v="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000000"/>
    <n v="2021000"/>
    <n v="1750000"/>
    <n v="1768375"/>
    <n v="400000"/>
    <n v="404200"/>
    <n v="400000"/>
    <n v="404200"/>
    <n v="400000"/>
    <n v="404200"/>
    <n v="400000"/>
    <n v="404200"/>
    <n v="400000"/>
    <n v="404200"/>
    <n v="0"/>
    <s v="X"/>
    <m/>
    <m/>
    <m/>
    <s v="RE"/>
    <n v="3"/>
    <n v="1"/>
  </r>
  <r>
    <x v="1"/>
    <x v="4"/>
    <s v="Ingresos y Capital"/>
    <s v="2.5.1"/>
    <s v="Incentivos financieros para l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s v="Programa  de Gestion sostenible de los bosques amazónicos frente al cambio climatico."/>
    <s v="Programa de incentivos para la protección de bosques"/>
    <x v="6"/>
    <x v="3"/>
    <s v="COMP 11"/>
    <s v="PROTECCIÓN"/>
    <s v="FINANCIAMIENTO"/>
    <s v="C6"/>
    <s v="Planes de negocio"/>
    <n v="4"/>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6300"/>
    <n v="600000"/>
    <n v="606300"/>
    <n v="120000"/>
    <n v="121260"/>
    <n v="120000"/>
    <n v="121260"/>
    <n v="120000"/>
    <n v="121260"/>
    <n v="120000"/>
    <n v="121260"/>
    <n v="120000"/>
    <n v="121260"/>
    <n v="0"/>
    <s v="X"/>
    <m/>
    <m/>
    <m/>
    <n v="0"/>
    <n v="3"/>
    <n v="1"/>
  </r>
  <r>
    <x v="1"/>
    <x v="4"/>
    <s v="Programas de inversión pública"/>
    <s v="2.5.2"/>
    <s v="Asistencia técnica para la gestión del turismo y acciones integradas para el desarrollo de las organizaciones  o emprendimientos comunitarios"/>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s v="Programa  de Gestion sostenible de los bosques amazónicos frente al cambio climatico."/>
    <s v="Programa de Asistencia Técnica para la recuperación de bosques"/>
    <x v="4"/>
    <x v="6"/>
    <s v="COMP 5"/>
    <s v="PROTECCIÓN"/>
    <s v="ASISTENCIA TÉCNICA"/>
    <s v="C1"/>
    <s v="Especialistas"/>
    <n v="0"/>
    <n v="2"/>
    <n v="2"/>
    <n v="4000"/>
    <s v="Contratación de especialista y gastos logísticos, pasantías regionales y nacionales para adquisición de know how en materia de turismo rural"/>
    <s v="Dircetur"/>
    <n v="480000"/>
    <n v="485040"/>
    <n v="480000"/>
    <n v="485040"/>
    <n v="240000"/>
    <n v="242520"/>
    <n v="240000"/>
    <n v="242520"/>
    <n v="0"/>
    <n v="0"/>
    <n v="0"/>
    <n v="0"/>
    <n v="0"/>
    <n v="0"/>
    <n v="0"/>
    <m/>
    <m/>
    <s v="X"/>
    <m/>
    <n v="0"/>
    <n v="3"/>
    <n v="1"/>
  </r>
  <r>
    <x v="1"/>
    <x v="4"/>
    <s v="Programas de inversión privada"/>
    <s v="2.5.3"/>
    <s v="Promoción de Bionegocios con productos forestales no maderables "/>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s v="Programa  de Gestion sostenible de los bosques amazónicos frente al cambio climatico."/>
    <s v="Programa de Emprendimientos que coadyuvan a la sostebilidad de los Bossques"/>
    <x v="5"/>
    <x v="7"/>
    <s v="COMP 6"/>
    <s v="PROTECCIÓN"/>
    <s v="INNOVACIÓN"/>
    <s v="C8"/>
    <s v="Planes de negocio"/>
    <n v="0"/>
    <n v="4"/>
    <n v="8"/>
    <n v="150000"/>
    <s v="El costo hace referencia al proceso de implementación y funcionamiento de los productos para el desarrollo de  los emprendimientos."/>
    <s v="Dircetur, Agroideas"/>
    <n v="600000"/>
    <n v="606300"/>
    <n v="1200000"/>
    <n v="1212600"/>
    <n v="120000"/>
    <n v="121260"/>
    <n v="120000"/>
    <n v="121260"/>
    <n v="120000"/>
    <n v="121260"/>
    <n v="120000"/>
    <n v="121260"/>
    <n v="120000"/>
    <n v="121260"/>
    <n v="0"/>
    <s v="X"/>
    <m/>
    <m/>
    <m/>
    <s v="RE"/>
    <n v="3"/>
    <n v="1"/>
  </r>
  <r>
    <x v="1"/>
    <x v="4"/>
    <s v="Programas de inversión privada"/>
    <s v="2.5.4"/>
    <s v=" Promoción de mercados turísticos"/>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s v="Programa  de Gestion sostenible de los bosques amazónicos frente al cambio climatico."/>
    <s v="Programa de Emprendimientos que coadyuvan a la sostebilidad de los Bossques"/>
    <x v="5"/>
    <x v="7"/>
    <s v="COMP 6"/>
    <s v="PROTECCIÓN"/>
    <s v="PROMOCIÓN ACTIVIDADES ECONÓMICOS"/>
    <s v="C11"/>
    <s v="Rutas turísticas promocionados"/>
    <n v="0"/>
    <n v="4"/>
    <n v="4"/>
    <n v="40000"/>
    <s v="Participación en eventos de promoción (ferias regionales y nacionales, Fam Trip), el costo cubrirá gastos logísticos y administrativos de los operadores turísticos identificados "/>
    <s v="Mincetur, Dircetur"/>
    <n v="800000"/>
    <n v="808400"/>
    <n v="800000"/>
    <n v="808400"/>
    <n v="160000"/>
    <n v="161680"/>
    <n v="160000"/>
    <n v="161680"/>
    <n v="160000"/>
    <n v="161680"/>
    <n v="160000"/>
    <n v="161680"/>
    <n v="160000"/>
    <n v="161680"/>
    <n v="0"/>
    <m/>
    <m/>
    <s v="X"/>
    <m/>
    <n v="0"/>
    <n v="3"/>
    <n v="1"/>
  </r>
  <r>
    <x v="1"/>
    <x v="11"/>
    <s v="Control y vigilancia"/>
    <s v="2.6.1"/>
    <s v="Fortalecer el control y vigilancia"/>
    <s v="Implementar con recursos necesarios al ente que administra el área, con la finalidad de aumentar el número de personas (guardaparques) que contribuyan a realizar acciones de control y vigilancia."/>
    <s v="NR"/>
    <s v="Programa  de Gestion sostenible de los bosques amazónicos frente al cambio climatico."/>
    <s v="Programa de Asistencia Técnica para la recuperación de bosques"/>
    <x v="4"/>
    <x v="6"/>
    <s v="COMP 5"/>
    <s v="PROTECCIÓN-GOBERNANZA"/>
    <s v="CONTROL Y VIGILANCIA"/>
    <s v="C4"/>
    <s v="Número de guardaparques"/>
    <n v="0"/>
    <n v="10"/>
    <n v="10"/>
    <n v="2000"/>
    <s v="Contratación a guardaparques para garantizar el control y vigilancia del área otorgada."/>
    <s v="Ara, serfor, Sernanp"/>
    <n v="1200000"/>
    <n v="1212600"/>
    <n v="1200000"/>
    <n v="1212600"/>
    <n v="240000"/>
    <n v="242520"/>
    <n v="240000"/>
    <n v="242520"/>
    <n v="240000"/>
    <n v="242520"/>
    <n v="240000"/>
    <n v="242520"/>
    <n v="240000"/>
    <n v="242520"/>
    <n v="0"/>
    <m/>
    <s v="X"/>
    <m/>
    <m/>
    <s v="RE"/>
    <n v="3"/>
    <n v="1"/>
  </r>
  <r>
    <x v="1"/>
    <x v="11"/>
    <s v="Control y vigilancia"/>
    <s v="2.6.2"/>
    <s v="Sensibilización para el fortalecimiento del control y vigilancia en zona de amortiguamiento"/>
    <s v="Campañas de sensibilización en distritos acentuadas en el ámbito del ANP, considerando la participación del ARA, DRASAM, DIRCETUR, GRDS, CGSCM, CGBPAM, PNCB, OSINFOR. Articular acciones de vigilancia y control entre el ente que administra el ANP (SERNANP), cooperantes, población organizada como Juntas vecinales, comités de vigilancia, rondas campesinas, productores, comités y otros que se benefician de los servicios eco sistémicos del ANP"/>
    <s v="NR"/>
    <s v="Programa  de Gestion sostenible de los bosques amazónicos frente al cambio climatico."/>
    <s v="Programa de Asistencia Técnica para la recuperación de bosques"/>
    <x v="4"/>
    <x v="6"/>
    <s v="COMP 5"/>
    <s v="PROTECCIÓN-GOBERNANZA"/>
    <s v="CONTROL Y VIGILANCIA"/>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21000"/>
    <n v="2000000"/>
    <n v="2021000"/>
    <n v="400000"/>
    <n v="404200"/>
    <n v="400000"/>
    <n v="404200"/>
    <n v="400000"/>
    <n v="404200"/>
    <n v="400000"/>
    <n v="404200"/>
    <n v="400000"/>
    <n v="404200"/>
    <n v="0"/>
    <m/>
    <s v="X"/>
    <m/>
    <m/>
    <s v="RE"/>
    <n v="3"/>
    <n v="1"/>
  </r>
  <r>
    <x v="1"/>
    <x v="11"/>
    <s v="Programas de inversión pública"/>
    <s v="2.6.3"/>
    <s v="Promover acuerdos de conservación con cadena de valor para aquellos productos sostenibles con el ANP"/>
    <s v="Promover la planificación comunal en centros poblados del interior en base a la zonificación y zona de amortiguamiento teniendo como base al Plan Maestro (incluye acuerdos de conservación)"/>
    <s v="NR"/>
    <s v="Programa de incentivos públicos promoviendo el bienestrar sostenible de sus habilitantes"/>
    <s v="Programa de Infraestructura para la Competitividad "/>
    <x v="7"/>
    <x v="8"/>
    <s v="COMP 9"/>
    <s v="HABILITANTE"/>
    <s v="PLANES DE VIDA"/>
    <s v="C10"/>
    <s v="Planes de gestión comunal"/>
    <n v="0"/>
    <n v="24"/>
    <n v="40"/>
    <n v="10000"/>
    <s v="Contratación de servicios profesionales para la elaboración de los planes de gestión comunal."/>
    <s v="Dircetur, Mincetur"/>
    <n v="240000"/>
    <n v="242520"/>
    <n v="400000"/>
    <n v="404200"/>
    <n v="48000"/>
    <n v="48504"/>
    <n v="48000"/>
    <n v="48504"/>
    <n v="48000"/>
    <n v="48504"/>
    <n v="48000"/>
    <n v="48504"/>
    <n v="48000"/>
    <n v="48504"/>
    <n v="0"/>
    <m/>
    <s v="X"/>
    <m/>
    <m/>
    <m/>
    <n v="3"/>
    <n v="1"/>
  </r>
  <r>
    <x v="1"/>
    <x v="11"/>
    <s v="Programas de inversión privada"/>
    <s v="2.6.4"/>
    <s v="Promoción del turismo comunitario en zona de amortiguamiento y al interior del ANP"/>
    <s v="Campañas de promoción y difusión en el ámbito regional y nacional de los circuitos turísticos que existen en la zona de amortiguamiento. acorde al plan maestro del BPAM.  https://es.scribd.com/document/74386745/PLAN-DE-USO-TURISTICO-BPAM"/>
    <s v="NR"/>
    <s v="Programa  de Gestion sostenible de los bosques amazónicos frente al cambio climatico."/>
    <s v="Programa de Emprendimientos que coadyuvan a la sostebilidad de los Bossques"/>
    <x v="5"/>
    <x v="7"/>
    <s v="COMP 6"/>
    <s v="PROTECCIÓN"/>
    <s v="PROMOCIÓN ACTIVIDADES ECONÓMICOS"/>
    <s v="C11"/>
    <s v="Campañas de promoción"/>
    <n v="0"/>
    <n v="20"/>
    <n v="20"/>
    <n v="4000"/>
    <s v="Campañas de promoción que incluye, impresión de material de difusión, publicidad radial, televisiva y escrita."/>
    <s v="Dircetur, Mincetur"/>
    <n v="400000"/>
    <n v="404200"/>
    <n v="400000"/>
    <n v="404200"/>
    <n v="80000"/>
    <n v="80840"/>
    <n v="80000"/>
    <n v="80840"/>
    <n v="80000"/>
    <n v="80840"/>
    <n v="80000"/>
    <n v="80840"/>
    <n v="80000"/>
    <n v="80840"/>
    <n v="0"/>
    <m/>
    <m/>
    <s v="X"/>
    <m/>
    <m/>
    <n v="3"/>
    <n v="1"/>
  </r>
  <r>
    <x v="1"/>
    <x v="11"/>
    <s v="Programas de inversión privada"/>
    <s v="2.6.5"/>
    <s v="Promoción de agroforestería sostenible en zona de amortiguamiento y al interior del BPAM"/>
    <s v="Realizar pasantías focalizadas en aquellos sectores claves que se necesita intervenir para disminuir la presión al ANP."/>
    <s v="NR"/>
    <s v="Programa  de Gestion sostenible de los bosques amazónicos frente al cambio climatico."/>
    <s v="Programa de Emprendimientos que coadyuvan a la sostebilidad de los Bossques"/>
    <x v="5"/>
    <x v="7"/>
    <s v="COMP 6"/>
    <s v="PROTECCIÓN"/>
    <s v="PROMOCIÓN ACTIVIDADES ECONÓMICOS"/>
    <s v="C11"/>
    <s v="Pasantías"/>
    <n v="0"/>
    <n v="16"/>
    <n v="16"/>
    <n v="2500"/>
    <s v="El costo hace referencia a los gastos de pasajes, alimentación y otros para un grupo de 20 productores por pasantía."/>
    <s v="Drasam"/>
    <n v="200000"/>
    <n v="202100"/>
    <n v="200000"/>
    <n v="202100"/>
    <n v="40000"/>
    <n v="40420"/>
    <n v="40000"/>
    <n v="40420"/>
    <n v="40000"/>
    <n v="40420"/>
    <n v="40000"/>
    <n v="40420"/>
    <n v="40000"/>
    <n v="40420"/>
    <n v="0"/>
    <m/>
    <m/>
    <s v="X"/>
    <m/>
    <m/>
    <n v="2"/>
    <n v="1"/>
  </r>
  <r>
    <x v="1"/>
    <x v="11"/>
    <s v="Programas de inversión pública"/>
    <s v="2.6.6"/>
    <s v="Asistencia técnica para el desarrollo agroforestal diseñados e implementados junto a SERNANP"/>
    <s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s v="Programa  de Gestion sostenible de los bosques amazónicos frente al cambio climatico."/>
    <s v="Programa de Asistencia Técnica para la recuperación de bosques"/>
    <x v="4"/>
    <x v="6"/>
    <s v="COMP 5"/>
    <s v="PROTECCIÓN"/>
    <s v="ASISTENCIA TÉCNICA"/>
    <s v="C1"/>
    <s v="Especialistas"/>
    <n v="0"/>
    <n v="3"/>
    <n v="3"/>
    <n v="3500"/>
    <s v="El costo comprende la contratación de profesionales para brindar asistencias técnica en los cultivos priorizados en la zona de intervención."/>
    <s v="Drasam"/>
    <n v="630000"/>
    <n v="636615"/>
    <n v="630000"/>
    <n v="636615"/>
    <n v="126000"/>
    <n v="127323"/>
    <n v="126000"/>
    <n v="127323"/>
    <n v="126000"/>
    <n v="127323"/>
    <n v="126000"/>
    <n v="127323"/>
    <n v="126000"/>
    <n v="127323"/>
    <n v="0"/>
    <m/>
    <m/>
    <s v="X"/>
    <m/>
    <s v="RE"/>
    <n v="3"/>
    <n v="1"/>
  </r>
  <r>
    <x v="1"/>
    <x v="11"/>
    <s v="Ingresos y Capital"/>
    <s v="2.6.7"/>
    <s v="Incentivos financieros par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NR"/>
    <s v="Programa  de Gestion sostenible de los bosques amazónicos frente al cambio climatico."/>
    <s v="Programa de incentivos para la protección de bosques"/>
    <x v="6"/>
    <x v="3"/>
    <s v="COMP 11"/>
    <s v="PROTECCIÓN"/>
    <s v="FINANCIAMIENTO"/>
    <s v="C6"/>
    <s v="Planes de negocios"/>
    <n v="0"/>
    <n v="50"/>
    <n v="5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0"/>
    <n v="5052500"/>
    <n v="5000000"/>
    <n v="5052500"/>
    <n v="1000000"/>
    <n v="1010500"/>
    <n v="1000000"/>
    <n v="1010500"/>
    <n v="1000000"/>
    <n v="1010500"/>
    <n v="1000000"/>
    <n v="1010500"/>
    <n v="1000000"/>
    <n v="1010500"/>
    <n v="0"/>
    <s v="X"/>
    <m/>
    <m/>
    <m/>
    <s v="RE"/>
    <n v="3"/>
    <n v="1"/>
  </r>
  <r>
    <x v="1"/>
    <x v="8"/>
    <s v="Invasiones"/>
    <s v="2.7.1"/>
    <s v="Adecuación de ZoCRE a unidad de ordenamiento forestal y/o titulo habilitante forestal y de fauna silvestre de acuerdo a LFFS (Ley No 29763)"/>
    <s v="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
    <s v="NR"/>
    <s v="Programa de incentivos públicos promoviendo el bienestrar sostenible de sus habilitantes"/>
    <s v="Programa de regulización, formalizacion y saneamiento de predios"/>
    <x v="0"/>
    <x v="0"/>
    <s v="COMP 8"/>
    <s v="PROTECCIÓN-GOBERNANZA"/>
    <s v="DERECHOS SOBRE LA TIERRA"/>
    <s v="C5"/>
    <s v="Ha. con categoría territorial asignada"/>
    <n v="140920.89160839622"/>
    <n v="70460.445804198112"/>
    <n v="70460.445804198112"/>
    <n v="15"/>
    <s v="Para la implementación de las intervención será mecesario la contratación de especialistas para realizar las acciones que comtemplen dicha actividad. Gastos logísticos y trámites documentarios."/>
    <s v="GRSM - DEGT"/>
    <n v="1056906.6870629718"/>
    <n v="1068004.2072771329"/>
    <n v="1056906.6870629718"/>
    <n v="1068004.2072771329"/>
    <n v="211381.33741259435"/>
    <n v="213600.84145542659"/>
    <n v="211381.33741259435"/>
    <n v="213600.84145542659"/>
    <n v="211381.33741259435"/>
    <n v="213600.84145542659"/>
    <n v="211381.33741259435"/>
    <n v="213600.84145542659"/>
    <n v="211381.33741259435"/>
    <n v="213600.84145542659"/>
    <n v="0"/>
    <m/>
    <s v="X"/>
    <m/>
    <m/>
    <n v="0"/>
    <n v="3"/>
    <n v="1"/>
  </r>
  <r>
    <x v="1"/>
    <x v="8"/>
    <s v="Control y vigilancia"/>
    <s v="2.7.2"/>
    <s v="Fortalecimiento de capacidades de los responsables de la administración de las nuevas categorías de ordenamiento forestal y títulos habilitantes forestales"/>
    <s v="Comprende la capacitación en manejo de normatividad forestal y manejo de bosques, contratación de especialistas para tener presencia física en el área, equipamiento e infraestructura."/>
    <s v="NR"/>
    <s v="Programa de incentivos públicos promoviendo el bienestrar sostenible de sus habilitantes"/>
    <s v="Programa de regulización, formalizacion y saneamiento de predios"/>
    <x v="0"/>
    <x v="0"/>
    <s v="COMP 8"/>
    <s v="PROTECCIÓN-GOBERNANZA"/>
    <s v="DERECHOS SOBRE LA TIERRA"/>
    <s v="C5"/>
    <s v="N° de responsables de administración que aprueban evaluación de capacitación "/>
    <n v="0"/>
    <n v="70"/>
    <n v="70"/>
    <n v="150"/>
    <s v="Considera materiales de capacitación, alimentación a capacitados en el área cercana a su comunidad y gastos de capacitadores"/>
    <s v="GRSM - DEGT"/>
    <n v="10500"/>
    <n v="10610.25"/>
    <n v="10500"/>
    <n v="10610.25"/>
    <n v="10500"/>
    <n v="10610.25"/>
    <n v="0"/>
    <n v="0"/>
    <n v="0"/>
    <n v="0"/>
    <n v="0"/>
    <n v="0"/>
    <n v="0"/>
    <n v="0"/>
    <n v="0"/>
    <m/>
    <s v="X"/>
    <m/>
    <m/>
    <n v="0"/>
    <n v="2"/>
    <n v="1"/>
  </r>
  <r>
    <x v="1"/>
    <x v="8"/>
    <s v="Control y vigilancia"/>
    <s v="2.7.3"/>
    <s v="Elaboración del plan/declaración de manejo de las nuevas categorías de ordenamiento forestal y títulos habilitantes forestales"/>
    <s v="Dependiendo de la categoría forestal a ser aplicada, se realizará un plan/declaración acorde la unidad, en el marco de la ley forestal y fauna silvestre N° 29763."/>
    <s v="NR"/>
    <s v="Programa de incentivos públicos promoviendo el bienestrar sostenible de sus habilitantes"/>
    <s v="Programa de regulización, formalizacion y saneamiento de predios"/>
    <x v="0"/>
    <x v="0"/>
    <s v="COMP 8"/>
    <s v="PROTECCIÓN-GOBERNANZA"/>
    <s v="DERECHOS SOBRE LA TIERRA"/>
    <s v="C5"/>
    <s v="N° Planes / Declaraciones elaborados"/>
    <n v="0"/>
    <n v="15"/>
    <n v="15"/>
    <n v="10000"/>
    <s v="Se considera la contratación de profesionales para la elaboración de los expedientes y/o declaraciones identificadas en los diferentes procesos."/>
    <s v="GRSM - DEGT"/>
    <n v="150000"/>
    <n v="151575"/>
    <n v="150000"/>
    <n v="151575"/>
    <n v="45000"/>
    <n v="45472.5"/>
    <n v="45000"/>
    <n v="45472.5"/>
    <n v="60000"/>
    <n v="60630"/>
    <n v="0"/>
    <n v="0"/>
    <n v="0"/>
    <n v="0"/>
    <n v="0"/>
    <m/>
    <s v="X"/>
    <m/>
    <m/>
    <n v="0"/>
    <n v="2"/>
    <n v="1"/>
  </r>
  <r>
    <x v="1"/>
    <x v="8"/>
    <s v="Invasiones"/>
    <s v="2.7.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s v="Programa de incentivos públicos promoviendo el bienestrar sostenible de sus habilitantes"/>
    <s v="Programa de regulización, formalizacion y saneamiento de predios"/>
    <x v="0"/>
    <x v="0"/>
    <s v="COMP 8"/>
    <s v="PROTECCIÓN-GOBERNANZA"/>
    <s v="DERECHOS SOBRE LA TIERRA"/>
    <s v="C5"/>
    <s v="Ha. Inscritas"/>
    <n v="140920.89160839622"/>
    <n v="70460.445804198112"/>
    <n v="70460.445804198112"/>
    <n v="1"/>
    <s v="Contratación de dos profesioales para agilizar procesos con sunarp."/>
    <s v="GRSM - DEGT"/>
    <n v="70460.445804198112"/>
    <n v="71200.280485142182"/>
    <n v="70460.445804198112"/>
    <n v="71200.280485142182"/>
    <n v="14092.089160839623"/>
    <n v="14240.056097028439"/>
    <n v="14092.089160839623"/>
    <n v="14240.056097028439"/>
    <n v="14092.089160839623"/>
    <n v="14240.056097028439"/>
    <n v="14092.089160839623"/>
    <n v="14240.056097028439"/>
    <n v="14092.089160839623"/>
    <n v="14240.056097028439"/>
    <n v="0"/>
    <m/>
    <s v="X"/>
    <m/>
    <m/>
    <n v="0"/>
    <n v="2"/>
    <n v="1"/>
  </r>
  <r>
    <x v="1"/>
    <x v="9"/>
    <s v="Invasiones"/>
    <s v="2.8.1"/>
    <s v="Creación y establecimiento de unidades de ordenamiento forestal, otorgamiento de títulos habilitantes forestales y tenencia de la tierra"/>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s v="Programa de incentivos públicos promoviendo el bienestrar sostenible de sus habilitantes"/>
    <s v="Programa de regulización, formalizacion y saneamiento de predios"/>
    <x v="0"/>
    <x v="0"/>
    <s v="COMP 8"/>
    <s v="PROTECCIÓN-GOBERNANZA"/>
    <s v="DERECHOS SOBRE LA TIERRA"/>
    <s v="C5"/>
    <s v="Ha. con categoría territorial asignada"/>
    <n v="24905.186800862601"/>
    <n v="12452.5934004313"/>
    <n v="12452.5934004313"/>
    <n v="15"/>
    <s v="Para la implementación de las intervención será mecesario la contratación de especialistas para realizar las acciones que comtemplen dicha actividad. Gastos logísticos y trámites documentarios."/>
    <s v="GRSM - DEGT"/>
    <n v="186788.9010064695"/>
    <n v="188750.18446703741"/>
    <n v="186788.9010064695"/>
    <n v="188750.18446703741"/>
    <n v="37357.780201293899"/>
    <n v="37750.036893407487"/>
    <n v="37357.780201293899"/>
    <n v="37750.036893407487"/>
    <n v="37357.780201293899"/>
    <n v="37750.036893407487"/>
    <n v="37357.780201293899"/>
    <n v="37750.036893407487"/>
    <n v="37357.780201293899"/>
    <n v="37750.036893407487"/>
    <n v="0"/>
    <m/>
    <s v="X"/>
    <m/>
    <m/>
    <m/>
    <n v="3"/>
    <n v="1"/>
  </r>
  <r>
    <x v="1"/>
    <x v="9"/>
    <s v="Control y vigilancia"/>
    <s v="2.8.2"/>
    <s v="Fortalecimiento de capacidades de los responsables de la administración de las nuevas categorías de ordenamiento forestal y títulos habilitantes forestales"/>
    <s v="Comprende la capacitación en manejo de normatividad forestal y manejo de bosques, contratación de especialistas para tener presencia física en el área, equipamiento e infraestructura."/>
    <s v="NR"/>
    <s v="Programa de incentivos públicos promoviendo el bienestrar sostenible de sus habilitantes"/>
    <s v="Programa de regulización, formalizacion y saneamiento de predios"/>
    <x v="0"/>
    <x v="0"/>
    <s v="COMP 8"/>
    <s v="PROTECCIÓN-GOBERNANZA"/>
    <s v="DERECHOS SOBRE LA TIERRA"/>
    <s v="C5"/>
    <s v="N° de responsables de administración que aprueban evaluación de capacitación "/>
    <n v="0"/>
    <n v="70"/>
    <n v="70"/>
    <n v="150"/>
    <s v="Considera materiales de capacitación, alimentación a capacitados en el área cercana a su comunidad y gastos de capacitadores"/>
    <s v="GRSM - DEGT"/>
    <n v="10500"/>
    <n v="10610.25"/>
    <n v="10500"/>
    <n v="10610.25"/>
    <n v="10500"/>
    <n v="10610.25"/>
    <n v="0"/>
    <n v="0"/>
    <n v="0"/>
    <n v="0"/>
    <n v="0"/>
    <n v="0"/>
    <n v="0"/>
    <n v="0"/>
    <n v="0"/>
    <m/>
    <s v="X"/>
    <m/>
    <m/>
    <m/>
    <n v="2"/>
    <n v="1"/>
  </r>
  <r>
    <x v="1"/>
    <x v="9"/>
    <s v="Control y vigilancia"/>
    <s v="2.8.3"/>
    <s v="Elaboración del plan/declaración de manejo de las nuevas categorías de ordenamiento forestal y títulos habilitantes forestales"/>
    <s v="Dependiendo de la categoría forestal a ser aplicada, se realizará un plan/declaración acorde a la unidad, en el marco de la ley forestal y fauna silvestre N° 29763."/>
    <s v="NR"/>
    <s v="Programa de incentivos públicos promoviendo el bienestrar sostenible de sus habilitantes"/>
    <s v="Programa de regulización, formalizacion y saneamiento de predios"/>
    <x v="0"/>
    <x v="0"/>
    <s v="COMP 8"/>
    <s v="PROTECCIÓN-GOBERNANZA"/>
    <s v="DERECHOS SOBRE LA TIERRA"/>
    <s v="C5"/>
    <s v="N° Planes / Declaraciones elaborados"/>
    <n v="0"/>
    <n v="5"/>
    <n v="5"/>
    <n v="10000"/>
    <s v="Se considera la contratación de profesionales para la elaboración de los expedientes y/o declaraciones identificadas en los diferentes procesos."/>
    <s v="GRSM - DEGT"/>
    <n v="50000"/>
    <n v="50525"/>
    <n v="50000"/>
    <n v="50525"/>
    <n v="15000"/>
    <n v="15157.5"/>
    <n v="15000"/>
    <n v="15157.5"/>
    <n v="20000"/>
    <n v="20210"/>
    <n v="0"/>
    <n v="0"/>
    <n v="0"/>
    <n v="0"/>
    <n v="0"/>
    <m/>
    <s v="X"/>
    <m/>
    <m/>
    <m/>
    <n v="2"/>
    <n v="1"/>
  </r>
  <r>
    <x v="1"/>
    <x v="9"/>
    <s v="Invasiones"/>
    <s v="2.8.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s v="Programa de incentivos públicos promoviendo el bienestrar sostenible de sus habilitantes"/>
    <s v="Programa de regulización, formalizacion y saneamiento de predios"/>
    <x v="0"/>
    <x v="0"/>
    <s v="COMP 8"/>
    <s v="PROTECCIÓN-GOBERNANZA"/>
    <s v="DERECHOS SOBRE LA TIERRA"/>
    <s v="C5"/>
    <s v="Ha. Inscritas"/>
    <n v="24905.186800862601"/>
    <n v="12452.5934004313"/>
    <n v="12452.5934004313"/>
    <n v="1"/>
    <s v="Contratación de dos profesioales para agilizar procesos con sunarp."/>
    <s v="GRSM - DEGT"/>
    <n v="12452.5934004313"/>
    <n v="12583.345631135828"/>
    <n v="12452.5934004313"/>
    <n v="12583.345631135828"/>
    <n v="2490.5186800862602"/>
    <n v="2516.6691262271661"/>
    <n v="2490.5186800862602"/>
    <n v="2516.6691262271661"/>
    <n v="2490.5186800862602"/>
    <n v="2516.6691262271661"/>
    <n v="2490.5186800862602"/>
    <n v="2516.6691262271661"/>
    <n v="2490.5186800862602"/>
    <n v="2516.6691262271661"/>
    <n v="0"/>
    <m/>
    <s v="X"/>
    <m/>
    <m/>
    <m/>
    <n v="2"/>
    <n v="1"/>
  </r>
  <r>
    <x v="1"/>
    <x v="9"/>
    <s v="Ingresos y Capital"/>
    <s v="2.8.5"/>
    <s v="Restauración de áreas degradadas"/>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s v="Programa  de Gestion sostenible de los bosques amazónicos frente al cambio climatico."/>
    <s v="Programa de Asistencia Técnica para la recuperación de bosques"/>
    <x v="4"/>
    <x v="6"/>
    <s v="COMP 5"/>
    <s v="PROTECCIÓN-GOBERNANZA"/>
    <s v="DERECHOS SOBRE LA TIERRA"/>
    <s v="C5"/>
    <s v="Hectáreas restauradas"/>
    <n v="0"/>
    <n v="5637.0492705921833"/>
    <n v="0"/>
    <n v="500"/>
    <s v="El costo incluye la restauración de una hectárea, esta actividad se desarrollara de acuerdo a la metodología propuesta por el ARA, en coordinación con los productores seleccionados."/>
    <s v="ARA"/>
    <n v="2818524.6352960919"/>
    <n v="2848119.1439667009"/>
    <n v="0"/>
    <n v="0"/>
    <n v="2818524.6352960919"/>
    <n v="2848119.1439667009"/>
    <n v="0"/>
    <n v="0"/>
    <n v="0"/>
    <n v="0"/>
    <n v="0"/>
    <n v="0"/>
    <n v="0"/>
    <n v="0"/>
    <n v="0"/>
    <m/>
    <s v="X"/>
    <m/>
    <m/>
    <m/>
    <n v="3"/>
    <n v="1"/>
  </r>
  <r>
    <x v="1"/>
    <x v="10"/>
    <s v="Programas de inversión pública"/>
    <s v="2.9.1"/>
    <s v="Acuerdos con rondas campesinas y rondas nativas para cumplimiento de compromisos de no deforestación y tráfico de tierras e invasiones"/>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s v="Programa de incentivos públicos promoviendo el bienestrar sostenible de sus habilitantes"/>
    <s v="Programa de regulización, formalizacion y saneamiento de predios"/>
    <x v="0"/>
    <x v="0"/>
    <s v="COMP 8"/>
    <s v="PROTECCIÓN"/>
    <s v="TRANSVERSALES X UDT"/>
    <s v="C18"/>
    <s v="Acuerdos con rondas campesinas"/>
    <n v="0"/>
    <n v="19"/>
    <n v="19"/>
    <n v="2500"/>
    <s v="Reuniones con los diferentes actores involucrados y la sociedad civil para llegar a acuerdos de no deforestación, lo cual incluye  gastos logísticos en general."/>
    <s v="GRIS"/>
    <n v="237500"/>
    <n v="239993.75"/>
    <n v="237500"/>
    <n v="239993.75"/>
    <n v="47500"/>
    <n v="47998.75"/>
    <n v="47500"/>
    <n v="47998.75"/>
    <n v="47500"/>
    <n v="47998.75"/>
    <n v="47500"/>
    <n v="47998.75"/>
    <n v="47500"/>
    <n v="47998.75"/>
    <n v="0"/>
    <m/>
    <m/>
    <s v="X"/>
    <m/>
    <s v="RE"/>
    <n v="3"/>
    <n v="1"/>
  </r>
  <r>
    <x v="1"/>
    <x v="10"/>
    <s v="Programas de inversión pública"/>
    <s v="2.9.2"/>
    <s v="Fortalecimiento del monitoreo de la cobertura de bosques y control de la tala ilegal (deforestación, extracción de especies forestales de valor comercial y forestales para tutores de cultivos)"/>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Esta intervención será apoyada por las organizaciones formales de rondas campesinas, rondas campesinas rondas nativas y comités de monitoreo."/>
    <s v="NR"/>
    <s v="Programa  de Gestion sostenible de los bosques amazónicos frente al cambio climatico."/>
    <s v="Programa de Asistencia Técnica para la recuperación de bosques"/>
    <x v="4"/>
    <x v="6"/>
    <s v="COMP 5"/>
    <s v="PROTECCIÓN"/>
    <s v="TRANSVERSALES X UDT"/>
    <s v="C18"/>
    <s v="Especialistas"/>
    <n v="0"/>
    <n v="3"/>
    <n v="3"/>
    <n v="5000"/>
    <s v="Contratación de especialistas para realizar monitoreo de la cobertura de bosque, desde los diferentes órganos competentes. "/>
    <s v="ARA"/>
    <n v="900000"/>
    <n v="909450"/>
    <n v="900000"/>
    <n v="909450"/>
    <n v="180000"/>
    <n v="181890"/>
    <n v="180000"/>
    <n v="181890"/>
    <n v="180000"/>
    <n v="181890"/>
    <n v="180000"/>
    <n v="181890"/>
    <n v="180000"/>
    <n v="181890"/>
    <n v="0"/>
    <m/>
    <s v="X"/>
    <m/>
    <m/>
    <s v="RE"/>
    <n v="3"/>
    <n v="1"/>
  </r>
  <r>
    <x v="1"/>
    <x v="10"/>
    <s v="Programas de inversión pública"/>
    <s v="2.9.3"/>
    <s v="Mejoramiento de vías de acceso"/>
    <s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s v="Programa de incentivos públicos promoviendo el bienestrar sostenible de sus habilitantes"/>
    <s v="Programa de Infraestructura para la Competitividad "/>
    <x v="7"/>
    <x v="9"/>
    <s v="COMP 10"/>
    <s v="HABILITANTE"/>
    <s v="TRANSVERSALES X UDT"/>
    <s v="C18"/>
    <s v="Kilómetros mejorados"/>
    <n v="1706"/>
    <n v="170.60000000000002"/>
    <n v="170.60000000000002"/>
    <n v="800000"/>
    <s v="Costo promedio de por km2 de vía mejorada o asfaltada"/>
    <s v="DRTyTC"/>
    <n v="136480000.00000003"/>
    <n v="137913040.00000003"/>
    <n v="136480000.00000003"/>
    <n v="137913040.00000003"/>
    <n v="27296000.000000007"/>
    <n v="27582608.000000007"/>
    <n v="27296000.000000007"/>
    <n v="27582608.000000007"/>
    <n v="27296000.000000007"/>
    <n v="27582608.000000007"/>
    <n v="27296000.000000007"/>
    <n v="27582608.000000007"/>
    <n v="27296000.000000007"/>
    <n v="27582608.000000007"/>
    <n v="0"/>
    <s v="X"/>
    <m/>
    <m/>
    <m/>
    <m/>
    <n v="2"/>
    <n v="1"/>
  </r>
  <r>
    <x v="1"/>
    <x v="10"/>
    <s v="Programas de inversión pública"/>
    <s v="2.9.4"/>
    <s v="Restauración ecológica del paisaje"/>
    <s v="En marco de la Zonificación Forestal donde se identificaron zonas de recuperación y tratamiento especial para la restauración de áreas con prioridad alta y muy alta para restauración, utilizando las diferentes metodologías de restauración propuesta por la entidad competente. Las actividades de restauración tendrán como objetivos desarrollar la agroforestería, recuperar servicios eco sistémicos y recuperar zonas productivas."/>
    <s v="NR"/>
    <s v="Programa  de Gestion sostenible de los bosques amazónicos frente al cambio climatico."/>
    <s v="Programa de Asistencia Técnica para la recuperación de bosques"/>
    <x v="4"/>
    <x v="6"/>
    <s v="COMP 5"/>
    <s v="PROTECCIÓN"/>
    <s v="TRANSVERSALES X UDT"/>
    <s v="C18"/>
    <s v="Hectáreas Restauradas"/>
    <n v="62130.95"/>
    <n v="15532.737499999999"/>
    <n v="12426.19"/>
    <n v="500"/>
    <s v="El costo incluye la restauración de una hectárea, esta actividad se desarrollara de acuerdo a la metodología propuesta por el ARA, en coordinación con los productores seleccionados."/>
    <s v="ARA"/>
    <n v="7766368.75"/>
    <n v="7847915.6218749993"/>
    <n v="6213095"/>
    <n v="6278332.4974999996"/>
    <n v="1553273.75"/>
    <n v="1569583.1243749999"/>
    <n v="1553273.75"/>
    <n v="1569583.1243749999"/>
    <n v="1553273.75"/>
    <n v="1569583.1243749999"/>
    <n v="1553273.75"/>
    <n v="1569583.1243749999"/>
    <n v="1553273.75"/>
    <n v="1569583.1243749999"/>
    <n v="0"/>
    <m/>
    <m/>
    <s v="X"/>
    <m/>
    <s v="RE"/>
    <n v="3"/>
    <n v="1"/>
  </r>
  <r>
    <x v="1"/>
    <x v="10"/>
    <s v="Programas de inversión pública"/>
    <s v="2.9.5"/>
    <s v="Mejor cobertura y calidad de servicios de educación y salud"/>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s v="Programa de incentivos públicos promoviendo el bienestrar sostenible de sus habilitantes"/>
    <s v="Programa de Infraestructura para la Competitividad "/>
    <x v="7"/>
    <x v="8"/>
    <s v="COMP 9"/>
    <s v="INCLUSION"/>
    <s v="TRANSVERSALES X UDT"/>
    <s v="C18"/>
    <s v="Centros educativos y postas médicas implementados"/>
    <n v="0"/>
    <n v="5"/>
    <n v="5"/>
    <n v="3500000"/>
    <s v="El presupuesto esta relacionado a la implementación de la infraestructura, mobiliario y materiales educativos necesarios para que se brinde un servicio de calidad a los niños que aún no reciben dicho servicio de manera permanente."/>
    <s v="Colegio de ingenieros de San Martín / GRDS"/>
    <n v="17500000"/>
    <n v="17683750"/>
    <n v="17500000"/>
    <n v="17683750"/>
    <n v="3500000"/>
    <n v="3536750"/>
    <n v="3500000"/>
    <n v="3536750"/>
    <n v="3500000"/>
    <n v="3536750"/>
    <n v="3500000"/>
    <n v="3536750"/>
    <n v="3500000"/>
    <n v="3536750"/>
    <n v="0"/>
    <m/>
    <s v="X"/>
    <m/>
    <m/>
    <s v="RE"/>
    <n v="3"/>
    <n v="1"/>
  </r>
  <r>
    <x v="1"/>
    <x v="10"/>
    <s v="Programas de inversión pública"/>
    <s v="2.9.6"/>
    <s v="Programa de servicios públicos móviles"/>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s v="Programa de incentivos públicos promoviendo el bienestrar sostenible de sus habilitantes"/>
    <s v="Programa de Infraestructura para la Competitividad "/>
    <x v="7"/>
    <x v="8"/>
    <s v="COMP 9"/>
    <s v="INCLUSION"/>
    <s v="TRANSVERSALES X UDT"/>
    <s v="C18"/>
    <s v="N° campañas"/>
    <n v="0"/>
    <n v="166.25"/>
    <n v="166.25"/>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4156250"/>
    <n v="4199890.625"/>
    <n v="4156250"/>
    <n v="4199890.625"/>
    <n v="831250"/>
    <n v="839978.125"/>
    <n v="831250"/>
    <n v="839978.125"/>
    <n v="831250"/>
    <n v="839978.125"/>
    <n v="831250"/>
    <n v="839978.125"/>
    <n v="831250"/>
    <n v="839978.125"/>
    <n v="0"/>
    <m/>
    <s v="X"/>
    <m/>
    <m/>
    <s v="RE"/>
    <n v="3"/>
    <n v="1"/>
  </r>
  <r>
    <x v="1"/>
    <x v="10"/>
    <s v="Programas de inversión pública"/>
    <s v="2.9.7"/>
    <s v="Promoción Marca &quot;San Martín Región&quot; y &quot;Aliados por la Conservación&quot; "/>
    <s v="Promoción al acceso de la marca con los productores que cumplan los criterios de elegibilidad solicitados por el programa, como una estrategia de ubicar mercados diferenciados para los productos provenientes de estas zonas."/>
    <s v="NR"/>
    <s v="Programa de produccion y tecnolgía para el desarrollo sostenible"/>
    <s v="Programa de Asistencia Técnicas para incrementar la capacidad productiva de las principaes cadenas"/>
    <x v="1"/>
    <x v="5"/>
    <s v="COMP 3"/>
    <s v="PRODUCCIÓN"/>
    <s v="TRANSVERSALES X UDT"/>
    <s v="C18"/>
    <s v="Organizaciones que acceden a la marca"/>
    <n v="0"/>
    <n v="10"/>
    <n v="15"/>
    <n v="3000"/>
    <s v="El costo incluye: Una inspección anual anunciada,  elaboración de informe de inspección, administración y comunicación, certificación según los estándares de la marca."/>
    <s v="GRDE"/>
    <n v="150000"/>
    <n v="151575"/>
    <n v="45000"/>
    <n v="45472.5"/>
    <n v="30000"/>
    <n v="30315"/>
    <n v="30000"/>
    <n v="30315"/>
    <n v="30000"/>
    <n v="30315"/>
    <n v="30000"/>
    <n v="30315"/>
    <n v="30000"/>
    <n v="30315"/>
    <n v="0"/>
    <m/>
    <m/>
    <s v="X"/>
    <m/>
    <m/>
    <n v="3"/>
    <n v="1"/>
  </r>
  <r>
    <x v="2"/>
    <x v="0"/>
    <s v="Invasiones"/>
    <s v="4.1.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6328.5309793106999"/>
    <n v="3164.2654896553499"/>
    <n v="3164.2654896553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328530.9793106997"/>
    <n v="6394980.5545934616"/>
    <n v="6328530.9793106997"/>
    <n v="6394980.5545934616"/>
    <n v="632853.09793107002"/>
    <n v="639498.05545934627"/>
    <n v="949279.64689660491"/>
    <n v="959247.08318901923"/>
    <n v="1265706.19586214"/>
    <n v="1278996.1109186925"/>
    <n v="1898559.2937932098"/>
    <n v="1918494.1663780385"/>
    <n v="1582132.7448276749"/>
    <n v="1598745.1386483654"/>
    <n v="0"/>
    <m/>
    <m/>
    <s v="X"/>
    <m/>
    <s v="RE"/>
    <n v="3"/>
    <n v="1"/>
  </r>
  <r>
    <x v="2"/>
    <x v="0"/>
    <s v="Programas de inversión pública"/>
    <s v="4.1.2"/>
    <s v="Asistencia técnica con enfoque bajo en emisiones"/>
    <s v="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s v="Programa de produccion y tecnolgía para el desarrollo sostenible"/>
    <s v="Programa de Asistencia Técnicas para incrementar la capacidad productiva de las principaes cadenas"/>
    <x v="1"/>
    <x v="1"/>
    <s v="COMP 1"/>
    <s v="PRODUCCIÓN"/>
    <s v="ASISTENCIA TÉCNICA"/>
    <s v="C1"/>
    <s v="Productores asistidos"/>
    <n v="26029"/>
    <n v="15617.4"/>
    <n v="10411.6"/>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8745744"/>
    <n v="8837574.311999999"/>
    <n v="5830496"/>
    <n v="5891716.2079999996"/>
    <n v="1749148.8"/>
    <n v="1767514.8624"/>
    <n v="1749148.8"/>
    <n v="1767514.8624"/>
    <n v="1749148.8"/>
    <n v="1767514.8624"/>
    <n v="1749148.8"/>
    <n v="1767514.8624"/>
    <n v="1749148.8"/>
    <n v="1767514.8624"/>
    <n v="0"/>
    <m/>
    <m/>
    <s v="X"/>
    <m/>
    <s v="RE"/>
    <n v="3"/>
    <n v="1"/>
  </r>
  <r>
    <x v="2"/>
    <x v="0"/>
    <s v="Programas de inversión pública"/>
    <s v="4.1.3"/>
    <s v="Manejo, conservación y recuperación de suelos degradados"/>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s v="Programa de produccion y tecnolgía para el desarrollo sostenible"/>
    <s v="Programa de Asistencia Técnicas para incrementar la capacidad productiva de las principaes cadenas"/>
    <x v="1"/>
    <x v="1"/>
    <s v="COMP 1"/>
    <s v="PRODUCCIÓN"/>
    <s v="TECNOLOGÍA"/>
    <s v="C17"/>
    <s v="Hectáreas Intervenidas"/>
    <n v="71598"/>
    <n v="21479.399999999998"/>
    <n v="21479.399999999998"/>
    <n v="500"/>
    <s v="El costo incluye adquisición de semillas, insumos, fertilizantes, entre otras para la producción de plantas agroforestales o coberturas  verdes."/>
    <s v="DRASAM"/>
    <n v="10739699.999999998"/>
    <n v="10852466.849999998"/>
    <n v="10739699.999999998"/>
    <n v="10852466.849999998"/>
    <n v="2147939.9999999995"/>
    <n v="2170493.3699999996"/>
    <n v="2147939.9999999995"/>
    <n v="2170493.3699999996"/>
    <n v="2147939.9999999995"/>
    <n v="2170493.3699999996"/>
    <n v="2147939.9999999995"/>
    <n v="2170493.3699999996"/>
    <n v="2147939.9999999995"/>
    <n v="2170493.3699999996"/>
    <n v="0"/>
    <m/>
    <m/>
    <s v="X"/>
    <m/>
    <m/>
    <n v="3"/>
    <n v="1"/>
  </r>
  <r>
    <x v="2"/>
    <x v="0"/>
    <s v="Programas de inversión pública"/>
    <s v="4.1.4"/>
    <s v="Fertilización de áreas productivas de acuerdo a la etapa fenológica del cultivo"/>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s v="Programa de produccion y tecnolgía para el desarrollo sostenible"/>
    <s v="Programa de Asistencia Técnicas para incrementar la capacidad productiva de las principaes cadenas"/>
    <x v="1"/>
    <x v="1"/>
    <s v="COMP 1"/>
    <s v="PRODUCCIÓN"/>
    <s v="TECNOLOGÍA"/>
    <s v="C17"/>
    <s v="Hectáreas fertilizadas"/>
    <n v="71598"/>
    <n v="14319.6"/>
    <n v="21479.399999999998"/>
    <n v="2500"/>
    <s v="El costo incluye un análisis de suelos, paquete de fertilización según los resultados del análisis y la adquisición de fertilizantes. El costo incluye los tres abonamientos requeridos en una campaña (1 año)."/>
    <s v="Drasam"/>
    <n v="35799000"/>
    <n v="36174889.5"/>
    <n v="53698499.999999993"/>
    <n v="54262334.249999993"/>
    <n v="7159800"/>
    <n v="7234977.8999999994"/>
    <n v="7159800"/>
    <n v="7234977.8999999994"/>
    <n v="7159800"/>
    <n v="7234977.8999999994"/>
    <n v="7159800"/>
    <n v="7234977.8999999994"/>
    <n v="7159800"/>
    <n v="7234977.8999999994"/>
    <n v="0"/>
    <m/>
    <m/>
    <s v="X"/>
    <m/>
    <s v="RE"/>
    <n v="3"/>
    <n v="1"/>
  </r>
  <r>
    <x v="2"/>
    <x v="0"/>
    <s v="Programas de inversión privada"/>
    <s v="4.1.5"/>
    <s v="Instalación de sistemas de fertirriego"/>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s v="Programa de produccion y tecnolgía para el desarrollo sostenible"/>
    <s v="Programa de Asistencia Técnicas para incrementar la capacidad productiva de las principaes cadenas"/>
    <x v="1"/>
    <x v="2"/>
    <s v="COMP 4 "/>
    <s v="PRODUCCIÓN"/>
    <s v="TECNOLOGÍA"/>
    <s v="C17"/>
    <s v="Hectáreas con sistemas de riego"/>
    <n v="71598"/>
    <n v="3579.9"/>
    <n v="4295.88"/>
    <n v="11500"/>
    <s v="modulo instalado incluyendo fertilizantes para una campaña"/>
    <s v="DRASAM"/>
    <n v="41168850"/>
    <n v="41601122.924999997"/>
    <n v="49402620"/>
    <n v="49921347.509999998"/>
    <n v="8233770"/>
    <n v="8320224.585"/>
    <n v="8233770"/>
    <n v="8320224.585"/>
    <n v="8233770"/>
    <n v="8320224.585"/>
    <n v="8233770"/>
    <n v="8320224.585"/>
    <n v="8233770"/>
    <n v="8320224.585"/>
    <n v="0"/>
    <m/>
    <m/>
    <s v="X"/>
    <m/>
    <s v="RE"/>
    <n v="3"/>
    <n v="1"/>
  </r>
  <r>
    <x v="2"/>
    <x v="0"/>
    <s v="Programas de inversión privada"/>
    <s v="4.1.6"/>
    <s v="Reconversión y diversificación productiva "/>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s v="Programa de produccion y tecnolgía para el desarrollo sostenible"/>
    <s v="Programa de Asistencia Técnicas para incrementar la capacidad productiva de las principaes cadenas"/>
    <x v="1"/>
    <x v="2"/>
    <s v="COMP 4 "/>
    <s v="PRODUCCIÓN"/>
    <s v="RECONVERSIÓN"/>
    <s v="C12"/>
    <s v="Hectáreas reconvertidas"/>
    <n v="14319.6"/>
    <n v="1431.96"/>
    <n v="1431.96"/>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479400"/>
    <n v="21704933.699999999"/>
    <n v="21479400"/>
    <n v="21704933.699999999"/>
    <n v="4295880"/>
    <n v="4340986.74"/>
    <n v="4295880"/>
    <n v="4340986.74"/>
    <n v="4295880"/>
    <n v="4340986.74"/>
    <n v="4295880"/>
    <n v="4340986.74"/>
    <n v="4295880"/>
    <n v="4340986.74"/>
    <n v="0"/>
    <s v="X"/>
    <m/>
    <m/>
    <m/>
    <s v="RE"/>
    <n v="3"/>
    <n v="1"/>
  </r>
  <r>
    <x v="2"/>
    <x v="0"/>
    <s v="Programas de inversión pública"/>
    <s v="4.1.7"/>
    <s v="Promoción de agricultura familiar con enfoque de mercado"/>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s v="Programa de produccion y tecnolgía para el desarrollo sostenible"/>
    <s v="Programa de Asistencia Técnicas para incrementar la capacidad productiva de las principaes cadenas"/>
    <x v="1"/>
    <x v="1"/>
    <s v="COMP 1"/>
    <s v="PRODUCCIÓN"/>
    <s v="CAPACITACIÓN"/>
    <s v="C3"/>
    <s v="Productores beneficiados"/>
    <n v="26029"/>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38494987.395000003"/>
    <n v="76189980.000000015"/>
    <n v="76989974.790000007"/>
    <n v="7618998.0000000019"/>
    <n v="7698997.4790000012"/>
    <n v="7618998.0000000019"/>
    <n v="7698997.4790000012"/>
    <n v="7618998.0000000019"/>
    <n v="7698997.4790000012"/>
    <n v="7618998.0000000019"/>
    <n v="7698997.4790000012"/>
    <n v="7618998.0000000019"/>
    <n v="7698997.4790000012"/>
    <n v="0"/>
    <m/>
    <m/>
    <s v="X"/>
    <m/>
    <s v="RE"/>
    <n v="3"/>
    <n v="1"/>
  </r>
  <r>
    <x v="2"/>
    <x v="0"/>
    <s v="Programas de inversión pública"/>
    <s v="4.1.8"/>
    <s v="Asistencia técnica para el desarrollo de la acuicultura"/>
    <s v="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s v="Programa de produccion y tecnolgía para el desarrollo sostenible"/>
    <s v="Programa de Asistencia Técnicas para incrementar la capacidad productiva de las principaes cadenas"/>
    <x v="1"/>
    <x v="2"/>
    <s v="COMP 4 "/>
    <s v="PRODUCCIÓN"/>
    <s v="ASISTENCIA TÉCNICA"/>
    <s v="C1"/>
    <s v="Acuicultores asistidos"/>
    <n v="0"/>
    <n v="70"/>
    <n v="70"/>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39200"/>
    <n v="39611.599999999999"/>
    <n v="39200"/>
    <n v="39611.599999999999"/>
    <n v="7840"/>
    <n v="7922.32"/>
    <n v="7840"/>
    <n v="7922.32"/>
    <n v="7840"/>
    <n v="7922.32"/>
    <n v="7840"/>
    <n v="7922.32"/>
    <n v="7840"/>
    <n v="7922.32"/>
    <n v="0"/>
    <m/>
    <m/>
    <s v="X"/>
    <m/>
    <s v="RE"/>
    <n v="3"/>
    <n v="1"/>
  </r>
  <r>
    <x v="2"/>
    <x v="0"/>
    <s v="Ingresos y Capital"/>
    <s v="4.1.9"/>
    <s v="Incentivos financieros para la acuicultura "/>
    <s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s v="Programa de produccion y tecnolgía para el desarrollo sostenible"/>
    <s v="Programa de acceso al crédito"/>
    <x v="2"/>
    <x v="3"/>
    <s v="COMP 11"/>
    <s v="PRODUCCIÓN"/>
    <s v="FINANCIAMIENTO"/>
    <s v="C6"/>
    <s v="Créditos otorgados"/>
    <n v="0"/>
    <n v="70"/>
    <n v="70"/>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903000"/>
    <n v="912481.5"/>
    <n v="903000"/>
    <n v="912481.5"/>
    <n v="180600"/>
    <n v="182496.3"/>
    <n v="180600"/>
    <n v="182496.3"/>
    <n v="180600"/>
    <n v="182496.3"/>
    <n v="180600"/>
    <n v="182496.3"/>
    <n v="180600"/>
    <n v="182496.3"/>
    <n v="0"/>
    <s v="X"/>
    <m/>
    <m/>
    <m/>
    <s v="RE"/>
    <n v="3"/>
    <n v="1"/>
  </r>
  <r>
    <x v="2"/>
    <x v="0"/>
    <s v="Ingresos y Capital"/>
    <s v="4.1.10"/>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s v="Programa de produccion y tecnolgía para el desarrollo sostenible"/>
    <s v="Programa de acceso al crédito"/>
    <x v="2"/>
    <x v="3"/>
    <s v="COMP 11"/>
    <s v="PRODUCCIÓN"/>
    <s v="FINANCIAMIENTO"/>
    <s v="C6"/>
    <s v="Créditos otorgados"/>
    <n v="26029"/>
    <n v="7808.7"/>
    <n v="5205.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83943525"/>
    <n v="84824932.012500003"/>
    <n v="55962350"/>
    <n v="56549954.674999997"/>
    <n v="16788705"/>
    <n v="16964986.4025"/>
    <n v="16788705"/>
    <n v="16964986.4025"/>
    <n v="16788705"/>
    <n v="16964986.4025"/>
    <n v="16788705"/>
    <n v="16964986.4025"/>
    <n v="16788705"/>
    <n v="16964986.4025"/>
    <n v="0"/>
    <s v="X"/>
    <m/>
    <m/>
    <m/>
    <s v="RE"/>
    <n v="2"/>
    <n v="1"/>
  </r>
  <r>
    <x v="2"/>
    <x v="0"/>
    <s v="Programas de inversión privada"/>
    <s v="4.1.11"/>
    <s v="Implementación de infraestructura productiva con énfasis a la agro exportación "/>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s v="Programa de produccion y tecnolgía para el desarrollo sostenible"/>
    <s v="Programa de Asistencia Técnicas para incrementar la capacidad productiva de las principaes cadenas"/>
    <x v="1"/>
    <x v="2"/>
    <s v="COMP 4 "/>
    <s v="PRODUCCIÓN"/>
    <s v="INFRAESTRUCTURA"/>
    <s v="C7"/>
    <s v="Planes de negocios/proyectos ejecutados"/>
    <n v="6"/>
    <n v="6"/>
    <n v="2"/>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800000"/>
    <n v="4850400"/>
    <n v="1600000"/>
    <n v="1616800"/>
    <n v="960000"/>
    <n v="970080"/>
    <n v="960000"/>
    <n v="970080"/>
    <n v="960000"/>
    <n v="970080"/>
    <n v="960000"/>
    <n v="970080"/>
    <n v="960000"/>
    <n v="970080"/>
    <n v="0"/>
    <s v="X"/>
    <m/>
    <m/>
    <m/>
    <s v="RE"/>
    <n v="3"/>
    <n v="1"/>
  </r>
  <r>
    <x v="2"/>
    <x v="0"/>
    <s v="Programas de inversión privada"/>
    <s v="4.1.12"/>
    <s v="Fortalecimiento de capacidades en gestión de la calidad en las distintas cadenas de valor "/>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s v="Programa de produccion y tecnolgía para el desarrollo sostenible"/>
    <s v="Programa de Asistencia Técnicas para incrementar la capacidad productiva de las principaes cadenas"/>
    <x v="1"/>
    <x v="1"/>
    <s v="COMP 1"/>
    <s v="PRODUCCIÓN"/>
    <s v="CAPACITACIÓN"/>
    <s v="C3"/>
    <s v="Empresas y organizaciones atendidas"/>
    <n v="6"/>
    <n v="4.8000000000000007"/>
    <n v="1.2000000000000002"/>
    <n v="50000"/>
    <s v="El costo incluye la contratación de especialistas para brindar Asistencia Técnica en los procesos de implementación de las certificaciones de calidad, materiales para la capacitación y pasantías."/>
    <s v="DIREPRO"/>
    <n v="240000.00000000003"/>
    <n v="242520.00000000003"/>
    <n v="60000.000000000007"/>
    <n v="60630.000000000007"/>
    <n v="48000.000000000007"/>
    <n v="48504.000000000007"/>
    <n v="48000.000000000007"/>
    <n v="48504.000000000007"/>
    <n v="48000.000000000007"/>
    <n v="48504.000000000007"/>
    <n v="48000.000000000007"/>
    <n v="48504.000000000007"/>
    <n v="48000.000000000007"/>
    <n v="48504.000000000007"/>
    <n v="0"/>
    <m/>
    <m/>
    <s v="X"/>
    <m/>
    <s v="RE"/>
    <n v="3"/>
    <n v="1"/>
  </r>
  <r>
    <x v="2"/>
    <x v="0"/>
    <s v="Programas de inversión pública"/>
    <s v="4.1.13"/>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s v="Programa de produccion y tecnolgía para el desarrollo sostenible"/>
    <s v="Programa de promoción de la Asociatividad Empresarial"/>
    <x v="3"/>
    <x v="4"/>
    <s v="COMP 2"/>
    <s v="PRODUCCIÓN"/>
    <s v="ASOCIATIVIDAD"/>
    <s v="C2"/>
    <s v="Organizaciones auto sostenibles"/>
    <n v="0"/>
    <n v="6"/>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
    <n v="727560"/>
    <n v="240000"/>
    <n v="242520"/>
    <n v="144000"/>
    <n v="145512"/>
    <n v="144000"/>
    <n v="145512"/>
    <n v="144000"/>
    <n v="145512"/>
    <n v="144000"/>
    <n v="145512"/>
    <n v="144000"/>
    <n v="145512"/>
    <n v="0"/>
    <m/>
    <m/>
    <s v="X"/>
    <m/>
    <m/>
    <n v="3"/>
    <n v="1"/>
  </r>
  <r>
    <x v="2"/>
    <x v="0"/>
    <s v="Programas de inversión privada"/>
    <s v="4.1.14"/>
    <s v="Certificación orgánica y  Comercio Justo"/>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s v="Programa de produccion y tecnolgía para el desarrollo sostenible"/>
    <s v="Programa de Asistencia Técnicas para incrementar la capacidad productiva de las principaes cadenas"/>
    <x v="1"/>
    <x v="5"/>
    <s v="COMP 3"/>
    <s v="PRODUCCIÓN"/>
    <s v="MERCADO"/>
    <s v="C9"/>
    <s v="Organizaciones certificadas"/>
    <n v="10"/>
    <n v="5"/>
    <n v="5"/>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1000000"/>
    <n v="1010500"/>
    <n v="1000000"/>
    <n v="1010500"/>
    <n v="200000"/>
    <n v="202100"/>
    <n v="200000"/>
    <n v="202100"/>
    <n v="200000"/>
    <n v="202100"/>
    <n v="200000"/>
    <n v="202100"/>
    <n v="200000"/>
    <n v="202100"/>
    <n v="0"/>
    <m/>
    <m/>
    <s v="X"/>
    <m/>
    <m/>
    <n v="3"/>
    <n v="1"/>
  </r>
  <r>
    <x v="2"/>
    <x v="0"/>
    <s v="Programas de inversión privada"/>
    <s v="4.1.15"/>
    <s v="Certificación RSPO"/>
    <s v="Implementar y promover la certificación de plantaciones de 2161 pequeños productores, los cuales tienen 8,211 ha. La certificación RSPO permite facilitar el acceso a los mercados de los productos derivados de la palma aceitera. Esta intervención forma parte del fortalecimiento de la infraestrucura de la calidad en las cadenas."/>
    <s v="R"/>
    <s v="Programa de produccion y tecnolgía para el desarrollo sostenible"/>
    <s v="Programa de Asistencia Técnicas para incrementar la capacidad productiva de las principaes cadenas"/>
    <x v="1"/>
    <x v="5"/>
    <s v="COMP 3"/>
    <s v="PRODUCCIÓN"/>
    <s v="MERCADO"/>
    <s v="C9"/>
    <s v="Hectáreas certificadas"/>
    <n v="0"/>
    <n v="2463.2999999999997"/>
    <n v="4105.5"/>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6156082.2959999992"/>
    <n v="6220721.1601079991"/>
    <n v="10260137.16"/>
    <n v="10367868.60018"/>
    <n v="1231216.4591999999"/>
    <n v="1244144.2320215998"/>
    <n v="1231216.4591999999"/>
    <n v="1244144.2320215998"/>
    <n v="1231216.4591999999"/>
    <n v="1244144.2320215998"/>
    <n v="1231216.4591999999"/>
    <n v="1244144.2320215998"/>
    <n v="1231216.4591999999"/>
    <n v="1244144.2320215998"/>
    <n v="0"/>
    <m/>
    <m/>
    <s v="X"/>
    <m/>
    <m/>
    <n v="3"/>
    <n v="1"/>
  </r>
  <r>
    <x v="2"/>
    <x v="0"/>
    <s v="Programas de inversión pública"/>
    <s v="4.1.16"/>
    <s v="Promoción y desarrollo de proveedores de semillas mejoradas"/>
    <s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
    <s v="NR"/>
    <s v="Programa de produccion y tecnolgía para el desarrollo sostenible"/>
    <s v="Programa de Asistencia Técnicas para incrementar la capacidad productiva de las principaes cadenas"/>
    <x v="1"/>
    <x v="2"/>
    <s v="COMP 4 "/>
    <s v="PRODUCCIÓN"/>
    <s v="TECNOLOGÍA"/>
    <s v="C17"/>
    <s v="Unidades semilleristas"/>
    <n v="0"/>
    <n v="3"/>
    <n v="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45000"/>
    <n v="45472.5"/>
    <n v="75000"/>
    <n v="75787.5"/>
    <n v="9000"/>
    <n v="9094.5"/>
    <n v="9000"/>
    <n v="9094.5"/>
    <n v="9000"/>
    <n v="9094.5"/>
    <n v="9000"/>
    <n v="9094.5"/>
    <n v="9000"/>
    <n v="9094.5"/>
    <n v="0"/>
    <m/>
    <m/>
    <s v="X"/>
    <m/>
    <m/>
    <n v="2"/>
    <n v="1"/>
  </r>
  <r>
    <x v="2"/>
    <x v="0"/>
    <s v="Control y vigilancia"/>
    <s v="4.1.17"/>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s v="X"/>
    <m/>
    <m/>
    <m/>
    <m/>
    <n v="3"/>
    <n v="1"/>
  </r>
  <r>
    <x v="2"/>
    <x v="2"/>
    <s v="Invasiones"/>
    <s v="4.2.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259.94579468684702"/>
    <n v="129.97289734342351"/>
    <n v="129.972897343423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9945.79468684702"/>
    <n v="262675.22553105891"/>
    <n v="259945.79468684702"/>
    <n v="262675.22553105891"/>
    <n v="25994.579468684704"/>
    <n v="26267.522553105893"/>
    <n v="38991.869203027054"/>
    <n v="39401.283829658838"/>
    <n v="51989.158937369408"/>
    <n v="52535.045106211786"/>
    <n v="77983.738406054108"/>
    <n v="78802.567659317676"/>
    <n v="64986.448671711754"/>
    <n v="65668.806382764727"/>
    <n v="0"/>
    <m/>
    <m/>
    <s v="X"/>
    <m/>
    <s v="RE"/>
    <n v="3"/>
    <n v="1"/>
  </r>
  <r>
    <x v="2"/>
    <x v="2"/>
    <s v="Programas de inversión pública"/>
    <s v="4.2.2"/>
    <s v="Asistencia técnica para el mejoramiento de pastos y ganadería "/>
    <s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s v="Programa de produccion y tecnolgía para el desarrollo sostenible"/>
    <s v="Programa de Asistencia Técnicas para incrementar la capacidad productiva de las principaes cadenas"/>
    <x v="1"/>
    <x v="1"/>
    <s v="COMP 1"/>
    <s v="PRODUCCIÓN"/>
    <s v="ASISTENCIA TÉCNICA"/>
    <s v="C1"/>
    <s v="Ganaderos asistidos"/>
    <n v="1214"/>
    <n v="1214"/>
    <n v="121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679840"/>
    <n v="686978.32"/>
    <n v="679840"/>
    <n v="686978.32"/>
    <n v="135968"/>
    <n v="137395.66399999999"/>
    <n v="135968"/>
    <n v="137395.66399999999"/>
    <n v="135968"/>
    <n v="137395.66399999999"/>
    <n v="135968"/>
    <n v="137395.66399999999"/>
    <n v="135968"/>
    <n v="137395.66399999999"/>
    <n v="0"/>
    <m/>
    <m/>
    <s v="X"/>
    <m/>
    <s v="RE"/>
    <n v="3"/>
    <n v="1"/>
  </r>
  <r>
    <x v="2"/>
    <x v="2"/>
    <s v="Programas de inversión pública"/>
    <s v="4.2.3"/>
    <s v="Manejo, conservación y recuperación de suelos degradados"/>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s v="Programa de produccion y tecnolgía para el desarrollo sostenible"/>
    <s v="Programa de Asistencia Técnicas para incrementar la capacidad productiva de las principaes cadenas"/>
    <x v="1"/>
    <x v="1"/>
    <s v="COMP 1"/>
    <s v="PRODUCCIÓN"/>
    <s v="TECNOLOGÍA"/>
    <s v="C17"/>
    <s v="Hectáreas intervenidas"/>
    <n v="3975"/>
    <n v="795"/>
    <n v="795"/>
    <n v="500"/>
    <s v="El costo incluye adquisición de semillas, insumos, fertilizantes, entre otras para la producción de plantas agroforestales o coberturas  verdes."/>
    <s v="DRASAM"/>
    <n v="397500"/>
    <n v="401673.75"/>
    <n v="397500"/>
    <n v="401673.75"/>
    <n v="79500"/>
    <n v="80334.75"/>
    <n v="79500"/>
    <n v="80334.75"/>
    <n v="79500"/>
    <n v="80334.75"/>
    <n v="79500"/>
    <n v="80334.75"/>
    <n v="79500"/>
    <n v="80334.75"/>
    <n v="0"/>
    <m/>
    <m/>
    <s v="X"/>
    <m/>
    <s v="RE"/>
    <n v="2"/>
    <n v="1"/>
  </r>
  <r>
    <x v="2"/>
    <x v="2"/>
    <s v="Programas de inversión pública"/>
    <s v="4.2.4"/>
    <s v="Mejoramiento genético de ganado bovino"/>
    <s v="Reactivación  , implementación y gestión de las postas de inseminación artificial, importación de material genético (pajillas de semen), capacitación y entrenamiento a inseminadores, transferencia de embriones."/>
    <s v="R"/>
    <s v="Programa de produccion y tecnolgía para el desarrollo sostenible"/>
    <s v="Programa de Asistencia Técnicas para incrementar la capacidad productiva de las principaes cadenas"/>
    <x v="1"/>
    <x v="2"/>
    <s v="COMP 4 "/>
    <s v="PRODUCCIÓN"/>
    <s v="TECNOLOGÍA"/>
    <s v="C17"/>
    <s v="Postas activas y operativas"/>
    <n v="0"/>
    <n v="3"/>
    <n v="3"/>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822000"/>
    <n v="830631"/>
    <n v="822000"/>
    <n v="830631"/>
    <n v="164400"/>
    <n v="166126.19999999998"/>
    <n v="164400"/>
    <n v="166126.19999999998"/>
    <n v="164400"/>
    <n v="166126.19999999998"/>
    <n v="164400"/>
    <n v="166126.19999999998"/>
    <n v="164400"/>
    <n v="166126.19999999998"/>
    <n v="0"/>
    <m/>
    <s v="X"/>
    <m/>
    <m/>
    <m/>
    <n v="3"/>
    <n v="1"/>
  </r>
  <r>
    <x v="2"/>
    <x v="2"/>
    <s v="Ingresos y Capital"/>
    <s v="4.2.5"/>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
    <s v="R"/>
    <s v="Programa de produccion y tecnolgía para el desarrollo sostenible"/>
    <s v="Programa de acceso al crédito"/>
    <x v="2"/>
    <x v="3"/>
    <s v="COMP 11"/>
    <s v="PRODUCCIÓN"/>
    <s v="FINANCIAMIENTO"/>
    <s v="C6"/>
    <s v="Créditos otorgados"/>
    <n v="1214"/>
    <n v="364.2"/>
    <n v="242.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3915150"/>
    <n v="3956259.0749999997"/>
    <n v="2610100"/>
    <n v="2637506.0499999998"/>
    <n v="783030"/>
    <n v="791251.81499999994"/>
    <n v="783030"/>
    <n v="791251.81499999994"/>
    <n v="783030"/>
    <n v="791251.81499999994"/>
    <n v="783030"/>
    <n v="791251.81499999994"/>
    <n v="783030"/>
    <n v="791251.81499999994"/>
    <n v="0"/>
    <s v="X"/>
    <m/>
    <m/>
    <m/>
    <s v="RE"/>
    <n v="3"/>
    <n v="1"/>
  </r>
  <r>
    <x v="2"/>
    <x v="2"/>
    <s v="Programas de inversión pública"/>
    <s v="4.2.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s v="Programa de produccion y tecnolgía para el desarrollo sostenible"/>
    <s v="Programa de promoción de la Asociatividad Empresarial"/>
    <x v="3"/>
    <x v="4"/>
    <s v="COMP 2"/>
    <s v="PRODUCCIÓN"/>
    <s v="ASOCIATIVIDAD"/>
    <s v="C2"/>
    <s v="Organizaciones fortalecidas"/>
    <n v="0"/>
    <n v="4"/>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2400000"/>
    <n v="2425200"/>
    <n v="3000000"/>
    <n v="3031500"/>
    <n v="480000"/>
    <n v="485040"/>
    <n v="480000"/>
    <n v="485040"/>
    <n v="480000"/>
    <n v="485040"/>
    <n v="480000"/>
    <n v="485040"/>
    <n v="480000"/>
    <n v="485040"/>
    <n v="0"/>
    <m/>
    <m/>
    <s v="X"/>
    <m/>
    <m/>
    <n v="3"/>
    <n v="1"/>
  </r>
  <r>
    <x v="2"/>
    <x v="2"/>
    <s v="Programas de inversión privada"/>
    <s v="4.2.7"/>
    <s v="Implementación de infraestructura productiva baja en emisiones"/>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s v="Programa de produccion y tecnolgía para el desarrollo sostenible"/>
    <s v="Programa de Asistencia Técnicas para incrementar la capacidad productiva de las principaes cadenas"/>
    <x v="1"/>
    <x v="2"/>
    <s v="COMP 4 "/>
    <s v="PRODUCCIÓN"/>
    <s v="TECNOLOGÍA"/>
    <s v="C17"/>
    <s v="Planes de negocios implementados"/>
    <n v="0"/>
    <n v="6"/>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4800000"/>
    <n v="4850400"/>
    <n v="8000000"/>
    <n v="8084000"/>
    <n v="960000"/>
    <n v="970080"/>
    <n v="960000"/>
    <n v="970080"/>
    <n v="960000"/>
    <n v="970080"/>
    <n v="960000"/>
    <n v="970080"/>
    <n v="960000"/>
    <n v="970080"/>
    <n v="0"/>
    <s v="X"/>
    <m/>
    <m/>
    <m/>
    <m/>
    <n v="3"/>
    <n v="1"/>
  </r>
  <r>
    <x v="2"/>
    <x v="2"/>
    <s v="Control y vigilancia"/>
    <s v="4.2.8"/>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15"/>
    <n v="1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50000"/>
    <n v="151575"/>
    <n v="150000"/>
    <n v="151575"/>
    <n v="30000"/>
    <n v="30315"/>
    <n v="30000"/>
    <n v="30315"/>
    <n v="30000"/>
    <n v="30315"/>
    <n v="30000"/>
    <n v="30315"/>
    <n v="30000"/>
    <n v="30315"/>
    <n v="0"/>
    <s v="X"/>
    <m/>
    <m/>
    <m/>
    <m/>
    <n v="2"/>
    <n v="1"/>
  </r>
  <r>
    <x v="2"/>
    <x v="12"/>
    <s v="Invasiones"/>
    <s v="4.3.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398.95671568802999"/>
    <n v="199.47835784401499"/>
    <n v="199.47835784401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398956.71568803"/>
    <n v="403145.76120275428"/>
    <n v="398956.71568803"/>
    <n v="403145.76120275428"/>
    <n v="39895.671568803002"/>
    <n v="40314.576120275429"/>
    <n v="59843.507353204499"/>
    <n v="60471.86418041314"/>
    <n v="79791.343137606003"/>
    <n v="80629.152240550859"/>
    <n v="119687.014706409"/>
    <n v="120943.72836082628"/>
    <n v="99739.178922007501"/>
    <n v="100786.44030068857"/>
    <n v="0"/>
    <m/>
    <m/>
    <s v="X"/>
    <m/>
    <m/>
    <n v="3"/>
    <n v="1"/>
  </r>
  <r>
    <x v="2"/>
    <x v="12"/>
    <s v="Ingresos y Capital"/>
    <s v="4.3.2"/>
    <s v="Acceso a financiamiento para modelos de asociación con pequeños productores"/>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s v="Programa de produccion y tecnolgía para el desarrollo sostenible"/>
    <s v="Programa de acceso al crédito"/>
    <x v="2"/>
    <x v="3"/>
    <s v="COMP 11"/>
    <s v="PRODUCCIÓN"/>
    <s v="FINANCIAMIENTO"/>
    <s v="C6"/>
    <s v="Productores atendidos"/>
    <n v="2161"/>
    <n v="648.29999999999995"/>
    <n v="432.2000000000000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6969224.9999999991"/>
    <n v="7042401.8624999989"/>
    <n v="4646150.0000000009"/>
    <n v="4694934.5750000011"/>
    <n v="1393845"/>
    <n v="1408480.3724999998"/>
    <n v="1393845"/>
    <n v="1408480.3724999998"/>
    <n v="1393845"/>
    <n v="1408480.3724999998"/>
    <n v="1393845"/>
    <n v="1408480.3724999998"/>
    <n v="1393845"/>
    <n v="1408480.3724999998"/>
    <n v="0"/>
    <m/>
    <m/>
    <s v="X"/>
    <m/>
    <m/>
    <n v="3"/>
    <n v="1"/>
  </r>
  <r>
    <x v="2"/>
    <x v="12"/>
    <s v="Programas de inversión privada"/>
    <s v="4.3.3"/>
    <s v="Acompañamiento de acuerdos comerciales entre empresas y medianos productores"/>
    <s v="Brindar asesoramiento y acompañamiento a los productores organizados y no organizados en sus procesos de negociación, este acompañamiento permitirá llegar a buenos acuerdos con las empresas y asegurar que los pequeños productores tengan acceso a precios justos."/>
    <s v="NR"/>
    <s v="Programa de produccion y tecnolgía para el desarrollo sostenible"/>
    <s v="Programa de Asistencia Técnicas para incrementar la capacidad productiva de las principaes cadenas"/>
    <x v="1"/>
    <x v="5"/>
    <s v="COMP 3"/>
    <s v="PRODUCCIÓN"/>
    <s v="MERCADO"/>
    <s v="C9"/>
    <s v="Especialistas"/>
    <n v="0"/>
    <n v="2"/>
    <n v="2"/>
    <n v="3500"/>
    <s v="El costo incluye la contratación de profesionales que se encarguen de identificar propuestas de alianzas comerciales entre productores y empresas privadas."/>
    <s v="Drasam"/>
    <n v="420000"/>
    <n v="424410"/>
    <n v="420000"/>
    <n v="424410"/>
    <n v="84000"/>
    <n v="84882"/>
    <n v="84000"/>
    <n v="84882"/>
    <n v="84000"/>
    <n v="84882"/>
    <n v="84000"/>
    <n v="84882"/>
    <n v="84000"/>
    <n v="84882"/>
    <n v="0"/>
    <s v="X"/>
    <m/>
    <m/>
    <m/>
    <m/>
    <n v="3"/>
    <n v="1"/>
  </r>
  <r>
    <x v="2"/>
    <x v="12"/>
    <s v="Programas de inversión privada"/>
    <s v="4.3.4"/>
    <s v="Ampliación de estudios de HCS y HCV para nuevas áreas potenciales para asociación con pequeños productores"/>
    <s v="Promover el financiamiento para el desarrollo e implementación de estudios de umbrales de carbono en el suelo y en los bosques."/>
    <s v="NR"/>
    <s v="Programa de produccion y tecnolgía para el desarrollo sostenible"/>
    <s v="Programa de Asistencia Técnicas para incrementar la capacidad productiva de las principaes cadenas"/>
    <x v="1"/>
    <x v="5"/>
    <s v="COMP 3"/>
    <s v="PRODUCCIÓN"/>
    <s v="MERCADO"/>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445428.39999999997"/>
    <n v="0"/>
    <n v="0"/>
    <n v="220400"/>
    <n v="222714.19999999998"/>
    <n v="220400"/>
    <n v="222714.19999999998"/>
    <n v="0"/>
    <n v="0"/>
    <n v="0"/>
    <n v="0"/>
    <n v="0"/>
    <n v="0"/>
    <n v="0"/>
    <s v="X"/>
    <m/>
    <m/>
    <m/>
    <m/>
    <n v="3"/>
    <n v="1"/>
  </r>
  <r>
    <x v="2"/>
    <x v="3"/>
    <s v="Invasiones"/>
    <s v="4.4.1"/>
    <s v="Concluir reconocimiento y titulación "/>
    <s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_x000a_Saneamiento físico legal (georreferenciación, actualización gráfica, e inscripción en registros públicos), en concordancia con la R.M. 0370-2017-MINAGRI, de 2 comunidades nativas: MUSHUCK LLACTA DE CHIPAOTA y  CHARAPILLO."/>
    <s v="NR"/>
    <s v="Programa de incentivos públicos promoviendo el bienestrar sostenible de sus habilitantes"/>
    <s v="Programa de regulización, formalizacion y saneamiento de predios"/>
    <x v="0"/>
    <x v="0"/>
    <s v="COMP 8"/>
    <s v="PROTECCIÓN-GOBERNANZA"/>
    <s v="DERECHOS SOBRE LA TIERRA"/>
    <s v="C5"/>
    <s v="Comunidades tituladas"/>
    <n v="44"/>
    <n v="44"/>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3135000"/>
    <n v="3167917.5"/>
    <n v="0"/>
    <n v="0"/>
    <n v="627000"/>
    <n v="633583.5"/>
    <n v="627000"/>
    <n v="633583.5"/>
    <n v="627000"/>
    <n v="633583.5"/>
    <n v="627000"/>
    <n v="633583.5"/>
    <n v="627000"/>
    <n v="633583.5"/>
    <n v="0"/>
    <m/>
    <m/>
    <s v="X"/>
    <m/>
    <m/>
    <n v="3"/>
    <n v="1"/>
  </r>
  <r>
    <x v="2"/>
    <x v="3"/>
    <s v="Programas de inversión pública"/>
    <s v="4.4.2"/>
    <s v="Asistencia técnica para el manejo agroforestal "/>
    <s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s v="Programa  de Gestion sostenible de los bosques amazónicos frente al cambio climatico."/>
    <s v="Programa de Asistencia Técnica para la recuperación de bosques"/>
    <x v="4"/>
    <x v="6"/>
    <s v="COMP 5"/>
    <s v="PROTECCIÓN"/>
    <s v="ASISTENCIA TÉCNICA"/>
    <s v="C1"/>
    <s v="Productor asistido"/>
    <n v="4700"/>
    <n v="4700"/>
    <n v="47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632000"/>
    <n v="2659636"/>
    <n v="2632000"/>
    <n v="2659636"/>
    <n v="526400"/>
    <n v="531927.19999999995"/>
    <n v="526400"/>
    <n v="531927.19999999995"/>
    <n v="526400"/>
    <n v="531927.19999999995"/>
    <n v="526400"/>
    <n v="531927.19999999995"/>
    <n v="526400"/>
    <n v="531927.19999999995"/>
    <n v="0"/>
    <m/>
    <m/>
    <s v="X"/>
    <m/>
    <s v="RE"/>
    <n v="3"/>
    <n v="1"/>
  </r>
  <r>
    <x v="2"/>
    <x v="3"/>
    <s v="Programas de inversión privada"/>
    <s v="4.4.3"/>
    <s v="Promoción de Bionegocios con productos forestales no maderables "/>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s v="Programa  de Gestion sostenible de los bosques amazónicos frente al cambio climatico."/>
    <s v="Programa de Emprendimientos que coadyuvan a la sostebilidad de los Bossques"/>
    <x v="5"/>
    <x v="7"/>
    <s v="COMP 6"/>
    <s v="PROTECCIÓN"/>
    <s v="INNOVACIÓN"/>
    <s v="C8"/>
    <s v="Planes de negocios"/>
    <n v="0"/>
    <n v="60"/>
    <n v="40"/>
    <n v="15000"/>
    <s v="Se contratará profesionales para el asesoramiento y formulación de planes de negocios de las Comunidades Nativas."/>
    <s v="Drasam, Agroideas, CODEPISAM"/>
    <n v="900000"/>
    <n v="909450"/>
    <n v="600000"/>
    <n v="606300"/>
    <n v="180000"/>
    <n v="181890"/>
    <n v="180000"/>
    <n v="181890"/>
    <n v="180000"/>
    <n v="181890"/>
    <n v="180000"/>
    <n v="181890"/>
    <n v="180000"/>
    <n v="181890"/>
    <n v="0"/>
    <s v="X"/>
    <m/>
    <m/>
    <m/>
    <s v="RE"/>
    <n v="2"/>
    <n v="1"/>
  </r>
  <r>
    <x v="2"/>
    <x v="3"/>
    <s v="Programas de inversión pública"/>
    <s v="4.4.4"/>
    <s v="Fortalecimiento de capacidades"/>
    <s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s v="Programa de produccion y tecnolgía para el desarrollo sostenible"/>
    <s v="Programa de promoción de la Asociatividad Empresarial"/>
    <x v="3"/>
    <x v="4"/>
    <s v="COMP 2"/>
    <s v="PRODUCCIÓN"/>
    <s v="ASOCIATIVIDAD"/>
    <s v="C2"/>
    <s v="Comunidades fortalecidas"/>
    <n v="47"/>
    <n v="27"/>
    <n v="20"/>
    <n v="288000"/>
    <s v="Contratación de especialistas para dar acompañamiento y seguimiento a los procesos organizativos de las CCNN de forma permanente."/>
    <s v="Drasam, Direpro, Dircetur, ARA, CODEPISAM"/>
    <n v="1440000"/>
    <n v="1455120"/>
    <n v="1440000"/>
    <n v="1455120"/>
    <n v="288000"/>
    <n v="291024"/>
    <n v="288000"/>
    <n v="291024"/>
    <n v="288000"/>
    <n v="291024"/>
    <n v="288000"/>
    <n v="291024"/>
    <n v="288000"/>
    <n v="291024"/>
    <n v="0"/>
    <m/>
    <m/>
    <s v="X"/>
    <m/>
    <s v="RE"/>
    <n v="3"/>
    <n v="1"/>
  </r>
  <r>
    <x v="2"/>
    <x v="3"/>
    <s v="Programas de inversión privada"/>
    <s v="4.4.5"/>
    <s v="Identificación y apertura de mercado para productos del bosque."/>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s v="Programa de produccion y tecnolgía para el desarrollo sostenible"/>
    <s v="Programa de Asistencia Técnicas para incrementar la capacidad productiva de las principaes cadenas"/>
    <x v="1"/>
    <x v="5"/>
    <s v="COMP 3"/>
    <s v="PRODUCCIÓN"/>
    <s v="MERCADO"/>
    <s v="C9"/>
    <s v="Especialistas"/>
    <n v="0"/>
    <n v="3"/>
    <n v="3"/>
    <n v="3500"/>
    <s v="Contratación de especialista para identificación, acompañamiento y seguimiento a los procesos comerciales iniciados por las organizaciones de las CCNN"/>
    <s v="Drasam, Direpro, Dircetur, ARA, OPIPs, CODEPISAM"/>
    <n v="630000"/>
    <n v="636615"/>
    <n v="630000"/>
    <n v="636615"/>
    <n v="126000"/>
    <n v="127323"/>
    <n v="126000"/>
    <n v="127323"/>
    <n v="126000"/>
    <n v="127323"/>
    <n v="126000"/>
    <n v="127323"/>
    <n v="126000"/>
    <n v="127323"/>
    <n v="0"/>
    <s v="X"/>
    <m/>
    <m/>
    <m/>
    <s v="RE"/>
    <n v="3"/>
    <n v="1"/>
  </r>
  <r>
    <x v="2"/>
    <x v="3"/>
    <s v="Invasiones"/>
    <s v="4.4.6"/>
    <s v="Transferencias de incentivos por conservación de bosques"/>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s v="Programa  de Gestion sostenible de los bosques amazónicos frente al cambio climatico."/>
    <s v="Programa de incentivos para la protección de bosques"/>
    <x v="6"/>
    <x v="3"/>
    <s v="COMP 11"/>
    <s v="PROTECCIÓN"/>
    <s v="FINANCIAMIENTO"/>
    <s v="C6"/>
    <s v="Comunidades atendidas"/>
    <n v="47"/>
    <n v="28.2"/>
    <n v="18.8"/>
    <n v="5000"/>
    <s v="El costo esta referido a los gastos administrativos y logísticos que impliquen la elaboración del expediente para ser presentado al programa. "/>
    <s v="Gerencia Regional de Desarrollo Social, Programa Geo bosques, CODEPISAM"/>
    <n v="705000"/>
    <n v="712402.5"/>
    <n v="470000"/>
    <n v="474935"/>
    <n v="141000"/>
    <n v="142480.5"/>
    <n v="141000"/>
    <n v="142480.5"/>
    <n v="141000"/>
    <n v="142480.5"/>
    <n v="141000"/>
    <n v="142480.5"/>
    <n v="141000"/>
    <n v="142480.5"/>
    <n v="0"/>
    <m/>
    <m/>
    <s v="X"/>
    <m/>
    <m/>
    <n v="3"/>
    <n v="1"/>
  </r>
  <r>
    <x v="2"/>
    <x v="3"/>
    <s v="Programas de inversión pública"/>
    <s v="4.4.7"/>
    <s v="Infraestructura comunitaria ( Tambos, Cobertizos, almacenes, cocinas mejoradas, Baños)"/>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s v="Programa de incentivos públicos promoviendo el bienestrar sostenible de sus habilitantes"/>
    <s v="Programa de Infraestructura para la Competitividad "/>
    <x v="7"/>
    <x v="8"/>
    <s v="COMP 9"/>
    <s v="INCLUSION"/>
    <s v="SERVICIO DE EDUCACIÓN Y SALUD ADECUADOS"/>
    <s v="C14"/>
    <s v="Módulos implementados"/>
    <n v="4700"/>
    <n v="1410"/>
    <n v="940"/>
    <n v="30000"/>
    <s v="Implementación según las necesidades identificadas en cada comunidad, considerando si son aplicables en dichas zonas, si no hay restricciones de cualquier índole. "/>
    <s v="Goresam, MIDIS, DRTyTC, Drasam,Foncodes, Cooperación, CODEPISAM"/>
    <n v="42300000"/>
    <n v="42744150"/>
    <n v="28200000"/>
    <n v="28496100"/>
    <n v="8460000"/>
    <n v="8548830"/>
    <n v="8460000"/>
    <n v="8548830"/>
    <n v="8460000"/>
    <n v="8548830"/>
    <n v="8460000"/>
    <n v="8548830"/>
    <n v="8460000"/>
    <n v="8548830"/>
    <n v="0"/>
    <m/>
    <m/>
    <s v="X"/>
    <m/>
    <m/>
    <n v="3"/>
    <n v="1"/>
  </r>
  <r>
    <x v="2"/>
    <x v="3"/>
    <s v="Programas de inversión pública"/>
    <s v="4.4.8"/>
    <s v="Servicios básicos de calidad"/>
    <s v="Implementación de proyectos enfocados a mejorar los servicios básicos de las comunidades nativas, dichos servicios deberán contar con profesionales bilingües, para asegurar y garantizar la adecuada transferencia de dichos servicios.  "/>
    <s v="NR"/>
    <s v="Programa de incentivos públicos promoviendo el bienestrar sostenible de sus habilitantes"/>
    <s v="Programa de Infraestructura para la Competitividad "/>
    <x v="7"/>
    <x v="8"/>
    <s v="COMP 9"/>
    <s v="INCLUSION"/>
    <s v="SERVICIO DE EDUCACIÓN Y SALUD ADECUADOS"/>
    <s v="C14"/>
    <s v="Escuelas y postas médicas implementadas"/>
    <n v="47"/>
    <n v="23.5"/>
    <n v="23.5"/>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17625000"/>
    <n v="17810062.5"/>
    <n v="17625000"/>
    <n v="17810062.5"/>
    <n v="3525000"/>
    <n v="3562012.5"/>
    <n v="3525000"/>
    <n v="3562012.5"/>
    <n v="3525000"/>
    <n v="3562012.5"/>
    <n v="3525000"/>
    <n v="3562012.5"/>
    <n v="3525000"/>
    <n v="3562012.5"/>
    <n v="0"/>
    <s v="X"/>
    <m/>
    <m/>
    <m/>
    <s v="RE"/>
    <n v="3"/>
    <n v="1"/>
  </r>
  <r>
    <x v="2"/>
    <x v="4"/>
    <s v="Programas de inversión privada"/>
    <s v="4.5.1"/>
    <s v="Incentivos financieros par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s v="Programa  de Gestion sostenible de los bosques amazónicos frente al cambio climatico."/>
    <s v="Programa de incentivos para la protección de bosques"/>
    <x v="6"/>
    <x v="3"/>
    <s v="COMP 11"/>
    <s v="PROTECCIÓN"/>
    <s v="FINANCIAMIENTO"/>
    <s v="C6"/>
    <s v="Planes de negocios"/>
    <n v="0"/>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6300"/>
    <n v="600000"/>
    <n v="606300"/>
    <n v="120000"/>
    <n v="121260"/>
    <n v="120000"/>
    <n v="121260"/>
    <n v="120000"/>
    <n v="121260"/>
    <n v="120000"/>
    <n v="121260"/>
    <n v="120000"/>
    <n v="121260"/>
    <n v="0"/>
    <s v="X"/>
    <m/>
    <m/>
    <m/>
    <s v="RE"/>
    <n v="3"/>
    <n v="1"/>
  </r>
  <r>
    <x v="2"/>
    <x v="4"/>
    <s v="Programas de inversión pública"/>
    <s v="4.5.2"/>
    <s v="Asistencia técnica para la gestión del turismo y acciones integradas para el desarrollo de las organizaciones  o emprendimientos comunitarios"/>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s v="Programa  de Gestion sostenible de los bosques amazónicos frente al cambio climatico."/>
    <s v="Programa de Asistencia Técnica para la recuperación de bosques"/>
    <x v="4"/>
    <x v="6"/>
    <s v="COMP 5"/>
    <s v="PROTECCIÓN"/>
    <s v="ASISTENCIA TÉCNICA"/>
    <s v="C1"/>
    <s v="Especialistas"/>
    <n v="0"/>
    <n v="2"/>
    <n v="2"/>
    <n v="4000"/>
    <s v="Contratación de especialista y gastos logísticos, pasantías regionales y nacionales para adquisición de know how en materia de turismo rural"/>
    <s v="Dircetur"/>
    <n v="480000"/>
    <n v="485040"/>
    <n v="480000"/>
    <n v="485040"/>
    <n v="96000"/>
    <n v="97008"/>
    <n v="96000"/>
    <n v="97008"/>
    <n v="96000"/>
    <n v="97008"/>
    <n v="96000"/>
    <n v="97008"/>
    <n v="96000"/>
    <n v="97008"/>
    <n v="0"/>
    <m/>
    <m/>
    <s v="X"/>
    <m/>
    <s v="RE"/>
    <n v="3"/>
    <n v="1"/>
  </r>
  <r>
    <x v="2"/>
    <x v="4"/>
    <s v="Programas de inversión privada"/>
    <s v="4.5.3"/>
    <s v="Promoción de Bionegocios con productos forestales no maderables "/>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s v="Programa  de Gestion sostenible de los bosques amazónicos frente al cambio climatico."/>
    <s v="Programa de Emprendimientos que coadyuvan a la sostebilidad de los Bossques"/>
    <x v="5"/>
    <x v="7"/>
    <s v="COMP 6"/>
    <s v="PROTECCIÓN"/>
    <s v="INNOVACIÓN"/>
    <s v="C8"/>
    <s v="Planes de negocio"/>
    <n v="0"/>
    <n v="5"/>
    <n v="5"/>
    <n v="150000"/>
    <s v="El costo hace referencia al proceso de implementación y funcionamiento de los productos para el desarrollo de  los emprendimientos."/>
    <s v="Dircetur, Agroideas"/>
    <n v="750000"/>
    <n v="757875"/>
    <n v="750000"/>
    <n v="757875"/>
    <n v="150000"/>
    <n v="151575"/>
    <n v="150000"/>
    <n v="151575"/>
    <n v="150000"/>
    <n v="151575"/>
    <n v="150000"/>
    <n v="151575"/>
    <n v="150000"/>
    <n v="151575"/>
    <n v="0"/>
    <s v="X"/>
    <m/>
    <m/>
    <m/>
    <s v="RE"/>
    <n v="3"/>
    <n v="1"/>
  </r>
  <r>
    <x v="2"/>
    <x v="4"/>
    <s v="Programas de inversión privada"/>
    <s v="4.5.4"/>
    <s v=" Promoción de mercados turísticos"/>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s v="Programa  de Gestion sostenible de los bosques amazónicos frente al cambio climatico."/>
    <s v="Programa de Emprendimientos que coadyuvan a la sostebilidad de los Bossques"/>
    <x v="5"/>
    <x v="7"/>
    <s v="COMP 6"/>
    <s v="PROTECCIÓN"/>
    <s v="PROMOCIÓN ACTIVIDADES ECONÓMICOS"/>
    <s v="C11"/>
    <s v="rutas turísticas promocionados"/>
    <n v="0"/>
    <n v="2"/>
    <n v="2"/>
    <n v="40000"/>
    <s v="Participación en eventos de promoción (ferias regionales y nacionales, Fam Trip), el costo cubrirá gastos logísticos y administrativos de los operadores turísticos identificados "/>
    <s v="Mincetur, Dircetur"/>
    <n v="400000"/>
    <n v="404200"/>
    <n v="400000"/>
    <n v="404200"/>
    <n v="80000"/>
    <n v="80840"/>
    <n v="80000"/>
    <n v="80840"/>
    <n v="80000"/>
    <n v="80840"/>
    <n v="80000"/>
    <n v="80840"/>
    <n v="80000"/>
    <n v="80840"/>
    <n v="0"/>
    <m/>
    <m/>
    <s v="X"/>
    <m/>
    <s v="RE"/>
    <n v="3"/>
    <n v="1"/>
  </r>
  <r>
    <x v="2"/>
    <x v="13"/>
    <s v="Control y vigilancia"/>
    <s v="4.6.1"/>
    <s v="Fortalecer el control y vigilancia"/>
    <s v="Implementar con recursos necesarios al ente que administra el área, con la finalidad de aumentar el número de personas (guardaparques) que contribuyan a realizar acciones de control y vigilancia."/>
    <s v="NR"/>
    <s v="Programa  de Gestion sostenible de los bosques amazónicos frente al cambio climatico."/>
    <s v="Programa de regulización, formalizacion y saneamiento de predios"/>
    <x v="0"/>
    <x v="6"/>
    <s v="COMP 5"/>
    <s v="PROTECCIÓN-GOBERNANZA"/>
    <s v="CONTROL Y VIGILANCIA"/>
    <s v="C4"/>
    <s v="Número de guardaparques"/>
    <n v="0"/>
    <n v="5"/>
    <n v="5"/>
    <n v="2000"/>
    <s v="Contratación a guardaparques para garantizar el control y vigilancia del área otorgada."/>
    <s v="Ara, serfor, Sernanp"/>
    <n v="600000"/>
    <n v="606300"/>
    <n v="600000"/>
    <n v="606300"/>
    <n v="120000"/>
    <n v="121260"/>
    <n v="120000"/>
    <n v="121260"/>
    <n v="120000"/>
    <n v="121260"/>
    <n v="120000"/>
    <n v="121260"/>
    <n v="120000"/>
    <n v="121260"/>
    <n v="0"/>
    <m/>
    <s v="X"/>
    <m/>
    <m/>
    <s v="RE"/>
    <n v="3"/>
    <n v="1"/>
  </r>
  <r>
    <x v="2"/>
    <x v="13"/>
    <s v="Control y vigilancia"/>
    <s v="4.6.2"/>
    <s v="Sensibilización para el fortalecimiento del control y vigilancia en zona de amortiguamiento"/>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s v="Programa  de Gestion sostenible de los bosques amazónicos frente al cambio climatico."/>
    <s v="Programa de regulización, formalizacion y saneamiento de predios"/>
    <x v="0"/>
    <x v="6"/>
    <s v="COMP 5"/>
    <s v="PROTECCIÓN-GOBERNANZA"/>
    <s v="CONTROL Y VIGILANCIA"/>
    <s v="C4"/>
    <s v="Campañas de sensibilización"/>
    <n v="0"/>
    <n v="45"/>
    <n v="45"/>
    <n v="8000"/>
    <s v="Campañas de sensibilización con equipos técnicos de las instituciones involucradas, gastos logísticos, impresión de material de difusión, publicidad radial, televisiva y escrita."/>
    <s v="Ara, serfor, Sernanp"/>
    <n v="1800000"/>
    <n v="1818900"/>
    <n v="1800000"/>
    <n v="1818900"/>
    <n v="360000"/>
    <n v="363780"/>
    <n v="360000"/>
    <n v="363780"/>
    <n v="360000"/>
    <n v="363780"/>
    <n v="360000"/>
    <n v="363780"/>
    <n v="360000"/>
    <n v="363780"/>
    <n v="0"/>
    <m/>
    <s v="X"/>
    <m/>
    <m/>
    <s v="RE"/>
    <n v="3"/>
    <n v="1"/>
  </r>
  <r>
    <x v="2"/>
    <x v="13"/>
    <s v="Programas de inversión pública"/>
    <s v="4.6.3"/>
    <s v="Promover la planificación comunal en centros poblados del interior en base a la zonificación y zona de amortiguamiento teniendo como base al Plan Maestro (incluye acuerdos de conservación)"/>
    <s v="Actualización y elaboración de planes de gestión comunal de las localidades acentuadas en las zonas de amortiguamiento con la finalidad de orientar adecuadamente la implementación y ejecución de proyectos."/>
    <s v="NR"/>
    <s v="Programa de incentivos públicos promoviendo el bienestrar sostenible de sus habilitantes"/>
    <s v="Programa de Infraestructura para la Competitividad "/>
    <x v="7"/>
    <x v="8"/>
    <s v="COMP 9"/>
    <s v="HABILITANTE"/>
    <s v="PLANES DE VIDA"/>
    <s v="C10"/>
    <s v="Planes de gestión comunal"/>
    <n v="0"/>
    <n v="9"/>
    <n v="15"/>
    <n v="10000"/>
    <s v="Contratación de servicios profesionales para la elaboración de los planes de gestión comunal."/>
    <s v="Dircetur, Mincetur"/>
    <n v="90000"/>
    <n v="90945"/>
    <n v="150000"/>
    <n v="151575"/>
    <n v="18000"/>
    <n v="18189"/>
    <n v="18000"/>
    <n v="18189"/>
    <n v="18000"/>
    <n v="18189"/>
    <n v="18000"/>
    <n v="18189"/>
    <n v="18000"/>
    <n v="18189"/>
    <n v="0"/>
    <m/>
    <s v="X"/>
    <m/>
    <m/>
    <m/>
    <n v="3"/>
    <n v="1"/>
  </r>
  <r>
    <x v="2"/>
    <x v="13"/>
    <s v="Programas de inversión privada"/>
    <s v="4.6.4"/>
    <s v="Promoción y difusión de circuitos turísticos en zona de amortiguamiento"/>
    <s v="Campañas de promoción y difusión en el ámbito regional y nacional de los circuitos turísticos que existen en la zona de amortiguamiento."/>
    <s v="NR"/>
    <s v="Programa  de Gestion sostenible de los bosques amazónicos frente al cambio climatico."/>
    <s v="Programa de Emprendimientos que coadyuvan a la sostebilidad de los Bossques"/>
    <x v="5"/>
    <x v="7"/>
    <s v="COMP 6"/>
    <s v="PROTECCIÓN"/>
    <s v="PROMOCIÓN ACTIVIDADES ECONÓMICOS"/>
    <s v="C11"/>
    <s v="Campañas de promoción"/>
    <n v="0"/>
    <n v="12"/>
    <n v="12"/>
    <n v="4000"/>
    <s v="Campañas de promoción que incluye, impresión de material de difusión, publicidad radial, televisiva y escrita."/>
    <s v="Dircetur, Mincetur"/>
    <n v="240000"/>
    <n v="242520"/>
    <n v="240000"/>
    <n v="242520"/>
    <n v="48000"/>
    <n v="48504"/>
    <n v="48000"/>
    <n v="48504"/>
    <n v="48000"/>
    <n v="48504"/>
    <n v="48000"/>
    <n v="48504"/>
    <n v="48000"/>
    <n v="48504"/>
    <n v="0"/>
    <m/>
    <m/>
    <s v="X"/>
    <m/>
    <m/>
    <n v="3"/>
    <n v="1"/>
  </r>
  <r>
    <x v="2"/>
    <x v="13"/>
    <s v="Programas de inversión privada"/>
    <s v="4.6.5"/>
    <s v="Promoción de agroforestería sostenible en zona de amortiguamiento"/>
    <s v="Pasantías regionales con productores con la finalidad de conocer  los diferentes sistemas productivos sostenibles a ser replicados en las comunidades."/>
    <s v="NR"/>
    <s v="Programa  de Gestion sostenible de los bosques amazónicos frente al cambio climatico."/>
    <s v="Programa de Emprendimientos que coadyuvan a la sostebilidad de los Bossques"/>
    <x v="5"/>
    <x v="7"/>
    <s v="COMP 6"/>
    <s v="PROTECCIÓN"/>
    <s v="PROMOCIÓN ACTIVIDADES ECONÓMICOS"/>
    <s v="C11"/>
    <s v="Pasantías"/>
    <n v="0"/>
    <n v="6"/>
    <n v="6"/>
    <n v="2500"/>
    <s v="El costo hace referencia a los gastos de pasajes, alimentación y otros para un grupo de 20 productores por pasantía."/>
    <s v="Drasam"/>
    <n v="75000"/>
    <n v="75787.5"/>
    <n v="75000"/>
    <n v="75787.5"/>
    <n v="15000"/>
    <n v="15157.5"/>
    <n v="15000"/>
    <n v="15157.5"/>
    <n v="15000"/>
    <n v="15157.5"/>
    <n v="15000"/>
    <n v="15157.5"/>
    <n v="15000"/>
    <n v="15157.5"/>
    <n v="0"/>
    <m/>
    <m/>
    <s v="X"/>
    <m/>
    <m/>
    <n v="2"/>
    <n v="1"/>
  </r>
  <r>
    <x v="2"/>
    <x v="13"/>
    <s v="Programas de inversión pública"/>
    <s v="4.6.6"/>
    <s v="Recuperación de la red hídrica en la zona de influencia de la ACR"/>
    <s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s v="Programa  de Gestion sostenible de los bosques amazónicos frente al cambio climatico."/>
    <s v="Programa de Asistencia Técnica para la recuperación de bosques"/>
    <x v="4"/>
    <x v="6"/>
    <s v="COMP 5"/>
    <s v="PROTECCIÓN"/>
    <s v="SERVICIOS ECOSISTÉMICOS"/>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493500"/>
    <n v="47000000"/>
    <n v="47493500"/>
    <n v="9400000"/>
    <n v="9498700"/>
    <n v="9400000"/>
    <n v="9498700"/>
    <n v="9400000"/>
    <n v="9498700"/>
    <n v="9400000"/>
    <n v="9498700"/>
    <n v="9400000"/>
    <n v="9498700"/>
    <n v="0"/>
    <m/>
    <m/>
    <s v="X"/>
    <m/>
    <m/>
    <n v="3"/>
    <n v="1"/>
  </r>
  <r>
    <x v="2"/>
    <x v="13"/>
    <s v="Ingresos y Capital"/>
    <s v="4.6.7"/>
    <s v="Incentivos financieros para promoción del ecoturismo y turismo comunitario"/>
    <s v="Implementación de planes de negocios para el desarrollo de rutas turísticas, turismo vivencial comunitario, y otras modalidades de servicios que sean generadoras de ingresos económicos, respetando el medio ambiente."/>
    <s v="NR"/>
    <s v="Programa  de Gestion sostenible de los bosques amazónicos frente al cambio climatico."/>
    <s v="Programa de incentivos para la protección de bosques"/>
    <x v="6"/>
    <x v="3"/>
    <s v="COMP 11"/>
    <s v="PROTECCIÓN"/>
    <s v="FINANCIAMIENTO"/>
    <s v="C6"/>
    <s v="Planes de negocios"/>
    <n v="0"/>
    <n v="5"/>
    <n v="8"/>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
    <n v="505250"/>
    <n v="800000"/>
    <n v="808400"/>
    <n v="100000"/>
    <n v="101050"/>
    <n v="100000"/>
    <n v="101050"/>
    <n v="100000"/>
    <n v="101050"/>
    <n v="100000"/>
    <n v="101050"/>
    <n v="100000"/>
    <n v="101050"/>
    <n v="0"/>
    <s v="X"/>
    <m/>
    <m/>
    <m/>
    <s v="RE"/>
    <n v="3"/>
    <n v="1"/>
  </r>
  <r>
    <x v="2"/>
    <x v="13"/>
    <s v="Programas de inversión pública"/>
    <s v="4.6.8"/>
    <s v="Asistencia técnica para el desarrollo agroforestal diseñados e implementados"/>
    <s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s v="Programa  de Gestion sostenible de los bosques amazónicos frente al cambio climatico."/>
    <s v="Programa de Asistencia Técnica para la recuperación de bosques"/>
    <x v="4"/>
    <x v="6"/>
    <s v="COMP 5"/>
    <s v="PROTECCIÓN"/>
    <s v="ASISTENCIA TÉCNICA"/>
    <s v="C1"/>
    <s v="Especialistas"/>
    <n v="0"/>
    <n v="8"/>
    <n v="8"/>
    <n v="3500"/>
    <s v="El costo comprende la contratación de profesionales para brindar asistencias técnica en los cultivos priorizados en la zona de intervención."/>
    <s v="Drasam"/>
    <n v="1680000"/>
    <n v="1697640"/>
    <n v="1680000"/>
    <n v="1697640"/>
    <n v="336000"/>
    <n v="339528"/>
    <n v="336000"/>
    <n v="339528"/>
    <n v="336000"/>
    <n v="339528"/>
    <n v="336000"/>
    <n v="339528"/>
    <n v="336000"/>
    <n v="339528"/>
    <n v="0"/>
    <s v="X"/>
    <m/>
    <m/>
    <m/>
    <s v="RE"/>
    <n v="3"/>
    <n v="1"/>
  </r>
  <r>
    <x v="2"/>
    <x v="8"/>
    <s v="Invasiones"/>
    <s v="4.7.1"/>
    <s v="Adecuación de ZoCRE a unidad de ordenamiento forestal y/o titulo habilitante forestal y de fauna silvestre de acuerdo a LFFS (Ley No 29763)"/>
    <s v="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
    <s v="NR"/>
    <s v="Programa de incentivos públicos promoviendo el bienestrar sostenible de sus habilitantes"/>
    <s v="Programa de regulización, formalizacion y saneamiento de predios"/>
    <x v="0"/>
    <x v="0"/>
    <s v="COMP 8"/>
    <s v="PROTECCIÓN-GOBERNANZA"/>
    <s v="DERECHOS SOBRE LA TIERRA"/>
    <s v="C5"/>
    <s v="Ha. con categoría territorial asignada"/>
    <n v="80543.826408249835"/>
    <n v="40271.913204124918"/>
    <n v="40271.913204124918"/>
    <n v="15"/>
    <s v="Para la implementación de las intervención será mecesario la contratación de especialistas para realizar las acciones que comtemplen dicha actividad. Gastos logísticos y trámites documentarios."/>
    <s v="GRSM - DEGT"/>
    <n v="604078.69806187379"/>
    <n v="610421.52439152345"/>
    <n v="604078.69806187379"/>
    <n v="610421.52439152345"/>
    <n v="120815.73961237476"/>
    <n v="122084.30487830468"/>
    <n v="120815.73961237476"/>
    <n v="122084.30487830468"/>
    <n v="120815.73961237476"/>
    <n v="122084.30487830468"/>
    <n v="120815.73961237476"/>
    <n v="122084.30487830468"/>
    <n v="120815.73961237476"/>
    <n v="122084.30487830468"/>
    <n v="0"/>
    <m/>
    <s v="X"/>
    <m/>
    <m/>
    <m/>
    <n v="3"/>
    <n v="1"/>
  </r>
  <r>
    <x v="2"/>
    <x v="8"/>
    <s v="Control y vigilancia"/>
    <s v="4.7.2"/>
    <s v="Fortalecimiento de capacidades de los responsables de la administración de las nuevas categorías de ordenamiento forestal y títulos habilitantes forestales"/>
    <s v="Comprende la capacitación en manejo de normatividad forestal y manejo de bosques, contratación de especialistas para tener presencia física en el área, equipamiento e infraestructura."/>
    <s v="NR"/>
    <s v="Programa de incentivos públicos promoviendo el bienestrar sostenible de sus habilitantes"/>
    <s v="Programa de regulización, formalizacion y saneamiento de predios"/>
    <x v="0"/>
    <x v="0"/>
    <s v="COMP 8"/>
    <s v="PROTECCIÓN-GOBERNANZA"/>
    <s v="DERECHOS SOBRE LA TIERRA"/>
    <s v="C5"/>
    <s v="N° de responsables de administración que aprueban evaluación de capacitación "/>
    <n v="0"/>
    <n v="40"/>
    <n v="40"/>
    <n v="150"/>
    <s v="Considera materiales de capacitación, alimentación a capacitados en el área cercana a su comunidad y gastos de capacitadores"/>
    <s v="GRSM - DEGT"/>
    <n v="6000"/>
    <n v="6063"/>
    <n v="6000"/>
    <n v="6063"/>
    <n v="6000"/>
    <n v="6063"/>
    <n v="0"/>
    <n v="0"/>
    <n v="0"/>
    <n v="0"/>
    <n v="0"/>
    <n v="0"/>
    <n v="0"/>
    <n v="0"/>
    <n v="0"/>
    <m/>
    <s v="X"/>
    <m/>
    <m/>
    <m/>
    <n v="2"/>
    <n v="1"/>
  </r>
  <r>
    <x v="2"/>
    <x v="8"/>
    <s v="Control y vigilancia"/>
    <s v="4.7.3"/>
    <s v="Elaboración del plan/declaración de manejo de las nuevas categorías de ordenamiento forestal y títulos habilitantes forestales"/>
    <s v="Dependiendo de la categoría forestal a ser aplicada, se realizará un plan/declaración acorde la unidad, en el marco de la ley forestal y fauna silvestre N° 29763."/>
    <s v="NR"/>
    <s v="Programa de incentivos públicos promoviendo el bienestrar sostenible de sus habilitantes"/>
    <s v="Programa de regulización, formalizacion y saneamiento de predios"/>
    <x v="0"/>
    <x v="0"/>
    <s v="COMP 8"/>
    <s v="PROTECCIÓN-GOBERNANZA"/>
    <s v="DERECHOS SOBRE LA TIERRA"/>
    <s v="C5"/>
    <s v="N° Planes / Declaraciones elaborados"/>
    <n v="0"/>
    <n v="8"/>
    <n v="8"/>
    <n v="10000"/>
    <s v="Se considera la contratación de profesionales para la elaboración de los expedientes y/o declaraciones identificadas en los diferentes procesos."/>
    <s v="GRSM - DEGT"/>
    <n v="80000"/>
    <n v="80840"/>
    <n v="80000"/>
    <n v="80840"/>
    <n v="24000"/>
    <n v="24252"/>
    <n v="24000"/>
    <n v="24252"/>
    <n v="32000"/>
    <n v="32336"/>
    <n v="0"/>
    <n v="0"/>
    <n v="0"/>
    <n v="0"/>
    <n v="0"/>
    <m/>
    <s v="X"/>
    <m/>
    <m/>
    <m/>
    <n v="2"/>
    <n v="1"/>
  </r>
  <r>
    <x v="2"/>
    <x v="8"/>
    <s v="Invasiones"/>
    <s v="4.7.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s v="Programa de incentivos públicos promoviendo el bienestrar sostenible de sus habilitantes"/>
    <s v="Programa de regulización, formalizacion y saneamiento de predios"/>
    <x v="0"/>
    <x v="0"/>
    <s v="COMP 8"/>
    <s v="PROTECCIÓN-GOBERNANZA"/>
    <s v="DERECHOS SOBRE LA TIERRA"/>
    <s v="C5"/>
    <s v="Ha. Inscritas"/>
    <n v="80543.826408249835"/>
    <n v="40271.913204124918"/>
    <n v="40271.913204124918"/>
    <n v="1"/>
    <s v="Contratación de dos profesioales para agilizar procesos con sunarp."/>
    <s v="GRSM - DEGT"/>
    <n v="40271.913204124918"/>
    <n v="40694.768292768225"/>
    <n v="40271.913204124918"/>
    <n v="40694.768292768225"/>
    <n v="8054.3826408249843"/>
    <n v="8138.9536585536462"/>
    <n v="8054.3826408249843"/>
    <n v="8138.9536585536462"/>
    <n v="8054.3826408249843"/>
    <n v="8138.9536585536462"/>
    <n v="8054.3826408249843"/>
    <n v="8138.9536585536462"/>
    <n v="8054.3826408249843"/>
    <n v="8138.9536585536462"/>
    <n v="0"/>
    <m/>
    <s v="X"/>
    <m/>
    <m/>
    <m/>
    <n v="2"/>
    <n v="1"/>
  </r>
  <r>
    <x v="2"/>
    <x v="9"/>
    <s v="Invasiones"/>
    <s v="4.8.1"/>
    <s v="Creación y establecimiento de unidades de ordenamiento forestal, otorgamiento de títulos habilitantes forestales y tenencia de la tierra"/>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s v="Programa de incentivos públicos promoviendo el bienestrar sostenible de sus habilitantes"/>
    <s v="Programa de regulización, formalizacion y saneamiento de predios"/>
    <x v="0"/>
    <x v="0"/>
    <s v="COMP 8"/>
    <s v="PROTECCIÓN-GOBERNANZA"/>
    <s v="DERECHOS SOBRE LA TIERRA"/>
    <s v="C5"/>
    <s v="Ha. con categoría territorial asignada"/>
    <n v="0"/>
    <n v="47298.808366990103"/>
    <n v="47298.808366990103"/>
    <n v="15"/>
    <s v="Para la implementación de las intervención será mecesario la contratación de especialistas para realizar las acciones que comtemplen dicha actividad. Gastos logísticos y trámites documentarios."/>
    <s v="GRSM - DEGT"/>
    <n v="709482.12550485157"/>
    <n v="716931.68782265252"/>
    <n v="709482.12550485157"/>
    <n v="716931.68782265252"/>
    <n v="141896.42510097031"/>
    <n v="143386.33756453049"/>
    <n v="141896.42510097031"/>
    <n v="143386.33756453049"/>
    <n v="141896.42510097031"/>
    <n v="143386.33756453049"/>
    <n v="141896.42510097031"/>
    <n v="143386.33756453049"/>
    <n v="141896.42510097031"/>
    <n v="143386.33756453049"/>
    <n v="0"/>
    <m/>
    <s v="X"/>
    <m/>
    <m/>
    <m/>
    <n v="3"/>
    <n v="1"/>
  </r>
  <r>
    <x v="2"/>
    <x v="9"/>
    <s v="Control y vigilancia"/>
    <s v="4.8.2"/>
    <s v="Fortalecimiento de capacidades de los responsables de la administración de las nuevas categorías de ordenamiento forestal y títulos habilitantes forestales"/>
    <s v="Comprende la capacitación en manejo de normatividad forestal y manejo de bosques, contratación de especialistas para tener presencia física en el área, equipamiento e infraestructura."/>
    <s v="NR"/>
    <s v="Programa de incentivos públicos promoviendo el bienestrar sostenible de sus habilitantes"/>
    <s v="Programa de regulización, formalizacion y saneamiento de predios"/>
    <x v="0"/>
    <x v="0"/>
    <s v="COMP 8"/>
    <s v="PROTECCIÓN-GOBERNANZA"/>
    <s v="DERECHOS SOBRE LA TIERRA"/>
    <s v="C5"/>
    <s v="N° de responsables de administración que aprueban evaluación de capacitación "/>
    <n v="0"/>
    <n v="90"/>
    <n v="90"/>
    <n v="150"/>
    <s v="Considera materiales de capacitación, alimentación a capacitados en el área cercana a su comunidad y gastos de capacitadores"/>
    <s v="GRSM - DEGT"/>
    <n v="13500"/>
    <n v="13641.75"/>
    <n v="13500"/>
    <n v="13641.75"/>
    <n v="13500"/>
    <n v="13641.75"/>
    <n v="0"/>
    <n v="0"/>
    <n v="0"/>
    <n v="0"/>
    <n v="0"/>
    <n v="0"/>
    <n v="0"/>
    <n v="0"/>
    <n v="0"/>
    <m/>
    <s v="X"/>
    <m/>
    <m/>
    <m/>
    <n v="2"/>
    <n v="1"/>
  </r>
  <r>
    <x v="2"/>
    <x v="9"/>
    <s v="Control y vigilancia"/>
    <s v="4.8.3"/>
    <s v="Elaboración del plan/declaración de manejo de las nuevas categorías de ordenamiento forestal y títulos habilitantes forestales"/>
    <s v="Dependiendo de la categoría forestal a ser aplicada, se realizará un plan/declaración acorde a la unidad, en el marco de la ley forestal y fauna silvestre N° 29763."/>
    <s v="NR"/>
    <s v="Programa de incentivos públicos promoviendo el bienestrar sostenible de sus habilitantes"/>
    <s v="Programa de regulización, formalizacion y saneamiento de predios"/>
    <x v="0"/>
    <x v="0"/>
    <s v="COMP 8"/>
    <s v="PROTECCIÓN-GOBERNANZA"/>
    <s v="DERECHOS SOBRE LA TIERRA"/>
    <s v="C5"/>
    <s v="N° Planes / Declaraciones elaborados"/>
    <n v="0"/>
    <n v="2"/>
    <n v="2"/>
    <n v="10000"/>
    <s v="Se considera la contratación de profesionales para la elaboración de los expedientes y/o declaraciones identificadas en los diferentes procesos."/>
    <s v="GRSM - DEGT"/>
    <n v="20000"/>
    <n v="20210"/>
    <n v="20000"/>
    <n v="20210"/>
    <n v="6000"/>
    <n v="6063"/>
    <n v="6000"/>
    <n v="6063"/>
    <n v="8000"/>
    <n v="8084"/>
    <n v="0"/>
    <n v="0"/>
    <n v="0"/>
    <n v="0"/>
    <n v="0"/>
    <m/>
    <s v="X"/>
    <m/>
    <m/>
    <m/>
    <n v="2"/>
    <n v="1"/>
  </r>
  <r>
    <x v="2"/>
    <x v="9"/>
    <s v="Invasiones"/>
    <s v="4.8.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s v="Programa de incentivos públicos promoviendo el bienestrar sostenible de sus habilitantes"/>
    <s v="Programa de regulización, formalizacion y saneamiento de predios"/>
    <x v="0"/>
    <x v="0"/>
    <s v="COMP 8"/>
    <s v="PROTECCIÓN-GOBERNANZA"/>
    <s v="DERECHOS SOBRE LA TIERRA"/>
    <s v="C5"/>
    <s v="Ha. Inscritas"/>
    <n v="0"/>
    <n v="47298.808366990103"/>
    <n v="47298.808366990103"/>
    <n v="1"/>
    <s v="Contratación de dos profesioales para agilizar procesos con sunarp."/>
    <s v="GRSM - DEGT"/>
    <n v="47298.808366990103"/>
    <n v="47795.4458548435"/>
    <n v="47298.808366990103"/>
    <n v="47795.4458548435"/>
    <n v="9459.7616733980212"/>
    <n v="9559.0891709687003"/>
    <n v="9459.7616733980212"/>
    <n v="9559.0891709687003"/>
    <n v="9459.7616733980212"/>
    <n v="9559.0891709687003"/>
    <n v="9459.7616733980212"/>
    <n v="9559.0891709687003"/>
    <n v="9459.7616733980212"/>
    <n v="9559.0891709687003"/>
    <n v="0"/>
    <m/>
    <s v="X"/>
    <m/>
    <m/>
    <m/>
    <n v="2"/>
    <n v="1"/>
  </r>
  <r>
    <x v="2"/>
    <x v="9"/>
    <s v="Ingresos y Capital"/>
    <s v="4.8.5"/>
    <s v="Restauración de áreas degradadas"/>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s v="Programa  de Gestion sostenible de los bosques amazónicos frente al cambio climatico."/>
    <s v="Programa de Asistencia Técnica para la recuperación de bosques"/>
    <x v="4"/>
    <x v="6"/>
    <s v="COMP 5"/>
    <s v="PROTECCIÓN-GOBERNANZA"/>
    <s v="DERECHOS SOBRE LA TIERRA"/>
    <s v="C5"/>
    <s v="Hectáreas restauradas"/>
    <n v="0"/>
    <n v="7171.9365069078503"/>
    <n v="7171.9365069078503"/>
    <n v="500"/>
    <s v="El costo incluye la restauración de una hectárea, esta actividad se desarrollara de acuerdo a la metodología propuesta por el ARA, en coordinación con los productores seleccionados."/>
    <s v="ARA"/>
    <n v="3585968.2534539253"/>
    <n v="3623620.9201151915"/>
    <n v="3585968.2534539253"/>
    <n v="3623620.9201151915"/>
    <n v="3585968.2534539253"/>
    <n v="3623620.9201151915"/>
    <n v="0"/>
    <n v="0"/>
    <n v="0"/>
    <n v="0"/>
    <n v="0"/>
    <n v="0"/>
    <n v="0"/>
    <n v="0"/>
    <n v="0"/>
    <m/>
    <s v="X"/>
    <m/>
    <m/>
    <m/>
    <n v="3"/>
    <n v="1"/>
  </r>
  <r>
    <x v="2"/>
    <x v="10"/>
    <s v="Programas de inversión pública"/>
    <s v="4.9.1"/>
    <s v="Acuerdos con rondas campesinas y rondas nativas para cumplimiento de compromisos de no deforestación y tráfico de tierras e invasiones"/>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s v="Programa de incentivos públicos promoviendo el bienestrar sostenible de sus habilitantes"/>
    <s v="Programa de regulización, formalizacion y saneamiento de predios"/>
    <x v="0"/>
    <x v="0"/>
    <s v="COMP 8"/>
    <s v="HABILITANTE"/>
    <s v="TRANSVERSALES X UDT"/>
    <s v="C18"/>
    <s v="Acuerdos con rondas campesinas"/>
    <n v="0"/>
    <n v="19"/>
    <n v="19"/>
    <n v="2500"/>
    <s v="Reuniones con los diferentes actores involucrados y la sociedad civil para llegar a acuerdos de no deforestación, lo cual incluye  gastos logísticos en general."/>
    <s v="GRIS"/>
    <n v="237500"/>
    <n v="239993.75"/>
    <n v="237500"/>
    <n v="239993.75"/>
    <n v="47500"/>
    <n v="47998.75"/>
    <n v="47500"/>
    <n v="47998.75"/>
    <n v="47500"/>
    <n v="47998.75"/>
    <n v="47500"/>
    <n v="47998.75"/>
    <n v="47500"/>
    <n v="47998.75"/>
    <n v="0"/>
    <s v="X"/>
    <m/>
    <m/>
    <m/>
    <m/>
    <n v="3"/>
    <n v="1"/>
  </r>
  <r>
    <x v="2"/>
    <x v="10"/>
    <s v="Programas de inversión pública"/>
    <s v="4.9.2"/>
    <s v="Mejoramiento de vías de acceso"/>
    <s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s v="Programa de incentivos públicos promoviendo el bienestrar sostenible de sus habilitantes"/>
    <s v="Programa de Infraestructura para la Competitividad "/>
    <x v="7"/>
    <x v="9"/>
    <s v="COMP 10"/>
    <s v="HABILITANTE"/>
    <s v="TRANSVERSALES X UDT"/>
    <s v="C18"/>
    <s v="Kilómetros mejorados"/>
    <n v="328"/>
    <n v="32.800000000000004"/>
    <n v="32.800000000000004"/>
    <n v="800000"/>
    <s v="Costo promedio de por km2 de vía mejorada o asfaltada"/>
    <s v="DRTyTC"/>
    <n v="26240000.000000004"/>
    <n v="26515520.000000004"/>
    <n v="26240000.000000004"/>
    <n v="26515520.000000004"/>
    <n v="5248000.0000000009"/>
    <n v="5303104.0000000009"/>
    <n v="5248000.0000000009"/>
    <n v="5303104.0000000009"/>
    <n v="5248000.0000000009"/>
    <n v="5303104.0000000009"/>
    <n v="5248000.0000000009"/>
    <n v="5303104.0000000009"/>
    <n v="5248000.0000000009"/>
    <n v="5303104.0000000009"/>
    <n v="0"/>
    <s v="X"/>
    <m/>
    <m/>
    <m/>
    <m/>
    <n v="2"/>
    <n v="1"/>
  </r>
  <r>
    <x v="2"/>
    <x v="10"/>
    <s v="Programas de inversión pública"/>
    <s v="4.9.3"/>
    <s v="Restauración ecológica del paisaje"/>
    <s v="Ejecución de proyectos de restauración dentro de las áreas con prioridad alta. La GRDE, el ARA y los proyectos especiales a través de sus diferentes direcciones de línea, deberán implementar esta actividad a través de los PIP y actividades propias de las direcciones."/>
    <s v="NR"/>
    <s v="Programa  de Gestion sostenible de los bosques amazónicos frente al cambio climatico."/>
    <s v="Programa de Infraestructura para la Competitividad "/>
    <x v="7"/>
    <x v="6"/>
    <s v="COMP 5"/>
    <s v="PROTECCIÓN"/>
    <s v="TRANSVERSALES X UDT"/>
    <s v="C18"/>
    <s v="Hectáreas restauradas"/>
    <n v="3078.73"/>
    <n v="1539.365"/>
    <n v="1539.365"/>
    <n v="500"/>
    <s v="El costo incluye la restauración de una hectárea, esta actividad se desarrollara de acuerdo a la metodología propuesta por el ARA, en coordinación con los productores seleccionados."/>
    <s v="ARA"/>
    <n v="769682.5"/>
    <n v="777764.16625000001"/>
    <n v="769682.5"/>
    <n v="777764.16625000001"/>
    <n v="153936.5"/>
    <n v="155552.83325"/>
    <n v="153936.5"/>
    <n v="155552.83325"/>
    <n v="153936.5"/>
    <n v="155552.83325"/>
    <n v="153936.5"/>
    <n v="155552.83325"/>
    <n v="153936.5"/>
    <n v="155552.83325"/>
    <n v="0"/>
    <m/>
    <m/>
    <s v="X"/>
    <m/>
    <s v="RE"/>
    <n v="3"/>
    <n v="1"/>
  </r>
  <r>
    <x v="2"/>
    <x v="10"/>
    <s v="Programas de inversión pública"/>
    <s v="4.9.4"/>
    <s v="Mejor cobertura y calidad de servicios de educación y salud"/>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s v="Programa de incentivos públicos promoviendo el bienestrar sostenible de sus habilitantes"/>
    <s v="Programa de Infraestructura para la Competitividad "/>
    <x v="7"/>
    <x v="8"/>
    <s v="COMP 9"/>
    <s v="INCLUSION"/>
    <s v="TRANSVERSALES X UDT"/>
    <s v="C18"/>
    <s v="Centros de salud y colegios implementados"/>
    <n v="0"/>
    <n v="2"/>
    <n v="2"/>
    <n v="3500000"/>
    <s v="Construcción e implementación de centros educativos y postas medicas"/>
    <s v="DRTyTC"/>
    <n v="7000000"/>
    <n v="7073500"/>
    <n v="7000000"/>
    <n v="7073500"/>
    <n v="1400000"/>
    <n v="1414700"/>
    <n v="2100000"/>
    <n v="2122050"/>
    <n v="3500000"/>
    <n v="3536750"/>
    <n v="0"/>
    <n v="0"/>
    <n v="0"/>
    <n v="0"/>
    <n v="0"/>
    <m/>
    <s v="X"/>
    <m/>
    <m/>
    <s v="RE"/>
    <n v="3"/>
    <n v="1"/>
  </r>
  <r>
    <x v="2"/>
    <x v="10"/>
    <s v="Programas de inversión pública"/>
    <s v="4.9.5"/>
    <s v="Programa de servicios públicos móviles"/>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s v="Programa de incentivos públicos promoviendo el bienestrar sostenible de sus habilitantes"/>
    <s v="Programa de Infraestructura para la Competitividad "/>
    <x v="7"/>
    <x v="8"/>
    <s v="COMP 9"/>
    <s v="INCLUSION"/>
    <s v="TRANSVERSALES X UDT"/>
    <s v="C18"/>
    <s v="N° campañas"/>
    <n v="0"/>
    <n v="135.52500000000001"/>
    <n v="135.52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388125"/>
    <n v="3423700.3125"/>
    <n v="3388125"/>
    <n v="3423700.3125"/>
    <n v="677625"/>
    <n v="684740.0625"/>
    <n v="677625"/>
    <n v="684740.0625"/>
    <n v="677625"/>
    <n v="684740.0625"/>
    <n v="677625"/>
    <n v="684740.0625"/>
    <n v="677625"/>
    <n v="684740.0625"/>
    <n v="0"/>
    <m/>
    <s v="X"/>
    <m/>
    <m/>
    <s v="RE"/>
    <n v="3"/>
    <n v="1"/>
  </r>
  <r>
    <x v="2"/>
    <x v="10"/>
    <s v="Programas de inversión pública"/>
    <s v="4.9.6"/>
    <s v="Promoción Marca &quot;San Martín Región&quot; y &quot;Aliados por la Conservación&quot; "/>
    <s v="Promoción al acceso de la marca con los productores que cumplan los criterios de elegibilidad solicitados por el programa, como una estrategia de ubicar mercados diferenciados para los productos provenientes de estas zonas."/>
    <s v="NR"/>
    <s v="Programa de produccion y tecnolgía para el desarrollo sostenible"/>
    <s v="Programa de Asistencia Técnicas para incrementar la capacidad productiva de las principaes cadenas"/>
    <x v="1"/>
    <x v="5"/>
    <s v="COMP 3"/>
    <s v="PRODUCCIÓN"/>
    <s v="TRANSVERSALES X UDT"/>
    <s v="C18"/>
    <s v="Organizaciones que acceden a la marca"/>
    <n v="0"/>
    <n v="10"/>
    <n v="15"/>
    <n v="3000"/>
    <s v="El costo incluye: Una inspección anual anunciada,  elaboración de informe de inspección, administración y comunicación, certificación según los estándares de la marca."/>
    <s v="GRDE"/>
    <n v="150000"/>
    <n v="151575"/>
    <n v="225000"/>
    <n v="227362.5"/>
    <n v="30000"/>
    <n v="30315"/>
    <n v="30000"/>
    <n v="30315"/>
    <n v="30000"/>
    <n v="30315"/>
    <n v="30000"/>
    <n v="30315"/>
    <n v="30000"/>
    <n v="30315"/>
    <n v="0"/>
    <m/>
    <m/>
    <s v="X"/>
    <m/>
    <m/>
    <n v="3"/>
    <n v="1"/>
  </r>
  <r>
    <x v="3"/>
    <x v="0"/>
    <s v="Invasiones"/>
    <s v="3.1.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6973.3958940467001"/>
    <n v="3486.69794702335"/>
    <n v="3486.69794702335"/>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973395.8940466996"/>
    <n v="7046616.5509341899"/>
    <n v="6973395.8940466996"/>
    <n v="7046616.5509341899"/>
    <n v="697339.58940467006"/>
    <n v="704661.65509341902"/>
    <n v="1046009.3841070049"/>
    <n v="1056992.4826401283"/>
    <n v="1394679.1788093401"/>
    <n v="1409323.310186838"/>
    <n v="2092018.7682140097"/>
    <n v="2113984.9652802567"/>
    <n v="1743348.9735116749"/>
    <n v="1761654.1377335475"/>
    <n v="0"/>
    <m/>
    <m/>
    <s v="X"/>
    <m/>
    <s v="RE"/>
    <n v="3"/>
    <n v="1"/>
  </r>
  <r>
    <x v="3"/>
    <x v="0"/>
    <s v="Programas de inversión pública"/>
    <s v="3.1.2"/>
    <s v="Asistencia técnica con enfoque bajo en emisiones"/>
    <s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s v="Programa de produccion y tecnolgía para el desarrollo sostenible"/>
    <s v="Programa de Asistencia Técnicas para incrementar la capacidad productiva de las principaes cadenas"/>
    <x v="1"/>
    <x v="1"/>
    <s v="COMP 1"/>
    <s v="PRODUCCIÓN"/>
    <s v="ASISTENCIA TÉCNICA"/>
    <s v="C1"/>
    <s v="Productores asistidos"/>
    <n v="29823"/>
    <n v="17893.8"/>
    <n v="11929.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020528"/>
    <n v="10125743.544"/>
    <n v="6680352"/>
    <n v="6750495.6959999995"/>
    <n v="2004105.6"/>
    <n v="2025148.7087999999"/>
    <n v="2004105.6"/>
    <n v="2025148.7087999999"/>
    <n v="2004105.6"/>
    <n v="2025148.7087999999"/>
    <n v="2004105.6"/>
    <n v="2025148.7087999999"/>
    <n v="2004105.6"/>
    <n v="2025148.7087999999"/>
    <n v="0"/>
    <m/>
    <m/>
    <s v="X"/>
    <m/>
    <s v="RE"/>
    <n v="3"/>
    <n v="1"/>
  </r>
  <r>
    <x v="3"/>
    <x v="0"/>
    <s v="Programas de inversión pública"/>
    <s v="3.1.3"/>
    <s v="Manejo, conservación y recuperación de suelos degradados"/>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s v="Programa de produccion y tecnolgía para el desarrollo sostenible"/>
    <s v="Programa de Asistencia Técnicas para incrementar la capacidad productiva de las principaes cadenas"/>
    <x v="1"/>
    <x v="1"/>
    <s v="COMP 1"/>
    <s v="PRODUCCIÓN"/>
    <s v="TECNOLOGÍA"/>
    <s v="C17"/>
    <s v="Hectáreas intervenidas"/>
    <n v="70028"/>
    <n v="21008.399999999998"/>
    <n v="21008.399999999998"/>
    <n v="500"/>
    <s v="El costo incluye adquisición de semillas, insumos, fertilizantes, entre otras para la producción de plantas agroforestales o coberturas  verdes."/>
    <s v="DRASAM"/>
    <n v="10504199.999999998"/>
    <n v="10614494.099999998"/>
    <n v="10504199.999999998"/>
    <n v="10614494.099999998"/>
    <n v="2100839.9999999995"/>
    <n v="2122898.8199999994"/>
    <n v="2100839.9999999995"/>
    <n v="2122898.8199999994"/>
    <n v="2100839.9999999995"/>
    <n v="2122898.8199999994"/>
    <n v="2100839.9999999995"/>
    <n v="2122898.8199999994"/>
    <n v="2100839.9999999995"/>
    <n v="2122898.8199999994"/>
    <n v="0"/>
    <m/>
    <m/>
    <s v="X"/>
    <m/>
    <m/>
    <n v="3"/>
    <n v="1"/>
  </r>
  <r>
    <x v="3"/>
    <x v="0"/>
    <s v="Programas de inversión pública"/>
    <s v="3.1.4"/>
    <s v="Fertilización de áreas productivas de acuerdo a la etapa fenológica del cultivo"/>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s v="Programa de produccion y tecnolgía para el desarrollo sostenible"/>
    <s v="Programa de Asistencia Técnicas para incrementar la capacidad productiva de las principaes cadenas"/>
    <x v="1"/>
    <x v="1"/>
    <s v="COMP 1"/>
    <s v="PRODUCCIÓN"/>
    <s v="TECNOLOGÍA"/>
    <s v="C17"/>
    <s v="hectáreas fertilizadas"/>
    <n v="70028"/>
    <n v="14005.6"/>
    <n v="21008.399999999998"/>
    <n v="2500"/>
    <s v="El costo incluye un análisis de suelos, paquete de fertilización según los resultados del análisis y la adquisición de fertilizantes. El costo incluye los tres abonamientos requeridos en una campaña (1 año)."/>
    <s v="Drasam"/>
    <n v="35014000"/>
    <n v="35381647"/>
    <n v="52520999.999999993"/>
    <n v="53072470.499999993"/>
    <n v="7002800"/>
    <n v="7076329.3999999994"/>
    <n v="7002800"/>
    <n v="7076329.3999999994"/>
    <n v="7002800"/>
    <n v="7076329.3999999994"/>
    <n v="7002800"/>
    <n v="7076329.3999999994"/>
    <n v="7002800"/>
    <n v="7076329.3999999994"/>
    <n v="0"/>
    <m/>
    <m/>
    <s v="X"/>
    <m/>
    <s v="RE"/>
    <n v="3"/>
    <n v="1"/>
  </r>
  <r>
    <x v="3"/>
    <x v="0"/>
    <s v="Programas de inversión privada"/>
    <s v="3.1.5"/>
    <s v="Instalación de sistemas de fertirriego"/>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s v="Programa de produccion y tecnolgía para el desarrollo sostenible"/>
    <s v="Programa de Asistencia Técnicas para incrementar la capacidad productiva de las principaes cadenas"/>
    <x v="1"/>
    <x v="2"/>
    <s v="COMP 4 "/>
    <s v="PRODUCCIÓN"/>
    <s v="TECNOLOGÍA"/>
    <s v="C17"/>
    <s v="Hectáreas con sistemas de riego"/>
    <n v="70028"/>
    <n v="3501.4"/>
    <n v="4201.68"/>
    <n v="11500"/>
    <s v="El costo incluye la instalación de un sistema completo y un paquete de fertilización para la primera campaña. El costo va depender del tipo de cultivo, tipo de sistema y el tipo de materiales a usar en los sistemas de fertirriego."/>
    <s v="DRASAM"/>
    <n v="40266100"/>
    <n v="40688894.049999997"/>
    <n v="48319320"/>
    <n v="48826672.859999999"/>
    <n v="8053220"/>
    <n v="8137778.8099999996"/>
    <n v="8053220"/>
    <n v="8137778.8099999996"/>
    <n v="8053220"/>
    <n v="8137778.8099999996"/>
    <n v="8053220"/>
    <n v="8137778.8099999996"/>
    <n v="8053220"/>
    <n v="8137778.8099999996"/>
    <n v="0"/>
    <m/>
    <m/>
    <s v="X"/>
    <m/>
    <s v="RE"/>
    <n v="3"/>
    <n v="1"/>
  </r>
  <r>
    <x v="3"/>
    <x v="0"/>
    <s v="Programas de inversión privada"/>
    <s v="3.1.6"/>
    <s v="Reconversión y diversificación productiva "/>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s v="Programa de produccion y tecnolgía para el desarrollo sostenible"/>
    <s v="Programa de Asistencia Técnicas para incrementar la capacidad productiva de las principaes cadenas"/>
    <x v="1"/>
    <x v="2"/>
    <s v="COMP 4 "/>
    <s v="PRODUCCIÓN"/>
    <s v="RECONVERSIÓN"/>
    <s v="C12"/>
    <s v="Hectáreas reconvertidas"/>
    <n v="14005.6"/>
    <n v="1400.5600000000002"/>
    <n v="1400.5600000000002"/>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008400.000000004"/>
    <n v="21228988.200000003"/>
    <n v="21008400.000000004"/>
    <n v="21228988.200000003"/>
    <n v="4201680.0000000009"/>
    <n v="4245797.6400000006"/>
    <n v="4201680.0000000009"/>
    <n v="4245797.6400000006"/>
    <n v="4201680.0000000009"/>
    <n v="4245797.6400000006"/>
    <n v="4201680.0000000009"/>
    <n v="4245797.6400000006"/>
    <n v="4201680.0000000009"/>
    <n v="4245797.6400000006"/>
    <n v="0"/>
    <s v="X"/>
    <m/>
    <m/>
    <m/>
    <s v="RE"/>
    <n v="2"/>
    <n v="1"/>
  </r>
  <r>
    <x v="3"/>
    <x v="0"/>
    <s v="Programas de inversión pública"/>
    <s v="3.1.7"/>
    <s v="Promoción de agricultura familiar con enfoque de mercado"/>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s v="Programa de produccion y tecnolgía para el desarrollo sostenible"/>
    <s v="Programa de Asistencia Técnicas para incrementar la capacidad productiva de las principaes cadenas"/>
    <x v="1"/>
    <x v="1"/>
    <s v="COMP 1"/>
    <s v="PRODUCCIÓN"/>
    <s v="CAPACITACIÓN"/>
    <s v="C3"/>
    <s v="Productores beneficiados"/>
    <n v="29823"/>
    <n v="2982.3"/>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471670"/>
    <n v="38875622.534999996"/>
    <n v="76189980.000000015"/>
    <n v="76989974.790000007"/>
    <n v="7694334"/>
    <n v="7775124.5069999993"/>
    <n v="7694334"/>
    <n v="7775124.5069999993"/>
    <n v="7694334"/>
    <n v="7775124.5069999993"/>
    <n v="7694334"/>
    <n v="7775124.5069999993"/>
    <n v="7694334"/>
    <n v="7775124.5069999993"/>
    <n v="0"/>
    <m/>
    <m/>
    <s v="X"/>
    <m/>
    <s v="RE"/>
    <n v="2"/>
    <n v="1"/>
  </r>
  <r>
    <x v="3"/>
    <x v="0"/>
    <s v="Programas de inversión pública"/>
    <s v="3.1.8"/>
    <s v="Asistencia técnica para el desarrollo de la acuicultura"/>
    <s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s v="NR"/>
    <s v="Programa de produccion y tecnolgía para el desarrollo sostenible"/>
    <s v="Programa de Asistencia Técnicas para incrementar la capacidad productiva de las principaes cadenas"/>
    <x v="1"/>
    <x v="2"/>
    <s v="COMP 4 "/>
    <s v="PRODUCCIÓN"/>
    <s v="ASISTENCIA TÉCNICA"/>
    <s v="C1"/>
    <s v="Acuicultores asistidos"/>
    <n v="431"/>
    <n v="431"/>
    <n v="43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241360"/>
    <n v="243894.28"/>
    <n v="241360"/>
    <n v="243894.28"/>
    <n v="48272"/>
    <n v="48778.856"/>
    <n v="48272"/>
    <n v="48778.856"/>
    <n v="48272"/>
    <n v="48778.856"/>
    <n v="48272"/>
    <n v="48778.856"/>
    <n v="48272"/>
    <n v="48778.856"/>
    <n v="0"/>
    <m/>
    <m/>
    <s v="X"/>
    <m/>
    <s v="RE"/>
    <n v="2"/>
    <n v="1"/>
  </r>
  <r>
    <x v="3"/>
    <x v="0"/>
    <s v="Ingresos y Capital"/>
    <s v="3.1.9"/>
    <s v="Incentivos financieros para la acuicultura "/>
    <s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s v="Programa de produccion y tecnolgía para el desarrollo sostenible"/>
    <s v="Programa de acceso al crédito"/>
    <x v="2"/>
    <x v="3"/>
    <s v="COMP 11"/>
    <s v="PRODUCCIÓN"/>
    <s v="FINANCIAMIENTO"/>
    <s v="C6"/>
    <s v="Créditos otorgados"/>
    <n v="0"/>
    <n v="431"/>
    <n v="431"/>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5559900"/>
    <n v="5618278.9500000002"/>
    <n v="5559900"/>
    <n v="5618278.9500000002"/>
    <n v="1111980"/>
    <n v="1123655.79"/>
    <n v="1111980"/>
    <n v="1123655.79"/>
    <n v="1111980"/>
    <n v="1123655.79"/>
    <n v="1111980"/>
    <n v="1123655.79"/>
    <n v="1111980"/>
    <n v="1123655.79"/>
    <n v="0"/>
    <s v="X"/>
    <m/>
    <m/>
    <m/>
    <s v="RE"/>
    <n v="2"/>
    <n v="1"/>
  </r>
  <r>
    <x v="3"/>
    <x v="0"/>
    <s v="Ingresos y Capital"/>
    <s v="3.1.10"/>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s v="Programa de produccion y tecnolgía para el desarrollo sostenible"/>
    <s v="Programa de acceso al crédito"/>
    <x v="2"/>
    <x v="3"/>
    <s v="COMP 11"/>
    <s v="PRODUCCIÓN"/>
    <s v="FINANCIAMIENTO"/>
    <s v="C6"/>
    <s v="Créditos otorgados"/>
    <n v="29823"/>
    <n v="8946.9"/>
    <n v="5964.6"/>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96179175"/>
    <n v="97189056.337499991"/>
    <n v="64119450.000000007"/>
    <n v="64792704.225000001"/>
    <n v="19235835"/>
    <n v="19437811.267499998"/>
    <n v="19235835"/>
    <n v="19437811.267499998"/>
    <n v="19235835"/>
    <n v="19437811.267499998"/>
    <n v="19235835"/>
    <n v="19437811.267499998"/>
    <n v="19235835"/>
    <n v="19437811.267499998"/>
    <n v="0"/>
    <s v="X"/>
    <m/>
    <m/>
    <m/>
    <s v="RE"/>
    <n v="2"/>
    <n v="1"/>
  </r>
  <r>
    <x v="3"/>
    <x v="0"/>
    <s v="Programas de inversión privada"/>
    <s v="3.1.11"/>
    <s v="Implementación de infraestructura productiva con énfasis a la agro exportación "/>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s v="Programa de produccion y tecnolgía para el desarrollo sostenible"/>
    <s v="Programa de Asistencia Técnicas para incrementar la capacidad productiva de las principaes cadenas"/>
    <x v="1"/>
    <x v="2"/>
    <s v="COMP 4 "/>
    <s v="PRODUCCIÓN"/>
    <s v="INFRAESTRUCTURA"/>
    <s v="C7"/>
    <s v="Planes de negocios/proyectos ejecutados"/>
    <n v="0"/>
    <n v="5.6000000000000005"/>
    <n v="8.4"/>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480000"/>
    <n v="4527040"/>
    <n v="6720000"/>
    <n v="6790560"/>
    <n v="896000"/>
    <n v="905408"/>
    <n v="896000"/>
    <n v="905408"/>
    <n v="896000"/>
    <n v="905408"/>
    <n v="896000"/>
    <n v="905408"/>
    <n v="896000"/>
    <n v="905408"/>
    <n v="0"/>
    <m/>
    <s v="X"/>
    <m/>
    <m/>
    <s v="RE"/>
    <n v="3"/>
    <n v="1"/>
  </r>
  <r>
    <x v="3"/>
    <x v="0"/>
    <s v="Programas de inversión privada"/>
    <s v="3.1.12"/>
    <s v="Fortalecimiento de capacidades en gestión de la calidad en las distintas cadenas de valor "/>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s v="Programa de produccion y tecnolgía para el desarrollo sostenible"/>
    <s v="Programa de Asistencia Técnicas para incrementar la capacidad productiva de las principaes cadenas"/>
    <x v="1"/>
    <x v="1"/>
    <s v="COMP 1"/>
    <s v="PRODUCCIÓN"/>
    <s v="CAPACITACIÓN"/>
    <s v="C3"/>
    <s v="Empresas y organizaciones atendidas"/>
    <n v="20"/>
    <n v="10"/>
    <n v="10"/>
    <n v="50000"/>
    <s v="El costo incluye la contratación de especialistas para brindar Asistencia Técnica en los procesos de implementación de las certificaciones de calidad, materiales para la capacitación y pasantías."/>
    <s v="DIREPRO"/>
    <n v="500000"/>
    <n v="505250"/>
    <n v="500000"/>
    <n v="505250"/>
    <n v="100000"/>
    <n v="101050"/>
    <n v="100000"/>
    <n v="101050"/>
    <n v="100000"/>
    <n v="101050"/>
    <n v="100000"/>
    <n v="101050"/>
    <n v="100000"/>
    <n v="101050"/>
    <n v="0"/>
    <s v="X"/>
    <m/>
    <m/>
    <m/>
    <s v="RE"/>
    <n v="2"/>
    <n v="1"/>
  </r>
  <r>
    <x v="3"/>
    <x v="0"/>
    <s v="Programas de inversión pública"/>
    <s v="3.1.13"/>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s v="Programa de produccion y tecnolgía para el desarrollo sostenible"/>
    <s v="Programa de promoción de la Asociatividad Empresarial"/>
    <x v="3"/>
    <x v="4"/>
    <s v="COMP 2"/>
    <s v="PRODUCCIÓN"/>
    <s v="ASOCIATIVIDAD"/>
    <s v="C2"/>
    <s v="Organizaciones auto sostenibles"/>
    <n v="28"/>
    <n v="10"/>
    <n v="8.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1200000"/>
    <n v="1212600"/>
    <n v="1008000"/>
    <n v="1018584"/>
    <n v="240000"/>
    <n v="242520"/>
    <n v="240000"/>
    <n v="242520"/>
    <n v="240000"/>
    <n v="242520"/>
    <n v="240000"/>
    <n v="242520"/>
    <n v="240000"/>
    <n v="242520"/>
    <n v="0"/>
    <m/>
    <m/>
    <s v="X"/>
    <m/>
    <m/>
    <n v="3"/>
    <n v="1"/>
  </r>
  <r>
    <x v="3"/>
    <x v="0"/>
    <s v="Programas de inversión privada"/>
    <s v="3.1.14"/>
    <s v="Certificación orgánica y  Comercio Justo"/>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s v="Programa de produccion y tecnolgía para el desarrollo sostenible"/>
    <s v="Programa de Asistencia Técnicas para incrementar la capacidad productiva de las principaes cadenas"/>
    <x v="1"/>
    <x v="5"/>
    <s v="COMP 3"/>
    <s v="PRODUCCIÓN"/>
    <s v="MERCADO"/>
    <s v="C9"/>
    <s v="Organizaciones certificadas"/>
    <n v="28"/>
    <n v="14"/>
    <n v="14"/>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00000"/>
    <n v="2829400"/>
    <n v="2800000"/>
    <n v="2829400"/>
    <n v="560000"/>
    <n v="565880"/>
    <n v="560000"/>
    <n v="565880"/>
    <n v="560000"/>
    <n v="565880"/>
    <n v="560000"/>
    <n v="565880"/>
    <n v="560000"/>
    <n v="565880"/>
    <n v="0"/>
    <m/>
    <m/>
    <s v="X"/>
    <m/>
    <m/>
    <n v="3"/>
    <n v="1"/>
  </r>
  <r>
    <x v="3"/>
    <x v="0"/>
    <s v="Control y vigilancia"/>
    <s v="3.1.15"/>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m/>
    <m/>
    <s v="X"/>
    <m/>
    <m/>
    <n v="2"/>
    <n v="1"/>
  </r>
  <r>
    <x v="3"/>
    <x v="0"/>
    <s v="Programas de inversión privada"/>
    <s v="3.1.16"/>
    <s v="Certificación RSPO"/>
    <s v="Implementar y promover la certificación de plantaciones de 8,086 pequeños productores, los cuales tienen 30,728.3 ha. La certificación RSPO permite facilitar el acceso a los mercados de los productos derivados de la palma aceitera."/>
    <s v="R"/>
    <s v="Programa de produccion y tecnolgía para el desarrollo sostenible"/>
    <s v="Programa de Asistencia Técnicas para incrementar la capacidad productiva de las principaes cadenas"/>
    <x v="1"/>
    <x v="5"/>
    <s v="COMP 3"/>
    <s v="PRODUCCIÓN"/>
    <s v="MERCADO"/>
    <s v="C9"/>
    <s v="Hectáreas certificadas"/>
    <n v="0"/>
    <n v="9218.4"/>
    <n v="21509.599999999999"/>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23037887.807999998"/>
    <n v="23279785.629983999"/>
    <n v="53755071.551999994"/>
    <n v="54319499.803295992"/>
    <n v="4607577.5615999997"/>
    <n v="4655957.1259967992"/>
    <n v="4607577.5615999997"/>
    <n v="4655957.1259967992"/>
    <n v="4607577.5615999997"/>
    <n v="4655957.1259967992"/>
    <n v="4607577.5615999997"/>
    <n v="4655957.1259967992"/>
    <n v="4607577.5615999997"/>
    <n v="4655957.1259967992"/>
    <n v="0"/>
    <m/>
    <m/>
    <s v="X"/>
    <m/>
    <s v="RE"/>
    <n v="2"/>
    <n v="1"/>
  </r>
  <r>
    <x v="3"/>
    <x v="1"/>
    <s v="Invasiones"/>
    <s v="3.2.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95.985498947623199"/>
    <n v="47.9927494738116"/>
    <n v="47.9927494738116"/>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95985.4989476232"/>
    <n v="96993.346686573233"/>
    <n v="95985.4989476232"/>
    <n v="96993.346686573233"/>
    <n v="9598.54989476232"/>
    <n v="9699.3346686573241"/>
    <n v="14397.82484214348"/>
    <n v="14549.002002985986"/>
    <n v="19197.09978952464"/>
    <n v="19398.669337314648"/>
    <n v="28795.64968428696"/>
    <n v="29098.004005971972"/>
    <n v="23996.3747369058"/>
    <n v="24248.336671643308"/>
    <n v="0"/>
    <m/>
    <n v="0"/>
    <m/>
    <m/>
    <s v="RE"/>
    <n v="3"/>
    <n v="0"/>
  </r>
  <r>
    <x v="3"/>
    <x v="1"/>
    <s v="Programas de inversión pública"/>
    <s v="3.2.2"/>
    <s v="Promoción y desarrollo de proveedores de semillas mejoradas"/>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s v="Programa de produccion y tecnolgía para el desarrollo sostenible"/>
    <s v="Programa de Asistencia Técnicas para incrementar la capacidad productiva de las principaes cadenas"/>
    <x v="1"/>
    <x v="2"/>
    <s v="COMP 4 "/>
    <s v="PRODUCCIÓN"/>
    <s v="TECNOLOGÍA"/>
    <s v="C17"/>
    <s v="Unidades semilleristas"/>
    <n v="5"/>
    <n v="2.5"/>
    <n v="1.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37500"/>
    <n v="37893.75"/>
    <n v="22500"/>
    <n v="22736.25"/>
    <n v="7500"/>
    <n v="7578.75"/>
    <n v="7500"/>
    <n v="7578.75"/>
    <n v="7500"/>
    <n v="7578.75"/>
    <n v="7500"/>
    <n v="7578.75"/>
    <n v="7500"/>
    <n v="7578.75"/>
    <n v="0"/>
    <m/>
    <s v="X"/>
    <m/>
    <m/>
    <s v="RE"/>
    <n v="3"/>
    <n v="1"/>
  </r>
  <r>
    <x v="3"/>
    <x v="1"/>
    <s v="Programas de inversión pública"/>
    <s v="3.2.3"/>
    <s v="Promoción de Sistemas de producción sostenibles"/>
    <s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s v="NR"/>
    <s v="Programa de produccion y tecnolgía para el desarrollo sostenible"/>
    <s v="Programa de Asistencia Técnicas para incrementar la capacidad productiva de las principaes cadenas"/>
    <x v="1"/>
    <x v="1"/>
    <s v="COMP 1"/>
    <s v="PRODUCCIÓN"/>
    <s v="CAPACITACIÓN"/>
    <s v="C3"/>
    <s v="Productores asistidos"/>
    <n v="985"/>
    <n v="492.5"/>
    <n v="295.5"/>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275800"/>
    <n v="278695.89999999997"/>
    <n v="165480"/>
    <n v="167217.53999999998"/>
    <n v="55160"/>
    <n v="55739.18"/>
    <n v="55160"/>
    <n v="55739.18"/>
    <n v="55160"/>
    <n v="55739.18"/>
    <n v="55160"/>
    <n v="55739.18"/>
    <n v="55160"/>
    <n v="55739.18"/>
    <n v="0"/>
    <m/>
    <m/>
    <s v="X"/>
    <m/>
    <s v="RE"/>
    <n v="2"/>
    <n v="1"/>
  </r>
  <r>
    <x v="3"/>
    <x v="1"/>
    <s v="Programas de inversión privada"/>
    <s v="3.2.4"/>
    <s v="Reconversión y diversificación productiva "/>
    <s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s v="Programa de produccion y tecnolgía para el desarrollo sostenible"/>
    <s v="Programa de Asistencia Técnicas para incrementar la capacidad productiva de las principaes cadenas"/>
    <x v="1"/>
    <x v="2"/>
    <s v="COMP 4 "/>
    <s v="PRODUCCIÓN"/>
    <s v="RECONVERSIÓN"/>
    <s v="C12"/>
    <s v="Hectáreas reconvertidas"/>
    <n v="1001.4000000000001"/>
    <n v="100.14000000000001"/>
    <n v="200.28000000000003"/>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1502100.0000000002"/>
    <n v="1517872.0500000003"/>
    <n v="3004200.0000000005"/>
    <n v="3035744.1000000006"/>
    <n v="300420.00000000006"/>
    <n v="303574.41000000003"/>
    <n v="300420.00000000006"/>
    <n v="303574.41000000003"/>
    <n v="300420.00000000006"/>
    <n v="303574.41000000003"/>
    <n v="300420.00000000006"/>
    <n v="303574.41000000003"/>
    <n v="300420.00000000006"/>
    <n v="303574.41000000003"/>
    <n v="0"/>
    <m/>
    <m/>
    <s v="X"/>
    <m/>
    <s v="RE"/>
    <n v="3"/>
    <n v="1"/>
  </r>
  <r>
    <x v="3"/>
    <x v="1"/>
    <s v="Ingresos y Capital"/>
    <s v="3.2.5"/>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s v="Programa de produccion y tecnolgía para el desarrollo sostenible"/>
    <s v="Programa de acceso al crédito"/>
    <x v="2"/>
    <x v="3"/>
    <s v="COMP 11"/>
    <s v="PRODUCCIÓN"/>
    <s v="FINANCIAMIENTO"/>
    <s v="C6"/>
    <s v="Productores atendidos"/>
    <n v="985"/>
    <n v="295.5"/>
    <n v="19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3176625"/>
    <n v="3209979.5625"/>
    <n v="2117750"/>
    <n v="2139986.375"/>
    <n v="635325"/>
    <n v="641995.91249999998"/>
    <n v="635325"/>
    <n v="641995.91249999998"/>
    <n v="635325"/>
    <n v="641995.91249999998"/>
    <n v="635325"/>
    <n v="641995.91249999998"/>
    <n v="635325"/>
    <n v="641995.91249999998"/>
    <n v="0"/>
    <s v="X"/>
    <m/>
    <m/>
    <m/>
    <m/>
    <n v="3"/>
    <n v="1"/>
  </r>
  <r>
    <x v="3"/>
    <x v="1"/>
    <s v="Programas de inversión pública"/>
    <s v="3.2.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s v="Programa de produccion y tecnolgía para el desarrollo sostenible"/>
    <s v="Programa de promoción de la Asociatividad Empresarial"/>
    <x v="3"/>
    <x v="4"/>
    <s v="COMP 2"/>
    <s v="PRODUCCIÓN"/>
    <s v="ASOCIATIVIDAD"/>
    <s v="C2"/>
    <s v="Organizaciones formalizadas"/>
    <n v="0"/>
    <n v="2"/>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1200000"/>
    <n v="1212600"/>
    <n v="1200000"/>
    <n v="1212600"/>
    <n v="240000"/>
    <n v="242520"/>
    <n v="240000"/>
    <n v="242520"/>
    <n v="240000"/>
    <n v="242520"/>
    <n v="240000"/>
    <n v="242520"/>
    <n v="240000"/>
    <n v="242520"/>
    <n v="0"/>
    <m/>
    <m/>
    <s v="X"/>
    <m/>
    <m/>
    <n v="3"/>
    <n v="1"/>
  </r>
  <r>
    <x v="3"/>
    <x v="1"/>
    <s v="Programas de inversión privada"/>
    <s v="3.2.7"/>
    <s v="Implementación de infraestructura productiva baja en emisiones"/>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
    <s v="NR"/>
    <s v="Programa de produccion y tecnolgía para el desarrollo sostenible"/>
    <s v="Programa de Asistencia Técnicas para incrementar la capacidad productiva de las principaes cadenas"/>
    <x v="1"/>
    <x v="2"/>
    <s v="COMP 4 "/>
    <s v="PRODUCCIÓN"/>
    <s v="INFRAESTRUCTURA"/>
    <s v="C7"/>
    <s v="Planes de negocios ejecutados"/>
    <n v="0"/>
    <n v="2"/>
    <n v="2"/>
    <n v="15000"/>
    <s v="Para el logro de los objetivos, se considera el pago de profesionales para la formulación de los planes de negocios que beneficiarían directamente a los pequeños productores."/>
    <s v="DRASAM"/>
    <n v="150000"/>
    <n v="151575"/>
    <n v="150000"/>
    <n v="151575"/>
    <n v="75000"/>
    <n v="75787.5"/>
    <n v="0"/>
    <n v="0"/>
    <n v="75000"/>
    <n v="75787.5"/>
    <n v="0"/>
    <n v="0"/>
    <n v="0"/>
    <n v="0"/>
    <n v="0"/>
    <s v="X"/>
    <m/>
    <m/>
    <m/>
    <m/>
    <n v="3"/>
    <n v="1"/>
  </r>
  <r>
    <x v="3"/>
    <x v="1"/>
    <s v="Control y vigilancia"/>
    <s v="3.2.8"/>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s v="X"/>
    <m/>
    <m/>
    <m/>
    <m/>
    <n v="3"/>
    <n v="1"/>
  </r>
  <r>
    <x v="3"/>
    <x v="2"/>
    <s v="Invasiones"/>
    <s v="3.3.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s v="Programa de incentivos públicos promoviendo el bienestrar sostenible de sus habilitantes"/>
    <s v="Programa de regulización, formalizacion y saneamiento de predios"/>
    <x v="0"/>
    <x v="0"/>
    <s v="COMP 8"/>
    <s v="PROTECCIÓN-GOBERNANZA"/>
    <s v="DERECHOS SOBRE LA TIERRA"/>
    <s v="C5"/>
    <s v="N° Títulos/Contratos otorgados"/>
    <n v="463.30581406844504"/>
    <n v="231.65290703422252"/>
    <n v="231.652907034222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463305.81406844506"/>
    <n v="468170.52511616371"/>
    <n v="463305.81406844506"/>
    <n v="468170.52511616371"/>
    <n v="46330.581406844511"/>
    <n v="46817.052511616377"/>
    <n v="69495.872110266762"/>
    <n v="70225.578767424566"/>
    <n v="92661.162813689021"/>
    <n v="93634.105023232754"/>
    <n v="138991.74422053352"/>
    <n v="140451.15753484913"/>
    <n v="115826.45351711127"/>
    <n v="117042.63127904093"/>
    <n v="0"/>
    <m/>
    <m/>
    <s v="X"/>
    <m/>
    <s v="RE"/>
    <n v="3"/>
    <n v="1"/>
  </r>
  <r>
    <x v="3"/>
    <x v="2"/>
    <s v="Programas de inversión pública"/>
    <s v="3.3.2"/>
    <s v="Asistencia técnica para el mejoramiento de pastos y ganadería "/>
    <s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s v="Programa de produccion y tecnolgía para el desarrollo sostenible"/>
    <s v="Programa de Asistencia Técnicas para incrementar la capacidad productiva de las principaes cadenas"/>
    <x v="1"/>
    <x v="1"/>
    <s v="COMP 1"/>
    <s v="PRODUCCIÓN"/>
    <s v="ASISTENCIA TÉCNICA"/>
    <s v="C1"/>
    <s v="Ganaderos asistidos"/>
    <n v="587"/>
    <n v="587"/>
    <n v="587"/>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328720"/>
    <n v="332171.56"/>
    <n v="328720"/>
    <n v="332171.56"/>
    <n v="65744"/>
    <n v="66434.311999999991"/>
    <n v="65744"/>
    <n v="66434.311999999991"/>
    <n v="65744"/>
    <n v="66434.311999999991"/>
    <n v="65744"/>
    <n v="66434.311999999991"/>
    <n v="65744"/>
    <n v="66434.311999999991"/>
    <n v="0"/>
    <m/>
    <m/>
    <s v="X"/>
    <m/>
    <s v="RE"/>
    <n v="3"/>
    <n v="1"/>
  </r>
  <r>
    <x v="3"/>
    <x v="2"/>
    <s v="Programas de inversión pública"/>
    <s v="3.3.3"/>
    <s v="Manejo, conservación y recuperación de suelos degradados"/>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s v="Programa de produccion y tecnolgía para el desarrollo sostenible"/>
    <s v="Programa de Asistencia Técnicas para incrementar la capacidad productiva de las principaes cadenas"/>
    <x v="1"/>
    <x v="1"/>
    <s v="COMP 1"/>
    <s v="PRODUCCIÓN"/>
    <s v="TECNOLOGÍA"/>
    <s v="C17"/>
    <s v="Hectáreas intervenidas"/>
    <n v="11251"/>
    <n v="2250.2000000000003"/>
    <n v="2250.2000000000003"/>
    <n v="500"/>
    <s v="El costo incluye adquisición de semillas, insumos, fertilizantes, entre otras para la producción de plantas agroforestales o coberturas  verdes."/>
    <s v="DRASAM"/>
    <n v="1125100.0000000002"/>
    <n v="1136913.5500000003"/>
    <n v="1125100.0000000002"/>
    <n v="1136913.5500000003"/>
    <n v="225020.00000000006"/>
    <n v="227382.71000000005"/>
    <n v="225020.00000000006"/>
    <n v="227382.71000000005"/>
    <n v="225020.00000000006"/>
    <n v="227382.71000000005"/>
    <n v="225020.00000000006"/>
    <n v="227382.71000000005"/>
    <n v="225020.00000000006"/>
    <n v="227382.71000000005"/>
    <n v="0"/>
    <m/>
    <m/>
    <s v="X"/>
    <m/>
    <s v="RE"/>
    <n v="2"/>
    <n v="1"/>
  </r>
  <r>
    <x v="3"/>
    <x v="2"/>
    <s v="Programas de inversión pública"/>
    <s v="3.3.4"/>
    <s v="Mejoramiento genético de ganado bovino"/>
    <s v="Reactivación  , implementación y gestión de las postas de inseminación artificial, importación de material genético (pajillas de semen), capacitación y entrenamiento a inseminadores, transferencia de embriones."/>
    <s v="R"/>
    <s v="Programa de produccion y tecnolgía para el desarrollo sostenible"/>
    <s v="Programa de Asistencia Técnicas para incrementar la capacidad productiva de las principaes cadenas"/>
    <x v="1"/>
    <x v="2"/>
    <s v="COMP 4 "/>
    <s v="PRODUCCIÓN"/>
    <s v="TECNOLOGÍA"/>
    <s v="C17"/>
    <s v="Postas Reactivadas"/>
    <n v="0"/>
    <n v="2"/>
    <n v="2"/>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548000"/>
    <n v="553754"/>
    <n v="548000"/>
    <n v="553754"/>
    <n v="109600"/>
    <n v="110750.79999999999"/>
    <n v="109600"/>
    <n v="110750.79999999999"/>
    <n v="109600"/>
    <n v="110750.79999999999"/>
    <n v="109600"/>
    <n v="110750.79999999999"/>
    <n v="109600"/>
    <n v="110750.79999999999"/>
    <n v="0"/>
    <m/>
    <s v="X"/>
    <m/>
    <m/>
    <m/>
    <n v="2"/>
    <n v="1"/>
  </r>
  <r>
    <x v="3"/>
    <x v="2"/>
    <s v="Ingresos y Capital"/>
    <s v="3.3.5"/>
    <s v="Programa de acceso al financiamiento agropecuario condicionado"/>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
    <s v="R"/>
    <s v="Programa de produccion y tecnolgía para el desarrollo sostenible"/>
    <s v="Programa de acceso al crédito"/>
    <x v="2"/>
    <x v="3"/>
    <s v="COMP 11"/>
    <s v="PRODUCCIÓN"/>
    <s v="FINANCIAMIENTO"/>
    <s v="C6"/>
    <s v="Ganaderos atendidos"/>
    <n v="587"/>
    <n v="176.1"/>
    <n v="117.4"/>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1893075"/>
    <n v="1912952.2874999999"/>
    <n v="1262050"/>
    <n v="1275301.5249999999"/>
    <n v="378615"/>
    <n v="382590.45749999996"/>
    <n v="378615"/>
    <n v="382590.45749999996"/>
    <n v="378615"/>
    <n v="382590.45749999996"/>
    <n v="378615"/>
    <n v="382590.45749999996"/>
    <n v="378615"/>
    <n v="382590.45749999996"/>
    <n v="0"/>
    <s v="X"/>
    <m/>
    <m/>
    <m/>
    <s v="RE"/>
    <n v="3"/>
    <n v="1"/>
  </r>
  <r>
    <x v="3"/>
    <x v="2"/>
    <s v="Programas de inversión pública"/>
    <s v="3.3.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s v="Programa de produccion y tecnolgía para el desarrollo sostenible"/>
    <s v="Programa de promoción de la Asociatividad Empresarial"/>
    <x v="3"/>
    <x v="4"/>
    <s v="COMP 2"/>
    <s v="PRODUCCIÓN"/>
    <s v="ASOCIATIVIDAD"/>
    <s v="C2"/>
    <s v="Organizaciones fortalecidas"/>
    <n v="0"/>
    <n v="8"/>
    <n v="8"/>
    <n v="120000"/>
    <s v="Costo implica la contratación de un profesional para realizar las labores de seguimiento y fortalecimiento de las organizaciones de forma permanente por el periodo de 10 años (120 meses)"/>
    <s v="Drasam, Dircetur, Direpro"/>
    <n v="4800000"/>
    <n v="4850400"/>
    <n v="4800000"/>
    <n v="4850400"/>
    <n v="960000"/>
    <n v="970080"/>
    <n v="960000"/>
    <n v="970080"/>
    <n v="960000"/>
    <n v="970080"/>
    <n v="960000"/>
    <n v="970080"/>
    <n v="960000"/>
    <n v="970080"/>
    <n v="0"/>
    <m/>
    <m/>
    <s v="X"/>
    <m/>
    <m/>
    <n v="3"/>
    <n v="1"/>
  </r>
  <r>
    <x v="3"/>
    <x v="2"/>
    <s v="Programas de inversión privada"/>
    <s v="3.3.7"/>
    <s v="Implementación de infraestructura productiva baja en emisiones"/>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s v="Programa de produccion y tecnolgía para el desarrollo sostenible"/>
    <s v="Programa de Asistencia Técnicas para incrementar la capacidad productiva de las principaes cadenas"/>
    <x v="1"/>
    <x v="2"/>
    <s v="COMP 4 "/>
    <s v="PRODUCCIÓN"/>
    <s v="INFRAESTRUCTURA"/>
    <s v="C7"/>
    <s v="Planes de negocios implementados"/>
    <n v="0"/>
    <n v="8"/>
    <n v="8"/>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6400000"/>
    <n v="6467200"/>
    <n v="6400000"/>
    <n v="6467200"/>
    <n v="1280000"/>
    <n v="1293440"/>
    <n v="1280000"/>
    <n v="1293440"/>
    <n v="1280000"/>
    <n v="1293440"/>
    <n v="1280000"/>
    <n v="1293440"/>
    <n v="1280000"/>
    <n v="1293440"/>
    <n v="0"/>
    <s v="X"/>
    <m/>
    <m/>
    <m/>
    <s v="RE"/>
    <n v="2"/>
    <n v="1"/>
  </r>
  <r>
    <x v="3"/>
    <x v="2"/>
    <s v="Control y vigilancia"/>
    <s v="3.3.8"/>
    <s v="Promoción y acceso a los Mecanismos de Retribución por Servicios Eco sistémicos (MERESE)"/>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s v="Programa  de Gestion sostenible de los bosques amazónicos frente al cambio climatico."/>
    <s v="Programa de Asistencia Técnica para la recuperación de bosques"/>
    <x v="4"/>
    <x v="6"/>
    <s v="COMP 5"/>
    <s v="PROTECCIÓN"/>
    <s v="SERVICIOS ECOSISTÉMICOS"/>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s v="X"/>
    <m/>
    <m/>
    <m/>
    <m/>
    <n v="2"/>
    <n v="1"/>
  </r>
  <r>
    <x v="3"/>
    <x v="12"/>
    <s v="Invasiones"/>
    <s v="3.4.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R"/>
    <s v="Programa de incentivos públicos promoviendo el bienestrar sostenible de sus habilitantes"/>
    <s v="Programa de regulización, formalizacion y saneamiento de predios"/>
    <x v="0"/>
    <x v="0"/>
    <s v="COMP 8"/>
    <s v="PROTECCIÓN-GOBERNANZA"/>
    <s v="DERECHOS SOBRE LA TIERRA"/>
    <s v="C5"/>
    <s v="N° Títulos/Contratos otorgados"/>
    <n v="1165.1265258785102"/>
    <n v="582.56326293925508"/>
    <n v="582.56326293925508"/>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165126.5258785102"/>
    <n v="1177360.3544002345"/>
    <n v="1165126.5258785102"/>
    <n v="1177360.3544002345"/>
    <n v="116512.65258785103"/>
    <n v="117736.03544002346"/>
    <n v="174768.97888177654"/>
    <n v="176604.05316003517"/>
    <n v="233025.30517570206"/>
    <n v="235472.07088004693"/>
    <n v="349537.95776355307"/>
    <n v="353208.10632007034"/>
    <n v="291281.63146962755"/>
    <n v="294340.08860005863"/>
    <n v="0"/>
    <m/>
    <m/>
    <s v="X"/>
    <m/>
    <s v="RE"/>
    <n v="3"/>
    <n v="1"/>
  </r>
  <r>
    <x v="3"/>
    <x v="12"/>
    <s v="Ingresos y Capital"/>
    <s v="3.4.2"/>
    <s v="Acceso a financiamiento para modelos de asociación con pequeños productores"/>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s v="Programa de produccion y tecnolgía para el desarrollo sostenible"/>
    <s v="Programa de Asistencia Técnica para la recuperación de bosques"/>
    <x v="4"/>
    <x v="3"/>
    <s v="COMP 11"/>
    <s v="PRODUCCIÓN"/>
    <s v="FINANCIAMIENTO"/>
    <s v="C6"/>
    <s v="Productores atendidos"/>
    <n v="8086"/>
    <n v="2425.7999999999997"/>
    <n v="1617.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26077349.999999996"/>
    <n v="26351162.174999993"/>
    <n v="17384900"/>
    <n v="17567441.449999999"/>
    <n v="5215470"/>
    <n v="5270232.4349999996"/>
    <n v="5215470"/>
    <n v="5270232.4349999996"/>
    <n v="5215470"/>
    <n v="5270232.4349999996"/>
    <n v="5215470"/>
    <n v="5270232.4349999996"/>
    <n v="5215470"/>
    <n v="5270232.4349999996"/>
    <n v="0"/>
    <m/>
    <m/>
    <s v="X"/>
    <m/>
    <s v="RE"/>
    <n v="3"/>
    <n v="1"/>
  </r>
  <r>
    <x v="3"/>
    <x v="12"/>
    <s v="Programas de inversión privada"/>
    <s v="3.4.3"/>
    <s v="Acompañamiento de acuerdos comerciales entre empresas y medianos productores"/>
    <s v="Brindar asesoramiento y acompañamiento a los productores organizados y no organizados en sus procesos de negociación, este acompañamiento permitirá llegar a buenos acuerdos con las empresas y asegurar que los pequeños productores tengan acceso a precios justos."/>
    <s v="NR"/>
    <s v="Programa de produccion y tecnolgía para el desarrollo sostenible"/>
    <s v="Programa de Emprendimientos que coadyuvan a la sostebilidad de los Bossques"/>
    <x v="5"/>
    <x v="5"/>
    <s v="COMP 3"/>
    <s v="PRODUCCIÓN"/>
    <s v="MERCADO"/>
    <s v="C9"/>
    <s v="Especialistas"/>
    <n v="0"/>
    <n v="2"/>
    <n v="2"/>
    <n v="3500"/>
    <s v="El costo incluye la contratación de profesionales que se encarguen de identificar propuestas de alianzas comerciales entre productores y empresas privadas."/>
    <s v="Drasam"/>
    <n v="420000"/>
    <n v="424410"/>
    <n v="420000"/>
    <n v="424410"/>
    <n v="84000"/>
    <n v="84882"/>
    <n v="84000"/>
    <n v="84882"/>
    <n v="84000"/>
    <n v="84882"/>
    <n v="84000"/>
    <n v="84882"/>
    <n v="84000"/>
    <n v="84882"/>
    <n v="0"/>
    <s v="X"/>
    <m/>
    <m/>
    <m/>
    <s v="RE"/>
    <n v="3"/>
    <n v="1"/>
  </r>
  <r>
    <x v="3"/>
    <x v="12"/>
    <s v="Programas de inversión privada"/>
    <s v="3.4.4"/>
    <s v="Ampliación de estudios de HCS y HCV para nuevas áreas potenciales para asociación con pequeños productores"/>
    <s v="Promover el financiamiento para el desarrollo e implementación de estudios de umbrales de carbono en el suelo y en los bosques."/>
    <s v="NR"/>
    <s v="Programa de produccion y tecnolgía para el desarrollo sostenible"/>
    <s v="Programa de promoción de la Asociatividad Empresarial"/>
    <x v="3"/>
    <x v="5"/>
    <s v="COMP 3"/>
    <s v="PRODUCCIÓN"/>
    <s v="MERCADO"/>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445428.39999999997"/>
    <n v="0"/>
    <n v="0"/>
    <n v="220400"/>
    <n v="222714.19999999998"/>
    <n v="220400"/>
    <n v="222714.19999999998"/>
    <n v="0"/>
    <n v="0"/>
    <n v="0"/>
    <n v="0"/>
    <n v="0"/>
    <n v="0"/>
    <n v="0"/>
    <s v="X"/>
    <m/>
    <m/>
    <m/>
    <s v="RE"/>
    <n v="3"/>
    <n v="1"/>
  </r>
  <r>
    <x v="3"/>
    <x v="4"/>
    <s v="Programas de inversión privada"/>
    <s v="3.5.1"/>
    <s v="Incentivos financieros par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s v="Programa  de Gestion sostenible de los bosques amazónicos frente al cambio climatico."/>
    <s v="Programa de incentivos para la protección de bosques"/>
    <x v="6"/>
    <x v="3"/>
    <s v="COMP 11"/>
    <s v="PROTECCIÓN"/>
    <s v="FINANCIAMIENTO"/>
    <s v="C6"/>
    <s v="Planes de negocios"/>
    <n v="0"/>
    <n v="7"/>
    <n v="10"/>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050000"/>
    <n v="1061025"/>
    <n v="1500000"/>
    <n v="1515750"/>
    <n v="210000"/>
    <n v="212205"/>
    <n v="210000"/>
    <n v="212205"/>
    <n v="210000"/>
    <n v="212205"/>
    <n v="210000"/>
    <n v="212205"/>
    <n v="210000"/>
    <n v="212205"/>
    <n v="0"/>
    <s v="X"/>
    <m/>
    <m/>
    <m/>
    <s v="RE"/>
    <n v="3"/>
    <n v="1"/>
  </r>
  <r>
    <x v="3"/>
    <x v="4"/>
    <s v="Programas de inversión pública"/>
    <s v="3.5.2"/>
    <s v="Asistencia técnica para la gestión del turismo y acciones integradas para el desarrollo de las organizaciones  o emprendimientos comunitarios"/>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s v="Programa  de Gestion sostenible de los bosques amazónicos frente al cambio climatico."/>
    <s v="Programa de Asistencia Técnica para la recuperación de bosques"/>
    <x v="4"/>
    <x v="6"/>
    <s v="COMP 5"/>
    <s v="PROTECCIÓN"/>
    <s v="ASISTENCIA TÉCNICA"/>
    <s v="C1"/>
    <s v="Especialistas"/>
    <n v="0"/>
    <n v="2"/>
    <n v="2"/>
    <n v="4000"/>
    <s v="Contratación de especialista y gastos logísticos, pasantías regionales y nacionales para adquisición de know how en materia de turismo rural"/>
    <s v="Dircetur"/>
    <n v="480000"/>
    <n v="485040"/>
    <n v="480000"/>
    <n v="485040"/>
    <n v="96000"/>
    <n v="97008"/>
    <n v="96000"/>
    <n v="97008"/>
    <n v="96000"/>
    <n v="97008"/>
    <n v="96000"/>
    <n v="97008"/>
    <n v="96000"/>
    <n v="97008"/>
    <n v="0"/>
    <m/>
    <m/>
    <s v="X"/>
    <m/>
    <s v="RE"/>
    <n v="3"/>
    <n v="1"/>
  </r>
  <r>
    <x v="3"/>
    <x v="4"/>
    <s v="Programas de inversión privada"/>
    <s v="3.5.3"/>
    <s v="Promoción de Bionegocios con productos forestales no maderables "/>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s v="Programa  de Gestion sostenible de los bosques amazónicos frente al cambio climatico."/>
    <s v="Programa de Emprendimientos que coadyuvan a la sostebilidad de los Bossques"/>
    <x v="5"/>
    <x v="7"/>
    <s v="COMP 6"/>
    <s v="PROTECCIÓN"/>
    <s v="INNOVACIÓN"/>
    <s v="C8"/>
    <s v="Planes de negocio"/>
    <n v="0"/>
    <n v="4"/>
    <n v="8"/>
    <n v="150000"/>
    <s v="El costo hace referencia al proceso de implementación y funcionamiento de los productos para el desarrollo de  los emprendimientos."/>
    <s v="Dircetur, Agroideas"/>
    <n v="600000"/>
    <n v="606300"/>
    <n v="1200000"/>
    <n v="1212600"/>
    <n v="120000"/>
    <n v="121260"/>
    <n v="120000"/>
    <n v="121260"/>
    <n v="120000"/>
    <n v="121260"/>
    <n v="120000"/>
    <n v="121260"/>
    <n v="120000"/>
    <n v="121260"/>
    <n v="0"/>
    <s v="X"/>
    <m/>
    <m/>
    <m/>
    <s v="RE"/>
    <n v="3"/>
    <n v="1"/>
  </r>
  <r>
    <x v="3"/>
    <x v="4"/>
    <s v="Programas de inversión privada"/>
    <s v="3.5.4"/>
    <s v=" Promoción de mercados turísticos"/>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s v="Programa  de Gestion sostenible de los bosques amazónicos frente al cambio climatico."/>
    <s v="Programa de Emprendimientos que coadyuvan a la sostebilidad de los Bossques"/>
    <x v="5"/>
    <x v="7"/>
    <s v="COMP 6"/>
    <s v="PROTECCIÓN"/>
    <s v="PROMOCIÓN ACTIVIDADES ECONÓMICOS"/>
    <s v="C11"/>
    <s v="rutas turísticas promocionados"/>
    <n v="0"/>
    <n v="3"/>
    <n v="3"/>
    <n v="40000"/>
    <s v="Participación en eventos de promoción (ferias regionales y nacionales, Fam Trip), el costo cubrirá gastos logísticos y administrativos de los operadores turísticos identificados "/>
    <s v="Mincetur, Dircetur"/>
    <n v="600000"/>
    <n v="606300"/>
    <n v="600000"/>
    <n v="606300"/>
    <n v="120000"/>
    <n v="121260"/>
    <n v="120000"/>
    <n v="121260"/>
    <n v="120000"/>
    <n v="121260"/>
    <n v="120000"/>
    <n v="121260"/>
    <n v="120000"/>
    <n v="121260"/>
    <n v="0"/>
    <m/>
    <m/>
    <s v="X"/>
    <m/>
    <s v="RE"/>
    <n v="3"/>
    <n v="1"/>
  </r>
  <r>
    <x v="3"/>
    <x v="5"/>
    <s v="Invasiones"/>
    <s v="3.6.1"/>
    <s v="Exclusión y compensación de concesiones forestales maderables a solicitud del concesionario"/>
    <s v="Realizar un sinceramiento de las concesiones forestales activas e inactivas para excluir o realizar nuevos otorgamientos a empresas que puedan cumplir técnica y económicamente con lo predispuesto en la directiva."/>
    <s v="NR"/>
    <s v="Programa de incentivos públicos promoviendo el bienestrar sostenible de sus habilitantes"/>
    <s v="Programa de regulización, formalizacion y saneamiento de predios"/>
    <x v="0"/>
    <x v="0"/>
    <s v="COMP 8"/>
    <s v="PROTECCIÓN-GOBERNANZA"/>
    <s v="DERECHOS SOBRE LA TIERRA"/>
    <s v="C5"/>
    <s v="N° de concesiones "/>
    <n v="0"/>
    <n v="9"/>
    <n v="9"/>
    <n v="30000"/>
    <s v="Gastos operativos y logísticos para la elaboración de expedientes técnicos sustentatorios para los procesos legales y administrativos que conllevan dicho procedimiento."/>
    <s v="ARA, SERFOR, MINAM"/>
    <n v="270000"/>
    <n v="272835"/>
    <n v="270000"/>
    <n v="272835"/>
    <n v="54000"/>
    <n v="54567"/>
    <n v="54000"/>
    <n v="54567"/>
    <n v="54000"/>
    <n v="54567"/>
    <n v="54000"/>
    <n v="54567"/>
    <n v="54000"/>
    <n v="54567"/>
    <n v="0"/>
    <m/>
    <m/>
    <s v="X"/>
    <m/>
    <m/>
    <n v="3"/>
    <n v="1"/>
  </r>
  <r>
    <x v="3"/>
    <x v="5"/>
    <s v="Programas de inversión privada"/>
    <s v="3.6.2"/>
    <s v="Incentivos financieros para manejo forestal sostenible"/>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s v="Programa  de Gestion sostenible de los bosques amazónicos frente al cambio climatico."/>
    <s v="Programa de incentivos para la protección de bosques"/>
    <x v="6"/>
    <x v="3"/>
    <s v="COMP 11"/>
    <s v="PROTECCIÓN"/>
    <s v="FINANCIAMIENTO"/>
    <s v="C6"/>
    <s v="Créditos otorgados"/>
    <n v="0"/>
    <n v="3"/>
    <n v="3"/>
    <n v="150000"/>
    <s v="El costo incluye los gastos operativos y logísticos para la extracción de la madera de acuerdo al plan de extracción y la implementación de los planes de manejo. ambiental."/>
    <s v="ARA, SERFOR, MINAM"/>
    <n v="450000"/>
    <n v="454725"/>
    <n v="450000"/>
    <n v="454725"/>
    <n v="90000"/>
    <n v="90945"/>
    <n v="90000"/>
    <n v="90945"/>
    <n v="90000"/>
    <n v="90945"/>
    <n v="90000"/>
    <n v="90945"/>
    <n v="90000"/>
    <n v="90945"/>
    <n v="0"/>
    <s v="X"/>
    <m/>
    <m/>
    <m/>
    <m/>
    <n v="3"/>
    <n v="1"/>
  </r>
  <r>
    <x v="3"/>
    <x v="5"/>
    <s v="Programas de inversión pública"/>
    <s v="3.6.3"/>
    <s v="Nuevos mecanismos de pagos de deudas por sanciones"/>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puedan acceder a este beneficio."/>
    <s v="R"/>
    <s v="Programa de incentivos públicos promoviendo el bienestrar sostenible de sus habilitantes"/>
    <s v="Programa de regulización, formalizacion y saneamiento de predios"/>
    <x v="0"/>
    <x v="0"/>
    <s v="COMP 8"/>
    <s v="HABILITANTE"/>
    <s v="GESTIÓN PUBLICA"/>
    <s v="C21"/>
    <s v="Concesiones reactivas"/>
    <n v="0"/>
    <n v="9"/>
    <n v="0"/>
    <n v="20000"/>
    <s v="Gastos operativos y logísticos para la elaboración de expedientes técnicos sustentatorios para los procesos legales y administrativos que conllevan dicho procedimiento."/>
    <s v="ARA, SERFOR, MINAM"/>
    <n v="180000"/>
    <n v="181890"/>
    <n v="0"/>
    <n v="0"/>
    <n v="36000"/>
    <n v="36378"/>
    <n v="36000"/>
    <n v="36378"/>
    <n v="36000"/>
    <n v="36378"/>
    <n v="36000"/>
    <n v="36378"/>
    <n v="36000"/>
    <n v="36378"/>
    <n v="0"/>
    <m/>
    <m/>
    <s v="X"/>
    <m/>
    <m/>
    <n v="1"/>
    <n v="1"/>
  </r>
  <r>
    <x v="3"/>
    <x v="14"/>
    <s v="Control y vigilancia"/>
    <s v="3.7.1"/>
    <s v="Elaborar lineamientos de uso de recursos y demarcación de límites"/>
    <s v="Propuesta de lineamientos para aprovechamiento sostenible de los Recursos Naturales Presentes."/>
    <s v="NR"/>
    <s v="Programa de incentivos públicos promoviendo el bienestrar sostenible de sus habilitantes"/>
    <s v="Programa de regulización, formalizacion y saneamiento de predios"/>
    <x v="0"/>
    <x v="0"/>
    <s v="COMP 8"/>
    <s v="PROTECCIÓN-GOBERNANZA"/>
    <s v="DERECHOS SOBRE LA TIERRA"/>
    <s v="C5"/>
    <s v="Lineamientos"/>
    <n v="0"/>
    <n v="1"/>
    <n v="0"/>
    <n v="100000"/>
    <s v="Contratación de equipo de profesionales para la elaboración de lineamientos de uso y demarcación de la ACR."/>
    <s v="Ara, serfor, Sernanp"/>
    <n v="100000"/>
    <n v="101050"/>
    <n v="0"/>
    <n v="0"/>
    <n v="100000"/>
    <n v="101050"/>
    <n v="0"/>
    <n v="0"/>
    <n v="0"/>
    <n v="0"/>
    <n v="0"/>
    <n v="0"/>
    <n v="0"/>
    <n v="0"/>
    <n v="0"/>
    <m/>
    <s v="X"/>
    <m/>
    <m/>
    <s v="RE"/>
    <n v="3"/>
    <n v="1"/>
  </r>
  <r>
    <x v="3"/>
    <x v="14"/>
    <s v="Control y vigilancia"/>
    <s v="3.7.2"/>
    <s v="Fortalecer el control y vigilancia"/>
    <s v="Implementar con recursos necesarios al ente que administra el área, con la finalidad de aumentar el número de personas (guardaparques) que contribuyan a realizar acciones de control y vigilancia."/>
    <s v="NR"/>
    <s v="Programa  de Gestion sostenible de los bosques amazónicos frente al cambio climatico."/>
    <s v="Programa de regulización, formalizacion y saneamiento de predios"/>
    <x v="0"/>
    <x v="6"/>
    <s v="COMP 5"/>
    <s v="PROTECCIÓN-GOBERNANZA"/>
    <s v="CONTROL Y VIGILANCIA"/>
    <s v="C4"/>
    <s v="Número de guardaparques"/>
    <n v="0"/>
    <n v="50"/>
    <n v="50"/>
    <n v="2000"/>
    <s v="Contratación a guardaparques para garantizar el control y vigilancia del área otorgada."/>
    <s v="Ara, serfor, Sernanp"/>
    <n v="6000000"/>
    <n v="6063000"/>
    <n v="6000000"/>
    <n v="6063000"/>
    <n v="1200000"/>
    <n v="1212600"/>
    <n v="1200000"/>
    <n v="1212600"/>
    <n v="1200000"/>
    <n v="1212600"/>
    <n v="1200000"/>
    <n v="1212600"/>
    <n v="1200000"/>
    <n v="1212600"/>
    <n v="0"/>
    <m/>
    <s v="X"/>
    <m/>
    <m/>
    <s v="RE"/>
    <n v="3"/>
    <n v="1"/>
  </r>
  <r>
    <x v="3"/>
    <x v="14"/>
    <s v="Control y vigilancia"/>
    <s v="3.7.3"/>
    <s v="Sensibilización para el fortalecimiento del control y vigilancia en zona de amortiguamiento"/>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s v="Programa  de Gestion sostenible de los bosques amazónicos frente al cambio climatico."/>
    <s v="Programa de regulización, formalizacion y saneamiento de predios"/>
    <x v="0"/>
    <x v="6"/>
    <s v="COMP 5"/>
    <s v="PROTECCIÓN-GOBERNANZA"/>
    <s v="CONTROL Y VIGILANCIA"/>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21000"/>
    <n v="2000000"/>
    <n v="2021000"/>
    <n v="400000"/>
    <n v="404200"/>
    <n v="400000"/>
    <n v="404200"/>
    <n v="400000"/>
    <n v="404200"/>
    <n v="400000"/>
    <n v="404200"/>
    <n v="400000"/>
    <n v="404200"/>
    <n v="0"/>
    <m/>
    <s v="X"/>
    <m/>
    <m/>
    <s v="RE"/>
    <n v="3"/>
    <n v="1"/>
  </r>
  <r>
    <x v="3"/>
    <x v="14"/>
    <s v="Programas de inversión privada"/>
    <s v="3.7.4"/>
    <s v="Promoción de agroforestería sostenible en zona de amortiguamiento"/>
    <s v="Encuentros de productores con la finalidad de promocionar los diferentes sistemas productivos sostenibles a ser replicados en las comunidades."/>
    <s v="NR"/>
    <s v="Programa  de Gestion sostenible de los bosques amazónicos frente al cambio climatico."/>
    <s v="Programa de regulización, formalizacion y saneamiento de predios"/>
    <x v="0"/>
    <x v="7"/>
    <s v="COMP 6"/>
    <s v="PROTECCIÓN"/>
    <s v="PROMOCIÓN ACTIVIDADES ECONÓMICOS"/>
    <s v="C11"/>
    <s v="Encuentros"/>
    <n v="0"/>
    <n v="50"/>
    <n v="50"/>
    <n v="2500"/>
    <s v="El costo hace referencia a los gastos de pasajes, alimentación y otros para un grupo de 20 productores por pasantía."/>
    <s v="Drasam"/>
    <n v="625000"/>
    <n v="631562.5"/>
    <n v="625000"/>
    <n v="631562.5"/>
    <n v="125000"/>
    <n v="126312.5"/>
    <n v="125000"/>
    <n v="126312.5"/>
    <n v="125000"/>
    <n v="126312.5"/>
    <n v="125000"/>
    <n v="126312.5"/>
    <n v="125000"/>
    <n v="126312.5"/>
    <n v="0"/>
    <m/>
    <m/>
    <s v="X"/>
    <m/>
    <m/>
    <n v="3"/>
    <n v="1"/>
  </r>
  <r>
    <x v="3"/>
    <x v="14"/>
    <s v="Programas de inversión privada"/>
    <s v="3.7.5"/>
    <s v="Promoción y difusión de circuitos turísticos en zona de amortiguamiento"/>
    <s v="Campañas de promoción y difusión en el ámbito regional y nacional de los circuitos turísticos que existen en la zona de amortiguamiento."/>
    <s v="NR"/>
    <s v="Programa  de Gestion sostenible de los bosques amazónicos frente al cambio climatico."/>
    <s v="Programa de Emprendimientos que coadyuvan a la sostebilidad de los Bossques"/>
    <x v="5"/>
    <x v="7"/>
    <s v="COMP 6"/>
    <s v="PROTECCIÓN"/>
    <s v="PROMOCIÓN ACTIVIDADES ECONÓMICOS"/>
    <s v="C11"/>
    <s v="Campañas de promoción"/>
    <n v="0"/>
    <n v="10"/>
    <n v="10"/>
    <n v="4000"/>
    <s v="Campañas de promoción que incluye, impresión de material de difusión, publicidad radial, televisiva y escrita."/>
    <s v="Dircetur, Mincetur"/>
    <n v="200000"/>
    <n v="202100"/>
    <n v="200000"/>
    <n v="202100"/>
    <n v="40000"/>
    <n v="40420"/>
    <n v="40000"/>
    <n v="40420"/>
    <n v="40000"/>
    <n v="40420"/>
    <n v="40000"/>
    <n v="40420"/>
    <n v="40000"/>
    <n v="40420"/>
    <n v="0"/>
    <m/>
    <m/>
    <s v="X"/>
    <m/>
    <m/>
    <n v="3"/>
    <n v="1"/>
  </r>
  <r>
    <x v="3"/>
    <x v="14"/>
    <s v="Programas de inversión pública"/>
    <s v="3.7.6"/>
    <s v="Promover la planificación comunal en centros poblados del interior en base a la zonificación y zona de amortiguamiento teniendo como base al Plan Maestro (incluye acuerdos de conservación)"/>
    <s v="Actualización y elaboración de planes de gestión comunal de las localidades acentuadas en las zonas de amortiguamiento con la finalidad de orientar adecuadamente la implementación y ejecución de proyectos."/>
    <s v="NR"/>
    <s v="Programa de incentivos públicos promoviendo el bienestrar sostenible de sus habilitantes"/>
    <s v="Programa de Infraestructura para la Competitividad "/>
    <x v="7"/>
    <x v="8"/>
    <s v="COMP 9"/>
    <s v="HABILITANTE"/>
    <s v="PLANES DE VIDA"/>
    <s v="C10"/>
    <s v="Planes de gestión comunal"/>
    <n v="0"/>
    <n v="12"/>
    <n v="20"/>
    <n v="20000"/>
    <s v="Contratación de servicios profesionales para la elaboración de los planes de gestión comunal."/>
    <s v="Dircetur, Mincetur"/>
    <n v="240000"/>
    <n v="242520"/>
    <n v="400000"/>
    <n v="404200"/>
    <n v="48000"/>
    <n v="48504"/>
    <n v="48000"/>
    <n v="48504"/>
    <n v="48000"/>
    <n v="48504"/>
    <n v="48000"/>
    <n v="48504"/>
    <n v="48000"/>
    <n v="48504"/>
    <n v="0"/>
    <m/>
    <m/>
    <s v="X"/>
    <m/>
    <m/>
    <n v="3"/>
    <n v="1"/>
  </r>
  <r>
    <x v="3"/>
    <x v="14"/>
    <s v="Programas de inversión pública"/>
    <s v="3.7.7"/>
    <s v="Recuperación de la red hídrica en la zona de influencia de la ACR"/>
    <s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s v="Programa  de Gestion sostenible de los bosques amazónicos frente al cambio climatico."/>
    <s v="Programa de Asistencia Técnica para la recuperación de bosques"/>
    <x v="4"/>
    <x v="6"/>
    <s v="COMP 5"/>
    <s v="PROTECCIÓN"/>
    <s v="SERVICIOS ECOSISTÉMICOS"/>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493500"/>
    <n v="47000000"/>
    <n v="47493500"/>
    <n v="9400000"/>
    <n v="9498700"/>
    <n v="9400000"/>
    <n v="9498700"/>
    <n v="9400000"/>
    <n v="9498700"/>
    <n v="9400000"/>
    <n v="9498700"/>
    <n v="9400000"/>
    <n v="9498700"/>
    <n v="0"/>
    <m/>
    <m/>
    <s v="X"/>
    <m/>
    <s v="RE"/>
    <n v="3"/>
    <n v="1"/>
  </r>
  <r>
    <x v="3"/>
    <x v="14"/>
    <s v="Ingresos y Capital"/>
    <s v="3.7.8"/>
    <s v="Incentivos financieros para promoción del ecoturismo y turismo comunitario"/>
    <s v="Implementación de planes de negocios para  la Diversificación y consolidación de la oferta turística, de esta manera promover el acondicionamiento y la gestión técnica en torno de los recursos y atractivos priorizados."/>
    <s v="NR"/>
    <s v="Programa  de Gestion sostenible de los bosques amazónicos frente al cambio climatico."/>
    <s v="Programa de incentivos para la protección de bosques"/>
    <x v="6"/>
    <x v="3"/>
    <s v="COMP 11"/>
    <s v="PROTECCIÓN"/>
    <s v="FINANCIAMIENTO"/>
    <s v="C6"/>
    <s v="Planes de negocios"/>
    <n v="0"/>
    <n v="10"/>
    <n v="1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1000000"/>
    <n v="1010500"/>
    <n v="1000000"/>
    <n v="1010500"/>
    <n v="200000"/>
    <n v="202100"/>
    <n v="200000"/>
    <n v="202100"/>
    <n v="200000"/>
    <n v="202100"/>
    <n v="200000"/>
    <n v="202100"/>
    <n v="200000"/>
    <n v="202100"/>
    <n v="0"/>
    <s v="X"/>
    <m/>
    <m/>
    <m/>
    <s v="RE"/>
    <n v="3"/>
    <n v="1"/>
  </r>
  <r>
    <x v="3"/>
    <x v="9"/>
    <s v="Invasiones"/>
    <s v="3.8.1"/>
    <s v="Creación y establecimiento de unidades de ordenamiento forestal, otorgamiento de títulos habilitantes forestales y tenencia de la tierra"/>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s v="Programa de incentivos públicos promoviendo el bienestrar sostenible de sus habilitantes"/>
    <s v="Programa de regulización, formalizacion y saneamiento de predios"/>
    <x v="0"/>
    <x v="0"/>
    <s v="COMP 8"/>
    <s v="PROTECCIÓN-GOBERNANZA"/>
    <s v="DERECHOS SOBRE LA TIERRA"/>
    <s v="C5"/>
    <s v="Ha. con categoría territorial asignada"/>
    <n v="37092.698274879796"/>
    <n v="18546.349137439898"/>
    <n v="18546.349137439898"/>
    <n v="15"/>
    <s v="Para la implementación de las intervención será mecesario la contratación de especialistas para realizar las acciones que comtemplen dicha actividad. Gastos logísticos y trámites documentarios."/>
    <s v="GRSM - DEGT"/>
    <n v="278195.23706159845"/>
    <n v="281116.28705074522"/>
    <n v="278195.23706159845"/>
    <n v="281116.28705074522"/>
    <n v="55639.047412319691"/>
    <n v="56223.257410149046"/>
    <n v="55639.047412319691"/>
    <n v="56223.257410149046"/>
    <n v="55639.047412319691"/>
    <n v="56223.257410149046"/>
    <n v="55639.047412319691"/>
    <n v="56223.257410149046"/>
    <n v="55639.047412319691"/>
    <n v="56223.257410149046"/>
    <n v="0"/>
    <m/>
    <s v="X"/>
    <m/>
    <m/>
    <m/>
    <n v="3"/>
    <n v="1"/>
  </r>
  <r>
    <x v="3"/>
    <x v="9"/>
    <s v="Control y vigilancia"/>
    <s v="3.8.2"/>
    <s v="Fortalecimiento de capacidades de los responsables de la administración de las nuevas categorías de ordenamiento forestal y títulos habilitantes forestales"/>
    <s v="Comprende la capacitación en manejo de normatividad forestal y manejo de bosques, contratación de especialistas para tener presencia física en el área, equipamiento e infraestructura."/>
    <s v="NR"/>
    <s v="Programa de incentivos públicos promoviendo el bienestrar sostenible de sus habilitantes"/>
    <s v="Programa de regulización, formalizacion y saneamiento de predios"/>
    <x v="0"/>
    <x v="0"/>
    <s v="COMP 8"/>
    <s v="PROTECCIÓN-GOBERNANZA"/>
    <s v="DERECHOS SOBRE LA TIERRA"/>
    <s v="C5"/>
    <s v="N° de responsables de administración que aprueban evaluación de capacitación "/>
    <n v="0"/>
    <n v="80"/>
    <n v="80"/>
    <n v="150"/>
    <s v="Considera materiales de capacitación, alimentación a capacitados en el área cercana a su comunidad y gastos de capacitadores"/>
    <s v="GRSM - DEGT"/>
    <n v="12000"/>
    <n v="12126"/>
    <n v="12000"/>
    <n v="12126"/>
    <n v="12000"/>
    <n v="12126"/>
    <n v="0"/>
    <n v="0"/>
    <n v="0"/>
    <n v="0"/>
    <n v="0"/>
    <n v="0"/>
    <n v="0"/>
    <n v="0"/>
    <n v="0"/>
    <m/>
    <s v="X"/>
    <m/>
    <m/>
    <m/>
    <n v="2"/>
    <n v="1"/>
  </r>
  <r>
    <x v="3"/>
    <x v="9"/>
    <s v="Control y vigilancia"/>
    <s v="3.8.3"/>
    <s v="Elaboración del plan/declaración de manejo de las nuevas categorías de ordenamiento forestal y títulos habilitantes forestales"/>
    <s v="Dependiendo de la categoría forestal a ser aplicada, se realizará un plan/declaración acorde a la unidad, en el marco de la ley forestal y fauna silvestre N° 29763."/>
    <s v="NR"/>
    <s v="Programa de incentivos públicos promoviendo el bienestrar sostenible de sus habilitantes"/>
    <s v="Programa de regulización, formalizacion y saneamiento de predios"/>
    <x v="0"/>
    <x v="0"/>
    <s v="COMP 8"/>
    <s v="PROTECCIÓN-GOBERNANZA"/>
    <s v="DERECHOS SOBRE LA TIERRA"/>
    <s v="C5"/>
    <s v="N° Planes / Declaraciones elaborados"/>
    <n v="0"/>
    <n v="8"/>
    <n v="8"/>
    <n v="10000"/>
    <s v="Se considera la contratación de profesionales para la elaboración de los expedientes y/o declaraciones identificadas en los diferentes procesos."/>
    <s v="GRSM - DEGT"/>
    <n v="80000"/>
    <n v="80840"/>
    <n v="80000"/>
    <n v="80840"/>
    <n v="24000"/>
    <n v="24252"/>
    <n v="24000"/>
    <n v="24252"/>
    <n v="32000"/>
    <n v="32336"/>
    <n v="0"/>
    <n v="0"/>
    <n v="0"/>
    <n v="0"/>
    <n v="0"/>
    <m/>
    <s v="X"/>
    <m/>
    <m/>
    <m/>
    <n v="2"/>
    <n v="1"/>
  </r>
  <r>
    <x v="3"/>
    <x v="9"/>
    <s v="Invasiones"/>
    <s v="3.8.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s v="Programa de incentivos públicos promoviendo el bienestrar sostenible de sus habilitantes"/>
    <s v="Programa de regulización, formalizacion y saneamiento de predios"/>
    <x v="0"/>
    <x v="0"/>
    <s v="COMP 8"/>
    <s v="PROTECCIÓN-GOBERNANZA"/>
    <s v="DERECHOS SOBRE LA TIERRA"/>
    <s v="C5"/>
    <s v="Ha. Inscritas"/>
    <n v="37092.698274879796"/>
    <n v="18546.349137439898"/>
    <n v="18546.349137439898"/>
    <n v="1"/>
    <s v="Contratación de dos profesioales para agilizar procesos con sunarp."/>
    <s v="GRSM - DEGT"/>
    <n v="18546.349137439898"/>
    <n v="18741.085803383015"/>
    <n v="18546.349137439898"/>
    <n v="18741.085803383015"/>
    <n v="3709.2698274879799"/>
    <n v="3748.2171606766037"/>
    <n v="3709.2698274879799"/>
    <n v="3748.2171606766037"/>
    <n v="3709.2698274879799"/>
    <n v="3748.2171606766037"/>
    <n v="3709.2698274879799"/>
    <n v="3748.2171606766037"/>
    <n v="3709.2698274879799"/>
    <n v="3748.2171606766037"/>
    <n v="0"/>
    <m/>
    <s v="X"/>
    <m/>
    <m/>
    <m/>
    <n v="2"/>
    <n v="1"/>
  </r>
  <r>
    <x v="3"/>
    <x v="9"/>
    <s v="Ingresos y Capital"/>
    <s v="3.8.5"/>
    <s v="Restauración de áreas degradadas"/>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s v="Programa  de Gestion sostenible de los bosques amazónicos frente al cambio climatico."/>
    <s v="Programa de Asistencia Técnica para la recuperación de bosques"/>
    <x v="4"/>
    <x v="6"/>
    <s v="COMP 5"/>
    <s v="PROTECCIÓN-GOBERNANZA"/>
    <s v="DERECHOS SOBRE LA TIERRA"/>
    <s v="C5"/>
    <s v="Hectáreas restauradas"/>
    <n v="0"/>
    <n v="4281.2943442937603"/>
    <n v="0"/>
    <n v="500"/>
    <s v="El costo incluye la restauración de una hectárea, esta actividad se desarrollara de acuerdo a la metodología propuesta por el ARA, en coordinación con los productores seleccionados."/>
    <s v="ARA"/>
    <n v="2140647.1721468801"/>
    <n v="2163123.9674544223"/>
    <n v="0"/>
    <n v="0"/>
    <n v="2140647.1721468801"/>
    <n v="2163123.9674544223"/>
    <n v="0"/>
    <n v="0"/>
    <n v="0"/>
    <n v="0"/>
    <n v="0"/>
    <n v="0"/>
    <n v="0"/>
    <n v="0"/>
    <n v="0"/>
    <m/>
    <s v="X"/>
    <m/>
    <m/>
    <m/>
    <n v="3"/>
    <n v="1"/>
  </r>
  <r>
    <x v="3"/>
    <x v="10"/>
    <s v="Programas de inversión pública"/>
    <s v="3.9.1"/>
    <s v="Acuerdos con rondas campesinas para cumplimiento de compromisos de no deforestación y tráfico de tierras e invasiones"/>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s v="Programa de incentivos públicos promoviendo el bienestrar sostenible de sus habilitantes"/>
    <s v="Programa de regulización, formalizacion y saneamiento de predios"/>
    <x v="0"/>
    <x v="0"/>
    <s v="COMP 10"/>
    <s v="HABILITANTE"/>
    <s v="TRANSVERSALES X UDT"/>
    <s v="C18"/>
    <s v="Acuerdos con rondas campesinas"/>
    <n v="0"/>
    <n v="19"/>
    <n v="19"/>
    <n v="2500"/>
    <s v="Reuniones con los diferentes actores involucrados y la sociedad civil para llegar a acuerdos de no deforestación, lo cual incluye  gastos logísticos en general."/>
    <s v="GRIS"/>
    <n v="237500"/>
    <n v="239993.75"/>
    <n v="237500"/>
    <n v="239993.75"/>
    <n v="47500"/>
    <n v="47998.75"/>
    <n v="47500"/>
    <n v="47998.75"/>
    <n v="47500"/>
    <n v="47998.75"/>
    <n v="47500"/>
    <n v="47998.75"/>
    <n v="47500"/>
    <n v="47998.75"/>
    <n v="0"/>
    <m/>
    <m/>
    <s v="X"/>
    <m/>
    <s v="RE"/>
    <n v="3"/>
    <n v="1"/>
  </r>
  <r>
    <x v="3"/>
    <x v="10"/>
    <s v="Programas de inversión pública"/>
    <s v="3.9.2"/>
    <s v="Mejora de programas de desarrollo alternativo con salvaguardas ambientales"/>
    <s v="Los cultivos alternativos promovidos por los programas de cooperación deberán considerar la no ampliación de la frontera agrícola, la no deforestación de bosques primarios y las intervenciones transversales de recuperación de áreas. "/>
    <s v="NR"/>
    <s v="Programa de produccion y tecnolgía para el desarrollo sostenible"/>
    <s v="Programa de Infraestructura para la Competitividad "/>
    <x v="7"/>
    <x v="1"/>
    <s v="COMP 1"/>
    <s v="HABILITANTE"/>
    <s v="TRANSVERSALES X UDT"/>
    <s v="C18"/>
    <s v="Reuniones de coordinación"/>
    <n v="0"/>
    <n v="5"/>
    <n v="5"/>
    <n v="1800"/>
    <s v="Costo para cubrir los gastos logísticos para las reuniones con los diferentes actores involucrados y la sociedad civil para llegar a acuerdos para la implementación de proyectos agroforestales."/>
    <s v="Drasam"/>
    <n v="45000"/>
    <n v="45472.5"/>
    <n v="45000"/>
    <n v="45472.5"/>
    <n v="9000"/>
    <n v="9094.5"/>
    <n v="9000"/>
    <n v="9094.5"/>
    <n v="9000"/>
    <n v="9094.5"/>
    <n v="9000"/>
    <n v="9094.5"/>
    <n v="9000"/>
    <n v="9094.5"/>
    <n v="0"/>
    <m/>
    <m/>
    <s v="X"/>
    <m/>
    <s v="RE"/>
    <n v="1"/>
    <n v="1"/>
  </r>
  <r>
    <x v="3"/>
    <x v="10"/>
    <s v="Programas de inversión pública"/>
    <s v="3.9.3"/>
    <s v="Mejoramiento de vías de acceso"/>
    <s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s v="Programa de incentivos públicos promoviendo el bienestrar sostenible de sus habilitantes"/>
    <s v="Programa de Infraestructura para la Competitividad "/>
    <x v="7"/>
    <x v="9"/>
    <s v="COMP 10"/>
    <s v="HABILITANTE"/>
    <s v="TRANSVERSALES X UDT"/>
    <s v="C18"/>
    <s v="Kilómetros mejorados"/>
    <n v="479"/>
    <n v="47.900000000000006"/>
    <n v="47.900000000000006"/>
    <n v="800000"/>
    <s v="Costo promedio de por km2 de vía mejorada o asfaltada"/>
    <s v="DRTyTC"/>
    <n v="38320000.000000007"/>
    <n v="38722360.000000007"/>
    <n v="38320000.000000007"/>
    <n v="38722360.000000007"/>
    <n v="7664000.0000000019"/>
    <n v="7744472.0000000019"/>
    <n v="7664000.0000000019"/>
    <n v="7744472.0000000019"/>
    <n v="7664000.0000000019"/>
    <n v="7744472.0000000019"/>
    <n v="7664000.0000000019"/>
    <n v="7744472.0000000019"/>
    <n v="7664000.0000000019"/>
    <n v="7744472.0000000019"/>
    <n v="0"/>
    <s v="X"/>
    <m/>
    <m/>
    <m/>
    <m/>
    <n v="2"/>
    <n v="1"/>
  </r>
  <r>
    <x v="3"/>
    <x v="10"/>
    <s v="Programas de inversión pública"/>
    <s v="3.9.4"/>
    <s v="Restauración ecológica del paisaje"/>
    <s v="Ejecución de proyectos de restauración en las 663 Ha con probabilidad alta y muy alta para desarrollar esta actividad; se cuenta con 401 ha que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s v="Programa  de Gestion sostenible de los bosques amazónicos frente al cambio climatico."/>
    <s v="Programa de Infraestructura para la Competitividad "/>
    <x v="7"/>
    <x v="6"/>
    <s v="COMP 5"/>
    <s v="PROTECCIÓN"/>
    <s v="TRANSVERSALES X UDT"/>
    <s v="C18"/>
    <s v="Hectáreas restauradas"/>
    <n v="3201.8"/>
    <n v="800.45"/>
    <n v="640.36000000000013"/>
    <n v="500"/>
    <s v="El costo incluye la restauración de una hectárea, esta actividad se desarrollara de acuerdo a la metodología propuesta por el ARA, en coordinación con los productores seleccionados."/>
    <s v="ARA, SERFOR"/>
    <n v="400225"/>
    <n v="404427.36249999999"/>
    <n v="320180.00000000006"/>
    <n v="323541.89000000007"/>
    <n v="80045"/>
    <n v="80885.472500000003"/>
    <n v="80045"/>
    <n v="80885.472500000003"/>
    <n v="80045"/>
    <n v="80885.472500000003"/>
    <n v="80045"/>
    <n v="80885.472500000003"/>
    <n v="80045"/>
    <n v="80885.472500000003"/>
    <n v="0"/>
    <m/>
    <m/>
    <s v="X"/>
    <m/>
    <s v="RE"/>
    <n v="3"/>
    <n v="1"/>
  </r>
  <r>
    <x v="3"/>
    <x v="10"/>
    <s v="Programas de inversión pública"/>
    <s v="3.9.5"/>
    <s v="Mejor cobertura y calidad de servicios de educación y salud"/>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s v="Programa de incentivos públicos promoviendo el bienestrar sostenible de sus habilitantes"/>
    <s v="Programa de Infraestructura para la Competitividad "/>
    <x v="7"/>
    <x v="8"/>
    <s v="COMP 9"/>
    <s v="INCLUSION"/>
    <s v="TRANSVERSALES X UDT"/>
    <s v="C18"/>
    <s v="Centros de salud y colegios implementados"/>
    <n v="0"/>
    <n v="7"/>
    <n v="5"/>
    <n v="3500000"/>
    <s v="Construcción e implementación de centros educativos y postas medicas"/>
    <s v="DRTyTC"/>
    <n v="24500000"/>
    <n v="24757250"/>
    <n v="17500000"/>
    <n v="17683750"/>
    <n v="4900000"/>
    <n v="4951450"/>
    <n v="4900000"/>
    <n v="4951450"/>
    <n v="4900000"/>
    <n v="4951450"/>
    <n v="4900000"/>
    <n v="4951450"/>
    <n v="4900000"/>
    <n v="4951450"/>
    <n v="0"/>
    <m/>
    <s v="X"/>
    <m/>
    <m/>
    <s v="RE"/>
    <n v="3"/>
    <n v="1"/>
  </r>
  <r>
    <x v="3"/>
    <x v="10"/>
    <s v="Programas de inversión pública"/>
    <s v="3.9.6"/>
    <s v="Programa de servicios públicos móviles"/>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s v="Programa de incentivos públicos promoviendo el bienestrar sostenible de sus habilitantes"/>
    <s v="Programa de Infraestructura para la Competitividad "/>
    <x v="7"/>
    <x v="8"/>
    <s v="COMP 9"/>
    <s v="INCLUSION"/>
    <s v="TRANSVERSALES X UDT"/>
    <s v="C18"/>
    <s v="N° Campañas"/>
    <n v="0"/>
    <n v="149.11500000000001"/>
    <n v="149.11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727875"/>
    <n v="3767017.6875"/>
    <n v="3727875"/>
    <n v="3767017.6875"/>
    <n v="745575"/>
    <n v="753403.53749999998"/>
    <n v="745575"/>
    <n v="753403.53749999998"/>
    <n v="745575"/>
    <n v="753403.53749999998"/>
    <n v="745575"/>
    <n v="753403.53749999998"/>
    <n v="745575"/>
    <n v="753403.53749999998"/>
    <n v="0"/>
    <m/>
    <s v="X"/>
    <m/>
    <m/>
    <s v="RE"/>
    <n v="3"/>
    <n v="1"/>
  </r>
  <r>
    <x v="3"/>
    <x v="10"/>
    <s v="Programas de inversión pública"/>
    <s v="3.9.7"/>
    <s v="Promoción Marca &quot;San Martín Región&quot; y &quot;Aliados por la Conservación&quot; "/>
    <s v="Promoción al acceso de la marca con los productores que cumplan los criterios de elegibilidad solicitados por el programa, como una estrategia de ubicar mercados diferenciados para los productos provenientes de estas zonas."/>
    <s v="NR"/>
    <s v="Programa de produccion y tecnolgía para el desarrollo sostenible"/>
    <s v="Programa de Asistencia Técnicas para incrementar la capacidad productiva de las principaes cadenas"/>
    <x v="1"/>
    <x v="5"/>
    <s v="COMP 3"/>
    <s v="PRODUCCIÓN"/>
    <s v="TRANSVERSALES X UDT"/>
    <s v="C18"/>
    <s v="Organizaciones que acceden a la marca"/>
    <n v="0"/>
    <n v="25"/>
    <n v="20"/>
    <n v="3000"/>
    <s v="El costo incluye: Una inspección anual anunciada,  elaboración de informe de inspección, administración y comunicación, certificación según los estándares de la marca."/>
    <s v="ARA"/>
    <n v="375000"/>
    <n v="378937.5"/>
    <n v="300000"/>
    <n v="303150"/>
    <n v="75000"/>
    <n v="75787.5"/>
    <n v="75000"/>
    <n v="75787.5"/>
    <n v="75000"/>
    <n v="75787.5"/>
    <n v="75000"/>
    <n v="75787.5"/>
    <n v="75000"/>
    <n v="75787.5"/>
    <n v="0"/>
    <m/>
    <m/>
    <s v="X"/>
    <m/>
    <m/>
    <n v="3"/>
    <n v="1"/>
  </r>
  <r>
    <x v="4"/>
    <x v="15"/>
    <s v="Programas de inversión pública"/>
    <n v="1"/>
    <s v="Zonificación Agroecológica"/>
    <s v="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
    <s v="NR"/>
    <s v="Programa  de Gestion sostenible de los bosques amazónicos frente al cambio climatico."/>
    <s v="Programa de Mejoramiento de condiciones para el monitoreo"/>
    <x v="8"/>
    <x v="6"/>
    <s v="COMP 10"/>
    <s v="HABILITANTE"/>
    <s v="TRANSVERSAL REGIONAL"/>
    <s v="C19"/>
    <s v="Plan de Ordenamiento Agroteritorial implementado"/>
    <n v="1"/>
    <n v="1"/>
    <n v="0"/>
    <n v="9082000"/>
    <s v="Implementación de las actividades referidas al proyecto ZAE, asi mismo la contratación de dos profesionales para realizar el monitoreo de las estaciones metereologicas; seconsidera la compra de 77 estaciones para ser instaladas en cada distrito de la región, tambien se costea los gastos de mantenimiento de dichos equipos.  "/>
    <s v="Drasam"/>
    <n v="9082000"/>
    <n v="9177361"/>
    <n v="1635000"/>
    <n v="1652167.5"/>
    <n v="3374000"/>
    <n v="3409427"/>
    <n v="2527000"/>
    <n v="2553533.5"/>
    <n v="2527000"/>
    <n v="2553533.5"/>
    <n v="327000"/>
    <n v="330433.5"/>
    <n v="327000"/>
    <n v="330433.5"/>
    <n v="0"/>
    <m/>
    <s v="X"/>
    <m/>
    <m/>
    <s v="RE"/>
    <n v="3"/>
    <n v="1"/>
  </r>
  <r>
    <x v="4"/>
    <x v="15"/>
    <s v="Programas de inversión pública"/>
    <n v="2"/>
    <s v="Zonificación forestal, bosques sin categoría asignada, incluyendo ZOCREs actuales y propuestas."/>
    <s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
    <s v="NR"/>
    <s v="Programa  de Gestion sostenible de los bosques amazónicos frente al cambio climatico."/>
    <s v="Programa de Mejoramiento de condiciones para el monitoreo"/>
    <x v="8"/>
    <x v="6"/>
    <s v="COMP 10"/>
    <s v="HABILITANTE"/>
    <s v="TRANSVERSAL REGIONAL"/>
    <s v="C19"/>
    <s v="Especialistas"/>
    <n v="395356.07"/>
    <n v="395356.07"/>
    <m/>
    <n v="16"/>
    <s v="Para la implementación de las intervención será mecesario la contratación de especialistas para realizar las acciones que comtemplen dicha actividad. Gastos logísticos y trámites documentarios. Contratación de dos profesioales para agilizar procesos con sunarp."/>
    <s v="ARA"/>
    <n v="6325697.1200000001"/>
    <n v="6392116.9397599995"/>
    <n v="6325697.1200000001"/>
    <n v="6392116.9397599995"/>
    <n v="1265139.4240000001"/>
    <n v="1278423.3879520001"/>
    <n v="1265139.4240000001"/>
    <n v="1278423.3879520001"/>
    <n v="1265139.4240000001"/>
    <n v="1278423.3879520001"/>
    <n v="1265139.4240000001"/>
    <n v="1278423.3879520001"/>
    <n v="1265139.4240000001"/>
    <n v="1278423.3879520001"/>
    <n v="0"/>
    <m/>
    <s v="X"/>
    <m/>
    <m/>
    <m/>
    <n v="3"/>
    <n v="1"/>
  </r>
  <r>
    <x v="4"/>
    <x v="15"/>
    <s v="Programas de inversión pública"/>
    <n v="3"/>
    <s v="Promoción de actividad agrícola, pecuaria y acuícola adaptada al cambio climático."/>
    <s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
    <s v="NR"/>
    <s v="Programa de produccion y tecnolgía para el desarrollo sostenible"/>
    <s v="Programa de Apoyo especializado para la Competitividad"/>
    <x v="9"/>
    <x v="5"/>
    <s v="COMP 3"/>
    <s v="HABILITANTE"/>
    <s v="TRANSVERSAL REGIONAL"/>
    <s v="C19"/>
    <s v="Proyectos viables"/>
    <n v="10"/>
    <n v="15"/>
    <m/>
    <n v="6000000"/>
    <s v="El costo es referencial para un proyecto agropecuario de acuerdo a las cadenas priorizadas, donde se consideran componentes como Asistencia Técnica, Fortalecimiento organizacional, promoción de mercados sostenibles, manejo ambiental, etc."/>
    <s v="Drasam, ARA, Dircetur, Direpro, GRDE"/>
    <n v="60000000"/>
    <n v="60630000"/>
    <n v="90000000"/>
    <n v="90945000"/>
    <n v="12000000"/>
    <n v="12126000"/>
    <n v="12000000"/>
    <n v="12126000"/>
    <n v="12000000"/>
    <n v="12126000"/>
    <n v="12000000"/>
    <n v="12126000"/>
    <n v="12000000"/>
    <n v="12126000"/>
    <n v="0"/>
    <m/>
    <m/>
    <s v="X"/>
    <m/>
    <s v="RE"/>
    <n v="3"/>
    <n v="1"/>
  </r>
  <r>
    <x v="4"/>
    <x v="15"/>
    <s v="Programas de inversión privada"/>
    <n v="4"/>
    <s v="Aprovechamiento del recurso forestal maderable, provenientes de sistemas agroforestales sostenibles."/>
    <s v="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
    <s v="FR"/>
    <s v="Programa  de Gestion sostenible de los bosques amazónicos frente al cambio climatico."/>
    <s v="Programa de Mejoramiento de condiciones para el monitoreo"/>
    <x v="8"/>
    <x v="6"/>
    <s v="COMP 10"/>
    <s v="HABILITANTE"/>
    <s v="TRANSVERSAL REGIONAL"/>
    <s v="C19"/>
    <s v="Módulos implementados."/>
    <n v="10"/>
    <n v="10"/>
    <m/>
    <n v="200000"/>
    <s v="Implementación de maquinaria y equipos necesarios para el proceso y transformación de la madera."/>
    <s v="Ara, Serfor"/>
    <n v="2000000"/>
    <n v="2021000"/>
    <n v="2000000"/>
    <n v="2021000"/>
    <n v="400000"/>
    <n v="404200"/>
    <n v="400000"/>
    <n v="404200"/>
    <n v="400000"/>
    <n v="404200"/>
    <n v="400000"/>
    <n v="404200"/>
    <n v="400000"/>
    <n v="404200"/>
    <n v="0"/>
    <s v="X"/>
    <m/>
    <m/>
    <m/>
    <s v="RE"/>
    <n v="2"/>
    <n v="1"/>
  </r>
  <r>
    <x v="4"/>
    <x v="15"/>
    <s v="Ingresos y Capital"/>
    <n v="5"/>
    <s v="Programa de incentivos a la restauración comunitaria con salvaguardas sociales y ambientales"/>
    <s v="Implementar un programa de incentivos que podrán ser de asistencia técnica, ejecución de proyectos sociales u otras acciones que permitan mejorar las condiciones de vida de los productores que realicen acciones de restauración."/>
    <s v="NR"/>
    <s v="Programa  de Gestion sostenible de los bosques amazónicos frente al cambio climatico."/>
    <s v="Programa de Mejoramiento de condiciones para el monitoreo"/>
    <x v="8"/>
    <x v="6"/>
    <s v="COMP 5"/>
    <s v="HABILITANTE"/>
    <s v="TRANSVERSAL REGIONAL"/>
    <s v="C19"/>
    <s v="Número de Organizaciones beneficiarias"/>
    <n v="30"/>
    <n v="20"/>
    <m/>
    <n v="100000"/>
    <s v="Presupuesto que servirá para cubrir los gastos de los incentivos que se determinaran de acuerdo a la evaluación de los criterios correspondientes para los procesos de restauración."/>
    <s v="Drasam, ARA"/>
    <n v="3000000"/>
    <n v="3031500"/>
    <n v="2000000"/>
    <n v="2021000"/>
    <n v="600000"/>
    <n v="606300"/>
    <n v="600000"/>
    <n v="606300"/>
    <n v="600000"/>
    <n v="606300"/>
    <n v="600000"/>
    <n v="606300"/>
    <n v="600000"/>
    <n v="606300"/>
    <n v="0"/>
    <m/>
    <m/>
    <s v="X"/>
    <m/>
    <s v="RE"/>
    <n v="3"/>
    <n v="1"/>
  </r>
  <r>
    <x v="4"/>
    <x v="15"/>
    <s v="Ingresos y Capital"/>
    <n v="6"/>
    <s v="Implementación del FONDESAM"/>
    <s v="Implementar los lineamientos finales para poner en vigencia el fondo de garantía de 5 millones de soles, para beneficiar a productores agropecuarios forestales organizados y no organizados que cumplan los atributos de la Marca certificadora “San Martín Región” y los propios requisitos que se establezcan en la directiva del fondo el cual será elaborado por el Gobierno Regional de San Martín en coordinación con la institución que administrará dichos fondos (COFIDE). Dentro de la directiva para la implementación del FONDESAM, se incorporará los mecanismos de tasas preferenciales para los créditos orientados a la innovación (Hoja de ruta del FONDESAM con el beneficiario). a financiar impactos en la cadena de producción."/>
    <s v="NR"/>
    <s v="Programa de produccion y tecnolgía para el desarrollo sostenible"/>
    <s v="Programa de acceso al crédito"/>
    <x v="2"/>
    <x v="3"/>
    <s v="COMP 11"/>
    <s v="HABILITANTE"/>
    <s v="TRANSVERSAL REGIONAL"/>
    <s v="C19"/>
    <s v="Consultoría"/>
    <n v="1"/>
    <n v="1"/>
    <n v="0"/>
    <n v="100000"/>
    <s v="Ejecución de informes de sustento para la Gerencia General del GRSM, consolidación del proceso de modificación del convenio entre el GRSM y COFIDE. Gastos logísticos, administrativos y contratación de especialistas y asesores para culminar el proceso. "/>
    <s v="GRDE"/>
    <n v="100000"/>
    <n v="101050"/>
    <n v="0"/>
    <n v="0"/>
    <n v="100000"/>
    <n v="101050"/>
    <n v="0"/>
    <n v="0"/>
    <n v="0"/>
    <n v="0"/>
    <n v="0"/>
    <n v="0"/>
    <n v="0"/>
    <n v="0"/>
    <n v="0"/>
    <m/>
    <m/>
    <s v="X"/>
    <m/>
    <s v="RE"/>
    <n v="3"/>
    <n v="1"/>
  </r>
  <r>
    <x v="4"/>
    <x v="15"/>
    <s v="Programas de inversión pública"/>
    <n v="7"/>
    <s v="Programa de Gestión Empresarial"/>
    <s v="Implementar un programa para productores líderes, contemplando módulos como: Educación Financiera dirigido a pequeños y medianos productores del sector rural, Costos de producción, Productos y servicios financieros, ahorro, capital semilla,  endeudamiento, gestion empresarial, para mejorar la prodcutividad y competitividad. "/>
    <s v="NR"/>
    <s v="Programa de produccion y tecnolgía para el desarrollo sostenible"/>
    <s v="Programa de acceso al crédito"/>
    <x v="2"/>
    <x v="4"/>
    <s v="COMP 2"/>
    <s v="HABILITANTE"/>
    <s v="TRANSVERSAL REGIONAL"/>
    <s v="C19"/>
    <s v="Especialistas"/>
    <n v="20"/>
    <n v="20"/>
    <m/>
    <n v="4000"/>
    <s v="Contratación de profesionales a nivel regional para ejecutar acciones de enseñanza financiera a los productores agropecuarios organizados y no organizados."/>
    <s v="GRDE"/>
    <n v="4800000"/>
    <n v="4850400"/>
    <n v="4800000"/>
    <n v="4850400"/>
    <n v="960000"/>
    <n v="970080"/>
    <n v="960000"/>
    <n v="970080"/>
    <n v="960000"/>
    <n v="970080"/>
    <n v="960000"/>
    <n v="970080"/>
    <n v="960000"/>
    <n v="970080"/>
    <n v="0"/>
    <m/>
    <m/>
    <s v="X"/>
    <m/>
    <s v="RE"/>
    <n v="2"/>
    <n v="1"/>
  </r>
  <r>
    <x v="4"/>
    <x v="15"/>
    <s v="Programas de inversión pública"/>
    <n v="8"/>
    <s v="Implementación de la &quot;Marca San Martín Región&quot;"/>
    <s v="Implementar los lineamientos finales de la Marca Certificadora &quot;San Martín Región&quot;, asignándole un presupuesto y equipo técnico para poner en vigencia esta herramienta que busca facilitar el acceso a mercados a empresas de los diferentes sectores (agrícola, pecuario, acuícola, apícola, biocomercio, y otros) de la región. Promoción y articulación a mercados diferenciados y  nichos de mercados de alto valor con atributos  de la marca San Martín ( Bajo en emisiones, no vinculado a actividades ilegales, Innovadores y con estándares de calidad). La búsqueda y diversificación de mercados a través de misiones comerciales nacionales e internacionales, con estrategias difernciadas para productos tradicionalmente vinculados a la deforestación. Ejemplo Palma Aceitera."/>
    <s v="NR"/>
    <s v="Programa de produccion y tecnolgía para el desarrollo sostenible"/>
    <s v="Programa de Apoyo especializado para la Competitividad"/>
    <x v="9"/>
    <x v="5"/>
    <s v="COMP 10"/>
    <s v="HABILITANTE"/>
    <s v="TRANSVERSAL REGIONAL"/>
    <s v="C19"/>
    <s v="Consultoría"/>
    <n v="1"/>
    <n v="1"/>
    <n v="0"/>
    <n v="100000"/>
    <s v="Contratación de profesionales para culminar la descripción de los atributos y criterios priorizados, que permitan la operatividad de la marca certificadora &quot;San Martín Región&quot;."/>
    <s v="GRDE, Dircetur"/>
    <n v="100000"/>
    <n v="101050"/>
    <n v="0"/>
    <n v="0"/>
    <n v="100000"/>
    <n v="101050"/>
    <n v="0"/>
    <n v="0"/>
    <n v="0"/>
    <n v="0"/>
    <n v="0"/>
    <n v="0"/>
    <n v="0"/>
    <n v="0"/>
    <n v="0"/>
    <s v="X"/>
    <m/>
    <m/>
    <m/>
    <m/>
    <n v="2"/>
    <n v="1"/>
  </r>
  <r>
    <x v="4"/>
    <x v="15"/>
    <s v="Programas de inversión pública"/>
    <n v="9"/>
    <s v="Fortalecimiento de la equidad de género y poblaciones vulnerables"/>
    <s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
    <s v="NR"/>
    <s v="Programa de incentivos públicos promoviendo el bienestrar sostenible de sus habilitantes"/>
    <s v="Programa Anticorrupción"/>
    <x v="10"/>
    <x v="8"/>
    <s v="COMP 10"/>
    <s v="HABILITANTE"/>
    <s v="TRANSVERSAL REGIONAL"/>
    <s v="C19"/>
    <s v="Centros Informativos implementados"/>
    <n v="50"/>
    <n v="50"/>
    <m/>
    <n v="5000"/>
    <s v="Se contratará personal adecuado para brindar orientación a la población en situación de vulnerabilidad, así mismo la implementación de los centros informativos con material divulgativo y promociones radiales. "/>
    <s v="GRDS"/>
    <n v="1250000"/>
    <n v="1263125"/>
    <n v="1250000"/>
    <n v="1263125"/>
    <n v="250000"/>
    <n v="252625"/>
    <n v="250000"/>
    <n v="252625"/>
    <n v="250000"/>
    <n v="252625"/>
    <n v="250000"/>
    <n v="252625"/>
    <n v="250000"/>
    <n v="252625"/>
    <n v="0"/>
    <m/>
    <s v="X"/>
    <m/>
    <m/>
    <s v="RE"/>
    <n v="2"/>
    <n v="1"/>
  </r>
  <r>
    <x v="4"/>
    <x v="15"/>
    <s v="Programas de inversión privada"/>
    <n v="10"/>
    <s v="Programa de emprendimiento rural juvenil, para promover el empalme generacional."/>
    <s v="Financiamiento de emprendimientos rurales juveniles para incentivar el empalme generacional y el empleo formal juvenil (incluye fondo de capital semilla para emprendimientos). Promover y financiar emprendimientos orientados a la reducción de emisiones."/>
    <s v="NR"/>
    <s v="Programa  de Gestion sostenible de los bosques amazónicos frente al cambio climatico."/>
    <s v="Programa de Emprendimientos juvenil en base a los recursos natural de la Región"/>
    <x v="11"/>
    <x v="7"/>
    <s v="COMP 6"/>
    <s v="HABILITANTE"/>
    <s v="TRANSVERSAL REGIONAL"/>
    <s v="C19"/>
    <s v="Planes de negocios"/>
    <n v="250"/>
    <n v="250"/>
    <m/>
    <n v="30000"/>
    <s v="El presupuesto hace referencia a la implementación de planes de negocios agropecuarios, para cubrir gastos como, adquisición de semillas, materiales o equipos que hagan posible el desarrollo de los emprendimientos rurales juveniles."/>
    <s v="GRDE, ARA, Proyectos especiales"/>
    <n v="7500000"/>
    <n v="7578750"/>
    <n v="7500000"/>
    <n v="7578750"/>
    <n v="1500000"/>
    <n v="1515750"/>
    <n v="1500000"/>
    <n v="1515750"/>
    <n v="1500000"/>
    <n v="1515750"/>
    <n v="1500000"/>
    <n v="1515750"/>
    <n v="1500000"/>
    <n v="1515750"/>
    <n v="0"/>
    <s v="X"/>
    <m/>
    <m/>
    <m/>
    <s v="RE"/>
    <n v="2"/>
    <n v="1"/>
  </r>
  <r>
    <x v="4"/>
    <x v="15"/>
    <s v="Programas de inversión privada"/>
    <n v="11"/>
    <s v="Mejorar la competitividad de la oferta e identificación de la demanda turística."/>
    <s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_x000a_El programa debe regirse según las normas vigentes para  disminuir la informalidad en el sector, así mismo lograr la satisfacción plena de los turistas que visitan la región."/>
    <s v="NR"/>
    <s v="Programa  de Gestion sostenible de los bosques amazónicos frente al cambio climatico."/>
    <s v="Programa de Emprendimientos juvenil en base a los recursos natural de la Región"/>
    <x v="11"/>
    <x v="7"/>
    <s v="COMP 6"/>
    <s v="HABILITANTE"/>
    <s v="TRANSVERSAL REGIONAL"/>
    <s v="C19"/>
    <s v="Programas  de capacitación"/>
    <n v="50"/>
    <n v="50"/>
    <m/>
    <n v="62000"/>
    <s v="El costo atribuye al fortalecimiento de capacidades de gestión de los diferentes prestadores de servicios turísticos, asi como la implementación de un diplomado para el fortalecimiento de capacidades del personal. "/>
    <s v="GRSM, DIRCETUR"/>
    <n v="560000"/>
    <n v="565880"/>
    <n v="500000"/>
    <n v="505250"/>
    <n v="160000"/>
    <n v="161680"/>
    <n v="100000"/>
    <n v="101050"/>
    <n v="100000"/>
    <n v="101050"/>
    <n v="100000"/>
    <n v="101050"/>
    <n v="100000"/>
    <n v="101050"/>
    <n v="0"/>
    <m/>
    <m/>
    <s v="X"/>
    <m/>
    <m/>
    <n v="2"/>
    <n v="1"/>
  </r>
  <r>
    <x v="4"/>
    <x v="15"/>
    <s v="Programas de inversión pública"/>
    <n v="12"/>
    <s v="Promoción de la planificación comunal en centros poblados."/>
    <s v="Promover el desarrollo comunitario mediante la identificación y cuantificación de recursos disponibles en una determinada jurisdicción, promoviendo la participación activa de todos los actores clave y su articulación a los planes de desarrollo local."/>
    <s v="NR"/>
    <s v="Programa de incentivos públicos promoviendo el bienestrar sostenible de sus habilitantes"/>
    <s v="Programa Anticorrupción"/>
    <x v="10"/>
    <x v="8"/>
    <s v="COMP 9"/>
    <s v="HABILITANTE"/>
    <s v="TRANSVERSAL REGIONAL"/>
    <s v="C19"/>
    <s v="PDC"/>
    <n v="100"/>
    <n v="100"/>
    <m/>
    <n v="20000"/>
    <s v="Contratación de servicios profesionales para la elaboración de los planes de desarrollo comunitario."/>
    <s v="GRSM, DRASAM"/>
    <n v="2000000"/>
    <n v="2021000"/>
    <n v="2000000"/>
    <n v="2021000"/>
    <n v="400000"/>
    <n v="404200"/>
    <n v="400000"/>
    <n v="404200"/>
    <n v="400000"/>
    <n v="404200"/>
    <n v="400000"/>
    <n v="404200"/>
    <n v="400000"/>
    <n v="404200"/>
    <n v="0"/>
    <m/>
    <s v="X"/>
    <m/>
    <m/>
    <m/>
    <n v="2"/>
    <n v="1"/>
  </r>
  <r>
    <x v="4"/>
    <x v="15"/>
    <s v="Programas de inversión pública"/>
    <n v="13"/>
    <s v="Fortalecer los procesos de Investigación, innovación, y transferencia tecnológica para la producción baja en emisiones."/>
    <s v="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
    <s v="NR"/>
    <s v="Programa de produccion y tecnolgía para el desarrollo sostenible"/>
    <s v="Programa de Apoyo especializado para la Competitividad"/>
    <x v="9"/>
    <x v="2"/>
    <s v="COMP 4 "/>
    <s v="HABILITANTE"/>
    <s v="TRANSVERSAL REGIONAL"/>
    <s v="C19"/>
    <s v="Nº de proyectos ejecutados alineados a las prioridades de investigación e innovación regionales"/>
    <n v="10"/>
    <n v="10"/>
    <m/>
    <n v="72000"/>
    <s v="El costo va estar orientado a tener un equipo técnico especializado que apoye o promueva la generación de estas directivas del PMI, también la adecuación de los requisitos de los programas nacionales con la incorporación de las opiniones favorables del CTRIA y CGRA para ser elegibles; y por último la asistencia técnica para obtención y ejecución de la mayor cantidad de proyectos (de cualquier fuente), alineados a las prioridades regionales"/>
    <n v="0"/>
    <n v="720000"/>
    <n v="727560"/>
    <n v="720000"/>
    <n v="727560"/>
    <n v="144000"/>
    <n v="145512"/>
    <n v="144000"/>
    <n v="145512"/>
    <n v="144000"/>
    <n v="145512"/>
    <n v="144000"/>
    <n v="145512"/>
    <n v="144000"/>
    <n v="145512"/>
    <n v="0"/>
    <m/>
    <s v="X"/>
    <m/>
    <m/>
    <m/>
    <n v="3"/>
    <n v="1"/>
  </r>
  <r>
    <x v="4"/>
    <x v="15"/>
    <s v="Programas de inversión privada"/>
    <n v="14"/>
    <s v="_x000a_Promoción de emprendimientos agroindustriales de la pequeña empresa sobre la base de los productos del biocomercio "/>
    <s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_x000a_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s v="Programa  de Gestion sostenible de los bosques amazónicos frente al cambio climatico."/>
    <s v="Programa de Emprendimientos juvenil en base a los recursos natural de la Región"/>
    <x v="11"/>
    <x v="7"/>
    <s v="COMP 10"/>
    <s v="HABILITANTE"/>
    <s v="TRANSVERSAL REGIONAL"/>
    <s v="C19"/>
    <s v="Planes de negocios"/>
    <n v="25"/>
    <n v="25"/>
    <m/>
    <n v="80000"/>
    <s v="El presupuesto hace referencia a la implementación de planes de negocios agroindustriales para cubrir gastos y costos de implementación. Se debe desarrollar los lineamientos para orientar adecuadamente los recursos."/>
    <s v="DIREPRO"/>
    <n v="2000000"/>
    <n v="2021000"/>
    <n v="2000000"/>
    <n v="2021000"/>
    <n v="400000"/>
    <n v="404200"/>
    <n v="400000"/>
    <n v="404200"/>
    <n v="400000"/>
    <n v="404200"/>
    <n v="400000"/>
    <n v="404200"/>
    <n v="400000"/>
    <n v="404200"/>
    <n v="0"/>
    <s v="X"/>
    <m/>
    <m/>
    <m/>
    <m/>
    <n v="3"/>
    <n v="1"/>
  </r>
  <r>
    <x v="4"/>
    <x v="15"/>
    <s v="Programas de inversión privada"/>
    <n v="15"/>
    <s v="Promoción de productos derivados y gestión de calidad"/>
    <s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
    <s v="NR"/>
    <s v="Programa de produccion y tecnolgía para el desarrollo sostenible"/>
    <s v="Programa de Apoyo especializado para la Competitividad"/>
    <x v="9"/>
    <x v="5"/>
    <s v="COMP 3"/>
    <s v="HABILITANTE"/>
    <s v="TRANSVERSAL REGIONAL"/>
    <s v="C19"/>
    <s v="Empresas y organizaciones atendidas"/>
    <n v="30"/>
    <n v="30"/>
    <m/>
    <n v="45000"/>
    <s v="La inversión  estará enfocada a la gestión y renovación de registros sanitarios, implementación de Buenas Prácticas de Manufactura."/>
    <s v="DIREPRO, DIRCETUR"/>
    <n v="6750000"/>
    <n v="6820875"/>
    <n v="6750000"/>
    <n v="6820875"/>
    <n v="1350000"/>
    <n v="1364175"/>
    <n v="1350000"/>
    <n v="1364175"/>
    <n v="1350000"/>
    <n v="1364175"/>
    <n v="1350000"/>
    <n v="1364175"/>
    <n v="1350000"/>
    <n v="1364175"/>
    <n v="0"/>
    <s v="X"/>
    <m/>
    <m/>
    <m/>
    <m/>
    <n v="3"/>
    <n v="1"/>
  </r>
  <r>
    <x v="4"/>
    <x v="15"/>
    <s v="Control y vigilancia"/>
    <n v="16"/>
    <s v="Implementación del Sistema de formalización del uso de la tierra y Recursos Naturales."/>
    <s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
    <s v="NR"/>
    <s v="Programa de incentivos públicos promoviendo el bienestrar sostenible de sus habilitantes"/>
    <s v="Programa Anticorrupción"/>
    <x v="10"/>
    <x v="0"/>
    <s v="COMP 8"/>
    <s v="HABILITANTE"/>
    <s v="TRANSVERSAL REGIONAL"/>
    <s v="C19"/>
    <s v="Títulos registrados"/>
    <n v="1"/>
    <n v="1"/>
    <n v="0"/>
    <n v="105000"/>
    <s v="La implementación del sistema de formalización contempla el diseño de una plataforma digital y el desarrollo de un manual para su adecuado uso y mantenimiento."/>
    <s v="ARA-DRASAM-MINAGRI"/>
    <n v="105000"/>
    <n v="106102.5"/>
    <n v="0"/>
    <n v="0"/>
    <n v="105000"/>
    <n v="106102.5"/>
    <n v="0"/>
    <n v="0"/>
    <n v="0"/>
    <n v="0"/>
    <n v="0"/>
    <n v="0"/>
    <n v="0"/>
    <n v="0"/>
    <n v="0"/>
    <m/>
    <s v="X"/>
    <m/>
    <m/>
    <m/>
    <n v="3"/>
    <n v="1"/>
  </r>
  <r>
    <x v="4"/>
    <x v="15"/>
    <s v="Programas de inversión privada"/>
    <n v="17"/>
    <s v="Promover servicios de asesoramiento empresarial en inversiones y facilitación del crédito"/>
    <s v="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
    <s v="NR"/>
    <s v="Programa de produccion y tecnolgía para el desarrollo sostenible"/>
    <s v="Programa de acceso al crédito"/>
    <x v="2"/>
    <x v="3"/>
    <s v="COMP 11"/>
    <s v="HABILITANTE"/>
    <s v="TRANSVERSAL REGIONAL"/>
    <s v="C19"/>
    <s v="Convocatorias / créditos"/>
    <n v="5"/>
    <n v="5"/>
    <n v="5"/>
    <n v="1500000"/>
    <s v="Debe comprender costo de convocatoria, parte legal contractual, fondo de pago por éxitos (entre 1% a 3%), monitoreo y seguimiento"/>
    <s v="OPIPs"/>
    <n v="7500000"/>
    <n v="7578750"/>
    <n v="7500000"/>
    <n v="7578750"/>
    <n v="1500000"/>
    <n v="1515750"/>
    <n v="1500000"/>
    <n v="1515750"/>
    <n v="1500000"/>
    <n v="1515750"/>
    <n v="1500000"/>
    <n v="1515750"/>
    <n v="1500000"/>
    <n v="1515750"/>
    <n v="0"/>
    <m/>
    <m/>
    <n v="0"/>
    <m/>
    <m/>
    <n v="2"/>
    <n v="0"/>
  </r>
  <r>
    <x v="4"/>
    <x v="15"/>
    <s v="Ingresos y Capital"/>
    <n v="18"/>
    <s v="Diseño de productos financieros para la producción baja en emisiones"/>
    <s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
    <s v="NR"/>
    <s v="Programa de produccion y tecnolgía para el desarrollo sostenible"/>
    <s v="Programa de acceso al crédito"/>
    <x v="2"/>
    <x v="3"/>
    <s v="COMP 11"/>
    <s v="HABILITANTE"/>
    <s v="TRANSVERSAL REGIONAL"/>
    <s v="C19"/>
    <s v="Productos financieros específicos para cada cadena implementados"/>
    <n v="10"/>
    <n v="10"/>
    <n v="0"/>
    <n v="35000"/>
    <s v="Consultoría, sistematización de información en campo, al menos dos pilotos en campo, diseño de salvaguardas y monitoreo y compromisos"/>
    <s v="GRDE-DRASAM-OPIPS"/>
    <n v="350000"/>
    <n v="353675"/>
    <n v="0"/>
    <n v="0"/>
    <n v="70000"/>
    <n v="70735"/>
    <n v="70000"/>
    <n v="70735"/>
    <n v="70000"/>
    <n v="70735"/>
    <n v="70000"/>
    <n v="70735"/>
    <n v="70000"/>
    <n v="70735"/>
    <n v="0"/>
    <m/>
    <m/>
    <n v="0"/>
    <m/>
    <m/>
    <n v="3"/>
    <n v="0"/>
  </r>
  <r>
    <x v="4"/>
    <x v="15"/>
    <s v="Programas de inversión privada"/>
    <n v="19"/>
    <s v="Promoción y Desarrollo de alianzas comerciales entre grandes, medianas, pequeñas empresas y productores organizados y no organizados para producción baja en emisiones."/>
    <s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
    <s v="NR"/>
    <s v="Programa de produccion y tecnolgía para el desarrollo sostenible"/>
    <s v="Programa de Apoyo especializado para la Competitividad"/>
    <x v="9"/>
    <x v="5"/>
    <s v="COMP 3"/>
    <s v="HABILITANTE"/>
    <s v="TRANSVERSAL REGIONAL"/>
    <s v="C19"/>
    <s v="Alianzas privadas entre empresas y productores."/>
    <n v="50"/>
    <n v="50"/>
    <n v="40"/>
    <n v="24000"/>
    <s v="Contratación de especialistas para levantar la información de potenciales alianzas, asistencia técnica en fortalecimiento organizacional y comercial, relaciones comerciales, prácticas agrícolas innovadoras, desarrollo de proveedores y productos financieros, movilidad a áreas productivas, talleres con productores, reuniones con empresas y productores, preparación de propuestas de proyectos o acceso a financiamiento, elaboración de base de datos, diseño de salvaguardas y sistema de monitoreo."/>
    <s v="GRDE-DIRCETUR-OPIPS"/>
    <n v="1200000"/>
    <n v="1212600"/>
    <n v="960000"/>
    <n v="970080"/>
    <n v="240000"/>
    <n v="242520"/>
    <n v="240000"/>
    <n v="242520"/>
    <n v="240000"/>
    <n v="242520"/>
    <n v="240000"/>
    <n v="242520"/>
    <n v="240000"/>
    <n v="242520"/>
    <n v="0"/>
    <m/>
    <m/>
    <n v="0"/>
    <m/>
    <m/>
    <n v="2"/>
    <n v="0"/>
  </r>
  <r>
    <x v="4"/>
    <x v="15"/>
    <s v="Programas de inversión privada"/>
    <n v="20"/>
    <s v="Estrategia de promoción de productos regionales bajos en emisiones."/>
    <s v="_x000a_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
    <s v="NR"/>
    <s v="Programa de produccion y tecnolgía para el desarrollo sostenible"/>
    <s v="Programa de Apoyo especializado para la Competitividad"/>
    <x v="9"/>
    <x v="5"/>
    <s v="COMP 10"/>
    <s v="HABILITANTE"/>
    <s v="TRANSVERSAL REGIONAL"/>
    <s v="C19"/>
    <s v="Estudios de mercado"/>
    <n v="8"/>
    <n v="8"/>
    <n v="8"/>
    <n v="78000"/>
    <s v="El costo incluye la elaboración de 8 estudios de mercado, estrategias comerciales  e implementación de instrumentos de promoción en los 4 primeros años (S/ 30,000.0 por estudio) y la contratación de  un especialista en DIRCETUR para monitoreo e implementación de dichos estudios por un monto de S/ 48,000.00 al año."/>
    <s v="DIRCETUR-GRDE"/>
    <n v="480000"/>
    <n v="485040"/>
    <n v="480000"/>
    <n v="485040"/>
    <n v="108000"/>
    <n v="109134"/>
    <n v="108000"/>
    <n v="109134"/>
    <n v="108000"/>
    <n v="109134"/>
    <n v="108000"/>
    <n v="109134"/>
    <n v="48000"/>
    <n v="48504"/>
    <n v="0"/>
    <m/>
    <m/>
    <n v="0"/>
    <m/>
    <m/>
    <n v="2"/>
    <n v="0"/>
  </r>
  <r>
    <x v="4"/>
    <x v="15"/>
    <s v="Programas de inversión pública"/>
    <n v="21"/>
    <s v="Acuerdo regional de producción baja en emisiones e implementación de iniciativa de campeones por los bosques tropicales (TFC) en el marco de la coalición público privada por una producción sostenible."/>
    <s v="Reuniones de trabajo con gremios para firma de acuerdo, firma de acuerdo, monitoreo de cumplimiento, generar información para la iniciativa de campeones por los bosques tropicales (TFC), reuniones del espacio regional de la coalición público privada por una producción sostenible"/>
    <s v="NR"/>
    <s v="Programa  de Gestion sostenible de los bosques amazónicos frente al cambio climatico."/>
    <s v="Programa de Mejoramiento de condiciones para el monitoreo"/>
    <x v="8"/>
    <x v="6"/>
    <s v="COMP 10"/>
    <s v="HABILITANTE"/>
    <s v="TRANSVERSAL REGIONAL"/>
    <s v="C19"/>
    <s v="Acuerdos "/>
    <n v="1"/>
    <n v="1"/>
    <n v="0"/>
    <n v="61000"/>
    <s v="Reuniones de trabajo con empresas, asociaciones de productores y gremios, generar información, reuniones públicas de presentación de acuerdos, difusión internacional de acuerdos"/>
    <s v="ARA-SERFOR-DRASAM-GRDE"/>
    <n v="61000"/>
    <n v="61640.5"/>
    <n v="0"/>
    <n v="0"/>
    <n v="30500"/>
    <n v="30820.25"/>
    <n v="30500"/>
    <n v="30820.25"/>
    <n v="0"/>
    <n v="0"/>
    <n v="0"/>
    <n v="0"/>
    <n v="0"/>
    <n v="0"/>
    <n v="0"/>
    <m/>
    <m/>
    <n v="0"/>
    <m/>
    <m/>
    <n v="3"/>
    <n v="0"/>
  </r>
  <r>
    <x v="4"/>
    <x v="15"/>
    <s v="Corrupción"/>
    <n v="22"/>
    <s v="Programa de capacitación para funcionarios del gobierno regional sobre ética y anticorrupción."/>
    <s v="Diseño de programa de capacitación e implementación, para hacer conocer y cumplir el código de ética de la función pública para evitar los actos de corrupción."/>
    <s v="NR"/>
    <s v="Programa de incentivos públicos promoviendo el bienestrar sostenible de sus habilitantes"/>
    <s v="Programa Anticorrupción"/>
    <x v="10"/>
    <x v="0"/>
    <s v="COMP 8"/>
    <s v="HABILITANTE"/>
    <s v="TRANSVERSAL REGIONAL"/>
    <s v="C19"/>
    <s v="Funcionarios capacitados que aprueban evaluación"/>
    <n v="75"/>
    <n v="75"/>
    <n v="75"/>
    <n v="25"/>
    <s v="Diseño de modulo de capacitación, implementación de curso y evaluación para funcionarios regionales"/>
    <s v="GRSM"/>
    <n v="18750"/>
    <n v="18946.875"/>
    <n v="1875"/>
    <n v="1894.6875"/>
    <n v="3750"/>
    <n v="3789.375"/>
    <n v="3750"/>
    <n v="3789.375"/>
    <n v="3750"/>
    <n v="3789.375"/>
    <n v="3750"/>
    <n v="3789.375"/>
    <n v="3750"/>
    <n v="3789.375"/>
    <n v="0"/>
    <m/>
    <m/>
    <n v="0"/>
    <m/>
    <m/>
    <n v="2"/>
    <n v="0"/>
  </r>
  <r>
    <x v="4"/>
    <x v="15"/>
    <s v="Corrupción"/>
    <n v="23"/>
    <s v="Simplificación administrativa de tramites de derechos sobre la tierra y los recursos naturales."/>
    <s v="Mejora de los TUPAs (incluye proceso integrado para clasificación de suelos + uso actual de la ley forestal), material de difusión, y capacitaciones periódicas a usuarios"/>
    <s v="NR"/>
    <s v="Programa de incentivos públicos promoviendo el bienestrar sostenible de sus habilitantes"/>
    <s v="Programa Anticorrupción"/>
    <x v="10"/>
    <x v="0"/>
    <s v="COMP 8"/>
    <s v="HABILITANTE"/>
    <s v="TRANSVERSAL REGIONAL"/>
    <s v="C19"/>
    <s v="TUPA  mejorado "/>
    <n v="1"/>
    <n v="1"/>
    <n v="0"/>
    <n v="150000"/>
    <s v="Consultoría de análisis de procedimientos administrativos regionales de la DRA, ARA, GDE, OPIPS, elaboración de proyecto de TUPA, aprobación de TUPA, capacitación a funcionarios, difusión en portal web y elaboración de material informativo para usuarios"/>
    <s v="GRSM"/>
    <n v="150000"/>
    <n v="151575"/>
    <n v="0"/>
    <n v="0"/>
    <n v="150000"/>
    <n v="151575"/>
    <n v="0"/>
    <n v="0"/>
    <n v="0"/>
    <n v="0"/>
    <n v="0"/>
    <n v="0"/>
    <n v="0"/>
    <n v="0"/>
    <n v="0"/>
    <m/>
    <m/>
    <n v="0"/>
    <m/>
    <m/>
    <n v="3"/>
    <n v="0"/>
  </r>
  <r>
    <x v="4"/>
    <x v="15"/>
    <s v="Corrupción"/>
    <n v="24"/>
    <s v="Implementar un clasificador de cargos acorde a la normativa vigente para lograr la competitividad de los funcionarios públicos. "/>
    <s v="Implementar a nivel regional un clasificador de cargos por especialidades y competencias de las distintas áreas del GRSM, con la finalidad de contar con profesionales altamente capacitados y con experiencia, acorde a los distintos cargos que se disponga en el ámbito regional. Considerar asi mismo afectar esta disposición a los cargos de confianza cumpliendo los requisitos plasmados en el clasificador. "/>
    <s v="NR"/>
    <s v="Programa de incentivos públicos promoviendo el bienestrar sostenible de sus habilitantes"/>
    <s v="Programa Anticorrupción"/>
    <x v="10"/>
    <x v="0"/>
    <s v="COMP 8"/>
    <s v="HABILITANTE"/>
    <s v="TRANSVERSAL REGIONAL"/>
    <s v="C19"/>
    <s v="Clasificador de cargos implementado"/>
    <n v="1"/>
    <n v="1"/>
    <n v="1"/>
    <n v="50000"/>
    <s v="Consultorías, reuniones con trabajadores, sistematización de información y punto focal responsable de implementación"/>
    <s v="GRSM"/>
    <n v="60000"/>
    <n v="60630"/>
    <n v="0"/>
    <n v="0"/>
    <n v="60000"/>
    <n v="60630"/>
    <n v="0"/>
    <n v="0"/>
    <n v="0"/>
    <n v="0"/>
    <n v="0"/>
    <n v="0"/>
    <n v="0"/>
    <n v="0"/>
    <n v="0"/>
    <m/>
    <m/>
    <n v="0"/>
    <m/>
    <m/>
    <n v="2"/>
    <n v="0"/>
  </r>
  <r>
    <x v="4"/>
    <x v="15"/>
    <s v="Corrupción"/>
    <n v="25"/>
    <s v="Fortalecimiento de la oficina de control interno del Gobierno Regional San Martín y la fiscalía anticorrupción regional."/>
    <s v="Ejecutar un estudio sobre las necesidades de la OCI Regional y las OCI de las diferentes direcciones regionales y proyectos especiales referidos a la necesidad de especialistas por cada oficina, asi mismo el perfil profesional minimo para cubrir dichos puestos. Con la finalidad de mejorar y asegurar el ejercicio oportuno, efectivo y eficiente del control gubernamental, así como de optimizar sus capacidades orientadas a la prevención y lucha contra la corrupción."/>
    <s v="NR"/>
    <s v="Programa de incentivos públicos promoviendo el bienestrar sostenible de sus habilitantes"/>
    <s v="Programa Anticorrupción"/>
    <x v="10"/>
    <x v="0"/>
    <s v="COMP 8"/>
    <s v="HABILITANTE"/>
    <s v="TRANSVERSAL REGIONAL"/>
    <s v="C19"/>
    <s v="Estudio"/>
    <n v="1"/>
    <n v="1"/>
    <n v="1"/>
    <n v="30000"/>
    <s v="El costo va estar orientado a tener un equipo con personal especializado "/>
    <s v="CONTRALORIA, OCI, GRSM"/>
    <n v="50000"/>
    <n v="50525"/>
    <n v="0"/>
    <n v="0"/>
    <n v="50000"/>
    <n v="50525"/>
    <n v="0"/>
    <n v="0"/>
    <n v="0"/>
    <n v="0"/>
    <n v="0"/>
    <n v="0"/>
    <n v="0"/>
    <n v="0"/>
    <n v="0"/>
    <m/>
    <m/>
    <n v="0"/>
    <m/>
    <m/>
    <n v="2"/>
    <n v="0"/>
  </r>
  <r>
    <x v="4"/>
    <x v="15"/>
    <s v="Corrupción"/>
    <n v="26"/>
    <s v="Campañas de difusión y promoción para prevenir actos de corrupcion en los procesos del codigo de ética de la gestión pública. "/>
    <s v="Campañas orientadas a sensibilizar el impacto negativo de la corrupcion al crecimiento de la región, asi mismo realizar las denuncias correspondientes de forma anónima para que los órganos competentes puedan aplicar sanciones a dichos actos de corrupción. Brindar las medidas de protección necesarias a las personas que denuncian estos actos. "/>
    <s v="NR"/>
    <s v="Programa de incentivos públicos promoviendo el bienestrar sostenible de sus habilitantes"/>
    <s v="Programa Anticorrupción"/>
    <x v="10"/>
    <x v="0"/>
    <s v="COMP 10"/>
    <s v="HABILITANTE"/>
    <s v="TRANSVERSAL REGIONAL"/>
    <s v="C19"/>
    <s v="Campañas de difudión."/>
    <n v="1"/>
    <n v="1"/>
    <n v="1"/>
    <n v="180000"/>
    <s v="Reuniones de trabajo con empresas, asociaciones de productores y gremios, generar información, reuniones públicas de presentación de acuerdos"/>
    <s v="GRSM"/>
    <n v="900000"/>
    <n v="909450"/>
    <n v="900000"/>
    <n v="909450"/>
    <n v="180000"/>
    <n v="181890"/>
    <n v="180000"/>
    <n v="181890"/>
    <n v="180000"/>
    <n v="181890"/>
    <n v="180000"/>
    <n v="181890"/>
    <n v="180000"/>
    <n v="181890"/>
    <n v="0"/>
    <m/>
    <m/>
    <n v="0"/>
    <m/>
    <m/>
    <n v="2"/>
    <n v="0"/>
  </r>
  <r>
    <x v="4"/>
    <x v="15"/>
    <s v="Control y vigilancia"/>
    <n v="27"/>
    <s v="Implementación de la mesa regional de control y vigilancia forestal y de fauna silvestre."/>
    <s v="Reuniones periódicas y extraordinarias de mesa regional de control y vigilancia forestal y de fauna silvestre "/>
    <s v="NR"/>
    <s v="Programa de incentivos públicos promoviendo el bienestrar sostenible de sus habilitantes"/>
    <s v="Programa Anticorrupción"/>
    <x v="10"/>
    <x v="0"/>
    <s v="COMP 8"/>
    <s v="HABILITANTE"/>
    <s v="TRANSVERSAL REGIONAL"/>
    <s v="C19"/>
    <s v="Acuerdos adoptados en las reuniones de la mesa"/>
    <n v="40"/>
    <n v="40"/>
    <n v="40"/>
    <n v="1000"/>
    <s v="Reuniones entre instituciones públicas dedicadas al control y vigilancia forestal para articular protocolos, procedimientos y operativos para el control de la deforestación y tala ilegal"/>
    <s v="SERFOR, ARA, MP, OSINFOR"/>
    <n v="40000"/>
    <n v="40420"/>
    <n v="40000"/>
    <n v="40420"/>
    <n v="8000"/>
    <n v="8084"/>
    <n v="8000"/>
    <n v="8084"/>
    <n v="8000"/>
    <n v="8084"/>
    <n v="8000"/>
    <n v="8084"/>
    <n v="8000"/>
    <n v="8084"/>
    <n v="0"/>
    <m/>
    <m/>
    <n v="0"/>
    <m/>
    <m/>
    <n v="2"/>
    <n v="0"/>
  </r>
  <r>
    <x v="4"/>
    <x v="15"/>
    <s v="Control y vigilancia"/>
    <n v="28"/>
    <s v="Capacitación a comunidades nativas, campesinas y custodios forestales."/>
    <s v="1 capacitación de una semana en el ámbito cercano al trabajo de la comunidad (puede ser una capacitación espaciada) "/>
    <s v="NR"/>
    <s v="Programa  de Gestion sostenible de los bosques amazónicos frente al cambio climatico."/>
    <s v="Programa de Mejoramiento de condiciones para el monitoreo"/>
    <x v="8"/>
    <x v="6"/>
    <s v="COMP 10"/>
    <s v="HABILITANTE"/>
    <s v="TRANSVERSAL REGIONAL"/>
    <s v="C19"/>
    <s v="Ronderos y custodios que aprueban evaluación de capacitación "/>
    <n v="250"/>
    <n v="250"/>
    <n v="250"/>
    <n v="150"/>
    <s v="Considera materiales de capacitación, alimentación a capacitados en el área cercana a su comunidad y gastos de capacitadores"/>
    <s v="SERFOR, ARA, MP, OSINFOR"/>
    <n v="37500"/>
    <n v="37893.75"/>
    <n v="37500"/>
    <n v="37893.75"/>
    <n v="7500"/>
    <n v="7578.75"/>
    <n v="7500"/>
    <n v="7578.75"/>
    <n v="7500"/>
    <n v="7578.75"/>
    <n v="7500"/>
    <n v="7578.75"/>
    <n v="7500"/>
    <n v="7578.75"/>
    <n v="0"/>
    <m/>
    <m/>
    <s v="X"/>
    <m/>
    <m/>
    <n v="2"/>
    <n v="1"/>
  </r>
  <r>
    <x v="4"/>
    <x v="15"/>
    <s v="Control y vigilancia"/>
    <n v="29"/>
    <s v="Equipamiento a rondas y custodios forestales."/>
    <s v="Uniforme básico, GPS por brigadas,  1 dron por comunidad, equipos de radio por comunidad (radio corta portátil)"/>
    <s v="NR"/>
    <s v="Programa  de Gestion sostenible de los bosques amazónicos frente al cambio climatico."/>
    <s v="Programa de Mejoramiento de condiciones para el monitoreo"/>
    <x v="8"/>
    <x v="6"/>
    <s v="COMP 10"/>
    <s v="HABILITANTE"/>
    <s v="TRANSVERSAL REGIONAL"/>
    <s v="C19"/>
    <s v="Ronderos y custodios equipados"/>
    <n v="250"/>
    <n v="250"/>
    <n v="250"/>
    <n v="1945"/>
    <s v="Uniforme básico para 250 personas, GPS para 25 comunidades,  1 dron para 25 comunidades, equipos de radio para 25 comunidades (radio corta portátil)"/>
    <s v="ARA "/>
    <n v="486250"/>
    <n v="491355.625"/>
    <n v="486250"/>
    <n v="491355.625"/>
    <n v="97250"/>
    <n v="98271.125"/>
    <n v="97250"/>
    <n v="98271.125"/>
    <n v="97250"/>
    <n v="98271.125"/>
    <n v="97250"/>
    <n v="98271.125"/>
    <n v="97250"/>
    <n v="98271.125"/>
    <n v="0"/>
    <m/>
    <m/>
    <s v="X"/>
    <m/>
    <m/>
    <n v="3"/>
    <n v="1"/>
  </r>
  <r>
    <x v="4"/>
    <x v="15"/>
    <s v="Control y vigilancia"/>
    <n v="30"/>
    <s v="Implementación de unidad de control forestal y de fauna silvestre en el ARA (gastos corrientes)."/>
    <s v="Personal de campo dedicado al control de actividades ilegales (deforestación y tala ilegal),  combustible y raciones para acciones de control"/>
    <s v="NR"/>
    <s v="Programa de incentivos públicos promoviendo el bienestrar sostenible de sus habilitantes"/>
    <s v="Programa Anticorrupción"/>
    <x v="10"/>
    <x v="0"/>
    <s v="COMP 8"/>
    <s v="HABILITANTE"/>
    <s v="TRANSVERSAL REGIONAL"/>
    <s v="C19"/>
    <s v="Informes de inspecciones"/>
    <n v="125"/>
    <n v="125"/>
    <n v="125"/>
    <n v="236000"/>
    <s v="Unidad conformada al menos por cuatro especialistas, y gastos de movilidad y alimentación"/>
    <s v="ARA"/>
    <n v="1180000"/>
    <n v="1192390"/>
    <n v="1180000"/>
    <n v="1192390"/>
    <n v="236000"/>
    <n v="238478"/>
    <n v="236000"/>
    <n v="238478"/>
    <n v="236000"/>
    <n v="238478"/>
    <n v="236000"/>
    <n v="238478"/>
    <n v="236000"/>
    <n v="238478"/>
    <n v="0"/>
    <m/>
    <m/>
    <n v="0"/>
    <m/>
    <m/>
    <n v="3"/>
    <n v="0"/>
  </r>
  <r>
    <x v="4"/>
    <x v="15"/>
    <s v="Control y vigilancia"/>
    <n v="31"/>
    <s v="Implementación de unidad de control forestal y de fauna silvestre en el ARA (gastos de inversión)."/>
    <s v="Equipamiento (GPS, cámaras, computadora),  camionetas, carpas, sleepings, binoculares y uniformes"/>
    <s v="NR"/>
    <s v="Programa de incentivos públicos promoviendo el bienestrar sostenible de sus habilitantes"/>
    <s v="Programa Anticorrupción"/>
    <x v="10"/>
    <x v="0"/>
    <s v="COMP 10"/>
    <s v="HABILITANTE"/>
    <s v="TRANSVERSAL REGIONAL"/>
    <s v="C19"/>
    <s v="Informes de inspecciones"/>
    <n v="0"/>
    <n v="0"/>
    <n v="0"/>
    <n v="1182.4000000000001"/>
    <s v="Dos camionetas, cuatro computadoras, cuatro GPS, cuatro cámaras fotográficas,  ocho uniformes y equipo básico de campo para 4 personas (solo en los primeros cinco años). Considera uniformes nuevos al año 5"/>
    <s v="ARA "/>
    <n v="147800"/>
    <n v="149351.9"/>
    <n v="1600"/>
    <n v="1616.8"/>
    <n v="29560"/>
    <n v="29870.379999999997"/>
    <n v="29560"/>
    <n v="29870.379999999997"/>
    <n v="29560"/>
    <n v="29870.379999999997"/>
    <n v="29560"/>
    <n v="29870.379999999997"/>
    <n v="29560"/>
    <n v="29870.379999999997"/>
    <n v="0"/>
    <m/>
    <m/>
    <n v="0"/>
    <m/>
    <m/>
    <n v="3"/>
    <n v="0"/>
  </r>
  <r>
    <x v="4"/>
    <x v="15"/>
    <s v="Control y vigilancia"/>
    <s v="32 A"/>
    <s v="Fortalecimiento de las fiscalías especializadas en materia ambiental regionales. (A)"/>
    <s v="Contratación de fiscales especializados en materia ambiental para que puedan atender oportunamente la necesidad de toda la región. Actualmente solo se cuenta con 5 fiscales en toda la región distribuidos de la siguiente manera: 2 fiscales para las provincias de (Tocache, Mariscal Cáceres, Bellavista y Huallaga) y 3 fiscales para las provincias de (El Dorado, Picota, Lamas, San Martín, Moyobamba Y Rioja)."/>
    <s v="NR"/>
    <s v="Programa de incentivos públicos promoviendo el bienestrar sostenible de sus habilitantes"/>
    <s v="Programa Anticorrupción"/>
    <x v="10"/>
    <x v="0"/>
    <s v="COMP 8"/>
    <s v="HABILITANTE"/>
    <s v="TRANSVERSAL REGIONAL"/>
    <s v="C19"/>
    <s v="Contratación de fiscales"/>
    <n v="6"/>
    <n v="6"/>
    <n v="6"/>
    <n v="8000"/>
    <s v="Contratación de fiscales."/>
    <s v="ARA"/>
    <n v="2880000"/>
    <n v="2910240"/>
    <n v="2880000"/>
    <n v="2910240"/>
    <n v="576000"/>
    <n v="582048"/>
    <n v="576000"/>
    <n v="582048"/>
    <n v="576000"/>
    <n v="582048"/>
    <n v="576000"/>
    <n v="582048"/>
    <n v="576000"/>
    <n v="582048"/>
    <n v="0"/>
    <m/>
    <m/>
    <n v="0"/>
    <m/>
    <m/>
    <n v="3"/>
    <n v="0"/>
  </r>
  <r>
    <x v="4"/>
    <x v="15"/>
    <s v="Control y vigilancia"/>
    <s v="32 B"/>
    <s v="Fortalecimiento de las fiscalías especializadas en materia ambiental regionales. (B)"/>
    <s v="Implementación de logística para fiscalías especializadas en materia ambiental"/>
    <s v="NR"/>
    <s v="Programa de incentivos públicos promoviendo el bienestrar sostenible de sus habilitantes"/>
    <s v="Programa Anticorrupción"/>
    <x v="10"/>
    <x v="0"/>
    <s v="COMP 8"/>
    <s v="HABILITANTE"/>
    <s v="TRANSVERSAL REGIONAL"/>
    <s v="C19"/>
    <s v="Unidades móviles"/>
    <n v="5"/>
    <n v="5"/>
    <n v="0"/>
    <n v="150000"/>
    <s v="Adquisión de movilidades para la inspección oportuna de los fiscales cuando se reporte algún tipo de delito ambiental."/>
    <s v="ARA"/>
    <n v="750000"/>
    <n v="757875"/>
    <n v="0"/>
    <n v="0"/>
    <n v="750000"/>
    <n v="757875"/>
    <n v="0"/>
    <n v="0"/>
    <n v="0"/>
    <n v="0"/>
    <n v="0"/>
    <n v="0"/>
    <n v="0"/>
    <n v="0"/>
    <n v="0"/>
    <m/>
    <m/>
    <n v="0"/>
    <m/>
    <m/>
    <n v="3"/>
    <n v="0"/>
  </r>
  <r>
    <x v="4"/>
    <x v="15"/>
    <s v="Control y vigilancia"/>
    <n v="33"/>
    <s v="Implementación de operativos coordinados para el control forestal."/>
    <s v="Operativos específicos para control de tala ilegal y deforestación coordinado entre varias instituciones públicas (ARA, MP, OSINFOR, entre otros)"/>
    <s v="NR"/>
    <s v="Programa de incentivos públicos promoviendo el bienestrar sostenible de sus habilitantes"/>
    <s v="Programa Anticorrupción"/>
    <x v="10"/>
    <x v="0"/>
    <s v="COMP 8"/>
    <s v="HABILITANTE"/>
    <s v="TRANSVERSAL REGIONAL"/>
    <s v="C19"/>
    <s v="Procesos administrativos o penales iniciados "/>
    <n v="15"/>
    <n v="15"/>
    <n v="15"/>
    <n v="30000"/>
    <s v="Operativos en campo que implican desplazamiento de la policía nacional del Perú, el ministerio público (gasolina, raciones), sobrevuelo"/>
    <s v="SERFOR, ARA, MP, OSINFOR"/>
    <n v="450000"/>
    <n v="454725"/>
    <n v="450000"/>
    <n v="454725"/>
    <n v="90000"/>
    <n v="90945"/>
    <n v="90000"/>
    <n v="90945"/>
    <n v="90000"/>
    <n v="90945"/>
    <n v="90000"/>
    <n v="90945"/>
    <n v="90000"/>
    <n v="90945"/>
    <n v="0"/>
    <m/>
    <m/>
    <s v="X"/>
    <m/>
    <m/>
    <n v="3"/>
    <n v="1"/>
  </r>
  <r>
    <x v="4"/>
    <x v="15"/>
    <s v="Corrupción"/>
    <s v="34 A"/>
    <s v="Elaboración, aprobación e implementación de procedimiento regional integrado del cambio de uso actual para tierras A y C (Articulo No 38 LFFS Ley No 29763) con procedimientos de otorgamiento de la propiedad agraria (titulación de predios y adjudicaciones)"/>
    <s v="a) Mapear procedimientos regionales vinculados a otorgamiento de propiedad agraria (titulación y adjudicaciones), cambio de uso actual de tierras de aptitud A y C, procesos de bosque y estudios de impacto ambiental del sector agrario, b) aprobación de lineamientos o norma complementaria nacional para implementación del  cambio de uso actual de acuerdo a nueva LFFS y RLFFS*, c) elaboración de propuesta de procedimiento regional articulado y modificaciones al TUPA del GORESAM, d) elaboración y aprobación de propuesta de ordenanza regional que aprueba procedimiento y modificación de TUPA del GORESAM, e) capacitación de funcionarios y socialización de actores claves, f) elaboración de estudios de suelos en áreas identificadas para futuros procesos de titulación y adjudicaciones, g) implementación de procedimiento de cambio de uso actual en A y C para definir áreas en donde es posible realizar adjudicaciones de acuerdo a LFFFS, h) ejecución de procedimientos de titulación de predios,  adjucación o cesión en uso. Nota1: la elaboración de estudios de suelos debe ser en grandes espacios en los donde se piensa promover la titulación de predios rurales (a nivel de unidades catastrales) y adjudicaciones agrarias, de maneras previas a las solicitudes de titulación. Nota2: evaluar con DGAA el nivel del estudio de suelo, se recomienda estudios simplificado y un proceso en etapas que permita liberar primero las tierras X y F. Nota 3: Reto opinión previa de SERFOR y MINAM ¿Como no demorar este proceso?                                               "/>
    <s v="NR"/>
    <s v="Programa de incentivos públicos promoviendo el bienestrar sostenible de sus habilitantes"/>
    <s v="Programa Anticorrupción"/>
    <x v="10"/>
    <x v="0"/>
    <s v="COMP 8"/>
    <s v="HABILITANTE"/>
    <s v="TRANSVERSAL REGIONAL"/>
    <s v="C19"/>
    <s v="Documento técnico legal que mapea procesos vinculados al cambio de uso, otorgamiento de la propiedad agraria y evaluaciones de impacto ambiental en el GORESAM"/>
    <n v="1"/>
    <n v="1"/>
    <n v="1"/>
    <n v="20000"/>
    <s v="Analisis técnico y legal (puede hacerse directamente por el equipo del GORESAM o a través de consultores), reuniones de trabajo, facilitadores de reuniones,"/>
    <s v="ARA, DRASAM, GDE, GPP"/>
    <n v="20000"/>
    <n v="20210"/>
    <n v="20000"/>
    <n v="20210"/>
    <n v="20000"/>
    <n v="20210"/>
    <n v="0"/>
    <n v="0"/>
    <n v="0"/>
    <n v="0"/>
    <n v="0"/>
    <n v="0"/>
    <n v="0"/>
    <n v="0"/>
    <n v="0"/>
    <m/>
    <m/>
    <n v="0"/>
    <m/>
    <m/>
    <s v="X"/>
    <n v="0"/>
  </r>
  <r>
    <x v="4"/>
    <x v="15"/>
    <s v="Invasiones "/>
    <s v="34 B"/>
    <s v="Elaboración, aprobación e implementación de procedimiento regional integrado del cambio de uso actual para tierras A y C (Articulo No 38 LFFS Ley No 29763) con procedimientos de otorgamiento de la propiedad agraria (titulación de predios y adjudicaciones)"/>
    <s v="Descripciión compartida con 34 A"/>
    <s v="NR"/>
    <s v="Programa de incentivos públicos promoviendo el bienestrar sostenible de sus habilitantes"/>
    <s v="Programa Anticorrupción"/>
    <x v="10"/>
    <x v="0"/>
    <s v="COMP 8"/>
    <s v="HABILITANTE"/>
    <s v="TRANSVERSAL REGIONAL"/>
    <s v="C19"/>
    <s v="Resolución Ministerial, o norma pertiente, que aprueba lineamientos a nivel nacional "/>
    <n v="1"/>
    <n v="1"/>
    <n v="1"/>
    <n v="20000"/>
    <s v="Elaboración de propuesta de norma, talleres de socialización y retroalimentación a nivel nacional, "/>
    <s v="MINAGRI, SERFOR, MINAM"/>
    <n v="20000"/>
    <n v="20210"/>
    <n v="20000"/>
    <n v="20210"/>
    <n v="20000"/>
    <n v="20210"/>
    <n v="0"/>
    <n v="0"/>
    <n v="0"/>
    <n v="0"/>
    <n v="0"/>
    <n v="0"/>
    <n v="0"/>
    <n v="0"/>
    <n v="0"/>
    <m/>
    <m/>
    <n v="0"/>
    <m/>
    <m/>
    <s v="X"/>
    <n v="0"/>
  </r>
  <r>
    <x v="4"/>
    <x v="15"/>
    <s v="Corrupción"/>
    <s v="34 C"/>
    <s v="Elaboración, aprobación e implementación de procedimiento regional integrado del cambio de uso actual para tierras A y C (Articulo No 38 LFFS Ley No 29763) con procedimientos de otorgamiento de la propiedad agraria (titulación de predios y adjudicaciones)"/>
    <s v="Descripciión compartida con 34 A"/>
    <s v="NR"/>
    <s v="Programa de incentivos públicos promoviendo el bienestrar sostenible de sus habilitantes"/>
    <s v="Programa Anticorrupción"/>
    <x v="10"/>
    <x v="0"/>
    <s v="COMP 8"/>
    <s v="HABILITANTE"/>
    <s v="TRANSVERSAL REGIONAL"/>
    <s v="C19"/>
    <s v="Ordenanza regional de procedimiento integrado sobre cambio de "/>
    <n v="1"/>
    <n v="1"/>
    <n v="0"/>
    <n v="30000"/>
    <s v="Consultoría para la elaboración de la propuesta de inclusión de procedimiento integrado  de cambio de uso actual."/>
    <s v="DRASAM, ARA, GPP"/>
    <n v="30000"/>
    <n v="30315"/>
    <n v="0"/>
    <n v="0"/>
    <n v="30000"/>
    <n v="30315"/>
    <n v="0"/>
    <n v="0"/>
    <n v="0"/>
    <n v="0"/>
    <n v="0"/>
    <n v="0"/>
    <n v="0"/>
    <n v="0"/>
    <n v="0"/>
    <m/>
    <m/>
    <n v="0"/>
    <m/>
    <m/>
    <s v="X"/>
    <n v="0"/>
  </r>
  <r>
    <x v="4"/>
    <x v="15"/>
    <s v="Corrupción"/>
    <s v="34 D"/>
    <s v="Elaboración, aprobación e implementación de procedimiento regional integrado del cambio de uso actual para tierras A y C (Articulo No 38 LFFS Ley No 29763) con procedimientos de otorgamiento de la propiedad agraria (titulación de predios y adjudicaciones)"/>
    <s v="Descripciión compartida con 34 A"/>
    <s v="NR"/>
    <s v="Programa de incentivos públicos promoviendo el bienestrar sostenible de sus habilitantes"/>
    <s v="Programa Anticorrupción"/>
    <x v="10"/>
    <x v="0"/>
    <s v="COMP 8"/>
    <s v="HABILITANTE"/>
    <s v="TRANSVERSAL REGIONAL"/>
    <s v="C19"/>
    <s v="Guias didacticas para implementar el procedimiento "/>
    <n v="1"/>
    <n v="1"/>
    <n v="0"/>
    <n v="20000"/>
    <s v="Elaboración de manual de capacitación y versiones sencillas del procedimiento, talleres de capacitación a usuarios y funcionarios. "/>
    <s v="DRASAM, ARA"/>
    <n v="20000"/>
    <n v="20210"/>
    <n v="0"/>
    <n v="0"/>
    <n v="20000"/>
    <n v="20210"/>
    <n v="0"/>
    <n v="0"/>
    <n v="0"/>
    <n v="0"/>
    <n v="0"/>
    <n v="0"/>
    <n v="0"/>
    <n v="0"/>
    <n v="0"/>
    <m/>
    <m/>
    <n v="0"/>
    <m/>
    <m/>
    <s v="X"/>
    <n v="0"/>
  </r>
  <r>
    <x v="4"/>
    <x v="15"/>
    <s v="Corrupción"/>
    <s v="34 E"/>
    <s v="Elaboración, aprobación e implementación de procedimiento regional integrado del cambio de uso actual para tierras A y C (Articulo No 38 LFFS Ley No 29763) con procedimientos de otorgamiento de la propiedad agraria (titulación de predios y adjudicaciones)"/>
    <s v="Descripciión compartida con 34 A"/>
    <s v="NR"/>
    <s v="Programa de incentivos públicos promoviendo el bienestrar sostenible de sus habilitantes"/>
    <s v="Programa Anticorrupción"/>
    <x v="10"/>
    <x v="0"/>
    <s v="COMP 8"/>
    <s v="HABILITANTE"/>
    <s v="TRANSVERSAL REGIONAL"/>
    <s v="C19"/>
    <s v="Hectáreas evaluadas bajo procedimiento de cambio actual con procedimientos integrados. "/>
    <n v="493395.07454789948"/>
    <n v="493395.07454789948"/>
    <n v="493395.07454789948"/>
    <n v="0.98"/>
    <s v="Contratación de especialistas para mapeo de procedimientos administrativos, especialista legal, especialista de costeo, costo operativo de atención de trámites."/>
    <s v="DRASAM, ARA"/>
    <n v="483527.17305694148"/>
    <n v="488604.20837403933"/>
    <n v="483527.17305694148"/>
    <n v="488604.20837403933"/>
    <n v="96705.434611388308"/>
    <n v="97720.841674807874"/>
    <n v="96705.434611388308"/>
    <n v="97720.841674807874"/>
    <n v="96705.434611388308"/>
    <n v="97720.841674807874"/>
    <n v="96705.434611388308"/>
    <n v="97720.841674807874"/>
    <n v="96705.434611388308"/>
    <n v="97720.841674807874"/>
    <n v="0"/>
    <m/>
    <m/>
    <n v="0"/>
    <m/>
    <m/>
    <n v="2"/>
    <n v="0"/>
  </r>
</pivotCacheRecords>
</file>

<file path=xl/pivotCache/pivotCacheRecords8.xml><?xml version="1.0" encoding="utf-8"?>
<pivotCacheRecords xmlns="http://schemas.openxmlformats.org/spreadsheetml/2006/main" xmlns:r="http://schemas.openxmlformats.org/officeDocument/2006/relationships" count="597">
  <r>
    <x v="0"/>
    <s v="1.1.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de agricultura familiar con producción destinada al autoconsumo y productos de exportación, con título o sin título de propiedad."/>
    <s v="N° Títulos/Contratos otorgados"/>
    <n v="25988.784394583301"/>
    <n v="51977568.7891666"/>
    <n v="35344.746776633292"/>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s v="Asociado a la meta"/>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s v="Unico a nivel departamental"/>
  </r>
  <r>
    <x v="1"/>
    <m/>
    <m/>
    <m/>
    <m/>
    <m/>
    <m/>
    <m/>
    <m/>
    <m/>
    <m/>
    <s v="Incluido costo central"/>
    <s v="Superposición de áreas a ser tituladas individualmente con áreas solicitadas por pueblos indígenas"/>
    <x v="0"/>
    <s v="DPI"/>
    <x v="2"/>
    <s v="Capacitación a la población local sobre deberes y derechos sobre derechos sobre la tierra y los bosques (titulos de propiedad y CUSSAF)"/>
    <s v="Antes y durante la implementación de la intervención"/>
    <s v="SBRN3"/>
    <s v="Asociado a la meta"/>
  </r>
  <r>
    <x v="1"/>
    <m/>
    <m/>
    <m/>
    <m/>
    <m/>
    <m/>
    <m/>
    <m/>
    <m/>
    <m/>
    <s v="Incluido costo central"/>
    <s v="Superposición de áreas a ser tituladas individualmente con áreas solicitadas por pueblos indígenas"/>
    <x v="1"/>
    <s v="DPI"/>
    <x v="3"/>
    <s v="Aná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s v="Asociado a la meta"/>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de la implementación de la intervención"/>
    <s v="SDPI2"/>
    <s v="Unico a nivel departamental"/>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s v="Unico a nivel departamental"/>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s v="Unico a nivel departamental"/>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s v="Asociado a la meta"/>
  </r>
  <r>
    <x v="0"/>
    <s v="1.1.2"/>
    <s v="Asistencia técnica con enfoque bajo en emisiones"/>
    <s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Predios de agricultura familiar con producción destinada al autoconsumo y productos de exportación, con título o sin título de propiedad."/>
    <s v="Productores asistidos"/>
    <n v="22368.6"/>
    <n v="12526416"/>
    <n v="8517.962880000001"/>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s v="Unico a nivel departamental"/>
  </r>
  <r>
    <x v="0"/>
    <s v="1.1.6"/>
    <s v="Reconversión y diversificación productiva "/>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Predios de agricultura familiar con producción destinada al autoconsumo y productos de exportación, con título o sin título de propiedad."/>
    <s v="Hectáreas reconvertidas/diversificadas"/>
    <n v="3111.4"/>
    <n v="46671000"/>
    <n v="31736.280000000002"/>
    <m/>
    <m/>
    <s v="Incluido costo central"/>
    <s v="Especies exóticas o invasoras en bosques colindantes"/>
    <x v="0"/>
    <e v="#REF!"/>
    <x v="9"/>
    <s v="El desarrollo productivo deberá realizarse solo en las áreas en donde los polos de intensificación productiva lo haya considerado factible. Esto excluye a las áreas con bosques "/>
    <s v="Durante la implementación de la intervención"/>
    <s v="SBRN4"/>
    <s v="Asociado a la meta"/>
  </r>
  <r>
    <x v="1"/>
    <m/>
    <m/>
    <m/>
    <m/>
    <m/>
    <m/>
    <m/>
    <m/>
    <n v="17"/>
    <n v="52893.8"/>
    <s v="Evaluadores para trabajo de campo"/>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s v="Unico a nivel departamental"/>
  </r>
  <r>
    <x v="1"/>
    <m/>
    <m/>
    <m/>
    <m/>
    <m/>
    <m/>
    <m/>
    <m/>
    <m/>
    <m/>
    <s v="Incluido costo central"/>
    <s v="Cultivos elegibles para reconversión no logran obtener los máximos beneficios en las zonas seleccionadas"/>
    <x v="5"/>
    <e v="#REF!"/>
    <x v="11"/>
    <s v="Evaluar la viabilidad de la reconversión de acuerdo a los cultivos seleccionados a fin de determinar la aptitud de la zona para el cultivo, considerando la variable de cambio climático. (Ejm. aumento de la temperatura que modifica la aptitud para el desarrollo del cultivo del café)"/>
    <s v="Antes de la implementación de la intervención"/>
    <s v="SVCC1"/>
    <s v="Unico a nivel departamental"/>
  </r>
  <r>
    <x v="0"/>
    <s v="1.1.7"/>
    <s v="Promoción de agricultura familiar con enfoque de mercado"/>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Predios de agricultura familiar con producción destinada al autoconsumo y productos de exportación, con título o sin título de propiedad."/>
    <s v="Productores beneficiados"/>
    <n v="18640.5"/>
    <n v="240462450"/>
    <n v="163514.46600000001"/>
    <m/>
    <m/>
    <s v="Incluido costo central"/>
    <s v="Exclusión de mujeres rurales en programas de agricultura familiar"/>
    <x v="3"/>
    <s v="GN"/>
    <x v="8"/>
    <s v="Diseño de programas de asistencia técnica especificos para mujeres rurales considerando sus necesidades de aprendizaje y metodologías apropiadas "/>
    <s v="Antes de la implementación de la intervención"/>
    <s v="SGN2"/>
    <s v="Unico a nivel departamental"/>
  </r>
  <r>
    <x v="0"/>
    <s v="1.1.8"/>
    <s v="Asistencia técnica para el desarrollo de la acuicultura"/>
    <s v="Capacitaciones a pequeños productores acuícolas en temas relacionados a: Asociatividad, Gestión y administración de piscigranjas, programación de la producción, formalización, gestión de la calidad entre otros temas que permitan la sostenibilidad de la actividad."/>
    <s v="Predios de agricultura familiar con producción destinada al autoconsumo y productos de exportación, con título o sin título de propiedad."/>
    <s v="Acuicultores atendidos"/>
    <n v="801.6"/>
    <n v="448896"/>
    <n v="305.24928"/>
    <n v="17"/>
    <n v="13627.2"/>
    <s v="Evaluadores para trabajo de campo _x000a__x000a_"/>
    <s v="Especies exóticas o invasoras en cuerpos de agua colindantes"/>
    <x v="0"/>
    <e v="#REF!"/>
    <x v="10"/>
    <s v="Evaluadores de los programas de promoción deberán considerar evaluaciones de presencia de especies invasoras en las áreas en donde se haya otorgado el incentivo. "/>
    <s v="Durante la implementación de la intervención"/>
    <s v="SBRN5"/>
    <s v="Unico a nivel departamental"/>
  </r>
  <r>
    <x v="1"/>
    <m/>
    <m/>
    <m/>
    <m/>
    <m/>
    <m/>
    <m/>
    <m/>
    <m/>
    <m/>
    <s v="Incluido costo central"/>
    <s v="Efluentes de acuicultura vertidos a cuerpos de agua naturales"/>
    <x v="6"/>
    <e v="#REF!"/>
    <x v="12"/>
    <s v="Control de residuos antes del vertimiento a cuerpos de agua naturales "/>
    <s v="Durante la implementación de la intervención"/>
    <s v="SCT1"/>
    <s v="ambiental"/>
  </r>
  <r>
    <x v="0"/>
    <s v="1.1.9"/>
    <s v="Incentivos financieros para la acuicultura "/>
    <s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Predios de agricultura familiar con producción destinada al autoconsumo y productos de exportación, con título o sin título de propiedad."/>
    <s v="Créditos otorgados"/>
    <n v="801.6"/>
    <n v="10340640"/>
    <n v="7031.6352000000006"/>
    <m/>
    <m/>
    <s v="Incluido costo central"/>
    <s v="Deforestación para habilitación de áreas para proyectos de acuicultura"/>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m/>
    <m/>
    <s v="Incluido costo central"/>
    <s v="Actividad acuícola no se desarrolla de manera óptima"/>
    <x v="5"/>
    <e v="#REF!"/>
    <x v="13"/>
    <s v="El plan de trabajo debe considerar un análisis de rentabilidad de la actividad acuícola en las zonas donde se va a implementar, con énfasis en la variable de cambio climático."/>
    <s v="Antes de la implementación de la intervención"/>
    <s v="SVCC2"/>
    <s v="economista"/>
  </r>
  <r>
    <x v="0"/>
    <s v="1.1.10"/>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Predios de agricultura familiar con producción destinada al autoconsumo y productos de exportación, con título o sin título de propiedad."/>
    <s v="Créditos otorgados"/>
    <n v="22368.6"/>
    <n v="240462449.99999997"/>
    <n v="163514.46599999999"/>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223686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n v="17"/>
    <n v="380266.19999999995"/>
    <s v=" Evaluadores para trabajo de campo _x000a__x000a_"/>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ontaminación por residuos agropecuarios"/>
    <x v="6"/>
    <e v="#REF!"/>
    <x v="15"/>
    <s v="Control de residuos agropecuarios"/>
    <s v="Durante la implementación de la intervención"/>
    <s v="SCT2"/>
    <m/>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s v="economista"/>
  </r>
  <r>
    <x v="0"/>
    <s v="1.1.11"/>
    <s v="Implementación de infraestructura productiva con énfasis a la agro exportación "/>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Predios de agricultura familiar con producción destinada al autoconsumo y productos de exportación, con título o sin título de propiedad."/>
    <s v="Planes de negocios/proyectos ejecutados"/>
    <n v="9.6000000000000014"/>
    <n v="7680000.0000000009"/>
    <n v="5222.4000000000015"/>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s v="SIG"/>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0"/>
    <s v="1.4.1"/>
    <s v="Concluir reconocimiento y titulación "/>
    <s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_x000a_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
    <s v="Territorios de comunidades nativas"/>
    <s v="Comunidades tituladas"/>
    <n v="63"/>
    <n v="4488750"/>
    <n v="3052.3500000000004"/>
    <m/>
    <m/>
    <s v="Incluido costo central"/>
    <s v="Conflictos sociales en procesos de titulación de pueblos indígenas"/>
    <x v="1"/>
    <s v="DPI"/>
    <x v="21"/>
    <s v="Asistencia técnica en la mediación de conflictos con otras partes durante proceo de titulación"/>
    <s v="Durante la implementación de la intervención"/>
    <s v="SDPI3"/>
    <m/>
  </r>
  <r>
    <x v="1"/>
    <m/>
    <m/>
    <m/>
    <m/>
    <m/>
    <m/>
    <m/>
    <m/>
    <n v="8000"/>
    <n v="504000"/>
    <s v="Traslado a la capital de aprox 8 representantes de la junta directiva por comunidad nativa, pasaje ida y vuelva y viáticos por 3 días = 6000_x000a_Responsable de elaboración de expediente = 2000"/>
    <s v="Comunidades no cuentan con representantes legales con poderes actualizados"/>
    <x v="1"/>
    <s v="DPI"/>
    <x v="22"/>
    <s v="Brindar soporte técnico a las comunidades para actualizar sus libros de actas e inscribir las juntas directas en registros públicos"/>
    <s v="Antes de la implementación de la intervención"/>
    <s v="SDPI4"/>
    <m/>
  </r>
  <r>
    <x v="1"/>
    <m/>
    <m/>
    <m/>
    <m/>
    <m/>
    <m/>
    <m/>
    <m/>
    <m/>
    <m/>
    <s v="Incluido costo central"/>
    <s v="Superposición de áreas solicitadas con otras unidades de ordenamiento forestal"/>
    <x v="1"/>
    <s v="DPI"/>
    <x v="23"/>
    <s v="Acompañar solicitudes de redimensionamiento y solución de superposiciones"/>
    <s v="Durante la implementación de la intervención"/>
    <s v="SDPI5"/>
    <s v="especialista indigena CODEPISAM"/>
  </r>
  <r>
    <x v="1"/>
    <m/>
    <m/>
    <m/>
    <m/>
    <m/>
    <m/>
    <m/>
    <m/>
    <m/>
    <m/>
    <s v="Incluido costo central"/>
    <s v="Conflictos por actualización de bases gráficas de títulos ya otorgados"/>
    <x v="1"/>
    <s v="DPI"/>
    <x v="24"/>
    <s v="Actualización de bases gráficas junto a comunidades nativas y organizaciones indigenas"/>
    <s v="Durante la implementación de la intervención"/>
    <s v="SDPI6"/>
    <s v="especialista indigena CODEPISAM"/>
  </r>
  <r>
    <x v="1"/>
    <m/>
    <m/>
    <m/>
    <m/>
    <m/>
    <m/>
    <m/>
    <m/>
    <n v="715"/>
    <n v="45045"/>
    <s v="18 reuniones: 6 sobre trabajos iniciales, 6 propuesta, 6 validación"/>
    <s v="Demoras excesivas en procesos de reconocimiento y titulación"/>
    <x v="1"/>
    <s v="DPI"/>
    <x v="25"/>
    <s v="Conformar un grupo de trabajo por UDT para  intercambiar información y coordinar actividades antes y durante los procesos de titulación "/>
    <s v="Antes y durante la implementación de la intervención"/>
    <s v="SDPI7"/>
    <m/>
  </r>
  <r>
    <x v="1"/>
    <m/>
    <m/>
    <m/>
    <m/>
    <m/>
    <m/>
    <m/>
    <m/>
    <m/>
    <m/>
    <s v="Incluido costo central"/>
    <s v="No se incorpora el conocimiento de las mujeres indígenas sobre el territorio"/>
    <x v="3"/>
    <s v="GN"/>
    <x v="26"/>
    <s v="Capacitación a mujeres indigenas en procesos de titulación y garantizar su participación en brigadas de titulación para ayudar a georeferenciar el área de la comunidad"/>
    <s v="Durante la implementación de la intervención"/>
    <s v="SGN6"/>
    <m/>
  </r>
  <r>
    <x v="1"/>
    <m/>
    <m/>
    <m/>
    <m/>
    <m/>
    <m/>
    <m/>
    <m/>
    <m/>
    <m/>
    <s v="Incluido costo central"/>
    <s v="Desconfianza de las comunidades en actividades de titulación"/>
    <x v="1"/>
    <s v="DPI"/>
    <x v="27"/>
    <s v="Acompañamiento de técnicos indigenas en brigadas de titulación, soporte para explicar a las comunidades las actividades de campo con metodologías e idioma apropiado"/>
    <s v="Durante la implementación de la intervención"/>
    <s v="SDPI13"/>
    <m/>
  </r>
  <r>
    <x v="1"/>
    <m/>
    <m/>
    <m/>
    <m/>
    <m/>
    <m/>
    <m/>
    <m/>
    <m/>
    <m/>
    <s v="Incluido costo central"/>
    <s v="Otorgamiento de derechos sobre la tierra / bosques en zonas con patrimonio cultural"/>
    <x v="4"/>
    <s v="PC"/>
    <x v="28"/>
    <s v="Análisis de solicitudes de titulación de comunidades nativas, para evaluar la existencia y superposición con áreas determinadas como patrimonio cultural y evitar su afectación"/>
    <s v="Antes la implementación de la intervención"/>
    <s v="SPC2"/>
    <m/>
  </r>
  <r>
    <x v="0"/>
    <s v="1.4.2"/>
    <s v="Asistencia técnica para el manejo agroforestal "/>
    <s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Territorios de comunidades nativas"/>
    <s v="Productor asistido"/>
    <n v="4140"/>
    <n v="2318400"/>
    <n v="1576.5120000000002"/>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Exclusión de mujeres rurales indígenas en programas de asistencia técnica"/>
    <x v="3"/>
    <s v="GN"/>
    <x v="30"/>
    <s v="Diseño de programas de asistencia técnica y capacitación especificos para mujeres rurales indigenas considerando sus necesidades de aprendizaje y metodologías apropiadas "/>
    <s v="Antes de la implementación de la intervención"/>
    <s v="SGN7"/>
    <m/>
  </r>
  <r>
    <x v="0"/>
    <s v="1.4.3"/>
    <s v="Promoción de Bionegocios con productos forestales no maderables "/>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Territorios de comunidades nativas"/>
    <s v="Planes de negocio"/>
    <n v="40"/>
    <n v="600000"/>
    <n v="408.00000000000006"/>
    <m/>
    <m/>
    <s v="Incluido costo central"/>
    <s v="Biopiratería de recursos genéticos y recursos biológicos en tierras de comunidades nativas"/>
    <x v="1"/>
    <s v="DPI"/>
    <x v="31"/>
    <s v="Capacitación y acompañamiento a comunidades nativas para la negociación de bionegocios"/>
    <s v="Antes de la implementación de la intervención"/>
    <s v="SDPI10"/>
    <m/>
  </r>
  <r>
    <x v="1"/>
    <m/>
    <m/>
    <m/>
    <m/>
    <m/>
    <m/>
    <m/>
    <m/>
    <n v="150"/>
    <n v="6000"/>
    <s v="Reuniones"/>
    <s v="Demora en trámites administrativos no contemplan condiciones vinculadas a los pueblos indígenas"/>
    <x v="1"/>
    <s v="DPI"/>
    <x v="32"/>
    <s v="Simplificación de trámites administrativos para el aprovechamiento sostenible de los recursos forestales no maderables y de fauna silvestre considerando enfoque intercultural"/>
    <s v="Antes de la implementación de la intervención"/>
    <s v="SDPI11"/>
    <m/>
  </r>
  <r>
    <x v="1"/>
    <m/>
    <m/>
    <m/>
    <m/>
    <m/>
    <m/>
    <m/>
    <m/>
    <m/>
    <m/>
    <s v="Incluido costo central"/>
    <s v="Apropiación ilícita de conocimientos tradicionales"/>
    <x v="1"/>
    <s v="DPI"/>
    <x v="33"/>
    <s v="Sistematización de conocimientos tradicionales y registro en INDECOPI"/>
    <s v="Antes y durante la implementación de la intervención"/>
    <s v="SDPI12"/>
    <m/>
  </r>
  <r>
    <x v="1"/>
    <m/>
    <m/>
    <m/>
    <m/>
    <m/>
    <m/>
    <m/>
    <m/>
    <m/>
    <m/>
    <s v="Incluido costo central"/>
    <s v="Exclusión de mujeres indígenas en programa de biocomercio"/>
    <x v="3"/>
    <s v="GN"/>
    <x v="34"/>
    <s v="Establecimiento de cuotas de género"/>
    <s v="Antes de la implementación de la intervención"/>
    <s v="SGN8"/>
    <m/>
  </r>
  <r>
    <x v="1"/>
    <m/>
    <m/>
    <m/>
    <m/>
    <m/>
    <m/>
    <m/>
    <m/>
    <m/>
    <m/>
    <s v="Incluido costo central"/>
    <s v="Exclusión de mujeres indígenas en programa de biocomercio"/>
    <x v="3"/>
    <s v="GN"/>
    <x v="35"/>
    <s v="Diseño de programas de biocomercio de emprendimientos de mujeres indigenas"/>
    <s v="Antes y durante la implementación de la intervención"/>
    <s v="SGN9"/>
    <m/>
  </r>
  <r>
    <x v="0"/>
    <s v="1.4.4"/>
    <s v="Fortalecimiento de capacidades"/>
    <s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Territorios de comunidades nativas"/>
    <s v="Comunidades fortalecidas"/>
    <n v="39.6"/>
    <n v="1440000"/>
    <n v="979.2"/>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Exclusión de mujeres rurales indígenas en programas de capacitación"/>
    <x v="3"/>
    <s v="GN"/>
    <x v="30"/>
    <s v="Diseño de programas de asistencia técnica y capacitación especificos para mujeres rurales indigenas considerando sus necesidades de aprendizaje y metodologías apropiadas "/>
    <s v="Antes de la implementación de la intervención"/>
    <s v="SGN7"/>
    <m/>
  </r>
  <r>
    <x v="0"/>
    <s v="1.4.5"/>
    <s v="Identificación y apertura de mercado para productos del bosque."/>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Territorios de comunidades nativas"/>
    <s v="Especialistas"/>
    <n v="5"/>
    <n v="1050000"/>
    <n v="714"/>
    <m/>
    <m/>
    <s v="Incluido costo central"/>
    <s v="Biopiratería de recursos genéticos y recursos biológicos en tierras de comunidades nativas"/>
    <x v="1"/>
    <s v="DPI"/>
    <x v="31"/>
    <s v="Capacitación y acompañamiento a comunidades nativas para la negociación de bionegocios"/>
    <s v="Antes de la implementación de la intervención"/>
    <s v="SDPI10"/>
    <m/>
  </r>
  <r>
    <x v="1"/>
    <m/>
    <m/>
    <m/>
    <m/>
    <m/>
    <m/>
    <m/>
    <m/>
    <m/>
    <m/>
    <s v="Incluido costo central"/>
    <s v="Apropiación ilícita de conocimientos tradicionales"/>
    <x v="1"/>
    <s v="DPI"/>
    <x v="33"/>
    <s v="Sistematización de conocimientos tradicionales y registro en INDECOPI"/>
    <s v="Antes y durante la implementación de la intervención"/>
    <s v="SDPI12"/>
    <m/>
  </r>
  <r>
    <x v="0"/>
    <s v="1.4.6"/>
    <s v="Transferencias de Incentivos para protección de bosques"/>
    <s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
    <s v="Territorios de comunidades nativas"/>
    <s v="Comunidades atendidas"/>
    <n v="30"/>
    <n v="750000"/>
    <n v="510.00000000000006"/>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Apropiación ilícita de los recursos de las transferencias directas condicionadas y adquisiciones inadecuadas"/>
    <x v="1"/>
    <s v="DPI"/>
    <x v="36"/>
    <s v="Fortalecimiento independiente administrativo y técnico de CODEPISAM para poder ejecutar proyectos directamente. Generación de mecanismos de gobernanza y rendición de cuentas"/>
    <s v="Antes y durante la implementación de la intervención"/>
    <s v="SDPI14"/>
    <m/>
  </r>
  <r>
    <x v="1"/>
    <m/>
    <m/>
    <m/>
    <m/>
    <m/>
    <m/>
    <m/>
    <m/>
    <m/>
    <m/>
    <s v="Incluido costo central"/>
    <s v="Apropiación ilícita de los recursos de las transferencias directas condicionadas y adquisiciones inadecuadas"/>
    <x v="2"/>
    <e v="#REF!"/>
    <x v="37"/>
    <s v="Implementación de procedimientos competitivos para adquisiciones y publicación de convocatoria y resultados de adquisiciones"/>
    <s v="Antes y durante la implementación de la intervención"/>
    <s v="SCR3"/>
    <m/>
  </r>
  <r>
    <x v="0"/>
    <s v="1.4.8"/>
    <s v="Servicios básicos de calidad"/>
    <s v="Implementación de proyectos enfocados a mejorar los servicios básicos de las comunidades nativas, dichos servicios deberán contar con profesionales bilingües, para asegurar y garantizar la adecuada transferencia de dichos servicios.  "/>
    <s v="Territorios de comunidades nativas"/>
    <s v="Escuelas y postas médicas implementadas"/>
    <n v="36"/>
    <n v="27000000"/>
    <n v="18360"/>
    <m/>
    <m/>
    <s v="Incluido costo central"/>
    <s v="Programas de servicios básicos de salud y educación diseñados sin enfoque intercultural"/>
    <x v="1"/>
    <s v="DPI"/>
    <x v="38"/>
    <s v="Diseñar programas de servicios basicos de salud y educación considerando un enfoque intercultural,  sus necesidades y medios apropiados para garantizar su acceso oportuno"/>
    <s v="Antes de la implementación de la intervención"/>
    <s v="SDPI8"/>
    <m/>
  </r>
  <r>
    <x v="1"/>
    <m/>
    <m/>
    <m/>
    <m/>
    <m/>
    <m/>
    <m/>
    <m/>
    <m/>
    <m/>
    <s v="Incluido costo central"/>
    <s v="Exclusión de servicios básicos a mujeres indígenas"/>
    <x v="3"/>
    <s v="GN"/>
    <x v="39"/>
    <s v="Diseñar programas de servicios basicos de salud y educación considerando el rol de la mujer en la comunidad,  sus necesidades y medios apropiados para garantizar su acceso oportuno. Considera elaboración de lineamientos"/>
    <s v="Antes de la implementación de la intervención"/>
    <s v="SGN10"/>
    <m/>
  </r>
  <r>
    <x v="1"/>
    <m/>
    <m/>
    <m/>
    <m/>
    <m/>
    <m/>
    <m/>
    <m/>
    <m/>
    <m/>
    <s v="Incluido costo central"/>
    <s v="Restricción de disponibilidad y acceso a servicios básicos"/>
    <x v="7"/>
    <s v="DH"/>
    <x v="40"/>
    <s v="Acceso justo y equitativo de la población a los beneficios sociales de calidad, de forma justa y equitativa"/>
    <s v="Antes y durante la implementación de la intervención"/>
    <s v="SDH1"/>
    <m/>
  </r>
  <r>
    <x v="0"/>
    <s v="1.7.2"/>
    <s v="Fortalecer el control y vigilancia"/>
    <s v="Implementar con recursos necesarios al ente que administra el área, con la finalidad de aumentar el número de personas (guardaparques) que contribuyan a realizar acciones de control y vigilancia."/>
    <s v="Parque Nacional Cordillera Azul"/>
    <s v="Número de guardaparques"/>
    <n v="18"/>
    <n v="2160000"/>
    <n v="1468.8000000000002"/>
    <m/>
    <m/>
    <s v="Incluido costo central"/>
    <s v="Cohecho en el control y vigilancia de recursos naturales"/>
    <x v="2"/>
    <e v="#REF!"/>
    <x v="41"/>
    <s v="Implementación de sistema de denuncias en linea, transparencia en procesos de control (por ejemplo uso de cámaras en intervenciones), transparencia en registros de aprovechamiento"/>
    <s v="Antes y durante la implementación de la intervención"/>
    <s v="SCR4"/>
    <m/>
  </r>
  <r>
    <x v="1"/>
    <m/>
    <m/>
    <m/>
    <m/>
    <m/>
    <m/>
    <m/>
    <m/>
    <m/>
    <m/>
    <s v="Incluido costo central"/>
    <s v="Cohecho en el control y vigilancia de recursos naturales"/>
    <x v="2"/>
    <e v="#REF!"/>
    <x v="42"/>
    <s v="Capacitación e involucramiento de población local en actividades de control y vigilancia "/>
    <s v="Antes y durante la implementación de la intervención"/>
    <s v="SCR5"/>
    <m/>
  </r>
  <r>
    <x v="1"/>
    <m/>
    <m/>
    <m/>
    <m/>
    <m/>
    <m/>
    <m/>
    <m/>
    <m/>
    <m/>
    <s v="Incluido costo central"/>
    <s v="Adquisición inadecuada de recursos para el control y vigilancia"/>
    <x v="2"/>
    <e v="#REF!"/>
    <x v="37"/>
    <s v="Implementación de procedimientos competitivos para adquisiciones y publicación de convocatoria y resultados de adquisiciones"/>
    <s v="Antes y durante la implementación de la intervención"/>
    <s v="SCR3"/>
    <m/>
  </r>
  <r>
    <x v="1"/>
    <m/>
    <m/>
    <m/>
    <m/>
    <m/>
    <m/>
    <m/>
    <m/>
    <m/>
    <m/>
    <s v="Incluido costo central"/>
    <s v="Exclusión de mujeres rurales en iniciativas de control y vigilancia"/>
    <x v="3"/>
    <s v="GN"/>
    <x v="43"/>
    <s v="Diseño de programa para promover la participación de mujeres rurales en sistema de control y vigilancia "/>
    <s v="Antes de la implementación de la intervención"/>
    <s v="SGN11"/>
    <m/>
  </r>
  <r>
    <x v="0"/>
    <s v="1.7.3"/>
    <s v="Promover acuerdos de conservación con cadena de valor para aquellos productos sostenibles con el parque."/>
    <s v="Promover la planificación comunal en centros poblados del interior en base a la zonificación y zona de amortiguamiento teniendo como base al Plan Maestro (incluye acuerdos de conservación)"/>
    <s v="Parque Nacional Cordillera Azul"/>
    <s v="Planes de gestión comunal"/>
    <n v="81"/>
    <n v="810000"/>
    <n v="550.80000000000007"/>
    <m/>
    <m/>
    <s v="Incluido costo central"/>
    <s v="No se considera la opinión de las mujeres rurales en proceso de planificación comunal de centros poblados y desarrollo de acuerdos de conservación en ANP y su zona de amortiguamiento"/>
    <x v="3"/>
    <s v="GN"/>
    <x v="39"/>
    <s v="Diseñar programas de servicios basicos de salud y educación considerando el rol de la mujer en la comunidad,  sus necesidades y medios apropiados para garantizar su acceso oportuno. Considera elaboración de lineamientos"/>
    <s v="Antes de la implementación de la intervención"/>
    <s v="SGN10"/>
    <m/>
  </r>
  <r>
    <x v="1"/>
    <m/>
    <m/>
    <m/>
    <m/>
    <m/>
    <m/>
    <m/>
    <m/>
    <m/>
    <m/>
    <s v="Incluido costo central"/>
    <s v="No se considera la opinión de las mujeres rurales en proceso de planificación comunal de centros poblados y desarrollo de acuerdos de conservación en ANP y su zona de amortiguamiento"/>
    <x v="3"/>
    <s v="GN"/>
    <x v="44"/>
    <s v="Diseño de mecanismos adecuados de participación para mujeres rurales "/>
    <s v="Antes de la implementación de la intervención"/>
    <s v="SGN12"/>
    <m/>
  </r>
  <r>
    <x v="0"/>
    <s v="1.7.4"/>
    <s v="Promoción del turismo comunitario en zona de amortiguamiento y al interior del parque"/>
    <s v="Campañas de promoción y difusión en el ámbito regional y nacional de los circuitos turísticos que existen en la zona de amortiguamiento. acorde al plan maestro del parque.  "/>
    <s v="Parque Nacional Cordillera Azul"/>
    <s v="Campañas de promoción"/>
    <n v="54"/>
    <n v="1080000"/>
    <n v="734.40000000000009"/>
    <m/>
    <m/>
    <s v="Incluido costo central"/>
    <s v="Impacto negativo sobre la biodiversidad por infraestructura o visitantes"/>
    <x v="0"/>
    <e v="#REF!"/>
    <x v="45"/>
    <s v="Análisis del impacto y establecimiento de buenas prácticas para evitar la afectación sobre la biodiversidad "/>
    <s v="Antes y durante la implementación de la intervención"/>
    <s v="SBRN7"/>
    <m/>
  </r>
  <r>
    <x v="1"/>
    <m/>
    <m/>
    <m/>
    <m/>
    <m/>
    <m/>
    <m/>
    <m/>
    <m/>
    <m/>
    <s v="Incluido costo central"/>
    <s v="Exclusión de mujeres rurales en programas de turismo comunitario"/>
    <x v="3"/>
    <s v="GN"/>
    <x v="46"/>
    <s v="Inclusión activa de mujeres rurales en actividades turisticas (guiado, servicios para turistas, producción de artesanías, entre otros). Se deberá incluirlas dentro de los programas de capacitación"/>
    <s v="Antes y durante la implementación de la intervención"/>
    <s v="SGN13"/>
    <m/>
  </r>
  <r>
    <x v="0"/>
    <s v="1.7.5"/>
    <s v="Promoción de agroforestería sostenible en zona de amortiguamiento y al interior del parque"/>
    <s v="Realizar pasantías focalizadas en aquellos sectores claves que se necesita intervenir para disminuir la presión del parque."/>
    <s v="Parque Nacional Cordillera Azul"/>
    <s v="Pasantías"/>
    <n v="54"/>
    <n v="1350000"/>
    <n v="918.00000000000011"/>
    <m/>
    <m/>
    <s v="Incluido costo central"/>
    <s v="Exclusión de mujeres en las pasantías "/>
    <x v="3"/>
    <s v="GN"/>
    <x v="17"/>
    <s v="Establecimiento de cuotas de género"/>
    <s v="Antes de la implementación de la intervención"/>
    <s v="SGN3"/>
    <m/>
  </r>
  <r>
    <x v="0"/>
    <s v="1.8.1"/>
    <s v="Promover acuerdos de conservación con cadena de valor para aquellos productos sostenibles con el parque."/>
    <s v="Promover la planificación comunal en centros poblados en base a la zonificación y zona de amortiguamiento teniendo como base al Plan Maestro (incluye acuerdos de conservación)"/>
    <s v="Parque Nacional del Río Abiseo"/>
    <s v="Planes de gestión comunal"/>
    <n v="18"/>
    <n v="180000"/>
    <n v="122.4"/>
    <m/>
    <m/>
    <s v="Incluido costo central"/>
    <s v="No se considera la opinión de las mujeres rurales en proceso de planificación comunal de centros poblados y desarrollo de acuerdos de conservación en ANP y su zona de amortiguamiento"/>
    <x v="3"/>
    <s v="GN"/>
    <x v="39"/>
    <s v="Diseñar programas de servicios basicos de salud y educación considerando el rol de la mujer en la comunidad,  sus necesidades y medios apropiados para garantizar su acceso oportuno. Considera elaboración de lineamientos"/>
    <s v="Antes de la implementación de la intervención"/>
    <s v="SGN10"/>
    <m/>
  </r>
  <r>
    <x v="1"/>
    <m/>
    <m/>
    <m/>
    <m/>
    <m/>
    <m/>
    <m/>
    <m/>
    <m/>
    <m/>
    <s v="Incluido costo central"/>
    <s v="No se considera la opinión de las mujeres rurales en proceso de planificación comunal de centros poblados y desarrollo de acuerdos de conservación en ANP y su zona de amortiguamiento"/>
    <x v="3"/>
    <s v="GN"/>
    <x v="44"/>
    <s v="Diseño de mecanismos adecuados de participación para mujeres rurales "/>
    <s v="Antes de la implementación de la intervención"/>
    <s v="SGN12"/>
    <m/>
  </r>
  <r>
    <x v="0"/>
    <s v="1.8.2"/>
    <s v="Promoción del turismo comunitario en zona de amortiguamiento y al interior del parque"/>
    <s v="Campañas de promoción y difusión en el ámbito regional y nacional de los circuitos turísticos que existen en la zona de amortiguamiento. acorde al plan maestro del parque.  "/>
    <s v="Parque Nacional del Río Abiseo"/>
    <s v="Campañas de promoción"/>
    <n v="36"/>
    <n v="720000"/>
    <n v="489.6"/>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m/>
  </r>
  <r>
    <x v="1"/>
    <m/>
    <m/>
    <m/>
    <m/>
    <m/>
    <m/>
    <m/>
    <m/>
    <m/>
    <m/>
    <s v="Incluido costo central"/>
    <s v="Exclusión de mujeres rurales en programas de turismo comunitario"/>
    <x v="3"/>
    <s v="GN"/>
    <x v="46"/>
    <s v="Inclusión activa de mujeres rurales en actividades turisticas (guiado, servicios para turistas, producción de artesanías, entre otros). Se deberá incluirlas dentro de los programas de capacitación"/>
    <s v="Antes y durante la implementación de la intervención"/>
    <s v="SGN13"/>
    <m/>
  </r>
  <r>
    <x v="0"/>
    <s v="1.8.3"/>
    <s v="Promoción de agroforestería sostenible en zona de amortiguamiento del parque"/>
    <s v="Realizar pasantías focalizadas en aquellos sectores claves que se necesita intervenir para disminuir la presión del parque."/>
    <s v="Parque Nacional del Río Abiseo"/>
    <s v="Pasantías"/>
    <n v="36"/>
    <n v="900000"/>
    <n v="612"/>
    <m/>
    <m/>
    <s v="Incluido costo central"/>
    <s v="Especies exóticas o invasoras en bosques colindantes"/>
    <x v="0"/>
    <e v="#REF!"/>
    <x v="47"/>
    <s v="Escuelas de campo promueven la implementación de sistemas agroforestales con especies nativas"/>
    <s v="Durante la implementación de la intervención"/>
    <s v="SBRN8"/>
    <m/>
  </r>
  <r>
    <x v="1"/>
    <m/>
    <m/>
    <m/>
    <m/>
    <m/>
    <m/>
    <m/>
    <m/>
    <m/>
    <m/>
    <s v="Incluido costo central"/>
    <s v="Exclusión de mujeres rurales en las escuelas de campo"/>
    <x v="3"/>
    <s v="GN"/>
    <x v="48"/>
    <s v="Diseño de escuelas de campo especificos para mujeres rurales considerando sus necesidades de aprendizaje y metodologías apropiadas "/>
    <s v="Antes de la implementación de la intervención"/>
    <s v="SGN14"/>
    <m/>
  </r>
  <r>
    <x v="0"/>
    <s v="1.2.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privados dedicados a la producción comercial (arroz) "/>
    <s v="N° Títulos/Contratos otorgados"/>
    <n v="1286.3341618199499"/>
    <n v="2572668.3236399"/>
    <n v="1749.4144600751322"/>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s v="Asociado a la meta"/>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s v="Unico a nivel departamental"/>
  </r>
  <r>
    <x v="1"/>
    <m/>
    <m/>
    <m/>
    <m/>
    <m/>
    <m/>
    <m/>
    <m/>
    <m/>
    <m/>
    <s v="Incluido costo central"/>
    <s v="Otorgamiento de titulos de propiedad en tierras de aptitud  A y C con cobertura de bosques"/>
    <x v="0"/>
    <e v="#REF!"/>
    <x v="2"/>
    <s v="Capacitación a la población local sobre deberes y derechos sobre derechos sobre la tierra y los bosques (titulos de propiedad y CUSSAF)"/>
    <s v="Antes y durante la implementación de la intervención"/>
    <s v="SBRN3"/>
    <s v="Asociado a la meta"/>
  </r>
  <r>
    <x v="1"/>
    <m/>
    <m/>
    <m/>
    <m/>
    <m/>
    <m/>
    <m/>
    <m/>
    <m/>
    <m/>
    <s v="Incluido costo central"/>
    <s v="Superposición de áreas a ser tituladas individualmente con áreas solicitadas por pueblos indígenas"/>
    <x v="1"/>
    <s v="DPI"/>
    <x v="3"/>
    <s v="Ana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s v="Asociado a la meta"/>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de la implementación de la intervención"/>
    <s v="SDPI2"/>
    <s v="Unico a nivel departamental"/>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s v="Unico a nivel departamental"/>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s v="Unico a nivel departamental"/>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s v="Asociado a la meta"/>
  </r>
  <r>
    <x v="0"/>
    <s v="1.2.2"/>
    <s v="Promoción y desarrollo de proveedores de semillas mejoradas"/>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Predios privados dedicados a la producción comercial (arroz) "/>
    <s v="Unidades semilleristas"/>
    <n v="7.5"/>
    <n v="112500"/>
    <n v="76.5"/>
    <m/>
    <m/>
    <s v="Incluido costo central"/>
    <s v="Exclusión de mujeres productoras del desarrollo de proveedores de semillas mejoradas"/>
    <x v="3"/>
    <s v="GN"/>
    <x v="17"/>
    <s v="Establecimiento de cuotas de género"/>
    <s v="Antes de la implementación de la intervención"/>
    <s v="SGN3"/>
    <m/>
  </r>
  <r>
    <x v="1"/>
    <m/>
    <m/>
    <m/>
    <m/>
    <m/>
    <m/>
    <m/>
    <m/>
    <m/>
    <m/>
    <s v="Incluido costo central"/>
    <s v="Exclusión de mujeres productoras del desarrollo de proveedores de semillas mejoradas"/>
    <x v="3"/>
    <s v="GN"/>
    <x v="19"/>
    <s v="Diseño de programas de desarrollo de proceedores de semillas mejoradas"/>
    <s v="Antes de la implementación de la intervención"/>
    <s v="SGN5"/>
    <m/>
  </r>
  <r>
    <x v="0"/>
    <s v="1.2.3"/>
    <s v="Promoción de Sistemas de producción sostenibles"/>
    <s v="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Predios privados dedicados a la producción comercial (arroz) "/>
    <s v="Productores asistidos"/>
    <n v="2586.15"/>
    <n v="1448244"/>
    <n v="984.80592000000001"/>
    <m/>
    <m/>
    <s v="Incluido costo central"/>
    <s v="Exclusión de mujeres rurales en programas de asistencia técnica"/>
    <x v="3"/>
    <s v="GN"/>
    <x v="17"/>
    <s v="Establecimiento de cuotas de género"/>
    <s v="Antes de la implementación de la intervención"/>
    <s v="SGN3"/>
    <m/>
  </r>
  <r>
    <x v="1"/>
    <m/>
    <m/>
    <m/>
    <m/>
    <m/>
    <m/>
    <m/>
    <m/>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0"/>
    <s v="1.2.4"/>
    <s v="Reconversión y diversificación productiva "/>
    <s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Predios privados dedicados a la producción comercial (arroz) "/>
    <s v="Hectáreas reconvertidas"/>
    <n v="584.4"/>
    <n v="8766000"/>
    <n v="5960.88"/>
    <m/>
    <m/>
    <s v="Incluido costo central"/>
    <s v="Especies exóticas o invasoras en bosques colindante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7"/>
    <n v="9934.7999999999993"/>
    <s v="Evaluadores para trabajo de campo "/>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ultivos elegibles para reconversión no logran obtener los máximos beneficios en las zonas seleccionadas"/>
    <x v="5"/>
    <e v="#REF!"/>
    <x v="11"/>
    <s v="Evaluar la viabilidad de la reconversión de acuerdo a los cultivos seleccionados a fin de determinar la aptitud de la zona para el cultivo, considerando la variable de cambio climático. (Ejm. aumento de la temperatura que modifica la aptitud para el desarrollo del cultivo del café)"/>
    <s v="Antes de la implementación de la intervención"/>
    <s v="SVCC1"/>
    <s v="economista"/>
  </r>
  <r>
    <x v="0"/>
    <s v="1.2.5"/>
    <s v="Programa de acceso al financiamiento agropecuario condicionado"/>
    <s v="Promoción del acceso a financiamiento mediante convenios con entidades financieras regionales, nacionales e internacionales; así mismo El GRSM tiene en proceso de implementación el Fondo de Desa"/>
    <s v="Predios privados dedicados a la producción comercial (arroz) "/>
    <s v="Productores atendidos"/>
    <n v="1724.1"/>
    <n v="18534075"/>
    <n v="12603.171"/>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17241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m/>
    <m/>
    <s v="Incluido costo central"/>
    <s v="Especies exóticas o invasoras en bosques colindantes"/>
    <x v="0"/>
    <e v="#REF!"/>
    <x v="47"/>
    <s v="Escuelas de campo promueven la implementación de sistemas agroforestales con especies nativas"/>
    <s v="Durante la implementación de la intervención"/>
    <s v="SBRN8"/>
    <m/>
  </r>
  <r>
    <x v="1"/>
    <m/>
    <m/>
    <m/>
    <m/>
    <m/>
    <m/>
    <m/>
    <m/>
    <m/>
    <m/>
    <s v="Incluido costo central"/>
    <s v="Contaminación por residuos agropecuarios"/>
    <x v="6"/>
    <e v="#REF!"/>
    <x v="15"/>
    <s v="Control de residuos agropecuarios"/>
    <s v="Durante la implementación de la intervención"/>
    <s v="SCT2"/>
    <s v="ambiental"/>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s v="economista"/>
  </r>
  <r>
    <x v="0"/>
    <s v="1.2.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
    <s v="Predios privados dedicados a la producción comercial (arroz) "/>
    <s v="Organizaciones formalizadas y fortalecidas"/>
    <n v="3"/>
    <n v="1800000"/>
    <n v="1224"/>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0"/>
    <s v="1.2.7"/>
    <s v="Implementación de infraestructura productiva baja en emisiones"/>
    <s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Predios privados dedicados a la producción comercial (arroz) "/>
    <s v="Planes de negocios ejecutados"/>
    <n v="3"/>
    <n v="225000"/>
    <n v="153"/>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s v="SIG"/>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s v="abogado"/>
  </r>
  <r>
    <x v="0"/>
    <s v="1.3.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privados para ganadería de leche y carne"/>
    <s v="N° Títulos/Contratos otorgados"/>
    <n v="2930.1302662017852"/>
    <n v="5860260.5324035706"/>
    <n v="3984.9771620344281"/>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e v="#REF!"/>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a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0"/>
    <s v="1.3.2"/>
    <s v="Asistencia técnica para el mejoramiento de pastos y ganadería "/>
    <s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Predios privados para ganadería de leche y carne"/>
    <s v="Ganaderos asistidos"/>
    <n v="1425"/>
    <n v="798000"/>
    <n v="542.64"/>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0"/>
    <s v="1.3.4"/>
    <s v="Mejoramiento genético de ganado bovino"/>
    <s v=" Reactivación, implementación y gestión de las postas de inseminación artificial, material genético, capacitación y entrenamiento a inseminadores (certificar por competencia a través del SINEACE), transferencia de embriones a las granjas de los productores y asistencia técnica."/>
    <s v="Predios privados para ganadería de leche y carne"/>
    <s v="Postas activas y operativas"/>
    <n v="21"/>
    <n v="5754000"/>
    <n v="3912.7200000000003"/>
    <m/>
    <m/>
    <s v="Incluido costo central"/>
    <s v="Exclusión de mujeres rurales en programas de asistencia técnica"/>
    <x v="3"/>
    <s v="GN"/>
    <x v="17"/>
    <s v="Establecimiento de cuotas de género"/>
    <s v="Antes de la implementación de la intervención"/>
    <s v="SGN3"/>
    <m/>
  </r>
  <r>
    <x v="1"/>
    <m/>
    <m/>
    <m/>
    <m/>
    <m/>
    <m/>
    <m/>
    <m/>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0"/>
    <s v="1.3.5"/>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Predios privados para ganadería de leche y carne"/>
    <s v="Ganaderos atendidos"/>
    <n v="712.5"/>
    <n v="7659375"/>
    <n v="5208.375"/>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7125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s v="economista"/>
  </r>
  <r>
    <x v="1"/>
    <m/>
    <m/>
    <m/>
    <m/>
    <m/>
    <m/>
    <m/>
    <m/>
    <m/>
    <m/>
    <s v="Incluido costo central"/>
    <s v="Especies exóticas o invasoras en bosques colindantes"/>
    <x v="0"/>
    <e v="#REF!"/>
    <x v="47"/>
    <s v="Escuelas de campo promueven la implementación de sistemas agroforestales con especies nativas"/>
    <s v="Durante la implementación de la intervención"/>
    <s v="SBRN8"/>
    <m/>
  </r>
  <r>
    <x v="1"/>
    <m/>
    <m/>
    <m/>
    <m/>
    <m/>
    <m/>
    <m/>
    <m/>
    <m/>
    <m/>
    <s v="Incluido costo central"/>
    <s v="Contaminación por residuos agropecuarios"/>
    <x v="6"/>
    <e v="#REF!"/>
    <x v="15"/>
    <s v="Control de residuos agropecuarios"/>
    <s v="Durante la implementación de la intervención"/>
    <s v="SCT2"/>
    <s v="ambiental"/>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s v="economista /SIG"/>
  </r>
  <r>
    <x v="0"/>
    <s v="1.3.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Predios privados para ganadería de leche y carne"/>
    <s v="Organizaciones fortalecidas"/>
    <n v="10.8"/>
    <n v="6480000"/>
    <n v="4406.4000000000005"/>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0"/>
    <s v="1.3.7"/>
    <s v="Implementación de infraestructura productiva baja en emisiones"/>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Predios privados para ganadería de leche y carne"/>
    <s v="Planes de negocios implementados"/>
    <n v="20"/>
    <n v="16000000"/>
    <n v="10880"/>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m/>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0"/>
    <s v="1.5.1"/>
    <s v="Incentivos financieros par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Concesiones para conservación y ecoturismo "/>
    <s v="Planes de negocio"/>
    <n v="8.4"/>
    <n v="1260000"/>
    <n v="856.80000000000007"/>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s v="ambiental"/>
  </r>
  <r>
    <x v="1"/>
    <m/>
    <m/>
    <m/>
    <m/>
    <m/>
    <m/>
    <m/>
    <m/>
    <m/>
    <m/>
    <s v="Incluido costo central"/>
    <s v="Exclusión de mujeres rurales en los incentivos financieros "/>
    <x v="3"/>
    <s v="GN"/>
    <x v="49"/>
    <s v="Inclusión activa de mujeres rurales en actividades turisticas (guiado, servicios para turistas, producción de artesanías, entre otros). Se deberá incluirlas dentro de los programas de capacitación"/>
    <s v="Antes y durante la implementación de la intervención"/>
    <s v="SGN15"/>
    <m/>
  </r>
  <r>
    <x v="0"/>
    <s v="1.5.3"/>
    <s v="Promoción de Bionegocios con productos forestales no maderables "/>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Concesiones para conservación y ecoturismo "/>
    <s v="INNOVACIÓN"/>
    <s v="Planes de negocio"/>
    <n v="7"/>
    <n v="4.7600000000000003E-3"/>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s v="ambiental"/>
  </r>
  <r>
    <x v="1"/>
    <m/>
    <m/>
    <m/>
    <m/>
    <m/>
    <m/>
    <m/>
    <m/>
    <m/>
    <m/>
    <s v="Incluido costo central"/>
    <s v="Exclusión de mujeres rurales en programas de turismo comunitario"/>
    <x v="3"/>
    <s v="GN"/>
    <x v="49"/>
    <s v="Inclusión activa de mujeres rurales en actividades turisticas (guiado, servicios para turistas, producción de artesanías, entre otros). Se deberá incluirlas dentro de los programas de capacitación"/>
    <s v="Antes y durante la implementación de la intervención"/>
    <s v="SGN15"/>
    <m/>
  </r>
  <r>
    <x v="0"/>
    <s v="1.6.2"/>
    <s v="Incentivos financieros para manejo forestal sostenible"/>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Concesiones Forestales Maderables "/>
    <s v="Créditos otorgados"/>
    <n v="5"/>
    <n v="750000"/>
    <n v="510.00000000000006"/>
    <m/>
    <m/>
    <s v="Incluido costo central"/>
    <s v="Exclusión de mujeres rurales en programas de turismo comunitario"/>
    <x v="3"/>
    <s v="GN"/>
    <x v="50"/>
    <s v="Inclusión activa de mujeres rurales en actividades turisticas (guiado, servicios para turistas, producción de artesanías, entre otros). Se deberá incluirlas dentro de los programas de capacitación"/>
    <s v="Antes y durante la implementación de la intervención"/>
    <s v="SGN16"/>
    <m/>
  </r>
  <r>
    <x v="1"/>
    <m/>
    <m/>
    <m/>
    <m/>
    <m/>
    <m/>
    <m/>
    <m/>
    <m/>
    <m/>
    <s v="Incluido costo central"/>
    <s v="Procedimiento irregular para el otorgamiento de derechos"/>
    <x v="2"/>
    <e v="#REF!"/>
    <x v="5"/>
    <s v="Publicación obligatoria de expedientes digitales en plataforma virtual de catastro rural "/>
    <s v="Antes y durante la implementación de la intervención"/>
    <s v="SCR1"/>
    <m/>
  </r>
  <r>
    <x v="1"/>
    <m/>
    <m/>
    <m/>
    <m/>
    <m/>
    <m/>
    <m/>
    <m/>
    <m/>
    <m/>
    <s v="Incluido costo central"/>
    <s v="Conflictos sociales con los colindantes de la concesión"/>
    <x v="2"/>
    <e v="#REF!"/>
    <x v="51"/>
    <s v="Socializar con los colindantes al área otorgada en concesión, sobre los derechos y deberes del concesionario"/>
    <s v="Antes y durante la implementación de la intervención"/>
    <s v="SCR6"/>
    <m/>
  </r>
  <r>
    <x v="0"/>
    <s v="1.9.1"/>
    <s v="Adecuación de ZoCRE a unidad de ordenamiento forestal y/o titulo habilitante forestal y de fauna silvestre de acuerdo a LFFS (Ley No 29763)"/>
    <s v="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
    <s v="ZOCRES"/>
    <s v="Ha. con categoría territorial asignada"/>
    <n v="18538.030078107324"/>
    <n v="278070.45117160986"/>
    <n v="189.08790679669471"/>
    <m/>
    <m/>
    <s v="Incluido costo central"/>
    <s v="Superposición de las ZOCRES con otros derechos otorgados o que deben ser reconocidos"/>
    <x v="2"/>
    <e v="#REF!"/>
    <x v="5"/>
    <s v="Publicación obligatoria del proceso de adecuación de las ZOCRES"/>
    <s v="Antes de la implementación de la intervención"/>
    <s v="SCR1"/>
    <m/>
  </r>
  <r>
    <x v="1"/>
    <m/>
    <m/>
    <m/>
    <m/>
    <m/>
    <m/>
    <m/>
    <m/>
    <m/>
    <m/>
    <s v="Incluido costo central"/>
    <s v="Superposición de las ZOCRES con otros derechos otorgados o que deben ser reconocidos"/>
    <x v="2"/>
    <e v="#REF!"/>
    <x v="52"/>
    <s v="Análisis de los derechos otogados, para evaluar la superposición con las ZOCRES y evitar su desafectación"/>
    <s v="Antes y durante de la implementación de la intervención"/>
    <s v="SCR7"/>
    <s v="SIG "/>
  </r>
  <r>
    <x v="1"/>
    <m/>
    <m/>
    <m/>
    <m/>
    <m/>
    <m/>
    <m/>
    <m/>
    <m/>
    <m/>
    <s v="Incluido costo central"/>
    <s v="Superposición de futuras unidades de ordenamiento forestal con áreas solicitadas para la titulación de comunidades nativas "/>
    <x v="1"/>
    <s v="DPI"/>
    <x v="53"/>
    <s v="Evaluar, al momento de adecuar la ZOCRE  o  categorizar las tierras sin categorìa asignada a una  la unidad de ordenamiento forestal, si el área ha sido solicitada para fines de titulación de comunidades nativas"/>
    <s v="Antes de la implementación de la intervención"/>
    <s v="SDPI19"/>
    <m/>
  </r>
  <r>
    <x v="0"/>
    <s v="1.9.3"/>
    <s v="Elaboración del plan/declaración de manejo de las nuevas categorías de ordenamiento forestal y títulos habilitantes forestales"/>
    <s v="Dependiendo de la categoría forestal a ser aplicada, se realizará un plan/declaración acorde la unidad, en el marco de la ley forestal y fauna silvestre N° 29763."/>
    <s v="ZOCRES"/>
    <s v="N° Planes / Declaraciones elaborados"/>
    <n v="5"/>
    <n v="50000"/>
    <n v="34"/>
    <m/>
    <m/>
    <s v="Incluido costo central"/>
    <s v="Superposición de las ZOCRES con otros derechos otorgados o que deben ser reconocidos"/>
    <x v="2"/>
    <e v="#REF!"/>
    <x v="5"/>
    <s v="Publicación obligatoria del proceso de adecuación de las ZOCRES"/>
    <s v="Antes de la implementación de la intervención"/>
    <s v="SCR1"/>
    <m/>
  </r>
  <r>
    <x v="0"/>
    <s v="1.9.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ZOCRES"/>
    <s v="Ha. Inscritas"/>
    <n v="18538.030078107324"/>
    <n v="18538.030078107324"/>
    <n v="12.605860453112982"/>
    <m/>
    <m/>
    <s v="Incluido costo central"/>
    <s v="Superposición de las ZOCRES con otros derechos otorgados o que deben ser reconocidos"/>
    <x v="2"/>
    <e v="#REF!"/>
    <x v="5"/>
    <s v="Publicación obligatoria del proceso de adecuación de las ZOCRES"/>
    <s v="Antes de la implementación de la intervención"/>
    <s v="SCR1"/>
    <m/>
  </r>
  <r>
    <x v="0"/>
    <s v="1.10.1"/>
    <s v="Creación y establecimiento de unidades de ordenamiento forestal, otorgamiento de títulos habilitantes forestales y tenencia de la tierra"/>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Tierras sin categoría territorial asignada"/>
    <s v="Ha. con categoría territorial asignada"/>
    <n v="118822.71972889001"/>
    <n v="1782340.79593335"/>
    <n v="1211.9917412346781"/>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1"/>
    <m/>
    <m/>
    <m/>
    <m/>
    <m/>
    <m/>
    <m/>
    <m/>
    <m/>
    <m/>
    <s v="Incluido costo central"/>
    <s v="Superposición de futuras unidades de ordenamiento forestal con áreas solicitadas para la titulación de comunidades nativas "/>
    <x v="1"/>
    <s v="DPI"/>
    <x v="53"/>
    <s v="Evaluar, al momento de adecuar la ZOCRE  o  categorizar las tierras sin categorìa asignada a una  la unidad de ordenamiento forestal, si el área ha sido solicitada para fines de titulación de comunidades nativas"/>
    <s v="Antes de la implementación de la intervención"/>
    <s v="SDPI19"/>
    <m/>
  </r>
  <r>
    <x v="1"/>
    <m/>
    <m/>
    <m/>
    <m/>
    <m/>
    <m/>
    <m/>
    <m/>
    <m/>
    <m/>
    <s v="Incluido costo central"/>
    <s v="Otorgamiento inadecuado de títulos habilitantes que generan tráfico de tierras"/>
    <x v="4"/>
    <s v="PC"/>
    <x v="7"/>
    <s v="Análisis de solicitudes de titulación de predios rurales, para evaluar la existencia y superposición con áreas determinadas como patrimonio cultural y evitar su afectación"/>
    <s v="Antes de la implementación de la intervención"/>
    <s v="SPC1"/>
    <m/>
  </r>
  <r>
    <x v="0"/>
    <s v="1.9.3"/>
    <s v="Elaboración del plan/declaración de manejo de las nuevas categorías de ordenamiento forestal y títulos habilitantes forestales"/>
    <s v="Dependiendo de la categoría forestal a ser aplicada, se realizará un plan/declaración acorde la unidad, en el marco de la ley forestal y fauna silvestre N° 29763."/>
    <s v="ZOCRES"/>
    <s v="N° Planes / Declaraciones elaborados"/>
    <n v="5"/>
    <n v="50000"/>
    <n v="34"/>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0"/>
    <s v="1.9.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ZOCRES"/>
    <s v="Ha. Inscritas"/>
    <n v="18538.030078107324"/>
    <n v="18538.030078107324"/>
    <n v="12.605860453112982"/>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0"/>
    <s v="1.11.1"/>
    <s v="Acuerdos con rondas campesinas y rondas nativas para cumplimiento de compromisos de no deforestación y tráfico de tierras e invasiones"/>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Intervenciones Transversales x UDT"/>
    <s v="Acuerdos con rondas campesinas"/>
    <n v="25"/>
    <n v="312500"/>
    <n v="212.50000000000003"/>
    <m/>
    <m/>
    <s v="Incluido costo central"/>
    <s v="Exclusión de mujeres para el cumplimiento de compromisos de no deforestación y tráfico de tierras e invasiones"/>
    <x v="3"/>
    <s v="GN"/>
    <x v="17"/>
    <s v="Establecimiento de cuotas de género"/>
    <s v="Antes de la implementación de la intervención"/>
    <s v="SGN3"/>
    <m/>
  </r>
  <r>
    <x v="1"/>
    <m/>
    <m/>
    <m/>
    <m/>
    <m/>
    <m/>
    <m/>
    <m/>
    <m/>
    <m/>
    <s v="Incluido costo central"/>
    <s v="Exclusión de mujeres para el cumplimiento de compromisos de no deforestación y tráfico de tierras e invasiones"/>
    <x v="3"/>
    <s v="GN"/>
    <x v="43"/>
    <s v="Promover la participación de mujeres rurales para el cumplimiento de compromisos, considerando sus necesidades, inclusive formando las rondas campesinas y rondas nativas"/>
    <s v="Antes y durante la implementación de la intervención"/>
    <s v="SGN11"/>
    <m/>
  </r>
  <r>
    <x v="0"/>
    <s v="1.11.3"/>
    <s v="Mejoramiento de vías de acceso"/>
    <s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Intervenciones Transversales x UDT"/>
    <s v="Kilómetros mejorados"/>
    <n v="286.40000000000003"/>
    <n v="229120000.00000003"/>
    <n v="155801.60000000003"/>
    <m/>
    <m/>
    <s v="Incluido costo central"/>
    <s v="Deforestación de nuevas áreas por el mejoramiento de vías de acceso, sobre áreas adyacentes"/>
    <x v="0"/>
    <e v="#REF!"/>
    <x v="55"/>
    <s v="Acuerdos de conservación con la población local, cuyo objetivo es dar seguimiento al mejoramiento de las vías de acceso para que no genere nuevos focos de deforestación"/>
    <s v="Antes y durante la implementación de la intervención"/>
    <s v="SBRN9"/>
    <s v="abogado"/>
  </r>
  <r>
    <x v="0"/>
    <s v="1.11.5"/>
    <s v="Mejor cobertura y calidad de servicios de educación y salud"/>
    <s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
    <s v="Intervenciones Transversales x UDT"/>
    <s v="Centros educativos y postas médicas  implementados"/>
    <n v="10"/>
    <n v="35000000"/>
    <n v="23800"/>
    <m/>
    <m/>
    <s v="Incluido costo central"/>
    <s v="Exclusión de mujeres en el otorgamiento de servicios de educación y salud"/>
    <x v="3"/>
    <s v="GN"/>
    <x v="17"/>
    <s v="Establecimiento de cuotas de género"/>
    <s v="Antes de la implementación de la intervención"/>
    <s v="SGN3"/>
    <m/>
  </r>
  <r>
    <x v="0"/>
    <s v="1.11.6"/>
    <s v="Programa de servicios públicos móviles"/>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
    <s v="Intervenciones Transversales x UDT"/>
    <s v="N° campañas"/>
    <n v="140"/>
    <n v="3500000"/>
    <n v="2380"/>
    <m/>
    <m/>
    <s v="Incluido costo central"/>
    <s v="Exclusión de mujeres en el otorgamiento de servicios móviles"/>
    <x v="3"/>
    <s v="GN"/>
    <x v="17"/>
    <s v="Establecimiento de cuotas de género"/>
    <s v="Antes de la implementación de la intervención"/>
    <s v="SGN3"/>
    <m/>
  </r>
  <r>
    <x v="2"/>
    <s v="2.1.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de agricultura familiar con producción destinada al autoconsumo y productos de exportación, con título o sin título de propiedad."/>
    <s v="N° Títulos/Contratos otorgados"/>
    <n v="10205.319541312951"/>
    <n v="20410639.082625899"/>
    <n v="13879.234576185612"/>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s v="DPI"/>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á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de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2"/>
    <s v="2.1.2"/>
    <s v="Asistencia técnica con enfoque bajo en emisiones"/>
    <s v="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Predios de agricultura familiar con producción destinada al autoconsumo y productos de exportación, con título o sin título de propiedad."/>
    <s v="Productores asistidos"/>
    <n v="17718.599999999999"/>
    <n v="9922416"/>
    <n v="6747.2428800000007"/>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2"/>
    <s v="2.1.6"/>
    <s v="Reconversión y diversificación productiva "/>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Predios de agricultura familiar con producción destinada al autoconsumo y productos de exportación, con título o sin título de propiedad."/>
    <s v="Hectáreas reconvertidas/diversificadas"/>
    <n v="1318.7"/>
    <n v="19780500"/>
    <n v="13450.740000000002"/>
    <m/>
    <m/>
    <s v="Incluido costo central"/>
    <s v="Especies exóticas o invasoras en bosques colindante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7"/>
    <n v="22417.9"/>
    <s v=" Evaluadores para trabajo de campo "/>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ultivos elegibles para reconversión no logran obtener los máximos beneficios en las zonas seleccionadas"/>
    <x v="5"/>
    <e v="#REF!"/>
    <x v="11"/>
    <s v="Evaluar la viabilidad de la reconversión de acuerdo a los cultivos seleccionados a fin de determinar la aptitud de la zona para el cultivo, considerando la variable de cambio climático. (Ejm. aumento de la temperatura que modifica la aptitud para el desarrollo del cultivo del café)"/>
    <s v="Antes de la implementación de la intervención"/>
    <s v="SVCC1"/>
    <m/>
  </r>
  <r>
    <x v="2"/>
    <s v="2.1.7"/>
    <s v="Promoción de agricultura familiar con enfoque de mercado"/>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Predios de agricultura familiar con producción destinada al autoconsumo y productos de exportación, con título o sin título de propiedad."/>
    <s v="Productores beneficiados"/>
    <n v="2953.1000000000004"/>
    <n v="38094990.000000007"/>
    <n v="25904.593200000007"/>
    <m/>
    <m/>
    <s v="Incluido costo central"/>
    <s v="Exclusión de mujeres rurales en programas de agricultura familiar"/>
    <x v="3"/>
    <s v="GN"/>
    <x v="8"/>
    <s v="Diseño de programas de asistencia técnica especificos para mujeres rurales considerando sus necesidades de aprendizaje y metodologías apropiadas "/>
    <s v="Antes de la implementación de la intervención"/>
    <s v="SGN2"/>
    <m/>
  </r>
  <r>
    <x v="2"/>
    <s v="2.1.8"/>
    <s v="Asistencia técnica para el desarrollo de la acuicultura"/>
    <s v="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Predios de agricultura familiar con producción destinada al autoconsumo y productos de exportación, con título o sin título de propiedad."/>
    <s v="Acuicultores asistidos"/>
    <n v="324"/>
    <n v="181440"/>
    <n v="123.37920000000001"/>
    <m/>
    <m/>
    <s v="Incluido costo central"/>
    <s v="Deforestación para habilitación de áreas para proyectos de acuicultura"/>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m/>
    <m/>
    <s v="Incluido costo central"/>
    <s v="Actividad acuícola no se desarrolla de manera óptima"/>
    <x v="5"/>
    <e v="#REF!"/>
    <x v="13"/>
    <s v="El plan de trabajo debe considerar un análisis de rentabilidad de la actividad acuícola en las zonas donde se va a implementar, con énfasis en la variable de cambio climático."/>
    <s v="Antes de la implementación de la intervención"/>
    <s v="SVCC2"/>
    <m/>
  </r>
  <r>
    <x v="2"/>
    <s v="2.1.9"/>
    <s v="Incentivos financieros para la acuicultura "/>
    <s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Predios de agricultura familiar con producción destinada al autoconsumo y productos de exportación, con título o sin título de propiedad."/>
    <s v="Créditos otorgados"/>
    <n v="324"/>
    <n v="4179600"/>
    <n v="2842.1280000000002"/>
    <m/>
    <m/>
    <s v="Incluido costo central"/>
    <s v="Deforestación para habilitación de áreas para proyectos de acuicultura"/>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m/>
    <m/>
    <s v="Incluido costo central"/>
    <s v="Actividad acuícola no se desarrolla de manera óptima"/>
    <x v="5"/>
    <e v="#REF!"/>
    <x v="13"/>
    <s v="El plan de trabajo debe considerar un análisis de rentabilidad de la actividad acuícola en las zonas donde se va a implementar, con énfasis en la variable de cambio climático."/>
    <s v="Antes de la implementación de la intervención"/>
    <s v="SVCC2"/>
    <m/>
  </r>
  <r>
    <x v="2"/>
    <s v="2.1.10"/>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Predios de agricultura familiar con producción destinada al autoconsumo y productos de exportación, con título o sin título de propiedad."/>
    <s v="Créditos otorgados"/>
    <n v="8859.2999999999993"/>
    <n v="95237474.999999985"/>
    <n v="64761.482999999993"/>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885929.99999999988"/>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n v="17"/>
    <n v="150608.09999999998"/>
    <s v=" Evaluadores para trabajo de campo "/>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ontaminación por residuos agropecuarios"/>
    <x v="6"/>
    <e v="#REF!"/>
    <x v="15"/>
    <s v="Control de residuos agropecuarios"/>
    <s v="Durante la implementación de la intervención"/>
    <s v="SCT2"/>
    <m/>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m/>
  </r>
  <r>
    <x v="2"/>
    <s v="2.1.11"/>
    <s v="Implementación de infraestructura productiva con énfasis a la agro exportación "/>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Predios de agricultura familiar con producción destinada al autoconsumo y productos de exportación, con título o sin título de propiedad."/>
    <s v="Planes de negocios/proyectos ejecutados"/>
    <n v="18.8"/>
    <n v="15040000"/>
    <n v="10227.200000000001"/>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m/>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2"/>
    <s v="2.4.1"/>
    <s v="Solución de conflictos en las CCNN"/>
    <s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_x000a_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
    <s v="Territorios de comunidades nativas"/>
    <s v="Porcentaje de conflictos resueltos"/>
    <n v="14"/>
    <n v="2100000"/>
    <n v="1428"/>
    <m/>
    <m/>
    <s v="Incluido costo central"/>
    <s v="Conflictos sociales por superposición con predios individuales"/>
    <x v="1"/>
    <s v="DPI"/>
    <x v="21"/>
    <s v="Asistencia técnica en la mediación de conflictos con otras partes durante proceo de titulación"/>
    <s v="Durante la implementación de la intervención"/>
    <s v="SDPI3"/>
    <m/>
  </r>
  <r>
    <x v="1"/>
    <m/>
    <m/>
    <m/>
    <m/>
    <m/>
    <m/>
    <m/>
    <m/>
    <m/>
    <m/>
    <s v="Incluido costo central"/>
    <s v="Problemas de comunicación"/>
    <x v="1"/>
    <s v="DPI"/>
    <x v="56"/>
    <s v="Participación de intérpretes designados por las comunidades nativas"/>
    <s v="Durante la implementación de la intervención"/>
    <s v="SDPI15"/>
    <m/>
  </r>
  <r>
    <x v="1"/>
    <m/>
    <m/>
    <m/>
    <m/>
    <m/>
    <m/>
    <m/>
    <m/>
    <m/>
    <m/>
    <s v="Incluido costo central"/>
    <s v="Exclusión de mujeres en la resolución de conflictos"/>
    <x v="3"/>
    <s v="GN"/>
    <x v="34"/>
    <s v="Establecimiento de cuotas de género para solucionar los conflictos"/>
    <s v="Durante la implementación de la intervención"/>
    <s v="SGN8"/>
    <m/>
  </r>
  <r>
    <x v="2"/>
    <s v="2.4.2"/>
    <s v="Asistencia técnica para el manejo agroforestal "/>
    <s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Territorios de comunidades nativas"/>
    <s v="Productor asistido"/>
    <n v="900"/>
    <n v="504000"/>
    <n v="342.72"/>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Exclusión de mujeres rurales indígenas en programas de asistencia técnica"/>
    <x v="3"/>
    <s v="GN"/>
    <x v="30"/>
    <s v="Diseño de programas de asistencia técnica y capacitación especificos para mujeres rurales indigenas considerando sus necesidades de aprendizaje y metodologías apropiadas "/>
    <s v="Antes de la implementación de la intervención"/>
    <s v="SGN7"/>
    <m/>
  </r>
  <r>
    <x v="2"/>
    <s v="2.4.3"/>
    <s v="Promoción de Bionegocios con productos forestales no maderables "/>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Territorios de comunidades nativas"/>
    <s v="Planes de negocio"/>
    <n v="45"/>
    <n v="675000"/>
    <n v="459.00000000000006"/>
    <m/>
    <m/>
    <s v="Incluido costo central"/>
    <s v="Biopiratería de recursos genéticos y recursos biológicos en tierras de comunidades nativas"/>
    <x v="1"/>
    <s v="DPI"/>
    <x v="31"/>
    <s v="Capacitación y acompañamiento a comunidades nativas para la negociación de bionegocios"/>
    <s v="Antes de la implementación de la intervención"/>
    <s v="SDPI10"/>
    <m/>
  </r>
  <r>
    <x v="1"/>
    <m/>
    <m/>
    <m/>
    <m/>
    <m/>
    <m/>
    <m/>
    <m/>
    <n v="150"/>
    <n v="6750"/>
    <s v="Reuniones"/>
    <s v="Demora en trámites administrativos no contemplan condiciones vinculadas a los pueblos indígenas"/>
    <x v="1"/>
    <s v="DPI"/>
    <x v="32"/>
    <s v="Simplificación de trámites administrativos para el aprovechamiento sostenible de los recursos forestales no maderables y de fauna silvestre considerando enfoque intercultural"/>
    <s v="Antes de la implementación de la intervención"/>
    <s v="SDPI11"/>
    <m/>
  </r>
  <r>
    <x v="1"/>
    <m/>
    <m/>
    <m/>
    <m/>
    <m/>
    <m/>
    <m/>
    <m/>
    <m/>
    <m/>
    <s v="Incluido costo central"/>
    <s v="Apropiación ilícita de conocimientos tradicionales"/>
    <x v="1"/>
    <s v="DPI"/>
    <x v="33"/>
    <s v="Sistematización de conocimientos tradicionales y registro en INDECOPI"/>
    <s v="Antes y durante la implementación de la intervención"/>
    <s v="SDPI12"/>
    <m/>
  </r>
  <r>
    <x v="1"/>
    <m/>
    <m/>
    <m/>
    <m/>
    <m/>
    <m/>
    <m/>
    <m/>
    <m/>
    <m/>
    <s v="Incluido costo central"/>
    <s v="Exclusión de mujeres indígenas en programa de biocomercio"/>
    <x v="3"/>
    <s v="GN"/>
    <x v="34"/>
    <s v="Establecimiento de cuotas de género"/>
    <s v="Antes de la implementación de la intervención"/>
    <s v="SGN8"/>
    <m/>
  </r>
  <r>
    <x v="1"/>
    <m/>
    <m/>
    <m/>
    <m/>
    <m/>
    <m/>
    <m/>
    <m/>
    <m/>
    <m/>
    <s v="Incluido costo central"/>
    <s v="Exclusión de mujeres indígenas en programa de biocomercio"/>
    <x v="3"/>
    <s v="GN"/>
    <x v="35"/>
    <s v="Diseño de programas de biocomercio de emprendimientos de mujeres indigenas"/>
    <s v="Antes y durante la implementación de la intervención"/>
    <s v="SGN9"/>
    <m/>
  </r>
  <r>
    <x v="2"/>
    <s v="2.4.4"/>
    <s v="Fortalecimiento de capacidades"/>
    <s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Territorios de comunidades nativas"/>
    <s v="Comunidades fortalecidas"/>
    <n v="15"/>
    <n v="10800000"/>
    <n v="7344.0000000000009"/>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Exclusión de mujeres rurales indígenas en programas de capacitación"/>
    <x v="3"/>
    <s v="GN"/>
    <x v="30"/>
    <s v="Diseño de programas de asistencia técnica y capacitación especificos para mujeres rurales indigenas considerando sus necesidades de aprendizaje y metodologías apropiadas "/>
    <s v="Antes de la implementación de la intervención"/>
    <s v="SGN7"/>
    <m/>
  </r>
  <r>
    <x v="2"/>
    <s v="2.4.5"/>
    <s v="Identificación y apertura de mercado para productos del bosque."/>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Territorios de comunidades nativas"/>
    <s v="Especialistas"/>
    <n v="2"/>
    <n v="420000"/>
    <n v="285.60000000000002"/>
    <m/>
    <m/>
    <s v="Incluido costo central"/>
    <s v="Biopiratería de recursos genéticos y recursos biológicos en tierras de comunidades nativas"/>
    <x v="1"/>
    <s v="DPI"/>
    <x v="31"/>
    <s v="Capacitación y acompañamiento a comunidades nativas para la negociación de bionegocios"/>
    <s v="Antes de la implementación de la intervención"/>
    <s v="SDPI10"/>
    <m/>
  </r>
  <r>
    <x v="1"/>
    <m/>
    <m/>
    <m/>
    <m/>
    <m/>
    <m/>
    <m/>
    <m/>
    <m/>
    <m/>
    <s v="Incluido costo central"/>
    <s v="Apropiación ilícita de conocimientos tradicionales"/>
    <x v="1"/>
    <s v="DPI"/>
    <x v="33"/>
    <s v="Sistematización de conocimientos tradicionales y registro en INDECOPI"/>
    <s v="Antes y durante la implementación de la intervención"/>
    <s v="SDPI12"/>
    <m/>
  </r>
  <r>
    <x v="2"/>
    <s v="2.4.6"/>
    <s v="Transferencias de incentivos por conservación de bosques"/>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Territorios de comunidades nativas"/>
    <s v="Comunidades atendidas"/>
    <n v="9"/>
    <n v="225000"/>
    <n v="153"/>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Apropiación ilícita de los recursos de las transferencias directas condicionadas y adquisiciones inadecuadas"/>
    <x v="1"/>
    <s v="DPI"/>
    <x v="36"/>
    <s v="Fortalecimiento independiente administrativo y técnico de CODEPISAM para poder ejecutar proyectos directamente. Generación de mecanismos de gobernanza y rendición de cuentas"/>
    <s v="Antes y durante la implementación de la intervención"/>
    <s v="SDPI14"/>
    <m/>
  </r>
  <r>
    <x v="1"/>
    <m/>
    <m/>
    <m/>
    <m/>
    <m/>
    <m/>
    <m/>
    <m/>
    <m/>
    <m/>
    <s v="Incluido costo central"/>
    <s v="Apropiación ilícita de los recursos de las transferencias directas condicionadas y adquisiciones inadecuadas"/>
    <x v="2"/>
    <e v="#REF!"/>
    <x v="37"/>
    <s v="Implementación de procedimientos competitivos para adquisiciones y publicación de convocatoria y resultados de adquisiciones"/>
    <s v="Antes y durante la implementación de la intervención"/>
    <s v="SCR3"/>
    <m/>
  </r>
  <r>
    <x v="2"/>
    <s v="2.4.8"/>
    <s v="Servicios básicos de calidad"/>
    <s v="Implementación de proyectos enfocados a mejorar los servicios básicos de las comunidades nativas, dichos servicios deberán contar con profesionales bilingües, para asegurar y garantizar la adecuada transferencia de dichos servicios.  "/>
    <s v="Territorios de comunidades nativas"/>
    <s v="Escuelas y postas médicas implementadas"/>
    <n v="8"/>
    <n v="2000000"/>
    <n v="1360"/>
    <m/>
    <m/>
    <s v="Incluido costo central"/>
    <s v="Programas de servicios básicos de salud y educación diseñados sin enfoque intercultural"/>
    <x v="1"/>
    <s v="DPI"/>
    <x v="38"/>
    <s v="Diseñar programas de servicios basicos de salud y educación considerando un enfoque intercultural,  sus necesidades y medios apropiados para garantizar su acceso oportuno"/>
    <s v="Antes de la implementación de la intervención"/>
    <s v="SDPI8"/>
    <m/>
  </r>
  <r>
    <x v="1"/>
    <m/>
    <m/>
    <m/>
    <m/>
    <m/>
    <m/>
    <m/>
    <m/>
    <m/>
    <m/>
    <s v="Incluido costo central"/>
    <s v="Exclusión de servicios básicos a mujeres indígenas"/>
    <x v="3"/>
    <s v="GN"/>
    <x v="39"/>
    <s v="Diseñar programas de servicios basicos de salud y educación considerando el rol de la mujer en la comunidad,  sus necesidades y medios apropiados para garantizar su acceso oportuno. Considera elaboración de lineamientos"/>
    <s v="Antes de la implementación de la intervención"/>
    <s v="SGN10"/>
    <m/>
  </r>
  <r>
    <x v="1"/>
    <m/>
    <m/>
    <m/>
    <m/>
    <m/>
    <m/>
    <m/>
    <m/>
    <m/>
    <m/>
    <s v="Incluido costo central"/>
    <s v="Restricción de disponibilidad y acceso a servicios básicos"/>
    <x v="7"/>
    <s v="DH"/>
    <x v="40"/>
    <s v="Acceso justo y equitativo de la población a los beneficios sociales de calidad, de forma justa y equitativa"/>
    <s v="Antes y durante la implementación de la intervención"/>
    <s v="SDH1"/>
    <m/>
  </r>
  <r>
    <x v="2"/>
    <s v="2.6.1"/>
    <s v="Fortalecer el control y vigilancia"/>
    <s v="Implementar con recursos necesarios al ente que administra el área, con la finalidad de aumentar el número de personas (guardaparques) que contribuyan a realizar acciones de control y vigilancia."/>
    <s v="Bosque de Protección Alto Mayo"/>
    <s v="Número de guardaparques"/>
    <n v="10"/>
    <n v="1200000"/>
    <n v="816.00000000000011"/>
    <m/>
    <m/>
    <s v="Incluido costo central"/>
    <s v="Cohecho en el control y vigilancia de recursos naturales"/>
    <x v="2"/>
    <e v="#REF!"/>
    <x v="41"/>
    <s v="Implementación de sistema de denuncias en linea, transparencia en procesos de control (por ejemplo uso de cámaras en intervenciones), transparencia en registros de aprovechamiento"/>
    <s v="Antes y durante la implementación de la intervención"/>
    <s v="SCR4"/>
    <m/>
  </r>
  <r>
    <x v="1"/>
    <m/>
    <m/>
    <m/>
    <m/>
    <m/>
    <m/>
    <m/>
    <m/>
    <m/>
    <m/>
    <s v="Incluido costo central"/>
    <s v="Cohecho en el control y vigilancia de recursos naturales"/>
    <x v="2"/>
    <e v="#REF!"/>
    <x v="42"/>
    <s v="Capacitación e involucramiento de población local en actividades de control y vigilancia "/>
    <s v="Antes y durante la implementación de la intervención"/>
    <s v="SCR5"/>
    <m/>
  </r>
  <r>
    <x v="1"/>
    <m/>
    <m/>
    <m/>
    <m/>
    <m/>
    <m/>
    <m/>
    <m/>
    <m/>
    <m/>
    <s v="Incluido costo central"/>
    <s v="Adquisición inadecuada de recursos para el control y vigilancia"/>
    <x v="2"/>
    <e v="#REF!"/>
    <x v="37"/>
    <s v="Implementación de procedimientos competitivos para adquisiciones y publicación de convocatoria y resultados de adquisiciones"/>
    <s v="Antes y durante la implementación de la intervención"/>
    <s v="SCR3"/>
    <m/>
  </r>
  <r>
    <x v="1"/>
    <m/>
    <m/>
    <m/>
    <m/>
    <m/>
    <m/>
    <m/>
    <m/>
    <m/>
    <m/>
    <s v="Incluido costo central"/>
    <s v="Exclusión de mujeres rurales en iniciativas de control y vigilancia"/>
    <x v="3"/>
    <s v="GN"/>
    <x v="43"/>
    <s v="Diseño de programa para promover la participación de mujeres rurales en sistema de control y vigilancia "/>
    <s v="Antes de la implementación de la intervención"/>
    <s v="SGN11"/>
    <m/>
  </r>
  <r>
    <x v="2"/>
    <s v="2.6.3"/>
    <s v="Promover acuerdos de conservación con cadena de valor para aquellos productos sostenibles con el ANP"/>
    <s v="Promover la planificación comunal en centros poblados del interior en base a la zonificación y zona de amortiguamiento teniendo como base al Plan Maestro (incluye acuerdos de conservación)"/>
    <s v="Bosque de Protección Alto Mayo"/>
    <s v="Planes de gestión comunal"/>
    <n v="24"/>
    <n v="240000"/>
    <n v="163.20000000000002"/>
    <m/>
    <m/>
    <s v="Incluido costo central"/>
    <s v="No se considera la opinión de las mujeres rurales en proceso de planificación comunal de centros poblados y desarrollo de acuerdos de conservación en ANP y su zona de amortiguamiento"/>
    <x v="3"/>
    <s v="GN"/>
    <x v="39"/>
    <s v="Diseñar programas de servicios basicos de salud y educación considerando el rol de la mujer en la comunidad,  sus necesidades y medios apropiados para garantizar su acceso oportuno. Considera elaboración de lineamientos"/>
    <s v="Antes de la implementación de la intervención"/>
    <s v="SGN10"/>
    <m/>
  </r>
  <r>
    <x v="1"/>
    <m/>
    <m/>
    <m/>
    <m/>
    <m/>
    <m/>
    <m/>
    <m/>
    <m/>
    <m/>
    <s v="Incluido costo central"/>
    <s v="No se considera la opinión de las mujeres rurales en proceso de planificación comunal de centros poblados y desarrollo de acuerdos de conservación en ANP y su zona de amortiguamiento"/>
    <x v="3"/>
    <s v="GN"/>
    <x v="44"/>
    <s v="Diseño de mecanismos adecuados de participación para mujeres rurales "/>
    <s v="Antes de la implementación de la intervención"/>
    <s v="SGN12"/>
    <m/>
  </r>
  <r>
    <x v="2"/>
    <s v="2.6.4"/>
    <s v="Promoción del turismo comunitario en zona de amortiguamiento y al interior del ANP"/>
    <s v="Campañas de promoción y difusión en el ámbito regional y nacional de los circuitos turísticos que existen en la zona de amortiguamiento. acorde al plan maestro del BPAM.  https://es.scribd.com/document/74386745/PLAN-DE-USO-TURISTICO-BPAM"/>
    <s v="Bosque de Protección Alto Mayo"/>
    <s v="Campañas de promoción"/>
    <n v="20"/>
    <n v="400000"/>
    <n v="272"/>
    <m/>
    <m/>
    <s v="Incluido costo central"/>
    <s v="Impacto negativo sobre la biodiversidad por infraestructura o visitantes"/>
    <x v="0"/>
    <e v="#REF!"/>
    <x v="45"/>
    <s v="Análisis del impacto y establecimiento de buenas prácticas para evitar la afectación sobre la biodiversidad "/>
    <s v="Antes y durante la implementación de la intervención"/>
    <s v="SBRN7"/>
    <m/>
  </r>
  <r>
    <x v="1"/>
    <m/>
    <m/>
    <m/>
    <m/>
    <m/>
    <m/>
    <m/>
    <m/>
    <m/>
    <m/>
    <s v="Incluido costo central"/>
    <s v="Exclusión de mujeres rurales en programas de turismo comunitario"/>
    <x v="3"/>
    <s v="GN"/>
    <x v="46"/>
    <s v="Inclusión activa de mujeres rurales en actividades turisticas (guiado, servicios para turistas, producción de artesanías, entre otros). Se deberá incluirlas dentro de los programas de capacitación"/>
    <s v="Antes y durante la implementación de la intervención"/>
    <s v="SGN13"/>
    <m/>
  </r>
  <r>
    <x v="2"/>
    <s v="2.6.5"/>
    <s v="Promoción de agroforestería sostenible en zona de amortiguamiento y al interior del BPAM"/>
    <s v="Realizar pasantías focalizadas en aquellos sectores claves que se necesita intervenir para disminuir la presión al ANP."/>
    <s v="Bosque de Protección Alto Mayo"/>
    <s v="Pasantías"/>
    <n v="16"/>
    <n v="200000"/>
    <n v="136"/>
    <m/>
    <m/>
    <s v="Incluido costo central"/>
    <s v="Exclusión de mujeres en las pasantías "/>
    <x v="3"/>
    <s v="GN"/>
    <x v="17"/>
    <s v="Establecimiento de cuotas de género"/>
    <s v="Antes de la implementación de la intervención"/>
    <s v="SGN3"/>
    <m/>
  </r>
  <r>
    <x v="2"/>
    <s v="2.6.6"/>
    <s v="Asistencia técnica para el desarrollo agroforestal diseñados e implementados junto a SERNANP"/>
    <s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Bosque de Protección Alto Mayo"/>
    <s v="Especialistas"/>
    <n v="3"/>
    <n v="630000"/>
    <n v="428.40000000000003"/>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Exclusión de mujeres rurales indígenas en programas de asistencia técnica"/>
    <x v="3"/>
    <s v="GN"/>
    <x v="30"/>
    <s v="Diseño de programas de asistencia técnica y capacitación especificos para mujeres rurales indigenas considerando sus necesidades de aprendizaje y metodologías apropiadas "/>
    <s v="Antes de la implementación de la intervención"/>
    <s v="SGN7"/>
    <m/>
  </r>
  <r>
    <x v="1"/>
    <m/>
    <m/>
    <m/>
    <m/>
    <m/>
    <m/>
    <m/>
    <m/>
    <m/>
    <m/>
    <s v="Incluido costo central"/>
    <s v="Exclusión de mujeres indígenas en programa de biocomercio"/>
    <x v="3"/>
    <s v="GN"/>
    <x v="57"/>
    <s v="Establecimiento de cuotas de género"/>
    <s v="Antes de la implementación de la intervención"/>
    <s v="SGN8"/>
    <m/>
  </r>
  <r>
    <x v="2"/>
    <s v="2.6.7"/>
    <s v="Incentivos financieros par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Bosque de Protección Alto Mayo"/>
    <s v="Planes de negocios"/>
    <n v="50"/>
    <n v="5000000"/>
    <n v="3400.0000000000005"/>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m/>
  </r>
  <r>
    <x v="1"/>
    <m/>
    <m/>
    <m/>
    <m/>
    <m/>
    <m/>
    <m/>
    <m/>
    <m/>
    <m/>
    <s v="Incluido costo central"/>
    <s v="Exclusión de mujeres rurales en los incentivos financieros "/>
    <x v="3"/>
    <s v="GN"/>
    <x v="46"/>
    <s v="Inclusión activa de mujeres rurales en actividades turisticas (guiado, servicios para turistas, producción de artesanías, entre otros). Se deberá incluirlas dentro de los programas de capacitación"/>
    <s v="Antes y durante la implementación de la intervención"/>
    <s v="SGN13"/>
    <m/>
  </r>
  <r>
    <x v="2"/>
    <s v="2.2.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privados dedicados a la producción comercial (arroz) "/>
    <s v="N° Títulos/Contratos otorgados"/>
    <n v="632.90668077586997"/>
    <n v="1265813.36155174"/>
    <n v="860.75308585518326"/>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e v="#REF!"/>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a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de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2"/>
    <s v="2.2.2"/>
    <s v="Promoción y desarrollo de proveedores de semillas mejoradas"/>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Predios privados dedicados a la producción comercial (arroz) "/>
    <s v="Unidades semilleristas"/>
    <n v="5"/>
    <n v="75000"/>
    <n v="51.000000000000007"/>
    <m/>
    <m/>
    <s v="Incluido costo central"/>
    <s v="Exclusión de mujeres productoras del desarrollo de proveedores de semillas mejoradas"/>
    <x v="3"/>
    <s v="GN"/>
    <x v="17"/>
    <s v="Establecimiento de cuotas de género"/>
    <s v="Antes de la implementación de la intervención"/>
    <s v="SGN3"/>
    <m/>
  </r>
  <r>
    <x v="1"/>
    <m/>
    <m/>
    <m/>
    <m/>
    <m/>
    <m/>
    <m/>
    <m/>
    <m/>
    <m/>
    <s v="Incluido costo central"/>
    <s v="Exclusión de mujeres productoras del desarrollo de proveedores de semillas mejoradas"/>
    <x v="3"/>
    <s v="GN"/>
    <x v="19"/>
    <s v="Diseño de programas de desarrollo de proceedores de semillas mejoradas"/>
    <s v="Antes de la implementación de la intervención"/>
    <s v="SGN5"/>
    <m/>
  </r>
  <r>
    <x v="2"/>
    <s v="2.2.3"/>
    <s v="Promoción de Sistemas de producción sostenibles"/>
    <s v="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Predios privados dedicados a la producción comercial (arroz) "/>
    <s v="Productores asistidos"/>
    <n v="1870.5"/>
    <n v="1047480"/>
    <n v="712.28640000000007"/>
    <m/>
    <m/>
    <s v="Incluido costo central"/>
    <s v="Exclusión de mujeres rurales en programas de asistencia técnica"/>
    <x v="3"/>
    <s v="GN"/>
    <x v="17"/>
    <s v="Establecimiento de cuotas de género"/>
    <s v="Antes de la implementación de la intervención"/>
    <s v="SGN3"/>
    <m/>
  </r>
  <r>
    <x v="1"/>
    <m/>
    <m/>
    <m/>
    <m/>
    <m/>
    <m/>
    <m/>
    <m/>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2"/>
    <s v="2.2.4"/>
    <s v="Reconversión y diversificación productiva "/>
    <s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Predios privados dedicados a la producción comercial (arroz) "/>
    <s v="Hectáreas reconvertidas"/>
    <n v="380.42000000000007"/>
    <n v="5706300.0000000009"/>
    <n v="3880.284000000001"/>
    <n v="17"/>
    <n v="6467.1400000000012"/>
    <s v=" Evaluadores para trabajo de campo "/>
    <s v="Especies exóticas o invasoras en bosques colindante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m/>
    <m/>
    <s v="Incluido costo central"/>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ultivos elegibles para reconversión no logran obtener los máximos beneficios en las zonas seleccionadas"/>
    <x v="5"/>
    <e v="#REF!"/>
    <x v="11"/>
    <s v="Evaluar la viabilidad de la reconversión de acuerdo a los cultivos seleccionados a fin de determinar la aptitud de la zona para el cultivo, considerando la variable de cambio climático. (Ejm. aumento de la temperatura que modifica la aptitud para el desarrollo del cultivo del café)"/>
    <s v="Antes de la implementación de la intervención"/>
    <s v="SVCC1"/>
    <m/>
  </r>
  <r>
    <x v="2"/>
    <s v="2.2.5"/>
    <s v="Programa de acceso al financiamiento agropecuario condicionado"/>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Predios privados dedicados a la producción comercial (arroz) "/>
    <s v="Productores atendidos"/>
    <n v="1122.3"/>
    <n v="12064725"/>
    <n v="8204.0130000000008"/>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11223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m/>
    <m/>
    <s v="Incluido costo central"/>
    <s v="Especies exóticas o invasoras en bosques colindantes"/>
    <x v="0"/>
    <e v="#REF!"/>
    <x v="47"/>
    <s v="Escuelas de campo promueven la implementación de sistemas agroforestales con especies nativas"/>
    <s v="Durante la implementación de la intervención"/>
    <s v="SBRN8"/>
    <m/>
  </r>
  <r>
    <x v="1"/>
    <m/>
    <m/>
    <m/>
    <m/>
    <m/>
    <m/>
    <m/>
    <m/>
    <m/>
    <m/>
    <s v="Incluido costo central"/>
    <s v="Contaminación por residuos agropecuarios"/>
    <x v="6"/>
    <e v="#REF!"/>
    <x v="15"/>
    <s v="Control de residuos agropecuarios"/>
    <s v="Durante la implementación de la intervención"/>
    <s v="SCT2"/>
    <m/>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m/>
  </r>
  <r>
    <x v="2"/>
    <s v="2.2.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Predios privados dedicados a la producción comercial (arroz) "/>
    <s v="Organizaciones formalizadas y fortalecidas"/>
    <n v="5"/>
    <n v="3000000"/>
    <n v="2040.0000000000002"/>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2"/>
    <s v="2.2.7"/>
    <s v="Implementación de infraestructura productiva baja en emisiones"/>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Predios privados dedicados a la producción comercial (arroz) "/>
    <s v="Planes de negocios ejecutados"/>
    <n v="5"/>
    <n v="375000"/>
    <n v="255.00000000000003"/>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m/>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2"/>
    <s v="2.3.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privados para ganadería de leche y carne"/>
    <s v="N° Títulos/Contratos otorgados"/>
    <n v="438.92429634718349"/>
    <n v="877848.59269436693"/>
    <n v="596.93704303216953"/>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e v="#REF!"/>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a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2"/>
    <s v="2.3.2"/>
    <s v="Asistencia técnica para el mejoramiento de pastos y ganadería "/>
    <s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Predios privados para ganadería de leche y carne"/>
    <s v="Ganaderos asistidos"/>
    <n v="1424"/>
    <n v="797440"/>
    <n v="542.25920000000008"/>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2"/>
    <s v="2.3.4"/>
    <s v="Mejoramiento genético de ganado bovino"/>
    <s v="Reactivación, implementación y gestión de las postas de inseminación artificial, importación de material genético (pajillas de semen), capacitación y entrenamiento a inseminadores, transferencia de embriones a las granjas de los productores y asistencia técnica."/>
    <s v="Predios privados para ganadería de leche y carne"/>
    <s v="Postas activas y operativas"/>
    <n v="5"/>
    <n v="1370000"/>
    <n v="931.6"/>
    <m/>
    <m/>
    <s v="Incluido costo central"/>
    <s v="Exclusión de mujeres rurales en programas de asistencia técnica"/>
    <x v="3"/>
    <s v="GN"/>
    <x v="17"/>
    <s v="Establecimiento de cuotas de género"/>
    <s v="Antes de la implementación de la intervención"/>
    <s v="SGN3"/>
    <m/>
  </r>
  <r>
    <x v="1"/>
    <m/>
    <m/>
    <m/>
    <m/>
    <m/>
    <m/>
    <m/>
    <m/>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2"/>
    <s v="2.3.5"/>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Predios privados para ganadería de leche y carne"/>
    <s v="Ganaderos atendidos"/>
    <n v="427.2"/>
    <n v="4592400"/>
    <n v="3122.8320000000003"/>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4272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m/>
    <m/>
    <s v="Incluido costo central"/>
    <s v="Especies exóticas o invasoras en bosques colindantes"/>
    <x v="0"/>
    <e v="#REF!"/>
    <x v="47"/>
    <s v="Escuelas de campo promueven la implementación de sistemas agroforestales con especies nativas"/>
    <s v="Durante la implementación de la intervención"/>
    <s v="SBRN8"/>
    <m/>
  </r>
  <r>
    <x v="1"/>
    <m/>
    <m/>
    <m/>
    <m/>
    <m/>
    <m/>
    <m/>
    <m/>
    <m/>
    <m/>
    <s v="Incluido costo central"/>
    <s v="Contaminación por residuos agropecuarios"/>
    <x v="6"/>
    <e v="#REF!"/>
    <x v="15"/>
    <s v="Control de residuos agropecuarios"/>
    <s v="Durante la implementación de la intervención"/>
    <s v="SCT2"/>
    <m/>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m/>
  </r>
  <r>
    <x v="2"/>
    <s v="2.3.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Predios privados para ganadería de leche y carne"/>
    <s v="Organizaciones fortalecidas"/>
    <n v="12"/>
    <n v="7200000"/>
    <n v="4896"/>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2"/>
    <s v="2.3.7"/>
    <s v="Implementación de infraestructura productiva baja en emisiones"/>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Predios privados para ganadería de leche y carne"/>
    <s v="Planes de negocios implementados"/>
    <n v="15"/>
    <n v="12000000"/>
    <n v="8160.0000000000009"/>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m/>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2"/>
    <s v="2.5.1"/>
    <s v="Incentivos financieros para l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Concesiones para conservación y ecoturismo "/>
    <s v="Planes de negocio"/>
    <n v="4"/>
    <n v="600000"/>
    <n v="408.00000000000006"/>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m/>
  </r>
  <r>
    <x v="1"/>
    <m/>
    <m/>
    <m/>
    <m/>
    <m/>
    <m/>
    <m/>
    <m/>
    <m/>
    <m/>
    <s v="Incluido costo central"/>
    <s v="Exclusión de mujeres rurales en los incentivos financieros "/>
    <x v="3"/>
    <s v="GN"/>
    <x v="49"/>
    <s v="Inclusión activa de mujeres rurales en actividades turisticas (guiado, servicios para turistas, producción de artesanías, entre otros). Se deberá incluirlas dentro de los programas de capacitación"/>
    <s v="Antes y durante la implementación de la intervención"/>
    <s v="SGN15"/>
    <m/>
  </r>
  <r>
    <x v="2"/>
    <s v="2.5.3"/>
    <s v="Promoción de Bionegocios con productos forestales no maderables "/>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Concesiones para conservación y ecoturismo "/>
    <s v="Planes de negocio"/>
    <n v="4"/>
    <n v="600000"/>
    <n v="408.00000000000006"/>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m/>
  </r>
  <r>
    <x v="1"/>
    <m/>
    <m/>
    <m/>
    <m/>
    <m/>
    <m/>
    <m/>
    <m/>
    <m/>
    <m/>
    <s v="Incluido costo central"/>
    <s v="Exclusión de mujeres rurales en programas de turismo comunitario"/>
    <x v="3"/>
    <s v="GN"/>
    <x v="49"/>
    <s v="Inclusión activa de mujeres rurales en actividades turisticas (guiado, servicios para turistas, producción de artesanías, entre otros). Se deberá incluirlas dentro de los programas de capacitación"/>
    <s v="Antes y durante la implementación de la intervención"/>
    <s v="SGN15"/>
    <m/>
  </r>
  <r>
    <x v="2"/>
    <s v="2.7.1"/>
    <s v="Adecuación de ZoCRE a unidad de ordenamiento forestal y/o titulo habilitante forestal y de fauna silvestre de acuerdo a LFFS (Ley No 29763)"/>
    <s v="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
    <s v="ZOCRES"/>
    <s v="Ha. con categoría territorial asignada"/>
    <n v="70460.445804198112"/>
    <n v="1056906.6870629718"/>
    <n v="718.69654720282085"/>
    <m/>
    <m/>
    <s v="Incluido costo central"/>
    <s v="Superposición de las ZOCRES con otros derechos otorgados o que deben ser reconocidos"/>
    <x v="2"/>
    <e v="#REF!"/>
    <x v="5"/>
    <s v="Publicación obligatoria del proceso de adecuación de las ZOCRES"/>
    <s v="Antes de la implementación de la intervención"/>
    <s v="SCR1"/>
    <m/>
  </r>
  <r>
    <x v="1"/>
    <m/>
    <m/>
    <m/>
    <m/>
    <m/>
    <m/>
    <m/>
    <m/>
    <m/>
    <m/>
    <s v="Incluido costo central"/>
    <s v="Superposición de las ZOCRES con otros derechos otorgados o que deben ser reconocidos"/>
    <x v="2"/>
    <e v="#REF!"/>
    <x v="52"/>
    <s v="Análisis de los derechos otogados, para evaluar la superposición con las ZOCRES y evitar su desafectación"/>
    <s v="Antes y durante de la implementación de la intervención"/>
    <s v="SCR7"/>
    <m/>
  </r>
  <r>
    <x v="2"/>
    <s v="2.7.3"/>
    <s v="Elaboración del plan/declaración de manejo de las nuevas categorías de ordenamiento forestal y títulos habilitantes forestales"/>
    <s v="Dependiendo de la categoría forestal a ser aplicada, se realizará un plan/declaración acorde la unidad, en el marco de la ley forestal y fauna silvestre N° 29763."/>
    <s v="ZOCRES"/>
    <s v="N° Planes / Declaraciones elaborados"/>
    <n v="15"/>
    <n v="150000"/>
    <n v="102.00000000000001"/>
    <m/>
    <m/>
    <s v="Incluido costo central"/>
    <s v="Superposición de las ZOCRES con otros derechos otorgados o que deben ser reconocidos"/>
    <x v="2"/>
    <e v="#REF!"/>
    <x v="5"/>
    <s v="Publicación obligatoria del proceso de adecuación de las ZOCRES"/>
    <s v="Antes de la implementación de la intervención"/>
    <s v="SCR1"/>
    <m/>
  </r>
  <r>
    <x v="2"/>
    <s v="2.7.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ZOCRES"/>
    <s v="Ha. Inscritas"/>
    <n v="70460.445804198112"/>
    <n v="70460.445804198112"/>
    <n v="47.913103146854716"/>
    <m/>
    <m/>
    <s v="Incluido costo central"/>
    <s v="Superposición de las ZOCRES con otros derechos otorgados o que deben ser reconocidos"/>
    <x v="2"/>
    <e v="#REF!"/>
    <x v="5"/>
    <s v="Publicación obligatoria del proceso de adecuación de las ZOCRES"/>
    <s v="Antes de la implementación de la intervención"/>
    <s v="SCR1"/>
    <m/>
  </r>
  <r>
    <x v="2"/>
    <s v="2.8.1"/>
    <s v="Creación y establecimiento de unidades de ordenamiento forestal, otorgamiento de títulos habilitantes forestales y tenencia de la tierra"/>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Tierras sin categoría territorial asignada"/>
    <s v="Ha. con categoría territorial asignada"/>
    <n v="12452.5934004313"/>
    <n v="186788.9010064695"/>
    <n v="127.01645268439927"/>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1"/>
    <m/>
    <m/>
    <m/>
    <m/>
    <m/>
    <m/>
    <m/>
    <m/>
    <m/>
    <m/>
    <s v="Incluido costo central"/>
    <s v="Otorgamiento inadecuado de títulos habilitantes que generan tráfico de tierras"/>
    <x v="4"/>
    <s v="PC"/>
    <x v="7"/>
    <s v="Análisis de solicitudes de titulación de predios rurales, para evaluar la existencia y superposición con áreas determinadas como patrimonio cultural y evitar su afectación"/>
    <s v="Antes de la implementación de la intervención"/>
    <s v="SPC1"/>
    <m/>
  </r>
  <r>
    <x v="2"/>
    <s v="2.8.3"/>
    <s v="Elaboración del plan/declaración de manejo de las nuevas categorías de ordenamiento forestal y títulos habilitantes forestales"/>
    <s v="Dependiendo de la categoría forestal a ser aplicada, se realizará un plan/declaración acorde a la unidad, en el marco de la ley forestal y fauna silvestre N° 29763."/>
    <s v="Tierras sin categoría territorial asignada"/>
    <s v="N° Planes / Declaraciones elaborados"/>
    <n v="5"/>
    <n v="50000"/>
    <n v="34"/>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2"/>
    <s v="2.8.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Tierras sin categoría territorial asignada"/>
    <s v="Ha. Inscritas"/>
    <n v="12452.5934004313"/>
    <n v="12452.5934004313"/>
    <n v="8.4677635122932848"/>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2"/>
    <s v="2.9.1"/>
    <s v="Acuerdos con rondas campesinas y rondas nativas para cumplimiento de compromisos de no deforestación y tráfico de tierras e invasiones"/>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Intervenciones Transversales x UDT"/>
    <s v="Acuerdos con rondas campesinas"/>
    <n v="19"/>
    <n v="237500"/>
    <n v="161.5"/>
    <m/>
    <m/>
    <s v="Incluido costo central"/>
    <s v="Exclusión de mujeres para el cumplimiento de compromisos de no deforestación y tráfico de tierras e invasiones"/>
    <x v="3"/>
    <s v="GN"/>
    <x v="17"/>
    <s v="Establecimiento de cuotas de género"/>
    <s v="Antes de la implementación de la intervención"/>
    <s v="SGN3"/>
    <m/>
  </r>
  <r>
    <x v="1"/>
    <m/>
    <m/>
    <m/>
    <m/>
    <m/>
    <m/>
    <m/>
    <m/>
    <m/>
    <m/>
    <s v="Incluido costo central"/>
    <s v="Exclusión de mujeres para el cumplimiento de compromisos de no deforestación y tráfico de tierras e invasiones"/>
    <x v="3"/>
    <s v="GN"/>
    <x v="43"/>
    <s v="Promover la participación de mujeres rurales para el cumplimiento de compromisos, considerando sus necesidades, inclusive formando las rondas campesinas y rondas nativas"/>
    <s v="Antes y durante la implementación de la intervención"/>
    <s v="SGN11"/>
    <m/>
  </r>
  <r>
    <x v="2"/>
    <s v="2.9.3"/>
    <s v="Mejoramiento de vías de acceso"/>
    <s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Intervenciones Transversales x UDT"/>
    <s v="Kilómetros mejorados"/>
    <n v="170.60000000000002"/>
    <n v="136480000.00000003"/>
    <n v="92806.400000000023"/>
    <m/>
    <m/>
    <s v="Incluido costo central"/>
    <s v="Deforestación de nuevas áreas por el mejoramiento de vías de acceso, sobre áreas adyacentes"/>
    <x v="0"/>
    <e v="#REF!"/>
    <x v="55"/>
    <s v="Acuerdos de conservación con la población local, cuyo objetivo es dar seguimiento al mejoramiento de las vías de acceso para que no genere nuevos focos de deforestación"/>
    <s v="Antes y durante la implementación de la intervención"/>
    <s v="SBRN9"/>
    <m/>
  </r>
  <r>
    <x v="2"/>
    <s v="2.9.5"/>
    <s v="Mejor cobertura y calidad de servicios de educación y salud"/>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Intervenciones Transversales x UDT"/>
    <s v="Centros educativos y postas médicas implementados"/>
    <n v="5"/>
    <n v="17500000"/>
    <n v="11900"/>
    <m/>
    <m/>
    <s v="Incluido costo central"/>
    <s v="Exclusión de mujeres en el otorgamiento de servicios de educación y salud"/>
    <x v="3"/>
    <s v="GN"/>
    <x v="17"/>
    <s v="Establecimiento de cuotas de género"/>
    <s v="Antes de la implementación de la intervención"/>
    <s v="SGN3"/>
    <m/>
  </r>
  <r>
    <x v="2"/>
    <s v="2.9.6"/>
    <s v="Programa de servicios públicos móviles"/>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Intervenciones Transversales x UDT"/>
    <s v="N° campañas"/>
    <n v="166.25"/>
    <n v="4156250"/>
    <n v="2826.25"/>
    <m/>
    <m/>
    <s v="Incluido costo central"/>
    <s v="Exclusión de mujeres en el otorgamiento de servicios móviles"/>
    <x v="3"/>
    <s v="GN"/>
    <x v="17"/>
    <s v="Establecimiento de cuotas de género"/>
    <s v="Antes de la implementación de la intervención"/>
    <s v="SGN3"/>
    <m/>
  </r>
  <r>
    <x v="3"/>
    <s v="3.1.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de agricultura familiar con producción destinada al autoconsumo y productos de exportación, con título o sin título de propiedad."/>
    <s v="N° Títulos/Contratos otorgados"/>
    <n v="3486.69794702335"/>
    <n v="6973395.8940466996"/>
    <n v="4741.9092079517559"/>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s v="DPI"/>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á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de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3"/>
    <s v="3.1.2"/>
    <s v="Asistencia técnica con enfoque bajo en emisiones"/>
    <s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Predios de agricultura familiar con producción destinada al autoconsumo y productos de exportación, con título o sin título de propiedad."/>
    <s v="Productores asistidos"/>
    <n v="17893.8"/>
    <n v="10020528"/>
    <n v="6813.9590400000006"/>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3"/>
    <s v="3.1.6"/>
    <s v="Reconversión y diversificación productiva "/>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Predios de agricultura familiar con producción destinada al autoconsumo y productos de exportación, con título o sin título de propiedad."/>
    <s v="Hectáreas reconvertidas"/>
    <n v="1400.5600000000002"/>
    <n v="21008400.000000004"/>
    <n v="14285.712000000003"/>
    <m/>
    <m/>
    <s v="Incluido costo central"/>
    <s v="Especies exóticas o invasoras en bosques colindante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7"/>
    <n v="23809.520000000004"/>
    <s v="Evaluadores para trabajo de campo   "/>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ultivos elegibles para reconversión no logran obtener los máximos beneficios en las zonas seleccionadas"/>
    <x v="5"/>
    <e v="#REF!"/>
    <x v="11"/>
    <s v="Evaluar la viabilidad de la reconversión de acuerdo a los cultivos seleccionados a fin de determinar la aptitud de la zona para el cultivo, considerando la variable de cambio climático. (Ejm. aumento de la temperatura que modifica la aptitud para el desarrollo del cultivo del café)"/>
    <s v="Antes de la implementación de la intervención"/>
    <s v="SVCC1"/>
    <m/>
  </r>
  <r>
    <x v="3"/>
    <s v="3.1.7"/>
    <s v="Promoción de agricultura familiar con enfoque de mercado"/>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Predios de agricultura familiar con producción destinada al autoconsumo y productos de exportación, con título o sin título de propiedad."/>
    <s v="Productores beneficiados"/>
    <n v="2982.3"/>
    <n v="38471670"/>
    <n v="26160.735600000004"/>
    <m/>
    <m/>
    <s v="Incluido costo central"/>
    <s v="Exclusión de mujeres rurales en programas de agricultura familiar"/>
    <x v="3"/>
    <s v="GN"/>
    <x v="8"/>
    <s v="Diseño de programas de asistencia técnica especificos para mujeres rurales considerando sus necesidades de aprendizaje y metodologías apropiadas "/>
    <s v="Antes de la implementación de la intervención"/>
    <s v="SGN2"/>
    <m/>
  </r>
  <r>
    <x v="3"/>
    <s v="3.1.8"/>
    <s v="Asistencia técnica para el desarrollo de la acuicultura"/>
    <s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s v="Predios de agricultura familiar con producción destinada al autoconsumo y productos de exportación, con título o sin título de propiedad."/>
    <s v="Acuicultores asistidos"/>
    <n v="431"/>
    <n v="241360"/>
    <n v="164.12480000000002"/>
    <n v="17"/>
    <n v="7327"/>
    <s v="Evaluadores para trabajo de campo   "/>
    <s v="Especies exóticas o invasoras en cuerpos de agua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Efluentes de acuicultura vertidos a cuerpos de agua naturales"/>
    <x v="6"/>
    <e v="#REF!"/>
    <x v="12"/>
    <s v="Control de residuos antes del vertimiento a cuerpos de agua naturales "/>
    <s v="Durante la implementación de la intervención"/>
    <s v="SCT1"/>
    <m/>
  </r>
  <r>
    <x v="3"/>
    <s v="3.1.9"/>
    <s v="Incentivos financieros para la acuicultura "/>
    <s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Predios de agricultura familiar con producción destinada al autoconsumo y productos de exportación, con título o sin título de propiedad."/>
    <s v="Créditos otorgados"/>
    <n v="431"/>
    <n v="5559900"/>
    <n v="3780.7320000000004"/>
    <m/>
    <m/>
    <s v="Incluido costo central"/>
    <s v="Deforestación para habilitación de áreas para proyectos de acuicultura"/>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m/>
    <m/>
    <s v="Incluido costo central"/>
    <s v="Actividad acuícola no se desarrolla de manera óptima"/>
    <x v="5"/>
    <e v="#REF!"/>
    <x v="13"/>
    <s v="El plan de trabajo debe considerar un análisis de rentabilidad de la actividad acuícola en las zonas donde se va a implementar, con énfasis en la variable de cambio climático."/>
    <s v="Antes de la implementación de la intervención"/>
    <s v="SVCC2"/>
    <m/>
  </r>
  <r>
    <x v="3"/>
    <s v="3.1.10"/>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Predios de agricultura familiar con producción destinada al autoconsumo y productos de exportación, con título o sin título de propiedad."/>
    <s v="Créditos otorgados"/>
    <n v="8946.9"/>
    <n v="96179175"/>
    <n v="65401.839000000007"/>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89469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n v="17"/>
    <n v="152097.29999999999"/>
    <s v="Evaluadores para trabajo de campo"/>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ontaminación por residuos agropecuarios"/>
    <x v="6"/>
    <e v="#REF!"/>
    <x v="15"/>
    <s v="Control de residuos agropecuarios"/>
    <s v="Durante la implementación de la intervención"/>
    <s v="SCT2"/>
    <m/>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m/>
  </r>
  <r>
    <x v="3"/>
    <s v="3.1.11"/>
    <s v="Implementación de infraestructura productiva con énfasis a la agro exportación "/>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Predios de agricultura familiar con producción destinada al autoconsumo y productos de exportación, con título o sin título de propiedad."/>
    <s v="Planes de negocios/proyectos ejecutados"/>
    <n v="5.6000000000000005"/>
    <n v="4480000"/>
    <n v="3046.4"/>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m/>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3"/>
    <s v="3.5.1"/>
    <s v="Incentivos financieros par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Concesiones para conservación y ecoturismo "/>
    <s v="Planes de negocios"/>
    <n v="7"/>
    <n v="1050000"/>
    <n v="714"/>
    <m/>
    <m/>
    <s v="Incluido costo central"/>
    <s v="Impacto negativo sobre la biodiversidad por infraestructura o visitantes"/>
    <x v="0"/>
    <e v="#REF!"/>
    <x v="45"/>
    <s v="Análisis del impacto y establecimiento de buenas prácticas para evitar la afectación sobre la biodiversidad "/>
    <s v="Antes y durante la implementación de la intervención"/>
    <s v="SBRN7"/>
    <m/>
  </r>
  <r>
    <x v="1"/>
    <m/>
    <m/>
    <m/>
    <m/>
    <m/>
    <m/>
    <m/>
    <m/>
    <m/>
    <m/>
    <s v="Incluido costo central"/>
    <s v="Exclusión de mujeres rurales en los incentivos financieros "/>
    <x v="3"/>
    <s v="GN"/>
    <x v="49"/>
    <s v="Inclusión activa de mujeres rurales en actividades turisticas (guiado, servicios para turistas, producción de artesanías, entre otros). Se deberá incluirlas dentro de los programas de capacitación"/>
    <s v="Antes y durante la implementación de la intervención"/>
    <s v="SGN15"/>
    <m/>
  </r>
  <r>
    <x v="3"/>
    <s v="3.5.3"/>
    <s v="Promoción de Bionegocios con productos forestales no maderables "/>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Concesiones para conservación y ecoturismo "/>
    <s v="Planes de negocio"/>
    <n v="4"/>
    <n v="600000"/>
    <n v="408.00000000000006"/>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m/>
  </r>
  <r>
    <x v="1"/>
    <m/>
    <m/>
    <m/>
    <m/>
    <m/>
    <m/>
    <m/>
    <m/>
    <m/>
    <m/>
    <s v="Incluido costo central"/>
    <s v="Exclusión de mujeres rurales en programas de turismo comunitario"/>
    <x v="3"/>
    <s v="GN"/>
    <x v="49"/>
    <s v="Inclusión activa de mujeres rurales en actividades turisticas (guiado, servicios para turistas, producción de artesanías, entre otros). Se deberá incluirlas dentro de los programas de capacitación"/>
    <s v="Antes y durante la implementación de la intervención"/>
    <s v="SGN15"/>
    <m/>
  </r>
  <r>
    <x v="3"/>
    <s v="3.7.1"/>
    <s v="Elaborar lineamientos de uso de recursos y demarcación de límites"/>
    <s v="Propuesta de lineamientos para aprovechamiento sostenible de los Recursos Naturales Presentes."/>
    <s v="Área de Conservación Regional Bosque Shunte y Mishollo"/>
    <s v="Lineamientos"/>
    <n v="1"/>
    <n v="100000"/>
    <n v="68"/>
    <m/>
    <m/>
    <s v="Incluido costo central"/>
    <s v="Exclusión de mujeres en la formulación de lineamientos para el uso de recursos y demarcación de límites"/>
    <x v="3"/>
    <s v="GN"/>
    <x v="58"/>
    <s v="Incluir a las mujeres rurales en las actividades que se desarrollen para la elaboración de lineamientos"/>
    <s v="Antes y durante la implementación de la intervención"/>
    <s v="SGN17"/>
    <m/>
  </r>
  <r>
    <x v="1"/>
    <m/>
    <m/>
    <m/>
    <m/>
    <m/>
    <m/>
    <m/>
    <m/>
    <m/>
    <m/>
    <s v="Incluido costo central"/>
    <s v="No se usa un lenguaje apropiado y no se respetan los usos y costumbres"/>
    <x v="1"/>
    <s v="DPI"/>
    <x v="59"/>
    <s v="Considerar el enfoque inercultural en la elaboración de lineamientos"/>
    <s v="Antes y durante la implementación de la intervención"/>
    <s v="SDPI16"/>
    <m/>
  </r>
  <r>
    <x v="1"/>
    <m/>
    <m/>
    <m/>
    <m/>
    <m/>
    <m/>
    <m/>
    <m/>
    <m/>
    <m/>
    <s v="Incluido costo central"/>
    <s v="Falta de socialización de lineamientos "/>
    <x v="2"/>
    <e v="#REF!"/>
    <x v="60"/>
    <s v="Presentar el documento a los actores ubicados en el ACR y en sus zonas de amortiguamiento"/>
    <s v="Antes y durante la implementación de la intervención"/>
    <s v="SCR9"/>
    <m/>
  </r>
  <r>
    <x v="3"/>
    <s v="3.7.2"/>
    <s v="Fortalecer el control y vigilancia"/>
    <s v="Implementar con recursos necesarios al ente que administra el área, con la finalidad de aumentar el número de personas (guardaparques) que contribuyan a realizar acciones de control y vigilancia."/>
    <s v="Área de Conservación Regional Bosque Shunte y Mishollo"/>
    <s v="Número de guardaparques"/>
    <n v="50"/>
    <n v="6000000"/>
    <n v="4080.0000000000005"/>
    <m/>
    <m/>
    <s v="Incluido costo central"/>
    <s v="Cohecho en el control y vigilancia de recursos naturales"/>
    <x v="2"/>
    <e v="#REF!"/>
    <x v="41"/>
    <s v="Implementación de sistema de denuncias en linea, transparencia en procesos de control (por ejemplo uso de cámaras en intervenciones), transparencia en registros de aprovechamiento"/>
    <s v="Antes y durante la implementación de la intervención"/>
    <s v="SCR4"/>
    <m/>
  </r>
  <r>
    <x v="1"/>
    <m/>
    <m/>
    <m/>
    <m/>
    <m/>
    <m/>
    <m/>
    <m/>
    <m/>
    <m/>
    <s v="Incluido costo central"/>
    <s v="Cohecho en el control y vigilancia de recursos naturales"/>
    <x v="2"/>
    <e v="#REF!"/>
    <x v="42"/>
    <s v="Capacitación e involucramiento de población local en actividades de control y vigilancia "/>
    <s v="Antes y durante la implementación de la intervención"/>
    <s v="SCR5"/>
    <m/>
  </r>
  <r>
    <x v="1"/>
    <m/>
    <m/>
    <m/>
    <m/>
    <m/>
    <m/>
    <m/>
    <m/>
    <m/>
    <m/>
    <s v="Incluido costo central"/>
    <s v="Adquisición inadecuada de recursos para el control y vigilancia"/>
    <x v="2"/>
    <e v="#REF!"/>
    <x v="37"/>
    <s v="Implementación de procedimientos competitivos para adquisiciones y publicación de convocatoria y resultados de adquisiciones"/>
    <s v="Antes y durante la implementación de la intervención"/>
    <s v="SCR3"/>
    <m/>
  </r>
  <r>
    <x v="1"/>
    <m/>
    <m/>
    <m/>
    <m/>
    <m/>
    <m/>
    <m/>
    <m/>
    <m/>
    <m/>
    <s v="Incluido costo central"/>
    <s v="Exclusión de mujeres rurales en iniciativas de control y vigilancia"/>
    <x v="3"/>
    <s v="GN"/>
    <x v="43"/>
    <s v="Diseño de programa para promover la participación de mujeres rurales en sistema de control y vigilancia "/>
    <s v="Antes de la implementación de la intervención"/>
    <s v="SGN11"/>
    <m/>
  </r>
  <r>
    <x v="3"/>
    <s v="3.7.4"/>
    <s v="Promoción de agroforestería sostenible en zona de amortiguamiento"/>
    <s v="Encuentros de productores con la finalidad de promocionar los diferentes sistemas productivos sostenibles a ser replicados en las comunidades."/>
    <s v="Área de Conservación Regional Bosque Shunte y Mishollo"/>
    <s v="Encuentros"/>
    <n v="50"/>
    <n v="625000"/>
    <n v="425.00000000000006"/>
    <m/>
    <m/>
    <s v="Incluido costo central"/>
    <s v="Especies exóticas o invasoras en bosques colindantes"/>
    <x v="0"/>
    <e v="#REF!"/>
    <x v="47"/>
    <s v="Escuelas de campo promueven la implementación de sistemas agroforestales con especies nativas"/>
    <s v="Durante la implementación de la intervención"/>
    <s v="SBRN8"/>
    <m/>
  </r>
  <r>
    <x v="1"/>
    <m/>
    <m/>
    <m/>
    <m/>
    <m/>
    <m/>
    <m/>
    <m/>
    <m/>
    <m/>
    <s v="Incluido costo central"/>
    <s v="Exclusión de mujeres rurales en las escuelas de campo"/>
    <x v="3"/>
    <s v="GN"/>
    <x v="48"/>
    <s v="Diseño de escuelas de campo especificos para mujeres rurales considerando sus necesidades de aprendizaje y metodologías apropiadas "/>
    <s v="Antes de la implementación de la intervención"/>
    <s v="SGN14"/>
    <m/>
  </r>
  <r>
    <x v="3"/>
    <s v="3.7.6"/>
    <s v="Promover la planificación comunal en centros poblados del interior en base a la zonificación y zona de amortiguamiento teniendo como base al Plan Maestro (incluye acuerdos de conservación)"/>
    <s v="Actualización y elaboración de planes de gestión comunal de las localidades acentuadas en las zonas de amortiguamiento con la finalidad de orientar adecuadamente la implementación y ejecución de proyectos."/>
    <s v="Área de Conservación Regional Bosque Shunte y Mishollo"/>
    <s v="Planes de gestión comunal"/>
    <n v="12"/>
    <n v="240000"/>
    <n v="163.20000000000002"/>
    <m/>
    <m/>
    <s v="Incluido costo central"/>
    <s v="No se considera la opinión de las mujeres rurales en proceso de planificación comunal de centros poblados y desarrollo de acuerdos de conservación en ANP y su zona de amortiguamiento"/>
    <x v="3"/>
    <s v="GN"/>
    <x v="39"/>
    <s v="Diseñar programas de servicios basicos de salud y educación considerando el rol de la mujer en la comunidad,  sus necesidades y medios apropiados para garantizar su acceso oportuno. Considera elaboración de lineamientos"/>
    <s v="Antes de la implementación de la intervención"/>
    <s v="SGN10"/>
    <m/>
  </r>
  <r>
    <x v="1"/>
    <m/>
    <m/>
    <m/>
    <m/>
    <m/>
    <m/>
    <m/>
    <m/>
    <m/>
    <m/>
    <s v="Incluido costo central"/>
    <s v="No se considera la opinión de las mujeres rurales en proceso de planificación comunal de centros poblados y desarrollo de acuerdos de conservación en ANP y su zona de amortiguamiento"/>
    <x v="3"/>
    <s v="GN"/>
    <x v="44"/>
    <s v="Diseño de mecanismos adecuados de participación para mujeres rurales "/>
    <s v="Antes de la implementación de la intervención"/>
    <s v="SGN12"/>
    <m/>
  </r>
  <r>
    <x v="3"/>
    <s v="3.7.7"/>
    <s v="Recuperación de la red hídrica en la zona de influencia de la ACR"/>
    <s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Área de Conservación Regional Bosque Shunte y Mishollo"/>
    <s v="Proyectos ejecutados"/>
    <n v="1"/>
    <n v="47000000"/>
    <n v="31960.000000000004"/>
    <m/>
    <m/>
    <s v="Incluido costo central"/>
    <s v="Incremento de la deforestación por instalación de infraestructura y vias de comunicación"/>
    <x v="0"/>
    <e v="#REF!"/>
    <x v="2"/>
    <s v="Compartir con la población la importancia de la recuperación de la red hídrica del ACR y la importancia de los bosques y servicios ecosistémicos"/>
    <s v="Antes y durante la implementación de la intervención"/>
    <s v="SBRN3"/>
    <m/>
  </r>
  <r>
    <x v="1"/>
    <m/>
    <m/>
    <m/>
    <m/>
    <m/>
    <m/>
    <m/>
    <m/>
    <m/>
    <m/>
    <s v="Incluido costo central"/>
    <s v="Efluentes vertidos a cuerpos de agua naturales"/>
    <x v="6"/>
    <e v="#REF!"/>
    <x v="12"/>
    <s v="Control de residuos antes del vertimiento a cuerpos de agua naturales "/>
    <s v="Durante la implementación de la intervención"/>
    <s v="SCT1"/>
    <m/>
  </r>
  <r>
    <x v="1"/>
    <m/>
    <m/>
    <m/>
    <m/>
    <m/>
    <m/>
    <m/>
    <m/>
    <m/>
    <m/>
    <s v="Incluido costo central"/>
    <s v="Colución, Cohecho y negociación incompatible"/>
    <x v="2"/>
    <e v="#REF!"/>
    <x v="61"/>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Falta de socialización de las actividades a desarrollar"/>
    <x v="2"/>
    <e v="#REF!"/>
    <x v="60"/>
    <s v="Presentar el plan de trabajo a los actores ubicados en el ACR y en sus zonas de amortiguamiento, logrando su involucramiento y conformidad con la intervención a realizar, previniendo además posibles conflictos sociales"/>
    <s v="Antes y durante la implementación de la intervención"/>
    <s v="SCR9"/>
    <m/>
  </r>
  <r>
    <x v="1"/>
    <m/>
    <m/>
    <m/>
    <m/>
    <m/>
    <m/>
    <m/>
    <m/>
    <m/>
    <m/>
    <s v="Incluido costo central"/>
    <s v="Exclusión de mujeres rurales en las actividades de recuperación de la red hídrica del ACR"/>
    <x v="3"/>
    <s v="GN"/>
    <x v="17"/>
    <s v="Participación de mujeres en las actividades, a fin de dar a conocer sus aportes sobre la recuperación de la red hídrica del ACR"/>
    <s v="Antes de la implementación de la intervención"/>
    <s v="SGN3"/>
    <m/>
  </r>
  <r>
    <x v="1"/>
    <m/>
    <m/>
    <m/>
    <m/>
    <m/>
    <m/>
    <m/>
    <m/>
    <m/>
    <m/>
    <s v="Incluido costo central"/>
    <s v="Falta de consideración del lenguaje intercultural en el proceso"/>
    <x v="1"/>
    <s v="DPI"/>
    <x v="56"/>
    <s v="Considerar el enfoque inercultural en la ejecución de actividades, invoucrando a las comunidades nativas, pobladores locales y actores en general que se encuentren ubicados en el ACR y en sus zonas de amortiguamiento"/>
    <s v="Durante la implementación de la intervención"/>
    <s v="SDPI15"/>
    <m/>
  </r>
  <r>
    <x v="3"/>
    <s v="3.7.8"/>
    <s v="Incentivos financieros para promoción del ecoturismo y turismo comunitario"/>
    <s v="Implementación de planes de negocios para  la Diversificación y consolidación de la oferta turística, de esta manera promover el acondicionamiento y la gestión técnica en torno de los recursos y atractivos priorizados."/>
    <s v="Área de Conservación Regional Bosque Shunte y Mishollo"/>
    <s v="Planes de negocios"/>
    <n v="10"/>
    <n v="1000000"/>
    <n v="680"/>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m/>
  </r>
  <r>
    <x v="1"/>
    <m/>
    <m/>
    <m/>
    <m/>
    <m/>
    <m/>
    <m/>
    <m/>
    <m/>
    <m/>
    <s v="Incluido costo central"/>
    <s v="Exclusión de mujeres rurales en los incentivos financieros "/>
    <x v="3"/>
    <s v="GN"/>
    <x v="46"/>
    <s v="Inclusión activa de mujeres rurales en actividades turisticas (guiado, servicios para turistas, producción de artesanías, entre otros). Se deberá incluirlas dentro de los programas de capacitación"/>
    <s v="Antes y durante la implementación de la intervención"/>
    <s v="SGN13"/>
    <m/>
  </r>
  <r>
    <x v="3"/>
    <s v="3.2.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privados dedicados a la producción comercial (arroz) "/>
    <s v="N° Títulos/Contratos otorgados"/>
    <n v="47.9927494738116"/>
    <n v="95985.4989476232"/>
    <n v="65.270139284383788"/>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e v="#REF!"/>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a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de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3"/>
    <s v="3.2.2"/>
    <s v="Promoción y desarrollo de proveedores de semillas mejoradas"/>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Predios privados dedicados a la producción comercial (arroz) "/>
    <s v="Unidades semilleristas"/>
    <n v="2.5"/>
    <n v="37500"/>
    <n v="25.500000000000004"/>
    <m/>
    <m/>
    <s v="Incluido costo central"/>
    <s v="Exclusión de mujeres productoras del desarrollo de proveedores de semillas mejoradas"/>
    <x v="3"/>
    <s v="GN"/>
    <x v="17"/>
    <s v="Establecimiento de cuotas de género"/>
    <s v="Antes de la implementación de la intervención"/>
    <s v="SGN3"/>
    <m/>
  </r>
  <r>
    <x v="1"/>
    <m/>
    <m/>
    <m/>
    <m/>
    <m/>
    <m/>
    <m/>
    <m/>
    <m/>
    <m/>
    <s v="Incluido costo central"/>
    <s v="Exclusión de mujeres productoras del desarrollo de proveedores de semillas mejoradas"/>
    <x v="3"/>
    <s v="GN"/>
    <x v="19"/>
    <s v="Diseño de programas de desarrollo de proceedores de semillas mejoradas"/>
    <s v="Antes de la implementación de la intervención"/>
    <s v="SGN5"/>
    <m/>
  </r>
  <r>
    <x v="3"/>
    <s v="3.2.3"/>
    <s v="Promoción de Sistemas de producción sostenibles"/>
    <s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s v="Predios privados dedicados a la producción comercial (arroz) "/>
    <s v="Productores asistidos"/>
    <n v="492.5"/>
    <n v="275800"/>
    <n v="187.54400000000001"/>
    <m/>
    <m/>
    <s v="Incluido costo central"/>
    <s v="Exclusión de mujeres rurales en programas de asistencia técnica"/>
    <x v="3"/>
    <s v="GN"/>
    <x v="17"/>
    <s v="Establecimiento de cuotas de género"/>
    <s v="Antes de la implementación de la intervención"/>
    <s v="SGN3"/>
    <m/>
  </r>
  <r>
    <x v="1"/>
    <m/>
    <m/>
    <m/>
    <m/>
    <m/>
    <m/>
    <m/>
    <m/>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3"/>
    <s v="3.2.4"/>
    <s v="Reconversión y diversificación productiva "/>
    <s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Predios privados dedicados a la producción comercial (arroz) "/>
    <s v="Hectáreas reconvertidas"/>
    <n v="100.14000000000001"/>
    <n v="1502100.0000000002"/>
    <n v="1021.4280000000002"/>
    <n v="17"/>
    <n v="1702.3800000000003"/>
    <s v="Evaluadores para trabajo de campo   "/>
    <s v="Especies exóticas o invasoras en bosques colindante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m/>
    <m/>
    <s v="Incluido costo central"/>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ultivos elegibles para reconversión no logran obtener los máximos beneficios en las zonas seleccionadas"/>
    <x v="5"/>
    <e v="#REF!"/>
    <x v="11"/>
    <s v="Evaluar la viabilidad de la reconversión de acuerdo a los cultivos seleccionados a fin de determinar la aptitud de la zona para el cultivo, considerando la variable de cambio climático. (Ejm. aumento de la temperatura que modifica la aptitud para el desarrollo del cultivo del café)"/>
    <s v="Antes de la implementación de la intervención"/>
    <s v="SVCC1"/>
    <m/>
  </r>
  <r>
    <x v="3"/>
    <s v="3.2.5"/>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Predios privados dedicados a la producción comercial (arroz) "/>
    <s v="Productores atendidos"/>
    <n v="295.5"/>
    <n v="3176625"/>
    <n v="2160.105"/>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2955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m/>
    <m/>
    <s v="Incluido costo central"/>
    <s v="Especies exóticas o invasoras en bosques colindantes"/>
    <x v="0"/>
    <e v="#REF!"/>
    <x v="47"/>
    <s v="Escuelas de campo promueven la implementación de sistemas agroforestales con especies nativas"/>
    <s v="Durante la implementación de la intervención"/>
    <s v="SBRN5"/>
    <m/>
  </r>
  <r>
    <x v="1"/>
    <m/>
    <m/>
    <m/>
    <m/>
    <m/>
    <m/>
    <m/>
    <m/>
    <m/>
    <m/>
    <s v="Incluido costo central"/>
    <s v="Contaminación por residuos agropecuarios"/>
    <x v="6"/>
    <e v="#REF!"/>
    <x v="15"/>
    <s v="Control de residuos agropecuarios"/>
    <s v="Durante la implementación de la intervención"/>
    <s v="SCT2"/>
    <m/>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m/>
  </r>
  <r>
    <x v="3"/>
    <s v="3.2.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Predios privados dedicados a la producción comercial (arroz) "/>
    <s v="Organizaciones formalizadas"/>
    <n v="2"/>
    <n v="1200000"/>
    <n v="816.00000000000011"/>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3"/>
    <s v="3.2.7"/>
    <s v="Implementación de infraestructura productiva baja en emisiones"/>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
    <s v="Predios privados dedicados a la producción comercial (arroz) "/>
    <s v="Planes de negocios ejecutados"/>
    <n v="2"/>
    <n v="150000"/>
    <n v="102.00000000000001"/>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m/>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3"/>
    <s v="3.3.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privados para ganadería de leche y carne"/>
    <s v="N° Títulos/Contratos otorgados"/>
    <n v="231.65290703422252"/>
    <n v="463305.81406844506"/>
    <n v="315.04795356654267"/>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e v="#REF!"/>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a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3"/>
    <s v="3.3.2"/>
    <s v="Asistencia técnica para el mejoramiento de pastos y ganadería "/>
    <s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Predios privados para ganadería de leche y carne"/>
    <s v="Ganaderos asistidos"/>
    <n v="587"/>
    <n v="328720"/>
    <n v="223.52960000000002"/>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3"/>
    <s v="3.3.4"/>
    <s v="Mejoramiento genético de ganado bovino"/>
    <s v="Reactivación  , implementación y gestión de las postas de inseminación artificial, importación de material genético (pajillas de semen), capacitación y entrenamiento a inseminadores, transferencia de embriones."/>
    <s v="Predios privados para ganadería de leche y carne"/>
    <s v="Postas Reactivadas"/>
    <n v="2"/>
    <n v="548000"/>
    <n v="372.64000000000004"/>
    <m/>
    <m/>
    <s v="Incluido costo central"/>
    <s v="Exclusión de mujeres rurales en programas de asistencia técnica"/>
    <x v="3"/>
    <s v="GN"/>
    <x v="17"/>
    <s v="Establecimiento de cuotas de género"/>
    <s v="Antes de la implementación de la intervención"/>
    <s v="SGN3"/>
    <m/>
  </r>
  <r>
    <x v="1"/>
    <m/>
    <m/>
    <m/>
    <m/>
    <m/>
    <m/>
    <m/>
    <m/>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3"/>
    <s v="3.3.5"/>
    <s v="Programa de acceso al financiamiento agropecuario condicionado"/>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
    <s v="Predios privados para ganadería de leche y carne"/>
    <s v="Ganaderos atendidos"/>
    <n v="176.1"/>
    <n v="1893075"/>
    <n v="1287.2910000000002"/>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1761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m/>
    <m/>
    <s v="Incluido costo central"/>
    <s v="Especies exóticas o invasoras en bosques colindantes"/>
    <x v="0"/>
    <e v="#REF!"/>
    <x v="47"/>
    <s v="Escuelas de campo promueven la implementación de sistemas agroforestales con especies nativas"/>
    <s v="Durante la implementación de la intervención"/>
    <s v="SBRN8"/>
    <m/>
  </r>
  <r>
    <x v="1"/>
    <m/>
    <m/>
    <m/>
    <m/>
    <m/>
    <m/>
    <m/>
    <m/>
    <m/>
    <m/>
    <s v="Incluido costo central"/>
    <s v="Contaminación por residuos agropecuarios"/>
    <x v="6"/>
    <e v="#REF!"/>
    <x v="15"/>
    <s v="Control de residuos agropecuarios"/>
    <s v="Durante la implementación de la intervención"/>
    <s v="SCT2"/>
    <m/>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m/>
  </r>
  <r>
    <x v="3"/>
    <s v="3.3.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Predios privados para ganadería de leche y carne"/>
    <s v="Organizaciones fortalecidas"/>
    <n v="8"/>
    <n v="4800000"/>
    <n v="3264.0000000000005"/>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3"/>
    <s v="3.2.7"/>
    <s v="Implementación de infraestructura productiva baja en emisiones"/>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
    <s v="Predios privados dedicados a la producción comercial (arroz) "/>
    <s v="Planes de negocios ejecutados"/>
    <n v="2"/>
    <n v="150000"/>
    <n v="102.00000000000001"/>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m/>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3"/>
    <s v="3.4.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Empresas comercializadoras de palma y sus derivados."/>
    <s v="N° Títulos/Contratos otorgados"/>
    <n v="582.56326293925508"/>
    <n v="1165126.5258785102"/>
    <n v="792.28603759738701"/>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s v="DPI"/>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á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de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3"/>
    <s v="3.4.2"/>
    <s v="Acceso a financiamiento para modelos de asociación con pequeños productores"/>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Empresas comercializadoras de palma y sus derivados."/>
    <s v="Productores atendidos"/>
    <n v="2425.7999999999997"/>
    <n v="26077349.999999996"/>
    <n v="17732.597999999998"/>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3"/>
    <s v="3.4.3"/>
    <s v="Acompañamiento de acuerdos comerciales entre empresas y medianos productores"/>
    <s v="Brindar asesoramiento y acompañamiento a los productores organizados y no organizados en sus procesos de negociación, este acompañamiento permitirá llegar a buenos acuerdos con las empresas y asegurar que los pequeños productores tengan acceso a precios justos."/>
    <s v="Empresas comercializadoras de palma y sus derivados."/>
    <s v="Especialistas"/>
    <n v="2"/>
    <n v="420000"/>
    <n v="285.60000000000002"/>
    <m/>
    <m/>
    <s v="Incluido costo central"/>
    <s v="Desventajas en los procesos de negociación"/>
    <x v="2"/>
    <e v="#REF!"/>
    <x v="62"/>
    <s v="Capacitación y acompañamiento a las partes para una negociación justa y equitativa que conlleve a la suscripción de acuerdos favorables y transparentes"/>
    <s v="Antes de la implementación de la intervención"/>
    <s v="SCR11"/>
    <m/>
  </r>
  <r>
    <x v="3"/>
    <s v="3.4.4"/>
    <s v="Ampliación de estudios de HCS y HCV para nuevas áreas potenciales para asociación con pequeños productores"/>
    <s v="Promover el financiamiento para el desarrollo e implementación de estudios de umbrales de carbono en el suelo y en los bosques."/>
    <s v="Empresas comercializadoras de palma y sus derivados."/>
    <s v="Estudios "/>
    <n v="2"/>
    <n v="440800"/>
    <n v="299.74400000000003"/>
    <m/>
    <m/>
    <s v="Incluido costo central"/>
    <s v="Exclusión de mujeres en proceso de analisis HCS y HCV"/>
    <x v="3"/>
    <s v="GN"/>
    <x v="17"/>
    <s v="Establecimiento de cuotas de género"/>
    <s v="Antes de la implementación de la intervención"/>
    <s v="SGN3"/>
    <m/>
  </r>
  <r>
    <x v="3"/>
    <s v="3.6.1"/>
    <s v="Exclusión y compensación de concesiones forestales maderables a solicitud del concesionario"/>
    <s v="Realizar un sinceramiento de las concesiones forestales activas e inactivas para excluir o realizar nuevos otorgamientos a empresas que puedan cumplir técnica y económicamente con lo predispuesto en la directiva."/>
    <s v="Concesiones Forestales Maderables "/>
    <s v="N° de concesiones "/>
    <n v="9"/>
    <n v="270000"/>
    <n v="183.60000000000002"/>
    <m/>
    <m/>
    <s v="Incluido costo central"/>
    <s v="Superposición de concesiones forestales maderables con otros derechos"/>
    <x v="1"/>
    <s v="DPI"/>
    <x v="23"/>
    <s v="Acompañar solicitudes de redimensionamiento y solución de superposiciones"/>
    <s v="Durante la implementación de la intervención"/>
    <s v="SDPI5"/>
    <m/>
  </r>
  <r>
    <x v="1"/>
    <m/>
    <m/>
    <m/>
    <m/>
    <m/>
    <m/>
    <m/>
    <m/>
    <m/>
    <m/>
    <s v="Incluido costo central"/>
    <s v="Conflictos con los colindantes de la concesión"/>
    <x v="2"/>
    <e v="#REF!"/>
    <x v="51"/>
    <s v="Socializar con los colindantes al área otorgada en concesión, sobre los derechos y deberes del concesionario"/>
    <s v="Antes y durante la implementación de la intervención"/>
    <s v="SCR6"/>
    <m/>
  </r>
  <r>
    <x v="3"/>
    <s v="3.6.2"/>
    <s v="Incentivos financieros para manejo forestal sostenible"/>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Concesiones Forestales Maderables "/>
    <s v="Créditos otorgados"/>
    <n v="3"/>
    <n v="450000"/>
    <n v="306"/>
    <m/>
    <m/>
    <s v="Incluido costo central"/>
    <s v="Exclusión de mujeres rurales en programas de turismo comunitario"/>
    <x v="3"/>
    <s v="GN"/>
    <x v="50"/>
    <s v="Inclusión activa de mujeres rurales en actividades turisticas (guiado, servicios para turistas, producción de artesanías, entre otros). Se deberá incluirlas dentro de los programas de capacitación"/>
    <s v="Antes y durante la implementación de la intervención"/>
    <s v="SGN16"/>
    <m/>
  </r>
  <r>
    <x v="1"/>
    <m/>
    <m/>
    <m/>
    <m/>
    <m/>
    <m/>
    <m/>
    <m/>
    <m/>
    <m/>
    <s v="Incluido costo central"/>
    <s v="Procedimiento irregular para el otorgamiento de derechos"/>
    <x v="2"/>
    <e v="#REF!"/>
    <x v="5"/>
    <s v="Publicación obligatoria de expedientes digitales en plataforma virtual de catastro rural "/>
    <s v="Antes y durante la implementación de la intervención"/>
    <s v="SCR1"/>
    <m/>
  </r>
  <r>
    <x v="1"/>
    <m/>
    <m/>
    <m/>
    <m/>
    <m/>
    <m/>
    <m/>
    <m/>
    <m/>
    <m/>
    <s v="Incluido costo central"/>
    <s v="Conflictos sociales con los colindantes de la concesión"/>
    <x v="2"/>
    <e v="#REF!"/>
    <x v="51"/>
    <s v="Socializar con los colindantes al área otorgada en concesión, sobre los derechos y deberes del concesionario"/>
    <s v="Antes y durante la implementación de la intervención"/>
    <s v="SCR6"/>
    <m/>
  </r>
  <r>
    <x v="3"/>
    <s v="3.8.1"/>
    <s v="Creación y establecimiento de unidades de ordenamiento forestal, otorgamiento de títulos habilitantes forestales y tenencia de la tierra"/>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Tierras sin categoría territorial asignada"/>
    <s v="Ha. con categoría territorial asignada"/>
    <n v="18546.349137439898"/>
    <n v="278195.23706159845"/>
    <n v="189.17276120188697"/>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1"/>
    <m/>
    <m/>
    <m/>
    <m/>
    <m/>
    <m/>
    <m/>
    <m/>
    <m/>
    <m/>
    <s v="Incluido costo central"/>
    <s v="Otorgamiento inadecuado de títulos habilitantes que generan tráfico de tierras"/>
    <x v="4"/>
    <s v="PC"/>
    <x v="7"/>
    <s v="Análisis de solicitudes de titulación de predios rurales, para evaluar la existencia y superposición con áreas determinadas como patrimonio cultural y evitar su afectación"/>
    <s v="Antes de la implementación de la intervención"/>
    <s v="SPC1"/>
    <m/>
  </r>
  <r>
    <x v="3"/>
    <s v="3.8.3"/>
    <s v="Elaboración del plan/declaración de manejo de las nuevas categorías de ordenamiento forestal y títulos habilitantes forestales"/>
    <s v="Dependiendo de la categoría forestal a ser aplicada, se realizará un plan/declaración acorde a la unidad, en el marco de la ley forestal y fauna silvestre N° 29763."/>
    <s v="Tierras sin categoría territorial asignada"/>
    <s v="N° Planes / Declaraciones elaborados"/>
    <n v="8"/>
    <n v="80000"/>
    <n v="54.400000000000006"/>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3"/>
    <s v="3.8.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Tierras sin categoría territorial asignada"/>
    <s v="Ha. Inscritas"/>
    <n v="18546.349137439898"/>
    <n v="18546.349137439898"/>
    <n v="12.611517413459131"/>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3"/>
    <s v="3.9.1"/>
    <s v="Acuerdos con rondas campesinas para cumplimiento de compromisos de no deforestación y tráfico de tierras e invasiones"/>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Intervenciones Transversales x UDT"/>
    <s v="Acuerdos con rondas campesinas"/>
    <n v="19"/>
    <n v="237500"/>
    <n v="161.5"/>
    <m/>
    <m/>
    <s v="Incluido costo central"/>
    <s v="Exclusión de mujeres para el cumplimiento de compromisos de no deforestación y tráfico de tierras e invasiones"/>
    <x v="3"/>
    <s v="GN"/>
    <x v="17"/>
    <s v="Establecimiento de cuotas de género"/>
    <s v="Antes de la implementación de la intervención"/>
    <s v="SGN3"/>
    <m/>
  </r>
  <r>
    <x v="1"/>
    <m/>
    <m/>
    <m/>
    <m/>
    <m/>
    <m/>
    <m/>
    <m/>
    <m/>
    <m/>
    <s v="Incluido costo central"/>
    <s v="Exclusión de mujeres para el cumplimiento de compromisos de no deforestación y tráfico de tierras e invasiones"/>
    <x v="3"/>
    <s v="GN"/>
    <x v="43"/>
    <s v="Promover la participación de mujeres rurales para el cumplimiento de compromisos, considerando sus necesidades, inclusive formando las rondas campesinas y rondas nativas"/>
    <s v="Antes y durante la implementación de la intervención"/>
    <s v="SGN11"/>
    <m/>
  </r>
  <r>
    <x v="3"/>
    <s v="3.9.2"/>
    <s v="Mejora de programas de desarrollo alternativo con salvaguardas ambientales"/>
    <s v="Los cultivos alternativos promovidos por los programas de cooperación deberán considerar la no ampliación de la frontera agrícola, la no deforestación de bosques primarios y las intervenciones transversales de recuperación de áreas. "/>
    <s v="Intervenciones Transversales x UDT"/>
    <s v="Reuniones de coordinación"/>
    <n v="5"/>
    <n v="45000"/>
    <n v="30.6"/>
    <m/>
    <m/>
    <s v="Incluido costo central"/>
    <s v="Deforestación de nuevas áreas por el mejoramiento de programas de desarrollo alternativo"/>
    <x v="0"/>
    <e v="#REF!"/>
    <x v="63"/>
    <s v="Acuerdos con la población local, para formentar que no se amplíe la frontera agrícola y promover la conservación de los bosques, evitando que se generen nuevos focos de deforestación"/>
    <s v="Antes y durante la implementación de la intervención"/>
    <s v="SBRN10"/>
    <m/>
  </r>
  <r>
    <x v="3"/>
    <s v="3.9.3"/>
    <s v="Mejoramiento de vías de acceso"/>
    <s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Intervenciones Transversales x UDT"/>
    <s v="Kilómetros mejorados"/>
    <n v="47.900000000000006"/>
    <n v="38320000.000000007"/>
    <n v="26057.600000000006"/>
    <m/>
    <m/>
    <s v="Incluido costo central"/>
    <s v="Deforestación de nuevas áreas por el mejoramiento de vías de acceso, sobre áreas adyacentes"/>
    <x v="0"/>
    <e v="#REF!"/>
    <x v="55"/>
    <s v="Acuerdos de conservación con la población local, cuyo objetivo es dar seguimiento al mejoramiento de las vías de acceso para que no genere nuevos focos de deforestación"/>
    <s v="Antes y durante la implementación de la intervención"/>
    <s v="SBRN9"/>
    <m/>
  </r>
  <r>
    <x v="3"/>
    <s v="3.9.5"/>
    <s v="Mejor cobertura y calidad de servicios de educación y salud"/>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Intervenciones Transversales x UDT"/>
    <s v="Centros de salud y colegios implementados"/>
    <n v="7"/>
    <n v="24500000"/>
    <n v="16660"/>
    <m/>
    <m/>
    <s v="Incluido costo central"/>
    <s v="Exclusión de mujeres en el otorgamiento de servicios de educación y salud"/>
    <x v="3"/>
    <s v="GN"/>
    <x v="17"/>
    <s v="Establecimiento de cuotas de género"/>
    <s v="Antes de la implementación de la intervención"/>
    <s v="SGN3"/>
    <m/>
  </r>
  <r>
    <x v="3"/>
    <s v="3.9.6"/>
    <s v="Programa de servicios públicos móviles"/>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Intervenciones Transversales x UDT"/>
    <s v="N° Campañas"/>
    <n v="149.11500000000001"/>
    <n v="3727875"/>
    <n v="2534.9550000000004"/>
    <m/>
    <m/>
    <s v="Incluido costo central"/>
    <s v="Exclusión de mujeres en el otorgamiento de servicios móviles"/>
    <x v="3"/>
    <s v="GN"/>
    <x v="17"/>
    <s v="Establecimiento de cuotas de género"/>
    <s v="Antes de la implementación de la intervención"/>
    <s v="SGN3"/>
    <m/>
  </r>
  <r>
    <x v="4"/>
    <s v="4.1.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de agricultura familiar con producción destinada al autoconsumo y productos de exportación, con título o sin título de propiedad."/>
    <s v="N° Títulos/Contratos otorgados"/>
    <n v="3164.2654896553499"/>
    <n v="6328530.9793106997"/>
    <n v="4303.4010659312762"/>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s v="DPI"/>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á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de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4"/>
    <s v="4.1.2"/>
    <s v="Asistencia técnica con enfoque bajo en emisiones"/>
    <s v="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Predios de agricultura familiar con producción destinada al autoconsumo y productos de exportación, con título o sin título de propiedad."/>
    <s v="Productores asistidos"/>
    <n v="15617.4"/>
    <n v="8745744"/>
    <n v="5947.1059200000009"/>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4"/>
    <s v="4.1.6"/>
    <s v="Reconversión y diversificación productiva "/>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Predios de agricultura familiar con producción destinada al autoconsumo y productos de exportación, con título o sin título de propiedad."/>
    <s v="Hectáreas reconvertidas"/>
    <n v="1431.96"/>
    <n v="21479400"/>
    <n v="14605.992"/>
    <m/>
    <m/>
    <s v="Incluido costo central"/>
    <s v="Especies exóticas o invasoras en bosques colindante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7"/>
    <n v="24343.32"/>
    <s v="Evaluadores para trabajo de campo   "/>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ultivos elegibles para reconversión no logran obtener los máximos beneficios en las zonas seleccionadas"/>
    <x v="5"/>
    <e v="#REF!"/>
    <x v="11"/>
    <s v="Evaluar la viabilidad de la reconversión de acuerdo a los cultivos seleccionados a fin de determinar la aptitud de la zona para el cultivo, considerando la variable de cambio climático. (Ejm. aumento de la temperatura que modifica la aptitud para el desarrollo del cultivo del café)"/>
    <s v="Antes de la implementación de la intervención"/>
    <s v="SVCC1"/>
    <m/>
  </r>
  <r>
    <x v="4"/>
    <s v="4.1.7"/>
    <s v="Promoción de agricultura familiar con enfoque de mercado"/>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Predios de agricultura familiar con producción destinada al autoconsumo y productos de exportación, con título o sin título de propiedad."/>
    <s v="Productores beneficiados"/>
    <n v="2953.1000000000004"/>
    <n v="38094990.000000007"/>
    <n v="25904.593200000007"/>
    <m/>
    <m/>
    <s v="Incluido costo central"/>
    <s v="Exclusión de mujeres rurales en programas de agricultura familiar"/>
    <x v="3"/>
    <s v="GN"/>
    <x v="8"/>
    <s v="Diseño de programas de asistencia técnica especificos para mujeres rurales considerando sus necesidades de aprendizaje y metodologías apropiadas "/>
    <s v="Antes de la implementación de la intervención"/>
    <s v="SGN2"/>
    <m/>
  </r>
  <r>
    <x v="4"/>
    <s v="4.1.8"/>
    <s v="Asistencia técnica para el desarrollo de la acuicultura"/>
    <s v="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Predios de agricultura familiar con producción destinada al autoconsumo y productos de exportación, con título o sin título de propiedad."/>
    <s v="Acuicultores asistidos"/>
    <n v="70"/>
    <n v="39200"/>
    <n v="26.656000000000002"/>
    <n v="17"/>
    <n v="1190"/>
    <s v="Evaluadores para trabajo de campo   "/>
    <s v="Especies exóticas o invasoras en cuerpos de agua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Efluentes de acuicultura vertidos a cuerpos de agua naturales"/>
    <x v="6"/>
    <e v="#REF!"/>
    <x v="12"/>
    <s v="Control de residuos antes del vertimiento a cuerpos de agua naturales "/>
    <s v="Durante la implementación de la intervención"/>
    <s v="SCT1"/>
    <m/>
  </r>
  <r>
    <x v="4"/>
    <s v="4.1.9"/>
    <s v="Incentivos financieros para la acuicultura "/>
    <s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Predios de agricultura familiar con producción destinada al autoconsumo y productos de exportación, con título o sin título de propiedad."/>
    <s v="Créditos otorgados"/>
    <n v="70"/>
    <n v="903000"/>
    <n v="614.04000000000008"/>
    <m/>
    <m/>
    <s v="Incluido costo central"/>
    <s v="Deforestación para habilitación de áreas para proyectos de acuicultura"/>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m/>
    <m/>
    <s v="Incluido costo central"/>
    <s v="Actividad acuícola no se desarrolla de manera óptima"/>
    <x v="5"/>
    <e v="#REF!"/>
    <x v="13"/>
    <s v="El plan de trabajo debe considerar un análisis de rentabilidad de la actividad acuícola en las zonas donde se va a implementar, con énfasis en la variable de cambio climático."/>
    <s v="Antes de la implementación de la intervención"/>
    <s v="SVCC2"/>
    <m/>
  </r>
  <r>
    <x v="4"/>
    <s v="4.1.10"/>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Predios de agricultura familiar con producción destinada al autoconsumo y productos de exportación, con título o sin título de propiedad."/>
    <s v="Créditos otorgados"/>
    <n v="7808.7"/>
    <n v="83943525"/>
    <n v="57081.597000000002"/>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78087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n v="17"/>
    <n v="132747.9"/>
    <s v="Evaluadores para trabajo de campo  "/>
    <s v="Especies exóticas o invasoras en bosques colindantes"/>
    <x v="0"/>
    <e v="#REF!"/>
    <x v="10"/>
    <s v="Evaluadores de los programas de promoción deberán considerar evaluaciones de presencia de especies invasoras en las áreas en donde se haya otorgado el incentivo. "/>
    <s v="Durante la implementación de la intervención"/>
    <s v="SBRN5"/>
    <m/>
  </r>
  <r>
    <x v="1"/>
    <m/>
    <m/>
    <m/>
    <m/>
    <m/>
    <m/>
    <m/>
    <m/>
    <m/>
    <m/>
    <s v="Incluido costo central"/>
    <s v="Contaminación por residuos agropecuarios"/>
    <x v="6"/>
    <e v="#REF!"/>
    <x v="15"/>
    <s v="Control de residuos agropecuarios"/>
    <s v="Durante la implementación de la intervención"/>
    <s v="SCT2"/>
    <m/>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m/>
  </r>
  <r>
    <x v="4"/>
    <s v="4.1.11"/>
    <s v="Implementación de infraestructura productiva con énfasis a la agro exportación "/>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Predios de agricultura familiar con producción destinada al autoconsumo y productos de exportación, con título o sin título de propiedad."/>
    <s v="Planes de negocios/proyectos ejecutados"/>
    <n v="6"/>
    <n v="4800000"/>
    <n v="3264.0000000000005"/>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m/>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4"/>
    <s v="4.1.12"/>
    <s v="Fortalecimiento de capacidades en gestión de la calidad en las distintas cadenas de valor "/>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Predios de agricultura familiar con producción destinada al autoconsumo y productos de exportación, con título o sin título de propiedad."/>
    <s v="Empresas y organizaciones atendidas"/>
    <n v="4.8000000000000007"/>
    <n v="240000.00000000003"/>
    <n v="163.20000000000005"/>
    <m/>
    <m/>
    <s v="Incluido costo central"/>
    <s v="Exclusión de mujeres rurales en programas de asistencia técnica"/>
    <x v="3"/>
    <s v="GN"/>
    <x v="8"/>
    <s v="Diseño de capacitaciones especificas para mujeres rurales considerando sus necesidades de aprendizaje y metodologías apropiadas "/>
    <s v="Antes de la implementación de la intervención"/>
    <s v="SGN2"/>
    <m/>
  </r>
  <r>
    <x v="4"/>
    <s v="4.1.13"/>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Predios de agricultura familiar con producción destinada al autoconsumo y productos de exportación, con título o sin título de propiedad."/>
    <s v="Organizaciones auto sostenibles"/>
    <n v="6"/>
    <n v="720000"/>
    <n v="489.6"/>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4"/>
    <s v="4.1.16"/>
    <s v="Promoción y desarrollo de proveedores de semillas mejoradas"/>
    <s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
    <s v="Predios de agricultura familiar con producción destinada al autoconsumo y productos de exportación, con título o sin título de propiedad."/>
    <s v="Unidades semilleristas"/>
    <n v="3"/>
    <n v="45000"/>
    <n v="30.6"/>
    <m/>
    <m/>
    <s v="Incluido costo central"/>
    <s v="Exclusión de mujeres productoras del desarrollo de proveedores de semillas mejoradas"/>
    <x v="3"/>
    <s v="GN"/>
    <x v="17"/>
    <s v="Establecimiento de cuotas de género"/>
    <s v="Antes de la implementación de la intervención"/>
    <s v="SGN3"/>
    <m/>
  </r>
  <r>
    <x v="1"/>
    <m/>
    <m/>
    <m/>
    <m/>
    <m/>
    <m/>
    <m/>
    <m/>
    <m/>
    <m/>
    <s v="Incluido costo central"/>
    <s v="Exclusión de mujeres productoras del desarrollo de proveedores de semillas mejoradas"/>
    <x v="3"/>
    <s v="GN"/>
    <x v="19"/>
    <s v="Diseño de programas de desarrollo de proceedores de semillas mejoradas"/>
    <s v="Antes de la implementación de la intervención"/>
    <s v="SGN5"/>
    <m/>
  </r>
  <r>
    <x v="4"/>
    <s v="4.5.1"/>
    <s v="Incentivos financieros para promoción del ecoturismo y turismo comunitario"/>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Concesiones para conservación y ecoturismo "/>
    <s v="Planes de negocios"/>
    <n v="4"/>
    <n v="600000"/>
    <n v="408.00000000000006"/>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m/>
  </r>
  <r>
    <x v="1"/>
    <m/>
    <m/>
    <m/>
    <m/>
    <m/>
    <m/>
    <m/>
    <m/>
    <m/>
    <m/>
    <s v="Incluido costo central"/>
    <s v="Exclusión de mujeres rurales en los incentivos financieros "/>
    <x v="3"/>
    <s v="GN"/>
    <x v="49"/>
    <s v="Inclusión activa de mujeres rurales en actividades turisticas (guiado, servicios para turistas, producción de artesanías, entre otros). Se deberá incluirlas dentro de los programas de capacitación"/>
    <s v="Antes y durante la implementación de la intervención"/>
    <s v="SGN15"/>
    <m/>
  </r>
  <r>
    <x v="4"/>
    <s v="4.5.3"/>
    <s v="Promoción de Bionegocios con productos forestales no maderables "/>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Concesiones para conservación y ecoturismo "/>
    <s v="Planes de negocio"/>
    <n v="5"/>
    <n v="750000"/>
    <n v="510.00000000000006"/>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m/>
  </r>
  <r>
    <x v="1"/>
    <m/>
    <m/>
    <m/>
    <m/>
    <m/>
    <m/>
    <m/>
    <m/>
    <m/>
    <m/>
    <s v="Incluido costo central"/>
    <s v="Exclusión de mujeres rurales en programas de turismo comunitario"/>
    <x v="3"/>
    <s v="GN"/>
    <x v="49"/>
    <s v="Inclusión activa de mujeres rurales en actividades turisticas (guiado, servicios para turistas, producción de artesanías, entre otros). Se deberá incluirlas dentro de los programas de capacitación"/>
    <s v="Antes y durante la implementación de la intervención"/>
    <s v="SGN15"/>
    <m/>
  </r>
  <r>
    <x v="4"/>
    <s v="4.7.1"/>
    <s v="Adecuación de ZoCRE a unidad de ordenamiento forestal y/o titulo habilitante forestal y de fauna silvestre de acuerdo a LFFS (Ley No 29763)"/>
    <s v="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
    <s v="ZOCRES"/>
    <s v="Ha. con categoría territorial asignada"/>
    <n v="40271.913204124918"/>
    <n v="604078.69806187379"/>
    <n v="410.77351468207422"/>
    <m/>
    <m/>
    <s v="Incluido costo central"/>
    <s v="Superposición de las ZOCRES con otros derechos otorgados o que deben ser reconocidos"/>
    <x v="2"/>
    <e v="#REF!"/>
    <x v="5"/>
    <s v="Publicación obligatoria del proceso de adecuación de las ZOCRES"/>
    <s v="Antes de la implementación de la intervención"/>
    <s v="SCR1"/>
    <m/>
  </r>
  <r>
    <x v="1"/>
    <m/>
    <m/>
    <m/>
    <m/>
    <m/>
    <m/>
    <m/>
    <m/>
    <m/>
    <m/>
    <s v="Incluido costo central"/>
    <s v="Superposición de las ZOCRES con otros derechos otorgados o que deben ser reconocidos"/>
    <x v="2"/>
    <e v="#REF!"/>
    <x v="52"/>
    <s v="Análisis de los derechos otogados, para evaluar la superposición con las ZOCRES y evitar su desafectación"/>
    <s v="Antes y durante de la implementación de la intervención"/>
    <s v="SCR7"/>
    <m/>
  </r>
  <r>
    <x v="4"/>
    <s v="4.7.3"/>
    <s v="Elaboración del plan/declaración de manejo de las nuevas categorías de ordenamiento forestal y títulos habilitantes forestales"/>
    <s v="Dependiendo de la categoría forestal a ser aplicada, se realizará un plan/declaración acorde la unidad, en el marco de la ley forestal y fauna silvestre N° 29763."/>
    <s v="ZOCRES"/>
    <s v="N° Planes / Declaraciones elaborados"/>
    <n v="8"/>
    <n v="80000"/>
    <n v="54.400000000000006"/>
    <m/>
    <m/>
    <s v="Incluido costo central"/>
    <s v="Superposición de las ZOCRES con otros derechos otorgados o que deben ser reconocidos"/>
    <x v="2"/>
    <e v="#REF!"/>
    <x v="5"/>
    <s v="Publicación obligatoria del proceso de adecuación de las ZOCRES"/>
    <s v="Antes de la implementación de la intervención"/>
    <s v="SCR1"/>
    <m/>
  </r>
  <r>
    <x v="4"/>
    <s v="4.7.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ZOCRES"/>
    <s v="Ha. Inscritas"/>
    <n v="40271.913204124918"/>
    <n v="40271.913204124918"/>
    <n v="27.384900978804946"/>
    <m/>
    <m/>
    <s v="Incluido costo central"/>
    <s v="Superposición de las ZOCRES con otros derechos otorgados o que deben ser reconocidos"/>
    <x v="2"/>
    <e v="#REF!"/>
    <x v="5"/>
    <s v="Publicación obligatoria del proceso de adecuación de las ZOCRES"/>
    <s v="Antes de la implementación de la intervención"/>
    <s v="SCR1"/>
    <m/>
  </r>
  <r>
    <x v="4"/>
    <s v="4.8.1"/>
    <s v="Creación y establecimiento de unidades de ordenamiento forestal, otorgamiento de títulos habilitantes forestales y tenencia de la tierra"/>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Tierras sin categoría territorial asignada"/>
    <s v="Ha. con categoría territorial asignada"/>
    <n v="47298.808366990103"/>
    <n v="709482.12550485157"/>
    <n v="482.44784534329909"/>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1"/>
    <m/>
    <m/>
    <m/>
    <m/>
    <m/>
    <m/>
    <m/>
    <m/>
    <m/>
    <m/>
    <s v="Incluido costo central"/>
    <s v="Otorgamiento inadecuado de títulos habilitantes que generan tráfico de tierras"/>
    <x v="4"/>
    <s v="PC"/>
    <x v="7"/>
    <s v="Análisis de solicitudes de titulación de predios rurales, para evaluar la existencia y superposición con áreas determinadas como patrimonio cultural y evitar su afectación"/>
    <s v="Antes de la implementación de la intervención"/>
    <s v="SPC1"/>
    <m/>
  </r>
  <r>
    <x v="4"/>
    <s v="4.8.3"/>
    <s v="Elaboración del plan/declaración de manejo de las nuevas categorías de ordenamiento forestal y títulos habilitantes forestales"/>
    <s v="Dependiendo de la categoría forestal a ser aplicada, se realizará un plan/declaración acorde a la unidad, en el marco de la ley forestal y fauna silvestre N° 29763."/>
    <s v="Tierras sin categoría territorial asignada"/>
    <s v="N° Planes / Declaraciones elaborados"/>
    <n v="2"/>
    <n v="20000"/>
    <n v="13.600000000000001"/>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4"/>
    <s v="4.8.4"/>
    <s v="Inscripción en el catastro forestal y en registros públicos"/>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Tierras sin categoría territorial asignada"/>
    <s v="Ha. Inscritas"/>
    <n v="47298.808366990103"/>
    <n v="47298.808366990103"/>
    <n v="32.163189689553271"/>
    <m/>
    <m/>
    <s v="Incluido costo central"/>
    <s v="Otorgamiento inadecuado de títulos habilitantes que generan tráfico de tierras"/>
    <x v="2"/>
    <e v="#REF!"/>
    <x v="54"/>
    <s v="Publicación obligatoria de los procesos administrativos para el establecimiento de unidades de ordenamiento forestal, otorgamiento de títulos habilitantes forestales y tenencia de la tierra"/>
    <s v="Antes de la implementación de la intervención"/>
    <s v="SCR8"/>
    <m/>
  </r>
  <r>
    <x v="4"/>
    <s v="4.2.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Predios privados para ganadería de leche y carne"/>
    <s v="N° Títulos/Contratos otorgados"/>
    <n v="129.97289734342351"/>
    <n v="259945.79468684702"/>
    <n v="176.76314038705598"/>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e v="#REF!"/>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a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4"/>
    <s v="4.2.2"/>
    <s v="Asistencia técnica para el mejoramiento de pastos y ganadería "/>
    <s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Predios privados para ganadería de leche y carne"/>
    <s v="Ganaderos asistidos"/>
    <n v="1214"/>
    <n v="679840"/>
    <n v="462.29120000000006"/>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4"/>
    <s v="4.2.4"/>
    <s v="Mejoramiento genético de ganado bovino"/>
    <s v="Reactivación  , implementación y gestión de las postas de inseminación artificial, importación de material genético (pajillas de semen), capacitación y entrenamiento a inseminadores, transferencia de embriones."/>
    <s v="Predios privados para ganadería de leche y carne"/>
    <s v="Postas activas y operativas"/>
    <n v="3"/>
    <n v="822000"/>
    <n v="558.96"/>
    <m/>
    <m/>
    <s v="Incluido costo central"/>
    <s v="Exclusión de mujeres rurales en programas de asistencia técnica"/>
    <x v="3"/>
    <s v="GN"/>
    <x v="17"/>
    <s v="Establecimiento de cuotas de género"/>
    <s v="Antes de la implementación de la intervención"/>
    <s v="SGN3"/>
    <m/>
  </r>
  <r>
    <x v="1"/>
    <m/>
    <m/>
    <m/>
    <m/>
    <m/>
    <m/>
    <m/>
    <m/>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4"/>
    <s v="4.2.5"/>
    <s v="Programa de acceso al financiamiento agropecuario condicionado"/>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
    <s v="Predios privados para ganadería de leche y carne"/>
    <s v="Créditos otorgados"/>
    <n v="364.2"/>
    <n v="3915150"/>
    <n v="2662.3020000000001"/>
    <m/>
    <m/>
    <s v="Incluido costo central"/>
    <s v="Deforestación de nuevas áreas para implementar créditos o incentivos otorgados"/>
    <x v="0"/>
    <e v="#REF!"/>
    <x v="9"/>
    <s v="El desarrollo productivo deberá realizarse solo en las áreas en donde los polos de intensificación productiva lo hayan considerado factible. Esto excluye a las áreas con bosques "/>
    <s v="Durante la implementación de la intervención"/>
    <s v="SBRN4"/>
    <m/>
  </r>
  <r>
    <x v="1"/>
    <m/>
    <m/>
    <m/>
    <m/>
    <m/>
    <m/>
    <m/>
    <m/>
    <n v="100"/>
    <n v="36420"/>
    <s v="Logística: tralado, movilidad local, alimentacion x 1 dia_x000a__x000a_SIG incluido costo central"/>
    <s v="Deforestación de nuevas áreas para implementar créditos o incentivos otorgados"/>
    <x v="0"/>
    <e v="#REF!"/>
    <x v="14"/>
    <s v="Incentivos deben considerar programa de monitoreo de la deforestación y suscripción de compromisos de no deforestación"/>
    <s v="Antes y durante la implementación de la intervención"/>
    <s v="SBRN6"/>
    <m/>
  </r>
  <r>
    <x v="1"/>
    <m/>
    <m/>
    <m/>
    <m/>
    <m/>
    <m/>
    <m/>
    <m/>
    <m/>
    <m/>
    <s v="Incluido costo central"/>
    <s v="Especies exóticas o invasoras en bosques colindantes"/>
    <x v="0"/>
    <e v="#REF!"/>
    <x v="47"/>
    <s v="Escuelas de campo promueven la implementación de sistemas agroforestales con especies nativas"/>
    <s v="Durante la implementación de la intervención"/>
    <s v="SBRN8"/>
    <m/>
  </r>
  <r>
    <x v="1"/>
    <m/>
    <m/>
    <m/>
    <m/>
    <m/>
    <m/>
    <m/>
    <m/>
    <m/>
    <m/>
    <s v="Incluido costo central"/>
    <s v="Contaminación por residuos agropecuarios"/>
    <x v="6"/>
    <e v="#REF!"/>
    <x v="15"/>
    <s v="Control de residuos agropecuarios"/>
    <s v="Durante la implementación de la intervención"/>
    <s v="SCT2"/>
    <m/>
  </r>
  <r>
    <x v="1"/>
    <m/>
    <m/>
    <m/>
    <m/>
    <m/>
    <m/>
    <m/>
    <m/>
    <m/>
    <m/>
    <s v="Incluido costo central"/>
    <s v="Otorgamiento inapropiado de incentivos "/>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Exclusión de productoras agrarias en sistemas de incentivos financieros"/>
    <x v="3"/>
    <s v="GN"/>
    <x v="17"/>
    <s v="Establecimiento de cuotas de género"/>
    <s v="Antes de la implementación de la intervención"/>
    <s v="SGN3"/>
    <m/>
  </r>
  <r>
    <x v="1"/>
    <m/>
    <m/>
    <m/>
    <m/>
    <m/>
    <m/>
    <m/>
    <m/>
    <m/>
    <m/>
    <s v="Incluido costo central"/>
    <s v="Exclusión de productoras agrarias en sistemas de incentivos financieros"/>
    <x v="3"/>
    <s v="GN"/>
    <x v="18"/>
    <s v="Incorporación de puntajes adicionales en sistemas de incentivos financieros de emprendimientos que consideren mujeres"/>
    <s v="Antes de la implementación de la intervención"/>
    <s v="SGN4"/>
    <m/>
  </r>
  <r>
    <x v="1"/>
    <m/>
    <m/>
    <m/>
    <m/>
    <m/>
    <m/>
    <m/>
    <m/>
    <m/>
    <m/>
    <s v="Incluido costo central"/>
    <s v="Exclusión de productoras agrarias en sistemas de incentivos financieros"/>
    <x v="3"/>
    <s v="GN"/>
    <x v="19"/>
    <s v="Diseño de programas de incentivos especificos para mujeres rurales"/>
    <s v="Durante la implementación de la intervención"/>
    <s v="SGN5"/>
    <m/>
  </r>
  <r>
    <x v="1"/>
    <m/>
    <m/>
    <m/>
    <m/>
    <m/>
    <m/>
    <m/>
    <m/>
    <m/>
    <m/>
    <s v="Incluido costo central"/>
    <s v="Actividad agropecuaria no se desarrolla de manera óptima debido a cambios en las condiciones agroecologicas por el cambio climático"/>
    <x v="5"/>
    <e v="#REF!"/>
    <x v="20"/>
    <s v="El plan de trabajo debe considerar un análisis de rentabilidad de la actividad agropecuaria en las zonas donde se va a implementar, con énfasis en la variable de cambio climático."/>
    <s v="Antes de la implementación de la intervención"/>
    <s v="SVCC3"/>
    <m/>
  </r>
  <r>
    <x v="4"/>
    <s v="4.2.6"/>
    <s v="Promoción de modelos asociativos sostenibles"/>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Predios privados para ganadería de leche y carne"/>
    <s v="Organizaciones fortalecidas"/>
    <n v="4"/>
    <n v="2400000"/>
    <n v="1632.0000000000002"/>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4"/>
    <s v="4.2.7"/>
    <s v="Implementación de infraestructura productiva baja en emisiones"/>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Predios privados para ganadería de leche y carne"/>
    <s v="Planes de negocios implementados"/>
    <n v="6"/>
    <n v="4800000"/>
    <n v="3264.0000000000005"/>
    <m/>
    <m/>
    <s v="Incluido costo central"/>
    <s v="Incremento de la deforestación por demanda de insumos e instalación de infraestructura y vias de comunicación"/>
    <x v="0"/>
    <e v="#REF!"/>
    <x v="14"/>
    <s v="Incentivos deben considerar programa de monitoreo de la deforestación y suscripción de compromisos de no deforestación"/>
    <s v="Antes y durante la implementación de la intervención"/>
    <s v="SBRN6"/>
    <m/>
  </r>
  <r>
    <x v="1"/>
    <m/>
    <m/>
    <m/>
    <m/>
    <m/>
    <m/>
    <m/>
    <m/>
    <m/>
    <m/>
    <s v="Incluido costo central"/>
    <s v="Contaminación por residuos agropecuarios"/>
    <x v="6"/>
    <e v="#REF!"/>
    <x v="15"/>
    <s v="Control de residuos agropecuarios"/>
    <s v="Durante la implementación de la intervención"/>
    <s v="SCT2"/>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4"/>
    <s v="4.3.1"/>
    <s v="Otorgamiento de derechos sobre la tierra/bosques"/>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Empresas comercializadoras de palma y sus derivados."/>
    <s v="N° Títulos/Contratos otorgados"/>
    <n v="199.47835784401499"/>
    <n v="398956.71568803"/>
    <n v="271.29056666786045"/>
    <m/>
    <m/>
    <s v="Incluido costo central"/>
    <s v="Otorgamiento de titulos de propiedad en tierras de aptitud forestal o protección con cobertura de bosques"/>
    <x v="0"/>
    <e v="#REF!"/>
    <x v="0"/>
    <s v="Elaboración de estudios de suelos a escala apropiada para procesos de titulación de acuerdo al reglamento de levantamiento de estudios de suelos aprobado por MINAGRI en unidad catastral de manera previa a la georeferenciación de los predios"/>
    <s v="Durante la implementación de la intervención"/>
    <s v="SBRN1"/>
    <m/>
  </r>
  <r>
    <x v="1"/>
    <m/>
    <m/>
    <m/>
    <m/>
    <m/>
    <m/>
    <m/>
    <m/>
    <m/>
    <m/>
    <s v="Incluido costo central"/>
    <s v="Otorgamiento de titulos de propiedad en tierras de aptitud  A y C con cobertura de bosques"/>
    <x v="0"/>
    <e v="#REF!"/>
    <x v="1"/>
    <s v="Implementación de  procedimiento de cambio de uso actual de tierras A y C descritos en la LFFS y sus reglamentos. "/>
    <s v="Antes de la implementación de la intervención"/>
    <s v="SBRN2"/>
    <m/>
  </r>
  <r>
    <x v="1"/>
    <m/>
    <m/>
    <m/>
    <m/>
    <m/>
    <m/>
    <m/>
    <m/>
    <m/>
    <m/>
    <s v="Incluido costo central"/>
    <s v="Otorgamiento de titulos de propiedad en tierras de aptitud  A y C con cobertura de bosques"/>
    <x v="0"/>
    <s v="DPI"/>
    <x v="2"/>
    <s v="Capacitación a la población local sobre deberes y derechos sobre derechos sobre la tierra y los bosques (titulos de propiedad y CUSSAF)"/>
    <s v="Antes y durante la implementación de la intervención"/>
    <s v="SBRN3"/>
    <m/>
  </r>
  <r>
    <x v="1"/>
    <m/>
    <m/>
    <m/>
    <m/>
    <m/>
    <m/>
    <m/>
    <m/>
    <m/>
    <m/>
    <s v="Incluido costo central"/>
    <s v="Superposición de áreas a ser tituladas individualmente con áreas solicitadas por pueblos indígenas"/>
    <x v="1"/>
    <s v="DPI"/>
    <x v="3"/>
    <s v="Análisis de solicitudes de reconocimiento, titulación o ampliación de comunidades nativas recibidas de manera previa a la titulación. Exclusión de las áreas solicitadas en donde se haya determinado existencia de derechos previos de pueblos indigenas"/>
    <s v="Antes la implementación de la intervención"/>
    <s v="SDPI1"/>
    <m/>
  </r>
  <r>
    <x v="1"/>
    <m/>
    <m/>
    <m/>
    <m/>
    <m/>
    <m/>
    <m/>
    <m/>
    <m/>
    <m/>
    <s v="Incluido costo central"/>
    <s v="Superposición de áreas a ser tituladas individualmente con áreas solicitadas por pueblos indígenas"/>
    <x v="1"/>
    <s v="DPI"/>
    <x v="4"/>
    <s v="Elaboración de propuesta con organizaciones indigenas regionales sobre áreas pendientes de titulación a favor de comunidades nativas en San Martín "/>
    <s v="Antes de la implementación de la intervención"/>
    <s v="SDPI2"/>
    <m/>
  </r>
  <r>
    <x v="1"/>
    <m/>
    <m/>
    <m/>
    <m/>
    <m/>
    <m/>
    <m/>
    <m/>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xclusión de mujeres propietarias en títulos de propiedad o contratos de cesión en uso"/>
    <x v="3"/>
    <s v="GN"/>
    <x v="6"/>
    <s v="Modificación del formato de titulo de propiedad o contrato de cesión en uso para incluir conyugues y coviviente"/>
    <s v="Antes de la implementación de la intervención"/>
    <s v="SGN1"/>
    <m/>
  </r>
  <r>
    <x v="1"/>
    <m/>
    <m/>
    <m/>
    <m/>
    <m/>
    <m/>
    <m/>
    <m/>
    <m/>
    <m/>
    <s v="Incluido costo central"/>
    <s v="Otorgamiento de derechos sobre la tierra / bosques en zonas con patrimonio cultural"/>
    <x v="4"/>
    <s v="PC"/>
    <x v="7"/>
    <s v="Análisis de solicitudes de titulación de predios rurales, para evaluar la existencia y superposición con áreas determinadas como patrimonio cultural y evitar su afectación"/>
    <s v="Antes la implementación de la intervención"/>
    <s v="SPC1"/>
    <m/>
  </r>
  <r>
    <x v="4"/>
    <s v="4.3.2"/>
    <s v="Acceso a financiamiento para modelos de asociación con pequeños productores"/>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Empresas comercializadoras de palma y sus derivados."/>
    <s v="Productores atendidos"/>
    <n v="648.29999999999995"/>
    <n v="6969224.9999999991"/>
    <n v="4739.0729999999994"/>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1"/>
    <m/>
    <m/>
    <m/>
    <m/>
    <m/>
    <m/>
    <m/>
    <m/>
    <m/>
    <m/>
    <s v="Incluido costo central"/>
    <s v="Incentivos financieros promueven la deforestación y  pérdida de biodiversidad"/>
    <x v="0"/>
    <e v="#REF!"/>
    <x v="63"/>
    <s v="El acceso al financiamiento deberá estar condicionado a acuerdos de no deforestación y el monitoreo de estos compromisos. "/>
    <s v="Antes y durante la implementación de la intervención"/>
    <s v="SBRN10"/>
    <m/>
  </r>
  <r>
    <x v="4"/>
    <s v="4.3.3"/>
    <s v="Acompañamiento de acuerdos comerciales entre empresas y medianos productores"/>
    <s v="Brindar asesoramiento y acompañamiento a los productores organizados y no organizados en sus procesos de negociación, este acompañamiento permitirá llegar a buenos acuerdos con las empresas y asegurar que los pequeños productores tengan acceso a precios justos."/>
    <s v="Empresas comercializadoras de palma y sus derivados."/>
    <s v="Especialistas"/>
    <n v="2"/>
    <n v="420000"/>
    <n v="285.60000000000002"/>
    <m/>
    <m/>
    <s v="Incluido costo central"/>
    <s v="Desventajas en los procesos de negociación"/>
    <x v="2"/>
    <e v="#REF!"/>
    <x v="62"/>
    <s v="Capacitación y acompañamiento a las partes para una negociación justa y equitativa que conlleve a la suscripción de acuerdos favorables y transparentes"/>
    <s v="Antes de la implementación de la intervención"/>
    <s v="SCR11"/>
    <m/>
  </r>
  <r>
    <x v="1"/>
    <s v="4.3.4"/>
    <s v="Ampliación de estudios de HCS y HCV para nuevas áreas potenciales para asociación con pequeños productores"/>
    <s v="Promover el financiamiento para el desarrollo e implementación de estudios de umbrales de carbono en el suelo y en los bosques."/>
    <s v="Empresas comercializadoras de palma y sus derivados."/>
    <s v="Estudios "/>
    <n v="2"/>
    <n v="440800"/>
    <n v="299.74400000000003"/>
    <m/>
    <m/>
    <s v="Incluido costo central"/>
    <s v="Exclusión de mujeres "/>
    <x v="3"/>
    <s v="GN"/>
    <x v="17"/>
    <s v="Establecimiento de cuotas de género"/>
    <s v="Antes de la implementación de la intervención"/>
    <s v="SGN3"/>
    <m/>
  </r>
  <r>
    <x v="4"/>
    <s v="4.4.1"/>
    <s v="Concluir reconocimiento y titulación "/>
    <s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_x000a_Saneamiento físico legal (georreferenciación, actualización gráfica, e inscripción en registros públicos), en concordancia con la R.M. 0370-2017-MINAGRI, de 2 comunidades nativas: MUSHUCK LLACTA DE CHIPAOTA y  CHARAPILLO."/>
    <s v="Territorios de comunidades nativas"/>
    <s v="Comunidades tituladas"/>
    <n v="44"/>
    <n v="3135000"/>
    <n v="2131.8000000000002"/>
    <m/>
    <m/>
    <s v="Incluido costo central"/>
    <s v="Conflictos sociales en procesos de titulación de pueblos indígenas"/>
    <x v="1"/>
    <s v="DPI"/>
    <x v="21"/>
    <s v="Asistencia técnica en la mediación de conflictos con otras partes durante proceo de titulación"/>
    <s v="Durante la implementación de la intervención"/>
    <s v="SDPI3"/>
    <m/>
  </r>
  <r>
    <x v="1"/>
    <m/>
    <m/>
    <m/>
    <m/>
    <m/>
    <m/>
    <m/>
    <m/>
    <n v="8000"/>
    <n v="352000"/>
    <s v="Traslado a la capital de aprox 8 representantes de la junta directiva por comunidad nativa, pasaje ida y vuelva y viáticos por 3 días = 6000_x000a_Responsable de elaboración de expediente = 2000"/>
    <s v="Comunidades no cuentan con representantes legales con poderes actualizados"/>
    <x v="1"/>
    <s v="DPI"/>
    <x v="22"/>
    <s v="Brindar soporte técnico a las comunidades para actualizar sus libros de actas e inscribir las juntas directas en registros públicos"/>
    <s v="Antes de la implementación de la intervención"/>
    <s v="SDPI4"/>
    <m/>
  </r>
  <r>
    <x v="1"/>
    <m/>
    <m/>
    <m/>
    <m/>
    <m/>
    <m/>
    <m/>
    <m/>
    <m/>
    <m/>
    <s v="Incluido costo central"/>
    <s v="Superposición de áreas solicitadas con otras unidades de ordenamiento forestal"/>
    <x v="1"/>
    <s v="DPI"/>
    <x v="23"/>
    <s v="Acompañar solicitudes de redimensionamiento y solución de superposiciones"/>
    <s v="Durante la implementación de la intervención"/>
    <s v="SDPI5"/>
    <m/>
  </r>
  <r>
    <x v="1"/>
    <m/>
    <m/>
    <m/>
    <m/>
    <m/>
    <m/>
    <m/>
    <m/>
    <m/>
    <m/>
    <s v="Incluido costo central"/>
    <s v="Conflictos por actualización de bases gráficas de títulos ya otorgados"/>
    <x v="1"/>
    <s v="DPI"/>
    <x v="24"/>
    <s v="Actualización de bases gráficas junto a comunidades nativas y organizaciones indigenas"/>
    <s v="Durante la implementación de la intervención"/>
    <s v="SDPI6"/>
    <m/>
  </r>
  <r>
    <x v="1"/>
    <m/>
    <m/>
    <m/>
    <m/>
    <m/>
    <m/>
    <m/>
    <m/>
    <n v="715"/>
    <n v="31460"/>
    <s v="18 reuniones: 6 sobre trabajos iniciales, 6 propuesta, 6 validación"/>
    <s v="Demoras excesivas en procesos de reconocimiento y titulación"/>
    <x v="1"/>
    <s v="DPI"/>
    <x v="25"/>
    <s v="Conformar un grupo de trabajo por UDT para  intercambiar información y coordinar actividades antes y durante los procesos de titulación "/>
    <s v="Antes y durante la implementación de la intervención"/>
    <s v="SDPI7"/>
    <m/>
  </r>
  <r>
    <x v="1"/>
    <m/>
    <m/>
    <m/>
    <m/>
    <m/>
    <m/>
    <m/>
    <m/>
    <m/>
    <m/>
    <s v="Incluido costo central"/>
    <s v="No se incorpora el conocimiento de las mujeres indígenas sobre el territorio"/>
    <x v="3"/>
    <s v="GN"/>
    <x v="26"/>
    <s v="Capacitación a mujeres indigenas en procesos de titulación y garantizar su participación en brigadas de titulación para ayudar a georeferenciar el área de la comunidad"/>
    <s v="Durante la implementación de la intervención"/>
    <s v="SGN6"/>
    <m/>
  </r>
  <r>
    <x v="1"/>
    <m/>
    <m/>
    <m/>
    <m/>
    <m/>
    <m/>
    <m/>
    <m/>
    <m/>
    <m/>
    <s v="Incluido costo central"/>
    <s v="Desconfianza de las comunidades en actividades de titulación"/>
    <x v="1"/>
    <s v="DPI"/>
    <x v="27"/>
    <s v="Acompañamiento de técnicos indigenas en brigadas de titulación, soporte para explicar a las comunidades las actividades de campo con metodologías e idioma apropiado"/>
    <s v="Durante la implementación de la intervención"/>
    <s v="SDPI13"/>
    <m/>
  </r>
  <r>
    <x v="1"/>
    <m/>
    <m/>
    <m/>
    <m/>
    <m/>
    <m/>
    <m/>
    <m/>
    <m/>
    <m/>
    <s v="Incluido costo central"/>
    <s v="Otorgamiento de derechos sobre la tierra / bosques en zonas con patrimonio cultural"/>
    <x v="4"/>
    <s v="PC"/>
    <x v="28"/>
    <s v="Análisis de solicitudes de titulación de comunidades nativas, para evaluar la existencia y superposición con áreas determinadas como patrimonio cultural y evitar su afectación"/>
    <s v="Antes la implementación de la intervención"/>
    <s v="SPC2"/>
    <m/>
  </r>
  <r>
    <x v="4"/>
    <s v="4.4.2"/>
    <s v="Asistencia técnica para el manejo agroforestal "/>
    <s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Territorios de comunidades nativas"/>
    <s v="Productor asistido"/>
    <n v="4700"/>
    <n v="2632000"/>
    <n v="1789.7600000000002"/>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Exclusión de mujeres rurales indígenas en programas de asistencia técnica"/>
    <x v="3"/>
    <s v="GN"/>
    <x v="30"/>
    <s v="Diseño de programas de asistencia técnica y capacitación especificos para mujeres rurales indigenas considerando sus necesidades de aprendizaje y metodologías apropiadas "/>
    <s v="Antes de la implementación de la intervención"/>
    <s v="SGN7"/>
    <m/>
  </r>
  <r>
    <x v="4"/>
    <s v="4.4.3"/>
    <s v="Promoción de Bionegocios con productos forestales no maderables "/>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Territorios de comunidades nativas"/>
    <s v="Planes de negocios"/>
    <n v="60"/>
    <n v="900000"/>
    <n v="612"/>
    <m/>
    <m/>
    <s v="Incluido costo central"/>
    <s v="Biopiratería de recursos genéticos y recursos biológicos en tierras de comunidades nativas"/>
    <x v="1"/>
    <s v="DPI"/>
    <x v="31"/>
    <s v="Capacitación y acompañamiento a comunidades nativas para la negociación de bionegocios"/>
    <s v="Antes de la implementación de la intervención"/>
    <s v="SDPI10"/>
    <m/>
  </r>
  <r>
    <x v="1"/>
    <m/>
    <m/>
    <m/>
    <m/>
    <m/>
    <m/>
    <m/>
    <m/>
    <n v="150"/>
    <n v="9000"/>
    <s v="Reuniones"/>
    <s v="Demora en trámites administrativos no contemplan condiciones vinculadas a los pueblos indígenas"/>
    <x v="1"/>
    <s v="DPI"/>
    <x v="32"/>
    <s v="Simplificación de trámites administrativos para el aprovechamiento sostenible de los recursos forestales no maderables y de fauna silvestre considerando enfoque intercultural"/>
    <s v="Antes de la implementación de la intervención"/>
    <s v="SDPI11"/>
    <m/>
  </r>
  <r>
    <x v="1"/>
    <m/>
    <m/>
    <m/>
    <m/>
    <m/>
    <m/>
    <m/>
    <m/>
    <m/>
    <m/>
    <s v="Incluido costo central"/>
    <s v="Apropiación ilícita de conocimientos tradicionales"/>
    <x v="1"/>
    <s v="DPI"/>
    <x v="33"/>
    <s v="Sistematización de conocimientos tradicionales y registro en INDECOPI"/>
    <s v="Antes y durante la implementación de la intervención"/>
    <s v="SDPI12"/>
    <m/>
  </r>
  <r>
    <x v="1"/>
    <m/>
    <m/>
    <m/>
    <m/>
    <m/>
    <m/>
    <m/>
    <m/>
    <m/>
    <m/>
    <s v="Incluido costo central"/>
    <s v="Exclusión de mujeres indígenas en programa de biocomercio"/>
    <x v="3"/>
    <s v="GN"/>
    <x v="34"/>
    <s v="Establecimiento de cuotas de género"/>
    <s v="Antes de la implementación de la intervención"/>
    <s v="SGN8"/>
    <m/>
  </r>
  <r>
    <x v="1"/>
    <m/>
    <m/>
    <m/>
    <m/>
    <m/>
    <m/>
    <m/>
    <m/>
    <m/>
    <m/>
    <s v="Incluido costo central"/>
    <s v="Exclusión de mujeres indígenas en programa de biocomercio"/>
    <x v="3"/>
    <s v="GN"/>
    <x v="35"/>
    <s v="Diseño de programas de biocomercio de emprendimientos de mujeres indigenas"/>
    <s v="Antes y durante la implementación de la intervención"/>
    <s v="SGN9"/>
    <m/>
  </r>
  <r>
    <x v="4"/>
    <s v="4.4.4"/>
    <s v="Fortalecimiento de capacidades"/>
    <s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Territorios de comunidades nativas"/>
    <s v="Comunidades fortalecidas"/>
    <n v="27"/>
    <n v="1440000"/>
    <n v="979.2"/>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Exclusión de mujeres rurales indígenas en programas de capacitación"/>
    <x v="3"/>
    <s v="GN"/>
    <x v="30"/>
    <s v="Diseño de programas de asistencia técnica y capacitación especificos para mujeres rurales indigenas considerando sus necesidades de aprendizaje y metodologías apropiadas "/>
    <s v="Antes de la implementación de la intervención"/>
    <s v="SGN7"/>
    <m/>
  </r>
  <r>
    <x v="4"/>
    <s v="4.4.5"/>
    <s v="Identificación y apertura de mercado para productos del bosque."/>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Territorios de comunidades nativas"/>
    <s v="Especialistas"/>
    <n v="3"/>
    <n v="630000"/>
    <n v="428.40000000000003"/>
    <m/>
    <m/>
    <s v="Incluido costo central"/>
    <s v="Biopiratería de recursos genéticos y recursos biológicos en tierras de comunidades nativas"/>
    <x v="1"/>
    <s v="DPI"/>
    <x v="31"/>
    <s v="Capacitación y acompañamiento a comunidades nativas para la negociación de bionegocios"/>
    <s v="Antes de la implementación de la intervención"/>
    <s v="SDPI10"/>
    <m/>
  </r>
  <r>
    <x v="1"/>
    <m/>
    <m/>
    <m/>
    <m/>
    <m/>
    <m/>
    <m/>
    <m/>
    <m/>
    <m/>
    <s v="Incluido costo central"/>
    <s v="Apropiación ilícita de conocimientos tradicionales"/>
    <x v="1"/>
    <s v="DPI"/>
    <x v="33"/>
    <s v="Sistematización de conocimientos tradicionales y registro en INDECOPI"/>
    <s v="Antes y durante la implementación de la intervención"/>
    <s v="SDPI12"/>
    <m/>
  </r>
  <r>
    <x v="4"/>
    <s v="4.4.6"/>
    <s v="Transferencias de incentivos por conservación de bosques"/>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Territorios de comunidades nativas"/>
    <s v="Comunidades atendidas"/>
    <n v="28.2"/>
    <n v="705000"/>
    <n v="479.40000000000003"/>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1"/>
    <m/>
    <m/>
    <m/>
    <m/>
    <m/>
    <m/>
    <m/>
    <m/>
    <m/>
    <m/>
    <s v="Incluido costo central"/>
    <s v="Apropiación ilícita de los recursos de las transferencias directas condicionadas y adquisiciones inadecuadas"/>
    <x v="1"/>
    <s v="DPI"/>
    <x v="36"/>
    <s v="Fortalecimiento independiente administrativo y técnico de CODEPISAM para poder ejecutar proyectos directamente. Generación de mecanismos de gobernanza y rendición de cuentas"/>
    <s v="Antes y durante la implementación de la intervención"/>
    <s v="SDPI14"/>
    <m/>
  </r>
  <r>
    <x v="1"/>
    <m/>
    <m/>
    <m/>
    <m/>
    <m/>
    <m/>
    <m/>
    <m/>
    <m/>
    <m/>
    <s v="Incluido costo central"/>
    <s v="Apropiación ilícita de los recursos de las transferencias directas condicionadas y adquisiciones inadecuadas"/>
    <x v="2"/>
    <e v="#REF!"/>
    <x v="37"/>
    <s v="Implementación de procedimientos competitivos para adquisiciones y publicación de convocatoria y resultados de adquisiciones"/>
    <s v="Antes y durante la implementación de la intervención"/>
    <s v="SCR3"/>
    <m/>
  </r>
  <r>
    <x v="4"/>
    <s v="4.4.8"/>
    <s v="Servicios básicos de calidad"/>
    <s v="Implementación de proyectos enfocados a mejorar los servicios básicos de las comunidades nativas, dichos servicios deberán contar con profesionales bilingües, para asegurar y garantizar la adecuada transferencia de dichos servicios.  "/>
    <s v="Territorios de comunidades nativas"/>
    <s v="Escuelas y postas médicas implementadas"/>
    <n v="23.5"/>
    <n v="17625000"/>
    <n v="11985"/>
    <m/>
    <m/>
    <s v="Incluido costo central"/>
    <s v="Programas de servicios básicos de salud y educación diseñados sin enfoque intercultural"/>
    <x v="1"/>
    <s v="DPI"/>
    <x v="38"/>
    <s v="Diseñar programas de servicios basicos de salud y educación considerando un enfoque intercultural,  sus necesidades y medios apropiados para garantizar su acceso oportuno"/>
    <s v="Antes de la implementación de la intervención"/>
    <s v="SDPI8"/>
    <m/>
  </r>
  <r>
    <x v="1"/>
    <m/>
    <m/>
    <m/>
    <m/>
    <m/>
    <m/>
    <m/>
    <m/>
    <m/>
    <m/>
    <s v="Incluido costo central"/>
    <s v="Exclusión de servicios básicos a mujeres indígenas"/>
    <x v="3"/>
    <s v="GN"/>
    <x v="39"/>
    <s v="Diseñar programas de servicios basicos de salud y educación considerando el rol de la mujer en la comunidad,  sus necesidades y medios apropiados para garantizar su acceso oportuno. Considera elaboración de lineamientos"/>
    <s v="Antes de la implementación de la intervención"/>
    <s v="SGN10"/>
    <m/>
  </r>
  <r>
    <x v="1"/>
    <m/>
    <m/>
    <m/>
    <m/>
    <m/>
    <m/>
    <m/>
    <m/>
    <m/>
    <m/>
    <s v="Incluido costo central"/>
    <s v="Restricción de disponibilidad y acceso a servicios básicos"/>
    <x v="7"/>
    <s v="DH"/>
    <x v="40"/>
    <s v="Acceso justo y equitativo de la población a los beneficios sociales de calidad, de forma justa y equitativa"/>
    <s v="Antes y durante la implementación de la intervención"/>
    <s v="SDH1"/>
    <m/>
  </r>
  <r>
    <x v="4"/>
    <s v="4.6.1"/>
    <s v="Fortalecer el control y vigilancia"/>
    <s v="Implementar con recursos necesarios al ente que administra el área, con la finalidad de aumentar el número de personas (guardaparques) que contribuyan a realizar acciones de control y vigilancia."/>
    <s v="ACR Cordillera Escalera "/>
    <s v="Número de guardaparques"/>
    <n v="5"/>
    <n v="600000"/>
    <n v="408.00000000000006"/>
    <m/>
    <m/>
    <s v="Incluido costo central"/>
    <s v="Cohecho en el control y vigilancia de recursos naturales"/>
    <x v="2"/>
    <e v="#REF!"/>
    <x v="41"/>
    <s v="Implementación de sistema de denuncias en linea, transparencia en procesos de control (por ejemplo uso de cámaras en intervenciones), transparencia en registros de aprovechamiento"/>
    <s v="Antes y durante la implementación de la intervención"/>
    <s v="SCR4"/>
    <m/>
  </r>
  <r>
    <x v="1"/>
    <m/>
    <m/>
    <m/>
    <m/>
    <m/>
    <m/>
    <m/>
    <m/>
    <m/>
    <m/>
    <s v="Incluido costo central"/>
    <s v="Cohecho en el control y vigilancia de recursos naturales"/>
    <x v="2"/>
    <e v="#REF!"/>
    <x v="42"/>
    <s v="Capacitación e involucramiento de población local en actividades de control y vigilancia "/>
    <s v="Antes y durante la implementación de la intervención"/>
    <s v="SCR5"/>
    <m/>
  </r>
  <r>
    <x v="1"/>
    <m/>
    <m/>
    <m/>
    <m/>
    <m/>
    <m/>
    <m/>
    <m/>
    <m/>
    <m/>
    <s v="Incluido costo central"/>
    <s v="Adquisición inadecuada de recursos para el control y vigilancia"/>
    <x v="2"/>
    <e v="#REF!"/>
    <x v="37"/>
    <s v="Implementación de procedimientos competitivos para adquisiciones y publicación de convocatoria y resultados de adquisiciones"/>
    <s v="Antes y durante la implementación de la intervención"/>
    <s v="SCR3"/>
    <m/>
  </r>
  <r>
    <x v="1"/>
    <m/>
    <m/>
    <m/>
    <m/>
    <m/>
    <m/>
    <m/>
    <m/>
    <m/>
    <m/>
    <s v="Incluido costo central"/>
    <s v="Exclusión de mujeres rurales en iniciativas de control y vigilancia"/>
    <x v="3"/>
    <s v="GN"/>
    <x v="43"/>
    <s v="Diseño de programa para promover la participación de mujeres rurales en sistema de control y vigilancia "/>
    <s v="Antes de la implementación de la intervención"/>
    <s v="SGN11"/>
    <m/>
  </r>
  <r>
    <x v="4"/>
    <s v="4.6.2"/>
    <s v="Sensibilización para el fortalecimiento del control y vigilancia en zona de amortiguamiento"/>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ACR Cordillera Escalera "/>
    <s v="Campañas de sensibilización"/>
    <n v="45"/>
    <n v="1800000"/>
    <n v="1224"/>
    <m/>
    <m/>
    <s v="Incluido costo central"/>
    <s v="Cohecho en el control y vigilancia de recursos naturales"/>
    <x v="2"/>
    <e v="#REF!"/>
    <x v="41"/>
    <s v="Implementación de sistema de denuncias en linea, transparencia en procesos de control (por ejemplo uso de cámaras en intervenciones), transparencia en registros de aprovechamiento"/>
    <s v="Antes y durante la implementación de la intervención"/>
    <s v="SCR4"/>
    <m/>
  </r>
  <r>
    <x v="1"/>
    <m/>
    <m/>
    <m/>
    <m/>
    <m/>
    <m/>
    <m/>
    <m/>
    <m/>
    <m/>
    <s v="Incluido costo central"/>
    <s v="Cohecho en el control y vigilancia de recursos naturales"/>
    <x v="2"/>
    <e v="#REF!"/>
    <x v="42"/>
    <s v="Capacitación e involucramiento de población local en actividades de control y vigilancia "/>
    <s v="Antes y durante la implementación de la intervención"/>
    <s v="SCR5"/>
    <m/>
  </r>
  <r>
    <x v="1"/>
    <m/>
    <m/>
    <m/>
    <m/>
    <m/>
    <m/>
    <m/>
    <m/>
    <m/>
    <m/>
    <s v="Incluido costo central"/>
    <s v="Adquisición inadecuada de recursos para el control y vigilancia"/>
    <x v="2"/>
    <e v="#REF!"/>
    <x v="37"/>
    <s v="Implementación de procedimientos competitivos para adquisiciones y publicación de convocatoria y resultados de adquisiciones"/>
    <s v="Antes y durante la implementación de la intervención"/>
    <s v="SCR3"/>
    <m/>
  </r>
  <r>
    <x v="1"/>
    <m/>
    <m/>
    <m/>
    <m/>
    <m/>
    <m/>
    <m/>
    <m/>
    <m/>
    <m/>
    <s v="Incluido costo central"/>
    <s v="Exclusión de mujeres rurales en iniciativas de control y vigilancia"/>
    <x v="3"/>
    <s v="GN"/>
    <x v="43"/>
    <s v="Diseño de programa para promover la participación de mujeres rurales en sistema de control y vigilancia "/>
    <s v="Antes de la implementación de la intervención"/>
    <s v="SGN11"/>
    <m/>
  </r>
  <r>
    <x v="4"/>
    <s v="4.6.4"/>
    <s v="Promoción y difusión de circuitos turísticos en zona de amortiguamiento"/>
    <s v="Campañas de promoción y difusión en el ámbito regional y nacional de los circuitos turísticos que existen en la zona de amortiguamiento."/>
    <s v="ACR Cordillera Escalera "/>
    <s v="Campañas de promoción"/>
    <n v="12"/>
    <n v="240000"/>
    <n v="163.20000000000002"/>
    <m/>
    <m/>
    <s v="Incluido costo central"/>
    <s v="Impacto negativo sobre la biodiversidad por infraestructura o visitantes"/>
    <x v="0"/>
    <e v="#REF!"/>
    <x v="45"/>
    <s v="Análisis del impacto y establecimiento de buenas prácticas para evitar la afectación sobre la biodiversidad "/>
    <s v="Antes y durante la implementación de la intervención"/>
    <s v="SBRN7"/>
    <m/>
  </r>
  <r>
    <x v="1"/>
    <m/>
    <m/>
    <m/>
    <m/>
    <m/>
    <m/>
    <m/>
    <m/>
    <m/>
    <m/>
    <s v="Incluido costo central"/>
    <s v="Exclusión de mujeres rurales en programas de turismo comunitario"/>
    <x v="3"/>
    <s v="GN"/>
    <x v="46"/>
    <s v="Inclusión activa de mujeres rurales en actividades turisticas (guiado, servicios para turistas, producción de artesanías, entre otros). Se deberá incluirlas dentro de los programas de capacitación"/>
    <s v="Antes y durante la implementación de la intervención"/>
    <s v="SGN13"/>
    <m/>
  </r>
  <r>
    <x v="4"/>
    <s v="4.6.5"/>
    <s v="Promoción de agroforestería sostenible en zona de amortiguamiento"/>
    <s v="Pasantías regionales con productores con la finalidad de conocer  los diferentes sistemas productivos sostenibles a ser replicados en las comunidades."/>
    <s v="ACR Cordillera Escalera "/>
    <s v="Pasantías"/>
    <n v="6"/>
    <n v="75000"/>
    <n v="51.000000000000007"/>
    <m/>
    <m/>
    <s v="Incluido costo central"/>
    <s v="Exclusión de mujeres en las pasantías "/>
    <x v="3"/>
    <s v="GN"/>
    <x v="17"/>
    <s v="Establecimiento de cuotas de género"/>
    <s v="Antes de la implementación de la intervención"/>
    <s v="SGN3"/>
    <m/>
  </r>
  <r>
    <x v="4"/>
    <s v="4.6.6"/>
    <s v="Recuperación de la red hídrica en la zona de influencia de la ACR"/>
    <s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ACR Cordillera Escalera "/>
    <s v="Proyectos ejecutados"/>
    <n v="1"/>
    <n v="47000000"/>
    <n v="31960.000000000004"/>
    <m/>
    <m/>
    <s v="Incluido costo central"/>
    <s v="Incremento de la deforestación por instalación de infraestructura y vias de comunicación"/>
    <x v="0"/>
    <e v="#REF!"/>
    <x v="2"/>
    <s v="Compartir con la población la importancia de la recuperación de la red hídrica del ACR y la importancia de los bosques y servicios ecosistémicos"/>
    <s v="Antes y durante la implementación de la intervención"/>
    <s v="SBRN3"/>
    <m/>
  </r>
  <r>
    <x v="1"/>
    <m/>
    <m/>
    <m/>
    <m/>
    <m/>
    <m/>
    <m/>
    <m/>
    <m/>
    <m/>
    <s v="Incluido costo central"/>
    <s v="Efluentes vertidos a cuerpos de agua naturales"/>
    <x v="6"/>
    <e v="#REF!"/>
    <x v="12"/>
    <s v="Control de residuos antes del vertimiento a cuerpos de agua naturales "/>
    <s v="Durante la implementación de la intervención"/>
    <s v="SCT1"/>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2"/>
    <m/>
  </r>
  <r>
    <x v="1"/>
    <m/>
    <m/>
    <m/>
    <m/>
    <m/>
    <m/>
    <m/>
    <m/>
    <m/>
    <m/>
    <s v="Incluido costo central"/>
    <s v="Falta de socialización de las actividades a desarrollar"/>
    <x v="2"/>
    <e v="#REF!"/>
    <x v="60"/>
    <s v="Presentar el plan de trabajo a los actores ubicados en el ACR y en sus zonas de amortiguamiento, logrando su involucramiento y conformidad con la intervención a realizar, previniendo además posibles conflictos sociales"/>
    <s v="Antes y durante la implementación de la intervención"/>
    <s v="SCR9"/>
    <m/>
  </r>
  <r>
    <x v="1"/>
    <m/>
    <m/>
    <m/>
    <m/>
    <m/>
    <m/>
    <m/>
    <m/>
    <m/>
    <m/>
    <s v="Incluido costo central"/>
    <s v="Exclusión de mujeres rurales en las actividades de recuperación de la red hídrica del ACR"/>
    <x v="3"/>
    <s v="GN"/>
    <x v="17"/>
    <s v="Participación de mujeres en las actividades, a fin de dar a conocer sus aportes sobre la recuperación de la red hídrica del ACR"/>
    <s v="Antes de la implementación de la intervención"/>
    <s v="SGN3"/>
    <m/>
  </r>
  <r>
    <x v="1"/>
    <m/>
    <m/>
    <m/>
    <m/>
    <m/>
    <m/>
    <m/>
    <m/>
    <m/>
    <m/>
    <s v="Incluido costo central"/>
    <s v="Falta de consideración del lenguaje intercultural en el proceso"/>
    <x v="1"/>
    <s v="DPI"/>
    <x v="56"/>
    <s v="Considerar el enfoque inercultural en la ejecución de actividades, invoucrando a las comunidades nativas, pobladores locales y actores en general que se encuentren ubicados en el ACR y en sus zonas de amortiguamiento"/>
    <s v="Durante la implementación de la intervención"/>
    <s v="SDPI15"/>
    <m/>
  </r>
  <r>
    <x v="4"/>
    <s v="4.6.7"/>
    <s v="Incentivos financieros para promoción del ecoturismo y turismo comunitario"/>
    <s v="Implementación de planes de negocios para el desarrollo de rutas turísticas, turismo vivencial comunitario, y otras modalidades de servicios que sean generadoras de ingresos económicos, respetando el medio ambiente."/>
    <s v="ACR Cordillera Escalera "/>
    <s v="Planes de negocios"/>
    <n v="5"/>
    <n v="500000"/>
    <n v="340"/>
    <m/>
    <m/>
    <s v="Incluido costo central"/>
    <s v="Impacto negativo sobre la biodiversidad por infraestructura o visitantes"/>
    <x v="0"/>
    <e v="#REF!"/>
    <x v="45"/>
    <s v="Analisis del impacto y establecimiento de buenas prácticas para evitar la afectación sobre la biodiversidad "/>
    <s v="Antes y durante la implementación de la intervención"/>
    <s v="SBRN7"/>
    <m/>
  </r>
  <r>
    <x v="1"/>
    <m/>
    <m/>
    <m/>
    <m/>
    <m/>
    <m/>
    <m/>
    <m/>
    <m/>
    <m/>
    <s v="Incluido costo central"/>
    <s v="Exclusión de mujeres rurales en los incentivos financieros "/>
    <x v="3"/>
    <s v="GN"/>
    <x v="64"/>
    <s v="Inclusión activa de mujeres rurales en actividades turisticas (guiado, servicios para turistas, producción de artesanías, entre otros). Se deberá incluirlas dentro de los programas de capacitación"/>
    <s v="Antes y durante la implementación de la intervención"/>
    <s v="SGN18"/>
    <m/>
  </r>
  <r>
    <x v="4"/>
    <s v="4.6.8"/>
    <s v="Asistencia técnica para el desarrollo agroforestal diseñados e implementados"/>
    <s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ACR Cordillera Escalera "/>
    <s v="Especialistas"/>
    <n v="8"/>
    <n v="1680000"/>
    <n v="1142.4000000000001"/>
    <m/>
    <m/>
    <s v="Incluido costo central"/>
    <s v="Exclusión de mujeres rurales en programas de asistencia técnica"/>
    <x v="3"/>
    <s v="GN"/>
    <x v="8"/>
    <s v="Diseño de programas de asistencia técnica especificos para mujeres rurales considerando sus necesidades de aprendizaje y metodologías apropiadas "/>
    <s v="Antes de la implementación de la intervención"/>
    <s v="SGN2"/>
    <m/>
  </r>
  <r>
    <x v="1"/>
    <m/>
    <m/>
    <m/>
    <m/>
    <m/>
    <m/>
    <m/>
    <m/>
    <m/>
    <m/>
    <s v="Incluido costo central"/>
    <s v="Programas de asistencia técnica no recogen enfoque intercultural y metodologías apropiadas para pueblos indígenas"/>
    <x v="1"/>
    <s v="DPI"/>
    <x v="29"/>
    <s v="Diseño de programas de asistencia técnica y capacitación especificos para pueblos indigenas considerando sus necesidades de aprendizaje y metodologías apropiadas "/>
    <s v="Antes de la implementación de la intervención"/>
    <s v="SDPI9"/>
    <m/>
  </r>
  <r>
    <x v="4"/>
    <s v="4.9.1"/>
    <s v="Acuerdos con rondas campesinas y rondas nativas para cumplimiento de compromisos de no deforestación y tráfico de tierras e invasiones"/>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Intervenciones Transversales x UDT"/>
    <s v="Acuerdos con rondas campesinas"/>
    <n v="19"/>
    <n v="237500"/>
    <n v="161.5"/>
    <m/>
    <m/>
    <s v="Incluido costo central"/>
    <s v="Exclusión de mujeres para el cumplimiento de compromisos de no deforestación y tráfico de tierras e invasiones"/>
    <x v="3"/>
    <s v="GN"/>
    <x v="17"/>
    <s v="Establecimiento de cuotas de género"/>
    <s v="Antes de la implementación de la intervención"/>
    <s v="SGN3"/>
    <m/>
  </r>
  <r>
    <x v="1"/>
    <m/>
    <m/>
    <m/>
    <m/>
    <m/>
    <m/>
    <m/>
    <m/>
    <m/>
    <m/>
    <s v="Incluido costo central"/>
    <s v="Exclusión de mujeres para el cumplimiento de compromisos de no deforestación y tráfico de tierras e invasiones"/>
    <x v="3"/>
    <s v="GN"/>
    <x v="43"/>
    <s v="Promover la participación de mujeres rurales para el cumplimiento de compromisos, considerando sus necesidades, inclusive formando las rondas campesinas y rondas nativas"/>
    <s v="Antes y durante la implementación de la intervención"/>
    <s v="SGN11"/>
    <m/>
  </r>
  <r>
    <x v="4"/>
    <s v="4.9.2"/>
    <s v="Mejoramiento de vías de acceso"/>
    <s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Intervenciones Transversales x UDT"/>
    <s v="Kilómetros mejorados"/>
    <n v="32.800000000000004"/>
    <n v="26240000.000000004"/>
    <n v="17843.200000000004"/>
    <m/>
    <m/>
    <s v="Incluido costo central"/>
    <s v="Deforestación de nuevas áreas por el mejoramiento de vías de acceso, sobre áreas adyacentes"/>
    <x v="0"/>
    <e v="#REF!"/>
    <x v="55"/>
    <s v="Acuerdos de conservación con la población local, cuyo objetivo es dar seguimiento al mejoramiento de las vías de acceso para que no genere nuevos focos de deforestación"/>
    <s v="Antes y durante la implementación de la intervención"/>
    <s v="SBRN9"/>
    <m/>
  </r>
  <r>
    <x v="4"/>
    <s v="4.9.4"/>
    <s v="Mejor cobertura y calidad de servicios de educación y salud"/>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Intervenciones Transversales x UDT"/>
    <s v="Centros de salud y colegios implementados"/>
    <n v="2"/>
    <n v="7000000"/>
    <n v="4760"/>
    <m/>
    <m/>
    <s v="Incluido costo central"/>
    <s v="Exclusión de mujeres en el otorgamiento de servicios de educación y salud"/>
    <x v="3"/>
    <s v="GN"/>
    <x v="17"/>
    <s v="Establecimiento de cuotas de género"/>
    <s v="Antes de la implementación de la intervención"/>
    <s v="SGN3"/>
    <m/>
  </r>
  <r>
    <x v="4"/>
    <s v="4.9.5"/>
    <s v="Programa de servicios públicos móviles"/>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Intervenciones Transversales x UDT"/>
    <s v="N° campañas"/>
    <n v="135.52500000000001"/>
    <n v="3388125"/>
    <n v="2303.9250000000002"/>
    <m/>
    <m/>
    <s v="Incluido costo central"/>
    <s v="Exclusión de mujeres en el otorgamiento de servicios móviles"/>
    <x v="3"/>
    <s v="GN"/>
    <x v="17"/>
    <s v="Establecimiento de cuotas de género"/>
    <s v="Antes de la implementación de la intervención"/>
    <s v="SGN3"/>
    <m/>
  </r>
  <r>
    <x v="5"/>
    <n v="1"/>
    <s v="Zonificación Agroecológica"/>
    <s v="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
    <s v="Intervenciones Transversales X Región"/>
    <s v="Plan de Ordenamiento Agroteritorial implementado"/>
    <n v="1"/>
    <n v="9082000"/>
    <n v="6175.76"/>
    <m/>
    <m/>
    <s v="Incluido costo central"/>
    <s v="Las áreas que se determinen como zonas para la producción actualmente son las mejores, pero por el factor del cambio climático esas áreas pueden cambiar. Ejemplo: caso del café"/>
    <x v="5"/>
    <e v="#REF!"/>
    <x v="65"/>
    <s v="Incorporar un análisis adicional, prospectiva de escenarios climáticos relacionada al cambio climático, apra estar preparado en la toma de decisiones, porque las áreas pueden variar"/>
    <s v="Durante la implementación de la intervención"/>
    <s v="SVCC4"/>
    <s v="SIG"/>
  </r>
  <r>
    <x v="1"/>
    <m/>
    <m/>
    <m/>
    <m/>
    <m/>
    <m/>
    <m/>
    <m/>
    <m/>
    <m/>
    <s v="Incluido costo central"/>
    <s v="No se incluyen productos de tierras de comunidades nativas en zonificación agroecológica"/>
    <x v="1"/>
    <s v="DPI"/>
    <x v="66"/>
    <s v="Inclusión de productos y cultivos de los pueblos indígenas en el análisis de zonificación agroecológica, para promoverlos"/>
    <s v="Durante la implementación de la intervención"/>
    <s v="SDPI20"/>
    <m/>
  </r>
  <r>
    <x v="5"/>
    <n v="2"/>
    <s v="Zonificación forestal, bosques sin categoría asignada, incluyendo ZOCREs actuales y propuestas."/>
    <s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
    <s v="Intervenciones Transversales X Región"/>
    <s v="Hectárea"/>
    <n v="395356.07"/>
    <n v="6325697.1200000001"/>
    <n v="4301.4740416000004"/>
    <m/>
    <m/>
    <s v="Incluido costo central"/>
    <s v="Superposición de áreas a ser otorgadas con áreas solicitadas por pueblos indígenas"/>
    <x v="1"/>
    <s v="DPI"/>
    <x v="67"/>
    <s v="Análisis de solicitudes de reconocimiento, titulación o ampliación de comunidades nativas recibidas de manera previa al otorgamiento de títulos habilitantes. Exclusión de las áreas solicitadas en donde se haya determinado existencia de derechos previos de pueblos indigenas"/>
    <s v="Antes de la implementación de la intervención"/>
    <s v="SDPI17"/>
    <s v="SIG"/>
  </r>
  <r>
    <x v="1"/>
    <m/>
    <m/>
    <m/>
    <m/>
    <m/>
    <m/>
    <m/>
    <m/>
    <m/>
    <m/>
    <s v="Incluido costo central"/>
    <s v="Superposición de áreas a ser otorgadas con áreas solicitadas por pueblos indígenas"/>
    <x v="1"/>
    <s v="DPI"/>
    <x v="4"/>
    <s v="Elaboración de propuesta con organizaciones indigenas regionales sobre áreas pendientes de titulación a favor de comunidades nativas en San Martín"/>
    <s v="Antes de la implementación de la intervención"/>
    <s v="SDPI2"/>
    <m/>
  </r>
  <r>
    <x v="1"/>
    <m/>
    <m/>
    <m/>
    <m/>
    <m/>
    <m/>
    <m/>
    <m/>
    <m/>
    <m/>
    <s v="Incluido costo central"/>
    <s v="Tráfico de títulos habilitantes "/>
    <x v="2"/>
    <e v="#REF!"/>
    <x v="68"/>
    <s v="Publicación obligatoria de expedientes digitales en plataforma virtual"/>
    <s v="Durante la implementación de la intervención"/>
    <s v="SCR12"/>
    <m/>
  </r>
  <r>
    <x v="1"/>
    <m/>
    <m/>
    <m/>
    <m/>
    <m/>
    <m/>
    <m/>
    <m/>
    <m/>
    <m/>
    <s v="Incluido costo central"/>
    <s v="Exclusión de mujeres propietarias en títulos habilitantes"/>
    <x v="3"/>
    <s v="GN"/>
    <x v="69"/>
    <s v="Modificación del formato de titulo habilitante en uso para incluir conyugues y coviviente"/>
    <s v="Durante la implementación de la intervención"/>
    <s v="SGN19"/>
    <m/>
  </r>
  <r>
    <x v="1"/>
    <m/>
    <m/>
    <m/>
    <m/>
    <m/>
    <m/>
    <m/>
    <m/>
    <m/>
    <m/>
    <s v="Incluido costo central"/>
    <s v="Otorgamiento de títulos habilitantes sobre la tierra / bosques en zonas con patrimonio cultural"/>
    <x v="4"/>
    <s v="PC"/>
    <x v="70"/>
    <s v="Análisis de solicitudes de títulos habilitantes, para evaluar la existencia y superposición con áreas determinadas como patrimonio cultural y evitar su afectación"/>
    <s v="Antes de la implementación de la intervención"/>
    <s v="SPC3"/>
    <m/>
  </r>
  <r>
    <x v="5"/>
    <n v="3"/>
    <s v="Promoción de actividad agrícola, pecuaria y acuícola adaptada al cambio climático."/>
    <s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
    <s v="Intervenciones Transversales X Región"/>
    <s v="Proyectos viables"/>
    <n v="15"/>
    <n v="60000000"/>
    <n v="40800"/>
    <m/>
    <m/>
    <s v="Incluido costo central"/>
    <s v="Especies exóticas o invasoras en bosques colindantes"/>
    <x v="0"/>
    <e v="#REF!"/>
    <x v="47"/>
    <s v="Los proyectos deben incorporar en el paquete tecnológico, especies nativas"/>
    <s v="Durante la implementación de la intervención"/>
    <s v="SBRN8"/>
    <m/>
  </r>
  <r>
    <x v="1"/>
    <m/>
    <m/>
    <m/>
    <m/>
    <m/>
    <m/>
    <m/>
    <m/>
    <m/>
    <m/>
    <s v="Incluido costo central"/>
    <s v="Exclusión de mujeres en la formulación y ejecución de proyectos agrícolas, pecuarios y acuícolas"/>
    <x v="3"/>
    <s v="GN"/>
    <x v="8"/>
    <s v="Diseño de proyectos de promoción agropecuaria para mujeres rurales considerando sus prioridades de desarrollo, necesidades y metodologías para la adecuada implementación del proyecto"/>
    <s v="Antes de la implementación de la intervención"/>
    <s v="SGN2"/>
    <m/>
  </r>
  <r>
    <x v="1"/>
    <m/>
    <m/>
    <m/>
    <m/>
    <m/>
    <m/>
    <m/>
    <m/>
    <m/>
    <m/>
    <s v="Incluido costo central"/>
    <s v="Exclusión de pueblos indígenas en proyectos de promoción "/>
    <x v="1"/>
    <s v="DPI"/>
    <x v="71"/>
    <s v="Diseño de programas de asistencia técnica especificos para pueblos indígenas considerando sus necesidades de aprendizaje, metodologías apropiadas y revalorando sus saberes ancestrales, considerando la participación de técnicos indígenas"/>
    <s v="Antes de la implementación de la intervención"/>
    <s v="SDPI18"/>
    <m/>
  </r>
  <r>
    <x v="1"/>
    <m/>
    <m/>
    <m/>
    <m/>
    <m/>
    <m/>
    <m/>
    <m/>
    <m/>
    <m/>
    <s v="Incluido costo central"/>
    <s v="Se orienten los proyectos a determinados beneficiarios"/>
    <x v="2"/>
    <e v="#REF!"/>
    <x v="72"/>
    <s v="Publicación de bases y criterios de evaluación para el otorgamiento de los incentivos y obras, difusión de resultados de acreedores, elaboración de sistema de quejas y denuncias"/>
    <s v="Antes de la implementación de la intervención"/>
    <s v="SCR13"/>
    <m/>
  </r>
  <r>
    <x v="5"/>
    <n v="4"/>
    <s v="Aprovechamiento del recurso forestal maderable, provenientes de sistemas agroforestales sostenibles."/>
    <s v="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
    <s v="Intervenciones Transversales X Región"/>
    <s v="Módulos implementados."/>
    <n v="10"/>
    <n v="2000000"/>
    <n v="1360"/>
    <m/>
    <m/>
    <s v="Incluido costo central"/>
    <s v="Exclusión de mujeres en programas de promoción del manejo forestal maderable proveniente de sistemas agroforestales"/>
    <x v="3"/>
    <s v="GN"/>
    <x v="17"/>
    <s v="Establecimiento de cuotas de género"/>
    <s v="Antes de la implementación de la intervención"/>
    <s v="SGN3"/>
    <m/>
  </r>
  <r>
    <x v="1"/>
    <m/>
    <m/>
    <m/>
    <m/>
    <m/>
    <m/>
    <m/>
    <m/>
    <m/>
    <m/>
    <s v="Incluido costo central"/>
    <s v="Especies exóticas o invasoras en bosques colindantes"/>
    <x v="0"/>
    <e v="#REF!"/>
    <x v="47"/>
    <s v="Los proyectos deben incorporar en el paquete tecnológico, especies nativas"/>
    <s v="Durante la implementación de la intervención"/>
    <s v="SBRN8"/>
    <m/>
  </r>
  <r>
    <x v="1"/>
    <m/>
    <m/>
    <m/>
    <m/>
    <m/>
    <m/>
    <m/>
    <m/>
    <m/>
    <m/>
    <s v="Incluido costo central"/>
    <s v="Colución, Cohecho y negociación incompatible"/>
    <x v="2"/>
    <e v="#REF!"/>
    <x v="16"/>
    <s v="Publicación de bases y criterios de evaluación para el otorgamiento de los incentivos y obras, difusión de resultados de acreedores, elaboración de sistema de quejas y denuncias"/>
    <s v="Antes de la implementación de la intervención"/>
    <s v="SCR13"/>
    <m/>
  </r>
  <r>
    <x v="1"/>
    <m/>
    <m/>
    <m/>
    <m/>
    <m/>
    <m/>
    <m/>
    <m/>
    <m/>
    <m/>
    <s v="Incluido costo central"/>
    <s v="Exclusión de pueblos indígenas en programas de promoción del manejo forestal maderable proveniente de sistemas agroforestales"/>
    <x v="1"/>
    <s v="DPI"/>
    <x v="71"/>
    <s v="Diseño de programas de asistencia técnica especificos para pueblos indígenas considerando sus necesidades de aprendizaje, metodologías apropiadas y revalorando sus saberes ancestrales, considerando la participación de técnicos indígenas"/>
    <s v="Antes de la implementación de la intervención"/>
    <s v="SDPI18"/>
    <m/>
  </r>
  <r>
    <x v="5"/>
    <n v="9"/>
    <s v="Fortalecimiento de la equidad de género y poblaciones vulnerables"/>
    <s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
    <s v="Intervenciones Transversales X Región"/>
    <s v="Centros Informativos implementados"/>
    <n v="50"/>
    <n v="1250000"/>
    <n v="850.00000000000011"/>
    <m/>
    <m/>
    <s v="Incluido costo central"/>
    <s v="Débil participación de mujeres "/>
    <x v="3"/>
    <s v="GN"/>
    <x v="17"/>
    <s v="Establecimiento de cuotas de género"/>
    <s v="Antes de la implementación de la intervención"/>
    <s v="SGN3"/>
    <m/>
  </r>
  <r>
    <x v="1"/>
    <m/>
    <m/>
    <m/>
    <m/>
    <m/>
    <m/>
    <m/>
    <m/>
    <m/>
    <m/>
    <s v="Incluido costo central"/>
    <s v="Débil participación de mujeres "/>
    <x v="3"/>
    <s v="GN"/>
    <x v="8"/>
    <s v="El diseño de los lineamientos y programas consideran un adecuado enfoque de género"/>
    <s v="Antes de la implementación de la intervención"/>
    <s v="SGN2"/>
    <m/>
  </r>
  <r>
    <x v="1"/>
    <m/>
    <m/>
    <m/>
    <m/>
    <m/>
    <m/>
    <m/>
    <m/>
    <m/>
    <m/>
    <s v="Incluido costo central"/>
    <s v="Diseño de programas no consideran enfoque intercultural"/>
    <x v="1"/>
    <s v="DPI"/>
    <x v="59"/>
    <s v="El diseño de los lineamientos y programas incluyen el enfoque intercultural"/>
    <s v="Antes de la implementación de la intervención"/>
    <s v="SDPI16"/>
    <m/>
  </r>
  <r>
    <x v="5"/>
    <n v="10"/>
    <s v="Programa de emprendimiento rural juvenil, para promover el empalme generacional."/>
    <s v="Financiamiento de emprendimientos rurales juveniles para incentivar el empalme generacional y el empleo formal juvenil (incluye fondo de capital semilla para emprendimientos). Promover y financiar emprendimientos orientados a la reducción de emisiones."/>
    <s v="Intervenciones Transversales X Región"/>
    <s v="Planes de negocios"/>
    <n v="250"/>
    <n v="7500000"/>
    <n v="5100"/>
    <m/>
    <m/>
    <s v="Incluido costo central"/>
    <s v="Débil participación de mujeres "/>
    <x v="3"/>
    <s v="GN"/>
    <x v="17"/>
    <s v="Establecimiento de cuotas de género"/>
    <s v="Antes de la implementación de la intervención"/>
    <s v="SGN3"/>
    <m/>
  </r>
  <r>
    <x v="1"/>
    <m/>
    <m/>
    <m/>
    <m/>
    <m/>
    <m/>
    <m/>
    <m/>
    <m/>
    <m/>
    <s v="Incluido costo central"/>
    <s v="Débil participación de mujeres "/>
    <x v="3"/>
    <s v="GN"/>
    <x v="8"/>
    <s v="El diseño de los lineamientos y programas consideran un adecuado enfoque de género"/>
    <s v="Antes de la implementación de la intervención"/>
    <s v="SGN2"/>
    <m/>
  </r>
  <r>
    <x v="1"/>
    <m/>
    <m/>
    <m/>
    <m/>
    <m/>
    <m/>
    <m/>
    <m/>
    <m/>
    <m/>
    <s v="Incluido costo central"/>
    <s v="Diseño de programas no consideran enfoque intercultural"/>
    <x v="1"/>
    <s v="DPI"/>
    <x v="59"/>
    <s v="El diseño de los lineamientos y programas incluyen el enfoque intercultural"/>
    <s v="Antes de la implementación de la intervención"/>
    <s v="SDPI16"/>
    <m/>
  </r>
  <r>
    <x v="5"/>
    <n v="11"/>
    <s v="Mejorar la competitividad de la oferta e identificación de la demanda turística."/>
    <s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_x000a_El programa debe regirse según las normas vigentes para  disminuir la informalidad en el sector, así mismo lograr la satisfacción plena de los turistas que visitan la región."/>
    <s v="Intervenciones Transversales X Región"/>
    <s v="Programas  de capacitación"/>
    <n v="50"/>
    <n v="560000"/>
    <n v="380.8"/>
    <m/>
    <m/>
    <s v="Incluido costo central"/>
    <s v="Débil participación de mujeres "/>
    <x v="3"/>
    <s v="GN"/>
    <x v="17"/>
    <s v="Establecimiento de cuotas de género"/>
    <s v="Antes de la implementación de la intervención"/>
    <s v="SGN3"/>
    <m/>
  </r>
  <r>
    <x v="1"/>
    <m/>
    <m/>
    <m/>
    <m/>
    <m/>
    <m/>
    <m/>
    <m/>
    <m/>
    <m/>
    <s v="Incluido costo central"/>
    <s v="Débil participación de mujeres "/>
    <x v="3"/>
    <s v="GN"/>
    <x v="8"/>
    <s v="El diseño de los lineamientos y programas consideran un adecuado enfoque de género"/>
    <s v="Antes de la implementación de la intervención"/>
    <s v="SGN2"/>
    <m/>
  </r>
  <r>
    <x v="1"/>
    <m/>
    <m/>
    <m/>
    <m/>
    <m/>
    <m/>
    <m/>
    <m/>
    <m/>
    <m/>
    <s v="Incluido costo central"/>
    <s v="Diseño de programas no consideran enfoque intercultural"/>
    <x v="1"/>
    <s v="DPI"/>
    <x v="59"/>
    <s v="El diseño de los lineamientos y programas incluyen el enfoque intercultural"/>
    <s v="Antes de la implementación de la intervención"/>
    <s v="SDPI16"/>
    <m/>
  </r>
  <r>
    <x v="5"/>
    <n v="12"/>
    <s v="Promoción de la planificación comunal en centros poblados."/>
    <s v="Promover el desarrollo comunitario mediante la identificación y cuantificación de recursos disponibles en una determinada jurisdicción, promoviendo la participación activa de todos los actores clave y su articulación a los planes de desarrollo local."/>
    <s v="Intervenciones Transversales X Región"/>
    <s v="PDC"/>
    <n v="100"/>
    <n v="2000000"/>
    <n v="1360"/>
    <m/>
    <m/>
    <s v="Incluido costo central"/>
    <s v="Débil participación de mujeres "/>
    <x v="3"/>
    <s v="GN"/>
    <x v="58"/>
    <s v="Establecimiento de cuotas de género"/>
    <s v="Antes de la implementación de la intervención"/>
    <s v="SGN17"/>
    <m/>
  </r>
  <r>
    <x v="1"/>
    <m/>
    <m/>
    <m/>
    <m/>
    <m/>
    <m/>
    <m/>
    <m/>
    <m/>
    <m/>
    <s v="Incluido costo central"/>
    <s v="Débil participación de mujeres "/>
    <x v="3"/>
    <s v="GN"/>
    <x v="44"/>
    <s v="Diseño de mecanismos de participación para mujeres rurales en el proceso de promoción de la planificación comunal"/>
    <s v="Antes de la implementación de la intervención"/>
    <s v="SGN12"/>
    <m/>
  </r>
  <r>
    <x v="5"/>
    <n v="13"/>
    <s v="Fortalecer los procesos de Investigación, innovación, y transferencia tecnológica para la producción baja en emisiones."/>
    <s v="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
    <s v="Intervenciones Transversales X Región"/>
    <s v="Nº de proyectos ejecutados alineados a las prioridades de investigación e innovación regionales"/>
    <n v="10"/>
    <n v="720000"/>
    <n v="489.6"/>
    <m/>
    <m/>
    <s v="Incluido costo central"/>
    <s v="Débil participación de mujeres "/>
    <x v="3"/>
    <s v="GN"/>
    <x v="17"/>
    <s v="Establecimiento de cuotas de género"/>
    <s v="Antes de la implementación de la intervención"/>
    <s v="SGN3"/>
    <m/>
  </r>
  <r>
    <x v="1"/>
    <m/>
    <m/>
    <m/>
    <m/>
    <m/>
    <m/>
    <m/>
    <m/>
    <m/>
    <m/>
    <s v="Incluido costo central"/>
    <s v="Débil participación de mujeres "/>
    <x v="3"/>
    <s v="GN"/>
    <x v="8"/>
    <s v="El diseño de los lineamientos y programas consideran un adecuado enfoque de género"/>
    <s v="Antes de la implementación de la intervención"/>
    <s v="SGN2"/>
    <m/>
  </r>
  <r>
    <x v="1"/>
    <m/>
    <m/>
    <m/>
    <m/>
    <m/>
    <m/>
    <m/>
    <m/>
    <m/>
    <m/>
    <s v="Incluido costo central"/>
    <s v="Asistencia técnica no involucra o incluye metodologías apropiadas para pueblos indígenas"/>
    <x v="1"/>
    <s v="DPI"/>
    <x v="59"/>
    <s v="El diseño de los lineamientos y programas incluyen el enfoque intercultural"/>
    <s v="Antes de la implementación de la intervención"/>
    <s v="SDPI16"/>
    <m/>
  </r>
  <r>
    <x v="5"/>
    <n v="14"/>
    <s v="_x000a_Promoción de emprendimientos agroindustriales de la pequeña empresa sobre la base de los productos del biocomercio "/>
    <s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_x000a_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Intervenciones Transversales X Región"/>
    <s v="Planes de negocios"/>
    <n v="25"/>
    <n v="2000000"/>
    <n v="1360"/>
    <m/>
    <m/>
    <s v="Incluido costo central"/>
    <s v="Exclusión de mujeres rurales en programas de biocomercio"/>
    <x v="3"/>
    <s v="GN"/>
    <x v="34"/>
    <s v="Establecimiento de cuotas de género"/>
    <s v="Antes de la implementación de la intervención"/>
    <s v="SGN8"/>
    <m/>
  </r>
  <r>
    <x v="1"/>
    <m/>
    <m/>
    <m/>
    <m/>
    <m/>
    <m/>
    <m/>
    <m/>
    <m/>
    <m/>
    <s v="Incluido costo central"/>
    <s v="Exclusión de mujeres rurales en programas de biocomercio"/>
    <x v="3"/>
    <s v="GN"/>
    <x v="8"/>
    <s v="El diseño de los lineamientos y programas consideran un adecuado enfoque de género"/>
    <s v="Durante la implementación de la intervención"/>
    <s v="SGN2"/>
    <m/>
  </r>
  <r>
    <x v="1"/>
    <m/>
    <m/>
    <m/>
    <m/>
    <m/>
    <m/>
    <m/>
    <m/>
    <m/>
    <m/>
    <s v="Incluido costo central"/>
    <s v="Biopiratería de recursos genéticos y recursos biológicos en tierras de comunidades nativas"/>
    <x v="1"/>
    <s v="DPI"/>
    <x v="31"/>
    <s v="Capacitación y acompañamiento a comunidades nativas para la negociación de bionegocios"/>
    <s v="Antes de la implementación de la intervención"/>
    <s v="SDPI10"/>
    <m/>
  </r>
  <r>
    <x v="1"/>
    <m/>
    <m/>
    <m/>
    <m/>
    <m/>
    <m/>
    <m/>
    <m/>
    <m/>
    <m/>
    <s v="Incluido costo central"/>
    <s v="Apropiación ilícita de conocimientos tradicionales"/>
    <x v="1"/>
    <s v="DPI"/>
    <x v="33"/>
    <s v="Sistematización de conocimientos tradicionales y registro en INDECOPI"/>
    <s v="Antes y durante la implementación de la intervención"/>
    <s v="SDPI12"/>
    <m/>
  </r>
  <r>
    <x v="5"/>
    <n v="15"/>
    <s v="Promoción de productos derivados y gestión de calidad"/>
    <s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
    <s v="Intervenciones Transversales X Región"/>
    <s v="Empresas y organizaciones atendidas"/>
    <n v="30"/>
    <n v="6750000"/>
    <n v="4590"/>
    <m/>
    <m/>
    <s v="Incluido costo central"/>
    <s v="Capacitaciones no incluyen enfoque intercultural "/>
    <x v="1"/>
    <s v="DPI"/>
    <x v="59"/>
    <s v="Las capacitaciones para generar productos con valor agregado consideran la metodología adecuada para el trabajo con pueblos indigenas"/>
    <s v="Antes y durante la implementación de la intervención"/>
    <s v="SDPI16"/>
    <m/>
  </r>
  <r>
    <x v="1"/>
    <m/>
    <m/>
    <m/>
    <m/>
    <m/>
    <m/>
    <m/>
    <m/>
    <m/>
    <m/>
    <s v="Incluido costo central"/>
    <s v="Débil participación de mujeres "/>
    <x v="3"/>
    <s v="GN"/>
    <x v="8"/>
    <s v="Las capacitaciones consideran metodologías apropiadas para el trabajo con mujeres rurales"/>
    <s v="Antes y durante la implementación de la intervención"/>
    <s v="SGN2"/>
    <m/>
  </r>
  <r>
    <x v="1"/>
    <m/>
    <m/>
    <m/>
    <m/>
    <m/>
    <m/>
    <m/>
    <m/>
    <m/>
    <m/>
    <s v="Incluido costo central"/>
    <s v="Débil participación de mujeres "/>
    <x v="3"/>
    <s v="GN"/>
    <x v="17"/>
    <s v="Establecimiento de cuotas de género"/>
    <s v="Antes de la implementación de la intervención"/>
    <s v="SGN3"/>
    <m/>
  </r>
  <r>
    <x v="5"/>
    <n v="16"/>
    <s v="Implementación del Sistema de formalización del uso de la tierra y Recursos Naturales."/>
    <s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
    <s v="Intervenciones Transversales X Región"/>
    <s v="Títulos registrados"/>
    <n v="1"/>
    <n v="105000"/>
    <n v="71.400000000000006"/>
    <m/>
    <m/>
    <s v="Incluido costo central"/>
    <s v="Tráfico de títulos de propiedad y contratos de cesión en uso "/>
    <x v="2"/>
    <e v="#REF!"/>
    <x v="5"/>
    <s v="Publicación obligatoria de expedientes digitales en plataforma virtual de catastro rural "/>
    <s v="Antes y durante la implementación de la intervención"/>
    <s v="SCR1"/>
    <m/>
  </r>
  <r>
    <x v="1"/>
    <m/>
    <m/>
    <m/>
    <m/>
    <m/>
    <m/>
    <m/>
    <m/>
    <m/>
    <m/>
    <s v="Incluido costo central"/>
    <s v="El sistema no cuenta con las consideraciones interculturales"/>
    <x v="1"/>
    <s v="DPI"/>
    <x v="56"/>
    <s v="El sistema debe garantizar la inclusión del enfoque intercultural, permitiendo el uso apropiado del lenguaje, en la lengua de las poblaciones indígenas involucradas"/>
    <s v="Antes y durante la implementación de la intervención"/>
    <s v="SDPI15"/>
    <m/>
  </r>
  <r>
    <x v="5"/>
    <n v="17"/>
    <s v="Promover servicios de asesoramiento empresarial en inversiones y facilitación del crédito"/>
    <s v="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
    <s v="Intervenciones Transversales X Región"/>
    <s v="Convocatorias / créditos"/>
    <n v="5"/>
    <n v="7500000"/>
    <n v="5100"/>
    <m/>
    <m/>
    <s v="Incluido costo central"/>
    <s v="Débil participación de mujeres "/>
    <x v="3"/>
    <s v="GN"/>
    <x v="17"/>
    <s v="Establecimiento de cuotas de género"/>
    <s v="Antes de la implementación de la intervención"/>
    <s v="SGN3"/>
    <m/>
  </r>
  <r>
    <x v="1"/>
    <m/>
    <m/>
    <m/>
    <m/>
    <m/>
    <m/>
    <m/>
    <m/>
    <m/>
    <m/>
    <s v="Incluido costo central"/>
    <s v="Débil participación de mujeres "/>
    <x v="3"/>
    <s v="GN"/>
    <x v="8"/>
    <s v="Programas de asesoría consideran mecanismos y metodologías apropiadas para mujeres rurales"/>
    <s v="Antes de la implementación de la intervención"/>
    <s v="SGN2"/>
    <m/>
  </r>
  <r>
    <x v="1"/>
    <m/>
    <m/>
    <m/>
    <m/>
    <m/>
    <m/>
    <m/>
    <m/>
    <m/>
    <m/>
    <s v="Incluido costo central"/>
    <s v="El asesoramiento no considera a los pueblos indígenas"/>
    <x v="1"/>
    <s v="DPI"/>
    <x v="59"/>
    <s v="Se elaboran lineamientos para que los servicios de asesoramiento consideren estrategias apropiadas para el trabajo con pueblos indígenas"/>
    <s v="Antes de la implementación de la intervención"/>
    <s v="SDPI16"/>
    <m/>
  </r>
  <r>
    <x v="1"/>
    <m/>
    <m/>
    <m/>
    <m/>
    <m/>
    <m/>
    <m/>
    <m/>
    <m/>
    <m/>
    <s v="Incluido costo central"/>
    <s v="Se orienten los servicios de asesoramiento a determinados beneficiarios"/>
    <x v="2"/>
    <e v="#REF!"/>
    <x v="16"/>
    <s v="Publicación de bases y criterios de evaluación para el otorgamiento de los incentivos y obras, difusión de resultados de acreedores, elaboración de sistema de quejas y denuncias"/>
    <s v="Antes y durante la implementación de la intervención"/>
    <s v="SCR1"/>
    <m/>
  </r>
  <r>
    <x v="5"/>
    <n v="18"/>
    <s v="Diseño de productos financieros para la producción baja en emisiones"/>
    <s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
    <s v="Intervenciones Transversales X Región"/>
    <s v="Productos financieros específicos para cada cadena implementados"/>
    <n v="10"/>
    <n v="350000"/>
    <n v="238.00000000000003"/>
    <m/>
    <m/>
    <s v="Incluido costo central"/>
    <s v="Productos financieros no consideran acuerdos de no deforestaciòn y mecanismos para monitorear el cumplimiento de estos acuerdos"/>
    <x v="0"/>
    <e v="#REF!"/>
    <x v="63"/>
    <s v="Los productos financieros consideran compromisos de no deforestación hacia usuarios y un mecanismo para monitorear el cumplimiento de estos acuerdos"/>
    <s v="Antes y durante la implementación de la intervención"/>
    <s v="SBRN10"/>
    <m/>
  </r>
  <r>
    <x v="1"/>
    <m/>
    <m/>
    <m/>
    <m/>
    <m/>
    <m/>
    <m/>
    <m/>
    <m/>
    <m/>
    <s v="Incluido costo central"/>
    <s v="Productos financieros no incluyen analisis de riesgo por vulnerabilidad frente al cambio climático"/>
    <x v="5"/>
    <e v="#REF!"/>
    <x v="65"/>
    <s v="Los productos financieros consideran un analisis de escenarios frente al cambio climático y promueven cultivos con menor vulnerabilidad o medidas para reducirla "/>
    <s v="Antes y durante la implementación de la intervención"/>
    <s v="SVCC4"/>
    <m/>
  </r>
  <r>
    <x v="1"/>
    <m/>
    <m/>
    <m/>
    <m/>
    <m/>
    <m/>
    <m/>
    <m/>
    <m/>
    <m/>
    <s v="Incluido costo central"/>
    <s v="No se incorpora enfoque intercultural en productos financieros diseñados para pueblos indígenas"/>
    <x v="1"/>
    <s v="DPI"/>
    <x v="59"/>
    <s v="Productos financieros incluyen enfoque intercultural y un protocolo de trabajo con pueblos indigenas"/>
    <s v="Antes y durante la implementación de la intervención"/>
    <s v="SDPI16"/>
    <m/>
  </r>
  <r>
    <x v="1"/>
    <m/>
    <m/>
    <m/>
    <m/>
    <m/>
    <m/>
    <m/>
    <m/>
    <m/>
    <m/>
    <s v="Incluido costo central"/>
    <s v="Débil participación de mujeres "/>
    <x v="3"/>
    <s v="GN"/>
    <x v="17"/>
    <s v="El producto financiero debe contener mecanismos de incentivos para mujeres"/>
    <s v="Durante la implementación de la intervención"/>
    <s v="SGN3"/>
    <m/>
  </r>
  <r>
    <x v="5"/>
    <n v="19"/>
    <s v="Promoción y Desarrollo de alianzas comerciales entre grandes, medianas, pequeñas empresas y productores organizados y no organizados para producción baja en emisiones."/>
    <s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
    <s v="Intervenciones Transversales X Región"/>
    <s v="Alianzas privadas entre empresas y productores."/>
    <n v="50"/>
    <n v="1200000"/>
    <n v="816.00000000000011"/>
    <m/>
    <m/>
    <s v="Incluido costo central"/>
    <s v="Exclusión de mujeres en las alianzas comerciales"/>
    <x v="3"/>
    <s v="GN"/>
    <x v="17"/>
    <s v="Establecimiento de cuotas de género"/>
    <s v="Antes de la implementación de la intervención"/>
    <s v="SGN3"/>
    <m/>
  </r>
  <r>
    <x v="1"/>
    <m/>
    <m/>
    <m/>
    <m/>
    <m/>
    <m/>
    <m/>
    <m/>
    <m/>
    <m/>
    <s v="Incluido costo central"/>
    <s v="Exclusión de pueblos indígenas en alianzas comerciales"/>
    <x v="1"/>
    <s v="DPI"/>
    <x v="66"/>
    <s v="Inclusión de pueblos indigenas en los acuerdos comerciales para promover sus productos "/>
    <s v="Antes y durante la implementación de la intervención"/>
    <s v="SDPI20"/>
    <m/>
  </r>
  <r>
    <x v="1"/>
    <m/>
    <m/>
    <m/>
    <m/>
    <m/>
    <m/>
    <m/>
    <m/>
    <m/>
    <m/>
    <s v="Incluido costo central"/>
    <s v="Colución, Cohecho y negociación incompatible"/>
    <x v="2"/>
    <e v="#REF!"/>
    <x v="73"/>
    <s v="Se genera la publicación de contratos de las alianzas comerciales, para visualizar los roles de quienes suscriben"/>
    <s v="Durante la implementación de la intervención"/>
    <s v="SCR14"/>
    <m/>
  </r>
  <r>
    <x v="5"/>
    <n v="20"/>
    <s v="Estrategia de promoción de productos regionales bajos en emisiones."/>
    <s v="_x000a_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
    <e v="#REF!"/>
    <s v="Estudios de mercado"/>
    <n v="8"/>
    <n v="480000"/>
    <n v="326.40000000000003"/>
    <m/>
    <m/>
    <s v="Incluido costo central"/>
    <s v="Débil participación de mujeres "/>
    <x v="3"/>
    <s v="GN"/>
    <x v="17"/>
    <s v="Establecimiento de cuotas de género"/>
    <s v="Antes de la implementación de la intervención"/>
    <s v="SGN3"/>
    <m/>
  </r>
  <r>
    <x v="1"/>
    <m/>
    <m/>
    <m/>
    <m/>
    <m/>
    <m/>
    <m/>
    <m/>
    <m/>
    <m/>
    <s v="Incluido costo central"/>
    <s v="No se incluyen productos de tierras de comunidades nativas en estrategias de promoción"/>
    <x v="1"/>
    <s v="DPI"/>
    <x v="66"/>
    <s v="Analisis de nuevos productos y mercados incluye productos bandera de tierras de pueblos indigenas de San Martin"/>
    <s v="Durante la implementación de la intervención"/>
    <s v="SDPI20"/>
    <m/>
  </r>
  <r>
    <x v="1"/>
    <m/>
    <m/>
    <m/>
    <m/>
    <m/>
    <m/>
    <m/>
    <m/>
    <m/>
    <m/>
    <s v="Incluido costo central"/>
    <s v="Se orienten las oportunidades de nuevos mercados a determinados beneficiarios"/>
    <x v="2"/>
    <e v="#REF!"/>
    <x v="16"/>
    <s v="Publicación de bases y criterios de evaluación para el otorgamiento de los incentivos y obras, difusión de resultados de acreedores, elaboración de sistema de quejas y denuncias"/>
    <s v="Antes y durante la implementación de la intervención"/>
    <s v="SCR2"/>
    <m/>
  </r>
  <r>
    <x v="5"/>
    <n v="23"/>
    <s v="Simplificación administrativa de tramites de derechos sobre la tierra y los recursos naturales."/>
    <s v="Mejora de los TUPAs (incluye proceso integrado para clasificación de suelos + uso actual de la ley forestal), material de difusión, y capacitaciones periódicas a usuarios"/>
    <s v="Intervenciones Transversales X Región"/>
    <s v="TUPA  mejorado "/>
    <n v="1"/>
    <n v="150000"/>
    <n v="102.00000000000001"/>
    <m/>
    <m/>
    <s v="Incluido costo central"/>
    <s v="Trámites e información de requisitos que no son comprendidos e incluso excesivos"/>
    <x v="1"/>
    <s v="DPI"/>
    <x v="32"/>
    <s v="Simplificación de trámites administrativos para el aprovechamiento sostenible de los recursos forestales no maderables y de fauna silvestre considerando enfoque intercultural"/>
    <s v="Antes de la implementación de la intervención"/>
    <s v="SDPI11"/>
    <m/>
  </r>
  <r>
    <x v="1"/>
    <m/>
    <m/>
    <m/>
    <m/>
    <m/>
    <m/>
    <m/>
    <m/>
    <m/>
    <m/>
    <s v="Incluido costo central"/>
    <s v="Falta de consideración del lenguaje intercultural en el TUPA"/>
    <x v="1"/>
    <s v="DPI"/>
    <x v="56"/>
    <s v="Incorporación del lenguakeDiseño de programas de asistencia técnica especificos para pueblos indígenas considerando sus necesidades de aprendizaje, metodologías apropiadas y revalorando sus saberes ancestrales, considerando la participación de técnicos indígenas"/>
    <s v="Antes y durante la implementación de la intervención"/>
    <s v="SDPI15"/>
    <m/>
  </r>
  <r>
    <x v="5"/>
    <n v="28"/>
    <s v="Capacitación a comunidades nativas, campesinas y custodios forestales."/>
    <s v="1 capacitación de una semana en el ámbito cercano al trabajo de la comunidad (puede ser una capacitación espaciada) "/>
    <s v="Intervenciones Transversales X Región"/>
    <s v="Ronderos y custodios que aprueban evaluación de capacitación "/>
    <n v="250"/>
    <n v="37500"/>
    <n v="25.500000000000004"/>
    <m/>
    <m/>
    <s v="Incluido costo central"/>
    <s v="Metodologías de capacitación no incorpora enfoque intercultural y metodologías apropiadas para pueblos indígenas"/>
    <x v="1"/>
    <s v="DPI"/>
    <x v="29"/>
    <s v="Programas de capacitación para el control y vigilancia incorporan enfoque intercultural, y proponen metodologías apropiadas"/>
    <s v="Antes de la implementación de la intervención"/>
    <s v="SDPI9"/>
    <m/>
  </r>
  <r>
    <x v="1"/>
    <m/>
    <m/>
    <m/>
    <m/>
    <m/>
    <m/>
    <m/>
    <m/>
    <m/>
    <m/>
    <s v="Incluido costo central"/>
    <s v="Metodologías de capacitación no incorpora enfoque de género y metodologías apropiadas para capacitar a mujeres rurales como custodias del patrimonio forestal "/>
    <x v="1"/>
    <s v="GN"/>
    <x v="29"/>
    <s v="Programas de capacitación para el control y vigilancia incorporan enfoque de género y proponen metodologías apropiadas"/>
    <s v="Antes de la implementación de la intervención"/>
    <s v="SDPI9"/>
    <m/>
  </r>
  <r>
    <x v="1"/>
    <m/>
    <m/>
    <m/>
    <m/>
    <m/>
    <m/>
    <m/>
    <m/>
    <m/>
    <m/>
    <s v="Incluido costo central"/>
    <s v="Débil participación de mujeres "/>
    <x v="3"/>
    <s v="GN"/>
    <x v="17"/>
    <s v="Establecimiento de cuotas de género"/>
    <s v="Antes de la implementación de la intervención"/>
    <s v="SGN3"/>
    <m/>
  </r>
  <r>
    <x v="5"/>
    <n v="29"/>
    <s v="Equipamiento a rondas y custodios forestales."/>
    <s v="Uniforme básico, GPS por brigadas,  1 dron por comunidad, equipos de radio por comunidad (radio corta portátil)"/>
    <s v="Intervenciones Transversales X Región"/>
    <s v="Ronderos y custodios equipados"/>
    <n v="250"/>
    <n v="486250"/>
    <n v="330.65000000000003"/>
    <m/>
    <m/>
    <s v="Incluido costo central"/>
    <s v="Débil participación de mujeres "/>
    <x v="3"/>
    <s v="GN"/>
    <x v="17"/>
    <s v="Establecimiento de cuotas de género"/>
    <s v="Antes de la implementación de la intervención"/>
    <s v="SGN3"/>
    <m/>
  </r>
  <r>
    <x v="1"/>
    <m/>
    <m/>
    <m/>
    <m/>
    <m/>
    <m/>
    <m/>
    <m/>
    <m/>
    <m/>
    <s v="Incluido costo central"/>
    <s v="Se orienten las adquisiciones a determinados beneficiarios"/>
    <x v="2"/>
    <e v="#REF!"/>
    <x v="16"/>
    <s v="Publicación de bases y criterios de evaluación para el otorgamiento de los incentivos y obras, difusión de resultados de acreedores, elaboración de sistema de quejas y denuncias"/>
    <s v="Antes y durante la implementación de la intervención"/>
    <s v="SCR2"/>
    <m/>
  </r>
  <r>
    <x v="1"/>
    <m/>
    <m/>
    <m/>
    <m/>
    <m/>
    <m/>
    <m/>
    <m/>
    <m/>
    <m/>
    <s v="Incluido costo central"/>
    <s v="Apropiación ilícita de los recursos de las donaciones para los custodios y adquisiciones inadecuadas"/>
    <x v="2"/>
    <e v="#REF!"/>
    <x v="37"/>
    <s v="Implementación de procedimientos competitivos para adquisiciones y publicación de convocatoria y resultados de adquisiciones"/>
    <s v="Antes y durante la implementación de la intervención"/>
    <s v="SCR3"/>
    <m/>
  </r>
</pivotCacheRecords>
</file>

<file path=xl/pivotCache/pivotCacheRecords9.xml><?xml version="1.0" encoding="utf-8"?>
<pivotCacheRecords xmlns="http://schemas.openxmlformats.org/spreadsheetml/2006/main" xmlns:r="http://schemas.openxmlformats.org/officeDocument/2006/relationships" count="302">
  <r>
    <x v="0"/>
    <x v="0"/>
    <s v="Invasiones"/>
    <s v="1.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51977.568789166602"/>
    <n v="25988.784394583301"/>
    <n v="25988.78439458330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1977568.7891666"/>
    <n v="52523333.261452846"/>
    <n v="51977568.7891666"/>
    <n v="52523333.261452846"/>
    <n v="5197756.8789166603"/>
    <n v="5252333.3261452848"/>
    <n v="7796635.3183749896"/>
    <n v="7878499.9892179267"/>
    <n v="10395513.757833321"/>
    <n v="10504666.65229057"/>
    <n v="15593270.636749979"/>
    <n v="15756999.978435853"/>
    <n v="12994392.19729165"/>
    <n v="13130833.315363212"/>
    <n v="0"/>
    <m/>
    <m/>
    <s v="X"/>
    <m/>
    <s v="RE"/>
    <n v="3"/>
  </r>
  <r>
    <x v="0"/>
    <x v="0"/>
    <s v="Programas de inversión pública"/>
    <s v="1.1.2"/>
    <x v="1"/>
    <s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1"/>
    <s v="C1"/>
    <s v="Productores asistidos"/>
    <n v="74562"/>
    <n v="22368.6"/>
    <n v="29824.800000000003"/>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2526416"/>
    <n v="12657943.367999999"/>
    <n v="16701888.000000002"/>
    <n v="16877257.824000001"/>
    <n v="2505283.2000000002"/>
    <n v="2531588.6735999999"/>
    <n v="2505283.2000000002"/>
    <n v="2531588.6735999999"/>
    <n v="2505283.2000000002"/>
    <n v="2531588.6735999999"/>
    <n v="2505283.2000000002"/>
    <n v="2531588.6735999999"/>
    <n v="2505283.2000000002"/>
    <n v="2531588.6735999999"/>
    <n v="0"/>
    <m/>
    <m/>
    <s v="X"/>
    <m/>
    <s v="RE"/>
    <n v="2"/>
  </r>
  <r>
    <x v="0"/>
    <x v="0"/>
    <s v="Programas de inversión pública"/>
    <s v="1.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intervenidas"/>
    <n v="155570"/>
    <n v="46671"/>
    <n v="46671"/>
    <n v="500"/>
    <s v="El costo incluye adquisición de semillas, insumos, fertilizantes, entre otras para la producción de plantas agroforestales o coberturas  verdes."/>
    <s v="DRASAM"/>
    <n v="23335500"/>
    <n v="23580522.75"/>
    <n v="23335500"/>
    <n v="23580522.75"/>
    <n v="7000650"/>
    <n v="7074156.8249999993"/>
    <n v="5833875"/>
    <n v="5895130.6875"/>
    <n v="4667100"/>
    <n v="4716104.55"/>
    <n v="3500325"/>
    <n v="3537078.4124999996"/>
    <n v="2333550"/>
    <n v="2358052.2749999999"/>
    <n v="0"/>
    <m/>
    <m/>
    <s v="X"/>
    <m/>
    <m/>
    <n v="3"/>
  </r>
  <r>
    <x v="0"/>
    <x v="0"/>
    <s v="Programas de inversión pública"/>
    <s v="1.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fertilizadas"/>
    <n v="155570"/>
    <n v="31114"/>
    <n v="46671"/>
    <n v="2500"/>
    <s v="El costo incluye un análisis de suelos, paquete de fertilización según los resultados del análisis y la adquisición de fertilizantes. El costo incluye los tres abonamientos requeridos en una campaña (1 año)."/>
    <s v="DRASAM"/>
    <n v="77785000"/>
    <n v="78601742.5"/>
    <n v="116677500"/>
    <n v="117902613.75"/>
    <n v="15557000"/>
    <n v="15720348.5"/>
    <n v="15557000"/>
    <n v="15720348.5"/>
    <n v="15557000"/>
    <n v="15720348.5"/>
    <n v="15557000"/>
    <n v="15720348.5"/>
    <n v="15557000"/>
    <n v="15720348.5"/>
    <n v="0"/>
    <m/>
    <m/>
    <s v="X"/>
    <m/>
    <s v="RE"/>
    <n v="3"/>
  </r>
  <r>
    <x v="0"/>
    <x v="0"/>
    <s v="Programas de inversión privada"/>
    <s v="1.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Hectáreas con sistemas de riego"/>
    <n v="155570"/>
    <n v="7778.5"/>
    <n v="15557"/>
    <n v="11500"/>
    <s v="El costo incluye la instalación de un sistema completo y un paquete de fertilización para la primera campaña. El costo va depender del tipo de cultivo, tipo de sistema y el tipo de materiales a usar en los sistemas de fertirriego."/>
    <s v="DRASAM"/>
    <n v="89452750"/>
    <n v="90392003.875"/>
    <n v="178905500"/>
    <n v="180784007.75"/>
    <n v="17890550"/>
    <n v="18078400.774999999"/>
    <n v="17890550"/>
    <n v="18078400.774999999"/>
    <n v="17890550"/>
    <n v="18078400.774999999"/>
    <n v="17890550"/>
    <n v="18078400.774999999"/>
    <n v="17890550"/>
    <n v="18078400.774999999"/>
    <n v="0"/>
    <m/>
    <m/>
    <s v="X"/>
    <m/>
    <s v="RE"/>
    <n v="3"/>
  </r>
  <r>
    <x v="0"/>
    <x v="0"/>
    <s v="Programas de inversión privada"/>
    <s v="1.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x v="3"/>
    <s v="C12"/>
    <s v="Hectáreas reconvertidas/diversificadas"/>
    <n v="31114"/>
    <n v="3111.4"/>
    <n v="3111.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AGROIDEAS"/>
    <n v="46671000"/>
    <n v="47161045.5"/>
    <n v="46671000"/>
    <n v="47161045.5"/>
    <n v="9334200"/>
    <n v="9432209.0999999996"/>
    <n v="9334200"/>
    <n v="9432209.0999999996"/>
    <n v="9334200"/>
    <n v="9432209.0999999996"/>
    <n v="9334200"/>
    <n v="9432209.0999999996"/>
    <n v="9334200"/>
    <n v="9432209.0999999996"/>
    <n v="0"/>
    <s v="X"/>
    <m/>
    <m/>
    <m/>
    <s v="RE"/>
    <n v="3"/>
  </r>
  <r>
    <x v="0"/>
    <x v="0"/>
    <s v="Programas de inversión pública"/>
    <s v="1.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Productores beneficiados"/>
    <n v="74562"/>
    <n v="18640.5"/>
    <n v="26096.69999999999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FONCODES"/>
    <n v="240462450"/>
    <n v="242987305.72499999"/>
    <n v="336647429.99999994"/>
    <n v="340182228.01499993"/>
    <n v="48092490"/>
    <n v="48597461.144999996"/>
    <n v="48092490"/>
    <n v="48597461.144999996"/>
    <n v="48092490"/>
    <n v="48597461.144999996"/>
    <n v="48092490"/>
    <n v="48597461.144999996"/>
    <n v="48092490"/>
    <n v="48597461.144999996"/>
    <n v="0"/>
    <m/>
    <m/>
    <s v="X"/>
    <m/>
    <s v="RE"/>
    <n v="2"/>
  </r>
  <r>
    <x v="0"/>
    <x v="0"/>
    <s v="Programas de inversión pública"/>
    <s v="1.1.8"/>
    <x v="7"/>
    <s v="Capacitaciones a pequeños productores acuícolas en temas relacionados a: Asociatividad, Gestión y administración de piscigranjas, programación de la producción, formalización, gestión de la calidad entre otros temas que permitan la sostenibilidad de la actividad."/>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1"/>
    <s v="C1"/>
    <s v="Acuicultores atendidos"/>
    <n v="668"/>
    <n v="801.6"/>
    <n v="935.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448896"/>
    <n v="453609.408"/>
    <n v="523712"/>
    <n v="529210.97600000002"/>
    <n v="89779.200000000012"/>
    <n v="90721.881600000008"/>
    <n v="89779.200000000012"/>
    <n v="90721.881600000008"/>
    <n v="89779.200000000012"/>
    <n v="90721.881600000008"/>
    <n v="89779.200000000012"/>
    <n v="90721.881600000008"/>
    <n v="89779.200000000012"/>
    <n v="90721.881600000008"/>
    <n v="0"/>
    <m/>
    <m/>
    <s v="X"/>
    <m/>
    <s v="RE"/>
    <n v="3"/>
  </r>
  <r>
    <x v="0"/>
    <x v="0"/>
    <s v="Ingresos y Capital"/>
    <s v="1.1.9"/>
    <x v="8"/>
    <s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Créditos otorgados"/>
    <n v="668"/>
    <n v="801.6"/>
    <n v="935.2"/>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s v="DIREPRO"/>
    <n v="10340640"/>
    <n v="10449216.719999999"/>
    <n v="12064080"/>
    <n v="12190752.84"/>
    <n v="2585160"/>
    <n v="2612304.1799999997"/>
    <n v="2585160"/>
    <n v="2612304.1799999997"/>
    <n v="2068128"/>
    <n v="2089843.3439999998"/>
    <n v="1551096"/>
    <n v="1567382.5079999999"/>
    <n v="1551096"/>
    <n v="1567382.5079999999"/>
    <n v="0"/>
    <s v="X"/>
    <m/>
    <m/>
    <m/>
    <s v="RE"/>
    <n v="3"/>
  </r>
  <r>
    <x v="0"/>
    <x v="0"/>
    <s v="Ingresos y Capital"/>
    <s v="1.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Créditos otorgados"/>
    <n v="74562"/>
    <n v="22368.6"/>
    <n v="14912.4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240462449.99999997"/>
    <n v="242987305.72499996"/>
    <n v="160308300.00000003"/>
    <n v="161991537.15000004"/>
    <n v="48092490"/>
    <n v="48597461.144999996"/>
    <n v="48092490"/>
    <n v="48597461.144999996"/>
    <n v="48092490"/>
    <n v="48597461.144999996"/>
    <n v="48092490"/>
    <n v="48597461.144999996"/>
    <n v="48092490"/>
    <n v="48597461.144999996"/>
    <n v="0"/>
    <s v="X"/>
    <m/>
    <m/>
    <m/>
    <s v="RE"/>
    <n v="3"/>
  </r>
  <r>
    <x v="0"/>
    <x v="0"/>
    <s v="Programas de inversión privada"/>
    <s v="1.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6"/>
    <s v="C7"/>
    <s v="Planes de negocios/proyectos ejecutados"/>
    <n v="48"/>
    <n v="9.6000000000000014"/>
    <n v="14.399999999999999"/>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7680000.0000000009"/>
    <n v="7760640.0000000009"/>
    <n v="11519999.999999998"/>
    <n v="11640959.999999998"/>
    <n v="768000.00000000012"/>
    <n v="776064.00000000012"/>
    <n v="768000.00000000012"/>
    <n v="776064.00000000012"/>
    <n v="1920000.0000000002"/>
    <n v="1940160.0000000002"/>
    <n v="1920000.0000000002"/>
    <n v="1940160.0000000002"/>
    <n v="2304000"/>
    <n v="2328192"/>
    <n v="0"/>
    <s v="X"/>
    <m/>
    <m/>
    <m/>
    <s v="RE"/>
    <n v="3"/>
  </r>
  <r>
    <x v="0"/>
    <x v="0"/>
    <s v="Programas de inversión privada"/>
    <s v="1.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Empresas y organizaciones atendidas"/>
    <n v="48"/>
    <n v="28.799999999999997"/>
    <n v="14.399999999999999"/>
    <n v="50000"/>
    <s v="El costo incluye la contratación de especialistas para brindar Asistencia Técnica en los procesos de implementación de las certificaciones de calidad, materiales para la capacitación y pasantías."/>
    <s v="DIREPRO"/>
    <n v="1439999.9999999998"/>
    <n v="1455119.9999999998"/>
    <n v="719999.99999999988"/>
    <n v="727559.99999999988"/>
    <n v="287999.99999999994"/>
    <n v="291023.99999999994"/>
    <n v="287999.99999999994"/>
    <n v="291023.99999999994"/>
    <n v="287999.99999999994"/>
    <n v="291023.99999999994"/>
    <n v="287999.99999999994"/>
    <n v="291023.99999999994"/>
    <n v="287999.99999999994"/>
    <n v="291023.99999999994"/>
    <n v="0"/>
    <m/>
    <m/>
    <s v="X"/>
    <m/>
    <s v="RE"/>
    <n v="2"/>
  </r>
  <r>
    <x v="0"/>
    <x v="0"/>
    <s v="Programas de inversión pública"/>
    <s v="1.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s v="Programa de promoción de la Asociatividad Empresarial"/>
    <s v="Desarrollar en los productores y produtoras capacidades colaborativas y de confianza hacia objetivos comunes"/>
    <x v="4"/>
    <s v="COMP 2"/>
    <s v="PRODUCCIÓN"/>
    <x v="7"/>
    <s v="C2"/>
    <s v="Organizaciones auto sostenibles"/>
    <n v="48"/>
    <n v="9.6000000000000014"/>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1152000.0000000002"/>
    <n v="1164096.0000000002"/>
    <n v="1440000"/>
    <n v="1455120"/>
    <n v="230400.00000000006"/>
    <n v="232819.20000000004"/>
    <n v="230400.00000000006"/>
    <n v="232819.20000000004"/>
    <n v="230400.00000000006"/>
    <n v="232819.20000000004"/>
    <n v="230400.00000000006"/>
    <n v="232819.20000000004"/>
    <n v="230400.00000000006"/>
    <n v="232819.20000000004"/>
    <n v="0"/>
    <m/>
    <m/>
    <s v="X"/>
    <m/>
    <m/>
    <n v="3"/>
  </r>
  <r>
    <x v="0"/>
    <x v="0"/>
    <s v="Programas de inversión privada"/>
    <s v="1.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Organizaciones certificadas"/>
    <n v="48"/>
    <n v="19.200000000000003"/>
    <n v="19.200000000000003"/>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3840000.0000000005"/>
    <n v="3880320.0000000005"/>
    <n v="3840000.0000000005"/>
    <n v="3880320.0000000005"/>
    <n v="768000.00000000012"/>
    <n v="776064.00000000012"/>
    <n v="768000.00000000012"/>
    <n v="776064.00000000012"/>
    <n v="768000.00000000012"/>
    <n v="776064.00000000012"/>
    <n v="768000.00000000012"/>
    <n v="776064.00000000012"/>
    <n v="768000.00000000012"/>
    <n v="776064.00000000012"/>
    <n v="0"/>
    <m/>
    <m/>
    <s v="X"/>
    <m/>
    <m/>
    <n v="3"/>
  </r>
  <r>
    <x v="0"/>
    <x v="0"/>
    <s v="Control y vigilancia"/>
    <s v="1.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68375"/>
    <n v="1750000"/>
    <n v="1768375"/>
    <n v="350000"/>
    <n v="353675"/>
    <n v="350000"/>
    <n v="353675"/>
    <n v="350000"/>
    <n v="353675"/>
    <n v="350000"/>
    <n v="353675"/>
    <n v="350000"/>
    <n v="353675"/>
    <n v="0"/>
    <s v="X"/>
    <m/>
    <m/>
    <m/>
    <m/>
    <n v="2"/>
  </r>
  <r>
    <x v="0"/>
    <x v="1"/>
    <s v="Invasiones"/>
    <s v="1.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2572.6683236398999"/>
    <n v="1286.3341618199499"/>
    <n v="1286.3341618199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72668.3236399"/>
    <n v="2599681.3410381186"/>
    <n v="2572668.3236399"/>
    <n v="2599681.3410381186"/>
    <n v="257266.83236399002"/>
    <n v="259968.1341038119"/>
    <n v="385900.24854598497"/>
    <n v="389952.20115571778"/>
    <n v="514533.66472798004"/>
    <n v="519936.2682076238"/>
    <n v="771800.49709196994"/>
    <n v="779904.40231143555"/>
    <n v="643167.08090997499"/>
    <n v="649920.33525952965"/>
    <n v="0"/>
    <m/>
    <m/>
    <s v="X"/>
    <m/>
    <s v="RE"/>
    <n v="3"/>
  </r>
  <r>
    <x v="0"/>
    <x v="1"/>
    <s v="Programas de inversión pública"/>
    <s v="1.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Unidades semilleristas"/>
    <n v="15"/>
    <n v="7.5"/>
    <n v="7.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112500"/>
    <n v="113681.25"/>
    <n v="112500"/>
    <n v="113681.25"/>
    <n v="16875"/>
    <n v="17052.1875"/>
    <n v="22500"/>
    <n v="22736.25"/>
    <n v="22500"/>
    <n v="22736.25"/>
    <n v="28125"/>
    <n v="28420.3125"/>
    <n v="22500"/>
    <n v="22736.25"/>
    <n v="0"/>
    <m/>
    <s v="X"/>
    <m/>
    <m/>
    <s v="RE"/>
    <n v="3"/>
  </r>
  <r>
    <x v="0"/>
    <x v="1"/>
    <s v="Programas de inversión pública"/>
    <s v="1.2.3"/>
    <x v="16"/>
    <s v="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Productores asistidos"/>
    <n v="5747"/>
    <n v="2586.15"/>
    <n v="3160.850000000000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448244"/>
    <n v="1463450.5619999999"/>
    <n v="1770076.0000000002"/>
    <n v="1788661.7980000002"/>
    <n v="289648.8"/>
    <n v="292690.11239999998"/>
    <n v="289648.8"/>
    <n v="292690.11239999998"/>
    <n v="289648.8"/>
    <n v="292690.11239999998"/>
    <n v="289648.8"/>
    <n v="292690.11239999998"/>
    <n v="289648.8"/>
    <n v="292690.11239999998"/>
    <n v="0"/>
    <m/>
    <m/>
    <s v="X"/>
    <m/>
    <s v="RE"/>
    <n v="3"/>
  </r>
  <r>
    <x v="0"/>
    <x v="1"/>
    <s v="Programas de inversión privada"/>
    <s v="1.2.4"/>
    <x v="5"/>
    <s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x v="3"/>
    <s v="C12"/>
    <s v="Hectáreas reconvertidas"/>
    <n v="5844"/>
    <n v="584.4"/>
    <n v="584.4"/>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8766000"/>
    <n v="8858043"/>
    <n v="8766000"/>
    <n v="8858043"/>
    <n v="1753200"/>
    <n v="1771608.5999999999"/>
    <n v="1753200"/>
    <n v="1771608.5999999999"/>
    <n v="1753200"/>
    <n v="1771608.5999999999"/>
    <n v="1753200"/>
    <n v="1771608.5999999999"/>
    <n v="1753200"/>
    <n v="1771608.5999999999"/>
    <n v="0"/>
    <m/>
    <m/>
    <s v="X"/>
    <m/>
    <s v="RE"/>
    <n v="3"/>
  </r>
  <r>
    <x v="0"/>
    <x v="1"/>
    <s v="Ingresos y Capital"/>
    <s v="1.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Productores atendidos"/>
    <n v="5747"/>
    <n v="1724.1"/>
    <n v="1149.4000000000001"/>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8534075"/>
    <n v="18728682.787499998"/>
    <n v="12356050.000000002"/>
    <n v="12485788.525000002"/>
    <n v="1853407.5"/>
    <n v="1872868.2787499998"/>
    <n v="2780111.25"/>
    <n v="2809302.4181249999"/>
    <n v="3706815"/>
    <n v="3745736.5574999996"/>
    <n v="4633518.75"/>
    <n v="4682170.6968749994"/>
    <n v="5560222.5"/>
    <n v="5618604.8362499997"/>
    <n v="0"/>
    <s v="X"/>
    <m/>
    <m/>
    <m/>
    <s v="RE"/>
    <n v="3"/>
  </r>
  <r>
    <x v="0"/>
    <x v="1"/>
    <s v="Programas de inversión pública"/>
    <s v="1.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
    <s v="NR"/>
    <x v="1"/>
    <s v="Programa de promoción de la Asociatividad Empresarial"/>
    <s v="Desarrollar en los productores y produtoras capacidades colaborativas y de confianza hacia objetivos comunes"/>
    <x v="4"/>
    <s v="COMP 2"/>
    <s v="PRODUCCIÓN"/>
    <x v="7"/>
    <s v="C2"/>
    <s v="Organizaciones formalizadas y fortalecidas"/>
    <n v="3"/>
    <n v="3"/>
    <n v="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n v="1800000"/>
    <n v="1818900"/>
    <n v="2400000"/>
    <n v="2425200"/>
    <n v="360000"/>
    <n v="363780"/>
    <n v="360000"/>
    <n v="363780"/>
    <n v="360000"/>
    <n v="363780"/>
    <n v="360000"/>
    <n v="363780"/>
    <n v="360000"/>
    <n v="363780"/>
    <n v="0"/>
    <m/>
    <m/>
    <s v="X"/>
    <m/>
    <m/>
    <n v="3"/>
  </r>
  <r>
    <x v="0"/>
    <x v="1"/>
    <s v="Programas de inversión privada"/>
    <s v="1.2.7"/>
    <x v="17"/>
    <s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6"/>
    <s v="C7"/>
    <s v="Planes de negocios ejecutados"/>
    <n v="0"/>
    <n v="3"/>
    <n v="4"/>
    <n v="15000"/>
    <s v="Para el logro de los objetivos, se considera el pago de profesionales para la formulación de los planes de negocios que beneficiarían directamente a los pequeños productores."/>
    <n v="0"/>
    <n v="225000"/>
    <n v="227362.5"/>
    <n v="300000"/>
    <n v="303150"/>
    <n v="112500"/>
    <n v="113681.25"/>
    <n v="0"/>
    <n v="0"/>
    <n v="112500"/>
    <n v="113681.25"/>
    <n v="0"/>
    <n v="0"/>
    <n v="0"/>
    <n v="0"/>
    <n v="0"/>
    <s v="X"/>
    <m/>
    <m/>
    <m/>
    <m/>
    <n v="3"/>
  </r>
  <r>
    <x v="0"/>
    <x v="1"/>
    <s v="Control y vigilancia"/>
    <s v="1.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68375"/>
    <n v="1750000"/>
    <n v="1768375"/>
    <n v="350000"/>
    <n v="353675"/>
    <n v="350000"/>
    <n v="353675"/>
    <n v="350000"/>
    <n v="353675"/>
    <n v="350000"/>
    <n v="353675"/>
    <n v="350000"/>
    <n v="353675"/>
    <n v="0"/>
    <s v="X"/>
    <m/>
    <m/>
    <m/>
    <m/>
    <n v="2"/>
  </r>
  <r>
    <x v="0"/>
    <x v="2"/>
    <s v="Invasiones"/>
    <s v="1.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5860.2605324035703"/>
    <n v="2930.1302662017852"/>
    <n v="2930.13026620178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5860260.5324035706"/>
    <n v="5921793.2679938078"/>
    <n v="5860260.5324035706"/>
    <n v="5921793.2679938078"/>
    <n v="586026.05324035708"/>
    <n v="592179.32679938083"/>
    <n v="879039.07986053557"/>
    <n v="888268.99019907112"/>
    <n v="1172052.1064807142"/>
    <n v="1184358.6535987617"/>
    <n v="1758078.1597210711"/>
    <n v="1776537.9803981422"/>
    <n v="1465065.1331008926"/>
    <n v="1480448.3169984519"/>
    <n v="0"/>
    <m/>
    <m/>
    <s v="X"/>
    <m/>
    <s v="RE"/>
    <n v="3"/>
  </r>
  <r>
    <x v="0"/>
    <x v="2"/>
    <s v="Programas de inversión pública"/>
    <s v="1.3.2"/>
    <x v="18"/>
    <s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1"/>
    <s v="C1"/>
    <s v="Ganaderos asistidos"/>
    <n v="2375"/>
    <n v="1425"/>
    <n v="950"/>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8000"/>
    <n v="806379"/>
    <n v="532000"/>
    <n v="537586"/>
    <n v="159600"/>
    <n v="161275.79999999999"/>
    <n v="159600"/>
    <n v="161275.79999999999"/>
    <n v="159600"/>
    <n v="161275.79999999999"/>
    <n v="159600"/>
    <n v="161275.79999999999"/>
    <n v="159600"/>
    <n v="161275.79999999999"/>
    <n v="0"/>
    <m/>
    <m/>
    <s v="X"/>
    <m/>
    <s v="RE"/>
    <n v="3"/>
  </r>
  <r>
    <x v="0"/>
    <x v="2"/>
    <s v="Programas de inversión pública"/>
    <s v="1.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intervenidas"/>
    <n v="71251"/>
    <n v="14250.2"/>
    <n v="14250.2"/>
    <n v="500"/>
    <s v="El costo incluye adquisición de semillas, insumos, fertilizantes, entre otras para la producción de plantas agroforestales o coberturas  verdes."/>
    <s v="DRASAM, ICT"/>
    <n v="7125100"/>
    <n v="7199913.5499999998"/>
    <n v="7125100"/>
    <n v="7199913.5499999998"/>
    <n v="1068765"/>
    <n v="1079987.0325"/>
    <n v="1068765"/>
    <n v="1079987.0325"/>
    <n v="1425020"/>
    <n v="1439982.71"/>
    <n v="1781275"/>
    <n v="1799978.3875"/>
    <n v="1781275"/>
    <n v="1799978.3875"/>
    <n v="0"/>
    <m/>
    <m/>
    <s v="X"/>
    <m/>
    <s v="RE"/>
    <n v="3"/>
  </r>
  <r>
    <x v="0"/>
    <x v="2"/>
    <s v="Programas de inversión pública"/>
    <s v="1.3.4"/>
    <x v="19"/>
    <s v=" Reactivación, implementación y gestión de las postas de inseminación artificial, material genético, capacitación y entrenamiento a inseminadores (certificar por competencia a través del SINEACE), transferencia de embriones a las granjas de los productores y asistencia técnica."/>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Postas activas y operativas"/>
    <n v="0"/>
    <n v="21"/>
    <n v="21"/>
    <n v="54800"/>
    <s v="Costo por posta reactivada y/o instalada, cada una estará ubicada en punto estratégico para cobertura la mayor cantidad de ganaderos. Considerando la implementación con tanques criogénicos, materiales diversos, pajillas, técnico especialista, movilidad entre otros. "/>
    <s v="DIREPRO"/>
    <n v="5754000"/>
    <n v="5814417"/>
    <n v="5754000"/>
    <n v="5814417"/>
    <n v="1150800"/>
    <n v="1162883.3999999999"/>
    <n v="1150800"/>
    <n v="1162883.3999999999"/>
    <n v="1150800"/>
    <n v="1162883.3999999999"/>
    <n v="1150800"/>
    <n v="1162883.3999999999"/>
    <n v="1150800"/>
    <n v="1162883.3999999999"/>
    <n v="0"/>
    <m/>
    <s v="X"/>
    <m/>
    <m/>
    <m/>
    <n v="3"/>
  </r>
  <r>
    <x v="0"/>
    <x v="2"/>
    <s v="Ingresos y Capital"/>
    <s v="1.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Ganaderos atendidos"/>
    <n v="2375"/>
    <n v="712.5"/>
    <n v="47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AGROBANCO, DRASAM"/>
    <n v="7659375"/>
    <n v="7739798.4375"/>
    <n v="5106250"/>
    <n v="5159865.625"/>
    <n v="765937.5"/>
    <n v="773979.84375"/>
    <n v="1148906.25"/>
    <n v="1160969.765625"/>
    <n v="1148906.25"/>
    <n v="1160969.765625"/>
    <n v="2297812.5"/>
    <n v="2321939.53125"/>
    <n v="2297812.5"/>
    <n v="2321939.53125"/>
    <n v="0"/>
    <s v="X"/>
    <m/>
    <m/>
    <m/>
    <s v="RE"/>
    <n v="3"/>
  </r>
  <r>
    <x v="0"/>
    <x v="2"/>
    <s v="Programas de inversión pública"/>
    <s v="1.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x v="7"/>
    <s v="C2"/>
    <s v="Organizaciones fortalecidas"/>
    <n v="24"/>
    <n v="10.8"/>
    <n v="7.1999999999999993"/>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6480000"/>
    <n v="6548040"/>
    <n v="4319999.9999999991"/>
    <n v="4365359.9999999991"/>
    <n v="1296000"/>
    <n v="1309608"/>
    <n v="1296000"/>
    <n v="1309608"/>
    <n v="1296000"/>
    <n v="1309608"/>
    <n v="1296000"/>
    <n v="1309608"/>
    <n v="1296000"/>
    <n v="1309608"/>
    <n v="0"/>
    <m/>
    <m/>
    <s v="X"/>
    <m/>
    <m/>
    <n v="3"/>
  </r>
  <r>
    <x v="0"/>
    <x v="2"/>
    <s v="Programas de inversión privada"/>
    <s v="1.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Planes de negocios implementados"/>
    <n v="0"/>
    <n v="20"/>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6000000"/>
    <n v="16168000"/>
    <n v="8000000"/>
    <n v="8084000"/>
    <n v="3200000"/>
    <n v="3233600"/>
    <n v="3200000"/>
    <n v="3233600"/>
    <n v="3200000"/>
    <n v="3233600"/>
    <n v="3200000"/>
    <n v="3233600"/>
    <n v="3200000"/>
    <n v="3233600"/>
    <n v="0"/>
    <s v="X"/>
    <m/>
    <m/>
    <m/>
    <s v="RE"/>
    <n v="3"/>
  </r>
  <r>
    <x v="0"/>
    <x v="2"/>
    <s v="Control y vigilancia"/>
    <s v="1.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175"/>
    <n v="17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750000"/>
    <n v="1768375"/>
    <n v="1750000"/>
    <n v="1768375"/>
    <n v="350000"/>
    <n v="353675"/>
    <n v="350000"/>
    <n v="353675"/>
    <n v="350000"/>
    <n v="353675"/>
    <n v="350000"/>
    <n v="353675"/>
    <n v="350000"/>
    <n v="353675"/>
    <n v="0"/>
    <s v="X"/>
    <m/>
    <m/>
    <m/>
    <m/>
    <n v="2"/>
  </r>
  <r>
    <x v="0"/>
    <x v="3"/>
    <s v="Invasiones"/>
    <s v="1.4.1"/>
    <x v="20"/>
    <s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_x000a_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
    <s v="NR"/>
    <x v="0"/>
    <s v="Programa de regulización, formalizacion y saneamiento de predios"/>
    <s v="Formalización de la situacion de legal de los predios, estableciendo medidas facilitadoras"/>
    <x v="0"/>
    <s v="COMP 8"/>
    <s v="PROTECCIÓN-GOBERNANZA"/>
    <x v="0"/>
    <s v="C5"/>
    <s v="Comunidades tituladas"/>
    <n v="63"/>
    <n v="63"/>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4488750"/>
    <n v="4535881.875"/>
    <n v="0"/>
    <n v="0"/>
    <n v="897750"/>
    <n v="907176.375"/>
    <n v="897750"/>
    <n v="907176.375"/>
    <n v="897750"/>
    <n v="907176.375"/>
    <n v="897750"/>
    <n v="907176.375"/>
    <n v="897750"/>
    <n v="907176.375"/>
    <n v="0"/>
    <m/>
    <m/>
    <s v="X"/>
    <m/>
    <m/>
    <n v="3"/>
  </r>
  <r>
    <x v="0"/>
    <x v="3"/>
    <s v="Programas de inversión pública"/>
    <s v="1.4.2"/>
    <x v="21"/>
    <s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s v="Programa de Asistencia Técnica para la recuperación de bosques"/>
    <s v="Recuperación de bosques mediante la recuperación y concervación de los suelos, el aprovechamiento de los serivicios ecosistemicos , manejo forstal, entre otros "/>
    <x v="6"/>
    <s v="COMP 5"/>
    <s v="PROTECCIÓN"/>
    <x v="1"/>
    <s v="C1"/>
    <s v="Productor asistido"/>
    <n v="6900"/>
    <n v="4140"/>
    <n v="276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318400"/>
    <n v="2342743.1999999997"/>
    <n v="1545600"/>
    <n v="1561828.7999999998"/>
    <n v="463680"/>
    <n v="468548.63999999996"/>
    <n v="463680"/>
    <n v="468548.63999999996"/>
    <n v="463680"/>
    <n v="468548.63999999996"/>
    <n v="463680"/>
    <n v="468548.63999999996"/>
    <n v="463680"/>
    <n v="468548.63999999996"/>
    <n v="0"/>
    <m/>
    <m/>
    <s v="X"/>
    <m/>
    <s v="RE"/>
    <n v="3"/>
  </r>
  <r>
    <x v="0"/>
    <x v="3"/>
    <s v="Programas de inversión privada"/>
    <s v="1.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0"/>
    <s v="C8"/>
    <s v="Planes de negocio"/>
    <n v="0"/>
    <n v="40"/>
    <n v="40"/>
    <n v="15000"/>
    <s v="Se contratará profesionales para el asesoramiento y formulación de planes de negocios de las Comunidades Nativas."/>
    <s v="Drasam, Agroideas"/>
    <n v="600000"/>
    <n v="606300"/>
    <n v="600000"/>
    <n v="606300"/>
    <n v="120000"/>
    <n v="121260"/>
    <n v="120000"/>
    <n v="121260"/>
    <n v="120000"/>
    <n v="121260"/>
    <n v="120000"/>
    <n v="121260"/>
    <n v="120000"/>
    <n v="121260"/>
    <n v="0"/>
    <s v="X"/>
    <m/>
    <m/>
    <m/>
    <s v="RE"/>
    <n v="2"/>
  </r>
  <r>
    <x v="0"/>
    <x v="3"/>
    <s v="Programas de inversión pública"/>
    <s v="1.4.4"/>
    <x v="23"/>
    <s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s v="Programa de promoción de la Asociatividad Empresarial"/>
    <s v="Desarrollar en los productores y produtoras capacidades colaborativas y de confianza hacia objetivos comunes"/>
    <x v="4"/>
    <s v="COMP 2"/>
    <s v="PRODUCCIÓN"/>
    <x v="7"/>
    <s v="C2"/>
    <s v="Comunidades fortalecidas"/>
    <n v="66"/>
    <n v="39.6"/>
    <n v="26.400000000000002"/>
    <n v="288000"/>
    <s v="Contratación de especialistas para dar acompañamiento y seguimiento a los procesos organizativos de las CCNN de forma permanente."/>
    <s v="Drasam, Direpro, Dircetur, ARA, CODEPISAM"/>
    <n v="1440000"/>
    <n v="1455120"/>
    <n v="1440000"/>
    <n v="1455120"/>
    <n v="288000"/>
    <n v="291024"/>
    <n v="288000"/>
    <n v="291024"/>
    <n v="288000"/>
    <n v="291024"/>
    <n v="288000"/>
    <n v="291024"/>
    <n v="288000"/>
    <n v="291024"/>
    <n v="0"/>
    <m/>
    <m/>
    <s v="X"/>
    <m/>
    <s v="RE"/>
    <n v="2"/>
  </r>
  <r>
    <x v="0"/>
    <x v="3"/>
    <s v="Programas de inversión privada"/>
    <s v="1.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Especialistas"/>
    <n v="0"/>
    <n v="5"/>
    <n v="5"/>
    <n v="3500"/>
    <s v="Contratación de especialista para identificación, acompañamiento y seguimiento a los procesos comerciales iniciados por las organizaciones de las CCNN"/>
    <s v="Drasam, Direpro, Dircetur, ARA, OPIPs"/>
    <n v="1050000"/>
    <n v="1061025"/>
    <n v="1050000"/>
    <n v="1061025"/>
    <n v="210000"/>
    <n v="212205"/>
    <n v="210000"/>
    <n v="212205"/>
    <n v="210000"/>
    <n v="212205"/>
    <n v="210000"/>
    <n v="212205"/>
    <n v="210000"/>
    <n v="212205"/>
    <n v="0"/>
    <s v="X"/>
    <m/>
    <m/>
    <m/>
    <s v="RE"/>
    <n v="2"/>
  </r>
  <r>
    <x v="0"/>
    <x v="3"/>
    <s v="Invasiones"/>
    <s v="1.4.6"/>
    <x v="25"/>
    <s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
    <s v="NR"/>
    <x v="2"/>
    <s v="Programa de incentivos para la protección de bosques"/>
    <s v="Contribuir a la sostenilidad de los bosques brindando incentivos financieros"/>
    <x v="3"/>
    <s v="COMP 11"/>
    <s v="PROTECCIÓN"/>
    <x v="5"/>
    <s v="C6"/>
    <s v="Comunidades atendidas"/>
    <n v="9"/>
    <n v="30"/>
    <n v="27"/>
    <n v="5000"/>
    <s v="El costo esta referido a los gastos administrativos y logísticos que impliquen la elaboración del expediente para ser presentado a los programas de incentivos. "/>
    <s v="Gerencia Regional de Desarrollo Social, Programa Geo bosques, CODEPISAM"/>
    <n v="750000"/>
    <n v="757875"/>
    <n v="675000"/>
    <n v="682087.5"/>
    <n v="150000"/>
    <n v="151575"/>
    <n v="150000"/>
    <n v="151575"/>
    <n v="150000"/>
    <n v="151575"/>
    <n v="150000"/>
    <n v="151575"/>
    <n v="150000"/>
    <n v="151575"/>
    <n v="0"/>
    <m/>
    <m/>
    <s v="X"/>
    <m/>
    <m/>
    <n v="3"/>
  </r>
  <r>
    <x v="0"/>
    <x v="3"/>
    <s v="Programas de inversión pública"/>
    <s v="1.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s v="Programa de Infraestructura para la Competitividad "/>
    <s v="Generar condiciones para el desarrollo socio económico del territorio"/>
    <x v="8"/>
    <s v="COMP 9"/>
    <s v="INCLUSION"/>
    <x v="11"/>
    <s v="C14"/>
    <s v="Módulos implementados"/>
    <n v="6600"/>
    <n v="1980"/>
    <n v="2640"/>
    <n v="30000"/>
    <s v="Implementación según las necesidades identificadas en cada comunidad, considerando si son aplicables en dichas zonas, si no hay restricciones de cualquier índole. "/>
    <s v="Goresam, MIDIS, DRTyTC, Drasam,Foncodes, Cooperación, CODEPISAM"/>
    <n v="59400000"/>
    <n v="60023700"/>
    <n v="79200000"/>
    <n v="80031600"/>
    <n v="11880000"/>
    <n v="12004740"/>
    <n v="11880000"/>
    <n v="12004740"/>
    <n v="11880000"/>
    <n v="12004740"/>
    <n v="11880000"/>
    <n v="12004740"/>
    <n v="11880000"/>
    <n v="12004740"/>
    <n v="0"/>
    <m/>
    <m/>
    <s v="X"/>
    <m/>
    <m/>
    <n v="2"/>
  </r>
  <r>
    <x v="0"/>
    <x v="3"/>
    <s v="Programas de inversión pública"/>
    <s v="1.4.8"/>
    <x v="27"/>
    <s v="Implementación de proyectos enfocados a mejorar los servicios básicos de las comunidades nativas, dichos servicios deberán contar con profesionales bilingües, para asegurar y garantizar la adecuada transferencia de dichos servicios.  "/>
    <s v="NR"/>
    <x v="0"/>
    <s v="Programa de Infraestructura para la Competitividad "/>
    <s v="Generar condiciones para el desarrollo socio económico del territorio"/>
    <x v="8"/>
    <s v="COMP 9"/>
    <s v="INCLUSION"/>
    <x v="11"/>
    <s v="C14"/>
    <s v="Escuelas y postas médicas implementadas"/>
    <n v="66"/>
    <n v="36"/>
    <n v="30"/>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7000000"/>
    <n v="27283500"/>
    <n v="22500000"/>
    <n v="22736250"/>
    <n v="5400000"/>
    <n v="5456700"/>
    <n v="5400000"/>
    <n v="5456700"/>
    <n v="5400000"/>
    <n v="5456700"/>
    <n v="5400000"/>
    <n v="5456700"/>
    <n v="5400000"/>
    <n v="5456700"/>
    <n v="0"/>
    <s v="X"/>
    <m/>
    <m/>
    <m/>
    <s v="RE"/>
    <n v="3"/>
  </r>
  <r>
    <x v="0"/>
    <x v="4"/>
    <s v="Programas de inversión privada"/>
    <s v="1.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s v="Programa de incentivos para la protección de bosques"/>
    <s v="Contribuir a la sostenilidad de los bosques brindando incentivos financieros"/>
    <x v="3"/>
    <s v="COMP 11"/>
    <s v="PROTECCIÓN"/>
    <x v="5"/>
    <s v="C6"/>
    <s v="Planes de negocio"/>
    <n v="14"/>
    <n v="8.4"/>
    <n v="5.6000000000000005"/>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260000"/>
    <n v="1273230"/>
    <n v="840000.00000000012"/>
    <n v="848820.00000000012"/>
    <n v="252000"/>
    <n v="254646"/>
    <n v="252000"/>
    <n v="254646"/>
    <n v="252000"/>
    <n v="254646"/>
    <n v="252000"/>
    <n v="254646"/>
    <n v="252000"/>
    <n v="254646"/>
    <n v="0"/>
    <s v="X"/>
    <m/>
    <m/>
    <m/>
    <s v="RE"/>
    <n v="2"/>
  </r>
  <r>
    <x v="0"/>
    <x v="4"/>
    <s v="Programas de inversión pública"/>
    <s v="1.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s v="Programa de Asistencia Técnica para la recuperación de bosques"/>
    <s v="Recuperación de bosques mediante la recuperación y concervación de los suelos, el aprovechamiento de los serivicios ecosistemicos , manejo forstal, entre otros "/>
    <x v="6"/>
    <s v="COMP 5"/>
    <s v="PROTECCIÓN"/>
    <x v="1"/>
    <s v="C1"/>
    <s v="Especialistas"/>
    <n v="0"/>
    <n v="3"/>
    <n v="3"/>
    <n v="4000"/>
    <s v="Contratación de especialista y gastos logísticos, pasantías regionales y nacionales para adquisición de know how en materia de turismo rural"/>
    <s v="Dircetur"/>
    <n v="720000"/>
    <n v="727560"/>
    <n v="720000"/>
    <n v="727560"/>
    <n v="144000"/>
    <n v="145512"/>
    <n v="144000"/>
    <n v="145512"/>
    <n v="144000"/>
    <n v="145512"/>
    <n v="144000"/>
    <n v="145512"/>
    <n v="144000"/>
    <n v="145512"/>
    <n v="0"/>
    <m/>
    <m/>
    <s v="X"/>
    <m/>
    <s v="RE"/>
    <n v="3"/>
  </r>
  <r>
    <x v="0"/>
    <x v="4"/>
    <s v="Programas de inversión privada"/>
    <s v="1.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0"/>
    <s v="C8"/>
    <s v="Planes de negocio"/>
    <n v="0"/>
    <n v="7"/>
    <n v="7"/>
    <n v="150000"/>
    <s v="El costo hace referencia al proceso de implementación y funcionamiento de los productos para el desarrollo de  los emprendimientos."/>
    <s v="Dircetur, Agroideas"/>
    <n v="1050000"/>
    <n v="1061025"/>
    <n v="1050000"/>
    <n v="1061025"/>
    <n v="210000"/>
    <n v="212205"/>
    <n v="210000"/>
    <n v="212205"/>
    <n v="210000"/>
    <n v="212205"/>
    <n v="210000"/>
    <n v="212205"/>
    <n v="210000"/>
    <n v="212205"/>
    <n v="0"/>
    <s v="X"/>
    <m/>
    <m/>
    <m/>
    <s v="RE"/>
    <n v="3"/>
  </r>
  <r>
    <x v="0"/>
    <x v="4"/>
    <s v="Programas de inversión privada"/>
    <s v="1.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Rutas turísticas promocionados"/>
    <n v="0"/>
    <n v="7"/>
    <n v="7"/>
    <n v="40000"/>
    <s v="Participación en eventos de promoción (ferias regionales y nacionales, Fam Trip), el costo cubrirá gastos logísticos y administrativos de los operadores turísticos identificados "/>
    <s v="Mincetur, Dircetur"/>
    <n v="1400000"/>
    <n v="1414700"/>
    <n v="1400000"/>
    <n v="1414700"/>
    <n v="280000"/>
    <n v="282940"/>
    <n v="280000"/>
    <n v="282940"/>
    <n v="280000"/>
    <n v="282940"/>
    <n v="280000"/>
    <n v="282940"/>
    <n v="280000"/>
    <n v="282940"/>
    <n v="0"/>
    <m/>
    <m/>
    <s v="X"/>
    <m/>
    <s v="RE"/>
    <n v="3"/>
  </r>
  <r>
    <x v="0"/>
    <x v="5"/>
    <s v="Invasiones"/>
    <s v="1.6.1"/>
    <x v="31"/>
    <s v="Realizar un sinceramiento de las concesiones forestales activas e inactivas para excluir o realizar nuevos otorgamientos a empresas que puedan cumplir técnica y económicamente con lo predispuesto en la directiva."/>
    <s v="NR"/>
    <x v="0"/>
    <s v="Programa de regulización, formalizacion y saneamiento de predios"/>
    <s v="Formalización de la situacion de legal de los predios, estableciendo medidas facilitadoras"/>
    <x v="0"/>
    <s v="COMP 8"/>
    <s v="PROTECCIÓN-GOBERNANZA"/>
    <x v="0"/>
    <s v="C5"/>
    <s v="N° de concesiones "/>
    <n v="0"/>
    <n v="9"/>
    <n v="10"/>
    <n v="30000"/>
    <s v="Gastos operativos y logísticos para la elaboración de expedientes técnicos sustentatorios para los procesos legales y administrativos que conllevan dicho procedimiento."/>
    <s v="ARA, SERFOR, MINAM"/>
    <n v="270000"/>
    <n v="272835"/>
    <n v="300000"/>
    <n v="303150"/>
    <n v="54000"/>
    <n v="54567"/>
    <n v="108000"/>
    <n v="109134"/>
    <n v="108000"/>
    <n v="109134"/>
    <n v="0"/>
    <n v="0"/>
    <n v="0"/>
    <n v="0"/>
    <n v="0"/>
    <m/>
    <m/>
    <s v="X"/>
    <m/>
    <m/>
    <n v="3"/>
  </r>
  <r>
    <x v="0"/>
    <x v="5"/>
    <s v="Programas de inversión privada"/>
    <s v="1.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s v="Programa de incentivos para la protección de bosques"/>
    <s v="Contribuir a la sostenilidad de los bosques brindando incentivos financieros"/>
    <x v="3"/>
    <s v="COMP 11"/>
    <s v="PROTECCIÓN"/>
    <x v="5"/>
    <s v="C6"/>
    <s v="Créditos otorgados"/>
    <n v="0"/>
    <n v="5"/>
    <n v="10"/>
    <n v="150000"/>
    <s v="El costo incluye los gastos operativos y logísticos para la extracción de la madera de acuerdo al plan de extracción y la implementación de los planes de manejo. ambiental."/>
    <s v="ARA, SERFOR, MINAM"/>
    <n v="750000"/>
    <n v="757875"/>
    <n v="1500000"/>
    <n v="1515750"/>
    <n v="150000"/>
    <n v="151575"/>
    <n v="150000"/>
    <n v="151575"/>
    <n v="150000"/>
    <n v="151575"/>
    <n v="150000"/>
    <n v="151575"/>
    <n v="150000"/>
    <n v="151575"/>
    <n v="0"/>
    <s v="X"/>
    <m/>
    <m/>
    <m/>
    <s v="RE"/>
    <n v="3"/>
  </r>
  <r>
    <x v="0"/>
    <x v="5"/>
    <s v="Programas de inversión pública"/>
    <s v="1.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inactivas, al menos el 60% se reactiven y cierren los contratos pendientes por ejecutar. "/>
    <s v="R"/>
    <x v="0"/>
    <s v="Programa de regulización, formalizacion y saneamiento de predios"/>
    <s v="Formalización de la situacion de legal de los predios, estableciendo medidas facilitadoras"/>
    <x v="0"/>
    <s v="COMP 8"/>
    <s v="HABILITANTE"/>
    <x v="13"/>
    <s v="C21"/>
    <s v="Concesiones reactivadas"/>
    <n v="0"/>
    <n v="5"/>
    <n v="0"/>
    <n v="20000"/>
    <s v="Gastos operativos y logísticos para la elaboración de expedientes técnicos sustentatorios para los procesos legales y administrativos que conllevan dicho procedimiento."/>
    <s v="ARA, SERFOR, MINAM"/>
    <n v="100000"/>
    <n v="101050"/>
    <n v="0"/>
    <n v="0"/>
    <n v="20000"/>
    <n v="20210"/>
    <n v="20000"/>
    <n v="20210"/>
    <n v="20000"/>
    <n v="20210"/>
    <n v="20000"/>
    <n v="20210"/>
    <n v="20000"/>
    <n v="20210"/>
    <n v="0"/>
    <m/>
    <m/>
    <s v="X"/>
    <m/>
    <m/>
    <n v="1"/>
  </r>
  <r>
    <x v="0"/>
    <x v="6"/>
    <s v="Control y vigilancia"/>
    <s v="1.7.1"/>
    <x v="34"/>
    <s v="Campañas de sensibilización en los distritos acentuadas en las zonas de amortiguamiento, considerando la participación del ARA, DRASAM, DIRCETUR, GRDS.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x v="14"/>
    <s v="C4"/>
    <s v="Campañas de sensibilización"/>
    <n v="0"/>
    <n v="81"/>
    <n v="81"/>
    <n v="8000"/>
    <s v="Campañas de sensibilización con equipos técnicos de las instituciones involucradas, gastos logísticos, impresión de material de difusión, publicidad radial, televisiva y escrita."/>
    <s v="ARA, SERFOR, SERNANP, CIMA"/>
    <n v="3240000"/>
    <n v="3274020"/>
    <n v="3240000"/>
    <n v="3274020"/>
    <n v="648000"/>
    <n v="654804"/>
    <n v="648000"/>
    <n v="654804"/>
    <n v="648000"/>
    <n v="654804"/>
    <n v="648000"/>
    <n v="654804"/>
    <n v="648000"/>
    <n v="654804"/>
    <n v="0"/>
    <m/>
    <m/>
    <s v="X"/>
    <m/>
    <s v="RE"/>
    <n v="3"/>
  </r>
  <r>
    <x v="0"/>
    <x v="6"/>
    <s v="Control y vigilancia"/>
    <s v="1.7.2"/>
    <x v="35"/>
    <s v="Implementar con recursos necesarios al ente que administra el área, con la finalidad de aumentar el número de personas (guardaparques) que contribuyan a realizar acciones de control y vigilancia."/>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x v="14"/>
    <s v="C4"/>
    <s v="Número de guardaparques"/>
    <n v="0"/>
    <n v="18"/>
    <n v="18"/>
    <n v="2000"/>
    <s v="Contratación a guardaparques para garantizar el control y vigilancia del área otorgada."/>
    <s v="ARA, SERFOR, SERNANP, CIMA"/>
    <n v="2160000"/>
    <n v="2182680"/>
    <n v="2160000"/>
    <n v="2182680"/>
    <n v="432000"/>
    <n v="436536"/>
    <n v="432000"/>
    <n v="436536"/>
    <n v="432000"/>
    <n v="436536"/>
    <n v="432000"/>
    <n v="436536"/>
    <n v="432000"/>
    <n v="436536"/>
    <n v="0"/>
    <m/>
    <m/>
    <s v="X"/>
    <m/>
    <s v="RE"/>
    <n v="3"/>
  </r>
  <r>
    <x v="0"/>
    <x v="6"/>
    <s v="Programas de inversión pública"/>
    <s v="1.7.3"/>
    <x v="36"/>
    <s v="Promover la planificación comunal en centros poblados del interior en base a la zonificación y zona de amortiguamiento teniendo como base al Plan Maestro (incluye acuerdos de conservación)"/>
    <s v="NR"/>
    <x v="0"/>
    <s v="Programa de Infraestructura para la Competitividad "/>
    <s v="Generar condiciones para el desarrollo socio económico del territorio"/>
    <x v="8"/>
    <s v="COMP 9"/>
    <s v="HABILITANTE"/>
    <x v="15"/>
    <s v="C10"/>
    <s v="Planes de gestión comunal"/>
    <n v="0"/>
    <n v="81"/>
    <n v="135"/>
    <n v="10000"/>
    <s v="Contratación de servicios profesionales para la elaboración de los planes de gestión comunal."/>
    <s v="ARA, SERFOR, SERNANP, CIMA"/>
    <n v="810000"/>
    <n v="818505"/>
    <n v="1350000"/>
    <n v="1364175"/>
    <n v="162000"/>
    <n v="163701"/>
    <n v="162000"/>
    <n v="163701"/>
    <n v="162000"/>
    <n v="163701"/>
    <n v="162000"/>
    <n v="163701"/>
    <n v="162000"/>
    <n v="163701"/>
    <n v="0"/>
    <m/>
    <m/>
    <s v="X"/>
    <m/>
    <m/>
    <n v="3"/>
  </r>
  <r>
    <x v="0"/>
    <x v="6"/>
    <s v="Programas de inversión privada"/>
    <s v="1.7.4"/>
    <x v="37"/>
    <s v="Campañas de promoción y difusión en el ámbito regional y nacional de los circuitos turísticos que existen en la zona de amortiguamiento. acorde al plan maestro del parque.  "/>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Campañas de promoción"/>
    <n v="0"/>
    <n v="54"/>
    <n v="54"/>
    <n v="4000"/>
    <s v="Campañas de promoción que incluye, impresión de material de difusión, publicidad radial, televisiva y escrita."/>
    <s v="ARA, SERFOR, SERNANP, CIMA"/>
    <n v="1080000"/>
    <n v="1091340"/>
    <n v="1080000"/>
    <n v="1091340"/>
    <n v="216000"/>
    <n v="218268"/>
    <n v="216000"/>
    <n v="218268"/>
    <n v="216000"/>
    <n v="218268"/>
    <n v="216000"/>
    <n v="218268"/>
    <n v="216000"/>
    <n v="218268"/>
    <n v="0"/>
    <m/>
    <s v="X"/>
    <m/>
    <m/>
    <m/>
    <n v="3"/>
  </r>
  <r>
    <x v="0"/>
    <x v="6"/>
    <s v="Programas de inversión privada"/>
    <s v="1.7.5"/>
    <x v="38"/>
    <s v="Realizar pasantías focalizadas en aquellos sectores claves que se necesita intervenir para disminuir la presión del parque."/>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Pasantías"/>
    <n v="0"/>
    <n v="54"/>
    <n v="54"/>
    <n v="5000"/>
    <s v="El costo hace referencia a los gastos de pasajes, alimentación y otros para un grupo de 20 productores por pasantía."/>
    <s v="ARA, SERFOR, SERNANP, CIMA"/>
    <n v="1350000"/>
    <n v="1364175"/>
    <n v="1350000"/>
    <n v="1364175"/>
    <n v="270000"/>
    <n v="272835"/>
    <n v="270000"/>
    <n v="272835"/>
    <n v="270000"/>
    <n v="272835"/>
    <n v="270000"/>
    <n v="272835"/>
    <n v="270000"/>
    <n v="272835"/>
    <n v="0"/>
    <m/>
    <s v="X"/>
    <m/>
    <m/>
    <m/>
    <n v="3"/>
  </r>
  <r>
    <x v="0"/>
    <x v="7"/>
    <s v="Programas de inversión pública"/>
    <s v="1.8.1"/>
    <x v="36"/>
    <s v="Promover la planificación comunal en centros poblados en base a la zonificación y zona de amortiguamiento teniendo como base al Plan Maestro (incluye acuerdos de conservación)"/>
    <s v="NR"/>
    <x v="0"/>
    <s v="Programa de Infraestructura para la Competitividad "/>
    <s v="Generar condiciones para el desarrollo socio económico del territorio"/>
    <x v="8"/>
    <s v="COMP 9"/>
    <s v="PROTECCIÓN"/>
    <x v="12"/>
    <s v="C11"/>
    <s v="Planes de gestión comunal"/>
    <n v="0"/>
    <n v="18"/>
    <n v="18"/>
    <n v="10000"/>
    <s v="Contratación de servicios profesionales para la elaboración de los planes de gestión comunal."/>
    <s v="ARA, SERFOR, SERNANP, CIMA"/>
    <n v="180000"/>
    <n v="181890"/>
    <n v="180000"/>
    <n v="181890"/>
    <n v="36000"/>
    <n v="36378"/>
    <n v="36000"/>
    <n v="36378"/>
    <n v="36000"/>
    <n v="36378"/>
    <n v="36000"/>
    <n v="36378"/>
    <n v="36000"/>
    <n v="36378"/>
    <n v="0"/>
    <m/>
    <m/>
    <s v="X"/>
    <m/>
    <m/>
    <n v="3"/>
  </r>
  <r>
    <x v="0"/>
    <x v="7"/>
    <s v="Programas de inversión privada"/>
    <s v="1.8.2"/>
    <x v="37"/>
    <s v="Campañas de promoción y difusión en el ámbito regional y nacional de los circuitos turísticos que existen en la zona de amortiguamiento. acorde al plan maestro del parque.  "/>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Campañas de promoción"/>
    <n v="0"/>
    <n v="36"/>
    <n v="36"/>
    <n v="4000"/>
    <s v="Campañas de promoción que incluye, impresión de material de difusión, publicidad radial, televisiva y escrita."/>
    <s v="ARA, SERFOR, SERNANP, CIMA"/>
    <n v="720000"/>
    <n v="727560"/>
    <n v="720000"/>
    <n v="727560"/>
    <n v="144000"/>
    <n v="145512"/>
    <n v="144000"/>
    <n v="145512"/>
    <n v="144000"/>
    <n v="145512"/>
    <n v="144000"/>
    <n v="145512"/>
    <n v="144000"/>
    <n v="145512"/>
    <n v="0"/>
    <m/>
    <s v="X"/>
    <m/>
    <m/>
    <m/>
    <n v="3"/>
  </r>
  <r>
    <x v="0"/>
    <x v="7"/>
    <s v="Programas de inversión privada"/>
    <s v="1.8.3"/>
    <x v="39"/>
    <s v="Realizar pasantías focalizadas en aquellos sectores claves que se necesita intervenir para disminuir la presión del parque."/>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Pasantías"/>
    <n v="0"/>
    <n v="36"/>
    <n v="36"/>
    <n v="5000"/>
    <s v="El costo hace referencia a los gastos de pasajes, alimentación y otros para un grupo de 20 productores por pasantía."/>
    <s v="ARA, SERFOR, SERNANP, CIMA"/>
    <n v="900000"/>
    <n v="909450"/>
    <n v="900000"/>
    <n v="909450"/>
    <n v="180000"/>
    <n v="181890"/>
    <n v="180000"/>
    <n v="181890"/>
    <n v="180000"/>
    <n v="181890"/>
    <n v="180000"/>
    <n v="181890"/>
    <n v="180000"/>
    <n v="181890"/>
    <n v="0"/>
    <m/>
    <s v="X"/>
    <m/>
    <m/>
    <m/>
    <n v="3"/>
  </r>
  <r>
    <x v="0"/>
    <x v="8"/>
    <s v="Invasiones"/>
    <s v="1.9.1"/>
    <x v="40"/>
    <s v="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
    <s v="NR"/>
    <x v="0"/>
    <s v="Programa de regulización, formalizacion y saneamiento de predios"/>
    <s v="Formalización de la situacion de legal de los predios, estableciendo medidas facilitadoras"/>
    <x v="0"/>
    <s v="COMP 8"/>
    <s v="PROTECCIÓN-GOBERNANZA"/>
    <x v="0"/>
    <s v="C5"/>
    <s v="Ha. con categoría territorial asignada"/>
    <n v="37076.060156214648"/>
    <n v="18538.030078107324"/>
    <n v="18538.030078107324"/>
    <n v="15"/>
    <s v="Para la implementación de las intervención será mecesario la contratación de especialistas para realizar las acciones que comtemplen dicha actividad. Gastos logísticos y trámites documentarios."/>
    <s v="GRSM - DEGT"/>
    <n v="278070.45117160986"/>
    <n v="280990.19090891175"/>
    <n v="278070.45117160986"/>
    <n v="280990.19090891175"/>
    <n v="55614.090234321979"/>
    <n v="56198.038181782358"/>
    <n v="55614.090234321979"/>
    <n v="56198.038181782358"/>
    <n v="55614.090234321979"/>
    <n v="56198.038181782358"/>
    <n v="55614.090234321979"/>
    <n v="56198.038181782358"/>
    <n v="55614.090234321979"/>
    <n v="56198.038181782358"/>
    <n v="0"/>
    <m/>
    <s v="X"/>
    <m/>
    <m/>
    <m/>
    <n v="3"/>
  </r>
  <r>
    <x v="0"/>
    <x v="8"/>
    <s v="Control y vigilancia"/>
    <s v="1.9.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x v="0"/>
    <s v="C5"/>
    <s v="N° de responsables de administración que aprueban evaluación de capacitación "/>
    <n v="0"/>
    <n v="20"/>
    <n v="20"/>
    <n v="150"/>
    <s v="Considera materiales de capacitación, alimentación a capacitados en el área cercana a su comunidad y gastos de capacitadores"/>
    <s v="GRSM - DEGT"/>
    <n v="3000"/>
    <n v="3031.5"/>
    <n v="3000"/>
    <n v="3031.5"/>
    <n v="3000"/>
    <n v="3031.5"/>
    <n v="0"/>
    <n v="0"/>
    <n v="0"/>
    <n v="0"/>
    <n v="0"/>
    <n v="0"/>
    <n v="0"/>
    <n v="0"/>
    <n v="0"/>
    <m/>
    <s v="X"/>
    <m/>
    <m/>
    <m/>
    <n v="2"/>
  </r>
  <r>
    <x v="0"/>
    <x v="8"/>
    <s v="Control y vigilancia"/>
    <s v="1.9.3"/>
    <x v="42"/>
    <s v="Dependiendo de la categoría forestal a ser aplicada, se realizará un plan/declaración acorde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x v="0"/>
    <s v="C5"/>
    <s v="N° Planes / Declaraciones elaborados"/>
    <n v="0"/>
    <n v="5"/>
    <n v="5"/>
    <n v="10000"/>
    <s v="Se considera la contratación de profesionales para la elaboración de los expedientes y/o declaraciones identificadas en los diferentes procesos."/>
    <s v="GRSM - DEGT"/>
    <n v="50000"/>
    <n v="50525"/>
    <n v="50000"/>
    <n v="50525"/>
    <n v="15000"/>
    <n v="15157.5"/>
    <n v="15000"/>
    <n v="15157.5"/>
    <n v="20000"/>
    <n v="20210"/>
    <n v="0"/>
    <n v="0"/>
    <n v="0"/>
    <n v="0"/>
    <n v="0"/>
    <m/>
    <s v="X"/>
    <m/>
    <m/>
    <m/>
    <n v="2"/>
  </r>
  <r>
    <x v="0"/>
    <x v="8"/>
    <s v="Invasiones"/>
    <s v="1.9.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x v="0"/>
    <s v="C5"/>
    <s v="Ha. Inscritas"/>
    <n v="37076.060156214648"/>
    <n v="18538.030078107324"/>
    <n v="18538.030078107324"/>
    <n v="1"/>
    <s v="Contratación de dos profesioales para agilizar procesos con sunarp."/>
    <s v="GRSM - DEGT"/>
    <n v="18538.030078107324"/>
    <n v="18732.67939392745"/>
    <n v="18538.030078107324"/>
    <n v="18732.67939392745"/>
    <n v="3707.6060156214648"/>
    <n v="3746.5358787854902"/>
    <n v="3707.6060156214648"/>
    <n v="3746.5358787854902"/>
    <n v="3707.6060156214648"/>
    <n v="3746.5358787854902"/>
    <n v="3707.6060156214648"/>
    <n v="3746.5358787854902"/>
    <n v="3707.6060156214648"/>
    <n v="3746.5358787854902"/>
    <n v="0"/>
    <m/>
    <s v="X"/>
    <m/>
    <m/>
    <m/>
    <n v="2"/>
  </r>
  <r>
    <x v="0"/>
    <x v="9"/>
    <s v="Invasiones"/>
    <s v="1.10.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s v="Programa de regulización, formalizacion y saneamiento de predios"/>
    <s v="Formalización de la situacion de legal de los predios, estableciendo medidas facilitadoras"/>
    <x v="0"/>
    <s v="COMP 8"/>
    <s v="PROTECCIÓN-GOBERNANZA"/>
    <x v="0"/>
    <s v="C5"/>
    <s v="Ha. con categoría territorial asignada"/>
    <n v="237645.43945778001"/>
    <n v="118822.71972889001"/>
    <n v="118822.71972889001"/>
    <n v="15"/>
    <s v="Para la implementación de las intervención será mecesario la contratación de especialistas para realizar las acciones que comtemplen dicha actividad. Gastos logísticos y trámites documentarios."/>
    <s v="GRSM - DEGT"/>
    <n v="1782340.79593335"/>
    <n v="1801055.37429065"/>
    <n v="1782340.79593335"/>
    <n v="1801055.37429065"/>
    <n v="356468.15918667003"/>
    <n v="360211.07485813007"/>
    <n v="356468.15918667003"/>
    <n v="360211.07485813007"/>
    <n v="356468.15918667003"/>
    <n v="360211.07485813007"/>
    <n v="356468.15918667003"/>
    <n v="360211.07485813007"/>
    <n v="356468.15918667003"/>
    <n v="360211.07485813007"/>
    <n v="0"/>
    <m/>
    <s v="X"/>
    <m/>
    <m/>
    <m/>
    <n v="3"/>
  </r>
  <r>
    <x v="0"/>
    <x v="9"/>
    <s v="Control y vigilancia"/>
    <s v="1.10.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x v="0"/>
    <s v="C5"/>
    <s v="N° de responsables de administración que aprueban evaluación de capacitación "/>
    <n v="0"/>
    <n v="100"/>
    <n v="80"/>
    <n v="150"/>
    <s v="Considera materiales de capacitación, alimentación a capacitados en el área cercana a su comunidad y gastos de capacitadores"/>
    <s v="GRSM - DEGT"/>
    <n v="15000"/>
    <n v="15157.5"/>
    <n v="12000"/>
    <n v="12126"/>
    <n v="15000"/>
    <n v="15157.5"/>
    <n v="0"/>
    <n v="0"/>
    <n v="0"/>
    <n v="0"/>
    <n v="0"/>
    <n v="0"/>
    <n v="0"/>
    <n v="0"/>
    <n v="0"/>
    <m/>
    <s v="X"/>
    <m/>
    <m/>
    <m/>
    <n v="2"/>
  </r>
  <r>
    <x v="0"/>
    <x v="9"/>
    <s v="Control y vigilancia"/>
    <s v="1.10.3"/>
    <x v="42"/>
    <s v="Dependiendo de la categoría forestal a ser aplicada, se realizará un plan/declaración acorde a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x v="0"/>
    <s v="C5"/>
    <s v="N° Planes / Declaraciones elaborados"/>
    <n v="0"/>
    <n v="10"/>
    <n v="10"/>
    <n v="10000"/>
    <s v="Se considera la contratación de profesionales para la elaboración de los expedientes y/o declaraciones identificadas en los diferentes procesos."/>
    <s v="GRSM - DEGT"/>
    <n v="100000"/>
    <n v="101050"/>
    <n v="100000"/>
    <n v="101050"/>
    <n v="30000"/>
    <n v="30315"/>
    <n v="30000"/>
    <n v="30315"/>
    <n v="40000"/>
    <n v="40420"/>
    <n v="0"/>
    <n v="0"/>
    <n v="0"/>
    <n v="0"/>
    <n v="0"/>
    <m/>
    <s v="X"/>
    <m/>
    <m/>
    <m/>
    <n v="2"/>
  </r>
  <r>
    <x v="0"/>
    <x v="9"/>
    <s v="Invasiones"/>
    <s v="1.10.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x v="0"/>
    <s v="C5"/>
    <s v="Ha. Inscritas"/>
    <n v="237645.43945778001"/>
    <n v="118822.71972889001"/>
    <n v="118822.71972889001"/>
    <n v="1"/>
    <s v="Contratación de dos profesioales para agilizar procesos con sunarp."/>
    <s v="GRSM - DEGT"/>
    <n v="118822.71972889001"/>
    <n v="120070.35828604335"/>
    <n v="118822.71972889001"/>
    <n v="120070.35828604335"/>
    <n v="23764.543945778001"/>
    <n v="24014.071657208668"/>
    <n v="23764.543945778001"/>
    <n v="24014.071657208668"/>
    <n v="23764.543945778001"/>
    <n v="24014.071657208668"/>
    <n v="23764.543945778001"/>
    <n v="24014.071657208668"/>
    <n v="23764.543945778001"/>
    <n v="24014.071657208668"/>
    <n v="0"/>
    <m/>
    <s v="X"/>
    <m/>
    <m/>
    <m/>
    <n v="2"/>
  </r>
  <r>
    <x v="0"/>
    <x v="9"/>
    <s v="Ingresos y Capital"/>
    <s v="1.10.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x v="0"/>
    <s v="C5"/>
    <s v="Hectáreas restauradas"/>
    <n v="0"/>
    <n v="44125.567761421902"/>
    <n v="44125.567761421902"/>
    <n v="500"/>
    <s v="El costo incluye la restauración de una hectárea, esta actividad se desarrollara de acuerdo a la metodología propuesta por el ARA, en coordinación con los productores seleccionados."/>
    <s v="ARA"/>
    <n v="22062783.880710952"/>
    <n v="22294443.111458417"/>
    <n v="22062783.880710952"/>
    <n v="22294443.111458417"/>
    <n v="22062783.880710952"/>
    <n v="22294443.111458417"/>
    <n v="0"/>
    <n v="0"/>
    <n v="0"/>
    <n v="0"/>
    <n v="0"/>
    <n v="0"/>
    <n v="0"/>
    <n v="0"/>
    <n v="0"/>
    <m/>
    <s v="X"/>
    <m/>
    <m/>
    <m/>
    <n v="3"/>
  </r>
  <r>
    <x v="0"/>
    <x v="10"/>
    <s v="Programas de inversión pública"/>
    <s v="1.11.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s v="Programa de regulización, formalizacion y saneamiento de predios"/>
    <s v="Formalización de la situacion de legal de los predios, estableciendo medidas facilitadoras"/>
    <x v="0"/>
    <s v="COMP 8"/>
    <s v="HABILITANTE"/>
    <x v="16"/>
    <s v="C18"/>
    <s v="Acuerdos con rondas campesinas"/>
    <n v="0"/>
    <n v="25"/>
    <n v="29"/>
    <n v="2500"/>
    <s v="Reuniones con los diferentes actores involucrados y la sociedad civil para llegar a acuerdos de no deforestación, lo cual incluye  gastos logísticos en general."/>
    <s v="GRDS, ARA"/>
    <n v="312500"/>
    <n v="315781.25"/>
    <n v="362500"/>
    <n v="366306.25"/>
    <n v="62500"/>
    <n v="63156.25"/>
    <n v="62500"/>
    <n v="63156.25"/>
    <n v="62500"/>
    <n v="63156.25"/>
    <n v="62500"/>
    <n v="63156.25"/>
    <n v="62500"/>
    <n v="63156.25"/>
    <n v="0"/>
    <m/>
    <m/>
    <s v="X"/>
    <m/>
    <s v="RE"/>
    <n v="3"/>
  </r>
  <r>
    <x v="0"/>
    <x v="10"/>
    <s v="Programas de inversión pública"/>
    <s v="1.11.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 Esta intervención será apoyada por las organizaciones formales de rondas campesinas rondas nativa si comités de monitoreo."/>
    <s v="NR"/>
    <x v="2"/>
    <s v="Programa de Asistencia Técnica para la recuperación de bosques"/>
    <s v="Recuperación de bosques mediante la recuperación y concervación de los suelos, el aprovechamiento de los serivicios ecosistemicos , manejo forstal, entre otros "/>
    <x v="6"/>
    <s v="COMP 5"/>
    <s v="HABILITANTE"/>
    <x v="16"/>
    <s v="C18"/>
    <s v="Especialistas"/>
    <n v="0"/>
    <n v="5"/>
    <n v="5"/>
    <n v="5000"/>
    <s v="Contratación de especialistas para realizar monitoreo de la cobertura de bosque, desde los diferentes órganos competentes. "/>
    <s v="ARA, Serfor, Sernanp"/>
    <n v="1500000"/>
    <n v="1515750"/>
    <n v="1500000"/>
    <n v="1515750"/>
    <n v="300000"/>
    <n v="303150"/>
    <n v="300000"/>
    <n v="303150"/>
    <n v="300000"/>
    <n v="303150"/>
    <n v="300000"/>
    <n v="303150"/>
    <n v="300000"/>
    <n v="303150"/>
    <n v="0"/>
    <m/>
    <s v="X"/>
    <m/>
    <m/>
    <s v="RE"/>
    <n v="3"/>
  </r>
  <r>
    <x v="0"/>
    <x v="10"/>
    <s v="Programas de inversión pública"/>
    <s v="1.11.3"/>
    <x v="48"/>
    <s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s v="Programa de Infraestructura para la Competitividad "/>
    <s v="Generar condiciones para el desarrollo socio económico del territorio"/>
    <x v="9"/>
    <s v="COMP 10"/>
    <s v="HABILITANTE"/>
    <x v="16"/>
    <s v="C18"/>
    <s v="Kilómetros mejorados"/>
    <n v="2864"/>
    <n v="286.40000000000003"/>
    <n v="286.40000000000003"/>
    <n v="800000"/>
    <s v="Costo promedio por km2 de vía mejorada o asfaltada"/>
    <s v="DRTyTC"/>
    <n v="229120000.00000003"/>
    <n v="231525760.00000003"/>
    <n v="229120000.00000003"/>
    <n v="231525760.00000003"/>
    <n v="45824000.000000007"/>
    <n v="46305152.000000007"/>
    <n v="45824000.000000007"/>
    <n v="46305152.000000007"/>
    <n v="45824000.000000007"/>
    <n v="46305152.000000007"/>
    <n v="45824000.000000007"/>
    <n v="46305152.000000007"/>
    <n v="45824000.000000007"/>
    <n v="46305152.000000007"/>
    <n v="0"/>
    <s v="X"/>
    <m/>
    <m/>
    <m/>
    <n v="0"/>
    <n v="3"/>
  </r>
  <r>
    <x v="0"/>
    <x v="10"/>
    <s v="Programas de inversión pública"/>
    <s v="1.11.4"/>
    <x v="49"/>
    <s v="Se cuenta con 160,810 Ha con probabilidad alta y muy alta para restauración, de las cuales 9,430.30 ha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s v="Programa de Asistencia Técnica para la recuperación de bosques"/>
    <s v="Recuperación de bosques mediante la recuperación y concervación de los suelos, el aprovechamiento de los serivicios ecosistemicos , manejo forstal, entre otros "/>
    <x v="6"/>
    <s v="COMP 5"/>
    <s v="HABILITANTE"/>
    <x v="16"/>
    <s v="C18"/>
    <s v="Hectáreas restauradas"/>
    <n v="128243.81000000001"/>
    <n v="32060.952500000003"/>
    <n v="25648.762000000002"/>
    <n v="500"/>
    <s v="El costo incluye la restauración de una hectárea, esta actividad se desarrollara de acuerdo a la metodología propuesta por el ARA, en coordinación con los productores seleccionados."/>
    <s v="ARA"/>
    <n v="16030476.250000002"/>
    <n v="16198796.250625001"/>
    <n v="12824381.000000002"/>
    <n v="12959037.000500001"/>
    <n v="3206095.2500000005"/>
    <n v="3239759.2501250003"/>
    <n v="3206095.2500000005"/>
    <n v="3239759.2501250003"/>
    <n v="3206095.2500000005"/>
    <n v="3239759.2501250003"/>
    <n v="3206095.2500000005"/>
    <n v="3239759.2501250003"/>
    <n v="3206095.2500000005"/>
    <n v="3239759.2501250003"/>
    <n v="0"/>
    <m/>
    <m/>
    <s v="X"/>
    <m/>
    <s v="RE"/>
    <n v="3"/>
  </r>
  <r>
    <x v="0"/>
    <x v="10"/>
    <s v="Programas de inversión pública"/>
    <s v="1.11.5"/>
    <x v="50"/>
    <s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
    <s v="NR"/>
    <x v="0"/>
    <s v="Programa de Infraestructura para la Competitividad "/>
    <s v="Generar condiciones para el desarrollo socio económico del territorio"/>
    <x v="9"/>
    <s v="COMP 10"/>
    <s v="HABILITANTE"/>
    <x v="16"/>
    <s v="C18"/>
    <s v="Centros educativos y postas médicas  implementados"/>
    <n v="0"/>
    <n v="10"/>
    <n v="16"/>
    <n v="3500000"/>
    <s v="El presupuesto esta relacionado a la implementación de la infraestructura, mobiliario y materiales educativos necesarios para que se brinde un servicio de calidad a los niños que aún no reciben dicho servicio de manera permanente. El presupuesto esta relacionado a la implementación de la infraestructura, equipos, materiales, insumos necesarios para que se brinde un servicio de calidad a la población que requiere dicho servicio "/>
    <s v="Colegio de ingenieros de San Martín / GRDS"/>
    <n v="35000000"/>
    <n v="35367500"/>
    <n v="56000000"/>
    <n v="56588000"/>
    <n v="7000000"/>
    <n v="7073500"/>
    <n v="7000000"/>
    <n v="7073500"/>
    <n v="7000000"/>
    <n v="7073500"/>
    <n v="7000000"/>
    <n v="7073500"/>
    <n v="7000000"/>
    <n v="7073500"/>
    <n v="0"/>
    <m/>
    <s v="X"/>
    <m/>
    <m/>
    <s v="RE"/>
    <n v="3"/>
  </r>
  <r>
    <x v="0"/>
    <x v="10"/>
    <s v="Programas de inversión pública"/>
    <s v="1.11.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
    <s v="NR"/>
    <x v="0"/>
    <s v="Programa de Infraestructura para la Competitividad "/>
    <s v="Generar condiciones para el desarrollo socio económico del territorio"/>
    <x v="8"/>
    <s v="COMP 9"/>
    <s v="HABILITANTE"/>
    <x v="16"/>
    <s v="C18"/>
    <s v="N° campañas"/>
    <n v="0"/>
    <n v="140"/>
    <n v="280"/>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RDS"/>
    <n v="3500000"/>
    <n v="3536750"/>
    <n v="7000000"/>
    <n v="7073500"/>
    <n v="700000"/>
    <n v="707350"/>
    <n v="700000"/>
    <n v="707350"/>
    <n v="700000"/>
    <n v="707350"/>
    <n v="700000"/>
    <n v="707350"/>
    <n v="700000"/>
    <n v="707350"/>
    <n v="0"/>
    <m/>
    <s v="X"/>
    <m/>
    <m/>
    <s v="RE"/>
    <n v="3"/>
  </r>
  <r>
    <x v="0"/>
    <x v="10"/>
    <s v="Programas de inversión pública"/>
    <s v="1.11.7"/>
    <x v="52"/>
    <s v="Promoción al acceso de la marca con los productores que cumplan los criterios de elegibilidad solicitados por el programa, como una estrategia de ubicar mercados diferenciados para los productos provenientes de estas zonas."/>
    <s v="NR"/>
    <x v="1"/>
    <s v="Programa de Asistencia Técnicas para incrementar la capacidad productiva de las principaes cadenas"/>
    <s v="Asistencia Técnica y Capacitación para incorporar tecnologias que eleven la productividad y calidad de los productos y procesos"/>
    <x v="5"/>
    <s v="COMP 3"/>
    <s v="HABILITANTE"/>
    <x v="16"/>
    <s v="C18"/>
    <s v="N° de empresas que acceden a la marca."/>
    <n v="0"/>
    <n v="30"/>
    <n v="40"/>
    <n v="3000"/>
    <s v="El costo incluye: Una inspección anual anunciada,  elaboración de informe de inspección, administración y comunicación, certificación según los estándares de la marca."/>
    <s v="Dircetur, Drasam"/>
    <n v="450000"/>
    <n v="454725"/>
    <n v="600000"/>
    <n v="606300"/>
    <n v="90000"/>
    <n v="90945"/>
    <n v="90000"/>
    <n v="90945"/>
    <n v="90000"/>
    <n v="90945"/>
    <n v="90000"/>
    <n v="90945"/>
    <n v="90000"/>
    <n v="90945"/>
    <n v="0"/>
    <m/>
    <m/>
    <s v="X"/>
    <m/>
    <n v="0"/>
    <n v="2"/>
  </r>
  <r>
    <x v="1"/>
    <x v="0"/>
    <s v="Invasiones"/>
    <s v="2.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20410.639082625901"/>
    <n v="10205.319541312951"/>
    <n v="10205.3195413129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0410639.082625899"/>
    <n v="20624950.792993471"/>
    <n v="20410639.082625899"/>
    <n v="20624950.792993471"/>
    <n v="2041063.9082625899"/>
    <n v="2062495.079299347"/>
    <n v="3061595.8623938849"/>
    <n v="3093742.6189490207"/>
    <n v="4082127.8165251799"/>
    <n v="4124990.158598694"/>
    <n v="6123191.7247877698"/>
    <n v="6187485.2378980415"/>
    <n v="5102659.7706564749"/>
    <n v="5156237.6982483678"/>
    <n v="0"/>
    <m/>
    <m/>
    <s v="X"/>
    <m/>
    <s v="RE"/>
    <n v="3"/>
  </r>
  <r>
    <x v="1"/>
    <x v="0"/>
    <s v="Programas de inversión pública"/>
    <s v="2.1.2"/>
    <x v="1"/>
    <s v="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1"/>
    <s v="C1"/>
    <s v="Productores asistidos"/>
    <n v="29531"/>
    <n v="17718.599999999999"/>
    <n v="11812.40000000000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9922416"/>
    <n v="10026601.367999999"/>
    <n v="6614944.0000000009"/>
    <n v="6684400.9120000005"/>
    <n v="1984483.2000000002"/>
    <n v="2005320.2736000002"/>
    <n v="1984483.2000000002"/>
    <n v="2005320.2736000002"/>
    <n v="1984483.2000000002"/>
    <n v="2005320.2736000002"/>
    <n v="1984483.2000000002"/>
    <n v="2005320.2736000002"/>
    <n v="1984483.2000000002"/>
    <n v="2005320.2736000002"/>
    <n v="0"/>
    <m/>
    <m/>
    <s v="X"/>
    <m/>
    <s v="RE"/>
    <n v="2"/>
  </r>
  <r>
    <x v="1"/>
    <x v="0"/>
    <s v="Programas de inversión pública"/>
    <s v="2.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intervenidas"/>
    <n v="65935"/>
    <n v="19780.5"/>
    <n v="19780.5"/>
    <n v="500"/>
    <s v="El costo incluye adquisición de semillas, insumos, fertilizantes, entre otras para la producción de plantas agroforestales o coberturas  verdes."/>
    <s v="DRASAM"/>
    <n v="9890250"/>
    <n v="9994097.625"/>
    <n v="9890250"/>
    <n v="9994097.625"/>
    <n v="1978050"/>
    <n v="1998819.5249999999"/>
    <n v="1978050"/>
    <n v="1998819.5249999999"/>
    <n v="1978050"/>
    <n v="1998819.5249999999"/>
    <n v="1978050"/>
    <n v="1998819.5249999999"/>
    <n v="1978050"/>
    <n v="1998819.5249999999"/>
    <n v="0"/>
    <m/>
    <m/>
    <s v="X"/>
    <m/>
    <m/>
    <n v="2"/>
  </r>
  <r>
    <x v="1"/>
    <x v="0"/>
    <s v="Programas de inversión pública"/>
    <s v="2.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fertilizadas"/>
    <n v="65935"/>
    <n v="13187"/>
    <n v="19780.5"/>
    <n v="2500"/>
    <s v="El costo incluye un análisis de suelos, paquete de fertilización según los resultados del análisis y la adquisición de fertilizantes. El costo incluye los tres abonamientos requeridos en una campaña (1 año)."/>
    <s v="Drasam"/>
    <n v="32967500"/>
    <n v="33313658.75"/>
    <n v="49451250"/>
    <n v="49970488.125"/>
    <n v="6593500"/>
    <n v="6662731.75"/>
    <n v="6593500"/>
    <n v="6662731.75"/>
    <n v="6593500"/>
    <n v="6662731.75"/>
    <n v="6593500"/>
    <n v="6662731.75"/>
    <n v="6593500"/>
    <n v="6662731.75"/>
    <n v="0"/>
    <m/>
    <m/>
    <s v="X"/>
    <m/>
    <s v="RE"/>
    <n v="3"/>
  </r>
  <r>
    <x v="1"/>
    <x v="0"/>
    <s v="Programas de inversión privada"/>
    <s v="2.1.5"/>
    <x v="4"/>
    <s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Hectáreas con sistemas de riego"/>
    <n v="65935"/>
    <n v="3296.75"/>
    <n v="4615.4500000000007"/>
    <n v="11500"/>
    <s v="El costo incluye la instalación de un sistema completo y un paquete de fertilización para la primera campaña. El costo va depender del tipo de cultivo, tipo de sistema y el tipo de materiales a usar en los sistemas de fertirriego."/>
    <s v="DRASAM"/>
    <n v="37912625"/>
    <n v="38310707.5625"/>
    <n v="53077675.000000007"/>
    <n v="53634990.587500006"/>
    <n v="7582525"/>
    <n v="7662141.5124999993"/>
    <n v="7582525"/>
    <n v="7662141.5124999993"/>
    <n v="7582525"/>
    <n v="7662141.5124999993"/>
    <n v="7582525"/>
    <n v="7662141.5124999993"/>
    <n v="7582525"/>
    <n v="7662141.5124999993"/>
    <n v="0"/>
    <m/>
    <m/>
    <s v="X"/>
    <m/>
    <s v="RE"/>
    <n v="3"/>
  </r>
  <r>
    <x v="1"/>
    <x v="0"/>
    <s v="Programas de inversión privada"/>
    <s v="2.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x v="3"/>
    <s v="C12"/>
    <s v="Hectáreas reconvertidas/diversificadas"/>
    <n v="13187"/>
    <n v="1318.7"/>
    <n v="1318.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19780500"/>
    <n v="19988195.25"/>
    <n v="19780500"/>
    <n v="19988195.25"/>
    <n v="3956100"/>
    <n v="3997639.05"/>
    <n v="3956100"/>
    <n v="3997639.05"/>
    <n v="3956100"/>
    <n v="3997639.05"/>
    <n v="3956100"/>
    <n v="3997639.05"/>
    <n v="3956100"/>
    <n v="3997639.05"/>
    <n v="0"/>
    <s v="X"/>
    <m/>
    <m/>
    <m/>
    <s v="RE"/>
    <n v="2"/>
  </r>
  <r>
    <x v="1"/>
    <x v="0"/>
    <s v="Programas de inversión pública"/>
    <s v="2.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Productores beneficiados"/>
    <n v="29531"/>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38494987.395000003"/>
    <n v="76189980.000000015"/>
    <n v="76989974.790000007"/>
    <n v="7618998.0000000019"/>
    <n v="7698997.4790000012"/>
    <n v="7618998.0000000019"/>
    <n v="7698997.4790000012"/>
    <n v="7618998.0000000019"/>
    <n v="7698997.4790000012"/>
    <n v="7618998.0000000019"/>
    <n v="7698997.4790000012"/>
    <n v="7618998.0000000019"/>
    <n v="7698997.4790000012"/>
    <n v="0"/>
    <m/>
    <m/>
    <s v="X"/>
    <m/>
    <s v="RE"/>
    <n v="3"/>
  </r>
  <r>
    <x v="1"/>
    <x v="0"/>
    <s v="Programas de inversión pública"/>
    <s v="2.1.8"/>
    <x v="7"/>
    <s v="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1"/>
    <s v="C1"/>
    <s v="Acuicultores asistidos"/>
    <n v="324"/>
    <n v="324"/>
    <n v="324"/>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181440"/>
    <n v="183345.12"/>
    <n v="181440"/>
    <n v="183345.12"/>
    <n v="36288"/>
    <n v="36669.023999999998"/>
    <n v="36288"/>
    <n v="36669.023999999998"/>
    <n v="36288"/>
    <n v="36669.023999999998"/>
    <n v="36288"/>
    <n v="36669.023999999998"/>
    <n v="36288"/>
    <n v="36669.023999999998"/>
    <n v="0"/>
    <m/>
    <m/>
    <s v="X"/>
    <m/>
    <s v="RE"/>
    <n v="3"/>
  </r>
  <r>
    <x v="1"/>
    <x v="0"/>
    <s v="Ingresos y Capital"/>
    <s v="2.1.9"/>
    <x v="8"/>
    <s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Créditos otorgados"/>
    <n v="324"/>
    <n v="324"/>
    <n v="324"/>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4179600"/>
    <n v="4223485.8"/>
    <n v="4179600"/>
    <n v="4223485.8"/>
    <n v="835920"/>
    <n v="844697.15999999992"/>
    <n v="835920"/>
    <n v="844697.15999999992"/>
    <n v="835920"/>
    <n v="844697.15999999992"/>
    <n v="835920"/>
    <n v="844697.15999999992"/>
    <n v="835920"/>
    <n v="844697.15999999992"/>
    <n v="0"/>
    <s v="X"/>
    <m/>
    <m/>
    <m/>
    <s v="RE"/>
    <n v="3"/>
  </r>
  <r>
    <x v="1"/>
    <x v="0"/>
    <s v="Ingresos y Capital"/>
    <s v="2.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Créditos otorgados"/>
    <n v="29531"/>
    <n v="8859.2999999999993"/>
    <n v="5906.200000000000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GRDE"/>
    <n v="95237474.999999985"/>
    <n v="96237468.487499982"/>
    <n v="63491650.000000007"/>
    <n v="64158312.325000003"/>
    <n v="19047494.999999996"/>
    <n v="19247493.697499994"/>
    <n v="19047494.999999996"/>
    <n v="19247493.697499994"/>
    <n v="19047494.999999996"/>
    <n v="19247493.697499994"/>
    <n v="19047494.999999996"/>
    <n v="19247493.697499994"/>
    <n v="19047494.999999996"/>
    <n v="19247493.697499994"/>
    <n v="0"/>
    <s v="X"/>
    <m/>
    <m/>
    <m/>
    <s v="RE"/>
    <n v="3"/>
  </r>
  <r>
    <x v="1"/>
    <x v="0"/>
    <s v="Programas de inversión privada"/>
    <s v="2.1.11"/>
    <x v="10"/>
    <s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6"/>
    <s v="C7"/>
    <s v="Planes de negocios/proyectos ejecutados"/>
    <n v="47"/>
    <n v="18.8"/>
    <n v="11.28"/>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15040000"/>
    <n v="15197920"/>
    <n v="9024000"/>
    <n v="9118752"/>
    <n v="3008000"/>
    <n v="3039584"/>
    <n v="3008000"/>
    <n v="3039584"/>
    <n v="3008000"/>
    <n v="3039584"/>
    <n v="3008000"/>
    <n v="3039584"/>
    <n v="3008000"/>
    <n v="3039584"/>
    <n v="0"/>
    <s v="X"/>
    <m/>
    <m/>
    <m/>
    <s v="RE"/>
    <n v="3"/>
  </r>
  <r>
    <x v="1"/>
    <x v="0"/>
    <s v="Programas de inversión privada"/>
    <s v="2.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Empresas y organizaciones atendidas"/>
    <n v="47"/>
    <n v="18.8"/>
    <n v="14.1"/>
    <n v="50000"/>
    <s v="El costo incluye la contratación de especialistas para brindar Asistencia Técnica en los procesos de implementación de las certificaciones de calidad, materiales para la capacitación y pasantías."/>
    <s v="DIREPRO"/>
    <n v="940000"/>
    <n v="949870"/>
    <n v="705000"/>
    <n v="712402.5"/>
    <n v="188000"/>
    <n v="189974"/>
    <n v="188000"/>
    <n v="189974"/>
    <n v="188000"/>
    <n v="189974"/>
    <n v="188000"/>
    <n v="189974"/>
    <n v="188000"/>
    <n v="189974"/>
    <n v="0"/>
    <m/>
    <m/>
    <s v="X"/>
    <m/>
    <s v="RE"/>
    <n v="3"/>
  </r>
  <r>
    <x v="1"/>
    <x v="0"/>
    <s v="Programas de inversión pública"/>
    <s v="2.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s v="Programa de promoción de la Asociatividad Empresarial"/>
    <s v="Desarrollar en los productores y produtoras capacidades colaborativas y de confianza hacia objetivos comunes"/>
    <x v="4"/>
    <s v="COMP 2"/>
    <s v="PRODUCCIÓN"/>
    <x v="7"/>
    <s v="C2"/>
    <s v="Organizaciones auto sostenibles"/>
    <n v="47"/>
    <n v="14.1"/>
    <n v="28.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MESA TÉCNICA DE CACAO Y CAFÉ, AVA"/>
    <n v="8460000"/>
    <n v="8548830"/>
    <n v="16920000"/>
    <n v="17097660"/>
    <n v="1692000"/>
    <n v="1709766"/>
    <n v="1692000"/>
    <n v="1709766"/>
    <n v="1692000"/>
    <n v="1709766"/>
    <n v="1692000"/>
    <n v="1709766"/>
    <n v="1692000"/>
    <n v="1709766"/>
    <n v="0"/>
    <m/>
    <m/>
    <s v="X"/>
    <m/>
    <m/>
    <n v="3"/>
  </r>
  <r>
    <x v="1"/>
    <x v="0"/>
    <s v="Programas de inversión privada"/>
    <s v="2.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Organizaciones certificadas"/>
    <n v="47"/>
    <n v="14.1"/>
    <n v="18.8"/>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20000"/>
    <n v="2849610"/>
    <n v="3760000"/>
    <n v="3799480"/>
    <n v="564000"/>
    <n v="569922"/>
    <n v="564000"/>
    <n v="569922"/>
    <n v="564000"/>
    <n v="569922"/>
    <n v="564000"/>
    <n v="569922"/>
    <n v="564000"/>
    <n v="569922"/>
    <n v="0"/>
    <m/>
    <m/>
    <s v="X"/>
    <m/>
    <m/>
    <n v="3"/>
  </r>
  <r>
    <x v="1"/>
    <x v="0"/>
    <s v="Control y vigilancia"/>
    <s v="2.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5250"/>
    <n v="500000"/>
    <n v="505250"/>
    <n v="100000"/>
    <n v="101050"/>
    <n v="100000"/>
    <n v="101050"/>
    <n v="100000"/>
    <n v="101050"/>
    <n v="100000"/>
    <n v="101050"/>
    <n v="100000"/>
    <n v="101050"/>
    <n v="0"/>
    <s v="X"/>
    <m/>
    <m/>
    <m/>
    <m/>
    <n v="2"/>
  </r>
  <r>
    <x v="1"/>
    <x v="1"/>
    <s v="Invasiones"/>
    <s v="2.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1265.8133615517399"/>
    <n v="632.90668077586997"/>
    <n v="632.90668077586997"/>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265813.36155174"/>
    <n v="1279104.4018480331"/>
    <n v="1265813.36155174"/>
    <n v="1279104.4018480331"/>
    <n v="126581.33615517401"/>
    <n v="127910.44018480333"/>
    <n v="189872.00423276098"/>
    <n v="191865.66027720497"/>
    <n v="253162.67231034802"/>
    <n v="255820.88036960666"/>
    <n v="379744.00846552197"/>
    <n v="383731.32055440993"/>
    <n v="316453.34038793499"/>
    <n v="319776.10046200827"/>
    <n v="0"/>
    <m/>
    <m/>
    <s v="X"/>
    <m/>
    <s v="RE"/>
    <n v="3"/>
  </r>
  <r>
    <x v="1"/>
    <x v="1"/>
    <s v="Programas de inversión pública"/>
    <s v="2.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Unidades semilleristas"/>
    <n v="10"/>
    <n v="5"/>
    <n v="5"/>
    <n v="15000"/>
    <s v="El costo Incluye la adquirió de semillas certificadas, los pagos y trámites al CORESE  y los Servicios de Asistencia Técnica especializada. No incluye costos de alquiler de terrenos. Con respecto al fortalecimiento del INIA, se espera que el MINAGRI, asigne un mayor presupuesto para este rubro."/>
    <s v="DRASAM"/>
    <n v="75000"/>
    <n v="75787.5"/>
    <n v="75000"/>
    <n v="75787.5"/>
    <n v="15000"/>
    <n v="15157.5"/>
    <n v="15000"/>
    <n v="15157.5"/>
    <n v="15000"/>
    <n v="15157.5"/>
    <n v="15000"/>
    <n v="15157.5"/>
    <n v="15000"/>
    <n v="15157.5"/>
    <n v="0"/>
    <m/>
    <s v="X"/>
    <m/>
    <m/>
    <s v="RE"/>
    <n v="3"/>
  </r>
  <r>
    <x v="1"/>
    <x v="1"/>
    <s v="Programas de inversión pública"/>
    <s v="2.2.3"/>
    <x v="16"/>
    <s v="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Productores asistidos"/>
    <n v="3741"/>
    <n v="1870.5"/>
    <n v="1122.3"/>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47480"/>
    <n v="1058478.54"/>
    <n v="628488"/>
    <n v="635087.12399999995"/>
    <n v="209496"/>
    <n v="211695.70799999998"/>
    <n v="209496"/>
    <n v="211695.70799999998"/>
    <n v="209496"/>
    <n v="211695.70799999998"/>
    <n v="209496"/>
    <n v="211695.70799999998"/>
    <n v="209496"/>
    <n v="211695.70799999998"/>
    <n v="0"/>
    <m/>
    <m/>
    <s v="X"/>
    <m/>
    <s v="RE"/>
    <n v="2"/>
  </r>
  <r>
    <x v="1"/>
    <x v="1"/>
    <s v="Programas de inversión privada"/>
    <s v="2.2.4"/>
    <x v="5"/>
    <s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x v="3"/>
    <s v="C12"/>
    <s v="Hectáreas reconvertidas"/>
    <n v="3804.2000000000003"/>
    <n v="380.42000000000007"/>
    <n v="380.42000000000007"/>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5706300.0000000009"/>
    <n v="5766216.1500000004"/>
    <n v="5706300.0000000009"/>
    <n v="5766216.1500000004"/>
    <n v="1141260.0000000002"/>
    <n v="1153243.2300000002"/>
    <n v="1141260.0000000002"/>
    <n v="1153243.2300000002"/>
    <n v="1141260.0000000002"/>
    <n v="1153243.2300000002"/>
    <n v="1141260.0000000002"/>
    <n v="1153243.2300000002"/>
    <n v="1141260.0000000002"/>
    <n v="1153243.2300000002"/>
    <n v="0"/>
    <m/>
    <m/>
    <s v="X"/>
    <m/>
    <s v="RE"/>
    <n v="3"/>
  </r>
  <r>
    <x v="1"/>
    <x v="1"/>
    <s v="Ingresos y Capital"/>
    <s v="2.2.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Productores atendidos"/>
    <n v="3741"/>
    <n v="1122.3"/>
    <n v="748.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12064725"/>
    <n v="12191404.612499999"/>
    <n v="8043150.0000000009"/>
    <n v="8127603.0750000002"/>
    <n v="2412945"/>
    <n v="2438280.9224999999"/>
    <n v="2412945"/>
    <n v="2438280.9224999999"/>
    <n v="2412945"/>
    <n v="2438280.9224999999"/>
    <n v="2412945"/>
    <n v="2438280.9224999999"/>
    <n v="2412945"/>
    <n v="2438280.9224999999"/>
    <n v="0"/>
    <s v="X"/>
    <m/>
    <m/>
    <m/>
    <s v="RE"/>
    <n v="3"/>
  </r>
  <r>
    <x v="1"/>
    <x v="1"/>
    <s v="Programas de inversión pública"/>
    <s v="2.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x v="7"/>
    <s v="C2"/>
    <s v="Organizaciones formalizadas y fortalecidas"/>
    <n v="5"/>
    <n v="5"/>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3000000"/>
    <n v="3031500"/>
    <n v="3000000"/>
    <n v="3031500"/>
    <n v="600000"/>
    <n v="606300"/>
    <n v="600000"/>
    <n v="606300"/>
    <n v="600000"/>
    <n v="606300"/>
    <n v="600000"/>
    <n v="606300"/>
    <n v="600000"/>
    <n v="606300"/>
    <n v="0"/>
    <m/>
    <m/>
    <s v="X"/>
    <m/>
    <m/>
    <n v="3"/>
  </r>
  <r>
    <x v="1"/>
    <x v="1"/>
    <s v="Programas de inversión privada"/>
    <s v="2.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6"/>
    <s v="C7"/>
    <s v="Planes de negocios ejecutados"/>
    <n v="0"/>
    <n v="5"/>
    <n v="5"/>
    <n v="15000"/>
    <s v="Para el logro de los objetivos, se considera el pago de profesionales para la formulación de los planes de negocios que beneficiarían directamente a los pequeños productores."/>
    <s v="DRASAM"/>
    <n v="375000"/>
    <n v="378937.5"/>
    <n v="375000"/>
    <n v="378937.5"/>
    <n v="187500"/>
    <n v="189468.75"/>
    <n v="0"/>
    <n v="0"/>
    <n v="187500"/>
    <n v="189468.75"/>
    <n v="0"/>
    <n v="0"/>
    <n v="0"/>
    <n v="0"/>
    <n v="0"/>
    <s v="X"/>
    <m/>
    <m/>
    <m/>
    <m/>
    <n v="2"/>
  </r>
  <r>
    <x v="1"/>
    <x v="1"/>
    <s v="Control y vigilancia"/>
    <s v="2.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5250"/>
    <n v="500000"/>
    <n v="505250"/>
    <n v="100000"/>
    <n v="101050"/>
    <n v="100000"/>
    <n v="101050"/>
    <n v="100000"/>
    <n v="101050"/>
    <n v="100000"/>
    <n v="101050"/>
    <n v="100000"/>
    <n v="101050"/>
    <n v="0"/>
    <s v="X"/>
    <m/>
    <m/>
    <m/>
    <m/>
    <n v="3"/>
  </r>
  <r>
    <x v="1"/>
    <x v="2"/>
    <s v="Invasiones"/>
    <s v="2.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877.84859269436697"/>
    <n v="438.92429634718349"/>
    <n v="438.9242963471834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877848.59269436693"/>
    <n v="887066.00291765772"/>
    <n v="877848.59269436693"/>
    <n v="887066.00291765772"/>
    <n v="87784.859269436696"/>
    <n v="88706.600291765775"/>
    <n v="131677.28890415502"/>
    <n v="133059.90043764864"/>
    <n v="175569.71853887339"/>
    <n v="177413.20058353155"/>
    <n v="263354.57780831004"/>
    <n v="266119.80087529728"/>
    <n v="219462.14817359173"/>
    <n v="221766.50072941443"/>
    <n v="0"/>
    <m/>
    <m/>
    <s v="X"/>
    <m/>
    <s v="RE"/>
    <n v="3"/>
  </r>
  <r>
    <x v="1"/>
    <x v="2"/>
    <s v="Programas de inversión pública"/>
    <s v="2.3.2"/>
    <x v="18"/>
    <s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1"/>
    <s v="C1"/>
    <s v="Ganaderos asistidos"/>
    <n v="1424"/>
    <n v="1424"/>
    <n v="1424"/>
    <n v="560"/>
    <s v="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
    <s v="DRASAM"/>
    <n v="797440"/>
    <n v="805813.12"/>
    <n v="797440"/>
    <n v="805813.12"/>
    <n v="159488"/>
    <n v="161162.62399999998"/>
    <n v="159488"/>
    <n v="161162.62399999998"/>
    <n v="159488"/>
    <n v="161162.62399999998"/>
    <n v="159488"/>
    <n v="161162.62399999998"/>
    <n v="159488"/>
    <n v="161162.62399999998"/>
    <n v="0"/>
    <m/>
    <m/>
    <s v="X"/>
    <m/>
    <s v="RE"/>
    <n v="3"/>
  </r>
  <r>
    <x v="1"/>
    <x v="2"/>
    <s v="Programas de inversión pública"/>
    <s v="2.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intervenidas"/>
    <n v="14015"/>
    <n v="2803"/>
    <n v="2803"/>
    <n v="500"/>
    <s v="El costo incluye adquisición de semillas, insumos, fertilizantes, entre otras para la producción de plantas agroforestales o coberturas  verdes."/>
    <s v="DRASAM"/>
    <n v="1401500"/>
    <n v="1416215.75"/>
    <n v="1401500"/>
    <n v="1416215.75"/>
    <n v="280300"/>
    <n v="283243.14999999997"/>
    <n v="280300"/>
    <n v="283243.14999999997"/>
    <n v="280300"/>
    <n v="283243.14999999997"/>
    <n v="280300"/>
    <n v="283243.14999999997"/>
    <n v="280300"/>
    <n v="283243.14999999997"/>
    <n v="0"/>
    <m/>
    <m/>
    <s v="X"/>
    <m/>
    <s v="RE"/>
    <n v="3"/>
  </r>
  <r>
    <x v="1"/>
    <x v="2"/>
    <s v="Programas de inversión pública"/>
    <s v="2.3.4"/>
    <x v="19"/>
    <s v="Reactivación, implementación y gestión de las postas de inseminación artificial, importación de material genético (pajillas de semen), capacitación y entrenamiento a inseminadores, transferencia de embriones a las granjas de los productores y asistencia técnica."/>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Postas activas y operativas"/>
    <n v="0"/>
    <n v="5"/>
    <n v="5"/>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1370000"/>
    <n v="1384385"/>
    <n v="1370000"/>
    <n v="1384385"/>
    <n v="274000"/>
    <n v="276877"/>
    <n v="274000"/>
    <n v="276877"/>
    <n v="274000"/>
    <n v="276877"/>
    <n v="274000"/>
    <n v="276877"/>
    <n v="274000"/>
    <n v="276877"/>
    <n v="0"/>
    <m/>
    <s v="X"/>
    <m/>
    <m/>
    <m/>
    <n v="3"/>
  </r>
  <r>
    <x v="1"/>
    <x v="2"/>
    <s v="Ingresos y Capital"/>
    <s v="2.3.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Ganaderos atendidos"/>
    <n v="1424"/>
    <n v="427.2"/>
    <n v="284.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4592400"/>
    <n v="4640620.2"/>
    <n v="3061600"/>
    <n v="3093746.8"/>
    <n v="918480"/>
    <n v="928124.03999999992"/>
    <n v="918480"/>
    <n v="928124.03999999992"/>
    <n v="918480"/>
    <n v="928124.03999999992"/>
    <n v="918480"/>
    <n v="928124.03999999992"/>
    <n v="918480"/>
    <n v="928124.03999999992"/>
    <n v="0"/>
    <s v="X"/>
    <m/>
    <m/>
    <m/>
    <s v="RE"/>
    <n v="3"/>
  </r>
  <r>
    <x v="1"/>
    <x v="2"/>
    <s v="Programas de inversión pública"/>
    <s v="2.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x v="7"/>
    <s v="C2"/>
    <s v="Organizaciones fortalecidas"/>
    <n v="0"/>
    <n v="12"/>
    <n v="1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0"/>
    <n v="7275600"/>
    <n v="7200000"/>
    <n v="7275600"/>
    <n v="1440000"/>
    <n v="1455120"/>
    <n v="1440000"/>
    <n v="1455120"/>
    <n v="1440000"/>
    <n v="1455120"/>
    <n v="1440000"/>
    <n v="1455120"/>
    <n v="1440000"/>
    <n v="1455120"/>
    <n v="0"/>
    <m/>
    <m/>
    <s v="X"/>
    <m/>
    <m/>
    <n v="3"/>
  </r>
  <r>
    <x v="1"/>
    <x v="2"/>
    <s v="Programas de inversión privada"/>
    <s v="2.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Planes de negocios implementados"/>
    <n v="0"/>
    <n v="15"/>
    <n v="15"/>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DRASAM"/>
    <n v="12000000"/>
    <n v="12126000"/>
    <n v="12000000"/>
    <n v="12126000"/>
    <n v="2400000"/>
    <n v="2425200"/>
    <n v="2400000"/>
    <n v="2425200"/>
    <n v="2400000"/>
    <n v="2425200"/>
    <n v="2400000"/>
    <n v="2425200"/>
    <n v="2400000"/>
    <n v="2425200"/>
    <n v="0"/>
    <s v="X"/>
    <m/>
    <m/>
    <m/>
    <s v="RE"/>
    <n v="2"/>
  </r>
  <r>
    <x v="1"/>
    <x v="2"/>
    <s v="Control y vigilancia"/>
    <s v="2.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50"/>
    <n v="50"/>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500000"/>
    <n v="505250"/>
    <n v="500000"/>
    <n v="505250"/>
    <n v="100000"/>
    <n v="101050"/>
    <n v="100000"/>
    <n v="101050"/>
    <n v="100000"/>
    <n v="101050"/>
    <n v="100000"/>
    <n v="101050"/>
    <n v="100000"/>
    <n v="101050"/>
    <n v="0"/>
    <s v="X"/>
    <m/>
    <m/>
    <m/>
    <m/>
    <n v="1"/>
  </r>
  <r>
    <x v="1"/>
    <x v="3"/>
    <s v="Invasiones"/>
    <s v="2.4.1"/>
    <x v="53"/>
    <s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_x000a_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
    <s v="NR"/>
    <x v="0"/>
    <s v="Programa de regulización, formalizacion y saneamiento de predios"/>
    <s v="Formalización de la situacion de legal de los predios, estableciendo medidas facilitadoras"/>
    <x v="0"/>
    <s v="COMP 8"/>
    <s v="PROTECCIÓN"/>
    <x v="17"/>
    <s v="C20"/>
    <s v="Porcentaje de conflictos resueltos"/>
    <n v="0"/>
    <n v="14"/>
    <n v="0"/>
    <n v="420000"/>
    <s v="Gastos logísticos y administrativos para implementar reuniones con los actores involucrados, con la finalidad de solucionar los diferentes conflictos entre las CCNN y los productores, así mismo se  brindará asesoramiento legal y técnico a las CCNN para la solución de los conflicto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2100000"/>
    <n v="2122050"/>
    <n v="0"/>
    <n v="0"/>
    <n v="420000"/>
    <n v="424410"/>
    <n v="420000"/>
    <n v="424410"/>
    <n v="420000"/>
    <n v="424410"/>
    <n v="420000"/>
    <n v="424410"/>
    <n v="420000"/>
    <n v="424410"/>
    <n v="0"/>
    <m/>
    <m/>
    <s v="X"/>
    <m/>
    <m/>
    <n v="3"/>
  </r>
  <r>
    <x v="1"/>
    <x v="3"/>
    <s v="Programas de inversión pública"/>
    <s v="2.4.2"/>
    <x v="21"/>
    <s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s v="Programa de Asistencia Técnica para la recuperación de bosques"/>
    <s v="Recuperación de bosques mediante la recuperación y concervación de los suelos, el aprovechamiento de los serivicios ecosistemicos , manejo forstal, entre otros "/>
    <x v="6"/>
    <s v="COMP 5"/>
    <s v="PROTECCIÓN"/>
    <x v="1"/>
    <s v="C1"/>
    <s v="Productor asistido"/>
    <n v="1500"/>
    <n v="900"/>
    <n v="6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504000"/>
    <n v="509292"/>
    <n v="336000"/>
    <n v="339528"/>
    <n v="100800"/>
    <n v="101858.4"/>
    <n v="100800"/>
    <n v="101858.4"/>
    <n v="100800"/>
    <n v="101858.4"/>
    <n v="100800"/>
    <n v="101858.4"/>
    <n v="100800"/>
    <n v="101858.4"/>
    <n v="0"/>
    <m/>
    <m/>
    <s v="X"/>
    <m/>
    <s v="RE"/>
    <n v="3"/>
  </r>
  <r>
    <x v="1"/>
    <x v="3"/>
    <s v="Programas de inversión privada"/>
    <s v="2.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0"/>
    <s v="C8"/>
    <s v="Planes de negocio"/>
    <n v="0"/>
    <n v="45"/>
    <n v="30"/>
    <n v="15000"/>
    <s v="Se contratará profesionales para el asesoramiento y formulación de planes de negocios de las Comunidades Nativas y Campesinas."/>
    <s v="Drasam, Agroideas"/>
    <n v="675000"/>
    <n v="682087.5"/>
    <n v="450000"/>
    <n v="454725"/>
    <n v="135000"/>
    <n v="136417.5"/>
    <n v="135000"/>
    <n v="136417.5"/>
    <n v="135000"/>
    <n v="136417.5"/>
    <n v="135000"/>
    <n v="136417.5"/>
    <n v="135000"/>
    <n v="136417.5"/>
    <n v="0"/>
    <s v="X"/>
    <m/>
    <m/>
    <m/>
    <s v="RE"/>
    <n v="2"/>
  </r>
  <r>
    <x v="1"/>
    <x v="3"/>
    <s v="Programas de inversión pública"/>
    <s v="2.4.4"/>
    <x v="23"/>
    <s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s v="Programa de promoción de la Asociatividad Empresarial"/>
    <s v="Desarrollar en los productores y produtoras capacidades colaborativas y de confianza hacia objetivos comunes"/>
    <x v="4"/>
    <s v="COMP 2"/>
    <s v="PRODUCCIÓN"/>
    <x v="7"/>
    <s v="C2"/>
    <s v="Comunidades fortalecidas"/>
    <n v="0"/>
    <n v="15"/>
    <n v="15"/>
    <n v="144000"/>
    <s v="Contratación de especialistas para dar acompañamiento y seguimiento a los procesos organizativos de las CCNN de forma permanente."/>
    <s v="Drasam, Direpro, Dircetur, ARA, CODEPISAM"/>
    <n v="10800000"/>
    <n v="10913400"/>
    <n v="10800000"/>
    <n v="10913400"/>
    <n v="2160000"/>
    <n v="2182680"/>
    <n v="2160000"/>
    <n v="2182680"/>
    <n v="2160000"/>
    <n v="2182680"/>
    <n v="2160000"/>
    <n v="2182680"/>
    <n v="2160000"/>
    <n v="2182680"/>
    <n v="0"/>
    <m/>
    <m/>
    <s v="X"/>
    <m/>
    <s v="RE"/>
    <n v="2"/>
  </r>
  <r>
    <x v="1"/>
    <x v="3"/>
    <s v="Programas de inversión privada"/>
    <s v="2.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Especialistas"/>
    <n v="0"/>
    <n v="2"/>
    <n v="2"/>
    <n v="3500"/>
    <s v="Contratación de especialista para identificación, acompañamiento y seguimiento a los procesos comerciales iniciados por las organizaciones de las CCNN"/>
    <s v="Drasam, Direpro, Dircetur, ARA, OPIPs"/>
    <n v="420000"/>
    <n v="424410"/>
    <n v="420000"/>
    <n v="424410"/>
    <n v="84000"/>
    <n v="84882"/>
    <n v="84000"/>
    <n v="84882"/>
    <n v="84000"/>
    <n v="84882"/>
    <n v="84000"/>
    <n v="84882"/>
    <n v="84000"/>
    <n v="84882"/>
    <n v="0"/>
    <s v="X"/>
    <m/>
    <m/>
    <m/>
    <s v="RE"/>
    <n v="2"/>
  </r>
  <r>
    <x v="1"/>
    <x v="3"/>
    <s v="Invasiones"/>
    <s v="2.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s v="Programa de incentivos para la protección de bosques"/>
    <s v="Contribuir a la sostenilidad de los bosques brindando incentivos financieros"/>
    <x v="3"/>
    <s v="COMP 11"/>
    <s v="PROTECCIÓN"/>
    <x v="5"/>
    <s v="C6"/>
    <s v="Comunidades atendidas"/>
    <n v="4"/>
    <n v="9"/>
    <n v="6"/>
    <n v="5000"/>
    <s v="El costo esta referido a los gastos administrativos y logísticos que impliquen la elaboración del expediente para ser presentado al programa. "/>
    <s v="Gerencia Regional de Desarrollo Social, Programa Geo bosques"/>
    <n v="225000"/>
    <n v="227362.5"/>
    <n v="150000"/>
    <n v="151575"/>
    <n v="45000"/>
    <n v="45472.5"/>
    <n v="45000"/>
    <n v="45472.5"/>
    <n v="45000"/>
    <n v="45472.5"/>
    <n v="45000"/>
    <n v="45472.5"/>
    <n v="45000"/>
    <n v="45472.5"/>
    <n v="0"/>
    <m/>
    <m/>
    <s v="X"/>
    <m/>
    <m/>
    <n v="3"/>
  </r>
  <r>
    <x v="1"/>
    <x v="3"/>
    <s v="Programas de inversión pública"/>
    <s v="2.4.7"/>
    <x v="26"/>
    <s v="Con el soporte de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s v="Programa de Infraestructura para la Competitividad "/>
    <s v="Generar condiciones para el desarrollo socio económico del territorio"/>
    <x v="8"/>
    <s v="COMP 9"/>
    <s v="INCLUSION"/>
    <x v="11"/>
    <s v="C14"/>
    <s v="Módulos implementados"/>
    <n v="1500"/>
    <n v="450"/>
    <n v="300"/>
    <n v="30000"/>
    <s v="Implementación según las necesidades identificadas en cada comunidad, considerando si son aplicables en dichas zonas, si no hay restricciones de cualquier índole. "/>
    <s v="Goresam, MIDIS, DRTyTC, Drasam,Foncodes, Cooperación"/>
    <n v="13500000"/>
    <n v="13641750"/>
    <n v="9000000"/>
    <n v="9094500"/>
    <n v="2700000"/>
    <n v="2728350"/>
    <n v="2700000"/>
    <n v="2728350"/>
    <n v="2700000"/>
    <n v="2728350"/>
    <n v="2700000"/>
    <n v="2728350"/>
    <n v="2700000"/>
    <n v="2728350"/>
    <n v="0"/>
    <m/>
    <m/>
    <s v="X"/>
    <m/>
    <m/>
    <n v="2"/>
  </r>
  <r>
    <x v="1"/>
    <x v="3"/>
    <s v="Programas de inversión pública"/>
    <s v="2.4.8"/>
    <x v="27"/>
    <s v="Implementación de proyectos enfocados a mejorar los servicios básicos de las comunidades nativas, dichos servicios deberán contar con profesionales bilingües, para asegurar y garantizar la adecuada transferencia de dichos servicios.  "/>
    <s v="NR"/>
    <x v="0"/>
    <s v="Programa de Infraestructura para la Competitividad "/>
    <s v="Generar condiciones para el desarrollo socio económico del territorio"/>
    <x v="8"/>
    <s v="COMP 9"/>
    <s v="INCLUSION"/>
    <x v="11"/>
    <s v="C14"/>
    <s v="Escuelas y postas médicas implementadas"/>
    <n v="15"/>
    <n v="8"/>
    <n v="7"/>
    <n v="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2000000"/>
    <n v="2021000"/>
    <n v="1750000"/>
    <n v="1768375"/>
    <n v="400000"/>
    <n v="404200"/>
    <n v="400000"/>
    <n v="404200"/>
    <n v="400000"/>
    <n v="404200"/>
    <n v="400000"/>
    <n v="404200"/>
    <n v="400000"/>
    <n v="404200"/>
    <n v="0"/>
    <s v="X"/>
    <m/>
    <m/>
    <m/>
    <s v="RE"/>
    <n v="3"/>
  </r>
  <r>
    <x v="1"/>
    <x v="4"/>
    <s v="Ingresos y Capital"/>
    <s v="2.5.1"/>
    <x v="55"/>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s v="Programa de incentivos para la protección de bosques"/>
    <s v="Contribuir a la sostenilidad de los bosques brindando incentivos financieros"/>
    <x v="3"/>
    <s v="COMP 11"/>
    <s v="PROTECCIÓN"/>
    <x v="5"/>
    <s v="C6"/>
    <s v="Planes de negocio"/>
    <n v="4"/>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6300"/>
    <n v="600000"/>
    <n v="606300"/>
    <n v="120000"/>
    <n v="121260"/>
    <n v="120000"/>
    <n v="121260"/>
    <n v="120000"/>
    <n v="121260"/>
    <n v="120000"/>
    <n v="121260"/>
    <n v="120000"/>
    <n v="121260"/>
    <n v="0"/>
    <s v="X"/>
    <m/>
    <m/>
    <m/>
    <n v="0"/>
    <n v="3"/>
  </r>
  <r>
    <x v="1"/>
    <x v="4"/>
    <s v="Programas de inversión pública"/>
    <s v="2.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s v="Programa de Asistencia Técnica para la recuperación de bosques"/>
    <s v="Recuperación de bosques mediante la recuperación y concervación de los suelos, el aprovechamiento de los serivicios ecosistemicos , manejo forstal, entre otros "/>
    <x v="6"/>
    <s v="COMP 5"/>
    <s v="PROTECCIÓN"/>
    <x v="1"/>
    <s v="C1"/>
    <s v="Especialistas"/>
    <n v="0"/>
    <n v="2"/>
    <n v="2"/>
    <n v="4000"/>
    <s v="Contratación de especialista y gastos logísticos, pasantías regionales y nacionales para adquisición de know how en materia de turismo rural"/>
    <s v="Dircetur"/>
    <n v="480000"/>
    <n v="485040"/>
    <n v="480000"/>
    <n v="485040"/>
    <n v="240000"/>
    <n v="242520"/>
    <n v="240000"/>
    <n v="242520"/>
    <n v="0"/>
    <n v="0"/>
    <n v="0"/>
    <n v="0"/>
    <n v="0"/>
    <n v="0"/>
    <n v="0"/>
    <m/>
    <m/>
    <s v="X"/>
    <m/>
    <n v="0"/>
    <n v="3"/>
  </r>
  <r>
    <x v="1"/>
    <x v="4"/>
    <s v="Programas de inversión privada"/>
    <s v="2.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0"/>
    <s v="C8"/>
    <s v="Planes de negocio"/>
    <n v="0"/>
    <n v="4"/>
    <n v="8"/>
    <n v="150000"/>
    <s v="El costo hace referencia al proceso de implementación y funcionamiento de los productos para el desarrollo de  los emprendimientos."/>
    <s v="Dircetur, Agroideas"/>
    <n v="600000"/>
    <n v="606300"/>
    <n v="1200000"/>
    <n v="1212600"/>
    <n v="120000"/>
    <n v="121260"/>
    <n v="120000"/>
    <n v="121260"/>
    <n v="120000"/>
    <n v="121260"/>
    <n v="120000"/>
    <n v="121260"/>
    <n v="120000"/>
    <n v="121260"/>
    <n v="0"/>
    <s v="X"/>
    <m/>
    <m/>
    <m/>
    <s v="RE"/>
    <n v="3"/>
  </r>
  <r>
    <x v="1"/>
    <x v="4"/>
    <s v="Programas de inversión privada"/>
    <s v="2.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Rutas turísticas promocionados"/>
    <n v="0"/>
    <n v="4"/>
    <n v="4"/>
    <n v="40000"/>
    <s v="Participación en eventos de promoción (ferias regionales y nacionales, Fam Trip), el costo cubrirá gastos logísticos y administrativos de los operadores turísticos identificados "/>
    <s v="Mincetur, Dircetur"/>
    <n v="800000"/>
    <n v="808400"/>
    <n v="800000"/>
    <n v="808400"/>
    <n v="160000"/>
    <n v="161680"/>
    <n v="160000"/>
    <n v="161680"/>
    <n v="160000"/>
    <n v="161680"/>
    <n v="160000"/>
    <n v="161680"/>
    <n v="160000"/>
    <n v="161680"/>
    <n v="0"/>
    <m/>
    <m/>
    <s v="X"/>
    <m/>
    <n v="0"/>
    <n v="3"/>
  </r>
  <r>
    <x v="1"/>
    <x v="11"/>
    <s v="Control y vigilancia"/>
    <s v="2.6.1"/>
    <x v="35"/>
    <s v="Implementar con recursos necesarios al ente que administra el área, con la finalidad de aumentar el número de personas (guardaparques) que contribuyan a realizar acciones de control y vigilancia."/>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x v="14"/>
    <s v="C4"/>
    <s v="Número de guardaparques"/>
    <n v="0"/>
    <n v="10"/>
    <n v="10"/>
    <n v="2000"/>
    <s v="Contratación a guardaparques para garantizar el control y vigilancia del área otorgada."/>
    <s v="Ara, serfor, Sernanp"/>
    <n v="1200000"/>
    <n v="1212600"/>
    <n v="1200000"/>
    <n v="1212600"/>
    <n v="240000"/>
    <n v="242520"/>
    <n v="240000"/>
    <n v="242520"/>
    <n v="240000"/>
    <n v="242520"/>
    <n v="240000"/>
    <n v="242520"/>
    <n v="240000"/>
    <n v="242520"/>
    <n v="0"/>
    <m/>
    <s v="X"/>
    <m/>
    <m/>
    <s v="RE"/>
    <n v="3"/>
  </r>
  <r>
    <x v="1"/>
    <x v="11"/>
    <s v="Control y vigilancia"/>
    <s v="2.6.2"/>
    <x v="34"/>
    <s v="Campañas de sensibilización en distritos acentuadas en el ámbito del ANP, considerando la participación del ARA, DRASAM, DIRCETUR, GRDS, CGSCM, CGBPAM, PNCB, OSINFOR. Articular acciones de vigilancia y control entre el ente que administra el ANP (SERNANP), cooperantes, población organizada como Juntas vecinales, comités de vigilancia, rondas campesinas, productores, comités y otros que se benefician de los servicios eco sistémicos del ANP"/>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x v="14"/>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21000"/>
    <n v="2000000"/>
    <n v="2021000"/>
    <n v="400000"/>
    <n v="404200"/>
    <n v="400000"/>
    <n v="404200"/>
    <n v="400000"/>
    <n v="404200"/>
    <n v="400000"/>
    <n v="404200"/>
    <n v="400000"/>
    <n v="404200"/>
    <n v="0"/>
    <m/>
    <s v="X"/>
    <m/>
    <m/>
    <s v="RE"/>
    <n v="3"/>
  </r>
  <r>
    <x v="1"/>
    <x v="11"/>
    <s v="Programas de inversión pública"/>
    <s v="2.6.3"/>
    <x v="56"/>
    <s v="Promover la planificación comunal en centros poblados del interior en base a la zonificación y zona de amortiguamiento teniendo como base al Plan Maestro (incluye acuerdos de conservación)"/>
    <s v="NR"/>
    <x v="0"/>
    <s v="Programa de Infraestructura para la Competitividad "/>
    <s v="Generar condiciones para el desarrollo socio económico del territorio"/>
    <x v="8"/>
    <s v="COMP 9"/>
    <s v="HABILITANTE"/>
    <x v="15"/>
    <s v="C10"/>
    <s v="Planes de gestión comunal"/>
    <n v="0"/>
    <n v="24"/>
    <n v="40"/>
    <n v="10000"/>
    <s v="Contratación de servicios profesionales para la elaboración de los planes de gestión comunal."/>
    <s v="Dircetur, Mincetur"/>
    <n v="240000"/>
    <n v="242520"/>
    <n v="400000"/>
    <n v="404200"/>
    <n v="48000"/>
    <n v="48504"/>
    <n v="48000"/>
    <n v="48504"/>
    <n v="48000"/>
    <n v="48504"/>
    <n v="48000"/>
    <n v="48504"/>
    <n v="48000"/>
    <n v="48504"/>
    <n v="0"/>
    <m/>
    <s v="X"/>
    <m/>
    <m/>
    <m/>
    <n v="3"/>
  </r>
  <r>
    <x v="1"/>
    <x v="11"/>
    <s v="Programas de inversión privada"/>
    <s v="2.6.4"/>
    <x v="57"/>
    <s v="Campañas de promoción y difusión en el ámbito regional y nacional de los circuitos turísticos que existen en la zona de amortiguamiento. acorde al plan maestro del BPAM.  https://es.scribd.com/document/74386745/PLAN-DE-USO-TURISTICO-BPAM"/>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Campañas de promoción"/>
    <n v="0"/>
    <n v="20"/>
    <n v="20"/>
    <n v="4000"/>
    <s v="Campañas de promoción que incluye, impresión de material de difusión, publicidad radial, televisiva y escrita."/>
    <s v="Dircetur, Mincetur"/>
    <n v="400000"/>
    <n v="404200"/>
    <n v="400000"/>
    <n v="404200"/>
    <n v="80000"/>
    <n v="80840"/>
    <n v="80000"/>
    <n v="80840"/>
    <n v="80000"/>
    <n v="80840"/>
    <n v="80000"/>
    <n v="80840"/>
    <n v="80000"/>
    <n v="80840"/>
    <n v="0"/>
    <m/>
    <m/>
    <s v="X"/>
    <m/>
    <m/>
    <n v="3"/>
  </r>
  <r>
    <x v="1"/>
    <x v="11"/>
    <s v="Programas de inversión privada"/>
    <s v="2.6.5"/>
    <x v="58"/>
    <s v="Realizar pasantías focalizadas en aquellos sectores claves que se necesita intervenir para disminuir la presión al ANP."/>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Pasantías"/>
    <n v="0"/>
    <n v="16"/>
    <n v="16"/>
    <n v="2500"/>
    <s v="El costo hace referencia a los gastos de pasajes, alimentación y otros para un grupo de 20 productores por pasantía."/>
    <s v="Drasam"/>
    <n v="200000"/>
    <n v="202100"/>
    <n v="200000"/>
    <n v="202100"/>
    <n v="40000"/>
    <n v="40420"/>
    <n v="40000"/>
    <n v="40420"/>
    <n v="40000"/>
    <n v="40420"/>
    <n v="40000"/>
    <n v="40420"/>
    <n v="40000"/>
    <n v="40420"/>
    <n v="0"/>
    <m/>
    <m/>
    <s v="X"/>
    <m/>
    <m/>
    <n v="2"/>
  </r>
  <r>
    <x v="1"/>
    <x v="11"/>
    <s v="Programas de inversión pública"/>
    <s v="2.6.6"/>
    <x v="59"/>
    <s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s v="Programa de Asistencia Técnica para la recuperación de bosques"/>
    <s v="Recuperación de bosques mediante la recuperación y concervación de los suelos, el aprovechamiento de los serivicios ecosistemicos , manejo forstal, entre otros "/>
    <x v="6"/>
    <s v="COMP 5"/>
    <s v="PROTECCIÓN"/>
    <x v="1"/>
    <s v="C1"/>
    <s v="Especialistas"/>
    <n v="0"/>
    <n v="3"/>
    <n v="3"/>
    <n v="3500"/>
    <s v="El costo comprende la contratación de profesionales para brindar asistencias técnica en los cultivos priorizados en la zona de intervención."/>
    <s v="Drasam"/>
    <n v="630000"/>
    <n v="636615"/>
    <n v="630000"/>
    <n v="636615"/>
    <n v="126000"/>
    <n v="127323"/>
    <n v="126000"/>
    <n v="127323"/>
    <n v="126000"/>
    <n v="127323"/>
    <n v="126000"/>
    <n v="127323"/>
    <n v="126000"/>
    <n v="127323"/>
    <n v="0"/>
    <m/>
    <m/>
    <s v="X"/>
    <m/>
    <s v="RE"/>
    <n v="3"/>
  </r>
  <r>
    <x v="1"/>
    <x v="11"/>
    <s v="Ingresos y Capital"/>
    <s v="2.6.7"/>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NR"/>
    <x v="2"/>
    <s v="Programa de incentivos para la protección de bosques"/>
    <s v="Contribuir a la sostenilidad de los bosques brindando incentivos financieros"/>
    <x v="3"/>
    <s v="COMP 11"/>
    <s v="PROTECCIÓN"/>
    <x v="5"/>
    <s v="C6"/>
    <s v="Planes de negocios"/>
    <n v="0"/>
    <n v="50"/>
    <n v="5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0"/>
    <n v="5052500"/>
    <n v="5000000"/>
    <n v="5052500"/>
    <n v="1000000"/>
    <n v="1010500"/>
    <n v="1000000"/>
    <n v="1010500"/>
    <n v="1000000"/>
    <n v="1010500"/>
    <n v="1000000"/>
    <n v="1010500"/>
    <n v="1000000"/>
    <n v="1010500"/>
    <n v="0"/>
    <s v="X"/>
    <m/>
    <m/>
    <m/>
    <s v="RE"/>
    <n v="3"/>
  </r>
  <r>
    <x v="1"/>
    <x v="8"/>
    <s v="Invasiones"/>
    <s v="2.7.1"/>
    <x v="40"/>
    <s v="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
    <s v="NR"/>
    <x v="0"/>
    <s v="Programa de regulización, formalizacion y saneamiento de predios"/>
    <s v="Formalización de la situacion de legal de los predios, estableciendo medidas facilitadoras"/>
    <x v="0"/>
    <s v="COMP 8"/>
    <s v="PROTECCIÓN-GOBERNANZA"/>
    <x v="0"/>
    <s v="C5"/>
    <s v="Ha. con categoría territorial asignada"/>
    <n v="140920.89160839622"/>
    <n v="70460.445804198112"/>
    <n v="70460.445804198112"/>
    <n v="15"/>
    <s v="Para la implementación de las intervención será mecesario la contratación de especialistas para realizar las acciones que comtemplen dicha actividad. Gastos logísticos y trámites documentarios."/>
    <s v="GRSM - DEGT"/>
    <n v="1056906.6870629718"/>
    <n v="1068004.2072771329"/>
    <n v="1056906.6870629718"/>
    <n v="1068004.2072771329"/>
    <n v="211381.33741259435"/>
    <n v="213600.84145542659"/>
    <n v="211381.33741259435"/>
    <n v="213600.84145542659"/>
    <n v="211381.33741259435"/>
    <n v="213600.84145542659"/>
    <n v="211381.33741259435"/>
    <n v="213600.84145542659"/>
    <n v="211381.33741259435"/>
    <n v="213600.84145542659"/>
    <n v="0"/>
    <m/>
    <s v="X"/>
    <m/>
    <m/>
    <n v="0"/>
    <n v="3"/>
  </r>
  <r>
    <x v="1"/>
    <x v="8"/>
    <s v="Control y vigilancia"/>
    <s v="2.7.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x v="0"/>
    <s v="C5"/>
    <s v="N° de responsables de administración que aprueban evaluación de capacitación "/>
    <n v="0"/>
    <n v="70"/>
    <n v="70"/>
    <n v="150"/>
    <s v="Considera materiales de capacitación, alimentación a capacitados en el área cercana a su comunidad y gastos de capacitadores"/>
    <s v="GRSM - DEGT"/>
    <n v="10500"/>
    <n v="10610.25"/>
    <n v="10500"/>
    <n v="10610.25"/>
    <n v="10500"/>
    <n v="10610.25"/>
    <n v="0"/>
    <n v="0"/>
    <n v="0"/>
    <n v="0"/>
    <n v="0"/>
    <n v="0"/>
    <n v="0"/>
    <n v="0"/>
    <n v="0"/>
    <m/>
    <s v="X"/>
    <m/>
    <m/>
    <n v="0"/>
    <n v="2"/>
  </r>
  <r>
    <x v="1"/>
    <x v="8"/>
    <s v="Control y vigilancia"/>
    <s v="2.7.3"/>
    <x v="42"/>
    <s v="Dependiendo de la categoría forestal a ser aplicada, se realizará un plan/declaración acorde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x v="0"/>
    <s v="C5"/>
    <s v="N° Planes / Declaraciones elaborados"/>
    <n v="0"/>
    <n v="15"/>
    <n v="15"/>
    <n v="10000"/>
    <s v="Se considera la contratación de profesionales para la elaboración de los expedientes y/o declaraciones identificadas en los diferentes procesos."/>
    <s v="GRSM - DEGT"/>
    <n v="150000"/>
    <n v="151575"/>
    <n v="150000"/>
    <n v="151575"/>
    <n v="45000"/>
    <n v="45472.5"/>
    <n v="45000"/>
    <n v="45472.5"/>
    <n v="60000"/>
    <n v="60630"/>
    <n v="0"/>
    <n v="0"/>
    <n v="0"/>
    <n v="0"/>
    <n v="0"/>
    <m/>
    <s v="X"/>
    <m/>
    <m/>
    <n v="0"/>
    <n v="2"/>
  </r>
  <r>
    <x v="1"/>
    <x v="8"/>
    <s v="Invasiones"/>
    <s v="2.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x v="0"/>
    <s v="C5"/>
    <s v="Ha. Inscritas"/>
    <n v="140920.89160839622"/>
    <n v="70460.445804198112"/>
    <n v="70460.445804198112"/>
    <n v="1"/>
    <s v="Contratación de dos profesioales para agilizar procesos con sunarp."/>
    <s v="GRSM - DEGT"/>
    <n v="70460.445804198112"/>
    <n v="71200.280485142182"/>
    <n v="70460.445804198112"/>
    <n v="71200.280485142182"/>
    <n v="14092.089160839623"/>
    <n v="14240.056097028439"/>
    <n v="14092.089160839623"/>
    <n v="14240.056097028439"/>
    <n v="14092.089160839623"/>
    <n v="14240.056097028439"/>
    <n v="14092.089160839623"/>
    <n v="14240.056097028439"/>
    <n v="14092.089160839623"/>
    <n v="14240.056097028439"/>
    <n v="0"/>
    <m/>
    <s v="X"/>
    <m/>
    <m/>
    <n v="0"/>
    <n v="2"/>
  </r>
  <r>
    <x v="1"/>
    <x v="9"/>
    <s v="Invasiones"/>
    <s v="2.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s v="Programa de regulización, formalizacion y saneamiento de predios"/>
    <s v="Formalización de la situacion de legal de los predios, estableciendo medidas facilitadoras"/>
    <x v="0"/>
    <s v="COMP 8"/>
    <s v="PROTECCIÓN-GOBERNANZA"/>
    <x v="0"/>
    <s v="C5"/>
    <s v="Ha. con categoría territorial asignada"/>
    <n v="24905.186800862601"/>
    <n v="12452.5934004313"/>
    <n v="12452.5934004313"/>
    <n v="15"/>
    <s v="Para la implementación de las intervención será mecesario la contratación de especialistas para realizar las acciones que comtemplen dicha actividad. Gastos logísticos y trámites documentarios."/>
    <s v="GRSM - DEGT"/>
    <n v="186788.9010064695"/>
    <n v="188750.18446703741"/>
    <n v="186788.9010064695"/>
    <n v="188750.18446703741"/>
    <n v="37357.780201293899"/>
    <n v="37750.036893407487"/>
    <n v="37357.780201293899"/>
    <n v="37750.036893407487"/>
    <n v="37357.780201293899"/>
    <n v="37750.036893407487"/>
    <n v="37357.780201293899"/>
    <n v="37750.036893407487"/>
    <n v="37357.780201293899"/>
    <n v="37750.036893407487"/>
    <n v="0"/>
    <m/>
    <s v="X"/>
    <m/>
    <m/>
    <m/>
    <n v="3"/>
  </r>
  <r>
    <x v="1"/>
    <x v="9"/>
    <s v="Control y vigilancia"/>
    <s v="2.8.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x v="0"/>
    <s v="C5"/>
    <s v="N° de responsables de administración que aprueban evaluación de capacitación "/>
    <n v="0"/>
    <n v="70"/>
    <n v="70"/>
    <n v="150"/>
    <s v="Considera materiales de capacitación, alimentación a capacitados en el área cercana a su comunidad y gastos de capacitadores"/>
    <s v="GRSM - DEGT"/>
    <n v="10500"/>
    <n v="10610.25"/>
    <n v="10500"/>
    <n v="10610.25"/>
    <n v="10500"/>
    <n v="10610.25"/>
    <n v="0"/>
    <n v="0"/>
    <n v="0"/>
    <n v="0"/>
    <n v="0"/>
    <n v="0"/>
    <n v="0"/>
    <n v="0"/>
    <n v="0"/>
    <m/>
    <s v="X"/>
    <m/>
    <m/>
    <m/>
    <n v="2"/>
  </r>
  <r>
    <x v="1"/>
    <x v="9"/>
    <s v="Control y vigilancia"/>
    <s v="2.8.3"/>
    <x v="42"/>
    <s v="Dependiendo de la categoría forestal a ser aplicada, se realizará un plan/declaración acorde a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x v="0"/>
    <s v="C5"/>
    <s v="N° Planes / Declaraciones elaborados"/>
    <n v="0"/>
    <n v="5"/>
    <n v="5"/>
    <n v="10000"/>
    <s v="Se considera la contratación de profesionales para la elaboración de los expedientes y/o declaraciones identificadas en los diferentes procesos."/>
    <s v="GRSM - DEGT"/>
    <n v="50000"/>
    <n v="50525"/>
    <n v="50000"/>
    <n v="50525"/>
    <n v="15000"/>
    <n v="15157.5"/>
    <n v="15000"/>
    <n v="15157.5"/>
    <n v="20000"/>
    <n v="20210"/>
    <n v="0"/>
    <n v="0"/>
    <n v="0"/>
    <n v="0"/>
    <n v="0"/>
    <m/>
    <s v="X"/>
    <m/>
    <m/>
    <m/>
    <n v="2"/>
  </r>
  <r>
    <x v="1"/>
    <x v="9"/>
    <s v="Invasiones"/>
    <s v="2.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x v="0"/>
    <s v="C5"/>
    <s v="Ha. Inscritas"/>
    <n v="24905.186800862601"/>
    <n v="12452.5934004313"/>
    <n v="12452.5934004313"/>
    <n v="1"/>
    <s v="Contratación de dos profesioales para agilizar procesos con sunarp."/>
    <s v="GRSM - DEGT"/>
    <n v="12452.5934004313"/>
    <n v="12583.345631135828"/>
    <n v="12452.5934004313"/>
    <n v="12583.345631135828"/>
    <n v="2490.5186800862602"/>
    <n v="2516.6691262271661"/>
    <n v="2490.5186800862602"/>
    <n v="2516.6691262271661"/>
    <n v="2490.5186800862602"/>
    <n v="2516.6691262271661"/>
    <n v="2490.5186800862602"/>
    <n v="2516.6691262271661"/>
    <n v="2490.5186800862602"/>
    <n v="2516.6691262271661"/>
    <n v="0"/>
    <m/>
    <s v="X"/>
    <m/>
    <m/>
    <m/>
    <n v="2"/>
  </r>
  <r>
    <x v="1"/>
    <x v="9"/>
    <s v="Ingresos y Capital"/>
    <s v="2.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x v="0"/>
    <s v="C5"/>
    <s v="Hectáreas restauradas"/>
    <n v="0"/>
    <n v="5637.0492705921833"/>
    <n v="0"/>
    <n v="500"/>
    <s v="El costo incluye la restauración de una hectárea, esta actividad se desarrollara de acuerdo a la metodología propuesta por el ARA, en coordinación con los productores seleccionados."/>
    <s v="ARA"/>
    <n v="2818524.6352960919"/>
    <n v="2848119.1439667009"/>
    <n v="0"/>
    <n v="0"/>
    <n v="2818524.6352960919"/>
    <n v="2848119.1439667009"/>
    <n v="0"/>
    <n v="0"/>
    <n v="0"/>
    <n v="0"/>
    <n v="0"/>
    <n v="0"/>
    <n v="0"/>
    <n v="0"/>
    <n v="0"/>
    <m/>
    <s v="X"/>
    <m/>
    <m/>
    <m/>
    <n v="3"/>
  </r>
  <r>
    <x v="1"/>
    <x v="10"/>
    <s v="Programas de inversión pública"/>
    <s v="2.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s v="Programa de regulización, formalizacion y saneamiento de predios"/>
    <s v="Formalización de la situacion de legal de los predios, estableciendo medidas facilitadoras"/>
    <x v="0"/>
    <s v="COMP 8"/>
    <s v="PROTECCIÓN"/>
    <x v="16"/>
    <s v="C18"/>
    <s v="Acuerdos con rondas campesinas"/>
    <n v="0"/>
    <n v="19"/>
    <n v="19"/>
    <n v="2500"/>
    <s v="Reuniones con los diferentes actores involucrados y la sociedad civil para llegar a acuerdos de no deforestación, lo cual incluye  gastos logísticos en general."/>
    <s v="GRIS"/>
    <n v="237500"/>
    <n v="239993.75"/>
    <n v="237500"/>
    <n v="239993.75"/>
    <n v="47500"/>
    <n v="47998.75"/>
    <n v="47500"/>
    <n v="47998.75"/>
    <n v="47500"/>
    <n v="47998.75"/>
    <n v="47500"/>
    <n v="47998.75"/>
    <n v="47500"/>
    <n v="47998.75"/>
    <n v="0"/>
    <m/>
    <m/>
    <s v="X"/>
    <m/>
    <s v="RE"/>
    <n v="3"/>
  </r>
  <r>
    <x v="1"/>
    <x v="10"/>
    <s v="Programas de inversión pública"/>
    <s v="2.9.2"/>
    <x v="47"/>
    <s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Esta intervención será apoyada por las organizaciones formales de rondas campesinas, rondas campesinas rondas nativas y comités de monitoreo."/>
    <s v="NR"/>
    <x v="2"/>
    <s v="Programa de Asistencia Técnica para la recuperación de bosques"/>
    <s v="Recuperación de bosques mediante la recuperación y concervación de los suelos, el aprovechamiento de los serivicios ecosistemicos , manejo forstal, entre otros "/>
    <x v="6"/>
    <s v="COMP 5"/>
    <s v="PROTECCIÓN"/>
    <x v="16"/>
    <s v="C18"/>
    <s v="Especialistas"/>
    <n v="0"/>
    <n v="3"/>
    <n v="3"/>
    <n v="5000"/>
    <s v="Contratación de especialistas para realizar monitoreo de la cobertura de bosque, desde los diferentes órganos competentes. "/>
    <s v="ARA"/>
    <n v="900000"/>
    <n v="909450"/>
    <n v="900000"/>
    <n v="909450"/>
    <n v="180000"/>
    <n v="181890"/>
    <n v="180000"/>
    <n v="181890"/>
    <n v="180000"/>
    <n v="181890"/>
    <n v="180000"/>
    <n v="181890"/>
    <n v="180000"/>
    <n v="181890"/>
    <n v="0"/>
    <m/>
    <s v="X"/>
    <m/>
    <m/>
    <s v="RE"/>
    <n v="3"/>
  </r>
  <r>
    <x v="1"/>
    <x v="10"/>
    <s v="Programas de inversión pública"/>
    <s v="2.9.3"/>
    <x v="48"/>
    <s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s v="Programa de Infraestructura para la Competitividad "/>
    <s v="Generar condiciones para el desarrollo socio económico del territorio"/>
    <x v="9"/>
    <s v="COMP 10"/>
    <s v="HABILITANTE"/>
    <x v="16"/>
    <s v="C18"/>
    <s v="Kilómetros mejorados"/>
    <n v="1706"/>
    <n v="170.60000000000002"/>
    <n v="170.60000000000002"/>
    <n v="800000"/>
    <s v="Costo promedio de por km2 de vía mejorada o asfaltada"/>
    <s v="DRTyTC"/>
    <n v="136480000.00000003"/>
    <n v="137913040.00000003"/>
    <n v="136480000.00000003"/>
    <n v="137913040.00000003"/>
    <n v="27296000.000000007"/>
    <n v="27582608.000000007"/>
    <n v="27296000.000000007"/>
    <n v="27582608.000000007"/>
    <n v="27296000.000000007"/>
    <n v="27582608.000000007"/>
    <n v="27296000.000000007"/>
    <n v="27582608.000000007"/>
    <n v="27296000.000000007"/>
    <n v="27582608.000000007"/>
    <n v="0"/>
    <s v="X"/>
    <m/>
    <m/>
    <m/>
    <m/>
    <n v="2"/>
  </r>
  <r>
    <x v="1"/>
    <x v="10"/>
    <s v="Programas de inversión pública"/>
    <s v="2.9.4"/>
    <x v="49"/>
    <s v="En marco de la Zonificación Forestal donde se identificaron zonas de recuperación y tratamiento especial para la restauración de áreas con prioridad alta y muy alta para restauración, utilizando las diferentes metodologías de restauración propuesta por la entidad competente. Las actividades de restauración tendrán como objetivos desarrollar la agroforestería, recuperar servicios eco sistémicos y recuperar zonas productivas."/>
    <s v="NR"/>
    <x v="2"/>
    <s v="Programa de Asistencia Técnica para la recuperación de bosques"/>
    <s v="Recuperación de bosques mediante la recuperación y concervación de los suelos, el aprovechamiento de los serivicios ecosistemicos , manejo forstal, entre otros "/>
    <x v="6"/>
    <s v="COMP 5"/>
    <s v="PROTECCIÓN"/>
    <x v="16"/>
    <s v="C18"/>
    <s v="Hectáreas Restauradas"/>
    <n v="62130.95"/>
    <n v="15532.737499999999"/>
    <n v="12426.19"/>
    <n v="500"/>
    <s v="El costo incluye la restauración de una hectárea, esta actividad se desarrollara de acuerdo a la metodología propuesta por el ARA, en coordinación con los productores seleccionados."/>
    <s v="ARA"/>
    <n v="7766368.75"/>
    <n v="7847915.6218749993"/>
    <n v="6213095"/>
    <n v="6278332.4974999996"/>
    <n v="1553273.75"/>
    <n v="1569583.1243749999"/>
    <n v="1553273.75"/>
    <n v="1569583.1243749999"/>
    <n v="1553273.75"/>
    <n v="1569583.1243749999"/>
    <n v="1553273.75"/>
    <n v="1569583.1243749999"/>
    <n v="1553273.75"/>
    <n v="1569583.1243749999"/>
    <n v="0"/>
    <m/>
    <m/>
    <s v="X"/>
    <m/>
    <s v="RE"/>
    <n v="3"/>
  </r>
  <r>
    <x v="1"/>
    <x v="10"/>
    <s v="Programas de inversión pública"/>
    <s v="2.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s v="Programa de Infraestructura para la Competitividad "/>
    <s v="Generar condiciones para el desarrollo socio económico del territorio"/>
    <x v="8"/>
    <s v="COMP 9"/>
    <s v="INCLUSION"/>
    <x v="16"/>
    <s v="C18"/>
    <s v="Centros educativos y postas médicas implementados"/>
    <n v="0"/>
    <n v="5"/>
    <n v="5"/>
    <n v="3500000"/>
    <s v="El presupuesto esta relacionado a la implementación de la infraestructura, mobiliario y materiales educativos necesarios para que se brinde un servicio de calidad a los niños que aún no reciben dicho servicio de manera permanente."/>
    <s v="Colegio de ingenieros de San Martín / GRDS"/>
    <n v="17500000"/>
    <n v="17683750"/>
    <n v="17500000"/>
    <n v="17683750"/>
    <n v="3500000"/>
    <n v="3536750"/>
    <n v="3500000"/>
    <n v="3536750"/>
    <n v="3500000"/>
    <n v="3536750"/>
    <n v="3500000"/>
    <n v="3536750"/>
    <n v="3500000"/>
    <n v="3536750"/>
    <n v="0"/>
    <m/>
    <s v="X"/>
    <m/>
    <m/>
    <s v="RE"/>
    <n v="3"/>
  </r>
  <r>
    <x v="1"/>
    <x v="10"/>
    <s v="Programas de inversión pública"/>
    <s v="2.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s v="Programa de Infraestructura para la Competitividad "/>
    <s v="Generar condiciones para el desarrollo socio económico del territorio"/>
    <x v="8"/>
    <s v="COMP 9"/>
    <s v="INCLUSION"/>
    <x v="16"/>
    <s v="C18"/>
    <s v="N° campañas"/>
    <n v="0"/>
    <n v="166.25"/>
    <n v="166.25"/>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4156250"/>
    <n v="4199890.625"/>
    <n v="4156250"/>
    <n v="4199890.625"/>
    <n v="831250"/>
    <n v="839978.125"/>
    <n v="831250"/>
    <n v="839978.125"/>
    <n v="831250"/>
    <n v="839978.125"/>
    <n v="831250"/>
    <n v="839978.125"/>
    <n v="831250"/>
    <n v="839978.125"/>
    <n v="0"/>
    <m/>
    <s v="X"/>
    <m/>
    <m/>
    <s v="RE"/>
    <n v="3"/>
  </r>
  <r>
    <x v="1"/>
    <x v="10"/>
    <s v="Programas de inversión pública"/>
    <s v="2.9.7"/>
    <x v="52"/>
    <s v="Promoción al acceso de la marca con los productores que cumplan los criterios de elegibilidad solicitados por el programa, como una estrategia de ubicar mercados diferenciados para los productos provenientes de estas zo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16"/>
    <s v="C18"/>
    <s v="Organizaciones que acceden a la marca"/>
    <n v="0"/>
    <n v="10"/>
    <n v="15"/>
    <n v="3000"/>
    <s v="El costo incluye: Una inspección anual anunciada,  elaboración de informe de inspección, administración y comunicación, certificación según los estándares de la marca."/>
    <s v="GRDE"/>
    <n v="150000"/>
    <n v="151575"/>
    <n v="45000"/>
    <n v="45472.5"/>
    <n v="30000"/>
    <n v="30315"/>
    <n v="30000"/>
    <n v="30315"/>
    <n v="30000"/>
    <n v="30315"/>
    <n v="30000"/>
    <n v="30315"/>
    <n v="30000"/>
    <n v="30315"/>
    <n v="0"/>
    <m/>
    <m/>
    <s v="X"/>
    <m/>
    <m/>
    <n v="3"/>
  </r>
  <r>
    <x v="2"/>
    <x v="0"/>
    <s v="Invasiones"/>
    <s v="4.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6328.5309793106999"/>
    <n v="3164.2654896553499"/>
    <n v="3164.2654896553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328530.9793106997"/>
    <n v="6394980.5545934616"/>
    <n v="6328530.9793106997"/>
    <n v="6394980.5545934616"/>
    <n v="632853.09793107002"/>
    <n v="639498.05545934627"/>
    <n v="949279.64689660491"/>
    <n v="959247.08318901923"/>
    <n v="1265706.19586214"/>
    <n v="1278996.1109186925"/>
    <n v="1898559.2937932098"/>
    <n v="1918494.1663780385"/>
    <n v="1582132.7448276749"/>
    <n v="1598745.1386483654"/>
    <n v="0"/>
    <m/>
    <m/>
    <s v="X"/>
    <m/>
    <s v="RE"/>
    <n v="3"/>
  </r>
  <r>
    <x v="2"/>
    <x v="0"/>
    <s v="Programas de inversión pública"/>
    <s v="4.1.2"/>
    <x v="1"/>
    <s v="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1"/>
    <s v="C1"/>
    <s v="Productores asistidos"/>
    <n v="26029"/>
    <n v="15617.4"/>
    <n v="10411.6"/>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8745744"/>
    <n v="8837574.311999999"/>
    <n v="5830496"/>
    <n v="5891716.2079999996"/>
    <n v="1749148.8"/>
    <n v="1767514.8624"/>
    <n v="1749148.8"/>
    <n v="1767514.8624"/>
    <n v="1749148.8"/>
    <n v="1767514.8624"/>
    <n v="1749148.8"/>
    <n v="1767514.8624"/>
    <n v="1749148.8"/>
    <n v="1767514.8624"/>
    <n v="0"/>
    <m/>
    <m/>
    <s v="X"/>
    <m/>
    <s v="RE"/>
    <n v="3"/>
  </r>
  <r>
    <x v="2"/>
    <x v="0"/>
    <s v="Programas de inversión pública"/>
    <s v="4.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Intervenidas"/>
    <n v="71598"/>
    <n v="21479.399999999998"/>
    <n v="21479.399999999998"/>
    <n v="500"/>
    <s v="El costo incluye adquisición de semillas, insumos, fertilizantes, entre otras para la producción de plantas agroforestales o coberturas  verdes."/>
    <s v="DRASAM"/>
    <n v="10739699.999999998"/>
    <n v="10852466.849999998"/>
    <n v="10739699.999999998"/>
    <n v="10852466.849999998"/>
    <n v="2147939.9999999995"/>
    <n v="2170493.3699999996"/>
    <n v="2147939.9999999995"/>
    <n v="2170493.3699999996"/>
    <n v="2147939.9999999995"/>
    <n v="2170493.3699999996"/>
    <n v="2147939.9999999995"/>
    <n v="2170493.3699999996"/>
    <n v="2147939.9999999995"/>
    <n v="2170493.3699999996"/>
    <n v="0"/>
    <m/>
    <m/>
    <s v="X"/>
    <m/>
    <m/>
    <n v="3"/>
  </r>
  <r>
    <x v="2"/>
    <x v="0"/>
    <s v="Programas de inversión pública"/>
    <s v="4.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fertilizadas"/>
    <n v="71598"/>
    <n v="14319.6"/>
    <n v="21479.399999999998"/>
    <n v="2500"/>
    <s v="El costo incluye un análisis de suelos, paquete de fertilización según los resultados del análisis y la adquisición de fertilizantes. El costo incluye los tres abonamientos requeridos en una campaña (1 año)."/>
    <s v="Drasam"/>
    <n v="35799000"/>
    <n v="36174889.5"/>
    <n v="53698499.999999993"/>
    <n v="54262334.249999993"/>
    <n v="7159800"/>
    <n v="7234977.8999999994"/>
    <n v="7159800"/>
    <n v="7234977.8999999994"/>
    <n v="7159800"/>
    <n v="7234977.8999999994"/>
    <n v="7159800"/>
    <n v="7234977.8999999994"/>
    <n v="7159800"/>
    <n v="7234977.8999999994"/>
    <n v="0"/>
    <m/>
    <m/>
    <s v="X"/>
    <m/>
    <s v="RE"/>
    <n v="3"/>
  </r>
  <r>
    <x v="2"/>
    <x v="0"/>
    <s v="Programas de inversión privada"/>
    <s v="4.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Hectáreas con sistemas de riego"/>
    <n v="71598"/>
    <n v="3579.9"/>
    <n v="4295.88"/>
    <n v="11500"/>
    <s v="modulo instalado incluyendo fertilizantes para una campaña"/>
    <s v="DRASAM"/>
    <n v="41168850"/>
    <n v="41601122.924999997"/>
    <n v="49402620"/>
    <n v="49921347.509999998"/>
    <n v="8233770"/>
    <n v="8320224.585"/>
    <n v="8233770"/>
    <n v="8320224.585"/>
    <n v="8233770"/>
    <n v="8320224.585"/>
    <n v="8233770"/>
    <n v="8320224.585"/>
    <n v="8233770"/>
    <n v="8320224.585"/>
    <n v="0"/>
    <m/>
    <m/>
    <s v="X"/>
    <m/>
    <s v="RE"/>
    <n v="3"/>
  </r>
  <r>
    <x v="2"/>
    <x v="0"/>
    <s v="Programas de inversión privada"/>
    <s v="4.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x v="3"/>
    <s v="C12"/>
    <s v="Hectáreas reconvertidas"/>
    <n v="14319.6"/>
    <n v="1431.96"/>
    <n v="1431.96"/>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479400"/>
    <n v="21704933.699999999"/>
    <n v="21479400"/>
    <n v="21704933.699999999"/>
    <n v="4295880"/>
    <n v="4340986.74"/>
    <n v="4295880"/>
    <n v="4340986.74"/>
    <n v="4295880"/>
    <n v="4340986.74"/>
    <n v="4295880"/>
    <n v="4340986.74"/>
    <n v="4295880"/>
    <n v="4340986.74"/>
    <n v="0"/>
    <s v="X"/>
    <m/>
    <m/>
    <m/>
    <s v="RE"/>
    <n v="3"/>
  </r>
  <r>
    <x v="2"/>
    <x v="0"/>
    <s v="Programas de inversión pública"/>
    <s v="4.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Productores beneficiados"/>
    <n v="26029"/>
    <n v="2953.1000000000004"/>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094990.000000007"/>
    <n v="38494987.395000003"/>
    <n v="76189980.000000015"/>
    <n v="76989974.790000007"/>
    <n v="7618998.0000000019"/>
    <n v="7698997.4790000012"/>
    <n v="7618998.0000000019"/>
    <n v="7698997.4790000012"/>
    <n v="7618998.0000000019"/>
    <n v="7698997.4790000012"/>
    <n v="7618998.0000000019"/>
    <n v="7698997.4790000012"/>
    <n v="7618998.0000000019"/>
    <n v="7698997.4790000012"/>
    <n v="0"/>
    <m/>
    <m/>
    <s v="X"/>
    <m/>
    <s v="RE"/>
    <n v="3"/>
  </r>
  <r>
    <x v="2"/>
    <x v="0"/>
    <s v="Programas de inversión pública"/>
    <s v="4.1.8"/>
    <x v="7"/>
    <s v="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1"/>
    <s v="C1"/>
    <s v="Acuicultores asistidos"/>
    <n v="0"/>
    <n v="70"/>
    <n v="70"/>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39200"/>
    <n v="39611.599999999999"/>
    <n v="39200"/>
    <n v="39611.599999999999"/>
    <n v="7840"/>
    <n v="7922.32"/>
    <n v="7840"/>
    <n v="7922.32"/>
    <n v="7840"/>
    <n v="7922.32"/>
    <n v="7840"/>
    <n v="7922.32"/>
    <n v="7840"/>
    <n v="7922.32"/>
    <n v="0"/>
    <m/>
    <m/>
    <s v="X"/>
    <m/>
    <s v="RE"/>
    <n v="3"/>
  </r>
  <r>
    <x v="2"/>
    <x v="0"/>
    <s v="Ingresos y Capital"/>
    <s v="4.1.9"/>
    <x v="8"/>
    <s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Créditos otorgados"/>
    <n v="0"/>
    <n v="70"/>
    <n v="70"/>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903000"/>
    <n v="912481.5"/>
    <n v="903000"/>
    <n v="912481.5"/>
    <n v="180600"/>
    <n v="182496.3"/>
    <n v="180600"/>
    <n v="182496.3"/>
    <n v="180600"/>
    <n v="182496.3"/>
    <n v="180600"/>
    <n v="182496.3"/>
    <n v="180600"/>
    <n v="182496.3"/>
    <n v="0"/>
    <s v="X"/>
    <m/>
    <m/>
    <m/>
    <s v="RE"/>
    <n v="3"/>
  </r>
  <r>
    <x v="2"/>
    <x v="0"/>
    <s v="Ingresos y Capital"/>
    <s v="4.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Créditos otorgados"/>
    <n v="26029"/>
    <n v="7808.7"/>
    <n v="5205.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83943525"/>
    <n v="84824932.012500003"/>
    <n v="55962350"/>
    <n v="56549954.674999997"/>
    <n v="16788705"/>
    <n v="16964986.4025"/>
    <n v="16788705"/>
    <n v="16964986.4025"/>
    <n v="16788705"/>
    <n v="16964986.4025"/>
    <n v="16788705"/>
    <n v="16964986.4025"/>
    <n v="16788705"/>
    <n v="16964986.4025"/>
    <n v="0"/>
    <s v="X"/>
    <m/>
    <m/>
    <m/>
    <s v="RE"/>
    <n v="2"/>
  </r>
  <r>
    <x v="2"/>
    <x v="0"/>
    <s v="Programas de inversión privada"/>
    <s v="4.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6"/>
    <s v="C7"/>
    <s v="Planes de negocios/proyectos ejecutados"/>
    <n v="6"/>
    <n v="6"/>
    <n v="2"/>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800000"/>
    <n v="4850400"/>
    <n v="1600000"/>
    <n v="1616800"/>
    <n v="960000"/>
    <n v="970080"/>
    <n v="960000"/>
    <n v="970080"/>
    <n v="960000"/>
    <n v="970080"/>
    <n v="960000"/>
    <n v="970080"/>
    <n v="960000"/>
    <n v="970080"/>
    <n v="0"/>
    <s v="X"/>
    <m/>
    <m/>
    <m/>
    <s v="RE"/>
    <n v="3"/>
  </r>
  <r>
    <x v="2"/>
    <x v="0"/>
    <s v="Programas de inversión privada"/>
    <s v="4.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Empresas y organizaciones atendidas"/>
    <n v="6"/>
    <n v="4.8000000000000007"/>
    <n v="1.2000000000000002"/>
    <n v="50000"/>
    <s v="El costo incluye la contratación de especialistas para brindar Asistencia Técnica en los procesos de implementación de las certificaciones de calidad, materiales para la capacitación y pasantías."/>
    <s v="DIREPRO"/>
    <n v="240000.00000000003"/>
    <n v="242520.00000000003"/>
    <n v="60000.000000000007"/>
    <n v="60630.000000000007"/>
    <n v="48000.000000000007"/>
    <n v="48504.000000000007"/>
    <n v="48000.000000000007"/>
    <n v="48504.000000000007"/>
    <n v="48000.000000000007"/>
    <n v="48504.000000000007"/>
    <n v="48000.000000000007"/>
    <n v="48504.000000000007"/>
    <n v="48000.000000000007"/>
    <n v="48504.000000000007"/>
    <n v="0"/>
    <m/>
    <m/>
    <s v="X"/>
    <m/>
    <s v="RE"/>
    <n v="3"/>
  </r>
  <r>
    <x v="2"/>
    <x v="0"/>
    <s v="Programas de inversión pública"/>
    <s v="4.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s v="Programa de promoción de la Asociatividad Empresarial"/>
    <s v="Desarrollar en los productores y produtoras capacidades colaborativas y de confianza hacia objetivos comunes"/>
    <x v="4"/>
    <s v="COMP 2"/>
    <s v="PRODUCCIÓN"/>
    <x v="7"/>
    <s v="C2"/>
    <s v="Organizaciones auto sostenibles"/>
    <n v="0"/>
    <n v="6"/>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720000"/>
    <n v="727560"/>
    <n v="240000"/>
    <n v="242520"/>
    <n v="144000"/>
    <n v="145512"/>
    <n v="144000"/>
    <n v="145512"/>
    <n v="144000"/>
    <n v="145512"/>
    <n v="144000"/>
    <n v="145512"/>
    <n v="144000"/>
    <n v="145512"/>
    <n v="0"/>
    <m/>
    <m/>
    <s v="X"/>
    <m/>
    <m/>
    <n v="3"/>
  </r>
  <r>
    <x v="2"/>
    <x v="0"/>
    <s v="Programas de inversión privada"/>
    <s v="4.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Organizaciones certificadas"/>
    <n v="10"/>
    <n v="5"/>
    <n v="5"/>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1000000"/>
    <n v="1010500"/>
    <n v="1000000"/>
    <n v="1010500"/>
    <n v="200000"/>
    <n v="202100"/>
    <n v="200000"/>
    <n v="202100"/>
    <n v="200000"/>
    <n v="202100"/>
    <n v="200000"/>
    <n v="202100"/>
    <n v="200000"/>
    <n v="202100"/>
    <n v="0"/>
    <m/>
    <m/>
    <s v="X"/>
    <m/>
    <m/>
    <n v="3"/>
  </r>
  <r>
    <x v="2"/>
    <x v="0"/>
    <s v="Programas de inversión privada"/>
    <s v="4.1.15"/>
    <x v="60"/>
    <s v="Implementar y promover la certificación de plantaciones de 2161 pequeños productores, los cuales tienen 8,211 ha. La certificación RSPO permite facilitar el acceso a los mercados de los productos derivados de la palma aceitera. Esta intervención forma parte del fortalecimiento de la infraestrucura de la calidad en las cadenas."/>
    <s v="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Hectáreas certificadas"/>
    <n v="0"/>
    <n v="2463.2999999999997"/>
    <n v="4105.5"/>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6156082.2959999992"/>
    <n v="6220721.1601079991"/>
    <n v="10260137.16"/>
    <n v="10367868.60018"/>
    <n v="1231216.4591999999"/>
    <n v="1244144.2320215998"/>
    <n v="1231216.4591999999"/>
    <n v="1244144.2320215998"/>
    <n v="1231216.4591999999"/>
    <n v="1244144.2320215998"/>
    <n v="1231216.4591999999"/>
    <n v="1244144.2320215998"/>
    <n v="1231216.4591999999"/>
    <n v="1244144.2320215998"/>
    <n v="0"/>
    <m/>
    <m/>
    <s v="X"/>
    <m/>
    <m/>
    <n v="3"/>
  </r>
  <r>
    <x v="2"/>
    <x v="0"/>
    <s v="Programas de inversión pública"/>
    <s v="4.1.16"/>
    <x v="15"/>
    <s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Unidades semilleristas"/>
    <n v="0"/>
    <n v="3"/>
    <n v="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45000"/>
    <n v="45472.5"/>
    <n v="75000"/>
    <n v="75787.5"/>
    <n v="9000"/>
    <n v="9094.5"/>
    <n v="9000"/>
    <n v="9094.5"/>
    <n v="9000"/>
    <n v="9094.5"/>
    <n v="9000"/>
    <n v="9094.5"/>
    <n v="9000"/>
    <n v="9094.5"/>
    <n v="0"/>
    <m/>
    <m/>
    <s v="X"/>
    <m/>
    <m/>
    <n v="2"/>
  </r>
  <r>
    <x v="2"/>
    <x v="0"/>
    <s v="Control y vigilancia"/>
    <s v="4.1.17"/>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s v="X"/>
    <m/>
    <m/>
    <m/>
    <m/>
    <n v="3"/>
  </r>
  <r>
    <x v="2"/>
    <x v="2"/>
    <s v="Invasiones"/>
    <s v="4.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259.94579468684702"/>
    <n v="129.97289734342351"/>
    <n v="129.97289734342351"/>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259945.79468684702"/>
    <n v="262675.22553105891"/>
    <n v="259945.79468684702"/>
    <n v="262675.22553105891"/>
    <n v="25994.579468684704"/>
    <n v="26267.522553105893"/>
    <n v="38991.869203027054"/>
    <n v="39401.283829658838"/>
    <n v="51989.158937369408"/>
    <n v="52535.045106211786"/>
    <n v="77983.738406054108"/>
    <n v="78802.567659317676"/>
    <n v="64986.448671711754"/>
    <n v="65668.806382764727"/>
    <n v="0"/>
    <m/>
    <m/>
    <s v="X"/>
    <m/>
    <s v="RE"/>
    <n v="3"/>
  </r>
  <r>
    <x v="2"/>
    <x v="2"/>
    <s v="Programas de inversión pública"/>
    <s v="4.2.2"/>
    <x v="18"/>
    <s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1"/>
    <s v="C1"/>
    <s v="Ganaderos asistidos"/>
    <n v="1214"/>
    <n v="1214"/>
    <n v="1214"/>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679840"/>
    <n v="686978.32"/>
    <n v="679840"/>
    <n v="686978.32"/>
    <n v="135968"/>
    <n v="137395.66399999999"/>
    <n v="135968"/>
    <n v="137395.66399999999"/>
    <n v="135968"/>
    <n v="137395.66399999999"/>
    <n v="135968"/>
    <n v="137395.66399999999"/>
    <n v="135968"/>
    <n v="137395.66399999999"/>
    <n v="0"/>
    <m/>
    <m/>
    <s v="X"/>
    <m/>
    <s v="RE"/>
    <n v="3"/>
  </r>
  <r>
    <x v="2"/>
    <x v="2"/>
    <s v="Programas de inversión pública"/>
    <s v="4.2.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intervenidas"/>
    <n v="3975"/>
    <n v="795"/>
    <n v="795"/>
    <n v="500"/>
    <s v="El costo incluye adquisición de semillas, insumos, fertilizantes, entre otras para la producción de plantas agroforestales o coberturas  verdes."/>
    <s v="DRASAM"/>
    <n v="397500"/>
    <n v="401673.75"/>
    <n v="397500"/>
    <n v="401673.75"/>
    <n v="79500"/>
    <n v="80334.75"/>
    <n v="79500"/>
    <n v="80334.75"/>
    <n v="79500"/>
    <n v="80334.75"/>
    <n v="79500"/>
    <n v="80334.75"/>
    <n v="79500"/>
    <n v="80334.75"/>
    <n v="0"/>
    <m/>
    <m/>
    <s v="X"/>
    <m/>
    <s v="RE"/>
    <n v="2"/>
  </r>
  <r>
    <x v="2"/>
    <x v="2"/>
    <s v="Programas de inversión pública"/>
    <s v="4.2.4"/>
    <x v="19"/>
    <s v="Reactivación  , implementación y gestión de las postas de inseminación artificial, importación de material genético (pajillas de semen), capacitación y entrenamiento a inseminadores, transferencia de embriones."/>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Postas activas y operativas"/>
    <n v="0"/>
    <n v="3"/>
    <n v="3"/>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822000"/>
    <n v="830631"/>
    <n v="822000"/>
    <n v="830631"/>
    <n v="164400"/>
    <n v="166126.19999999998"/>
    <n v="164400"/>
    <n v="166126.19999999998"/>
    <n v="164400"/>
    <n v="166126.19999999998"/>
    <n v="164400"/>
    <n v="166126.19999999998"/>
    <n v="164400"/>
    <n v="166126.19999999998"/>
    <n v="0"/>
    <m/>
    <s v="X"/>
    <m/>
    <m/>
    <m/>
    <n v="3"/>
  </r>
  <r>
    <x v="2"/>
    <x v="2"/>
    <s v="Ingresos y Capital"/>
    <s v="4.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Créditos otorgados"/>
    <n v="1214"/>
    <n v="364.2"/>
    <n v="242.8"/>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3915150"/>
    <n v="3956259.0749999997"/>
    <n v="2610100"/>
    <n v="2637506.0499999998"/>
    <n v="783030"/>
    <n v="791251.81499999994"/>
    <n v="783030"/>
    <n v="791251.81499999994"/>
    <n v="783030"/>
    <n v="791251.81499999994"/>
    <n v="783030"/>
    <n v="791251.81499999994"/>
    <n v="783030"/>
    <n v="791251.81499999994"/>
    <n v="0"/>
    <s v="X"/>
    <m/>
    <m/>
    <m/>
    <s v="RE"/>
    <n v="3"/>
  </r>
  <r>
    <x v="2"/>
    <x v="2"/>
    <s v="Programas de inversión pública"/>
    <s v="4.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x v="7"/>
    <s v="C2"/>
    <s v="Organizaciones fortalecidas"/>
    <n v="0"/>
    <n v="4"/>
    <n v="5"/>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2400000"/>
    <n v="2425200"/>
    <n v="3000000"/>
    <n v="3031500"/>
    <n v="480000"/>
    <n v="485040"/>
    <n v="480000"/>
    <n v="485040"/>
    <n v="480000"/>
    <n v="485040"/>
    <n v="480000"/>
    <n v="485040"/>
    <n v="480000"/>
    <n v="485040"/>
    <n v="0"/>
    <m/>
    <m/>
    <s v="X"/>
    <m/>
    <m/>
    <n v="3"/>
  </r>
  <r>
    <x v="2"/>
    <x v="2"/>
    <s v="Programas de inversión privada"/>
    <s v="4.2.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Planes de negocios implementados"/>
    <n v="0"/>
    <n v="6"/>
    <n v="10"/>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4800000"/>
    <n v="4850400"/>
    <n v="8000000"/>
    <n v="8084000"/>
    <n v="960000"/>
    <n v="970080"/>
    <n v="960000"/>
    <n v="970080"/>
    <n v="960000"/>
    <n v="970080"/>
    <n v="960000"/>
    <n v="970080"/>
    <n v="960000"/>
    <n v="970080"/>
    <n v="0"/>
    <s v="X"/>
    <m/>
    <m/>
    <m/>
    <m/>
    <n v="3"/>
  </r>
  <r>
    <x v="2"/>
    <x v="2"/>
    <s v="Control y vigilancia"/>
    <s v="4.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15"/>
    <n v="1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150000"/>
    <n v="151575"/>
    <n v="150000"/>
    <n v="151575"/>
    <n v="30000"/>
    <n v="30315"/>
    <n v="30000"/>
    <n v="30315"/>
    <n v="30000"/>
    <n v="30315"/>
    <n v="30000"/>
    <n v="30315"/>
    <n v="30000"/>
    <n v="30315"/>
    <n v="0"/>
    <s v="X"/>
    <m/>
    <m/>
    <m/>
    <m/>
    <n v="2"/>
  </r>
  <r>
    <x v="2"/>
    <x v="12"/>
    <s v="Invasiones"/>
    <s v="4.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398.95671568802999"/>
    <n v="199.47835784401499"/>
    <n v="199.47835784401499"/>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398956.71568803"/>
    <n v="403145.76120275428"/>
    <n v="398956.71568803"/>
    <n v="403145.76120275428"/>
    <n v="39895.671568803002"/>
    <n v="40314.576120275429"/>
    <n v="59843.507353204499"/>
    <n v="60471.86418041314"/>
    <n v="79791.343137606003"/>
    <n v="80629.152240550859"/>
    <n v="119687.014706409"/>
    <n v="120943.72836082628"/>
    <n v="99739.178922007501"/>
    <n v="100786.44030068857"/>
    <n v="0"/>
    <m/>
    <m/>
    <s v="X"/>
    <m/>
    <m/>
    <n v="3"/>
  </r>
  <r>
    <x v="2"/>
    <x v="12"/>
    <s v="Ingresos y Capital"/>
    <s v="4.3.2"/>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Productores atendidos"/>
    <n v="2161"/>
    <n v="648.29999999999995"/>
    <n v="432.20000000000005"/>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6969224.9999999991"/>
    <n v="7042401.8624999989"/>
    <n v="4646150.0000000009"/>
    <n v="4694934.5750000011"/>
    <n v="1393845"/>
    <n v="1408480.3724999998"/>
    <n v="1393845"/>
    <n v="1408480.3724999998"/>
    <n v="1393845"/>
    <n v="1408480.3724999998"/>
    <n v="1393845"/>
    <n v="1408480.3724999998"/>
    <n v="1393845"/>
    <n v="1408480.3724999998"/>
    <n v="0"/>
    <m/>
    <m/>
    <s v="X"/>
    <m/>
    <m/>
    <n v="3"/>
  </r>
  <r>
    <x v="2"/>
    <x v="12"/>
    <s v="Programas de inversión privada"/>
    <s v="4.3.3"/>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Especialistas"/>
    <n v="0"/>
    <n v="2"/>
    <n v="2"/>
    <n v="3500"/>
    <s v="El costo incluye la contratación de profesionales que se encarguen de identificar propuestas de alianzas comerciales entre productores y empresas privadas."/>
    <s v="Drasam"/>
    <n v="420000"/>
    <n v="424410"/>
    <n v="420000"/>
    <n v="424410"/>
    <n v="84000"/>
    <n v="84882"/>
    <n v="84000"/>
    <n v="84882"/>
    <n v="84000"/>
    <n v="84882"/>
    <n v="84000"/>
    <n v="84882"/>
    <n v="84000"/>
    <n v="84882"/>
    <n v="0"/>
    <s v="X"/>
    <m/>
    <m/>
    <m/>
    <m/>
    <n v="3"/>
  </r>
  <r>
    <x v="2"/>
    <x v="12"/>
    <s v="Programas de inversión privada"/>
    <s v="4.3.4"/>
    <x v="63"/>
    <s v="Promover el financiamiento para el desarrollo e implementación de estudios de umbrales de carbono en el suelo y en los bosques."/>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445428.39999999997"/>
    <n v="0"/>
    <n v="0"/>
    <n v="220400"/>
    <n v="222714.19999999998"/>
    <n v="220400"/>
    <n v="222714.19999999998"/>
    <n v="0"/>
    <n v="0"/>
    <n v="0"/>
    <n v="0"/>
    <n v="0"/>
    <n v="0"/>
    <n v="0"/>
    <s v="X"/>
    <m/>
    <m/>
    <m/>
    <m/>
    <n v="3"/>
  </r>
  <r>
    <x v="2"/>
    <x v="3"/>
    <s v="Invasiones"/>
    <s v="4.4.1"/>
    <x v="20"/>
    <s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_x000a_Saneamiento físico legal (georreferenciación, actualización gráfica, e inscripción en registros públicos), en concordancia con la R.M. 0370-2017-MINAGRI, de 2 comunidades nativas: MUSHUCK LLACTA DE CHIPAOTA y  CHARAPILLO."/>
    <s v="NR"/>
    <x v="0"/>
    <s v="Programa de regulización, formalizacion y saneamiento de predios"/>
    <s v="Formalización de la situacion de legal de los predios, estableciendo medidas facilitadoras"/>
    <x v="0"/>
    <s v="COMP 8"/>
    <s v="PROTECCIÓN-GOBERNANZA"/>
    <x v="0"/>
    <s v="C5"/>
    <s v="Comunidades tituladas"/>
    <n v="44"/>
    <n v="44"/>
    <n v="0"/>
    <n v="71250"/>
    <s v="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
    <s v="Drasam, GIZ, CODEPISAM"/>
    <n v="3135000"/>
    <n v="3167917.5"/>
    <n v="0"/>
    <n v="0"/>
    <n v="627000"/>
    <n v="633583.5"/>
    <n v="627000"/>
    <n v="633583.5"/>
    <n v="627000"/>
    <n v="633583.5"/>
    <n v="627000"/>
    <n v="633583.5"/>
    <n v="627000"/>
    <n v="633583.5"/>
    <n v="0"/>
    <m/>
    <m/>
    <s v="X"/>
    <m/>
    <m/>
    <n v="3"/>
  </r>
  <r>
    <x v="2"/>
    <x v="3"/>
    <s v="Programas de inversión pública"/>
    <s v="4.4.2"/>
    <x v="21"/>
    <s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
    <s v="NR"/>
    <x v="2"/>
    <s v="Programa de Asistencia Técnica para la recuperación de bosques"/>
    <s v="Recuperación de bosques mediante la recuperación y concervación de los suelos, el aprovechamiento de los serivicios ecosistemicos , manejo forstal, entre otros "/>
    <x v="6"/>
    <s v="COMP 5"/>
    <s v="PROTECCIÓN"/>
    <x v="1"/>
    <s v="C1"/>
    <s v="Productor asistido"/>
    <n v="4700"/>
    <n v="4700"/>
    <n v="4700"/>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GIZ, CODEPISAM"/>
    <n v="2632000"/>
    <n v="2659636"/>
    <n v="2632000"/>
    <n v="2659636"/>
    <n v="526400"/>
    <n v="531927.19999999995"/>
    <n v="526400"/>
    <n v="531927.19999999995"/>
    <n v="526400"/>
    <n v="531927.19999999995"/>
    <n v="526400"/>
    <n v="531927.19999999995"/>
    <n v="526400"/>
    <n v="531927.19999999995"/>
    <n v="0"/>
    <m/>
    <m/>
    <s v="X"/>
    <m/>
    <s v="RE"/>
    <n v="3"/>
  </r>
  <r>
    <x v="2"/>
    <x v="3"/>
    <s v="Programas de inversión privada"/>
    <s v="4.4.3"/>
    <x v="22"/>
    <s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0"/>
    <s v="C8"/>
    <s v="Planes de negocios"/>
    <n v="0"/>
    <n v="60"/>
    <n v="40"/>
    <n v="15000"/>
    <s v="Se contratará profesionales para el asesoramiento y formulación de planes de negocios de las Comunidades Nativas."/>
    <s v="Drasam, Agroideas, CODEPISAM"/>
    <n v="900000"/>
    <n v="909450"/>
    <n v="600000"/>
    <n v="606300"/>
    <n v="180000"/>
    <n v="181890"/>
    <n v="180000"/>
    <n v="181890"/>
    <n v="180000"/>
    <n v="181890"/>
    <n v="180000"/>
    <n v="181890"/>
    <n v="180000"/>
    <n v="181890"/>
    <n v="0"/>
    <s v="X"/>
    <m/>
    <m/>
    <m/>
    <s v="RE"/>
    <n v="2"/>
  </r>
  <r>
    <x v="2"/>
    <x v="3"/>
    <s v="Programas de inversión pública"/>
    <s v="4.4.4"/>
    <x v="23"/>
    <s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
    <s v="NR"/>
    <x v="1"/>
    <s v="Programa de promoción de la Asociatividad Empresarial"/>
    <s v="Desarrollar en los productores y produtoras capacidades colaborativas y de confianza hacia objetivos comunes"/>
    <x v="4"/>
    <s v="COMP 2"/>
    <s v="PRODUCCIÓN"/>
    <x v="7"/>
    <s v="C2"/>
    <s v="Comunidades fortalecidas"/>
    <n v="47"/>
    <n v="27"/>
    <n v="20"/>
    <n v="288000"/>
    <s v="Contratación de especialistas para dar acompañamiento y seguimiento a los procesos organizativos de las CCNN de forma permanente."/>
    <s v="Drasam, Direpro, Dircetur, ARA, CODEPISAM"/>
    <n v="1440000"/>
    <n v="1455120"/>
    <n v="1440000"/>
    <n v="1455120"/>
    <n v="288000"/>
    <n v="291024"/>
    <n v="288000"/>
    <n v="291024"/>
    <n v="288000"/>
    <n v="291024"/>
    <n v="288000"/>
    <n v="291024"/>
    <n v="288000"/>
    <n v="291024"/>
    <n v="0"/>
    <m/>
    <m/>
    <s v="X"/>
    <m/>
    <s v="RE"/>
    <n v="3"/>
  </r>
  <r>
    <x v="2"/>
    <x v="3"/>
    <s v="Programas de inversión privada"/>
    <s v="4.4.5"/>
    <x v="24"/>
    <s v="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Especialistas"/>
    <n v="0"/>
    <n v="3"/>
    <n v="3"/>
    <n v="3500"/>
    <s v="Contratación de especialista para identificación, acompañamiento y seguimiento a los procesos comerciales iniciados por las organizaciones de las CCNN"/>
    <s v="Drasam, Direpro, Dircetur, ARA, OPIPs, CODEPISAM"/>
    <n v="630000"/>
    <n v="636615"/>
    <n v="630000"/>
    <n v="636615"/>
    <n v="126000"/>
    <n v="127323"/>
    <n v="126000"/>
    <n v="127323"/>
    <n v="126000"/>
    <n v="127323"/>
    <n v="126000"/>
    <n v="127323"/>
    <n v="126000"/>
    <n v="127323"/>
    <n v="0"/>
    <s v="X"/>
    <m/>
    <m/>
    <m/>
    <s v="RE"/>
    <n v="3"/>
  </r>
  <r>
    <x v="2"/>
    <x v="3"/>
    <s v="Invasiones"/>
    <s v="4.4.6"/>
    <x v="54"/>
    <s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
    <s v="NR"/>
    <x v="2"/>
    <s v="Programa de incentivos para la protección de bosques"/>
    <s v="Contribuir a la sostenilidad de los bosques brindando incentivos financieros"/>
    <x v="3"/>
    <s v="COMP 11"/>
    <s v="PROTECCIÓN"/>
    <x v="5"/>
    <s v="C6"/>
    <s v="Comunidades atendidas"/>
    <n v="47"/>
    <n v="28.2"/>
    <n v="18.8"/>
    <n v="5000"/>
    <s v="El costo esta referido a los gastos administrativos y logísticos que impliquen la elaboración del expediente para ser presentado al programa. "/>
    <s v="Gerencia Regional de Desarrollo Social, Programa Geo bosques, CODEPISAM"/>
    <n v="705000"/>
    <n v="712402.5"/>
    <n v="470000"/>
    <n v="474935"/>
    <n v="141000"/>
    <n v="142480.5"/>
    <n v="141000"/>
    <n v="142480.5"/>
    <n v="141000"/>
    <n v="142480.5"/>
    <n v="141000"/>
    <n v="142480.5"/>
    <n v="141000"/>
    <n v="142480.5"/>
    <n v="0"/>
    <m/>
    <m/>
    <s v="X"/>
    <m/>
    <m/>
    <n v="3"/>
  </r>
  <r>
    <x v="2"/>
    <x v="3"/>
    <s v="Programas de inversión pública"/>
    <s v="4.4.7"/>
    <x v="26"/>
    <s v="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
    <s v="NR"/>
    <x v="0"/>
    <s v="Programa de Infraestructura para la Competitividad "/>
    <s v="Generar condiciones para el desarrollo socio económico del territorio"/>
    <x v="8"/>
    <s v="COMP 9"/>
    <s v="INCLUSION"/>
    <x v="11"/>
    <s v="C14"/>
    <s v="Módulos implementados"/>
    <n v="4700"/>
    <n v="1410"/>
    <n v="940"/>
    <n v="30000"/>
    <s v="Implementación según las necesidades identificadas en cada comunidad, considerando si son aplicables en dichas zonas, si no hay restricciones de cualquier índole. "/>
    <s v="Goresam, MIDIS, DRTyTC, Drasam,Foncodes, Cooperación, CODEPISAM"/>
    <n v="42300000"/>
    <n v="42744150"/>
    <n v="28200000"/>
    <n v="28496100"/>
    <n v="8460000"/>
    <n v="8548830"/>
    <n v="8460000"/>
    <n v="8548830"/>
    <n v="8460000"/>
    <n v="8548830"/>
    <n v="8460000"/>
    <n v="8548830"/>
    <n v="8460000"/>
    <n v="8548830"/>
    <n v="0"/>
    <m/>
    <m/>
    <s v="X"/>
    <m/>
    <m/>
    <n v="3"/>
  </r>
  <r>
    <x v="2"/>
    <x v="3"/>
    <s v="Programas de inversión pública"/>
    <s v="4.4.8"/>
    <x v="27"/>
    <s v="Implementación de proyectos enfocados a mejorar los servicios básicos de las comunidades nativas, dichos servicios deberán contar con profesionales bilingües, para asegurar y garantizar la adecuada transferencia de dichos servicios.  "/>
    <s v="NR"/>
    <x v="0"/>
    <s v="Programa de Infraestructura para la Competitividad "/>
    <s v="Generar condiciones para el desarrollo socio económico del territorio"/>
    <x v="8"/>
    <s v="COMP 9"/>
    <s v="INCLUSION"/>
    <x v="11"/>
    <s v="C14"/>
    <s v="Escuelas y postas médicas implementadas"/>
    <n v="47"/>
    <n v="23.5"/>
    <n v="23.5"/>
    <n v="150000"/>
    <s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
    <s v="DRE, UGEL, CODEPISAM"/>
    <n v="17625000"/>
    <n v="17810062.5"/>
    <n v="17625000"/>
    <n v="17810062.5"/>
    <n v="3525000"/>
    <n v="3562012.5"/>
    <n v="3525000"/>
    <n v="3562012.5"/>
    <n v="3525000"/>
    <n v="3562012.5"/>
    <n v="3525000"/>
    <n v="3562012.5"/>
    <n v="3525000"/>
    <n v="3562012.5"/>
    <n v="0"/>
    <s v="X"/>
    <m/>
    <m/>
    <m/>
    <s v="RE"/>
    <n v="3"/>
  </r>
  <r>
    <x v="2"/>
    <x v="4"/>
    <s v="Programas de inversión privada"/>
    <s v="4.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s v="Programa de incentivos para la protección de bosques"/>
    <s v="Contribuir a la sostenilidad de los bosques brindando incentivos financieros"/>
    <x v="3"/>
    <s v="COMP 11"/>
    <s v="PROTECCIÓN"/>
    <x v="5"/>
    <s v="C6"/>
    <s v="Planes de negocios"/>
    <n v="0"/>
    <n v="4"/>
    <n v="4"/>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600000"/>
    <n v="606300"/>
    <n v="600000"/>
    <n v="606300"/>
    <n v="120000"/>
    <n v="121260"/>
    <n v="120000"/>
    <n v="121260"/>
    <n v="120000"/>
    <n v="121260"/>
    <n v="120000"/>
    <n v="121260"/>
    <n v="120000"/>
    <n v="121260"/>
    <n v="0"/>
    <s v="X"/>
    <m/>
    <m/>
    <m/>
    <s v="RE"/>
    <n v="3"/>
  </r>
  <r>
    <x v="2"/>
    <x v="4"/>
    <s v="Programas de inversión pública"/>
    <s v="4.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s v="Programa de Asistencia Técnica para la recuperación de bosques"/>
    <s v="Recuperación de bosques mediante la recuperación y concervación de los suelos, el aprovechamiento de los serivicios ecosistemicos , manejo forstal, entre otros "/>
    <x v="6"/>
    <s v="COMP 5"/>
    <s v="PROTECCIÓN"/>
    <x v="1"/>
    <s v="C1"/>
    <s v="Especialistas"/>
    <n v="0"/>
    <n v="2"/>
    <n v="2"/>
    <n v="4000"/>
    <s v="Contratación de especialista y gastos logísticos, pasantías regionales y nacionales para adquisición de know how en materia de turismo rural"/>
    <s v="Dircetur"/>
    <n v="480000"/>
    <n v="485040"/>
    <n v="480000"/>
    <n v="485040"/>
    <n v="96000"/>
    <n v="97008"/>
    <n v="96000"/>
    <n v="97008"/>
    <n v="96000"/>
    <n v="97008"/>
    <n v="96000"/>
    <n v="97008"/>
    <n v="96000"/>
    <n v="97008"/>
    <n v="0"/>
    <m/>
    <m/>
    <s v="X"/>
    <m/>
    <s v="RE"/>
    <n v="3"/>
  </r>
  <r>
    <x v="2"/>
    <x v="4"/>
    <s v="Programas de inversión privada"/>
    <s v="4.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0"/>
    <s v="C8"/>
    <s v="Planes de negocio"/>
    <n v="0"/>
    <n v="5"/>
    <n v="5"/>
    <n v="150000"/>
    <s v="El costo hace referencia al proceso de implementación y funcionamiento de los productos para el desarrollo de  los emprendimientos."/>
    <s v="Dircetur, Agroideas"/>
    <n v="750000"/>
    <n v="757875"/>
    <n v="750000"/>
    <n v="757875"/>
    <n v="150000"/>
    <n v="151575"/>
    <n v="150000"/>
    <n v="151575"/>
    <n v="150000"/>
    <n v="151575"/>
    <n v="150000"/>
    <n v="151575"/>
    <n v="150000"/>
    <n v="151575"/>
    <n v="0"/>
    <s v="X"/>
    <m/>
    <m/>
    <m/>
    <s v="RE"/>
    <n v="3"/>
  </r>
  <r>
    <x v="2"/>
    <x v="4"/>
    <s v="Programas de inversión privada"/>
    <s v="4.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rutas turísticas promocionados"/>
    <n v="0"/>
    <n v="2"/>
    <n v="2"/>
    <n v="40000"/>
    <s v="Participación en eventos de promoción (ferias regionales y nacionales, Fam Trip), el costo cubrirá gastos logísticos y administrativos de los operadores turísticos identificados "/>
    <s v="Mincetur, Dircetur"/>
    <n v="400000"/>
    <n v="404200"/>
    <n v="400000"/>
    <n v="404200"/>
    <n v="80000"/>
    <n v="80840"/>
    <n v="80000"/>
    <n v="80840"/>
    <n v="80000"/>
    <n v="80840"/>
    <n v="80000"/>
    <n v="80840"/>
    <n v="80000"/>
    <n v="80840"/>
    <n v="0"/>
    <m/>
    <m/>
    <s v="X"/>
    <m/>
    <s v="RE"/>
    <n v="3"/>
  </r>
  <r>
    <x v="2"/>
    <x v="13"/>
    <s v="Control y vigilancia"/>
    <s v="4.6.1"/>
    <x v="35"/>
    <s v="Implementar con recursos necesarios al ente que administra el área, con la finalidad de aumentar el número de personas (guardaparques) que contribuyan a realizar acciones de control y vigilancia."/>
    <s v="NR"/>
    <x v="2"/>
    <s v="Programa de regulización, formalizacion y saneamiento de predios"/>
    <s v="Formalización de la situacion de legal de los predios, estableciendo medidas facilitadoras"/>
    <x v="6"/>
    <s v="COMP 5"/>
    <s v="PROTECCIÓN-GOBERNANZA"/>
    <x v="14"/>
    <s v="C4"/>
    <s v="Número de guardaparques"/>
    <n v="0"/>
    <n v="5"/>
    <n v="5"/>
    <n v="2000"/>
    <s v="Contratación a guardaparques para garantizar el control y vigilancia del área otorgada."/>
    <s v="Ara, serfor, Sernanp"/>
    <n v="600000"/>
    <n v="606300"/>
    <n v="600000"/>
    <n v="606300"/>
    <n v="120000"/>
    <n v="121260"/>
    <n v="120000"/>
    <n v="121260"/>
    <n v="120000"/>
    <n v="121260"/>
    <n v="120000"/>
    <n v="121260"/>
    <n v="120000"/>
    <n v="121260"/>
    <n v="0"/>
    <m/>
    <s v="X"/>
    <m/>
    <m/>
    <s v="RE"/>
    <n v="3"/>
  </r>
  <r>
    <x v="2"/>
    <x v="13"/>
    <s v="Control y vigilancia"/>
    <s v="4.6.2"/>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s v="Programa de regulización, formalizacion y saneamiento de predios"/>
    <s v="Formalización de la situacion de legal de los predios, estableciendo medidas facilitadoras"/>
    <x v="6"/>
    <s v="COMP 5"/>
    <s v="PROTECCIÓN-GOBERNANZA"/>
    <x v="14"/>
    <s v="C4"/>
    <s v="Campañas de sensibilización"/>
    <n v="0"/>
    <n v="45"/>
    <n v="45"/>
    <n v="8000"/>
    <s v="Campañas de sensibilización con equipos técnicos de las instituciones involucradas, gastos logísticos, impresión de material de difusión, publicidad radial, televisiva y escrita."/>
    <s v="Ara, serfor, Sernanp"/>
    <n v="1800000"/>
    <n v="1818900"/>
    <n v="1800000"/>
    <n v="1818900"/>
    <n v="360000"/>
    <n v="363780"/>
    <n v="360000"/>
    <n v="363780"/>
    <n v="360000"/>
    <n v="363780"/>
    <n v="360000"/>
    <n v="363780"/>
    <n v="360000"/>
    <n v="363780"/>
    <n v="0"/>
    <m/>
    <s v="X"/>
    <m/>
    <m/>
    <s v="RE"/>
    <n v="3"/>
  </r>
  <r>
    <x v="2"/>
    <x v="13"/>
    <s v="Programas de inversión pública"/>
    <s v="4.6.3"/>
    <x v="64"/>
    <s v="Actualización y elaboración de planes de gestión comunal de las localidades acentuadas en las zonas de amortiguamiento con la finalidad de orientar adecuadamente la implementación y ejecución de proyectos."/>
    <s v="NR"/>
    <x v="0"/>
    <s v="Programa de Infraestructura para la Competitividad "/>
    <s v="Generar condiciones para el desarrollo socio económico del territorio"/>
    <x v="8"/>
    <s v="COMP 9"/>
    <s v="HABILITANTE"/>
    <x v="15"/>
    <s v="C10"/>
    <s v="Planes de gestión comunal"/>
    <n v="0"/>
    <n v="9"/>
    <n v="15"/>
    <n v="10000"/>
    <s v="Contratación de servicios profesionales para la elaboración de los planes de gestión comunal."/>
    <s v="Dircetur, Mincetur"/>
    <n v="90000"/>
    <n v="90945"/>
    <n v="150000"/>
    <n v="151575"/>
    <n v="18000"/>
    <n v="18189"/>
    <n v="18000"/>
    <n v="18189"/>
    <n v="18000"/>
    <n v="18189"/>
    <n v="18000"/>
    <n v="18189"/>
    <n v="18000"/>
    <n v="18189"/>
    <n v="0"/>
    <m/>
    <s v="X"/>
    <m/>
    <m/>
    <m/>
    <n v="3"/>
  </r>
  <r>
    <x v="2"/>
    <x v="13"/>
    <s v="Programas de inversión privada"/>
    <s v="4.6.4"/>
    <x v="65"/>
    <s v="Campañas de promoción y difusión en el ámbito regional y nacional de los circuitos turísticos que existen en la zona de amortiguamien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Campañas de promoción"/>
    <n v="0"/>
    <n v="12"/>
    <n v="12"/>
    <n v="4000"/>
    <s v="Campañas de promoción que incluye, impresión de material de difusión, publicidad radial, televisiva y escrita."/>
    <s v="Dircetur, Mincetur"/>
    <n v="240000"/>
    <n v="242520"/>
    <n v="240000"/>
    <n v="242520"/>
    <n v="48000"/>
    <n v="48504"/>
    <n v="48000"/>
    <n v="48504"/>
    <n v="48000"/>
    <n v="48504"/>
    <n v="48000"/>
    <n v="48504"/>
    <n v="48000"/>
    <n v="48504"/>
    <n v="0"/>
    <m/>
    <m/>
    <s v="X"/>
    <m/>
    <m/>
    <n v="3"/>
  </r>
  <r>
    <x v="2"/>
    <x v="13"/>
    <s v="Programas de inversión privada"/>
    <s v="4.6.5"/>
    <x v="66"/>
    <s v="Pasantías regionales con productores con la finalidad de conocer  los diferentes sistemas productivos sostenibles a ser replicados en las comunidades."/>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Pasantías"/>
    <n v="0"/>
    <n v="6"/>
    <n v="6"/>
    <n v="2500"/>
    <s v="El costo hace referencia a los gastos de pasajes, alimentación y otros para un grupo de 20 productores por pasantía."/>
    <s v="Drasam"/>
    <n v="75000"/>
    <n v="75787.5"/>
    <n v="75000"/>
    <n v="75787.5"/>
    <n v="15000"/>
    <n v="15157.5"/>
    <n v="15000"/>
    <n v="15157.5"/>
    <n v="15000"/>
    <n v="15157.5"/>
    <n v="15000"/>
    <n v="15157.5"/>
    <n v="15000"/>
    <n v="15157.5"/>
    <n v="0"/>
    <m/>
    <m/>
    <s v="X"/>
    <m/>
    <m/>
    <n v="2"/>
  </r>
  <r>
    <x v="2"/>
    <x v="13"/>
    <s v="Programas de inversión pública"/>
    <s v="4.6.6"/>
    <x v="67"/>
    <s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493500"/>
    <n v="47000000"/>
    <n v="47493500"/>
    <n v="9400000"/>
    <n v="9498700"/>
    <n v="9400000"/>
    <n v="9498700"/>
    <n v="9400000"/>
    <n v="9498700"/>
    <n v="9400000"/>
    <n v="9498700"/>
    <n v="9400000"/>
    <n v="9498700"/>
    <n v="0"/>
    <m/>
    <m/>
    <s v="X"/>
    <m/>
    <m/>
    <n v="3"/>
  </r>
  <r>
    <x v="2"/>
    <x v="13"/>
    <s v="Ingresos y Capital"/>
    <s v="4.6.7"/>
    <x v="28"/>
    <s v="Implementación de planes de negocios para el desarrollo de rutas turísticas, turismo vivencial comunitario, y otras modalidades de servicios que sean generadoras de ingresos económicos, respetando el medio ambiente."/>
    <s v="NR"/>
    <x v="2"/>
    <s v="Programa de incentivos para la protección de bosques"/>
    <s v="Contribuir a la sostenilidad de los bosques brindando incentivos financieros"/>
    <x v="3"/>
    <s v="COMP 11"/>
    <s v="PROTECCIÓN"/>
    <x v="5"/>
    <s v="C6"/>
    <s v="Planes de negocios"/>
    <n v="0"/>
    <n v="5"/>
    <n v="8"/>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500000"/>
    <n v="505250"/>
    <n v="800000"/>
    <n v="808400"/>
    <n v="100000"/>
    <n v="101050"/>
    <n v="100000"/>
    <n v="101050"/>
    <n v="100000"/>
    <n v="101050"/>
    <n v="100000"/>
    <n v="101050"/>
    <n v="100000"/>
    <n v="101050"/>
    <n v="0"/>
    <s v="X"/>
    <m/>
    <m/>
    <m/>
    <s v="RE"/>
    <n v="3"/>
  </r>
  <r>
    <x v="2"/>
    <x v="13"/>
    <s v="Programas de inversión pública"/>
    <s v="4.6.8"/>
    <x v="68"/>
    <s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
    <s v="NR"/>
    <x v="2"/>
    <s v="Programa de Asistencia Técnica para la recuperación de bosques"/>
    <s v="Recuperación de bosques mediante la recuperación y concervación de los suelos, el aprovechamiento de los serivicios ecosistemicos , manejo forstal, entre otros "/>
    <x v="6"/>
    <s v="COMP 5"/>
    <s v="PROTECCIÓN"/>
    <x v="1"/>
    <s v="C1"/>
    <s v="Especialistas"/>
    <n v="0"/>
    <n v="8"/>
    <n v="8"/>
    <n v="3500"/>
    <s v="El costo comprende la contratación de profesionales para brindar asistencias técnica en los cultivos priorizados en la zona de intervención."/>
    <s v="Drasam"/>
    <n v="1680000"/>
    <n v="1697640"/>
    <n v="1680000"/>
    <n v="1697640"/>
    <n v="336000"/>
    <n v="339528"/>
    <n v="336000"/>
    <n v="339528"/>
    <n v="336000"/>
    <n v="339528"/>
    <n v="336000"/>
    <n v="339528"/>
    <n v="336000"/>
    <n v="339528"/>
    <n v="0"/>
    <s v="X"/>
    <m/>
    <m/>
    <m/>
    <s v="RE"/>
    <n v="3"/>
  </r>
  <r>
    <x v="2"/>
    <x v="8"/>
    <s v="Invasiones"/>
    <s v="4.7.1"/>
    <x v="40"/>
    <s v="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
    <s v="NR"/>
    <x v="0"/>
    <s v="Programa de regulización, formalizacion y saneamiento de predios"/>
    <s v="Formalización de la situacion de legal de los predios, estableciendo medidas facilitadoras"/>
    <x v="0"/>
    <s v="COMP 8"/>
    <s v="PROTECCIÓN-GOBERNANZA"/>
    <x v="0"/>
    <s v="C5"/>
    <s v="Ha. con categoría territorial asignada"/>
    <n v="80543.826408249835"/>
    <n v="40271.913204124918"/>
    <n v="40271.913204124918"/>
    <n v="15"/>
    <s v="Para la implementación de las intervención será mecesario la contratación de especialistas para realizar las acciones que comtemplen dicha actividad. Gastos logísticos y trámites documentarios."/>
    <s v="GRSM - DEGT"/>
    <n v="604078.69806187379"/>
    <n v="610421.52439152345"/>
    <n v="604078.69806187379"/>
    <n v="610421.52439152345"/>
    <n v="120815.73961237476"/>
    <n v="122084.30487830468"/>
    <n v="120815.73961237476"/>
    <n v="122084.30487830468"/>
    <n v="120815.73961237476"/>
    <n v="122084.30487830468"/>
    <n v="120815.73961237476"/>
    <n v="122084.30487830468"/>
    <n v="120815.73961237476"/>
    <n v="122084.30487830468"/>
    <n v="0"/>
    <m/>
    <s v="X"/>
    <m/>
    <m/>
    <m/>
    <n v="3"/>
  </r>
  <r>
    <x v="2"/>
    <x v="8"/>
    <s v="Control y vigilancia"/>
    <s v="4.7.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x v="0"/>
    <s v="C5"/>
    <s v="N° de responsables de administración que aprueban evaluación de capacitación "/>
    <n v="0"/>
    <n v="40"/>
    <n v="40"/>
    <n v="150"/>
    <s v="Considera materiales de capacitación, alimentación a capacitados en el área cercana a su comunidad y gastos de capacitadores"/>
    <s v="GRSM - DEGT"/>
    <n v="6000"/>
    <n v="6063"/>
    <n v="6000"/>
    <n v="6063"/>
    <n v="6000"/>
    <n v="6063"/>
    <n v="0"/>
    <n v="0"/>
    <n v="0"/>
    <n v="0"/>
    <n v="0"/>
    <n v="0"/>
    <n v="0"/>
    <n v="0"/>
    <n v="0"/>
    <m/>
    <s v="X"/>
    <m/>
    <m/>
    <m/>
    <n v="2"/>
  </r>
  <r>
    <x v="2"/>
    <x v="8"/>
    <s v="Control y vigilancia"/>
    <s v="4.7.3"/>
    <x v="42"/>
    <s v="Dependiendo de la categoría forestal a ser aplicada, se realizará un plan/declaración acorde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x v="0"/>
    <s v="C5"/>
    <s v="N° Planes / Declaraciones elaborados"/>
    <n v="0"/>
    <n v="8"/>
    <n v="8"/>
    <n v="10000"/>
    <s v="Se considera la contratación de profesionales para la elaboración de los expedientes y/o declaraciones identificadas en los diferentes procesos."/>
    <s v="GRSM - DEGT"/>
    <n v="80000"/>
    <n v="80840"/>
    <n v="80000"/>
    <n v="80840"/>
    <n v="24000"/>
    <n v="24252"/>
    <n v="24000"/>
    <n v="24252"/>
    <n v="32000"/>
    <n v="32336"/>
    <n v="0"/>
    <n v="0"/>
    <n v="0"/>
    <n v="0"/>
    <n v="0"/>
    <m/>
    <s v="X"/>
    <m/>
    <m/>
    <m/>
    <n v="2"/>
  </r>
  <r>
    <x v="2"/>
    <x v="8"/>
    <s v="Invasiones"/>
    <s v="4.7.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x v="0"/>
    <s v="C5"/>
    <s v="Ha. Inscritas"/>
    <n v="80543.826408249835"/>
    <n v="40271.913204124918"/>
    <n v="40271.913204124918"/>
    <n v="1"/>
    <s v="Contratación de dos profesioales para agilizar procesos con sunarp."/>
    <s v="GRSM - DEGT"/>
    <n v="40271.913204124918"/>
    <n v="40694.768292768225"/>
    <n v="40271.913204124918"/>
    <n v="40694.768292768225"/>
    <n v="8054.3826408249843"/>
    <n v="8138.9536585536462"/>
    <n v="8054.3826408249843"/>
    <n v="8138.9536585536462"/>
    <n v="8054.3826408249843"/>
    <n v="8138.9536585536462"/>
    <n v="8054.3826408249843"/>
    <n v="8138.9536585536462"/>
    <n v="8054.3826408249843"/>
    <n v="8138.9536585536462"/>
    <n v="0"/>
    <m/>
    <s v="X"/>
    <m/>
    <m/>
    <m/>
    <n v="2"/>
  </r>
  <r>
    <x v="2"/>
    <x v="9"/>
    <s v="Invasiones"/>
    <s v="4.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s v="Programa de regulización, formalizacion y saneamiento de predios"/>
    <s v="Formalización de la situacion de legal de los predios, estableciendo medidas facilitadoras"/>
    <x v="0"/>
    <s v="COMP 8"/>
    <s v="PROTECCIÓN-GOBERNANZA"/>
    <x v="0"/>
    <s v="C5"/>
    <s v="Ha. con categoría territorial asignada"/>
    <n v="0"/>
    <n v="47298.808366990103"/>
    <n v="47298.808366990103"/>
    <n v="15"/>
    <s v="Para la implementación de las intervención será mecesario la contratación de especialistas para realizar las acciones que comtemplen dicha actividad. Gastos logísticos y trámites documentarios."/>
    <s v="GRSM - DEGT"/>
    <n v="709482.12550485157"/>
    <n v="716931.68782265252"/>
    <n v="709482.12550485157"/>
    <n v="716931.68782265252"/>
    <n v="141896.42510097031"/>
    <n v="143386.33756453049"/>
    <n v="141896.42510097031"/>
    <n v="143386.33756453049"/>
    <n v="141896.42510097031"/>
    <n v="143386.33756453049"/>
    <n v="141896.42510097031"/>
    <n v="143386.33756453049"/>
    <n v="141896.42510097031"/>
    <n v="143386.33756453049"/>
    <n v="0"/>
    <m/>
    <s v="X"/>
    <m/>
    <m/>
    <m/>
    <n v="3"/>
  </r>
  <r>
    <x v="2"/>
    <x v="9"/>
    <s v="Control y vigilancia"/>
    <s v="4.8.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x v="0"/>
    <s v="C5"/>
    <s v="N° de responsables de administración que aprueban evaluación de capacitación "/>
    <n v="0"/>
    <n v="90"/>
    <n v="90"/>
    <n v="150"/>
    <s v="Considera materiales de capacitación, alimentación a capacitados en el área cercana a su comunidad y gastos de capacitadores"/>
    <s v="GRSM - DEGT"/>
    <n v="13500"/>
    <n v="13641.75"/>
    <n v="13500"/>
    <n v="13641.75"/>
    <n v="13500"/>
    <n v="13641.75"/>
    <n v="0"/>
    <n v="0"/>
    <n v="0"/>
    <n v="0"/>
    <n v="0"/>
    <n v="0"/>
    <n v="0"/>
    <n v="0"/>
    <n v="0"/>
    <m/>
    <s v="X"/>
    <m/>
    <m/>
    <m/>
    <n v="2"/>
  </r>
  <r>
    <x v="2"/>
    <x v="9"/>
    <s v="Control y vigilancia"/>
    <s v="4.8.3"/>
    <x v="42"/>
    <s v="Dependiendo de la categoría forestal a ser aplicada, se realizará un plan/declaración acorde a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x v="0"/>
    <s v="C5"/>
    <s v="N° Planes / Declaraciones elaborados"/>
    <n v="0"/>
    <n v="2"/>
    <n v="2"/>
    <n v="10000"/>
    <s v="Se considera la contratación de profesionales para la elaboración de los expedientes y/o declaraciones identificadas en los diferentes procesos."/>
    <s v="GRSM - DEGT"/>
    <n v="20000"/>
    <n v="20210"/>
    <n v="20000"/>
    <n v="20210"/>
    <n v="6000"/>
    <n v="6063"/>
    <n v="6000"/>
    <n v="6063"/>
    <n v="8000"/>
    <n v="8084"/>
    <n v="0"/>
    <n v="0"/>
    <n v="0"/>
    <n v="0"/>
    <n v="0"/>
    <m/>
    <s v="X"/>
    <m/>
    <m/>
    <m/>
    <n v="2"/>
  </r>
  <r>
    <x v="2"/>
    <x v="9"/>
    <s v="Invasiones"/>
    <s v="4.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x v="0"/>
    <s v="C5"/>
    <s v="Ha. Inscritas"/>
    <n v="0"/>
    <n v="47298.808366990103"/>
    <n v="47298.808366990103"/>
    <n v="1"/>
    <s v="Contratación de dos profesioales para agilizar procesos con sunarp."/>
    <s v="GRSM - DEGT"/>
    <n v="47298.808366990103"/>
    <n v="47795.4458548435"/>
    <n v="47298.808366990103"/>
    <n v="47795.4458548435"/>
    <n v="9459.7616733980212"/>
    <n v="9559.0891709687003"/>
    <n v="9459.7616733980212"/>
    <n v="9559.0891709687003"/>
    <n v="9459.7616733980212"/>
    <n v="9559.0891709687003"/>
    <n v="9459.7616733980212"/>
    <n v="9559.0891709687003"/>
    <n v="9459.7616733980212"/>
    <n v="9559.0891709687003"/>
    <n v="0"/>
    <m/>
    <s v="X"/>
    <m/>
    <m/>
    <m/>
    <n v="2"/>
  </r>
  <r>
    <x v="2"/>
    <x v="9"/>
    <s v="Ingresos y Capital"/>
    <s v="4.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x v="0"/>
    <s v="C5"/>
    <s v="Hectáreas restauradas"/>
    <n v="0"/>
    <n v="7171.9365069078503"/>
    <n v="7171.9365069078503"/>
    <n v="500"/>
    <s v="El costo incluye la restauración de una hectárea, esta actividad se desarrollara de acuerdo a la metodología propuesta por el ARA, en coordinación con los productores seleccionados."/>
    <s v="ARA"/>
    <n v="3585968.2534539253"/>
    <n v="3623620.9201151915"/>
    <n v="3585968.2534539253"/>
    <n v="3623620.9201151915"/>
    <n v="3585968.2534539253"/>
    <n v="3623620.9201151915"/>
    <n v="0"/>
    <n v="0"/>
    <n v="0"/>
    <n v="0"/>
    <n v="0"/>
    <n v="0"/>
    <n v="0"/>
    <n v="0"/>
    <n v="0"/>
    <m/>
    <s v="X"/>
    <m/>
    <m/>
    <m/>
    <n v="3"/>
  </r>
  <r>
    <x v="2"/>
    <x v="10"/>
    <s v="Programas de inversión pública"/>
    <s v="4.9.1"/>
    <x v="46"/>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s v="Programa de regulización, formalizacion y saneamiento de predios"/>
    <s v="Formalización de la situacion de legal de los predios, estableciendo medidas facilitadoras"/>
    <x v="0"/>
    <s v="COMP 8"/>
    <s v="HABILITANTE"/>
    <x v="16"/>
    <s v="C18"/>
    <s v="Acuerdos con rondas campesinas"/>
    <n v="0"/>
    <n v="19"/>
    <n v="19"/>
    <n v="2500"/>
    <s v="Reuniones con los diferentes actores involucrados y la sociedad civil para llegar a acuerdos de no deforestación, lo cual incluye  gastos logísticos en general."/>
    <s v="GRIS"/>
    <n v="237500"/>
    <n v="239993.75"/>
    <n v="237500"/>
    <n v="239993.75"/>
    <n v="47500"/>
    <n v="47998.75"/>
    <n v="47500"/>
    <n v="47998.75"/>
    <n v="47500"/>
    <n v="47998.75"/>
    <n v="47500"/>
    <n v="47998.75"/>
    <n v="47500"/>
    <n v="47998.75"/>
    <n v="0"/>
    <s v="X"/>
    <m/>
    <m/>
    <m/>
    <m/>
    <n v="3"/>
  </r>
  <r>
    <x v="2"/>
    <x v="10"/>
    <s v="Programas de inversión pública"/>
    <s v="4.9.2"/>
    <x v="48"/>
    <s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
    <s v="NR"/>
    <x v="0"/>
    <s v="Programa de Infraestructura para la Competitividad "/>
    <s v="Generar condiciones para el desarrollo socio económico del territorio"/>
    <x v="9"/>
    <s v="COMP 10"/>
    <s v="HABILITANTE"/>
    <x v="16"/>
    <s v="C18"/>
    <s v="Kilómetros mejorados"/>
    <n v="328"/>
    <n v="32.800000000000004"/>
    <n v="32.800000000000004"/>
    <n v="800000"/>
    <s v="Costo promedio de por km2 de vía mejorada o asfaltada"/>
    <s v="DRTyTC"/>
    <n v="26240000.000000004"/>
    <n v="26515520.000000004"/>
    <n v="26240000.000000004"/>
    <n v="26515520.000000004"/>
    <n v="5248000.0000000009"/>
    <n v="5303104.0000000009"/>
    <n v="5248000.0000000009"/>
    <n v="5303104.0000000009"/>
    <n v="5248000.0000000009"/>
    <n v="5303104.0000000009"/>
    <n v="5248000.0000000009"/>
    <n v="5303104.0000000009"/>
    <n v="5248000.0000000009"/>
    <n v="5303104.0000000009"/>
    <n v="0"/>
    <s v="X"/>
    <m/>
    <m/>
    <m/>
    <m/>
    <n v="2"/>
  </r>
  <r>
    <x v="2"/>
    <x v="10"/>
    <s v="Programas de inversión pública"/>
    <s v="4.9.3"/>
    <x v="49"/>
    <s v="Ejecución de proyectos de restauración dentro de las áreas con prioridad alta. La GRDE, el ARA y los proyectos especiales a través de sus diferentes direcciones de línea, deberán implementar esta actividad a través de los PIP y actividades propias de las direcciones."/>
    <s v="NR"/>
    <x v="2"/>
    <s v="Programa de Infraestructura para la Competitividad "/>
    <s v="Generar condiciones para el desarrollo socio económico del territorio"/>
    <x v="6"/>
    <s v="COMP 5"/>
    <s v="PROTECCIÓN"/>
    <x v="16"/>
    <s v="C18"/>
    <s v="Hectáreas restauradas"/>
    <n v="3078.73"/>
    <n v="1539.365"/>
    <n v="1539.365"/>
    <n v="500"/>
    <s v="El costo incluye la restauración de una hectárea, esta actividad se desarrollara de acuerdo a la metodología propuesta por el ARA, en coordinación con los productores seleccionados."/>
    <s v="ARA"/>
    <n v="769682.5"/>
    <n v="777764.16625000001"/>
    <n v="769682.5"/>
    <n v="777764.16625000001"/>
    <n v="153936.5"/>
    <n v="155552.83325"/>
    <n v="153936.5"/>
    <n v="155552.83325"/>
    <n v="153936.5"/>
    <n v="155552.83325"/>
    <n v="153936.5"/>
    <n v="155552.83325"/>
    <n v="153936.5"/>
    <n v="155552.83325"/>
    <n v="0"/>
    <m/>
    <m/>
    <s v="X"/>
    <m/>
    <s v="RE"/>
    <n v="3"/>
  </r>
  <r>
    <x v="2"/>
    <x v="10"/>
    <s v="Programas de inversión pública"/>
    <s v="4.9.4"/>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s v="Programa de Infraestructura para la Competitividad "/>
    <s v="Generar condiciones para el desarrollo socio económico del territorio"/>
    <x v="8"/>
    <s v="COMP 9"/>
    <s v="INCLUSION"/>
    <x v="16"/>
    <s v="C18"/>
    <s v="Centros de salud y colegios implementados"/>
    <n v="0"/>
    <n v="2"/>
    <n v="2"/>
    <n v="3500000"/>
    <s v="Construcción e implementación de centros educativos y postas medicas"/>
    <s v="DRTyTC"/>
    <n v="7000000"/>
    <n v="7073500"/>
    <n v="7000000"/>
    <n v="7073500"/>
    <n v="1400000"/>
    <n v="1414700"/>
    <n v="2100000"/>
    <n v="2122050"/>
    <n v="3500000"/>
    <n v="3536750"/>
    <n v="0"/>
    <n v="0"/>
    <n v="0"/>
    <n v="0"/>
    <n v="0"/>
    <m/>
    <s v="X"/>
    <m/>
    <m/>
    <s v="RE"/>
    <n v="3"/>
  </r>
  <r>
    <x v="2"/>
    <x v="10"/>
    <s v="Programas de inversión pública"/>
    <s v="4.9.5"/>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s v="Programa de Infraestructura para la Competitividad "/>
    <s v="Generar condiciones para el desarrollo socio económico del territorio"/>
    <x v="8"/>
    <s v="COMP 9"/>
    <s v="INCLUSION"/>
    <x v="16"/>
    <s v="C18"/>
    <s v="N° campañas"/>
    <n v="0"/>
    <n v="135.52500000000001"/>
    <n v="135.52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388125"/>
    <n v="3423700.3125"/>
    <n v="3388125"/>
    <n v="3423700.3125"/>
    <n v="677625"/>
    <n v="684740.0625"/>
    <n v="677625"/>
    <n v="684740.0625"/>
    <n v="677625"/>
    <n v="684740.0625"/>
    <n v="677625"/>
    <n v="684740.0625"/>
    <n v="677625"/>
    <n v="684740.0625"/>
    <n v="0"/>
    <m/>
    <s v="X"/>
    <m/>
    <m/>
    <s v="RE"/>
    <n v="3"/>
  </r>
  <r>
    <x v="2"/>
    <x v="10"/>
    <s v="Programas de inversión pública"/>
    <s v="4.9.6"/>
    <x v="52"/>
    <s v="Promoción al acceso de la marca con los productores que cumplan los criterios de elegibilidad solicitados por el programa, como una estrategia de ubicar mercados diferenciados para los productos provenientes de estas zo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16"/>
    <s v="C18"/>
    <s v="Organizaciones que acceden a la marca"/>
    <n v="0"/>
    <n v="10"/>
    <n v="15"/>
    <n v="3000"/>
    <s v="El costo incluye: Una inspección anual anunciada,  elaboración de informe de inspección, administración y comunicación, certificación según los estándares de la marca."/>
    <s v="GRDE"/>
    <n v="150000"/>
    <n v="151575"/>
    <n v="225000"/>
    <n v="227362.5"/>
    <n v="30000"/>
    <n v="30315"/>
    <n v="30000"/>
    <n v="30315"/>
    <n v="30000"/>
    <n v="30315"/>
    <n v="30000"/>
    <n v="30315"/>
    <n v="30000"/>
    <n v="30315"/>
    <n v="0"/>
    <m/>
    <m/>
    <s v="X"/>
    <m/>
    <m/>
    <n v="3"/>
  </r>
  <r>
    <x v="3"/>
    <x v="0"/>
    <s v="Invasiones"/>
    <s v="3.1.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6973.3958940467001"/>
    <n v="3486.69794702335"/>
    <n v="3486.69794702335"/>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6973395.8940466996"/>
    <n v="7046616.5509341899"/>
    <n v="6973395.8940466996"/>
    <n v="7046616.5509341899"/>
    <n v="697339.58940467006"/>
    <n v="704661.65509341902"/>
    <n v="1046009.3841070049"/>
    <n v="1056992.4826401283"/>
    <n v="1394679.1788093401"/>
    <n v="1409323.310186838"/>
    <n v="2092018.7682140097"/>
    <n v="2113984.9652802567"/>
    <n v="1743348.9735116749"/>
    <n v="1761654.1377335475"/>
    <n v="0"/>
    <m/>
    <m/>
    <s v="X"/>
    <m/>
    <s v="RE"/>
    <n v="3"/>
  </r>
  <r>
    <x v="3"/>
    <x v="0"/>
    <s v="Programas de inversión pública"/>
    <s v="3.1.2"/>
    <x v="1"/>
    <s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1"/>
    <s v="C1"/>
    <s v="Productores asistidos"/>
    <n v="29823"/>
    <n v="17893.8"/>
    <n v="11929.2"/>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10020528"/>
    <n v="10125743.544"/>
    <n v="6680352"/>
    <n v="6750495.6959999995"/>
    <n v="2004105.6"/>
    <n v="2025148.7087999999"/>
    <n v="2004105.6"/>
    <n v="2025148.7087999999"/>
    <n v="2004105.6"/>
    <n v="2025148.7087999999"/>
    <n v="2004105.6"/>
    <n v="2025148.7087999999"/>
    <n v="2004105.6"/>
    <n v="2025148.7087999999"/>
    <n v="0"/>
    <m/>
    <m/>
    <s v="X"/>
    <m/>
    <s v="RE"/>
    <n v="3"/>
  </r>
  <r>
    <x v="3"/>
    <x v="0"/>
    <s v="Programas de inversión pública"/>
    <s v="3.1.3"/>
    <x v="2"/>
    <s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intervenidas"/>
    <n v="70028"/>
    <n v="21008.399999999998"/>
    <n v="21008.399999999998"/>
    <n v="500"/>
    <s v="El costo incluye adquisición de semillas, insumos, fertilizantes, entre otras para la producción de plantas agroforestales o coberturas  verdes."/>
    <s v="DRASAM"/>
    <n v="10504199.999999998"/>
    <n v="10614494.099999998"/>
    <n v="10504199.999999998"/>
    <n v="10614494.099999998"/>
    <n v="2100839.9999999995"/>
    <n v="2122898.8199999994"/>
    <n v="2100839.9999999995"/>
    <n v="2122898.8199999994"/>
    <n v="2100839.9999999995"/>
    <n v="2122898.8199999994"/>
    <n v="2100839.9999999995"/>
    <n v="2122898.8199999994"/>
    <n v="2100839.9999999995"/>
    <n v="2122898.8199999994"/>
    <n v="0"/>
    <m/>
    <m/>
    <s v="X"/>
    <m/>
    <m/>
    <n v="3"/>
  </r>
  <r>
    <x v="3"/>
    <x v="0"/>
    <s v="Programas de inversión pública"/>
    <s v="3.1.4"/>
    <x v="3"/>
    <s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fertilizadas"/>
    <n v="70028"/>
    <n v="14005.6"/>
    <n v="21008.399999999998"/>
    <n v="2500"/>
    <s v="El costo incluye un análisis de suelos, paquete de fertilización según los resultados del análisis y la adquisición de fertilizantes. El costo incluye los tres abonamientos requeridos en una campaña (1 año)."/>
    <s v="Drasam"/>
    <n v="35014000"/>
    <n v="35381647"/>
    <n v="52520999.999999993"/>
    <n v="53072470.499999993"/>
    <n v="7002800"/>
    <n v="7076329.3999999994"/>
    <n v="7002800"/>
    <n v="7076329.3999999994"/>
    <n v="7002800"/>
    <n v="7076329.3999999994"/>
    <n v="7002800"/>
    <n v="7076329.3999999994"/>
    <n v="7002800"/>
    <n v="7076329.3999999994"/>
    <n v="0"/>
    <m/>
    <m/>
    <s v="X"/>
    <m/>
    <s v="RE"/>
    <n v="3"/>
  </r>
  <r>
    <x v="3"/>
    <x v="0"/>
    <s v="Programas de inversión privada"/>
    <s v="3.1.5"/>
    <x v="4"/>
    <s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Hectáreas con sistemas de riego"/>
    <n v="70028"/>
    <n v="3501.4"/>
    <n v="4201.68"/>
    <n v="11500"/>
    <s v="El costo incluye la instalación de un sistema completo y un paquete de fertilización para la primera campaña. El costo va depender del tipo de cultivo, tipo de sistema y el tipo de materiales a usar en los sistemas de fertirriego."/>
    <s v="DRASAM"/>
    <n v="40266100"/>
    <n v="40688894.049999997"/>
    <n v="48319320"/>
    <n v="48826672.859999999"/>
    <n v="8053220"/>
    <n v="8137778.8099999996"/>
    <n v="8053220"/>
    <n v="8137778.8099999996"/>
    <n v="8053220"/>
    <n v="8137778.8099999996"/>
    <n v="8053220"/>
    <n v="8137778.8099999996"/>
    <n v="8053220"/>
    <n v="8137778.8099999996"/>
    <n v="0"/>
    <m/>
    <m/>
    <s v="X"/>
    <m/>
    <s v="RE"/>
    <n v="3"/>
  </r>
  <r>
    <x v="3"/>
    <x v="0"/>
    <s v="Programas de inversión privada"/>
    <s v="3.1.6"/>
    <x v="5"/>
    <s v="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x v="3"/>
    <s v="C12"/>
    <s v="Hectáreas reconvertidas"/>
    <n v="14005.6"/>
    <n v="1400.5600000000002"/>
    <n v="1400.5600000000002"/>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
    <s v="Drasam, Agroideas"/>
    <n v="21008400.000000004"/>
    <n v="21228988.200000003"/>
    <n v="21008400.000000004"/>
    <n v="21228988.200000003"/>
    <n v="4201680.0000000009"/>
    <n v="4245797.6400000006"/>
    <n v="4201680.0000000009"/>
    <n v="4245797.6400000006"/>
    <n v="4201680.0000000009"/>
    <n v="4245797.6400000006"/>
    <n v="4201680.0000000009"/>
    <n v="4245797.6400000006"/>
    <n v="4201680.0000000009"/>
    <n v="4245797.6400000006"/>
    <n v="0"/>
    <s v="X"/>
    <m/>
    <m/>
    <m/>
    <s v="RE"/>
    <n v="2"/>
  </r>
  <r>
    <x v="3"/>
    <x v="0"/>
    <s v="Programas de inversión pública"/>
    <s v="3.1.7"/>
    <x v="6"/>
    <s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
    <s v="F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Productores beneficiados"/>
    <n v="29823"/>
    <n v="2982.3"/>
    <n v="5906.2000000000007"/>
    <n v="12900"/>
    <s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
    <s v="Goresam"/>
    <n v="38471670"/>
    <n v="38875622.534999996"/>
    <n v="76189980.000000015"/>
    <n v="76989974.790000007"/>
    <n v="7694334"/>
    <n v="7775124.5069999993"/>
    <n v="7694334"/>
    <n v="7775124.5069999993"/>
    <n v="7694334"/>
    <n v="7775124.5069999993"/>
    <n v="7694334"/>
    <n v="7775124.5069999993"/>
    <n v="7694334"/>
    <n v="7775124.5069999993"/>
    <n v="0"/>
    <m/>
    <m/>
    <s v="X"/>
    <m/>
    <s v="RE"/>
    <n v="2"/>
  </r>
  <r>
    <x v="3"/>
    <x v="0"/>
    <s v="Programas de inversión pública"/>
    <s v="3.1.8"/>
    <x v="7"/>
    <s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1"/>
    <s v="C1"/>
    <s v="Acuicultores asistidos"/>
    <n v="431"/>
    <n v="431"/>
    <n v="431"/>
    <n v="560"/>
    <s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
    <s v="Direpro"/>
    <n v="241360"/>
    <n v="243894.28"/>
    <n v="241360"/>
    <n v="243894.28"/>
    <n v="48272"/>
    <n v="48778.856"/>
    <n v="48272"/>
    <n v="48778.856"/>
    <n v="48272"/>
    <n v="48778.856"/>
    <n v="48272"/>
    <n v="48778.856"/>
    <n v="48272"/>
    <n v="48778.856"/>
    <n v="0"/>
    <m/>
    <m/>
    <s v="X"/>
    <m/>
    <s v="RE"/>
    <n v="2"/>
  </r>
  <r>
    <x v="3"/>
    <x v="0"/>
    <s v="Ingresos y Capital"/>
    <s v="3.1.9"/>
    <x v="8"/>
    <s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Créditos otorgados"/>
    <n v="0"/>
    <n v="431"/>
    <n v="431"/>
    <n v="12900"/>
    <s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_x000a_"/>
    <s v="Direpro, OPIPs"/>
    <n v="5559900"/>
    <n v="5618278.9500000002"/>
    <n v="5559900"/>
    <n v="5618278.9500000002"/>
    <n v="1111980"/>
    <n v="1123655.79"/>
    <n v="1111980"/>
    <n v="1123655.79"/>
    <n v="1111980"/>
    <n v="1123655.79"/>
    <n v="1111980"/>
    <n v="1123655.79"/>
    <n v="1111980"/>
    <n v="1123655.79"/>
    <n v="0"/>
    <s v="X"/>
    <m/>
    <m/>
    <m/>
    <s v="RE"/>
    <n v="2"/>
  </r>
  <r>
    <x v="3"/>
    <x v="0"/>
    <s v="Ingresos y Capital"/>
    <s v="3.1.10"/>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Créditos otorgados"/>
    <n v="29823"/>
    <n v="8946.9"/>
    <n v="5964.6"/>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96179175"/>
    <n v="97189056.337499991"/>
    <n v="64119450.000000007"/>
    <n v="64792704.225000001"/>
    <n v="19235835"/>
    <n v="19437811.267499998"/>
    <n v="19235835"/>
    <n v="19437811.267499998"/>
    <n v="19235835"/>
    <n v="19437811.267499998"/>
    <n v="19235835"/>
    <n v="19437811.267499998"/>
    <n v="19235835"/>
    <n v="19437811.267499998"/>
    <n v="0"/>
    <s v="X"/>
    <m/>
    <m/>
    <m/>
    <s v="RE"/>
    <n v="2"/>
  </r>
  <r>
    <x v="3"/>
    <x v="0"/>
    <s v="Programas de inversión privada"/>
    <s v="3.1.11"/>
    <x v="10"/>
    <s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6"/>
    <s v="C7"/>
    <s v="Planes de negocios/proyectos ejecutados"/>
    <n v="0"/>
    <n v="5.6000000000000005"/>
    <n v="8.4"/>
    <n v="800000"/>
    <s v="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
    <s v="AGROIDEAS, PNIA, INNOVATE PERÚ"/>
    <n v="4480000"/>
    <n v="4527040"/>
    <n v="6720000"/>
    <n v="6790560"/>
    <n v="896000"/>
    <n v="905408"/>
    <n v="896000"/>
    <n v="905408"/>
    <n v="896000"/>
    <n v="905408"/>
    <n v="896000"/>
    <n v="905408"/>
    <n v="896000"/>
    <n v="905408"/>
    <n v="0"/>
    <m/>
    <s v="X"/>
    <m/>
    <m/>
    <s v="RE"/>
    <n v="3"/>
  </r>
  <r>
    <x v="3"/>
    <x v="0"/>
    <s v="Programas de inversión privada"/>
    <s v="3.1.12"/>
    <x v="11"/>
    <s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Empresas y organizaciones atendidas"/>
    <n v="20"/>
    <n v="10"/>
    <n v="10"/>
    <n v="50000"/>
    <s v="El costo incluye la contratación de especialistas para brindar Asistencia Técnica en los procesos de implementación de las certificaciones de calidad, materiales para la capacitación y pasantías."/>
    <s v="DIREPRO"/>
    <n v="500000"/>
    <n v="505250"/>
    <n v="500000"/>
    <n v="505250"/>
    <n v="100000"/>
    <n v="101050"/>
    <n v="100000"/>
    <n v="101050"/>
    <n v="100000"/>
    <n v="101050"/>
    <n v="100000"/>
    <n v="101050"/>
    <n v="100000"/>
    <n v="101050"/>
    <n v="0"/>
    <s v="X"/>
    <m/>
    <m/>
    <m/>
    <s v="RE"/>
    <n v="2"/>
  </r>
  <r>
    <x v="3"/>
    <x v="0"/>
    <s v="Programas de inversión pública"/>
    <s v="3.1.13"/>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
    <s v="NR"/>
    <x v="1"/>
    <s v="Programa de promoción de la Asociatividad Empresarial"/>
    <s v="Desarrollar en los productores y produtoras capacidades colaborativas y de confianza hacia objetivos comunes"/>
    <x v="4"/>
    <s v="COMP 2"/>
    <s v="PRODUCCIÓN"/>
    <x v="7"/>
    <s v="C2"/>
    <s v="Organizaciones auto sostenibles"/>
    <n v="28"/>
    <n v="10"/>
    <n v="8.4"/>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Dircetur, Direpro"/>
    <n v="1200000"/>
    <n v="1212600"/>
    <n v="1008000"/>
    <n v="1018584"/>
    <n v="240000"/>
    <n v="242520"/>
    <n v="240000"/>
    <n v="242520"/>
    <n v="240000"/>
    <n v="242520"/>
    <n v="240000"/>
    <n v="242520"/>
    <n v="240000"/>
    <n v="242520"/>
    <n v="0"/>
    <m/>
    <m/>
    <s v="X"/>
    <m/>
    <m/>
    <n v="3"/>
  </r>
  <r>
    <x v="3"/>
    <x v="0"/>
    <s v="Programas de inversión privada"/>
    <s v="3.1.14"/>
    <x v="13"/>
    <s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Organizaciones certificadas"/>
    <n v="28"/>
    <n v="14"/>
    <n v="14"/>
    <n v="40000"/>
    <s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
    <s v="Certificadora CERES"/>
    <n v="2800000"/>
    <n v="2829400"/>
    <n v="2800000"/>
    <n v="2829400"/>
    <n v="560000"/>
    <n v="565880"/>
    <n v="560000"/>
    <n v="565880"/>
    <n v="560000"/>
    <n v="565880"/>
    <n v="560000"/>
    <n v="565880"/>
    <n v="560000"/>
    <n v="565880"/>
    <n v="0"/>
    <m/>
    <m/>
    <s v="X"/>
    <m/>
    <m/>
    <n v="3"/>
  </r>
  <r>
    <x v="3"/>
    <x v="0"/>
    <s v="Control y vigilancia"/>
    <s v="3.1.15"/>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m/>
    <m/>
    <s v="X"/>
    <m/>
    <m/>
    <n v="2"/>
  </r>
  <r>
    <x v="3"/>
    <x v="0"/>
    <s v="Programas de inversión privada"/>
    <s v="3.1.16"/>
    <x v="60"/>
    <s v="Implementar y promover la certificación de plantaciones de 8,086 pequeños productores, los cuales tienen 30,728.3 ha. La certificación RSPO permite facilitar el acceso a los mercados de los productos derivados de la palma aceitera."/>
    <s v="R"/>
    <x v="1"/>
    <s v="Programa de Asistencia Técnicas para incrementar la capacidad productiva de las principaes cadenas"/>
    <s v="Asistencia Técnica y Capacitación para incorporar tecnologias que eleven la productividad y calidad de los productos y procesos"/>
    <x v="5"/>
    <s v="COMP 3"/>
    <s v="PRODUCCIÓN"/>
    <x v="8"/>
    <s v="C9"/>
    <s v="Hectáreas certificadas"/>
    <n v="0"/>
    <n v="9218.4"/>
    <n v="21509.599999999999"/>
    <n v="2499.12"/>
    <s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_x000a_* no incl. Costos de infraestructura, HVC/HCS, costos de insumos y servicios de jornal, remediación y compensación entre otros"/>
    <s v="Expertos RSPO &amp; RSPO"/>
    <n v="23037887.807999998"/>
    <n v="23279785.629983999"/>
    <n v="53755071.551999994"/>
    <n v="54319499.803295992"/>
    <n v="4607577.5615999997"/>
    <n v="4655957.1259967992"/>
    <n v="4607577.5615999997"/>
    <n v="4655957.1259967992"/>
    <n v="4607577.5615999997"/>
    <n v="4655957.1259967992"/>
    <n v="4607577.5615999997"/>
    <n v="4655957.1259967992"/>
    <n v="4607577.5615999997"/>
    <n v="4655957.1259967992"/>
    <n v="0"/>
    <m/>
    <m/>
    <s v="X"/>
    <m/>
    <s v="RE"/>
    <n v="2"/>
  </r>
  <r>
    <x v="3"/>
    <x v="1"/>
    <s v="Invasiones"/>
    <s v="3.2.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95.985498947623199"/>
    <n v="47.9927494738116"/>
    <n v="47.9927494738116"/>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95985.4989476232"/>
    <n v="96993.346686573233"/>
    <n v="95985.4989476232"/>
    <n v="96993.346686573233"/>
    <n v="9598.54989476232"/>
    <n v="9699.3346686573241"/>
    <n v="14397.82484214348"/>
    <n v="14549.002002985986"/>
    <n v="19197.09978952464"/>
    <n v="19398.669337314648"/>
    <n v="28795.64968428696"/>
    <n v="29098.004005971972"/>
    <n v="23996.3747369058"/>
    <n v="24248.336671643308"/>
    <n v="0"/>
    <m/>
    <n v="0"/>
    <m/>
    <m/>
    <s v="RE"/>
    <n v="3"/>
  </r>
  <r>
    <x v="3"/>
    <x v="1"/>
    <s v="Programas de inversión pública"/>
    <s v="3.2.2"/>
    <x v="15"/>
    <s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Unidades semilleristas"/>
    <n v="5"/>
    <n v="2.5"/>
    <n v="1.5"/>
    <n v="15000"/>
    <s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
    <s v="DRASAM"/>
    <n v="37500"/>
    <n v="37893.75"/>
    <n v="22500"/>
    <n v="22736.25"/>
    <n v="7500"/>
    <n v="7578.75"/>
    <n v="7500"/>
    <n v="7578.75"/>
    <n v="7500"/>
    <n v="7578.75"/>
    <n v="7500"/>
    <n v="7578.75"/>
    <n v="7500"/>
    <n v="7578.75"/>
    <n v="0"/>
    <m/>
    <s v="X"/>
    <m/>
    <m/>
    <s v="RE"/>
    <n v="3"/>
  </r>
  <r>
    <x v="3"/>
    <x v="1"/>
    <s v="Programas de inversión pública"/>
    <s v="3.2.3"/>
    <x v="16"/>
    <s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4"/>
    <s v="C3"/>
    <s v="Productores asistidos"/>
    <n v="985"/>
    <n v="492.5"/>
    <n v="295.5"/>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
    <s v="DRASAM"/>
    <n v="275800"/>
    <n v="278695.89999999997"/>
    <n v="165480"/>
    <n v="167217.53999999998"/>
    <n v="55160"/>
    <n v="55739.18"/>
    <n v="55160"/>
    <n v="55739.18"/>
    <n v="55160"/>
    <n v="55739.18"/>
    <n v="55160"/>
    <n v="55739.18"/>
    <n v="55160"/>
    <n v="55739.18"/>
    <n v="0"/>
    <m/>
    <m/>
    <s v="X"/>
    <m/>
    <s v="RE"/>
    <n v="2"/>
  </r>
  <r>
    <x v="3"/>
    <x v="1"/>
    <s v="Programas de inversión privada"/>
    <s v="3.2.4"/>
    <x v="5"/>
    <s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
    <s v="R - COF"/>
    <x v="1"/>
    <s v="Programa de Asistencia Técnicas para incrementar la capacidad productiva de las principaes cadenas"/>
    <s v="Asistencia Técnica y Capacitación para incorporar tecnologias que eleven la productividad y calidad de los productos y procesos"/>
    <x v="2"/>
    <s v="COMP 4 "/>
    <s v="PRODUCCIÓN"/>
    <x v="3"/>
    <s v="C12"/>
    <s v="Hectáreas reconvertidas"/>
    <n v="1001.4000000000001"/>
    <n v="100.14000000000001"/>
    <n v="200.28000000000003"/>
    <n v="15000"/>
    <s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
    <s v="AGROIDEAS"/>
    <n v="1502100.0000000002"/>
    <n v="1517872.0500000003"/>
    <n v="3004200.0000000005"/>
    <n v="3035744.1000000006"/>
    <n v="300420.00000000006"/>
    <n v="303574.41000000003"/>
    <n v="300420.00000000006"/>
    <n v="303574.41000000003"/>
    <n v="300420.00000000006"/>
    <n v="303574.41000000003"/>
    <n v="300420.00000000006"/>
    <n v="303574.41000000003"/>
    <n v="300420.00000000006"/>
    <n v="303574.41000000003"/>
    <n v="0"/>
    <m/>
    <m/>
    <s v="X"/>
    <m/>
    <s v="RE"/>
    <n v="3"/>
  </r>
  <r>
    <x v="3"/>
    <x v="1"/>
    <s v="Ingresos y Capital"/>
    <s v="3.2.5"/>
    <x v="9"/>
    <s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Productores atendidos"/>
    <n v="985"/>
    <n v="295.5"/>
    <n v="197"/>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3176625"/>
    <n v="3209979.5625"/>
    <n v="2117750"/>
    <n v="2139986.375"/>
    <n v="635325"/>
    <n v="641995.91249999998"/>
    <n v="635325"/>
    <n v="641995.91249999998"/>
    <n v="635325"/>
    <n v="641995.91249999998"/>
    <n v="635325"/>
    <n v="641995.91249999998"/>
    <n v="635325"/>
    <n v="641995.91249999998"/>
    <n v="0"/>
    <s v="X"/>
    <m/>
    <m/>
    <m/>
    <m/>
    <n v="3"/>
  </r>
  <r>
    <x v="3"/>
    <x v="1"/>
    <s v="Programas de inversión pública"/>
    <s v="3.2.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x v="7"/>
    <s v="C2"/>
    <s v="Organizaciones formalizadas"/>
    <n v="0"/>
    <n v="2"/>
    <n v="2"/>
    <n v="120000"/>
    <s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
    <s v="DRASAM"/>
    <n v="1200000"/>
    <n v="1212600"/>
    <n v="1200000"/>
    <n v="1212600"/>
    <n v="240000"/>
    <n v="242520"/>
    <n v="240000"/>
    <n v="242520"/>
    <n v="240000"/>
    <n v="242520"/>
    <n v="240000"/>
    <n v="242520"/>
    <n v="240000"/>
    <n v="242520"/>
    <n v="0"/>
    <m/>
    <m/>
    <s v="X"/>
    <m/>
    <m/>
    <n v="3"/>
  </r>
  <r>
    <x v="3"/>
    <x v="1"/>
    <s v="Programas de inversión privada"/>
    <s v="3.2.7"/>
    <x v="17"/>
    <s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
    <s v="NR"/>
    <x v="1"/>
    <s v="Programa de Asistencia Técnicas para incrementar la capacidad productiva de las principaes cadenas"/>
    <s v="Asistencia Técnica y Capacitación para incorporar tecnologias que eleven la productividad y calidad de los productos y procesos"/>
    <x v="2"/>
    <s v="COMP 4 "/>
    <s v="PRODUCCIÓN"/>
    <x v="6"/>
    <s v="C7"/>
    <s v="Planes de negocios ejecutados"/>
    <n v="0"/>
    <n v="2"/>
    <n v="2"/>
    <n v="15000"/>
    <s v="Para el logro de los objetivos, se considera el pago de profesionales para la formulación de los planes de negocios que beneficiarían directamente a los pequeños productores."/>
    <s v="DRASAM"/>
    <n v="150000"/>
    <n v="151575"/>
    <n v="150000"/>
    <n v="151575"/>
    <n v="75000"/>
    <n v="75787.5"/>
    <n v="0"/>
    <n v="0"/>
    <n v="75000"/>
    <n v="75787.5"/>
    <n v="0"/>
    <n v="0"/>
    <n v="0"/>
    <n v="0"/>
    <n v="0"/>
    <s v="X"/>
    <m/>
    <m/>
    <m/>
    <m/>
    <n v="3"/>
  </r>
  <r>
    <x v="3"/>
    <x v="1"/>
    <s v="Control y vigilancia"/>
    <s v="3.2.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s v="X"/>
    <m/>
    <m/>
    <m/>
    <m/>
    <n v="3"/>
  </r>
  <r>
    <x v="3"/>
    <x v="2"/>
    <s v="Invasiones"/>
    <s v="3.3.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NR"/>
    <x v="0"/>
    <s v="Programa de regulización, formalizacion y saneamiento de predios"/>
    <s v="Formalización de la situacion de legal de los predios, estableciendo medidas facilitadoras"/>
    <x v="0"/>
    <s v="COMP 8"/>
    <s v="PROTECCIÓN-GOBERNANZA"/>
    <x v="0"/>
    <s v="C5"/>
    <s v="N° Títulos/Contratos otorgados"/>
    <n v="463.30581406844504"/>
    <n v="231.65290703422252"/>
    <n v="231.65290703422252"/>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463305.81406844506"/>
    <n v="468170.52511616371"/>
    <n v="463305.81406844506"/>
    <n v="468170.52511616371"/>
    <n v="46330.581406844511"/>
    <n v="46817.052511616377"/>
    <n v="69495.872110266762"/>
    <n v="70225.578767424566"/>
    <n v="92661.162813689021"/>
    <n v="93634.105023232754"/>
    <n v="138991.74422053352"/>
    <n v="140451.15753484913"/>
    <n v="115826.45351711127"/>
    <n v="117042.63127904093"/>
    <n v="0"/>
    <m/>
    <m/>
    <s v="X"/>
    <m/>
    <s v="RE"/>
    <n v="3"/>
  </r>
  <r>
    <x v="3"/>
    <x v="2"/>
    <s v="Programas de inversión pública"/>
    <s v="3.3.2"/>
    <x v="18"/>
    <s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
    <s v="NR"/>
    <x v="1"/>
    <s v="Programa de Asistencia Técnicas para incrementar la capacidad productiva de las principaes cadenas"/>
    <s v="Asistencia Técnica y Capacitación para incorporar tecnologias que eleven la productividad y calidad de los productos y procesos"/>
    <x v="1"/>
    <s v="COMP 1"/>
    <s v="PRODUCCIÓN"/>
    <x v="1"/>
    <s v="C1"/>
    <s v="Ganaderos asistidos"/>
    <n v="587"/>
    <n v="587"/>
    <n v="587"/>
    <n v="560"/>
    <s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s v="DRASAM"/>
    <n v="328720"/>
    <n v="332171.56"/>
    <n v="328720"/>
    <n v="332171.56"/>
    <n v="65744"/>
    <n v="66434.311999999991"/>
    <n v="65744"/>
    <n v="66434.311999999991"/>
    <n v="65744"/>
    <n v="66434.311999999991"/>
    <n v="65744"/>
    <n v="66434.311999999991"/>
    <n v="65744"/>
    <n v="66434.311999999991"/>
    <n v="0"/>
    <m/>
    <m/>
    <s v="X"/>
    <m/>
    <s v="RE"/>
    <n v="3"/>
  </r>
  <r>
    <x v="3"/>
    <x v="2"/>
    <s v="Programas de inversión pública"/>
    <s v="3.3.3"/>
    <x v="2"/>
    <s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
    <s v="R"/>
    <x v="1"/>
    <s v="Programa de Asistencia Técnicas para incrementar la capacidad productiva de las principaes cadenas"/>
    <s v="Asistencia Técnica y Capacitación para incorporar tecnologias que eleven la productividad y calidad de los productos y procesos"/>
    <x v="1"/>
    <s v="COMP 1"/>
    <s v="PRODUCCIÓN"/>
    <x v="2"/>
    <s v="C17"/>
    <s v="Hectáreas intervenidas"/>
    <n v="11251"/>
    <n v="2250.2000000000003"/>
    <n v="2250.2000000000003"/>
    <n v="500"/>
    <s v="El costo incluye adquisición de semillas, insumos, fertilizantes, entre otras para la producción de plantas agroforestales o coberturas  verdes."/>
    <s v="DRASAM"/>
    <n v="1125100.0000000002"/>
    <n v="1136913.5500000003"/>
    <n v="1125100.0000000002"/>
    <n v="1136913.5500000003"/>
    <n v="225020.00000000006"/>
    <n v="227382.71000000005"/>
    <n v="225020.00000000006"/>
    <n v="227382.71000000005"/>
    <n v="225020.00000000006"/>
    <n v="227382.71000000005"/>
    <n v="225020.00000000006"/>
    <n v="227382.71000000005"/>
    <n v="225020.00000000006"/>
    <n v="227382.71000000005"/>
    <n v="0"/>
    <m/>
    <m/>
    <s v="X"/>
    <m/>
    <s v="RE"/>
    <n v="2"/>
  </r>
  <r>
    <x v="3"/>
    <x v="2"/>
    <s v="Programas de inversión pública"/>
    <s v="3.3.4"/>
    <x v="19"/>
    <s v="Reactivación  , implementación y gestión de las postas de inseminación artificial, importación de material genético (pajillas de semen), capacitación y entrenamiento a inseminadores, transferencia de embriones."/>
    <s v="R"/>
    <x v="1"/>
    <s v="Programa de Asistencia Técnicas para incrementar la capacidad productiva de las principaes cadenas"/>
    <s v="Asistencia Técnica y Capacitación para incorporar tecnologias que eleven la productividad y calidad de los productos y procesos"/>
    <x v="2"/>
    <s v="COMP 4 "/>
    <s v="PRODUCCIÓN"/>
    <x v="2"/>
    <s v="C17"/>
    <s v="Postas Reactivadas"/>
    <n v="0"/>
    <n v="2"/>
    <n v="2"/>
    <n v="54800"/>
    <s v=" Costo por posta reactivada y/o instalada, cada una estará ubicada en un punto estratégico para coberturar la mayor cantidad de ganaderos. Considerando la implementación con tanques criogénicos, materiales diversos, pajillas, técnico especialista, movilidad entre otros. "/>
    <s v="Direpro"/>
    <n v="548000"/>
    <n v="553754"/>
    <n v="548000"/>
    <n v="553754"/>
    <n v="109600"/>
    <n v="110750.79999999999"/>
    <n v="109600"/>
    <n v="110750.79999999999"/>
    <n v="109600"/>
    <n v="110750.79999999999"/>
    <n v="109600"/>
    <n v="110750.79999999999"/>
    <n v="109600"/>
    <n v="110750.79999999999"/>
    <n v="0"/>
    <m/>
    <s v="X"/>
    <m/>
    <m/>
    <m/>
    <n v="2"/>
  </r>
  <r>
    <x v="3"/>
    <x v="2"/>
    <s v="Ingresos y Capital"/>
    <s v="3.3.5"/>
    <x v="9"/>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
    <s v="R"/>
    <x v="1"/>
    <s v="Programa de acceso al crédito"/>
    <s v="Acceso al crédito, organizanco a la oferta de productores, capacitándolos y asesorando  educación financiera, desarrollo de productos finacnieros adecuados y asesoria para la  acceso al crédito"/>
    <x v="3"/>
    <s v="COMP 11"/>
    <s v="PRODUCCIÓN"/>
    <x v="5"/>
    <s v="C6"/>
    <s v="Ganaderos atendidos"/>
    <n v="587"/>
    <n v="176.1"/>
    <n v="117.4"/>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Direpro, OPIPs"/>
    <n v="1893075"/>
    <n v="1912952.2874999999"/>
    <n v="1262050"/>
    <n v="1275301.5249999999"/>
    <n v="378615"/>
    <n v="382590.45749999996"/>
    <n v="378615"/>
    <n v="382590.45749999996"/>
    <n v="378615"/>
    <n v="382590.45749999996"/>
    <n v="378615"/>
    <n v="382590.45749999996"/>
    <n v="378615"/>
    <n v="382590.45749999996"/>
    <n v="0"/>
    <s v="X"/>
    <m/>
    <m/>
    <m/>
    <s v="RE"/>
    <n v="3"/>
  </r>
  <r>
    <x v="3"/>
    <x v="2"/>
    <s v="Programas de inversión pública"/>
    <s v="3.3.6"/>
    <x v="12"/>
    <s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
    <s v="NR"/>
    <x v="1"/>
    <s v="Programa de promoción de la Asociatividad Empresarial"/>
    <s v="Desarrollar en los productores y produtoras capacidades colaborativas y de confianza hacia objetivos comunes"/>
    <x v="4"/>
    <s v="COMP 2"/>
    <s v="PRODUCCIÓN"/>
    <x v="7"/>
    <s v="C2"/>
    <s v="Organizaciones fortalecidas"/>
    <n v="0"/>
    <n v="8"/>
    <n v="8"/>
    <n v="120000"/>
    <s v="Costo implica la contratación de un profesional para realizar las labores de seguimiento y fortalecimiento de las organizaciones de forma permanente por el periodo de 10 años (120 meses)"/>
    <s v="Drasam, Dircetur, Direpro"/>
    <n v="4800000"/>
    <n v="4850400"/>
    <n v="4800000"/>
    <n v="4850400"/>
    <n v="960000"/>
    <n v="970080"/>
    <n v="960000"/>
    <n v="970080"/>
    <n v="960000"/>
    <n v="970080"/>
    <n v="960000"/>
    <n v="970080"/>
    <n v="960000"/>
    <n v="970080"/>
    <n v="0"/>
    <m/>
    <m/>
    <s v="X"/>
    <m/>
    <m/>
    <n v="3"/>
  </r>
  <r>
    <x v="3"/>
    <x v="2"/>
    <s v="Programas de inversión privada"/>
    <s v="3.3.7"/>
    <x v="17"/>
    <s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
    <s v="FR"/>
    <x v="1"/>
    <s v="Programa de Asistencia Técnicas para incrementar la capacidad productiva de las principaes cadenas"/>
    <s v="Asistencia Técnica y Capacitación para incorporar tecnologias que eleven la productividad y calidad de los productos y procesos"/>
    <x v="2"/>
    <s v="COMP 4 "/>
    <s v="PRODUCCIÓN"/>
    <x v="6"/>
    <s v="C7"/>
    <s v="Planes de negocios implementados"/>
    <n v="0"/>
    <n v="8"/>
    <n v="8"/>
    <n v="800000"/>
    <s v="Financiamiento e implementación de los planes de negocio de las organizaciones seleccionadas, con la finalidad de mejorar los sistemas de crianza, así mismo los órganos competentes del GRSM realizaron los debidos procesos de seguimiento y monitoreo en la ejecución. "/>
    <s v="Agroideas, Goresam"/>
    <n v="6400000"/>
    <n v="6467200"/>
    <n v="6400000"/>
    <n v="6467200"/>
    <n v="1280000"/>
    <n v="1293440"/>
    <n v="1280000"/>
    <n v="1293440"/>
    <n v="1280000"/>
    <n v="1293440"/>
    <n v="1280000"/>
    <n v="1293440"/>
    <n v="1280000"/>
    <n v="1293440"/>
    <n v="0"/>
    <s v="X"/>
    <m/>
    <m/>
    <m/>
    <s v="RE"/>
    <n v="2"/>
  </r>
  <r>
    <x v="3"/>
    <x v="2"/>
    <s v="Control y vigilancia"/>
    <s v="3.3.8"/>
    <x v="14"/>
    <s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Campañas de difusión y promoción"/>
    <n v="0"/>
    <n v="25"/>
    <n v="25"/>
    <n v="10000"/>
    <s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
    <s v="SUNASS"/>
    <n v="250000"/>
    <n v="252625"/>
    <n v="250000"/>
    <n v="252625"/>
    <n v="50000"/>
    <n v="50525"/>
    <n v="50000"/>
    <n v="50525"/>
    <n v="50000"/>
    <n v="50525"/>
    <n v="50000"/>
    <n v="50525"/>
    <n v="50000"/>
    <n v="50525"/>
    <n v="0"/>
    <s v="X"/>
    <m/>
    <m/>
    <m/>
    <m/>
    <n v="2"/>
  </r>
  <r>
    <x v="3"/>
    <x v="12"/>
    <s v="Invasiones"/>
    <s v="3.4.1"/>
    <x v="0"/>
    <s v="Puede realizarse a través de dos procedimientos, dependiendo de la ubicación del predio: _x000a__x000a_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_x000a__x000a_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
    <s v="R"/>
    <x v="0"/>
    <s v="Programa de regulización, formalizacion y saneamiento de predios"/>
    <s v="Formalización de la situacion de legal de los predios, estableciendo medidas facilitadoras"/>
    <x v="0"/>
    <s v="COMP 8"/>
    <s v="PROTECCIÓN-GOBERNANZA"/>
    <x v="0"/>
    <s v="C5"/>
    <s v="N° Títulos/Contratos otorgados"/>
    <n v="1165.1265258785102"/>
    <n v="582.56326293925508"/>
    <n v="582.56326293925508"/>
    <n v="2000"/>
    <s v="Incluye: _x000a_1) Levantamiento de información del suelo (calicatas), saneamiento físico legal, alinderamiento, rectificación de áreas, adjudicación de las áreas con capacidad de uso mayor agropecuario (A,C,P) y la  inscripción de predios rurales en la SUNARP. _x000a__x000a_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_x000a__x000a_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
    <s v="Programa de titulación PTR 3 / ARA"/>
    <n v="1165126.5258785102"/>
    <n v="1177360.3544002345"/>
    <n v="1165126.5258785102"/>
    <n v="1177360.3544002345"/>
    <n v="116512.65258785103"/>
    <n v="117736.03544002346"/>
    <n v="174768.97888177654"/>
    <n v="176604.05316003517"/>
    <n v="233025.30517570206"/>
    <n v="235472.07088004693"/>
    <n v="349537.95776355307"/>
    <n v="353208.10632007034"/>
    <n v="291281.63146962755"/>
    <n v="294340.08860005863"/>
    <n v="0"/>
    <m/>
    <m/>
    <s v="X"/>
    <m/>
    <s v="RE"/>
    <n v="3"/>
  </r>
  <r>
    <x v="3"/>
    <x v="12"/>
    <s v="Ingresos y Capital"/>
    <s v="3.4.2"/>
    <x v="61"/>
    <s v="_x000a_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s v="R"/>
    <x v="1"/>
    <s v="Programa de Asistencia Técnica para la recuperación de bosques"/>
    <s v="Recuperación de bosques mediante la recuperación y concervación de los suelos, el aprovechamiento de los serivicios ecosistemicos , manejo forstal, entre otros "/>
    <x v="3"/>
    <s v="COMP 11"/>
    <s v="PRODUCCIÓN"/>
    <x v="5"/>
    <s v="C6"/>
    <s v="Productores atendidos"/>
    <n v="8086"/>
    <n v="2425.7999999999997"/>
    <n v="1617.2"/>
    <n v="10750"/>
    <s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
    <s v="Drasam"/>
    <n v="26077349.999999996"/>
    <n v="26351162.174999993"/>
    <n v="17384900"/>
    <n v="17567441.449999999"/>
    <n v="5215470"/>
    <n v="5270232.4349999996"/>
    <n v="5215470"/>
    <n v="5270232.4349999996"/>
    <n v="5215470"/>
    <n v="5270232.4349999996"/>
    <n v="5215470"/>
    <n v="5270232.4349999996"/>
    <n v="5215470"/>
    <n v="5270232.4349999996"/>
    <n v="0"/>
    <m/>
    <m/>
    <s v="X"/>
    <m/>
    <s v="RE"/>
    <n v="3"/>
  </r>
  <r>
    <x v="3"/>
    <x v="12"/>
    <s v="Programas de inversión privada"/>
    <s v="3.4.3"/>
    <x v="62"/>
    <s v="Brindar asesoramiento y acompañamiento a los productores organizados y no organizados en sus procesos de negociación, este acompañamiento permitirá llegar a buenos acuerdos con las empresas y asegurar que los pequeños productores tengan acceso a precios justos."/>
    <s v="NR"/>
    <x v="1"/>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5"/>
    <s v="COMP 3"/>
    <s v="PRODUCCIÓN"/>
    <x v="8"/>
    <s v="C9"/>
    <s v="Especialistas"/>
    <n v="0"/>
    <n v="2"/>
    <n v="2"/>
    <n v="3500"/>
    <s v="El costo incluye la contratación de profesionales que se encarguen de identificar propuestas de alianzas comerciales entre productores y empresas privadas."/>
    <s v="Drasam"/>
    <n v="420000"/>
    <n v="424410"/>
    <n v="420000"/>
    <n v="424410"/>
    <n v="84000"/>
    <n v="84882"/>
    <n v="84000"/>
    <n v="84882"/>
    <n v="84000"/>
    <n v="84882"/>
    <n v="84000"/>
    <n v="84882"/>
    <n v="84000"/>
    <n v="84882"/>
    <n v="0"/>
    <s v="X"/>
    <m/>
    <m/>
    <m/>
    <s v="RE"/>
    <n v="3"/>
  </r>
  <r>
    <x v="3"/>
    <x v="12"/>
    <s v="Programas de inversión privada"/>
    <s v="3.4.4"/>
    <x v="63"/>
    <s v="Promover el financiamiento para el desarrollo e implementación de estudios de umbrales de carbono en el suelo y en los bosques."/>
    <s v="NR"/>
    <x v="1"/>
    <s v="Programa de promoción de la Asociatividad Empresarial"/>
    <s v="Desarrollar en los productores y produtoras capacidades colaborativas y de confianza hacia objetivos comunes"/>
    <x v="5"/>
    <s v="COMP 3"/>
    <s v="PRODUCCIÓN"/>
    <x v="8"/>
    <s v="C9"/>
    <s v="Estudios "/>
    <n v="0"/>
    <n v="2"/>
    <n v="0"/>
    <n v="220400"/>
    <s v="Estudio integrado de HCS/HVC incluye: (1) Scooping: Mapas preliminares HCS/HVC, trabajo de campo e informe (2) Informe HCS/HVC, documentos de base del estudio (shapes, base de datos)_x000a_*Se sugiere implementación con enfoque jurisdiccional "/>
    <s v="Earth Worm Foundation"/>
    <n v="440800"/>
    <n v="445428.39999999997"/>
    <n v="0"/>
    <n v="0"/>
    <n v="220400"/>
    <n v="222714.19999999998"/>
    <n v="220400"/>
    <n v="222714.19999999998"/>
    <n v="0"/>
    <n v="0"/>
    <n v="0"/>
    <n v="0"/>
    <n v="0"/>
    <n v="0"/>
    <n v="0"/>
    <s v="X"/>
    <m/>
    <m/>
    <m/>
    <s v="RE"/>
    <n v="3"/>
  </r>
  <r>
    <x v="3"/>
    <x v="4"/>
    <s v="Programas de inversión privada"/>
    <s v="3.5.1"/>
    <x v="28"/>
    <s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
    <s v="R - COF"/>
    <x v="2"/>
    <s v="Programa de incentivos para la protección de bosques"/>
    <s v="Contribuir a la sostenilidad de los bosques brindando incentivos financieros"/>
    <x v="3"/>
    <s v="COMP 11"/>
    <s v="PROTECCIÓN"/>
    <x v="5"/>
    <s v="C6"/>
    <s v="Planes de negocios"/>
    <n v="0"/>
    <n v="7"/>
    <n v="10"/>
    <n v="150000"/>
    <s v="El costo presupuestado será considerado para los estudios preliminares requeridos para el plan de negocio, pago de especialista de ser el caso, implementación de infraestructura básica según la priorización de los operadores turísticos interesados. "/>
    <s v="Dircetur"/>
    <n v="1050000"/>
    <n v="1061025"/>
    <n v="1500000"/>
    <n v="1515750"/>
    <n v="210000"/>
    <n v="212205"/>
    <n v="210000"/>
    <n v="212205"/>
    <n v="210000"/>
    <n v="212205"/>
    <n v="210000"/>
    <n v="212205"/>
    <n v="210000"/>
    <n v="212205"/>
    <n v="0"/>
    <s v="X"/>
    <m/>
    <m/>
    <m/>
    <s v="RE"/>
    <n v="3"/>
  </r>
  <r>
    <x v="3"/>
    <x v="4"/>
    <s v="Programas de inversión pública"/>
    <s v="3.5.2"/>
    <x v="29"/>
    <s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_x000a_2. Asistencia técnica, orientada al a) Fortalecimiento de la gestión del turismo, b) Consolidación de los productos de turismo y c) Fortalecimiento de la política institucional y la gobernanza del turismo."/>
    <s v="NR"/>
    <x v="2"/>
    <s v="Programa de Asistencia Técnica para la recuperación de bosques"/>
    <s v="Recuperación de bosques mediante la recuperación y concervación de los suelos, el aprovechamiento de los serivicios ecosistemicos , manejo forstal, entre otros "/>
    <x v="6"/>
    <s v="COMP 5"/>
    <s v="PROTECCIÓN"/>
    <x v="1"/>
    <s v="C1"/>
    <s v="Especialistas"/>
    <n v="0"/>
    <n v="2"/>
    <n v="2"/>
    <n v="4000"/>
    <s v="Contratación de especialista y gastos logísticos, pasantías regionales y nacionales para adquisición de know how en materia de turismo rural"/>
    <s v="Dircetur"/>
    <n v="480000"/>
    <n v="485040"/>
    <n v="480000"/>
    <n v="485040"/>
    <n v="96000"/>
    <n v="97008"/>
    <n v="96000"/>
    <n v="97008"/>
    <n v="96000"/>
    <n v="97008"/>
    <n v="96000"/>
    <n v="97008"/>
    <n v="96000"/>
    <n v="97008"/>
    <n v="0"/>
    <m/>
    <m/>
    <s v="X"/>
    <m/>
    <s v="RE"/>
    <n v="3"/>
  </r>
  <r>
    <x v="3"/>
    <x v="4"/>
    <s v="Programas de inversión privada"/>
    <s v="3.5.3"/>
    <x v="22"/>
    <s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0"/>
    <s v="C8"/>
    <s v="Planes de negocio"/>
    <n v="0"/>
    <n v="4"/>
    <n v="8"/>
    <n v="150000"/>
    <s v="El costo hace referencia al proceso de implementación y funcionamiento de los productos para el desarrollo de  los emprendimientos."/>
    <s v="Dircetur, Agroideas"/>
    <n v="600000"/>
    <n v="606300"/>
    <n v="1200000"/>
    <n v="1212600"/>
    <n v="120000"/>
    <n v="121260"/>
    <n v="120000"/>
    <n v="121260"/>
    <n v="120000"/>
    <n v="121260"/>
    <n v="120000"/>
    <n v="121260"/>
    <n v="120000"/>
    <n v="121260"/>
    <n v="0"/>
    <s v="X"/>
    <m/>
    <m/>
    <m/>
    <s v="RE"/>
    <n v="3"/>
  </r>
  <r>
    <x v="3"/>
    <x v="4"/>
    <s v="Programas de inversión privada"/>
    <s v="3.5.4"/>
    <x v="30"/>
    <s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rutas turísticas promocionados"/>
    <n v="0"/>
    <n v="3"/>
    <n v="3"/>
    <n v="40000"/>
    <s v="Participación en eventos de promoción (ferias regionales y nacionales, Fam Trip), el costo cubrirá gastos logísticos y administrativos de los operadores turísticos identificados "/>
    <s v="Mincetur, Dircetur"/>
    <n v="600000"/>
    <n v="606300"/>
    <n v="600000"/>
    <n v="606300"/>
    <n v="120000"/>
    <n v="121260"/>
    <n v="120000"/>
    <n v="121260"/>
    <n v="120000"/>
    <n v="121260"/>
    <n v="120000"/>
    <n v="121260"/>
    <n v="120000"/>
    <n v="121260"/>
    <n v="0"/>
    <m/>
    <m/>
    <s v="X"/>
    <m/>
    <s v="RE"/>
    <n v="3"/>
  </r>
  <r>
    <x v="3"/>
    <x v="5"/>
    <s v="Invasiones"/>
    <s v="3.6.1"/>
    <x v="31"/>
    <s v="Realizar un sinceramiento de las concesiones forestales activas e inactivas para excluir o realizar nuevos otorgamientos a empresas que puedan cumplir técnica y económicamente con lo predispuesto en la directiva."/>
    <s v="NR"/>
    <x v="0"/>
    <s v="Programa de regulización, formalizacion y saneamiento de predios"/>
    <s v="Formalización de la situacion de legal de los predios, estableciendo medidas facilitadoras"/>
    <x v="0"/>
    <s v="COMP 8"/>
    <s v="PROTECCIÓN-GOBERNANZA"/>
    <x v="0"/>
    <s v="C5"/>
    <s v="N° de concesiones "/>
    <n v="0"/>
    <n v="9"/>
    <n v="9"/>
    <n v="30000"/>
    <s v="Gastos operativos y logísticos para la elaboración de expedientes técnicos sustentatorios para los procesos legales y administrativos que conllevan dicho procedimiento."/>
    <s v="ARA, SERFOR, MINAM"/>
    <n v="270000"/>
    <n v="272835"/>
    <n v="270000"/>
    <n v="272835"/>
    <n v="54000"/>
    <n v="54567"/>
    <n v="54000"/>
    <n v="54567"/>
    <n v="54000"/>
    <n v="54567"/>
    <n v="54000"/>
    <n v="54567"/>
    <n v="54000"/>
    <n v="54567"/>
    <n v="0"/>
    <m/>
    <m/>
    <s v="X"/>
    <m/>
    <m/>
    <n v="3"/>
  </r>
  <r>
    <x v="3"/>
    <x v="5"/>
    <s v="Programas de inversión privada"/>
    <s v="3.6.2"/>
    <x v="32"/>
    <s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
    <s v="R - COF"/>
    <x v="2"/>
    <s v="Programa de incentivos para la protección de bosques"/>
    <s v="Contribuir a la sostenilidad de los bosques brindando incentivos financieros"/>
    <x v="3"/>
    <s v="COMP 11"/>
    <s v="PROTECCIÓN"/>
    <x v="5"/>
    <s v="C6"/>
    <s v="Créditos otorgados"/>
    <n v="0"/>
    <n v="3"/>
    <n v="3"/>
    <n v="150000"/>
    <s v="El costo incluye los gastos operativos y logísticos para la extracción de la madera de acuerdo al plan de extracción y la implementación de los planes de manejo. ambiental."/>
    <s v="ARA, SERFOR, MINAM"/>
    <n v="450000"/>
    <n v="454725"/>
    <n v="450000"/>
    <n v="454725"/>
    <n v="90000"/>
    <n v="90945"/>
    <n v="90000"/>
    <n v="90945"/>
    <n v="90000"/>
    <n v="90945"/>
    <n v="90000"/>
    <n v="90945"/>
    <n v="90000"/>
    <n v="90945"/>
    <n v="0"/>
    <s v="X"/>
    <m/>
    <m/>
    <m/>
    <m/>
    <n v="3"/>
  </r>
  <r>
    <x v="3"/>
    <x v="5"/>
    <s v="Programas de inversión pública"/>
    <s v="3.6.3"/>
    <x v="33"/>
    <s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puedan acceder a este beneficio."/>
    <s v="R"/>
    <x v="0"/>
    <s v="Programa de regulización, formalizacion y saneamiento de predios"/>
    <s v="Formalización de la situacion de legal de los predios, estableciendo medidas facilitadoras"/>
    <x v="0"/>
    <s v="COMP 8"/>
    <s v="HABILITANTE"/>
    <x v="13"/>
    <s v="C21"/>
    <s v="Concesiones reactivas"/>
    <n v="0"/>
    <n v="9"/>
    <n v="0"/>
    <n v="20000"/>
    <s v="Gastos operativos y logísticos para la elaboración de expedientes técnicos sustentatorios para los procesos legales y administrativos que conllevan dicho procedimiento."/>
    <s v="ARA, SERFOR, MINAM"/>
    <n v="180000"/>
    <n v="181890"/>
    <n v="0"/>
    <n v="0"/>
    <n v="36000"/>
    <n v="36378"/>
    <n v="36000"/>
    <n v="36378"/>
    <n v="36000"/>
    <n v="36378"/>
    <n v="36000"/>
    <n v="36378"/>
    <n v="36000"/>
    <n v="36378"/>
    <n v="0"/>
    <m/>
    <m/>
    <s v="X"/>
    <m/>
    <m/>
    <n v="1"/>
  </r>
  <r>
    <x v="3"/>
    <x v="14"/>
    <s v="Control y vigilancia"/>
    <s v="3.7.1"/>
    <x v="69"/>
    <s v="Propuesta de lineamientos para aprovechamiento sostenible de los Recursos Naturales Presentes."/>
    <s v="NR"/>
    <x v="0"/>
    <s v="Programa de regulización, formalizacion y saneamiento de predios"/>
    <s v="Formalización de la situacion de legal de los predios, estableciendo medidas facilitadoras"/>
    <x v="0"/>
    <s v="COMP 8"/>
    <s v="PROTECCIÓN-GOBERNANZA"/>
    <x v="0"/>
    <s v="C5"/>
    <s v="Lineamientos"/>
    <n v="0"/>
    <n v="1"/>
    <n v="0"/>
    <n v="100000"/>
    <s v="Contratación de equipo de profesionales para la elaboración de lineamientos de uso y demarcación de la ACR."/>
    <s v="Ara, serfor, Sernanp"/>
    <n v="100000"/>
    <n v="101050"/>
    <n v="0"/>
    <n v="0"/>
    <n v="100000"/>
    <n v="101050"/>
    <n v="0"/>
    <n v="0"/>
    <n v="0"/>
    <n v="0"/>
    <n v="0"/>
    <n v="0"/>
    <n v="0"/>
    <n v="0"/>
    <n v="0"/>
    <m/>
    <s v="X"/>
    <m/>
    <m/>
    <s v="RE"/>
    <n v="3"/>
  </r>
  <r>
    <x v="3"/>
    <x v="14"/>
    <s v="Control y vigilancia"/>
    <s v="3.7.2"/>
    <x v="35"/>
    <s v="Implementar con recursos necesarios al ente que administra el área, con la finalidad de aumentar el número de personas (guardaparques) que contribuyan a realizar acciones de control y vigilancia."/>
    <s v="NR"/>
    <x v="2"/>
    <s v="Programa de regulización, formalizacion y saneamiento de predios"/>
    <s v="Formalización de la situacion de legal de los predios, estableciendo medidas facilitadoras"/>
    <x v="6"/>
    <s v="COMP 5"/>
    <s v="PROTECCIÓN-GOBERNANZA"/>
    <x v="14"/>
    <s v="C4"/>
    <s v="Número de guardaparques"/>
    <n v="0"/>
    <n v="50"/>
    <n v="50"/>
    <n v="2000"/>
    <s v="Contratación a guardaparques para garantizar el control y vigilancia del área otorgada."/>
    <s v="Ara, serfor, Sernanp"/>
    <n v="6000000"/>
    <n v="6063000"/>
    <n v="6000000"/>
    <n v="6063000"/>
    <n v="1200000"/>
    <n v="1212600"/>
    <n v="1200000"/>
    <n v="1212600"/>
    <n v="1200000"/>
    <n v="1212600"/>
    <n v="1200000"/>
    <n v="1212600"/>
    <n v="1200000"/>
    <n v="1212600"/>
    <n v="0"/>
    <m/>
    <s v="X"/>
    <m/>
    <m/>
    <s v="RE"/>
    <n v="3"/>
  </r>
  <r>
    <x v="3"/>
    <x v="14"/>
    <s v="Control y vigilancia"/>
    <s v="3.7.3"/>
    <x v="34"/>
    <s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
    <s v="NR"/>
    <x v="2"/>
    <s v="Programa de regulización, formalizacion y saneamiento de predios"/>
    <s v="Formalización de la situacion de legal de los predios, estableciendo medidas facilitadoras"/>
    <x v="6"/>
    <s v="COMP 5"/>
    <s v="PROTECCIÓN-GOBERNANZA"/>
    <x v="14"/>
    <s v="C4"/>
    <s v="Campañas de sensibilización"/>
    <n v="0"/>
    <n v="50"/>
    <n v="50"/>
    <n v="8000"/>
    <s v="Campañas de sensibilización con equipos técnicos de las instituciones involucradas, gastos logísticos, impresión de material de difusión, publicidad radial, televisiva y escrita."/>
    <s v="Ara, serfor, Sernanp"/>
    <n v="2000000"/>
    <n v="2021000"/>
    <n v="2000000"/>
    <n v="2021000"/>
    <n v="400000"/>
    <n v="404200"/>
    <n v="400000"/>
    <n v="404200"/>
    <n v="400000"/>
    <n v="404200"/>
    <n v="400000"/>
    <n v="404200"/>
    <n v="400000"/>
    <n v="404200"/>
    <n v="0"/>
    <m/>
    <s v="X"/>
    <m/>
    <m/>
    <s v="RE"/>
    <n v="3"/>
  </r>
  <r>
    <x v="3"/>
    <x v="14"/>
    <s v="Programas de inversión privada"/>
    <s v="3.7.4"/>
    <x v="66"/>
    <s v="Encuentros de productores con la finalidad de promocionar los diferentes sistemas productivos sostenibles a ser replicados en las comunidades."/>
    <s v="NR"/>
    <x v="2"/>
    <s v="Programa de regulización, formalizacion y saneamiento de predios"/>
    <s v="Formalización de la situacion de legal de los predios, estableciendo medidas facilitadoras"/>
    <x v="7"/>
    <s v="COMP 6"/>
    <s v="PROTECCIÓN"/>
    <x v="12"/>
    <s v="C11"/>
    <s v="Encuentros"/>
    <n v="0"/>
    <n v="50"/>
    <n v="50"/>
    <n v="2500"/>
    <s v="El costo hace referencia a los gastos de pasajes, alimentación y otros para un grupo de 20 productores por pasantía."/>
    <s v="Drasam"/>
    <n v="625000"/>
    <n v="631562.5"/>
    <n v="625000"/>
    <n v="631562.5"/>
    <n v="125000"/>
    <n v="126312.5"/>
    <n v="125000"/>
    <n v="126312.5"/>
    <n v="125000"/>
    <n v="126312.5"/>
    <n v="125000"/>
    <n v="126312.5"/>
    <n v="125000"/>
    <n v="126312.5"/>
    <n v="0"/>
    <m/>
    <m/>
    <s v="X"/>
    <m/>
    <m/>
    <n v="3"/>
  </r>
  <r>
    <x v="3"/>
    <x v="14"/>
    <s v="Programas de inversión privada"/>
    <s v="3.7.5"/>
    <x v="65"/>
    <s v="Campañas de promoción y difusión en el ámbito regional y nacional de los circuitos turísticos que existen en la zona de amortiguamiento."/>
    <s v="NR"/>
    <x v="2"/>
    <s v="Programa de Emprendimientos que coadyuvan a la sostebilidad de los Bossques"/>
    <s v="Promover la implementacion de iniciativas de turismo, bionegocios, agroforestería, entre los principales, mediante fondo concursables, fortaleciendo la potencial oferta local y facilitando acceso a la informacion de los mercados"/>
    <x v="7"/>
    <s v="COMP 6"/>
    <s v="PROTECCIÓN"/>
    <x v="12"/>
    <s v="C11"/>
    <s v="Campañas de promoción"/>
    <n v="0"/>
    <n v="10"/>
    <n v="10"/>
    <n v="4000"/>
    <s v="Campañas de promoción que incluye, impresión de material de difusión, publicidad radial, televisiva y escrita."/>
    <s v="Dircetur, Mincetur"/>
    <n v="200000"/>
    <n v="202100"/>
    <n v="200000"/>
    <n v="202100"/>
    <n v="40000"/>
    <n v="40420"/>
    <n v="40000"/>
    <n v="40420"/>
    <n v="40000"/>
    <n v="40420"/>
    <n v="40000"/>
    <n v="40420"/>
    <n v="40000"/>
    <n v="40420"/>
    <n v="0"/>
    <m/>
    <m/>
    <s v="X"/>
    <m/>
    <m/>
    <n v="3"/>
  </r>
  <r>
    <x v="3"/>
    <x v="14"/>
    <s v="Programas de inversión pública"/>
    <s v="3.7.6"/>
    <x v="64"/>
    <s v="Actualización y elaboración de planes de gestión comunal de las localidades acentuadas en las zonas de amortiguamiento con la finalidad de orientar adecuadamente la implementación y ejecución de proyectos."/>
    <s v="NR"/>
    <x v="0"/>
    <s v="Programa de Infraestructura para la Competitividad "/>
    <s v="Generar condiciones para el desarrollo socio económico del territorio"/>
    <x v="8"/>
    <s v="COMP 9"/>
    <s v="HABILITANTE"/>
    <x v="15"/>
    <s v="C10"/>
    <s v="Planes de gestión comunal"/>
    <n v="0"/>
    <n v="12"/>
    <n v="20"/>
    <n v="20000"/>
    <s v="Contratación de servicios profesionales para la elaboración de los planes de gestión comunal."/>
    <s v="Dircetur, Mincetur"/>
    <n v="240000"/>
    <n v="242520"/>
    <n v="400000"/>
    <n v="404200"/>
    <n v="48000"/>
    <n v="48504"/>
    <n v="48000"/>
    <n v="48504"/>
    <n v="48000"/>
    <n v="48504"/>
    <n v="48000"/>
    <n v="48504"/>
    <n v="48000"/>
    <n v="48504"/>
    <n v="0"/>
    <m/>
    <m/>
    <s v="X"/>
    <m/>
    <m/>
    <n v="3"/>
  </r>
  <r>
    <x v="3"/>
    <x v="14"/>
    <s v="Programas de inversión pública"/>
    <s v="3.7.7"/>
    <x v="67"/>
    <s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
    <s v="NR"/>
    <x v="2"/>
    <s v="Programa de Asistencia Técnica para la recuperación de bosques"/>
    <s v="Recuperación de bosques mediante la recuperación y concervación de los suelos, el aprovechamiento de los serivicios ecosistemicos , manejo forstal, entre otros "/>
    <x v="6"/>
    <s v="COMP 5"/>
    <s v="PROTECCIÓN"/>
    <x v="9"/>
    <s v="C15"/>
    <s v="Proyectos ejecutados"/>
    <n v="0"/>
    <n v="1"/>
    <n v="1"/>
    <n v="47000000"/>
    <s v="Financiamiento para la elaboración de expedientes técnicos y estudios complementarios, así como la ejecución de proyectos de inversión pública o de cooperación que contemplen la recuperación de la cuenca hídrica con la finalidad de conservar el recurso."/>
    <s v="GRDE, ARA, Proyectos especiales"/>
    <n v="47000000"/>
    <n v="47493500"/>
    <n v="47000000"/>
    <n v="47493500"/>
    <n v="9400000"/>
    <n v="9498700"/>
    <n v="9400000"/>
    <n v="9498700"/>
    <n v="9400000"/>
    <n v="9498700"/>
    <n v="9400000"/>
    <n v="9498700"/>
    <n v="9400000"/>
    <n v="9498700"/>
    <n v="0"/>
    <m/>
    <m/>
    <s v="X"/>
    <m/>
    <s v="RE"/>
    <n v="3"/>
  </r>
  <r>
    <x v="3"/>
    <x v="14"/>
    <s v="Ingresos y Capital"/>
    <s v="3.7.8"/>
    <x v="28"/>
    <s v="Implementación de planes de negocios para  la Diversificación y consolidación de la oferta turística, de esta manera promover el acondicionamiento y la gestión técnica en torno de los recursos y atractivos priorizados."/>
    <s v="NR"/>
    <x v="2"/>
    <s v="Programa de incentivos para la protección de bosques"/>
    <s v="Contribuir a la sostenilidad de los bosques brindando incentivos financieros"/>
    <x v="3"/>
    <s v="COMP 11"/>
    <s v="PROTECCIÓN"/>
    <x v="5"/>
    <s v="C6"/>
    <s v="Planes de negocios"/>
    <n v="0"/>
    <n v="10"/>
    <n v="10"/>
    <n v="100000"/>
    <s v="El costo presupuestado será considerado para los estudios preliminares requeridos para el plan de negocio, pago de especialista de ser el caso, implementación de infraestructura básica según la priorización de los operadores turísticos interesados. "/>
    <s v="Dircetur, Mincetur"/>
    <n v="1000000"/>
    <n v="1010500"/>
    <n v="1000000"/>
    <n v="1010500"/>
    <n v="200000"/>
    <n v="202100"/>
    <n v="200000"/>
    <n v="202100"/>
    <n v="200000"/>
    <n v="202100"/>
    <n v="200000"/>
    <n v="202100"/>
    <n v="200000"/>
    <n v="202100"/>
    <n v="0"/>
    <s v="X"/>
    <m/>
    <m/>
    <m/>
    <s v="RE"/>
    <n v="3"/>
  </r>
  <r>
    <x v="3"/>
    <x v="9"/>
    <s v="Invasiones"/>
    <s v="3.8.1"/>
    <x v="44"/>
    <s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
    <s v="NR"/>
    <x v="0"/>
    <s v="Programa de regulización, formalizacion y saneamiento de predios"/>
    <s v="Formalización de la situacion de legal de los predios, estableciendo medidas facilitadoras"/>
    <x v="0"/>
    <s v="COMP 8"/>
    <s v="PROTECCIÓN-GOBERNANZA"/>
    <x v="0"/>
    <s v="C5"/>
    <s v="Ha. con categoría territorial asignada"/>
    <n v="37092.698274879796"/>
    <n v="18546.349137439898"/>
    <n v="18546.349137439898"/>
    <n v="15"/>
    <s v="Para la implementación de las intervención será mecesario la contratación de especialistas para realizar las acciones que comtemplen dicha actividad. Gastos logísticos y trámites documentarios."/>
    <s v="GRSM - DEGT"/>
    <n v="278195.23706159845"/>
    <n v="281116.28705074522"/>
    <n v="278195.23706159845"/>
    <n v="281116.28705074522"/>
    <n v="55639.047412319691"/>
    <n v="56223.257410149046"/>
    <n v="55639.047412319691"/>
    <n v="56223.257410149046"/>
    <n v="55639.047412319691"/>
    <n v="56223.257410149046"/>
    <n v="55639.047412319691"/>
    <n v="56223.257410149046"/>
    <n v="55639.047412319691"/>
    <n v="56223.257410149046"/>
    <n v="0"/>
    <m/>
    <s v="X"/>
    <m/>
    <m/>
    <m/>
    <n v="3"/>
  </r>
  <r>
    <x v="3"/>
    <x v="9"/>
    <s v="Control y vigilancia"/>
    <s v="3.8.2"/>
    <x v="41"/>
    <s v="Comprende la capacitación en manejo de normatividad forestal y manejo de bosques, contratación de especialistas para tener presencia física en el área, equipamiento e infraestructura."/>
    <s v="NR"/>
    <x v="0"/>
    <s v="Programa de regulización, formalizacion y saneamiento de predios"/>
    <s v="Formalización de la situacion de legal de los predios, estableciendo medidas facilitadoras"/>
    <x v="0"/>
    <s v="COMP 8"/>
    <s v="PROTECCIÓN-GOBERNANZA"/>
    <x v="0"/>
    <s v="C5"/>
    <s v="N° de responsables de administración que aprueban evaluación de capacitación "/>
    <n v="0"/>
    <n v="80"/>
    <n v="80"/>
    <n v="150"/>
    <s v="Considera materiales de capacitación, alimentación a capacitados en el área cercana a su comunidad y gastos de capacitadores"/>
    <s v="GRSM - DEGT"/>
    <n v="12000"/>
    <n v="12126"/>
    <n v="12000"/>
    <n v="12126"/>
    <n v="12000"/>
    <n v="12126"/>
    <n v="0"/>
    <n v="0"/>
    <n v="0"/>
    <n v="0"/>
    <n v="0"/>
    <n v="0"/>
    <n v="0"/>
    <n v="0"/>
    <n v="0"/>
    <m/>
    <s v="X"/>
    <m/>
    <m/>
    <m/>
    <n v="2"/>
  </r>
  <r>
    <x v="3"/>
    <x v="9"/>
    <s v="Control y vigilancia"/>
    <s v="3.8.3"/>
    <x v="42"/>
    <s v="Dependiendo de la categoría forestal a ser aplicada, se realizará un plan/declaración acorde a la unidad, en el marco de la ley forestal y fauna silvestre N° 29763."/>
    <s v="NR"/>
    <x v="0"/>
    <s v="Programa de regulización, formalizacion y saneamiento de predios"/>
    <s v="Formalización de la situacion de legal de los predios, estableciendo medidas facilitadoras"/>
    <x v="0"/>
    <s v="COMP 8"/>
    <s v="PROTECCIÓN-GOBERNANZA"/>
    <x v="0"/>
    <s v="C5"/>
    <s v="N° Planes / Declaraciones elaborados"/>
    <n v="0"/>
    <n v="8"/>
    <n v="8"/>
    <n v="10000"/>
    <s v="Se considera la contratación de profesionales para la elaboración de los expedientes y/o declaraciones identificadas en los diferentes procesos."/>
    <s v="GRSM - DEGT"/>
    <n v="80000"/>
    <n v="80840"/>
    <n v="80000"/>
    <n v="80840"/>
    <n v="24000"/>
    <n v="24252"/>
    <n v="24000"/>
    <n v="24252"/>
    <n v="32000"/>
    <n v="32336"/>
    <n v="0"/>
    <n v="0"/>
    <n v="0"/>
    <n v="0"/>
    <n v="0"/>
    <m/>
    <s v="X"/>
    <m/>
    <m/>
    <m/>
    <n v="2"/>
  </r>
  <r>
    <x v="3"/>
    <x v="9"/>
    <s v="Invasiones"/>
    <s v="3.8.4"/>
    <x v="43"/>
    <s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
    <s v="NR"/>
    <x v="0"/>
    <s v="Programa de regulización, formalizacion y saneamiento de predios"/>
    <s v="Formalización de la situacion de legal de los predios, estableciendo medidas facilitadoras"/>
    <x v="0"/>
    <s v="COMP 8"/>
    <s v="PROTECCIÓN-GOBERNANZA"/>
    <x v="0"/>
    <s v="C5"/>
    <s v="Ha. Inscritas"/>
    <n v="37092.698274879796"/>
    <n v="18546.349137439898"/>
    <n v="18546.349137439898"/>
    <n v="1"/>
    <s v="Contratación de dos profesioales para agilizar procesos con sunarp."/>
    <s v="GRSM - DEGT"/>
    <n v="18546.349137439898"/>
    <n v="18741.085803383015"/>
    <n v="18546.349137439898"/>
    <n v="18741.085803383015"/>
    <n v="3709.2698274879799"/>
    <n v="3748.2171606766037"/>
    <n v="3709.2698274879799"/>
    <n v="3748.2171606766037"/>
    <n v="3709.2698274879799"/>
    <n v="3748.2171606766037"/>
    <n v="3709.2698274879799"/>
    <n v="3748.2171606766037"/>
    <n v="3709.2698274879799"/>
    <n v="3748.2171606766037"/>
    <n v="0"/>
    <m/>
    <s v="X"/>
    <m/>
    <m/>
    <m/>
    <n v="2"/>
  </r>
  <r>
    <x v="3"/>
    <x v="9"/>
    <s v="Ingresos y Capital"/>
    <s v="3.8.5"/>
    <x v="45"/>
    <s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
    <s v="NR"/>
    <x v="2"/>
    <s v="Programa de Asistencia Técnica para la recuperación de bosques"/>
    <s v="Recuperación de bosques mediante la recuperación y concervación de los suelos, el aprovechamiento de los serivicios ecosistemicos , manejo forstal, entre otros "/>
    <x v="6"/>
    <s v="COMP 5"/>
    <s v="PROTECCIÓN-GOBERNANZA"/>
    <x v="0"/>
    <s v="C5"/>
    <s v="Hectáreas restauradas"/>
    <n v="0"/>
    <n v="4281.2943442937603"/>
    <n v="0"/>
    <n v="500"/>
    <s v="El costo incluye la restauración de una hectárea, esta actividad se desarrollara de acuerdo a la metodología propuesta por el ARA, en coordinación con los productores seleccionados."/>
    <s v="ARA"/>
    <n v="2140647.1721468801"/>
    <n v="2163123.9674544223"/>
    <n v="0"/>
    <n v="0"/>
    <n v="2140647.1721468801"/>
    <n v="2163123.9674544223"/>
    <n v="0"/>
    <n v="0"/>
    <n v="0"/>
    <n v="0"/>
    <n v="0"/>
    <n v="0"/>
    <n v="0"/>
    <n v="0"/>
    <n v="0"/>
    <m/>
    <s v="X"/>
    <m/>
    <m/>
    <m/>
    <n v="3"/>
  </r>
  <r>
    <x v="3"/>
    <x v="10"/>
    <s v="Programas de inversión pública"/>
    <s v="3.9.1"/>
    <x v="70"/>
    <s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
    <s v="NR"/>
    <x v="0"/>
    <s v="Programa de regulización, formalizacion y saneamiento de predios"/>
    <s v="Formalización de la situacion de legal de los predios, estableciendo medidas facilitadoras"/>
    <x v="0"/>
    <s v="COMP 10"/>
    <s v="HABILITANTE"/>
    <x v="16"/>
    <s v="C18"/>
    <s v="Acuerdos con rondas campesinas"/>
    <n v="0"/>
    <n v="19"/>
    <n v="19"/>
    <n v="2500"/>
    <s v="Reuniones con los diferentes actores involucrados y la sociedad civil para llegar a acuerdos de no deforestación, lo cual incluye  gastos logísticos en general."/>
    <s v="GRIS"/>
    <n v="237500"/>
    <n v="239993.75"/>
    <n v="237500"/>
    <n v="239993.75"/>
    <n v="47500"/>
    <n v="47998.75"/>
    <n v="47500"/>
    <n v="47998.75"/>
    <n v="47500"/>
    <n v="47998.75"/>
    <n v="47500"/>
    <n v="47998.75"/>
    <n v="47500"/>
    <n v="47998.75"/>
    <n v="0"/>
    <m/>
    <m/>
    <s v="X"/>
    <m/>
    <s v="RE"/>
    <n v="3"/>
  </r>
  <r>
    <x v="3"/>
    <x v="10"/>
    <s v="Programas de inversión pública"/>
    <s v="3.9.2"/>
    <x v="71"/>
    <s v="Los cultivos alternativos promovidos por los programas de cooperación deberán considerar la no ampliación de la frontera agrícola, la no deforestación de bosques primarios y las intervenciones transversales de recuperación de áreas. "/>
    <s v="NR"/>
    <x v="1"/>
    <s v="Programa de Infraestructura para la Competitividad "/>
    <s v="Generar condiciones para el desarrollo socio económico del territorio"/>
    <x v="1"/>
    <s v="COMP 1"/>
    <s v="HABILITANTE"/>
    <x v="16"/>
    <s v="C18"/>
    <s v="Reuniones de coordinación"/>
    <n v="0"/>
    <n v="5"/>
    <n v="5"/>
    <n v="1800"/>
    <s v="Costo para cubrir los gastos logísticos para las reuniones con los diferentes actores involucrados y la sociedad civil para llegar a acuerdos para la implementación de proyectos agroforestales."/>
    <s v="Drasam"/>
    <n v="45000"/>
    <n v="45472.5"/>
    <n v="45000"/>
    <n v="45472.5"/>
    <n v="9000"/>
    <n v="9094.5"/>
    <n v="9000"/>
    <n v="9094.5"/>
    <n v="9000"/>
    <n v="9094.5"/>
    <n v="9000"/>
    <n v="9094.5"/>
    <n v="9000"/>
    <n v="9094.5"/>
    <n v="0"/>
    <m/>
    <m/>
    <s v="X"/>
    <m/>
    <s v="RE"/>
    <n v="1"/>
  </r>
  <r>
    <x v="3"/>
    <x v="10"/>
    <s v="Programas de inversión pública"/>
    <s v="3.9.3"/>
    <x v="48"/>
    <s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 v="NR"/>
    <x v="0"/>
    <s v="Programa de Infraestructura para la Competitividad "/>
    <s v="Generar condiciones para el desarrollo socio económico del territorio"/>
    <x v="9"/>
    <s v="COMP 10"/>
    <s v="HABILITANTE"/>
    <x v="16"/>
    <s v="C18"/>
    <s v="Kilómetros mejorados"/>
    <n v="479"/>
    <n v="47.900000000000006"/>
    <n v="47.900000000000006"/>
    <n v="800000"/>
    <s v="Costo promedio de por km2 de vía mejorada o asfaltada"/>
    <s v="DRTyTC"/>
    <n v="38320000.000000007"/>
    <n v="38722360.000000007"/>
    <n v="38320000.000000007"/>
    <n v="38722360.000000007"/>
    <n v="7664000.0000000019"/>
    <n v="7744472.0000000019"/>
    <n v="7664000.0000000019"/>
    <n v="7744472.0000000019"/>
    <n v="7664000.0000000019"/>
    <n v="7744472.0000000019"/>
    <n v="7664000.0000000019"/>
    <n v="7744472.0000000019"/>
    <n v="7664000.0000000019"/>
    <n v="7744472.0000000019"/>
    <n v="0"/>
    <s v="X"/>
    <m/>
    <m/>
    <m/>
    <m/>
    <n v="2"/>
  </r>
  <r>
    <x v="3"/>
    <x v="10"/>
    <s v="Programas de inversión pública"/>
    <s v="3.9.4"/>
    <x v="49"/>
    <s v="Ejecución de proyectos de restauración en las 663 Ha con probabilidad alta y muy alta para desarrollar esta actividad; se cuenta con 401 ha que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
    <s v="NR"/>
    <x v="2"/>
    <s v="Programa de Infraestructura para la Competitividad "/>
    <s v="Generar condiciones para el desarrollo socio económico del territorio"/>
    <x v="6"/>
    <s v="COMP 5"/>
    <s v="PROTECCIÓN"/>
    <x v="16"/>
    <s v="C18"/>
    <s v="Hectáreas restauradas"/>
    <n v="3201.8"/>
    <n v="800.45"/>
    <n v="640.36000000000013"/>
    <n v="500"/>
    <s v="El costo incluye la restauración de una hectárea, esta actividad se desarrollara de acuerdo a la metodología propuesta por el ARA, en coordinación con los productores seleccionados."/>
    <s v="ARA, SERFOR"/>
    <n v="400225"/>
    <n v="404427.36249999999"/>
    <n v="320180.00000000006"/>
    <n v="323541.89000000007"/>
    <n v="80045"/>
    <n v="80885.472500000003"/>
    <n v="80045"/>
    <n v="80885.472500000003"/>
    <n v="80045"/>
    <n v="80885.472500000003"/>
    <n v="80045"/>
    <n v="80885.472500000003"/>
    <n v="80045"/>
    <n v="80885.472500000003"/>
    <n v="0"/>
    <m/>
    <m/>
    <s v="X"/>
    <m/>
    <s v="RE"/>
    <n v="3"/>
  </r>
  <r>
    <x v="3"/>
    <x v="10"/>
    <s v="Programas de inversión pública"/>
    <s v="3.9.5"/>
    <x v="50"/>
    <s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
    <s v="NR"/>
    <x v="0"/>
    <s v="Programa de Infraestructura para la Competitividad "/>
    <s v="Generar condiciones para el desarrollo socio económico del territorio"/>
    <x v="8"/>
    <s v="COMP 9"/>
    <s v="INCLUSION"/>
    <x v="16"/>
    <s v="C18"/>
    <s v="Centros de salud y colegios implementados"/>
    <n v="0"/>
    <n v="7"/>
    <n v="5"/>
    <n v="3500000"/>
    <s v="Construcción e implementación de centros educativos y postas medicas"/>
    <s v="DRTyTC"/>
    <n v="24500000"/>
    <n v="24757250"/>
    <n v="17500000"/>
    <n v="17683750"/>
    <n v="4900000"/>
    <n v="4951450"/>
    <n v="4900000"/>
    <n v="4951450"/>
    <n v="4900000"/>
    <n v="4951450"/>
    <n v="4900000"/>
    <n v="4951450"/>
    <n v="4900000"/>
    <n v="4951450"/>
    <n v="0"/>
    <m/>
    <s v="X"/>
    <m/>
    <m/>
    <s v="RE"/>
    <n v="3"/>
  </r>
  <r>
    <x v="3"/>
    <x v="10"/>
    <s v="Programas de inversión pública"/>
    <s v="3.9.6"/>
    <x v="51"/>
    <s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
    <s v="NR"/>
    <x v="0"/>
    <s v="Programa de Infraestructura para la Competitividad "/>
    <s v="Generar condiciones para el desarrollo socio económico del territorio"/>
    <x v="8"/>
    <s v="COMP 9"/>
    <s v="INCLUSION"/>
    <x v="16"/>
    <s v="C18"/>
    <s v="N° Campañas"/>
    <n v="0"/>
    <n v="149.11500000000001"/>
    <n v="149.11500000000001"/>
    <n v="5000"/>
    <s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
    <s v="GORESAM"/>
    <n v="3727875"/>
    <n v="3767017.6875"/>
    <n v="3727875"/>
    <n v="3767017.6875"/>
    <n v="745575"/>
    <n v="753403.53749999998"/>
    <n v="745575"/>
    <n v="753403.53749999998"/>
    <n v="745575"/>
    <n v="753403.53749999998"/>
    <n v="745575"/>
    <n v="753403.53749999998"/>
    <n v="745575"/>
    <n v="753403.53749999998"/>
    <n v="0"/>
    <m/>
    <s v="X"/>
    <m/>
    <m/>
    <s v="RE"/>
    <n v="3"/>
  </r>
  <r>
    <x v="3"/>
    <x v="10"/>
    <s v="Programas de inversión pública"/>
    <s v="3.9.7"/>
    <x v="52"/>
    <s v="Promoción al acceso de la marca con los productores que cumplan los criterios de elegibilidad solicitados por el programa, como una estrategia de ubicar mercados diferenciados para los productos provenientes de estas zonas."/>
    <s v="NR"/>
    <x v="1"/>
    <s v="Programa de Asistencia Técnicas para incrementar la capacidad productiva de las principaes cadenas"/>
    <s v="Asistencia Técnica y Capacitación para incorporar tecnologias que eleven la productividad y calidad de los productos y procesos"/>
    <x v="5"/>
    <s v="COMP 3"/>
    <s v="PRODUCCIÓN"/>
    <x v="16"/>
    <s v="C18"/>
    <s v="Organizaciones que acceden a la marca"/>
    <n v="0"/>
    <n v="25"/>
    <n v="20"/>
    <n v="3000"/>
    <s v="El costo incluye: Una inspección anual anunciada,  elaboración de informe de inspección, administración y comunicación, certificación según los estándares de la marca."/>
    <s v="ARA"/>
    <n v="375000"/>
    <n v="378937.5"/>
    <n v="300000"/>
    <n v="303150"/>
    <n v="75000"/>
    <n v="75787.5"/>
    <n v="75000"/>
    <n v="75787.5"/>
    <n v="75000"/>
    <n v="75787.5"/>
    <n v="75000"/>
    <n v="75787.5"/>
    <n v="75000"/>
    <n v="75787.5"/>
    <n v="0"/>
    <m/>
    <m/>
    <s v="X"/>
    <m/>
    <m/>
    <n v="3"/>
  </r>
  <r>
    <x v="4"/>
    <x v="15"/>
    <s v="Programas de inversión pública"/>
    <n v="1"/>
    <x v="72"/>
    <s v="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
    <s v="NR"/>
    <x v="2"/>
    <s v="Programa de Mejoramiento de condiciones para el monitoreo"/>
    <s v="Desarrollar capaciades en la poblacion y dotarlo de módulos productivos  en compensación a la participación en el monitorei de su ámbito"/>
    <x v="6"/>
    <s v="COMP 10"/>
    <s v="HABILITANTE"/>
    <x v="18"/>
    <s v="C19"/>
    <s v="Plan de Ordenamiento Agroteritorial implementado"/>
    <n v="1"/>
    <n v="1"/>
    <n v="0"/>
    <n v="9082000"/>
    <s v="Implementación de las actividades referidas al proyecto ZAE, asi mismo la contratación de dos profesionales para realizar el monitoreo de las estaciones metereologicas; seconsidera la compra de 77 estaciones para ser instaladas en cada distrito de la región, tambien se costea los gastos de mantenimiento de dichos equipos.  "/>
    <s v="Drasam"/>
    <n v="9082000"/>
    <n v="9177361"/>
    <n v="1635000"/>
    <n v="1652167.5"/>
    <n v="3374000"/>
    <n v="3409427"/>
    <n v="2527000"/>
    <n v="2553533.5"/>
    <n v="2527000"/>
    <n v="2553533.5"/>
    <n v="327000"/>
    <n v="330433.5"/>
    <n v="327000"/>
    <n v="330433.5"/>
    <n v="0"/>
    <m/>
    <s v="X"/>
    <m/>
    <m/>
    <s v="RE"/>
    <n v="3"/>
  </r>
  <r>
    <x v="4"/>
    <x v="15"/>
    <s v="Programas de inversión pública"/>
    <n v="2"/>
    <x v="73"/>
    <s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
    <s v="NR"/>
    <x v="2"/>
    <s v="Programa de Mejoramiento de condiciones para el monitoreo"/>
    <s v="Desarrollar capaciades en la poblacion y dotarlo de módulos productivos  en compensación a la participación en el monitorei de su ámbito"/>
    <x v="6"/>
    <s v="COMP 10"/>
    <s v="HABILITANTE"/>
    <x v="18"/>
    <s v="C19"/>
    <s v="Hectárea"/>
    <n v="395356.07"/>
    <n v="395356.07"/>
    <m/>
    <n v="16"/>
    <s v="Para la implementación de las intervención será mecesario la contratación de especialistas para realizar las acciones que comtemplen dicha actividad. Gastos logísticos y trámites documentarios. Contratación de dos profesioales para agilizar procesos con sunarp."/>
    <s v="ARA"/>
    <n v="6325697.1200000001"/>
    <n v="6392116.9397599995"/>
    <n v="6325697.1200000001"/>
    <n v="6392116.9397599995"/>
    <n v="1265139.4240000001"/>
    <n v="1278423.3879520001"/>
    <n v="1265139.4240000001"/>
    <n v="1278423.3879520001"/>
    <n v="1265139.4240000001"/>
    <n v="1278423.3879520001"/>
    <n v="1265139.4240000001"/>
    <n v="1278423.3879520001"/>
    <n v="1265139.4240000001"/>
    <n v="1278423.3879520001"/>
    <n v="0"/>
    <m/>
    <s v="X"/>
    <m/>
    <m/>
    <m/>
    <n v="3"/>
  </r>
  <r>
    <x v="4"/>
    <x v="15"/>
    <s v="Programas de inversión pública"/>
    <n v="3"/>
    <x v="74"/>
    <s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
    <s v="NR"/>
    <x v="1"/>
    <s v="Programa de Apoyo especializado para la Competitividad"/>
    <s v="Velar por la calidad y productividad de los productos y  por el acceso al mercado en condiciones competitivas "/>
    <x v="5"/>
    <s v="COMP 3"/>
    <s v="HABILITANTE"/>
    <x v="18"/>
    <s v="C19"/>
    <s v="Proyectos viables"/>
    <n v="10"/>
    <n v="15"/>
    <m/>
    <n v="6000000"/>
    <s v="El costo es referencial para un proyecto agropecuario de acuerdo a las cadenas priorizadas, donde se consideran componentes como Asistencia Técnica, Fortalecimiento organizacional, promoción de mercados sostenibles, manejo ambiental, etc."/>
    <s v="Drasam, ARA, Dircetur, Direpro, GRDE"/>
    <n v="60000000"/>
    <n v="60630000"/>
    <n v="90000000"/>
    <n v="90945000"/>
    <n v="12000000"/>
    <n v="12126000"/>
    <n v="12000000"/>
    <n v="12126000"/>
    <n v="12000000"/>
    <n v="12126000"/>
    <n v="12000000"/>
    <n v="12126000"/>
    <n v="12000000"/>
    <n v="12126000"/>
    <n v="0"/>
    <m/>
    <m/>
    <s v="X"/>
    <m/>
    <s v="RE"/>
    <n v="3"/>
  </r>
  <r>
    <x v="4"/>
    <x v="15"/>
    <s v="Programas de inversión privada"/>
    <n v="4"/>
    <x v="75"/>
    <s v="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
    <s v="FR"/>
    <x v="2"/>
    <s v="Programa de Mejoramiento de condiciones para el monitoreo"/>
    <s v="Desarrollar capaciades en la poblacion y dotarlo de módulos productivos  en compensación a la participación en el monitorei de su ámbito"/>
    <x v="6"/>
    <s v="COMP 10"/>
    <s v="HABILITANTE"/>
    <x v="18"/>
    <s v="C19"/>
    <s v="Módulos implementados."/>
    <n v="10"/>
    <n v="10"/>
    <m/>
    <n v="200000"/>
    <s v="Implementación de maquinaria y equipos necesarios para el proceso y transformación de la madera."/>
    <s v="Ara, Serfor"/>
    <n v="2000000"/>
    <n v="2021000"/>
    <n v="2000000"/>
    <n v="2021000"/>
    <n v="400000"/>
    <n v="404200"/>
    <n v="400000"/>
    <n v="404200"/>
    <n v="400000"/>
    <n v="404200"/>
    <n v="400000"/>
    <n v="404200"/>
    <n v="400000"/>
    <n v="404200"/>
    <n v="0"/>
    <s v="X"/>
    <m/>
    <m/>
    <m/>
    <s v="RE"/>
    <n v="2"/>
  </r>
  <r>
    <x v="4"/>
    <x v="15"/>
    <s v="Ingresos y Capital"/>
    <n v="5"/>
    <x v="76"/>
    <s v="Implementar un programa de incentivos que podrán ser de asistencia técnica, ejecución de proyectos sociales u otras acciones que permitan mejorar las condiciones de vida de los productores que realicen acciones de restauración."/>
    <s v="NR"/>
    <x v="2"/>
    <s v="Programa de Mejoramiento de condiciones para el monitoreo"/>
    <s v="Desarrollar capaciades en la poblacion y dotarlo de módulos productivos  en compensación a la participación en el monitorei de su ámbito"/>
    <x v="6"/>
    <s v="COMP 5"/>
    <s v="HABILITANTE"/>
    <x v="18"/>
    <s v="C19"/>
    <s v="Número de Organizaciones beneficiarias"/>
    <n v="30"/>
    <n v="20"/>
    <m/>
    <n v="100000"/>
    <s v="Presupuesto que servirá para cubrir los gastos de los incentivos que se determinaran de acuerdo a la evaluación de los criterios correspondientes para los procesos de restauración."/>
    <s v="Drasam, ARA"/>
    <n v="3000000"/>
    <n v="3031500"/>
    <n v="2000000"/>
    <n v="2021000"/>
    <n v="600000"/>
    <n v="606300"/>
    <n v="600000"/>
    <n v="606300"/>
    <n v="600000"/>
    <n v="606300"/>
    <n v="600000"/>
    <n v="606300"/>
    <n v="600000"/>
    <n v="606300"/>
    <n v="0"/>
    <m/>
    <m/>
    <s v="X"/>
    <m/>
    <s v="RE"/>
    <n v="3"/>
  </r>
  <r>
    <x v="4"/>
    <x v="15"/>
    <s v="Ingresos y Capital"/>
    <n v="6"/>
    <x v="77"/>
    <s v="Implementar los lineamientos finales para poner en vigencia el fondo de garantía de 5 millones de soles, para beneficiar a productores agropecuarios forestales organizados y no organizados que cumplan los atributos de la Marca certificadora “San Martín Región” y los propios requisitos que se establezcan en la directiva del fondo el cual será elaborado por el Gobierno Regional de San Martín en coordinación con la institución que administrará dichos fondos (COFIDE). Dentro de la directiva para la implementación del FONDESAM, se incorporará los mecanismos de tasas preferenciales para los créditos orientados a la innovación (Hoja de ruta del FONDESAM con el beneficiario). a financiar impactos en la cadena de producción."/>
    <s v="NR"/>
    <x v="1"/>
    <s v="Programa de acceso al crédito"/>
    <s v="Acceso al crédito, organizanco a la oferta de productores, capacitándolos y asesorando  educación financiera, desarrollo de productos finacnieros adecuados y asesoria para la  acceso al crédito"/>
    <x v="3"/>
    <s v="COMP 11"/>
    <s v="HABILITANTE"/>
    <x v="18"/>
    <s v="C19"/>
    <s v="Consultoría"/>
    <n v="1"/>
    <n v="1"/>
    <n v="0"/>
    <n v="100000"/>
    <s v="Ejecución de informes de sustento para la Gerencia General del GRSM, consolidación del proceso de modificación del convenio entre el GRSM y COFIDE. Gastos logísticos, administrativos y contratación de especialistas y asesores para culminar el proceso. "/>
    <s v="GRDE"/>
    <n v="100000"/>
    <n v="101050"/>
    <n v="0"/>
    <n v="0"/>
    <n v="100000"/>
    <n v="101050"/>
    <n v="0"/>
    <n v="0"/>
    <n v="0"/>
    <n v="0"/>
    <n v="0"/>
    <n v="0"/>
    <n v="0"/>
    <n v="0"/>
    <n v="0"/>
    <m/>
    <m/>
    <s v="X"/>
    <m/>
    <s v="RE"/>
    <n v="3"/>
  </r>
  <r>
    <x v="4"/>
    <x v="15"/>
    <s v="Programas de inversión pública"/>
    <n v="7"/>
    <x v="78"/>
    <s v="Implementar un programa para productores líderes, contemplando módulos como: Educación Financiera dirigido a pequeños y medianos productores del sector rural, Costos de producción, Productos y servicios financieros, ahorro, capital semilla,  endeudamiento, gestion empresarial, para mejorar la prodcutividad y competitividad. "/>
    <s v="NR"/>
    <x v="1"/>
    <s v="Programa de acceso al crédito"/>
    <s v="Acceso al crédito, organizanco a la oferta de productores, capacitándolos y asesorando  educación financiera, desarrollo de productos finacnieros adecuados y asesoria para la  acceso al crédito"/>
    <x v="4"/>
    <s v="COMP 2"/>
    <s v="HABILITANTE"/>
    <x v="18"/>
    <s v="C19"/>
    <s v="Especialistas"/>
    <n v="20"/>
    <n v="20"/>
    <m/>
    <n v="4000"/>
    <s v="Contratación de profesionales a nivel regional para ejecutar acciones de enseñanza financiera a los productores agropecuarios organizados y no organizados."/>
    <s v="GRDE"/>
    <n v="4800000"/>
    <n v="4850400"/>
    <n v="4800000"/>
    <n v="4850400"/>
    <n v="960000"/>
    <n v="970080"/>
    <n v="960000"/>
    <n v="970080"/>
    <n v="960000"/>
    <n v="970080"/>
    <n v="960000"/>
    <n v="970080"/>
    <n v="960000"/>
    <n v="970080"/>
    <n v="0"/>
    <m/>
    <m/>
    <s v="X"/>
    <m/>
    <s v="RE"/>
    <n v="2"/>
  </r>
  <r>
    <x v="4"/>
    <x v="15"/>
    <s v="Programas de inversión pública"/>
    <n v="8"/>
    <x v="79"/>
    <s v="Implementar los lineamientos finales de la Marca Certificadora &quot;San Martín Región&quot;, asignándole un presupuesto y equipo técnico para poner en vigencia esta herramienta que busca facilitar el acceso a mercados a empresas de los diferentes sectores (agrícola, pecuario, acuícola, apícola, biocomercio, y otros) de la región. Promoción y articulación a mercados diferenciados y  nichos de mercados de alto valor con atributos  de la marca San Martín ( Bajo en emisiones, no vinculado a actividades ilegales, Innovadores y con estándares de calidad). La búsqueda y diversificación de mercados a través de misiones comerciales nacionales e internacionales, con estrategias difernciadas para productos tradicionalmente vinculados a la deforestación. Ejemplo Palma Aceitera."/>
    <s v="NR"/>
    <x v="1"/>
    <s v="Programa de Apoyo especializado para la Competitividad"/>
    <s v="Velar por la calidad y productividad de los productos y  por el acceso al mercado en condiciones competitivas "/>
    <x v="5"/>
    <s v="COMP 10"/>
    <s v="HABILITANTE"/>
    <x v="18"/>
    <s v="C19"/>
    <s v="Consultoría"/>
    <n v="1"/>
    <n v="1"/>
    <n v="0"/>
    <n v="100000"/>
    <s v="Contratación de profesionales para culminar la descripción de los atributos y criterios priorizados, que permitan la operatividad de la marca certificadora &quot;San Martín Región&quot;."/>
    <s v="GRDE, Dircetur"/>
    <n v="100000"/>
    <n v="101050"/>
    <n v="0"/>
    <n v="0"/>
    <n v="100000"/>
    <n v="101050"/>
    <n v="0"/>
    <n v="0"/>
    <n v="0"/>
    <n v="0"/>
    <n v="0"/>
    <n v="0"/>
    <n v="0"/>
    <n v="0"/>
    <n v="0"/>
    <s v="X"/>
    <m/>
    <m/>
    <m/>
    <m/>
    <n v="2"/>
  </r>
  <r>
    <x v="4"/>
    <x v="15"/>
    <s v="Programas de inversión pública"/>
    <n v="9"/>
    <x v="80"/>
    <s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
    <s v="NR"/>
    <x v="0"/>
    <s v="Programa Anticorrupción"/>
    <s v="Establecer los mecanismos,  estrucutras y plan para la participacion activa de la población organizada "/>
    <x v="8"/>
    <s v="COMP 10"/>
    <s v="HABILITANTE"/>
    <x v="18"/>
    <s v="C19"/>
    <s v="Centros Informativos implementados"/>
    <n v="50"/>
    <n v="50"/>
    <m/>
    <n v="5000"/>
    <s v="Se contratará personal adecuado para brindar orientación a la población en situación de vulnerabilidad, así mismo la implementación de los centros informativos con material divulgativo y promociones radiales. "/>
    <s v="GRDS"/>
    <n v="1250000"/>
    <n v="1263125"/>
    <n v="1250000"/>
    <n v="1263125"/>
    <n v="250000"/>
    <n v="252625"/>
    <n v="250000"/>
    <n v="252625"/>
    <n v="250000"/>
    <n v="252625"/>
    <n v="250000"/>
    <n v="252625"/>
    <n v="250000"/>
    <n v="252625"/>
    <n v="0"/>
    <m/>
    <s v="X"/>
    <m/>
    <m/>
    <s v="RE"/>
    <n v="2"/>
  </r>
  <r>
    <x v="4"/>
    <x v="15"/>
    <s v="Programas de inversión privada"/>
    <n v="10"/>
    <x v="81"/>
    <s v="Financiamiento de emprendimientos rurales juveniles para incentivar el empalme generacional y el empleo formal juvenil (incluye fondo de capital semilla para emprendimientos). Promover y financiar emprendimientos orientados a la reducción de emisiones."/>
    <s v="NR"/>
    <x v="2"/>
    <s v="Programa de Emprendimientos juvenil en base a los recursos natural de la Región"/>
    <s v="identificar iniciativas a partir de desarrollo de capacidades a los emprendedores"/>
    <x v="7"/>
    <s v="COMP 6"/>
    <s v="HABILITANTE"/>
    <x v="18"/>
    <s v="C19"/>
    <s v="Planes de negocios"/>
    <n v="250"/>
    <n v="250"/>
    <m/>
    <n v="30000"/>
    <s v="El presupuesto hace referencia a la implementación de planes de negocios agropecuarios, para cubrir gastos como, adquisición de semillas, materiales o equipos que hagan posible el desarrollo de los emprendimientos rurales juveniles."/>
    <s v="GRDE, ARA, Proyectos especiales"/>
    <n v="7500000"/>
    <n v="7578750"/>
    <n v="7500000"/>
    <n v="7578750"/>
    <n v="1500000"/>
    <n v="1515750"/>
    <n v="1500000"/>
    <n v="1515750"/>
    <n v="1500000"/>
    <n v="1515750"/>
    <n v="1500000"/>
    <n v="1515750"/>
    <n v="1500000"/>
    <n v="1515750"/>
    <n v="0"/>
    <s v="X"/>
    <m/>
    <m/>
    <m/>
    <s v="RE"/>
    <n v="2"/>
  </r>
  <r>
    <x v="4"/>
    <x v="15"/>
    <s v="Programas de inversión privada"/>
    <n v="11"/>
    <x v="82"/>
    <s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_x000a_El programa debe regirse según las normas vigentes para  disminuir la informalidad en el sector, así mismo lograr la satisfacción plena de los turistas que visitan la región."/>
    <s v="NR"/>
    <x v="2"/>
    <s v="Programa de Emprendimientos juvenil en base a los recursos natural de la Región"/>
    <s v="identificar iniciativas a partir de desarrollo de capacidades a los emprendedores"/>
    <x v="7"/>
    <s v="COMP 6"/>
    <s v="HABILITANTE"/>
    <x v="18"/>
    <s v="C19"/>
    <s v="Programas  de capacitación"/>
    <n v="50"/>
    <n v="50"/>
    <m/>
    <n v="62000"/>
    <s v="El costo atribuye al fortalecimiento de capacidades de gestión de los diferentes prestadores de servicios turísticos, asi como la implementación de un diplomado para el fortalecimiento de capacidades del personal. "/>
    <s v="GRSM, DIRCETUR"/>
    <n v="560000"/>
    <n v="565880"/>
    <n v="500000"/>
    <n v="505250"/>
    <n v="160000"/>
    <n v="161680"/>
    <n v="100000"/>
    <n v="101050"/>
    <n v="100000"/>
    <n v="101050"/>
    <n v="100000"/>
    <n v="101050"/>
    <n v="100000"/>
    <n v="101050"/>
    <n v="0"/>
    <m/>
    <m/>
    <s v="X"/>
    <m/>
    <m/>
    <n v="2"/>
  </r>
  <r>
    <x v="4"/>
    <x v="15"/>
    <s v="Programas de inversión pública"/>
    <n v="12"/>
    <x v="83"/>
    <s v="Promover el desarrollo comunitario mediante la identificación y cuantificación de recursos disponibles en una determinada jurisdicción, promoviendo la participación activa de todos los actores clave y su articulación a los planes de desarrollo local."/>
    <s v="NR"/>
    <x v="0"/>
    <s v="Programa Anticorrupción"/>
    <s v="Establecer los mecanismos,  estrucutras y plan para la participacion activa de la población organizada "/>
    <x v="8"/>
    <s v="COMP 9"/>
    <s v="HABILITANTE"/>
    <x v="18"/>
    <s v="C19"/>
    <s v="PDC"/>
    <n v="100"/>
    <n v="100"/>
    <m/>
    <n v="20000"/>
    <s v="Contratación de servicios profesionales para la elaboración de los planes de desarrollo comunitario."/>
    <s v="GRSM, DRASAM"/>
    <n v="2000000"/>
    <n v="2021000"/>
    <n v="2000000"/>
    <n v="2021000"/>
    <n v="400000"/>
    <n v="404200"/>
    <n v="400000"/>
    <n v="404200"/>
    <n v="400000"/>
    <n v="404200"/>
    <n v="400000"/>
    <n v="404200"/>
    <n v="400000"/>
    <n v="404200"/>
    <n v="0"/>
    <m/>
    <s v="X"/>
    <m/>
    <m/>
    <m/>
    <n v="2"/>
  </r>
  <r>
    <x v="4"/>
    <x v="15"/>
    <s v="Programas de inversión pública"/>
    <n v="13"/>
    <x v="84"/>
    <s v="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
    <s v="NR"/>
    <x v="1"/>
    <s v="Programa de Apoyo especializado para la Competitividad"/>
    <s v="Velar por la calidad y productividad de los productos y  por el acceso al mercado en condiciones competitivas "/>
    <x v="2"/>
    <s v="COMP 4 "/>
    <s v="HABILITANTE"/>
    <x v="18"/>
    <s v="C19"/>
    <s v="Nº de proyectos ejecutados alineados a las prioridades de investigación e innovación regionales"/>
    <n v="10"/>
    <n v="10"/>
    <m/>
    <n v="72000"/>
    <s v="El costo va estar orientado a tener un equipo técnico especializado que apoye o promueva la generación de estas directivas del PMI, también la adecuación de los requisitos de los programas nacionales con la incorporación de las opiniones favorables del CTRIA y CGRA para ser elegibles; y por último la asistencia técnica para obtención y ejecución de la mayor cantidad de proyectos (de cualquier fuente), alineados a las prioridades regionales"/>
    <n v="0"/>
    <n v="720000"/>
    <n v="727560"/>
    <n v="720000"/>
    <n v="727560"/>
    <n v="144000"/>
    <n v="145512"/>
    <n v="144000"/>
    <n v="145512"/>
    <n v="144000"/>
    <n v="145512"/>
    <n v="144000"/>
    <n v="145512"/>
    <n v="144000"/>
    <n v="145512"/>
    <n v="0"/>
    <m/>
    <s v="X"/>
    <m/>
    <m/>
    <m/>
    <n v="3"/>
  </r>
  <r>
    <x v="4"/>
    <x v="15"/>
    <s v="Programas de inversión privada"/>
    <n v="14"/>
    <x v="85"/>
    <s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_x000a_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s v="NR"/>
    <x v="2"/>
    <s v="Programa de Emprendimientos juvenil en base a los recursos natural de la Región"/>
    <s v="identificar iniciativas a partir de desarrollo de capacidades a los emprendedores"/>
    <x v="7"/>
    <s v="COMP 10"/>
    <s v="HABILITANTE"/>
    <x v="18"/>
    <s v="C19"/>
    <s v="Planes de negocios"/>
    <n v="25"/>
    <n v="25"/>
    <m/>
    <n v="80000"/>
    <s v="El presupuesto hace referencia a la implementación de planes de negocios agroindustriales para cubrir gastos y costos de implementación. Se debe desarrollar los lineamientos para orientar adecuadamente los recursos."/>
    <s v="DIREPRO"/>
    <n v="2000000"/>
    <n v="2021000"/>
    <n v="2000000"/>
    <n v="2021000"/>
    <n v="400000"/>
    <n v="404200"/>
    <n v="400000"/>
    <n v="404200"/>
    <n v="400000"/>
    <n v="404200"/>
    <n v="400000"/>
    <n v="404200"/>
    <n v="400000"/>
    <n v="404200"/>
    <n v="0"/>
    <s v="X"/>
    <m/>
    <m/>
    <m/>
    <m/>
    <n v="3"/>
  </r>
  <r>
    <x v="4"/>
    <x v="15"/>
    <s v="Programas de inversión privada"/>
    <n v="15"/>
    <x v="86"/>
    <s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
    <s v="NR"/>
    <x v="1"/>
    <s v="Programa de Apoyo especializado para la Competitividad"/>
    <s v="Velar por la calidad y productividad de los productos y  por el acceso al mercado en condiciones competitivas "/>
    <x v="5"/>
    <s v="COMP 3"/>
    <s v="HABILITANTE"/>
    <x v="18"/>
    <s v="C19"/>
    <s v="Empresas y organizaciones atendidas"/>
    <n v="30"/>
    <n v="30"/>
    <m/>
    <n v="45000"/>
    <s v="La inversión  estará enfocada a la gestión y renovación de registros sanitarios, implementación de Buenas Prácticas de Manufactura."/>
    <s v="DIREPRO, DIRCETUR"/>
    <n v="6750000"/>
    <n v="6820875"/>
    <n v="6750000"/>
    <n v="6820875"/>
    <n v="1350000"/>
    <n v="1364175"/>
    <n v="1350000"/>
    <n v="1364175"/>
    <n v="1350000"/>
    <n v="1364175"/>
    <n v="1350000"/>
    <n v="1364175"/>
    <n v="1350000"/>
    <n v="1364175"/>
    <n v="0"/>
    <s v="X"/>
    <m/>
    <m/>
    <m/>
    <m/>
    <n v="3"/>
  </r>
  <r>
    <x v="4"/>
    <x v="15"/>
    <s v="Control y vigilancia"/>
    <n v="16"/>
    <x v="87"/>
    <s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
    <s v="NR"/>
    <x v="0"/>
    <s v="Programa Anticorrupción"/>
    <s v="Establecer los mecanismos,  estrucutras y plan para la participacion activa de la población organizada "/>
    <x v="0"/>
    <s v="COMP 8"/>
    <s v="HABILITANTE"/>
    <x v="18"/>
    <s v="C19"/>
    <s v="Títulos registrados"/>
    <n v="1"/>
    <n v="1"/>
    <n v="0"/>
    <n v="105000"/>
    <s v="La implementación del sistema de formalización contempla el diseño de una plataforma digital y el desarrollo de un manual para su adecuado uso y mantenimiento."/>
    <s v="ARA-DRASAM-MINAGRI"/>
    <n v="105000"/>
    <n v="106102.5"/>
    <n v="0"/>
    <n v="0"/>
    <n v="105000"/>
    <n v="106102.5"/>
    <n v="0"/>
    <n v="0"/>
    <n v="0"/>
    <n v="0"/>
    <n v="0"/>
    <n v="0"/>
    <n v="0"/>
    <n v="0"/>
    <n v="0"/>
    <m/>
    <s v="X"/>
    <m/>
    <m/>
    <m/>
    <n v="3"/>
  </r>
  <r>
    <x v="4"/>
    <x v="15"/>
    <s v="Programas de inversión privada"/>
    <n v="17"/>
    <x v="88"/>
    <s v="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
    <s v="NR"/>
    <x v="1"/>
    <s v="Programa de acceso al crédito"/>
    <s v="Acceso al crédito, organizanco a la oferta de productores, capacitándolos y asesorando  educación financiera, desarrollo de productos finacnieros adecuados y asesoria para la  acceso al crédito"/>
    <x v="3"/>
    <s v="COMP 11"/>
    <s v="HABILITANTE"/>
    <x v="18"/>
    <s v="C19"/>
    <s v="Convocatorias / créditos"/>
    <n v="5"/>
    <n v="5"/>
    <n v="5"/>
    <n v="1500000"/>
    <s v="Debe comprender costo de convocatoria, parte legal contractual, fondo de pago por éxitos (entre 1% a 3%), monitoreo y seguimiento"/>
    <s v="OPIPs"/>
    <n v="7500000"/>
    <n v="7578750"/>
    <n v="7500000"/>
    <n v="7578750"/>
    <n v="1500000"/>
    <n v="1515750"/>
    <n v="1500000"/>
    <n v="1515750"/>
    <n v="1500000"/>
    <n v="1515750"/>
    <n v="1500000"/>
    <n v="1515750"/>
    <n v="1500000"/>
    <n v="1515750"/>
    <n v="0"/>
    <m/>
    <m/>
    <n v="0"/>
    <m/>
    <m/>
    <n v="2"/>
  </r>
  <r>
    <x v="4"/>
    <x v="15"/>
    <s v="Ingresos y Capital"/>
    <n v="18"/>
    <x v="89"/>
    <s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
    <s v="NR"/>
    <x v="1"/>
    <s v="Programa de acceso al crédito"/>
    <s v="Acceso al crédito, organizanco a la oferta de productores, capacitándolos y asesorando  educación financiera, desarrollo de productos finacnieros adecuados y asesoria para la  acceso al crédito"/>
    <x v="3"/>
    <s v="COMP 11"/>
    <s v="HABILITANTE"/>
    <x v="18"/>
    <s v="C19"/>
    <s v="Productos financieros específicos para cada cadena implementados"/>
    <n v="10"/>
    <n v="10"/>
    <n v="0"/>
    <n v="35000"/>
    <s v="Consultoría, sistematización de información en campo, al menos dos pilotos en campo, diseño de salvaguardas y monitoreo y compromisos"/>
    <s v="GRDE-DRASAM-OPIPS"/>
    <n v="350000"/>
    <n v="353675"/>
    <n v="0"/>
    <n v="0"/>
    <n v="70000"/>
    <n v="70735"/>
    <n v="70000"/>
    <n v="70735"/>
    <n v="70000"/>
    <n v="70735"/>
    <n v="70000"/>
    <n v="70735"/>
    <n v="70000"/>
    <n v="70735"/>
    <n v="0"/>
    <m/>
    <m/>
    <n v="0"/>
    <m/>
    <m/>
    <n v="3"/>
  </r>
  <r>
    <x v="4"/>
    <x v="15"/>
    <s v="Programas de inversión privada"/>
    <n v="19"/>
    <x v="90"/>
    <s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
    <s v="NR"/>
    <x v="1"/>
    <s v="Programa de Apoyo especializado para la Competitividad"/>
    <s v="Velar por la calidad y productividad de los productos y  por el acceso al mercado en condiciones competitivas "/>
    <x v="5"/>
    <s v="COMP 3"/>
    <s v="HABILITANTE"/>
    <x v="18"/>
    <s v="C19"/>
    <s v="Alianzas privadas entre empresas y productores."/>
    <n v="50"/>
    <n v="50"/>
    <n v="40"/>
    <n v="24000"/>
    <s v="Contratación de especialistas para levantar la información de potenciales alianzas, asistencia técnica en fortalecimiento organizacional y comercial, relaciones comerciales, prácticas agrícolas innovadoras, desarrollo de proveedores y productos financieros, movilidad a áreas productivas, talleres con productores, reuniones con empresas y productores, preparación de propuestas de proyectos o acceso a financiamiento, elaboración de base de datos, diseño de salvaguardas y sistema de monitoreo."/>
    <s v="GRDE-DIRCETUR-OPIPS"/>
    <n v="1200000"/>
    <n v="1212600"/>
    <n v="960000"/>
    <n v="970080"/>
    <n v="240000"/>
    <n v="242520"/>
    <n v="240000"/>
    <n v="242520"/>
    <n v="240000"/>
    <n v="242520"/>
    <n v="240000"/>
    <n v="242520"/>
    <n v="240000"/>
    <n v="242520"/>
    <n v="0"/>
    <m/>
    <m/>
    <n v="0"/>
    <m/>
    <m/>
    <n v="2"/>
  </r>
  <r>
    <x v="4"/>
    <x v="15"/>
    <s v="Programas de inversión privada"/>
    <n v="20"/>
    <x v="91"/>
    <s v="_x000a_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
    <s v="NR"/>
    <x v="1"/>
    <s v="Programa de Apoyo especializado para la Competitividad"/>
    <s v="Velar por la calidad y productividad de los productos y  por el acceso al mercado en condiciones competitivas "/>
    <x v="5"/>
    <s v="COMP 10"/>
    <s v="HABILITANTE"/>
    <x v="18"/>
    <s v="C19"/>
    <s v="Estudios de mercado"/>
    <n v="8"/>
    <n v="8"/>
    <n v="8"/>
    <n v="78000"/>
    <s v="El costo incluye la elaboración de 8 estudios de mercado, estrategias comerciales  e implementación de instrumentos de promoción en los 4 primeros años (S/ 30,000.0 por estudio) y la contratación de  un especialista en DIRCETUR para monitoreo e implementación de dichos estudios por un monto de S/ 48,000.00 al año."/>
    <s v="DIRCETUR-GRDE"/>
    <n v="480000"/>
    <n v="485040"/>
    <n v="480000"/>
    <n v="485040"/>
    <n v="108000"/>
    <n v="109134"/>
    <n v="108000"/>
    <n v="109134"/>
    <n v="108000"/>
    <n v="109134"/>
    <n v="108000"/>
    <n v="109134"/>
    <n v="48000"/>
    <n v="48504"/>
    <n v="0"/>
    <m/>
    <m/>
    <n v="0"/>
    <m/>
    <m/>
    <n v="2"/>
  </r>
  <r>
    <x v="4"/>
    <x v="15"/>
    <s v="Programas de inversión pública"/>
    <n v="21"/>
    <x v="92"/>
    <s v="Reuniones de trabajo con gremios para firma de acuerdo, firma de acuerdo, monitoreo de cumplimiento, generar información para la iniciativa de campeones por los bosques tropicales (TFC), reuniones del espacio regional de la coalición público privada por una producción sostenible"/>
    <s v="NR"/>
    <x v="2"/>
    <s v="Programa de Mejoramiento de condiciones para el monitoreo"/>
    <s v="Desarrollar capaciades en la poblacion y dotarlo de módulos productivos  en compensación a la participación en el monitorei de su ámbito"/>
    <x v="6"/>
    <s v="COMP 10"/>
    <s v="HABILITANTE"/>
    <x v="18"/>
    <s v="C19"/>
    <s v="Acuerdos "/>
    <n v="1"/>
    <n v="1"/>
    <n v="0"/>
    <n v="61000"/>
    <s v="Reuniones de trabajo con empresas, asociaciones de productores y gremios, generar información, reuniones públicas de presentación de acuerdos, difusión internacional de acuerdos"/>
    <s v="ARA-SERFOR-DRASAM-GRDE"/>
    <n v="61000"/>
    <n v="61640.5"/>
    <n v="0"/>
    <n v="0"/>
    <n v="30500"/>
    <n v="30820.25"/>
    <n v="30500"/>
    <n v="30820.25"/>
    <n v="0"/>
    <n v="0"/>
    <n v="0"/>
    <n v="0"/>
    <n v="0"/>
    <n v="0"/>
    <n v="0"/>
    <m/>
    <m/>
    <n v="0"/>
    <m/>
    <m/>
    <n v="3"/>
  </r>
  <r>
    <x v="4"/>
    <x v="15"/>
    <s v="Corrupción"/>
    <n v="22"/>
    <x v="93"/>
    <s v="Diseño de programa de capacitación e implementación, para hacer conocer y cumplir el código de ética de la función pública para evitar los actos de corrupción."/>
    <s v="NR"/>
    <x v="0"/>
    <s v="Programa Anticorrupción"/>
    <s v="Establecer los mecanismos,  estrucutras y plan para la participacion activa de la población organizada "/>
    <x v="0"/>
    <s v="COMP 8"/>
    <s v="HABILITANTE"/>
    <x v="18"/>
    <s v="C19"/>
    <s v="Funcionarios capacitados que aprueban evaluación"/>
    <n v="75"/>
    <n v="75"/>
    <n v="75"/>
    <n v="25"/>
    <s v="Diseño de modulo de capacitación, implementación de curso y evaluación para funcionarios regionales"/>
    <s v="GRSM"/>
    <n v="18750"/>
    <n v="18946.875"/>
    <n v="1875"/>
    <n v="1894.6875"/>
    <n v="3750"/>
    <n v="3789.375"/>
    <n v="3750"/>
    <n v="3789.375"/>
    <n v="3750"/>
    <n v="3789.375"/>
    <n v="3750"/>
    <n v="3789.375"/>
    <n v="3750"/>
    <n v="3789.375"/>
    <n v="0"/>
    <m/>
    <m/>
    <n v="0"/>
    <m/>
    <m/>
    <n v="2"/>
  </r>
  <r>
    <x v="4"/>
    <x v="15"/>
    <s v="Corrupción"/>
    <n v="23"/>
    <x v="94"/>
    <s v="Mejora de los TUPAs (incluye proceso integrado para clasificación de suelos + uso actual de la ley forestal), material de difusión, y capacitaciones periódicas a usuarios"/>
    <s v="NR"/>
    <x v="0"/>
    <s v="Programa Anticorrupción"/>
    <s v="Establecer los mecanismos,  estrucutras y plan para la participacion activa de la población organizada "/>
    <x v="0"/>
    <s v="COMP 8"/>
    <s v="HABILITANTE"/>
    <x v="18"/>
    <s v="C19"/>
    <s v="TUPA  mejorado "/>
    <n v="1"/>
    <n v="1"/>
    <n v="0"/>
    <n v="150000"/>
    <s v="Consultoría de análisis de procedimientos administrativos regionales de la DRA, ARA, GDE, OPIPS, elaboración de proyecto de TUPA, aprobación de TUPA, capacitación a funcionarios, difusión en portal web y elaboración de material informativo para usuarios"/>
    <s v="GRSM"/>
    <n v="150000"/>
    <n v="151575"/>
    <n v="0"/>
    <n v="0"/>
    <n v="150000"/>
    <n v="151575"/>
    <n v="0"/>
    <n v="0"/>
    <n v="0"/>
    <n v="0"/>
    <n v="0"/>
    <n v="0"/>
    <n v="0"/>
    <n v="0"/>
    <n v="0"/>
    <m/>
    <m/>
    <n v="0"/>
    <m/>
    <m/>
    <n v="3"/>
  </r>
  <r>
    <x v="4"/>
    <x v="15"/>
    <s v="Corrupción"/>
    <n v="24"/>
    <x v="95"/>
    <s v="Implementar a nivel regional un clasificador de cargos por especialidades y competencias de las distintas áreas del GRSM, con la finalidad de contar con profesionales altamente capacitados y con experiencia, acorde a los distintos cargos que se disponga en el ámbito regional. Considerar asi mismo afectar esta disposición a los cargos de confianza cumpliendo los requisitos plasmados en el clasificador. "/>
    <s v="NR"/>
    <x v="0"/>
    <s v="Programa Anticorrupción"/>
    <s v="Establecer los mecanismos,  estrucutras y plan para la participacion activa de la población organizada "/>
    <x v="0"/>
    <s v="COMP 8"/>
    <s v="HABILITANTE"/>
    <x v="18"/>
    <s v="C19"/>
    <s v="Clasificador de cargos implementado"/>
    <n v="1"/>
    <n v="1"/>
    <n v="1"/>
    <n v="50000"/>
    <s v="Consultorías, reuniones con trabajadores, sistematización de información y punto focal responsable de implementación"/>
    <s v="GRSM"/>
    <n v="60000"/>
    <n v="60630"/>
    <n v="0"/>
    <n v="0"/>
    <n v="60000"/>
    <n v="60630"/>
    <n v="0"/>
    <n v="0"/>
    <n v="0"/>
    <n v="0"/>
    <n v="0"/>
    <n v="0"/>
    <n v="0"/>
    <n v="0"/>
    <n v="0"/>
    <m/>
    <m/>
    <n v="0"/>
    <m/>
    <m/>
    <n v="2"/>
  </r>
  <r>
    <x v="4"/>
    <x v="15"/>
    <s v="Corrupción"/>
    <n v="25"/>
    <x v="96"/>
    <s v="Ejecutar un estudio sobre las necesidades de la OCI Regional y las OCI de las diferentes direcciones regionales y proyectos especiales referidos a la necesidad de especialistas por cada oficina, asi mismo el perfil profesional minimo para cubrir dichos puestos. Con la finalidad de mejorar y asegurar el ejercicio oportuno, efectivo y eficiente del control gubernamental, así como de optimizar sus capacidades orientadas a la prevención y lucha contra la corrupción."/>
    <s v="NR"/>
    <x v="0"/>
    <s v="Programa Anticorrupción"/>
    <s v="Establecer los mecanismos,  estrucutras y plan para la participacion activa de la población organizada "/>
    <x v="0"/>
    <s v="COMP 8"/>
    <s v="HABILITANTE"/>
    <x v="18"/>
    <s v="C19"/>
    <s v="Estudio"/>
    <n v="1"/>
    <n v="1"/>
    <n v="1"/>
    <n v="30000"/>
    <s v="El costo va estar orientado a tener un equipo con personal especializado "/>
    <s v="CONTRALORIA, OCI, GRSM"/>
    <n v="50000"/>
    <n v="50525"/>
    <n v="0"/>
    <n v="0"/>
    <n v="50000"/>
    <n v="50525"/>
    <n v="0"/>
    <n v="0"/>
    <n v="0"/>
    <n v="0"/>
    <n v="0"/>
    <n v="0"/>
    <n v="0"/>
    <n v="0"/>
    <n v="0"/>
    <m/>
    <m/>
    <n v="0"/>
    <m/>
    <m/>
    <n v="2"/>
  </r>
  <r>
    <x v="4"/>
    <x v="15"/>
    <s v="Corrupción"/>
    <n v="26"/>
    <x v="97"/>
    <s v="Campañas orientadas a sensibilizar el impacto negativo de la corrupcion al crecimiento de la región, asi mismo realizar las denuncias correspondientes de forma anónima para que los órganos competentes puedan aplicar sanciones a dichos actos de corrupción. Brindar las medidas de protección necesarias a las personas que denuncian estos actos. "/>
    <s v="NR"/>
    <x v="0"/>
    <s v="Programa Anticorrupción"/>
    <s v="Establecer los mecanismos,  estrucutras y plan para la participacion activa de la población organizada "/>
    <x v="0"/>
    <s v="COMP 10"/>
    <s v="HABILITANTE"/>
    <x v="18"/>
    <s v="C19"/>
    <s v="Campañas de difudión."/>
    <n v="1"/>
    <n v="1"/>
    <n v="1"/>
    <n v="180000"/>
    <s v="Reuniones de trabajo con empresas, asociaciones de productores y gremios, generar información, reuniones públicas de presentación de acuerdos"/>
    <s v="GRSM"/>
    <n v="900000"/>
    <n v="909450"/>
    <n v="900000"/>
    <n v="909450"/>
    <n v="180000"/>
    <n v="181890"/>
    <n v="180000"/>
    <n v="181890"/>
    <n v="180000"/>
    <n v="181890"/>
    <n v="180000"/>
    <n v="181890"/>
    <n v="180000"/>
    <n v="181890"/>
    <n v="0"/>
    <m/>
    <m/>
    <n v="0"/>
    <m/>
    <m/>
    <n v="2"/>
  </r>
  <r>
    <x v="4"/>
    <x v="15"/>
    <s v="Control y vigilancia"/>
    <n v="27"/>
    <x v="98"/>
    <s v="Reuniones periódicas y extraordinarias de mesa regional de control y vigilancia forestal y de fauna silvestre "/>
    <s v="NR"/>
    <x v="0"/>
    <s v="Programa Anticorrupción"/>
    <s v="Establecer los mecanismos,  estrucutras y plan para la participacion activa de la población organizada "/>
    <x v="0"/>
    <s v="COMP 8"/>
    <s v="HABILITANTE"/>
    <x v="18"/>
    <s v="C19"/>
    <s v="Acuerdos adoptados en las reuniones de la mesa"/>
    <n v="40"/>
    <n v="40"/>
    <n v="40"/>
    <n v="1000"/>
    <s v="Reuniones entre instituciones públicas dedicadas al control y vigilancia forestal para articular protocolos, procedimientos y operativos para el control de la deforestación y tala ilegal"/>
    <s v="SERFOR, ARA, MP, OSINFOR"/>
    <n v="40000"/>
    <n v="40420"/>
    <n v="40000"/>
    <n v="40420"/>
    <n v="8000"/>
    <n v="8084"/>
    <n v="8000"/>
    <n v="8084"/>
    <n v="8000"/>
    <n v="8084"/>
    <n v="8000"/>
    <n v="8084"/>
    <n v="8000"/>
    <n v="8084"/>
    <n v="0"/>
    <m/>
    <m/>
    <n v="0"/>
    <m/>
    <m/>
    <n v="2"/>
  </r>
  <r>
    <x v="4"/>
    <x v="15"/>
    <s v="Control y vigilancia"/>
    <n v="28"/>
    <x v="99"/>
    <s v="1 capacitación de una semana en el ámbito cercano al trabajo de la comunidad (puede ser una capacitación espaciada) "/>
    <s v="NR"/>
    <x v="2"/>
    <s v="Programa de Mejoramiento de condiciones para el monitoreo"/>
    <s v="Desarrollar capaciades en la poblacion y dotarlo de módulos productivos  en compensación a la participación en el monitorei de su ámbito"/>
    <x v="6"/>
    <s v="COMP 10"/>
    <s v="HABILITANTE"/>
    <x v="18"/>
    <s v="C19"/>
    <s v="Ronderos y custodios que aprueban evaluación de capacitación "/>
    <n v="250"/>
    <n v="250"/>
    <n v="250"/>
    <n v="150"/>
    <s v="Considera materiales de capacitación, alimentación a capacitados en el área cercana a su comunidad y gastos de capacitadores"/>
    <s v="SERFOR, ARA, MP, OSINFOR"/>
    <n v="37500"/>
    <n v="37893.75"/>
    <n v="37500"/>
    <n v="37893.75"/>
    <n v="7500"/>
    <n v="7578.75"/>
    <n v="7500"/>
    <n v="7578.75"/>
    <n v="7500"/>
    <n v="7578.75"/>
    <n v="7500"/>
    <n v="7578.75"/>
    <n v="7500"/>
    <n v="7578.75"/>
    <n v="0"/>
    <m/>
    <m/>
    <s v="X"/>
    <m/>
    <m/>
    <n v="2"/>
  </r>
  <r>
    <x v="4"/>
    <x v="15"/>
    <s v="Control y vigilancia"/>
    <n v="29"/>
    <x v="100"/>
    <s v="Uniforme básico, GPS por brigadas,  1 dron por comunidad, equipos de radio por comunidad (radio corta portátil)"/>
    <s v="NR"/>
    <x v="2"/>
    <s v="Programa de Mejoramiento de condiciones para el monitoreo"/>
    <s v="Desarrollar capaciades en la poblacion y dotarlo de módulos productivos  en compensación a la participación en el monitorei de su ámbito"/>
    <x v="6"/>
    <s v="COMP 10"/>
    <s v="HABILITANTE"/>
    <x v="18"/>
    <s v="C19"/>
    <s v="Ronderos y custodios equipados"/>
    <n v="250"/>
    <n v="250"/>
    <n v="250"/>
    <n v="1945"/>
    <s v="Uniforme básico para 250 personas, GPS para 25 comunidades,  1 dron para 25 comunidades, equipos de radio para 25 comunidades (radio corta portátil)"/>
    <s v="ARA "/>
    <n v="486250"/>
    <n v="491355.625"/>
    <n v="486250"/>
    <n v="491355.625"/>
    <n v="97250"/>
    <n v="98271.125"/>
    <n v="97250"/>
    <n v="98271.125"/>
    <n v="97250"/>
    <n v="98271.125"/>
    <n v="97250"/>
    <n v="98271.125"/>
    <n v="97250"/>
    <n v="98271.125"/>
    <n v="0"/>
    <m/>
    <m/>
    <s v="X"/>
    <m/>
    <m/>
    <n v="3"/>
  </r>
  <r>
    <x v="4"/>
    <x v="15"/>
    <s v="Control y vigilancia"/>
    <n v="30"/>
    <x v="101"/>
    <s v="Personal de campo dedicado al control de actividades ilegales (deforestación y tala ilegal),  combustible y raciones para acciones de control"/>
    <s v="NR"/>
    <x v="0"/>
    <s v="Programa Anticorrupción"/>
    <s v="Establecer los mecanismos,  estrucutras y plan para la participacion activa de la población organizada "/>
    <x v="0"/>
    <s v="COMP 8"/>
    <s v="HABILITANTE"/>
    <x v="18"/>
    <s v="C19"/>
    <s v="Informes de inspecciones"/>
    <n v="125"/>
    <n v="125"/>
    <n v="125"/>
    <n v="236000"/>
    <s v="Unidad conformada al menos por cuatro especialistas, y gastos de movilidad y alimentación"/>
    <s v="ARA"/>
    <n v="1180000"/>
    <n v="1192390"/>
    <n v="1180000"/>
    <n v="1192390"/>
    <n v="236000"/>
    <n v="238478"/>
    <n v="236000"/>
    <n v="238478"/>
    <n v="236000"/>
    <n v="238478"/>
    <n v="236000"/>
    <n v="238478"/>
    <n v="236000"/>
    <n v="238478"/>
    <n v="0"/>
    <m/>
    <m/>
    <n v="0"/>
    <m/>
    <m/>
    <n v="3"/>
  </r>
  <r>
    <x v="4"/>
    <x v="15"/>
    <s v="Control y vigilancia"/>
    <n v="31"/>
    <x v="102"/>
    <s v="Equipamiento (GPS, cámaras, computadora),  camionetas, carpas, sleepings, binoculares y uniformes"/>
    <s v="NR"/>
    <x v="0"/>
    <s v="Programa Anticorrupción"/>
    <s v="Establecer los mecanismos,  estrucutras y plan para la participacion activa de la población organizada "/>
    <x v="0"/>
    <s v="COMP 10"/>
    <s v="HABILITANTE"/>
    <x v="18"/>
    <s v="C19"/>
    <s v="Informes de inspecciones"/>
    <n v="0"/>
    <n v="0"/>
    <n v="0"/>
    <n v="1182.4000000000001"/>
    <s v="Dos camionetas, cuatro computadoras, cuatro GPS, cuatro cámaras fotográficas,  ocho uniformes y equipo básico de campo para 4 personas (solo en los primeros cinco años). Considera uniformes nuevos al año 5"/>
    <s v="ARA "/>
    <n v="147800"/>
    <n v="149351.9"/>
    <n v="1600"/>
    <n v="1616.8"/>
    <n v="29560"/>
    <n v="29870.379999999997"/>
    <n v="29560"/>
    <n v="29870.379999999997"/>
    <n v="29560"/>
    <n v="29870.379999999997"/>
    <n v="29560"/>
    <n v="29870.379999999997"/>
    <n v="29560"/>
    <n v="29870.379999999997"/>
    <n v="0"/>
    <m/>
    <m/>
    <n v="0"/>
    <m/>
    <m/>
    <n v="3"/>
  </r>
  <r>
    <x v="4"/>
    <x v="15"/>
    <s v="Control y vigilancia"/>
    <s v="32 A"/>
    <x v="103"/>
    <s v="Contratación de fiscales especializados en materia ambiental para que puedan atender oportunamente la necesidad de toda la región. Actualmente solo se cuenta con 5 fiscales en toda la región distribuidos de la siguiente manera: 2 fiscales para las provincias de (Tocache, Mariscal Cáceres, Bellavista y Huallaga) y 3 fiscales para las provincias de (El Dorado, Picota, Lamas, San Martín, Moyobamba Y Rioja)."/>
    <s v="NR"/>
    <x v="0"/>
    <s v="Programa Anticorrupción"/>
    <s v="Establecer los mecanismos,  estrucutras y plan para la participacion activa de la población organizada "/>
    <x v="0"/>
    <s v="COMP 8"/>
    <s v="HABILITANTE"/>
    <x v="18"/>
    <s v="C19"/>
    <s v="Contratación de fiscales"/>
    <n v="6"/>
    <n v="6"/>
    <n v="6"/>
    <n v="8000"/>
    <s v="Contratación de fiscales."/>
    <s v="ARA"/>
    <n v="2880000"/>
    <n v="2910240"/>
    <n v="2880000"/>
    <n v="2910240"/>
    <n v="576000"/>
    <n v="582048"/>
    <n v="576000"/>
    <n v="582048"/>
    <n v="576000"/>
    <n v="582048"/>
    <n v="576000"/>
    <n v="582048"/>
    <n v="576000"/>
    <n v="582048"/>
    <n v="0"/>
    <m/>
    <m/>
    <n v="0"/>
    <m/>
    <m/>
    <n v="3"/>
  </r>
  <r>
    <x v="4"/>
    <x v="15"/>
    <s v="Control y vigilancia"/>
    <s v="32 B"/>
    <x v="104"/>
    <s v="Implementación de logística para fiscalías especializadas en materia ambiental"/>
    <s v="NR"/>
    <x v="0"/>
    <s v="Programa Anticorrupción"/>
    <s v="Establecer los mecanismos,  estrucutras y plan para la participacion activa de la población organizada "/>
    <x v="0"/>
    <s v="COMP 8"/>
    <s v="HABILITANTE"/>
    <x v="18"/>
    <s v="C19"/>
    <s v="Unidades móviles"/>
    <n v="5"/>
    <n v="5"/>
    <n v="0"/>
    <n v="150000"/>
    <s v="Adquisión de movilidades para la inspección oportuna de los fiscales cuando se reporte algún tipo de delito ambiental."/>
    <s v="ARA"/>
    <n v="750000"/>
    <n v="757875"/>
    <n v="0"/>
    <n v="0"/>
    <n v="750000"/>
    <n v="757875"/>
    <n v="0"/>
    <n v="0"/>
    <n v="0"/>
    <n v="0"/>
    <n v="0"/>
    <n v="0"/>
    <n v="0"/>
    <n v="0"/>
    <n v="0"/>
    <m/>
    <m/>
    <n v="0"/>
    <m/>
    <m/>
    <n v="3"/>
  </r>
  <r>
    <x v="4"/>
    <x v="15"/>
    <s v="Control y vigilancia"/>
    <n v="33"/>
    <x v="105"/>
    <s v="Operativos específicos para control de tala ilegal y deforestación coordinado entre varias instituciones públicas (ARA, MP, OSINFOR, entre otros)"/>
    <s v="NR"/>
    <x v="0"/>
    <s v="Programa Anticorrupción"/>
    <s v="Establecer los mecanismos,  estrucutras y plan para la participacion activa de la población organizada "/>
    <x v="0"/>
    <s v="COMP 8"/>
    <s v="HABILITANTE"/>
    <x v="18"/>
    <s v="C19"/>
    <s v="Procesos administrativos o penales iniciados "/>
    <n v="15"/>
    <n v="15"/>
    <n v="15"/>
    <n v="30000"/>
    <s v="Operativos en campo que implican desplazamiento de la policía nacional del Perú, el ministerio público (gasolina, raciones), sobrevuelo"/>
    <s v="SERFOR, ARA, MP, OSINFOR"/>
    <n v="450000"/>
    <n v="454725"/>
    <n v="450000"/>
    <n v="454725"/>
    <n v="90000"/>
    <n v="90945"/>
    <n v="90000"/>
    <n v="90945"/>
    <n v="90000"/>
    <n v="90945"/>
    <n v="90000"/>
    <n v="90945"/>
    <n v="90000"/>
    <n v="90945"/>
    <n v="0"/>
    <m/>
    <m/>
    <s v="X"/>
    <m/>
    <m/>
    <n v="3"/>
  </r>
  <r>
    <x v="4"/>
    <x v="15"/>
    <s v="Corrupción"/>
    <s v="34 A"/>
    <x v="106"/>
    <s v="a) Mapear procedimientos regionales vinculados a otorgamiento de propiedad agraria (titulación y adjudicaciones), cambio de uso actual de tierras de aptitud A y C, procesos de bosque y estudios de impacto ambiental del sector agrario, b) aprobación de lineamientos o norma complementaria nacional para implementación del  cambio de uso actual de acuerdo a nueva LFFS y RLFFS*, c) elaboración de propuesta de procedimiento regional articulado y modificaciones al TUPA del GORESAM, d) elaboración y aprobación de propuesta de ordenanza regional que aprueba procedimiento y modificación de TUPA del GORESAM, e) capacitación de funcionarios y socialización de actores claves, f) elaboración de estudios de suelos en áreas identificadas para futuros procesos de titulación y adjudicaciones, g) implementación de procedimiento de cambio de uso actual en A y C para definir áreas en donde es posible realizar adjudicaciones de acuerdo a LFFFS, h) ejecución de procedimientos de titulación de predios,  adjucación o cesión en uso. Nota1: la elaboración de estudios de suelos debe ser en grandes espacios en los donde se piensa promover la titulación de predios rurales (a nivel de unidades catastrales) y adjudicaciones agrarias, de maneras previas a las solicitudes de titulación. Nota2: evaluar con DGAA el nivel del estudio de suelo, se recomienda estudios simplificado y un proceso en etapas que permita liberar primero las tierras X y F. Nota 3: Reto opinión previa de SERFOR y MINAM ¿Como no demorar este proceso?                                               "/>
    <s v="NR"/>
    <x v="0"/>
    <s v="Programa Anticorrupción"/>
    <s v="Establecer los mecanismos,  estrucutras y plan para la participacion activa de la población organizada "/>
    <x v="0"/>
    <s v="COMP 8"/>
    <s v="HABILITANTE"/>
    <x v="18"/>
    <s v="C19"/>
    <s v="Documento técnico legal que mapea procesos vinculados al cambio de uso, otorgamiento de la propiedad agraria y evaluaciones de impacto ambiental en el GORESAM"/>
    <n v="1"/>
    <n v="1"/>
    <n v="1"/>
    <n v="20000"/>
    <s v="Analisis técnico y legal (puede hacerse directamente por el equipo del GORESAM o a través de consultores), reuniones de trabajo, facilitadores de reuniones,"/>
    <s v="ARA, DRASAM, GDE, GPP"/>
    <n v="20000"/>
    <n v="20210"/>
    <n v="20000"/>
    <n v="20210"/>
    <n v="20000"/>
    <n v="20210"/>
    <n v="0"/>
    <n v="0"/>
    <n v="0"/>
    <n v="0"/>
    <n v="0"/>
    <n v="0"/>
    <n v="0"/>
    <n v="0"/>
    <n v="0"/>
    <m/>
    <m/>
    <n v="0"/>
    <m/>
    <m/>
    <s v="X"/>
  </r>
  <r>
    <x v="4"/>
    <x v="15"/>
    <s v="Invasiones "/>
    <s v="34 B"/>
    <x v="106"/>
    <s v="Descripciión compartida con 34 A"/>
    <s v="NR"/>
    <x v="0"/>
    <s v="Programa Anticorrupción"/>
    <s v="Establecer los mecanismos,  estrucutras y plan para la participacion activa de la población organizada "/>
    <x v="0"/>
    <s v="COMP 8"/>
    <s v="HABILITANTE"/>
    <x v="18"/>
    <s v="C19"/>
    <s v="Resolución Ministerial, o norma pertiente, que aprueba lineamientos a nivel nacional "/>
    <n v="1"/>
    <n v="1"/>
    <n v="1"/>
    <n v="20000"/>
    <s v="Elaboración de propuesta de norma, talleres de socialización y retroalimentación a nivel nacional, "/>
    <s v="MINAGRI, SERFOR, MINAM"/>
    <n v="20000"/>
    <n v="20210"/>
    <n v="20000"/>
    <n v="20210"/>
    <n v="20000"/>
    <n v="20210"/>
    <n v="0"/>
    <n v="0"/>
    <n v="0"/>
    <n v="0"/>
    <n v="0"/>
    <n v="0"/>
    <n v="0"/>
    <n v="0"/>
    <n v="0"/>
    <m/>
    <m/>
    <n v="0"/>
    <m/>
    <m/>
    <s v="X"/>
  </r>
  <r>
    <x v="4"/>
    <x v="15"/>
    <s v="Corrupción"/>
    <s v="34 C"/>
    <x v="106"/>
    <s v="Descripciión compartida con 34 A"/>
    <s v="NR"/>
    <x v="0"/>
    <s v="Programa Anticorrupción"/>
    <s v="Establecer los mecanismos,  estrucutras y plan para la participacion activa de la población organizada "/>
    <x v="0"/>
    <s v="COMP 8"/>
    <s v="HABILITANTE"/>
    <x v="18"/>
    <s v="C19"/>
    <s v="Ordenanza regional de procedimiento integrado sobre cambio de "/>
    <n v="1"/>
    <n v="1"/>
    <n v="0"/>
    <n v="30000"/>
    <s v="Consultoría para la elaboración de la propuesta de inclusión de procedimiento integrado  de cambio de uso actual."/>
    <s v="DRASAM, ARA, GPP"/>
    <n v="30000"/>
    <n v="30315"/>
    <n v="0"/>
    <n v="0"/>
    <n v="30000"/>
    <n v="30315"/>
    <n v="0"/>
    <n v="0"/>
    <n v="0"/>
    <n v="0"/>
    <n v="0"/>
    <n v="0"/>
    <n v="0"/>
    <n v="0"/>
    <n v="0"/>
    <m/>
    <m/>
    <n v="0"/>
    <m/>
    <m/>
    <s v="X"/>
  </r>
  <r>
    <x v="4"/>
    <x v="15"/>
    <s v="Corrupción"/>
    <s v="34 D"/>
    <x v="106"/>
    <s v="Descripciión compartida con 34 A"/>
    <s v="NR"/>
    <x v="0"/>
    <s v="Programa Anticorrupción"/>
    <s v="Establecer los mecanismos,  estrucutras y plan para la participacion activa de la población organizada "/>
    <x v="0"/>
    <s v="COMP 8"/>
    <s v="HABILITANTE"/>
    <x v="18"/>
    <s v="C19"/>
    <s v="Guias didacticas para implementar el procedimiento "/>
    <n v="1"/>
    <n v="1"/>
    <n v="0"/>
    <n v="20000"/>
    <s v="Elaboración de manual de capacitación y versiones sencillas del procedimiento, talleres de capacitación a usuarios y funcionarios. "/>
    <s v="DRASAM, ARA"/>
    <n v="20000"/>
    <n v="20210"/>
    <n v="0"/>
    <n v="0"/>
    <n v="20000"/>
    <n v="20210"/>
    <n v="0"/>
    <n v="0"/>
    <n v="0"/>
    <n v="0"/>
    <n v="0"/>
    <n v="0"/>
    <n v="0"/>
    <n v="0"/>
    <n v="0"/>
    <m/>
    <m/>
    <n v="0"/>
    <m/>
    <m/>
    <s v="X"/>
  </r>
  <r>
    <x v="4"/>
    <x v="15"/>
    <s v="Corrupción"/>
    <s v="34 E"/>
    <x v="106"/>
    <s v="Descripciión compartida con 34 A"/>
    <s v="NR"/>
    <x v="0"/>
    <s v="Programa Anticorrupción"/>
    <s v="Establecer los mecanismos,  estrucutras y plan para la participacion activa de la población organizada "/>
    <x v="0"/>
    <s v="COMP 8"/>
    <s v="HABILITANTE"/>
    <x v="18"/>
    <s v="C19"/>
    <s v="Hectáreas evaluadas bajo procedimiento de cambio actual con procedimientos integrados. "/>
    <n v="493395.07454789948"/>
    <n v="493395.07454789948"/>
    <n v="493395.07454789948"/>
    <n v="0.98"/>
    <s v="Contratación de especialistas para mapeo de procedimientos administrativos, especialista legal, especialista de costeo, costo operativo de atención de trámites."/>
    <s v="DRASAM, ARA"/>
    <n v="483527.17305694148"/>
    <n v="488604.20837403933"/>
    <n v="483527.17305694148"/>
    <n v="488604.20837403933"/>
    <n v="96705.434611388308"/>
    <n v="97720.841674807874"/>
    <n v="96705.434611388308"/>
    <n v="97720.841674807874"/>
    <n v="96705.434611388308"/>
    <n v="97720.841674807874"/>
    <n v="96705.434611388308"/>
    <n v="97720.841674807874"/>
    <n v="96705.434611388308"/>
    <n v="97720.841674807874"/>
    <n v="0"/>
    <m/>
    <m/>
    <n v="0"/>
    <m/>
    <m/>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36"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DT / USAS">
  <location ref="A3:B48" firstHeaderRow="1" firstDataRow="1" firstDataCol="1"/>
  <pivotFields count="34">
    <pivotField axis="axisRow" showAll="0" sortType="descending">
      <items count="6">
        <item x="3"/>
        <item x="1"/>
        <item x="2"/>
        <item x="0"/>
        <item x="4"/>
        <item t="default"/>
      </items>
      <autoSortScope>
        <pivotArea dataOnly="0" outline="0" fieldPosition="0">
          <references count="1">
            <reference field="4294967294" count="1" selected="0">
              <x v="0"/>
            </reference>
          </references>
        </pivotArea>
      </autoSortScope>
    </pivotField>
    <pivotField axis="axisRow" showAll="0">
      <items count="17">
        <item x="13"/>
        <item x="14"/>
        <item x="11"/>
        <item x="5"/>
        <item x="4"/>
        <item x="12"/>
        <item x="15"/>
        <item x="10"/>
        <item x="6"/>
        <item x="1"/>
        <item x="2"/>
        <item x="8"/>
        <item x="7"/>
        <item x="0"/>
        <item x="3"/>
        <item x="9"/>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numFmtId="171" showAll="0"/>
    <pivotField numFmtId="171" showAll="0"/>
    <pivotField showAll="0"/>
    <pivotField numFmtId="171" showAll="0"/>
    <pivotField showAll="0"/>
    <pivotField showAll="0"/>
    <pivotField numFmtId="171" showAll="0"/>
    <pivotField numFmtId="171" showAll="0"/>
    <pivotField numFmtId="171" showAll="0"/>
    <pivotField numFmtId="171" showAll="0"/>
    <pivotField numFmtId="171" showAll="0"/>
    <pivotField numFmtId="171" showAll="0"/>
    <pivotField numFmtId="171" showAll="0"/>
    <pivotField showAll="0"/>
    <pivotField showAll="0"/>
    <pivotField showAll="0"/>
    <pivotField showAll="0"/>
    <pivotField showAll="0"/>
    <pivotField showAll="0"/>
    <pivotField showAll="0"/>
  </pivotFields>
  <rowFields count="2">
    <field x="0"/>
    <field x="1"/>
  </rowFields>
  <rowItems count="45">
    <i>
      <x v="3"/>
    </i>
    <i r="1">
      <x v="3"/>
    </i>
    <i r="1">
      <x v="4"/>
    </i>
    <i r="1">
      <x v="7"/>
    </i>
    <i r="1">
      <x v="8"/>
    </i>
    <i r="1">
      <x v="9"/>
    </i>
    <i r="1">
      <x v="10"/>
    </i>
    <i r="1">
      <x v="11"/>
    </i>
    <i r="1">
      <x v="12"/>
    </i>
    <i r="1">
      <x v="13"/>
    </i>
    <i r="1">
      <x v="14"/>
    </i>
    <i r="1">
      <x v="15"/>
    </i>
    <i>
      <x v="1"/>
    </i>
    <i r="1">
      <x v="2"/>
    </i>
    <i r="1">
      <x v="4"/>
    </i>
    <i r="1">
      <x v="7"/>
    </i>
    <i r="1">
      <x v="9"/>
    </i>
    <i r="1">
      <x v="10"/>
    </i>
    <i r="1">
      <x v="11"/>
    </i>
    <i r="1">
      <x v="13"/>
    </i>
    <i r="1">
      <x v="14"/>
    </i>
    <i r="1">
      <x v="15"/>
    </i>
    <i>
      <x v="2"/>
    </i>
    <i r="1">
      <x/>
    </i>
    <i r="1">
      <x v="4"/>
    </i>
    <i r="1">
      <x v="5"/>
    </i>
    <i r="1">
      <x v="7"/>
    </i>
    <i r="1">
      <x v="10"/>
    </i>
    <i r="1">
      <x v="11"/>
    </i>
    <i r="1">
      <x v="13"/>
    </i>
    <i r="1">
      <x v="14"/>
    </i>
    <i r="1">
      <x v="15"/>
    </i>
    <i>
      <x/>
    </i>
    <i r="1">
      <x v="1"/>
    </i>
    <i r="1">
      <x v="3"/>
    </i>
    <i r="1">
      <x v="4"/>
    </i>
    <i r="1">
      <x v="5"/>
    </i>
    <i r="1">
      <x v="7"/>
    </i>
    <i r="1">
      <x v="9"/>
    </i>
    <i r="1">
      <x v="10"/>
    </i>
    <i r="1">
      <x v="13"/>
    </i>
    <i r="1">
      <x v="15"/>
    </i>
    <i>
      <x v="4"/>
    </i>
    <i r="1">
      <x v="6"/>
    </i>
    <i t="grand">
      <x/>
    </i>
  </rowItems>
  <colItems count="1">
    <i/>
  </colItems>
  <dataFields count="1">
    <dataField name="# Intervención " fld="4" subtotal="count" baseField="0" baseItem="0"/>
  </dataFields>
  <formats count="36">
    <format dxfId="2083">
      <pivotArea field="0" type="button" dataOnly="0" labelOnly="1" outline="0" axis="axisRow" fieldPosition="0"/>
    </format>
    <format dxfId="2082">
      <pivotArea dataOnly="0" labelOnly="1" fieldPosition="0">
        <references count="1">
          <reference field="0" count="0"/>
        </references>
      </pivotArea>
    </format>
    <format dxfId="2081">
      <pivotArea dataOnly="0" labelOnly="1" grandRow="1" outline="0" fieldPosition="0"/>
    </format>
    <format dxfId="2080">
      <pivotArea dataOnly="0" labelOnly="1" fieldPosition="0">
        <references count="2">
          <reference field="0" count="1" selected="0">
            <x v="0"/>
          </reference>
          <reference field="1" count="8">
            <x v="1"/>
            <x v="3"/>
            <x v="4"/>
            <x v="5"/>
            <x v="7"/>
            <x v="9"/>
            <x v="10"/>
            <x v="11"/>
          </reference>
        </references>
      </pivotArea>
    </format>
    <format dxfId="2079">
      <pivotArea dataOnly="0" labelOnly="1" fieldPosition="0">
        <references count="2">
          <reference field="0" count="1" selected="0">
            <x v="1"/>
          </reference>
          <reference field="1" count="6">
            <x v="2"/>
            <x v="4"/>
            <x v="7"/>
            <x v="9"/>
            <x v="10"/>
            <x v="11"/>
          </reference>
        </references>
      </pivotArea>
    </format>
    <format dxfId="2078">
      <pivotArea dataOnly="0" labelOnly="1" fieldPosition="0">
        <references count="2">
          <reference field="0" count="1" selected="0">
            <x v="2"/>
          </reference>
          <reference field="1" count="6">
            <x v="0"/>
            <x v="4"/>
            <x v="5"/>
            <x v="7"/>
            <x v="10"/>
            <x v="11"/>
          </reference>
        </references>
      </pivotArea>
    </format>
    <format dxfId="2077">
      <pivotArea dataOnly="0" labelOnly="1" fieldPosition="0">
        <references count="2">
          <reference field="0" count="1" selected="0">
            <x v="3"/>
          </reference>
          <reference field="1" count="7">
            <x v="3"/>
            <x v="4"/>
            <x v="7"/>
            <x v="8"/>
            <x v="9"/>
            <x v="10"/>
            <x v="11"/>
          </reference>
        </references>
      </pivotArea>
    </format>
    <format dxfId="2076">
      <pivotArea field="0" type="button" dataOnly="0" labelOnly="1" outline="0" axis="axisRow" fieldPosition="0"/>
    </format>
    <format dxfId="2075">
      <pivotArea dataOnly="0" labelOnly="1" fieldPosition="0">
        <references count="1">
          <reference field="0" count="0"/>
        </references>
      </pivotArea>
    </format>
    <format dxfId="2074">
      <pivotArea dataOnly="0" labelOnly="1" grandRow="1" outline="0" fieldPosition="0"/>
    </format>
    <format dxfId="2073">
      <pivotArea dataOnly="0" labelOnly="1" fieldPosition="0">
        <references count="2">
          <reference field="0" count="1" selected="0">
            <x v="3"/>
          </reference>
          <reference field="1" count="7">
            <x v="3"/>
            <x v="4"/>
            <x v="7"/>
            <x v="8"/>
            <x v="9"/>
            <x v="10"/>
            <x v="11"/>
          </reference>
        </references>
      </pivotArea>
    </format>
    <format dxfId="2072">
      <pivotArea dataOnly="0" labelOnly="1" fieldPosition="0">
        <references count="2">
          <reference field="0" count="1" selected="0">
            <x v="0"/>
          </reference>
          <reference field="1" count="8">
            <x v="1"/>
            <x v="3"/>
            <x v="4"/>
            <x v="5"/>
            <x v="7"/>
            <x v="9"/>
            <x v="10"/>
            <x v="11"/>
          </reference>
        </references>
      </pivotArea>
    </format>
    <format dxfId="2071">
      <pivotArea dataOnly="0" labelOnly="1" fieldPosition="0">
        <references count="2">
          <reference field="0" count="1" selected="0">
            <x v="1"/>
          </reference>
          <reference field="1" count="6">
            <x v="2"/>
            <x v="4"/>
            <x v="7"/>
            <x v="9"/>
            <x v="10"/>
            <x v="11"/>
          </reference>
        </references>
      </pivotArea>
    </format>
    <format dxfId="2070">
      <pivotArea dataOnly="0" labelOnly="1" fieldPosition="0">
        <references count="2">
          <reference field="0" count="1" selected="0">
            <x v="2"/>
          </reference>
          <reference field="1" count="6">
            <x v="0"/>
            <x v="4"/>
            <x v="5"/>
            <x v="7"/>
            <x v="10"/>
            <x v="11"/>
          </reference>
        </references>
      </pivotArea>
    </format>
    <format dxfId="2069">
      <pivotArea field="0" type="button" dataOnly="0" labelOnly="1" outline="0" axis="axisRow" fieldPosition="0"/>
    </format>
    <format dxfId="2068">
      <pivotArea field="0" type="button" dataOnly="0" labelOnly="1" outline="0" axis="axisRow" fieldPosition="0"/>
    </format>
    <format dxfId="2067">
      <pivotArea dataOnly="0" labelOnly="1" outline="0" axis="axisValues" fieldPosition="0"/>
    </format>
    <format dxfId="2066">
      <pivotArea field="0" type="button" dataOnly="0" labelOnly="1" outline="0" axis="axisRow" fieldPosition="0"/>
    </format>
    <format dxfId="2065">
      <pivotArea dataOnly="0" labelOnly="1" outline="0" axis="axisValues" fieldPosition="0"/>
    </format>
    <format dxfId="2064">
      <pivotArea field="0" type="button" dataOnly="0" labelOnly="1" outline="0" axis="axisRow" fieldPosition="0"/>
    </format>
    <format dxfId="2063">
      <pivotArea dataOnly="0" labelOnly="1" outline="0" axis="axisValues" fieldPosition="0"/>
    </format>
    <format dxfId="2062">
      <pivotArea dataOnly="0" labelOnly="1" grandRow="1" outline="0" fieldPosition="0"/>
    </format>
    <format dxfId="2061">
      <pivotArea grandRow="1" outline="0" collapsedLevelsAreSubtotals="1" fieldPosition="0"/>
    </format>
    <format dxfId="2060">
      <pivotArea dataOnly="0" labelOnly="1" grandRow="1" outline="0" fieldPosition="0"/>
    </format>
    <format dxfId="2059">
      <pivotArea grandRow="1" outline="0" collapsedLevelsAreSubtotals="1" fieldPosition="0"/>
    </format>
    <format dxfId="2058">
      <pivotArea dataOnly="0" labelOnly="1" grandRow="1" outline="0" fieldPosition="0"/>
    </format>
    <format dxfId="2057">
      <pivotArea grandRow="1" outline="0" collapsedLevelsAreSubtotals="1" fieldPosition="0"/>
    </format>
    <format dxfId="2056">
      <pivotArea dataOnly="0" labelOnly="1" grandRow="1" outline="0" fieldPosition="0"/>
    </format>
    <format dxfId="2055">
      <pivotArea collapsedLevelsAreSubtotals="1" fieldPosition="0">
        <references count="1">
          <reference field="0" count="1">
            <x v="3"/>
          </reference>
        </references>
      </pivotArea>
    </format>
    <format dxfId="2054">
      <pivotArea dataOnly="0" labelOnly="1" fieldPosition="0">
        <references count="1">
          <reference field="0" count="1">
            <x v="3"/>
          </reference>
        </references>
      </pivotArea>
    </format>
    <format dxfId="2053">
      <pivotArea collapsedLevelsAreSubtotals="1" fieldPosition="0">
        <references count="1">
          <reference field="0" count="1">
            <x v="0"/>
          </reference>
        </references>
      </pivotArea>
    </format>
    <format dxfId="2052">
      <pivotArea dataOnly="0" labelOnly="1" fieldPosition="0">
        <references count="1">
          <reference field="0" count="1">
            <x v="0"/>
          </reference>
        </references>
      </pivotArea>
    </format>
    <format dxfId="2051">
      <pivotArea collapsedLevelsAreSubtotals="1" fieldPosition="0">
        <references count="1">
          <reference field="0" count="1">
            <x v="1"/>
          </reference>
        </references>
      </pivotArea>
    </format>
    <format dxfId="2050">
      <pivotArea dataOnly="0" labelOnly="1" fieldPosition="0">
        <references count="1">
          <reference field="0" count="1">
            <x v="1"/>
          </reference>
        </references>
      </pivotArea>
    </format>
    <format dxfId="2049">
      <pivotArea collapsedLevelsAreSubtotals="1" fieldPosition="0">
        <references count="1">
          <reference field="0" count="1">
            <x v="2"/>
          </reference>
        </references>
      </pivotArea>
    </format>
    <format dxfId="2048">
      <pivotArea dataOnly="0" labelOnly="1" fieldPosition="0">
        <references count="1">
          <reference field="0"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10"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M16" firstHeaderRow="1" firstDataRow="3" firstDataCol="1"/>
  <pivotFields count="35">
    <pivotField axis="axisCol" showAll="0">
      <items count="6">
        <item x="3"/>
        <item x="1"/>
        <item x="2"/>
        <item x="0"/>
        <item x="4"/>
        <item t="default"/>
      </items>
    </pivotField>
    <pivotField showAll="0"/>
    <pivotField showAll="0"/>
    <pivotField showAll="0"/>
    <pivotField dataField="1" showAll="0"/>
    <pivotField showAll="0"/>
    <pivotField showAll="0"/>
    <pivotField showAll="0"/>
    <pivotField axis="axisRow" showAll="0" sortType="descending">
      <items count="11">
        <item x="9"/>
        <item x="8"/>
        <item x="7"/>
        <item x="4"/>
        <item x="2"/>
        <item x="1"/>
        <item x="5"/>
        <item x="0"/>
        <item x="3"/>
        <item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
  </rowFields>
  <rowItems count="11">
    <i>
      <x v="5"/>
    </i>
    <i>
      <x v="8"/>
    </i>
    <i>
      <x/>
    </i>
    <i>
      <x v="4"/>
    </i>
    <i>
      <x v="1"/>
    </i>
    <i>
      <x v="9"/>
    </i>
    <i>
      <x v="7"/>
    </i>
    <i>
      <x v="6"/>
    </i>
    <i>
      <x v="3"/>
    </i>
    <i>
      <x v="2"/>
    </i>
    <i t="grand">
      <x/>
    </i>
  </rowItems>
  <colFields count="2">
    <field x="0"/>
    <field x="-2"/>
  </colFields>
  <colItems count="12">
    <i>
      <x/>
      <x/>
    </i>
    <i r="1" i="1">
      <x v="1"/>
    </i>
    <i>
      <x v="1"/>
      <x/>
    </i>
    <i r="1" i="1">
      <x v="1"/>
    </i>
    <i>
      <x v="2"/>
      <x/>
    </i>
    <i r="1" i="1">
      <x v="1"/>
    </i>
    <i>
      <x v="3"/>
      <x/>
    </i>
    <i r="1" i="1">
      <x v="1"/>
    </i>
    <i>
      <x v="4"/>
      <x/>
    </i>
    <i r="1" i="1">
      <x v="1"/>
    </i>
    <i t="grand">
      <x/>
    </i>
    <i t="grand" i="1">
      <x/>
    </i>
  </colItems>
  <dataFields count="2">
    <dataField name="Suma de 2025 S/" fld="20" baseField="0" baseItem="0" numFmtId="172"/>
    <dataField name="Cuenta de Intervención " fld="4" subtotal="count" baseField="0" baseItem="0"/>
  </dataFields>
  <formats count="12">
    <format dxfId="1617">
      <pivotArea outline="0" collapsedLevelsAreSubtotals="1" fieldPosition="0"/>
    </format>
    <format dxfId="1616">
      <pivotArea dataOnly="0" labelOnly="1" fieldPosition="0">
        <references count="1">
          <reference field="0" count="0"/>
        </references>
      </pivotArea>
    </format>
    <format dxfId="1615">
      <pivotArea dataOnly="0" labelOnly="1" grandCol="1" outline="0" fieldPosition="0"/>
    </format>
    <format dxfId="1614">
      <pivotArea field="8" type="button" dataOnly="0" labelOnly="1" outline="0" axis="axisRow" fieldPosition="0"/>
    </format>
    <format dxfId="1613">
      <pivotArea dataOnly="0" labelOnly="1" fieldPosition="0">
        <references count="1">
          <reference field="0" count="0"/>
        </references>
      </pivotArea>
    </format>
    <format dxfId="1612">
      <pivotArea dataOnly="0" labelOnly="1" grandCol="1" outline="0" fieldPosition="0"/>
    </format>
    <format dxfId="1611">
      <pivotArea field="8" type="button" dataOnly="0" labelOnly="1" outline="0" axis="axisRow" fieldPosition="0"/>
    </format>
    <format dxfId="1610">
      <pivotArea dataOnly="0" labelOnly="1" fieldPosition="0">
        <references count="1">
          <reference field="0" count="0"/>
        </references>
      </pivotArea>
    </format>
    <format dxfId="1609">
      <pivotArea dataOnly="0" labelOnly="1" grandCol="1" outline="0" fieldPosition="0"/>
    </format>
    <format dxfId="1608">
      <pivotArea dataOnly="0" labelOnly="1" fieldPosition="0">
        <references count="1">
          <reference field="8" count="0"/>
        </references>
      </pivotArea>
    </format>
    <format dxfId="1607">
      <pivotArea collapsedLevelsAreSubtotals="1" fieldPosition="0">
        <references count="1">
          <reference field="8" count="1">
            <x v="0"/>
          </reference>
        </references>
      </pivotArea>
    </format>
    <format dxfId="1606">
      <pivotArea dataOnly="0" labelOnly="1" fieldPosition="0">
        <references count="1">
          <reference field="8" count="1">
            <x v="0"/>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Dinámica24"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9" firstHeaderRow="0" firstDataRow="1" firstDataCol="1" rowPageCount="1" colPageCount="1"/>
  <pivotFields count="34">
    <pivotField axis="axisRow" showAll="0">
      <items count="6">
        <item x="3"/>
        <item x="1"/>
        <item x="2"/>
        <item x="0"/>
        <item x="4"/>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numFmtId="171" showAll="0"/>
    <pivotField numFmtId="171" showAll="0"/>
    <pivotField showAll="0"/>
    <pivotField numFmtId="171" showAll="0"/>
    <pivotField showAll="0"/>
    <pivotField showAll="0"/>
    <pivotField dataField="1" numFmtId="171" showAll="0"/>
    <pivotField numFmtId="171" showAll="0"/>
    <pivotField numFmtId="171" showAll="0"/>
    <pivotField numFmtId="171" showAll="0"/>
    <pivotField numFmtId="171" showAll="0"/>
    <pivotField numFmtId="171" showAll="0"/>
    <pivotField numFmtId="171" showAll="0"/>
    <pivotField showAll="0"/>
    <pivotField showAll="0"/>
    <pivotField showAll="0"/>
    <pivotField showAll="0"/>
    <pivotField showAll="0"/>
    <pivotField axis="axisPage" showAll="0">
      <items count="4">
        <item x="0"/>
        <item x="1"/>
        <item x="2"/>
        <item t="default"/>
      </items>
    </pivotField>
    <pivotField showAll="0"/>
  </pivotFields>
  <rowFields count="1">
    <field x="0"/>
  </rowFields>
  <rowItems count="6">
    <i>
      <x/>
    </i>
    <i>
      <x v="1"/>
    </i>
    <i>
      <x v="2"/>
    </i>
    <i>
      <x v="3"/>
    </i>
    <i>
      <x v="4"/>
    </i>
    <i t="grand">
      <x/>
    </i>
  </rowItems>
  <colFields count="1">
    <field x="-2"/>
  </colFields>
  <colItems count="2">
    <i>
      <x/>
    </i>
    <i i="1">
      <x v="1"/>
    </i>
  </colItems>
  <pageFields count="1">
    <pageField fld="32" item="0" hier="-1"/>
  </pageFields>
  <dataFields count="2">
    <dataField name="Cuenta de Intervención " fld="4" subtotal="count" baseField="0" baseItem="0"/>
    <dataField name="Suma de 2025 S/" fld="20" baseField="0" baseItem="0" numFmtId="172"/>
  </dataFields>
  <formats count="1">
    <format dxfId="1605">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Dinámica2"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INTERVENCIONES">
  <location ref="A3:I251" firstHeaderRow="1" firstDataRow="2" firstDataCol="1" rowPageCount="1" colPageCount="1"/>
  <pivotFields count="35">
    <pivotField axis="axisPage" multipleItemSelectionAllowed="1" showAll="0">
      <items count="6">
        <item x="3"/>
        <item x="1"/>
        <item x="2"/>
        <item x="0"/>
        <item x="4"/>
        <item t="default"/>
      </items>
    </pivotField>
    <pivotField axis="axisRow" showAll="0">
      <items count="17">
        <item x="13"/>
        <item x="14"/>
        <item x="11"/>
        <item x="5"/>
        <item x="4"/>
        <item x="12"/>
        <item x="15"/>
        <item x="10"/>
        <item x="6"/>
        <item x="7"/>
        <item x="1"/>
        <item x="2"/>
        <item x="8"/>
        <item x="0"/>
        <item x="3"/>
        <item x="9"/>
        <item t="default"/>
      </items>
    </pivotField>
    <pivotField axis="axisCol" showAll="0">
      <items count="8">
        <item x="4"/>
        <item x="3"/>
        <item x="0"/>
        <item x="1"/>
        <item x="2"/>
        <item x="5"/>
        <item x="6"/>
        <item t="default"/>
      </items>
    </pivotField>
    <pivotField showAll="0"/>
    <pivotField axis="axisRow" dataField="1" showAll="0" sortType="descending">
      <items count="110">
        <item x="30"/>
        <item x="85"/>
        <item x="61"/>
        <item x="62"/>
        <item x="92"/>
        <item x="70"/>
        <item x="46"/>
        <item x="63"/>
        <item x="1"/>
        <item x="68"/>
        <item x="59"/>
        <item x="7"/>
        <item x="21"/>
        <item x="18"/>
        <item x="29"/>
        <item x="97"/>
        <item x="99"/>
        <item x="13"/>
        <item x="60"/>
        <item x="20"/>
        <item x="89"/>
        <item x="69"/>
        <item x="100"/>
        <item x="91"/>
        <item x="31"/>
        <item x="3"/>
        <item x="35"/>
        <item x="84"/>
        <item x="23"/>
        <item x="11"/>
        <item x="80"/>
        <item x="96"/>
        <item x="103"/>
        <item x="104"/>
        <item x="47"/>
        <item x="17"/>
        <item x="10"/>
        <item x="79"/>
        <item x="98"/>
        <item x="105"/>
        <item x="101"/>
        <item x="102"/>
        <item x="77"/>
        <item x="87"/>
        <item x="95"/>
        <item x="8"/>
        <item x="32"/>
        <item x="28"/>
        <item x="26"/>
        <item x="4"/>
        <item x="2"/>
        <item x="50"/>
        <item x="71"/>
        <item x="48"/>
        <item x="19"/>
        <item x="82"/>
        <item x="33"/>
        <item x="9"/>
        <item x="93"/>
        <item x="78"/>
        <item x="76"/>
        <item x="51"/>
        <item x="74"/>
        <item x="6"/>
        <item x="66"/>
        <item x="39"/>
        <item x="58"/>
        <item x="38"/>
        <item x="83"/>
        <item x="12"/>
        <item x="16"/>
        <item x="57"/>
        <item x="37"/>
        <item x="52"/>
        <item x="14"/>
        <item x="90"/>
        <item x="15"/>
        <item x="65"/>
        <item x="64"/>
        <item m="1" x="108"/>
        <item x="88"/>
        <item x="5"/>
        <item x="67"/>
        <item x="49"/>
        <item x="34"/>
        <item x="27"/>
        <item x="94"/>
        <item x="25"/>
        <item x="72"/>
        <item x="0"/>
        <item x="22"/>
        <item x="40"/>
        <item x="41"/>
        <item x="42"/>
        <item x="43"/>
        <item x="44"/>
        <item x="45"/>
        <item x="73"/>
        <item x="53"/>
        <item x="24"/>
        <item x="54"/>
        <item x="55"/>
        <item x="75"/>
        <item x="81"/>
        <item x="86"/>
        <item x="106"/>
        <item m="1" x="107"/>
        <item x="36"/>
        <item x="5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1"/>
  </rowFields>
  <rowItems count="247">
    <i>
      <x v="89"/>
    </i>
    <i r="1">
      <x v="5"/>
    </i>
    <i r="1">
      <x v="10"/>
    </i>
    <i r="1">
      <x v="11"/>
    </i>
    <i r="1">
      <x v="13"/>
    </i>
    <i>
      <x v="74"/>
    </i>
    <i r="1">
      <x v="10"/>
    </i>
    <i r="1">
      <x v="11"/>
    </i>
    <i r="1">
      <x v="13"/>
    </i>
    <i>
      <x v="69"/>
    </i>
    <i r="1">
      <x v="10"/>
    </i>
    <i r="1">
      <x v="11"/>
    </i>
    <i r="1">
      <x v="13"/>
    </i>
    <i>
      <x v="57"/>
    </i>
    <i r="1">
      <x v="10"/>
    </i>
    <i r="1">
      <x v="11"/>
    </i>
    <i r="1">
      <x v="13"/>
    </i>
    <i>
      <x v="50"/>
    </i>
    <i r="1">
      <x v="11"/>
    </i>
    <i r="1">
      <x v="13"/>
    </i>
    <i>
      <x v="93"/>
    </i>
    <i r="1">
      <x v="12"/>
    </i>
    <i r="1">
      <x v="15"/>
    </i>
    <i>
      <x v="35"/>
    </i>
    <i r="1">
      <x v="10"/>
    </i>
    <i r="1">
      <x v="11"/>
    </i>
    <i>
      <x v="90"/>
    </i>
    <i r="1">
      <x v="4"/>
    </i>
    <i r="1">
      <x v="14"/>
    </i>
    <i>
      <x v="92"/>
    </i>
    <i r="1">
      <x v="12"/>
    </i>
    <i r="1">
      <x v="15"/>
    </i>
    <i>
      <x v="81"/>
    </i>
    <i r="1">
      <x v="10"/>
    </i>
    <i r="1">
      <x v="13"/>
    </i>
    <i>
      <x v="94"/>
    </i>
    <i r="1">
      <x v="12"/>
    </i>
    <i r="1">
      <x v="15"/>
    </i>
    <i>
      <x v="47"/>
    </i>
    <i r="1">
      <x/>
    </i>
    <i r="1">
      <x v="1"/>
    </i>
    <i r="1">
      <x v="2"/>
    </i>
    <i r="1">
      <x v="4"/>
    </i>
    <i>
      <x v="105"/>
    </i>
    <i r="1">
      <x v="6"/>
    </i>
    <i>
      <x v="36"/>
    </i>
    <i r="1">
      <x v="13"/>
    </i>
    <i>
      <x v="76"/>
    </i>
    <i r="1">
      <x v="10"/>
    </i>
    <i r="1">
      <x v="13"/>
    </i>
    <i>
      <x v="73"/>
    </i>
    <i r="1">
      <x v="7"/>
    </i>
    <i>
      <x v="11"/>
    </i>
    <i r="1">
      <x v="13"/>
    </i>
    <i>
      <x v="29"/>
    </i>
    <i r="1">
      <x v="13"/>
    </i>
    <i>
      <x v="13"/>
    </i>
    <i r="1">
      <x v="11"/>
    </i>
    <i>
      <x v="17"/>
    </i>
    <i r="1">
      <x v="13"/>
    </i>
    <i>
      <x v="95"/>
    </i>
    <i r="1">
      <x v="15"/>
    </i>
    <i>
      <x v="25"/>
    </i>
    <i r="1">
      <x v="13"/>
    </i>
    <i>
      <x v="26"/>
    </i>
    <i r="1">
      <x/>
    </i>
    <i r="1">
      <x v="1"/>
    </i>
    <i r="1">
      <x v="2"/>
    </i>
    <i r="1">
      <x v="8"/>
    </i>
    <i>
      <x v="49"/>
    </i>
    <i r="1">
      <x v="13"/>
    </i>
    <i>
      <x v="83"/>
    </i>
    <i r="1">
      <x v="7"/>
    </i>
    <i>
      <x v="84"/>
    </i>
    <i r="1">
      <x/>
    </i>
    <i r="1">
      <x v="1"/>
    </i>
    <i r="1">
      <x v="2"/>
    </i>
    <i r="1">
      <x v="8"/>
    </i>
    <i>
      <x v="14"/>
    </i>
    <i r="1">
      <x v="4"/>
    </i>
    <i>
      <x v="8"/>
    </i>
    <i r="1">
      <x v="13"/>
    </i>
    <i>
      <x v="61"/>
    </i>
    <i r="1">
      <x v="7"/>
    </i>
    <i>
      <x v="45"/>
    </i>
    <i r="1">
      <x v="13"/>
    </i>
    <i>
      <x v="63"/>
    </i>
    <i r="1">
      <x v="13"/>
    </i>
    <i>
      <x v="51"/>
    </i>
    <i r="1">
      <x v="7"/>
    </i>
    <i>
      <x v="96"/>
    </i>
    <i r="1">
      <x v="15"/>
    </i>
    <i>
      <x/>
    </i>
    <i r="1">
      <x v="4"/>
    </i>
    <i>
      <x v="54"/>
    </i>
    <i r="1">
      <x v="11"/>
    </i>
    <i>
      <x v="53"/>
    </i>
    <i r="1">
      <x v="7"/>
    </i>
    <i>
      <x v="99"/>
    </i>
    <i r="1">
      <x v="14"/>
    </i>
    <i>
      <x v="28"/>
    </i>
    <i r="1">
      <x v="14"/>
    </i>
    <i>
      <x v="85"/>
    </i>
    <i r="1">
      <x v="14"/>
    </i>
    <i>
      <x v="12"/>
    </i>
    <i r="1">
      <x v="14"/>
    </i>
    <i>
      <x v="91"/>
    </i>
    <i r="1">
      <x v="12"/>
    </i>
    <i>
      <x v="48"/>
    </i>
    <i r="1">
      <x v="14"/>
    </i>
    <i>
      <x v="6"/>
    </i>
    <i r="1">
      <x v="7"/>
    </i>
    <i>
      <x v="70"/>
    </i>
    <i r="1">
      <x v="10"/>
    </i>
    <i>
      <x v="100"/>
    </i>
    <i r="1">
      <x v="14"/>
    </i>
    <i>
      <x v="78"/>
    </i>
    <i r="1">
      <x/>
    </i>
    <i r="1">
      <x v="1"/>
    </i>
    <i>
      <x v="24"/>
    </i>
    <i r="1">
      <x v="3"/>
    </i>
    <i>
      <x v="2"/>
    </i>
    <i r="1">
      <x v="5"/>
    </i>
    <i>
      <x v="7"/>
    </i>
    <i r="1">
      <x v="5"/>
    </i>
    <i>
      <x v="46"/>
    </i>
    <i r="1">
      <x v="3"/>
    </i>
    <i>
      <x v="107"/>
    </i>
    <i r="1">
      <x v="8"/>
    </i>
    <i r="1">
      <x v="9"/>
    </i>
    <i>
      <x v="3"/>
    </i>
    <i r="1">
      <x v="5"/>
    </i>
    <i>
      <x v="77"/>
    </i>
    <i r="1">
      <x/>
    </i>
    <i r="1">
      <x v="1"/>
    </i>
    <i>
      <x v="56"/>
    </i>
    <i r="1">
      <x v="3"/>
    </i>
    <i>
      <x v="82"/>
    </i>
    <i r="1">
      <x/>
    </i>
    <i r="1">
      <x v="1"/>
    </i>
    <i>
      <x v="18"/>
    </i>
    <i r="1">
      <x v="13"/>
    </i>
    <i>
      <x v="34"/>
    </i>
    <i r="1">
      <x v="7"/>
    </i>
    <i>
      <x v="19"/>
    </i>
    <i r="1">
      <x v="14"/>
    </i>
    <i>
      <x v="64"/>
    </i>
    <i r="1">
      <x/>
    </i>
    <i r="1">
      <x v="1"/>
    </i>
    <i>
      <x v="72"/>
    </i>
    <i r="1">
      <x v="8"/>
    </i>
    <i r="1">
      <x v="9"/>
    </i>
    <i>
      <x v="30"/>
    </i>
    <i r="1">
      <x v="6"/>
    </i>
    <i>
      <x v="27"/>
    </i>
    <i r="1">
      <x v="6"/>
    </i>
    <i>
      <x v="59"/>
    </i>
    <i r="1">
      <x v="6"/>
    </i>
    <i>
      <x v="4"/>
    </i>
    <i r="1">
      <x v="6"/>
    </i>
    <i>
      <x v="88"/>
    </i>
    <i r="1">
      <x v="6"/>
    </i>
    <i>
      <x v="62"/>
    </i>
    <i r="1">
      <x v="6"/>
    </i>
    <i>
      <x v="58"/>
    </i>
    <i r="1">
      <x v="6"/>
    </i>
    <i>
      <x v="20"/>
    </i>
    <i r="1">
      <x v="6"/>
    </i>
    <i>
      <x v="38"/>
    </i>
    <i r="1">
      <x v="6"/>
    </i>
    <i>
      <x v="15"/>
    </i>
    <i r="1">
      <x v="6"/>
    </i>
    <i>
      <x v="86"/>
    </i>
    <i r="1">
      <x v="6"/>
    </i>
    <i>
      <x v="65"/>
    </i>
    <i r="1">
      <x v="9"/>
    </i>
    <i>
      <x v="1"/>
    </i>
    <i r="1">
      <x v="6"/>
    </i>
    <i>
      <x v="66"/>
    </i>
    <i r="1">
      <x v="2"/>
    </i>
    <i>
      <x v="32"/>
    </i>
    <i r="1">
      <x v="6"/>
    </i>
    <i>
      <x v="67"/>
    </i>
    <i r="1">
      <x v="8"/>
    </i>
    <i>
      <x v="98"/>
    </i>
    <i r="1">
      <x v="14"/>
    </i>
    <i>
      <x v="68"/>
    </i>
    <i r="1">
      <x v="6"/>
    </i>
    <i>
      <x v="102"/>
    </i>
    <i r="1">
      <x v="6"/>
    </i>
    <i>
      <x v="21"/>
    </i>
    <i r="1">
      <x v="1"/>
    </i>
    <i>
      <x v="37"/>
    </i>
    <i r="1">
      <x v="6"/>
    </i>
    <i>
      <x v="108"/>
    </i>
    <i r="1">
      <x v="2"/>
    </i>
    <i>
      <x v="40"/>
    </i>
    <i r="1">
      <x v="6"/>
    </i>
    <i>
      <x v="10"/>
    </i>
    <i r="1">
      <x v="2"/>
    </i>
    <i>
      <x v="87"/>
    </i>
    <i r="1">
      <x v="14"/>
    </i>
    <i>
      <x v="103"/>
    </i>
    <i r="1">
      <x v="6"/>
    </i>
    <i>
      <x v="41"/>
    </i>
    <i r="1">
      <x v="6"/>
    </i>
    <i>
      <x v="104"/>
    </i>
    <i r="1">
      <x v="6"/>
    </i>
    <i>
      <x v="42"/>
    </i>
    <i r="1">
      <x v="6"/>
    </i>
    <i>
      <x v="52"/>
    </i>
    <i r="1">
      <x v="7"/>
    </i>
    <i>
      <x v="31"/>
    </i>
    <i r="1">
      <x v="6"/>
    </i>
    <i>
      <x v="75"/>
    </i>
    <i r="1">
      <x v="6"/>
    </i>
    <i>
      <x v="33"/>
    </i>
    <i r="1">
      <x v="6"/>
    </i>
    <i>
      <x v="16"/>
    </i>
    <i r="1">
      <x v="6"/>
    </i>
    <i>
      <x v="97"/>
    </i>
    <i r="1">
      <x v="6"/>
    </i>
    <i>
      <x v="5"/>
    </i>
    <i r="1">
      <x v="7"/>
    </i>
    <i>
      <x v="43"/>
    </i>
    <i r="1">
      <x v="6"/>
    </i>
    <i>
      <x v="55"/>
    </i>
    <i r="1">
      <x v="6"/>
    </i>
    <i>
      <x v="101"/>
    </i>
    <i r="1">
      <x v="4"/>
    </i>
    <i>
      <x v="80"/>
    </i>
    <i r="1">
      <x v="6"/>
    </i>
    <i>
      <x v="60"/>
    </i>
    <i r="1">
      <x v="6"/>
    </i>
    <i>
      <x v="39"/>
    </i>
    <i r="1">
      <x v="6"/>
    </i>
    <i>
      <x v="9"/>
    </i>
    <i r="1">
      <x/>
    </i>
    <i>
      <x v="22"/>
    </i>
    <i r="1">
      <x v="6"/>
    </i>
    <i>
      <x v="44"/>
    </i>
    <i r="1">
      <x v="6"/>
    </i>
    <i>
      <x v="23"/>
    </i>
    <i r="1">
      <x v="6"/>
    </i>
    <i>
      <x v="71"/>
    </i>
    <i r="1">
      <x v="2"/>
    </i>
    <i t="grand">
      <x/>
    </i>
  </rowItems>
  <colFields count="1">
    <field x="2"/>
  </colFields>
  <colItems count="8">
    <i>
      <x/>
    </i>
    <i>
      <x v="1"/>
    </i>
    <i>
      <x v="2"/>
    </i>
    <i>
      <x v="3"/>
    </i>
    <i>
      <x v="4"/>
    </i>
    <i>
      <x v="5"/>
    </i>
    <i>
      <x v="6"/>
    </i>
    <i t="grand">
      <x/>
    </i>
  </colItems>
  <pageFields count="1">
    <pageField fld="0" hier="-1"/>
  </pageFields>
  <dataFields count="1">
    <dataField name="Cuenta de Intervención " fld="4" subtotal="count" baseField="0" baseItem="0"/>
  </dataFields>
  <formats count="78">
    <format dxfId="1604">
      <pivotArea dataOnly="0" labelOnly="1" fieldPosition="0">
        <references count="1">
          <reference field="4" count="40">
            <x v="0"/>
            <x v="1"/>
            <x v="2"/>
            <x v="3"/>
            <x v="4"/>
            <x v="5"/>
            <x v="6"/>
            <x v="7"/>
            <x v="8"/>
            <x v="9"/>
            <x v="10"/>
            <x v="11"/>
            <x v="12"/>
            <x v="13"/>
            <x v="14"/>
            <x v="15"/>
            <x v="16"/>
            <x v="17"/>
            <x v="18"/>
            <x v="19"/>
            <x v="20"/>
            <x v="21"/>
            <x v="22"/>
            <x v="23"/>
            <x v="24"/>
            <x v="25"/>
            <x v="26"/>
            <x v="27"/>
            <x v="28"/>
            <x v="29"/>
            <x v="30"/>
            <x v="31"/>
            <x v="32"/>
            <x v="33"/>
            <x v="34"/>
            <x v="35"/>
            <x v="36"/>
            <x v="37"/>
            <x v="38"/>
            <x v="39"/>
          </reference>
        </references>
      </pivotArea>
    </format>
    <format dxfId="1603">
      <pivotArea dataOnly="0" labelOnly="1" fieldPosition="0">
        <references count="1">
          <reference field="4" count="45">
            <x v="40"/>
            <x v="41"/>
            <x v="42"/>
            <x v="43"/>
            <x v="44"/>
            <x v="45"/>
            <x v="46"/>
            <x v="47"/>
            <x v="48"/>
            <x v="49"/>
            <x v="50"/>
            <x v="51"/>
            <x v="52"/>
            <x v="53"/>
            <x v="54"/>
            <x v="55"/>
            <x v="56"/>
            <x v="57"/>
            <x v="58"/>
            <x v="59"/>
            <x v="60"/>
            <x v="61"/>
            <x v="62"/>
            <x v="63"/>
            <x v="64"/>
            <x v="65"/>
            <x v="66"/>
            <x v="67"/>
            <x v="68"/>
            <x v="69"/>
            <x v="70"/>
            <x v="71"/>
            <x v="72"/>
            <x v="73"/>
            <x v="74"/>
            <x v="75"/>
            <x v="76"/>
            <x v="77"/>
            <x v="78"/>
            <x v="79"/>
            <x v="80"/>
            <x v="81"/>
            <x v="82"/>
            <x v="83"/>
            <x v="84"/>
          </reference>
        </references>
      </pivotArea>
    </format>
    <format dxfId="1602">
      <pivotArea dataOnly="0" labelOnly="1" fieldPosition="0">
        <references count="1">
          <reference field="4" count="4">
            <x v="85"/>
            <x v="86"/>
            <x v="87"/>
            <x v="88"/>
          </reference>
        </references>
      </pivotArea>
    </format>
    <format dxfId="1601">
      <pivotArea type="origin" dataOnly="0" labelOnly="1" outline="0" fieldPosition="0"/>
    </format>
    <format dxfId="1600">
      <pivotArea dataOnly="0" labelOnly="1" fieldPosition="0">
        <references count="1">
          <reference field="4" count="40">
            <x v="0"/>
            <x v="1"/>
            <x v="2"/>
            <x v="3"/>
            <x v="4"/>
            <x v="5"/>
            <x v="6"/>
            <x v="7"/>
            <x v="8"/>
            <x v="9"/>
            <x v="10"/>
            <x v="11"/>
            <x v="12"/>
            <x v="13"/>
            <x v="14"/>
            <x v="15"/>
            <x v="16"/>
            <x v="17"/>
            <x v="18"/>
            <x v="19"/>
            <x v="20"/>
            <x v="21"/>
            <x v="22"/>
            <x v="23"/>
            <x v="24"/>
            <x v="25"/>
            <x v="26"/>
            <x v="27"/>
            <x v="28"/>
            <x v="29"/>
            <x v="30"/>
            <x v="31"/>
            <x v="32"/>
            <x v="33"/>
            <x v="34"/>
            <x v="35"/>
            <x v="36"/>
            <x v="37"/>
            <x v="38"/>
            <x v="39"/>
          </reference>
        </references>
      </pivotArea>
    </format>
    <format dxfId="1599">
      <pivotArea dataOnly="0" labelOnly="1" fieldPosition="0">
        <references count="1">
          <reference field="4" count="45">
            <x v="40"/>
            <x v="41"/>
            <x v="42"/>
            <x v="43"/>
            <x v="44"/>
            <x v="45"/>
            <x v="46"/>
            <x v="47"/>
            <x v="48"/>
            <x v="49"/>
            <x v="50"/>
            <x v="51"/>
            <x v="52"/>
            <x v="53"/>
            <x v="54"/>
            <x v="55"/>
            <x v="56"/>
            <x v="57"/>
            <x v="58"/>
            <x v="59"/>
            <x v="60"/>
            <x v="61"/>
            <x v="62"/>
            <x v="63"/>
            <x v="64"/>
            <x v="65"/>
            <x v="66"/>
            <x v="67"/>
            <x v="68"/>
            <x v="69"/>
            <x v="70"/>
            <x v="71"/>
            <x v="72"/>
            <x v="73"/>
            <x v="74"/>
            <x v="75"/>
            <x v="76"/>
            <x v="77"/>
            <x v="78"/>
            <x v="79"/>
            <x v="80"/>
            <x v="81"/>
            <x v="82"/>
            <x v="83"/>
            <x v="84"/>
          </reference>
        </references>
      </pivotArea>
    </format>
    <format dxfId="1598">
      <pivotArea dataOnly="0" labelOnly="1" fieldPosition="0">
        <references count="1">
          <reference field="4" count="4">
            <x v="85"/>
            <x v="86"/>
            <x v="87"/>
            <x v="88"/>
          </reference>
        </references>
      </pivotArea>
    </format>
    <format dxfId="1597">
      <pivotArea dataOnly="0" labelOnly="1" grandRow="1" outline="0" fieldPosition="0"/>
    </format>
    <format dxfId="1596">
      <pivotArea type="origin" dataOnly="0" labelOnly="1" outline="0" fieldPosition="0"/>
    </format>
    <format dxfId="1595">
      <pivotArea dataOnly="0" labelOnly="1" fieldPosition="0">
        <references count="1">
          <reference field="4" count="40">
            <x v="0"/>
            <x v="1"/>
            <x v="2"/>
            <x v="3"/>
            <x v="4"/>
            <x v="5"/>
            <x v="6"/>
            <x v="7"/>
            <x v="8"/>
            <x v="9"/>
            <x v="10"/>
            <x v="11"/>
            <x v="12"/>
            <x v="13"/>
            <x v="14"/>
            <x v="15"/>
            <x v="16"/>
            <x v="17"/>
            <x v="18"/>
            <x v="19"/>
            <x v="20"/>
            <x v="21"/>
            <x v="22"/>
            <x v="23"/>
            <x v="24"/>
            <x v="25"/>
            <x v="26"/>
            <x v="27"/>
            <x v="28"/>
            <x v="29"/>
            <x v="30"/>
            <x v="31"/>
            <x v="32"/>
            <x v="33"/>
            <x v="34"/>
            <x v="35"/>
            <x v="36"/>
            <x v="37"/>
            <x v="38"/>
            <x v="39"/>
          </reference>
        </references>
      </pivotArea>
    </format>
    <format dxfId="1594">
      <pivotArea dataOnly="0" labelOnly="1" fieldPosition="0">
        <references count="1">
          <reference field="4" count="45">
            <x v="40"/>
            <x v="41"/>
            <x v="42"/>
            <x v="43"/>
            <x v="44"/>
            <x v="45"/>
            <x v="46"/>
            <x v="47"/>
            <x v="48"/>
            <x v="49"/>
            <x v="50"/>
            <x v="51"/>
            <x v="52"/>
            <x v="53"/>
            <x v="54"/>
            <x v="55"/>
            <x v="56"/>
            <x v="57"/>
            <x v="58"/>
            <x v="59"/>
            <x v="60"/>
            <x v="61"/>
            <x v="62"/>
            <x v="63"/>
            <x v="64"/>
            <x v="65"/>
            <x v="66"/>
            <x v="67"/>
            <x v="68"/>
            <x v="69"/>
            <x v="70"/>
            <x v="71"/>
            <x v="72"/>
            <x v="73"/>
            <x v="74"/>
            <x v="75"/>
            <x v="76"/>
            <x v="77"/>
            <x v="78"/>
            <x v="79"/>
            <x v="80"/>
            <x v="81"/>
            <x v="82"/>
            <x v="83"/>
            <x v="84"/>
          </reference>
        </references>
      </pivotArea>
    </format>
    <format dxfId="1593">
      <pivotArea dataOnly="0" labelOnly="1" fieldPosition="0">
        <references count="1">
          <reference field="4" count="4">
            <x v="85"/>
            <x v="86"/>
            <x v="87"/>
            <x v="88"/>
          </reference>
        </references>
      </pivotArea>
    </format>
    <format dxfId="1592">
      <pivotArea dataOnly="0" labelOnly="1" grandRow="1" outline="0" fieldPosition="0"/>
    </format>
    <format dxfId="1591">
      <pivotArea dataOnly="0" labelOnly="1" fieldPosition="0">
        <references count="1">
          <reference field="4" count="1">
            <x v="1"/>
          </reference>
        </references>
      </pivotArea>
    </format>
    <format dxfId="1590">
      <pivotArea dataOnly="0" labelOnly="1" fieldPosition="0">
        <references count="1">
          <reference field="2" count="0"/>
        </references>
      </pivotArea>
    </format>
    <format dxfId="1589">
      <pivotArea dataOnly="0" labelOnly="1" grandCol="1" outline="0" fieldPosition="0"/>
    </format>
    <format dxfId="1588">
      <pivotArea field="4" type="button" dataOnly="0" labelOnly="1" outline="0" axis="axisRow" fieldPosition="0"/>
    </format>
    <format dxfId="1587">
      <pivotArea dataOnly="0" labelOnly="1" fieldPosition="0">
        <references count="1">
          <reference field="2" count="0"/>
        </references>
      </pivotArea>
    </format>
    <format dxfId="1586">
      <pivotArea dataOnly="0" labelOnly="1" grandCol="1" outline="0" fieldPosition="0"/>
    </format>
    <format dxfId="1585">
      <pivotArea dataOnly="0" labelOnly="1" fieldPosition="0">
        <references count="1">
          <reference field="2" count="0"/>
        </references>
      </pivotArea>
    </format>
    <format dxfId="1584">
      <pivotArea dataOnly="0" labelOnly="1" grandCol="1" outline="0" fieldPosition="0"/>
    </format>
    <format dxfId="1583">
      <pivotArea field="1" type="button" dataOnly="0" labelOnly="1" outline="0" axis="axisRow" fieldPosition="1"/>
    </format>
    <format dxfId="1582">
      <pivotArea field="1" type="button" dataOnly="0" labelOnly="1" outline="0" axis="axisRow" fieldPosition="1"/>
    </format>
    <format dxfId="1581">
      <pivotArea field="1" type="button" dataOnly="0" labelOnly="1" outline="0" axis="axisRow" fieldPosition="1"/>
    </format>
    <format dxfId="1580">
      <pivotArea field="0" type="button" dataOnly="0" labelOnly="1" outline="0" axis="axisPage" fieldPosition="0"/>
    </format>
    <format dxfId="1579">
      <pivotArea field="0" type="button" dataOnly="0" labelOnly="1" outline="0" axis="axisPage" fieldPosition="0"/>
    </format>
    <format dxfId="1578">
      <pivotArea field="0" type="button" dataOnly="0" labelOnly="1" outline="0" axis="axisPage" fieldPosition="0"/>
    </format>
    <format dxfId="1577">
      <pivotArea dataOnly="0" labelOnly="1" outline="0" fieldPosition="0">
        <references count="1">
          <reference field="0" count="0"/>
        </references>
      </pivotArea>
    </format>
    <format dxfId="1576">
      <pivotArea field="0" type="button" dataOnly="0" labelOnly="1" outline="0" axis="axisPage" fieldPosition="0"/>
    </format>
    <format dxfId="1575">
      <pivotArea dataOnly="0" labelOnly="1" outline="0" fieldPosition="0">
        <references count="1">
          <reference field="0" count="0"/>
        </references>
      </pivotArea>
    </format>
    <format dxfId="1574">
      <pivotArea field="0" type="button" dataOnly="0" labelOnly="1" outline="0" axis="axisPage" fieldPosition="0"/>
    </format>
    <format dxfId="1573">
      <pivotArea type="origin" dataOnly="0" labelOnly="1" outline="0" fieldPosition="0"/>
    </format>
    <format dxfId="1572">
      <pivotArea field="4" type="button" dataOnly="0" labelOnly="1" outline="0" axis="axisRow" fieldPosition="0"/>
    </format>
    <format dxfId="1571">
      <pivotArea dataOnly="0" labelOnly="1" fieldPosition="0">
        <references count="1">
          <reference field="4" count="42">
            <x v="0"/>
            <x v="6"/>
            <x v="8"/>
            <x v="11"/>
            <x v="12"/>
            <x v="13"/>
            <x v="14"/>
            <x v="17"/>
            <x v="24"/>
            <x v="25"/>
            <x v="26"/>
            <x v="28"/>
            <x v="29"/>
            <x v="34"/>
            <x v="35"/>
            <x v="36"/>
            <x v="45"/>
            <x v="46"/>
            <x v="47"/>
            <x v="48"/>
            <x v="49"/>
            <x v="50"/>
            <x v="51"/>
            <x v="53"/>
            <x v="54"/>
            <x v="57"/>
            <x v="61"/>
            <x v="63"/>
            <x v="69"/>
            <x v="70"/>
            <x v="72"/>
            <x v="73"/>
            <x v="74"/>
            <x v="76"/>
            <x v="77"/>
            <x v="78"/>
            <x v="81"/>
            <x v="82"/>
            <x v="83"/>
            <x v="84"/>
            <x v="85"/>
            <x v="87"/>
          </reference>
        </references>
      </pivotArea>
    </format>
    <format dxfId="1570">
      <pivotArea dataOnly="0" labelOnly="1" fieldPosition="0">
        <references count="1">
          <reference field="4" count="41">
            <x v="2"/>
            <x v="3"/>
            <x v="4"/>
            <x v="5"/>
            <x v="7"/>
            <x v="9"/>
            <x v="10"/>
            <x v="15"/>
            <x v="16"/>
            <x v="18"/>
            <x v="19"/>
            <x v="20"/>
            <x v="21"/>
            <x v="22"/>
            <x v="23"/>
            <x v="27"/>
            <x v="30"/>
            <x v="31"/>
            <x v="32"/>
            <x v="37"/>
            <x v="38"/>
            <x v="39"/>
            <x v="40"/>
            <x v="41"/>
            <x v="43"/>
            <x v="44"/>
            <x v="52"/>
            <x v="55"/>
            <x v="56"/>
            <x v="59"/>
            <x v="60"/>
            <x v="62"/>
            <x v="64"/>
            <x v="65"/>
            <x v="68"/>
            <x v="71"/>
            <x v="75"/>
            <x v="79"/>
            <x v="80"/>
            <x v="86"/>
            <x v="88"/>
          </reference>
        </references>
      </pivotArea>
    </format>
    <format dxfId="1569">
      <pivotArea dataOnly="0" labelOnly="1" fieldPosition="0">
        <references count="1">
          <reference field="4" count="6">
            <x v="1"/>
            <x v="33"/>
            <x v="42"/>
            <x v="58"/>
            <x v="66"/>
            <x v="67"/>
          </reference>
        </references>
      </pivotArea>
    </format>
    <format dxfId="1568">
      <pivotArea dataOnly="0" labelOnly="1" grandRow="1" outline="0" fieldPosition="0"/>
    </format>
    <format dxfId="1567">
      <pivotArea field="4" type="button" dataOnly="0" labelOnly="1" outline="0" axis="axisRow" fieldPosition="0"/>
    </format>
    <format dxfId="1566">
      <pivotArea field="0" type="button" dataOnly="0" labelOnly="1" outline="0" axis="axisPage" fieldPosition="0"/>
    </format>
    <format dxfId="1565">
      <pivotArea dataOnly="0" labelOnly="1" outline="0" fieldPosition="0">
        <references count="1">
          <reference field="0" count="0"/>
        </references>
      </pivotArea>
    </format>
    <format dxfId="1564">
      <pivotArea field="0" type="button" dataOnly="0" labelOnly="1" outline="0" axis="axisPage" fieldPosition="0"/>
    </format>
    <format dxfId="1563">
      <pivotArea type="origin" dataOnly="0" labelOnly="1" outline="0" fieldPosition="0"/>
    </format>
    <format dxfId="1562">
      <pivotArea field="4" type="button" dataOnly="0" labelOnly="1" outline="0" axis="axisRow" fieldPosition="0"/>
    </format>
    <format dxfId="1561">
      <pivotArea dataOnly="0" labelOnly="1" fieldPosition="0">
        <references count="1">
          <reference field="4" count="43">
            <x v="0"/>
            <x v="2"/>
            <x v="3"/>
            <x v="5"/>
            <x v="7"/>
            <x v="8"/>
            <x v="11"/>
            <x v="13"/>
            <x v="14"/>
            <x v="17"/>
            <x v="18"/>
            <x v="21"/>
            <x v="24"/>
            <x v="25"/>
            <x v="26"/>
            <x v="29"/>
            <x v="35"/>
            <x v="36"/>
            <x v="45"/>
            <x v="46"/>
            <x v="47"/>
            <x v="49"/>
            <x v="50"/>
            <x v="51"/>
            <x v="52"/>
            <x v="53"/>
            <x v="54"/>
            <x v="56"/>
            <x v="57"/>
            <x v="61"/>
            <x v="63"/>
            <x v="64"/>
            <x v="69"/>
            <x v="70"/>
            <x v="73"/>
            <x v="74"/>
            <x v="76"/>
            <x v="77"/>
            <x v="78"/>
            <x v="81"/>
            <x v="82"/>
            <x v="83"/>
            <x v="84"/>
          </reference>
        </references>
      </pivotArea>
    </format>
    <format dxfId="1560">
      <pivotArea dataOnly="0" labelOnly="1" grandRow="1" outline="0" fieldPosition="0"/>
    </format>
    <format dxfId="1559">
      <pivotArea dataOnly="0" labelOnly="1" fieldPosition="0">
        <references count="2">
          <reference field="1" count="2">
            <x v="10"/>
            <x v="11"/>
          </reference>
          <reference field="4" count="1" selected="0">
            <x v="69"/>
          </reference>
        </references>
      </pivotArea>
    </format>
    <format dxfId="1558">
      <pivotArea dataOnly="0" labelOnly="1" fieldPosition="0">
        <references count="2">
          <reference field="1" count="2">
            <x v="10"/>
            <x v="11"/>
          </reference>
          <reference field="4" count="1" selected="0">
            <x v="57"/>
          </reference>
        </references>
      </pivotArea>
    </format>
    <format dxfId="1557">
      <pivotArea dataOnly="0" labelOnly="1" fieldPosition="0">
        <references count="2">
          <reference field="1" count="2">
            <x v="10"/>
            <x v="11"/>
          </reference>
          <reference field="4" count="1" selected="0">
            <x v="74"/>
          </reference>
        </references>
      </pivotArea>
    </format>
    <format dxfId="1556">
      <pivotArea dataOnly="0" labelOnly="1" fieldPosition="0">
        <references count="2">
          <reference field="1" count="1">
            <x v="10"/>
          </reference>
          <reference field="4" count="1" selected="0">
            <x v="81"/>
          </reference>
        </references>
      </pivotArea>
    </format>
    <format dxfId="1555">
      <pivotArea dataOnly="0" labelOnly="1" fieldPosition="0">
        <references count="2">
          <reference field="1" count="1">
            <x v="11"/>
          </reference>
          <reference field="4" count="1" selected="0">
            <x v="50"/>
          </reference>
        </references>
      </pivotArea>
    </format>
    <format dxfId="1554">
      <pivotArea dataOnly="0" labelOnly="1" fieldPosition="0">
        <references count="2">
          <reference field="1" count="2">
            <x v="1"/>
            <x v="4"/>
          </reference>
          <reference field="4" count="1" selected="0">
            <x v="47"/>
          </reference>
        </references>
      </pivotArea>
    </format>
    <format dxfId="1553">
      <pivotArea dataOnly="0" labelOnly="1" fieldPosition="0">
        <references count="2">
          <reference field="1" count="2">
            <x v="10"/>
            <x v="11"/>
          </reference>
          <reference field="4" count="1" selected="0">
            <x v="35"/>
          </reference>
        </references>
      </pivotArea>
    </format>
    <format dxfId="1552">
      <pivotArea dataOnly="0" labelOnly="1" fieldPosition="0">
        <references count="2">
          <reference field="1" count="1">
            <x v="7"/>
          </reference>
          <reference field="4" count="1" selected="0">
            <x v="5"/>
          </reference>
        </references>
      </pivotArea>
    </format>
    <format dxfId="1551">
      <pivotArea dataOnly="0" labelOnly="1" fieldPosition="0">
        <references count="2">
          <reference field="1" count="1">
            <x v="7"/>
          </reference>
          <reference field="4" count="1" selected="0">
            <x v="53"/>
          </reference>
        </references>
      </pivotArea>
    </format>
    <format dxfId="1550">
      <pivotArea dataOnly="0" labelOnly="1" fieldPosition="0">
        <references count="2">
          <reference field="1" count="1">
            <x v="7"/>
          </reference>
          <reference field="4" count="1" selected="0">
            <x v="61"/>
          </reference>
        </references>
      </pivotArea>
    </format>
    <format dxfId="1549">
      <pivotArea dataOnly="0" labelOnly="1" fieldPosition="0">
        <references count="2">
          <reference field="1" count="1">
            <x v="10"/>
          </reference>
          <reference field="4" count="1" selected="0">
            <x v="76"/>
          </reference>
        </references>
      </pivotArea>
    </format>
    <format dxfId="1548">
      <pivotArea dataOnly="0" labelOnly="1" fieldPosition="0">
        <references count="2">
          <reference field="1" count="1">
            <x v="11"/>
          </reference>
          <reference field="4" count="1" selected="0">
            <x v="13"/>
          </reference>
        </references>
      </pivotArea>
    </format>
    <format dxfId="1547">
      <pivotArea dataOnly="0" labelOnly="1" fieldPosition="0">
        <references count="2">
          <reference field="1" count="1">
            <x v="7"/>
          </reference>
          <reference field="4" count="1" selected="0">
            <x v="51"/>
          </reference>
        </references>
      </pivotArea>
    </format>
    <format dxfId="1546">
      <pivotArea dataOnly="0" labelOnly="1" fieldPosition="0">
        <references count="2">
          <reference field="1" count="1">
            <x v="4"/>
          </reference>
          <reference field="4" count="1" selected="0">
            <x v="14"/>
          </reference>
        </references>
      </pivotArea>
    </format>
    <format dxfId="1545">
      <pivotArea dataOnly="0" labelOnly="1" fieldPosition="0">
        <references count="2">
          <reference field="1" count="1">
            <x v="3"/>
          </reference>
          <reference field="4" count="1" selected="0">
            <x v="56"/>
          </reference>
        </references>
      </pivotArea>
    </format>
    <format dxfId="1544">
      <pivotArea dataOnly="0" labelOnly="1" fieldPosition="0">
        <references count="2">
          <reference field="1" count="1">
            <x v="1"/>
          </reference>
          <reference field="4" count="1" selected="0">
            <x v="64"/>
          </reference>
        </references>
      </pivotArea>
    </format>
    <format dxfId="1543">
      <pivotArea dataOnly="0" labelOnly="1" fieldPosition="0">
        <references count="2">
          <reference field="1" count="1">
            <x v="7"/>
          </reference>
          <reference field="4" count="1" selected="0">
            <x v="73"/>
          </reference>
        </references>
      </pivotArea>
    </format>
    <format dxfId="1542">
      <pivotArea dataOnly="0" labelOnly="1" fieldPosition="0">
        <references count="2">
          <reference field="1" count="1">
            <x v="5"/>
          </reference>
          <reference field="4" count="1" selected="0">
            <x v="7"/>
          </reference>
        </references>
      </pivotArea>
    </format>
    <format dxfId="1541">
      <pivotArea dataOnly="0" labelOnly="1" fieldPosition="0">
        <references count="2">
          <reference field="1" count="1">
            <x v="1"/>
          </reference>
          <reference field="4" count="1" selected="0">
            <x v="21"/>
          </reference>
        </references>
      </pivotArea>
    </format>
    <format dxfId="1540">
      <pivotArea dataOnly="0" labelOnly="1" fieldPosition="0">
        <references count="2">
          <reference field="1" count="1">
            <x v="5"/>
          </reference>
          <reference field="4" count="1" selected="0">
            <x v="2"/>
          </reference>
        </references>
      </pivotArea>
    </format>
    <format dxfId="1539">
      <pivotArea dataOnly="0" labelOnly="1" fieldPosition="0">
        <references count="2">
          <reference field="1" count="1">
            <x v="3"/>
          </reference>
          <reference field="4" count="1" selected="0">
            <x v="24"/>
          </reference>
        </references>
      </pivotArea>
    </format>
    <format dxfId="1538">
      <pivotArea dataOnly="0" labelOnly="1" fieldPosition="0">
        <references count="2">
          <reference field="1" count="1">
            <x v="7"/>
          </reference>
          <reference field="4" count="1" selected="0">
            <x v="52"/>
          </reference>
        </references>
      </pivotArea>
    </format>
    <format dxfId="1537">
      <pivotArea dataOnly="0" labelOnly="1" fieldPosition="0">
        <references count="2">
          <reference field="1" count="1">
            <x v="11"/>
          </reference>
          <reference field="4" count="1" selected="0">
            <x v="54"/>
          </reference>
        </references>
      </pivotArea>
    </format>
    <format dxfId="1536">
      <pivotArea dataOnly="0" labelOnly="1" fieldPosition="0">
        <references count="2">
          <reference field="1" count="1">
            <x v="1"/>
          </reference>
          <reference field="4" count="1" selected="0">
            <x v="26"/>
          </reference>
        </references>
      </pivotArea>
    </format>
    <format dxfId="1535">
      <pivotArea dataOnly="0" labelOnly="1" fieldPosition="0">
        <references count="2">
          <reference field="1" count="1">
            <x v="5"/>
          </reference>
          <reference field="4" count="1" selected="0">
            <x v="3"/>
          </reference>
        </references>
      </pivotArea>
    </format>
    <format dxfId="1534">
      <pivotArea dataOnly="0" labelOnly="1" fieldPosition="0">
        <references count="2">
          <reference field="1" count="1">
            <x v="1"/>
          </reference>
          <reference field="4" count="1" selected="0">
            <x v="78"/>
          </reference>
        </references>
      </pivotArea>
    </format>
    <format dxfId="1533">
      <pivotArea dataOnly="0" labelOnly="1" fieldPosition="0">
        <references count="2">
          <reference field="1" count="1">
            <x v="10"/>
          </reference>
          <reference field="4" count="1" selected="0">
            <x v="70"/>
          </reference>
        </references>
      </pivotArea>
    </format>
    <format dxfId="1532">
      <pivotArea dataOnly="0" labelOnly="1" fieldPosition="0">
        <references count="2">
          <reference field="1" count="1">
            <x v="7"/>
          </reference>
          <reference field="4" count="1" selected="0">
            <x v="83"/>
          </reference>
        </references>
      </pivotArea>
    </format>
    <format dxfId="1531">
      <pivotArea dataOnly="0" labelOnly="1" fieldPosition="0">
        <references count="2">
          <reference field="1" count="1">
            <x v="1"/>
          </reference>
          <reference field="4" count="1" selected="0">
            <x v="77"/>
          </reference>
        </references>
      </pivotArea>
    </format>
    <format dxfId="1530">
      <pivotArea dataOnly="0" labelOnly="1" fieldPosition="0">
        <references count="2">
          <reference field="1" count="1">
            <x v="1"/>
          </reference>
          <reference field="4" count="1" selected="0">
            <x v="84"/>
          </reference>
        </references>
      </pivotArea>
    </format>
    <format dxfId="1529">
      <pivotArea dataOnly="0" labelOnly="1" fieldPosition="0">
        <references count="2">
          <reference field="1" count="1">
            <x v="4"/>
          </reference>
          <reference field="4" count="1" selected="0">
            <x v="0"/>
          </reference>
        </references>
      </pivotArea>
    </format>
    <format dxfId="1528">
      <pivotArea dataOnly="0" labelOnly="1" fieldPosition="0">
        <references count="2">
          <reference field="1" count="1">
            <x v="1"/>
          </reference>
          <reference field="4" count="1" selected="0">
            <x v="82"/>
          </reference>
        </references>
      </pivotArea>
    </format>
    <format dxfId="1527">
      <pivotArea dataOnly="0" labelOnly="1" fieldPosition="0">
        <references count="2">
          <reference field="1" count="1">
            <x v="3"/>
          </reference>
          <reference field="4" count="1" selected="0">
            <x v="46"/>
          </reference>
        </references>
      </pivotArea>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Dinámica23"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 rowHeaderCaption="UDT">
  <location ref="A3:I10" firstHeaderRow="1" firstDataRow="2" firstDataCol="1"/>
  <pivotFields count="35">
    <pivotField axis="axisRow" showAll="0" sortType="descending">
      <items count="6">
        <item sd="0" x="3"/>
        <item sd="0" x="1"/>
        <item sd="0" x="2"/>
        <item sd="0" x="0"/>
        <item x="4"/>
        <item t="default"/>
      </items>
      <autoSortScope>
        <pivotArea dataOnly="0" outline="0" fieldPosition="0">
          <references count="1">
            <reference field="4294967294" count="1" selected="0">
              <x v="0"/>
            </reference>
          </references>
        </pivotArea>
      </autoSortScope>
    </pivotField>
    <pivotField showAll="0"/>
    <pivotField axis="axisCol" showAll="0" sortType="descending">
      <items count="8">
        <item x="4"/>
        <item x="5"/>
        <item x="3"/>
        <item x="0"/>
        <item x="2"/>
        <item x="1"/>
        <item x="6"/>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v="3"/>
    </i>
    <i>
      <x v="1"/>
    </i>
    <i>
      <x v="2"/>
    </i>
    <i>
      <x/>
    </i>
    <i>
      <x v="4"/>
    </i>
    <i t="grand">
      <x/>
    </i>
  </rowItems>
  <colFields count="1">
    <field x="2"/>
  </colFields>
  <colItems count="8">
    <i>
      <x v="5"/>
    </i>
    <i>
      <x v="4"/>
    </i>
    <i>
      <x/>
    </i>
    <i>
      <x v="3"/>
    </i>
    <i>
      <x v="2"/>
    </i>
    <i>
      <x v="1"/>
    </i>
    <i>
      <x v="6"/>
    </i>
    <i t="grand">
      <x/>
    </i>
  </colItems>
  <dataFields count="1">
    <dataField name="Cuenta de Intervención " fld="4" subtotal="count" baseField="0" baseItem="0"/>
  </dataFields>
  <formats count="20">
    <format dxfId="1526">
      <pivotArea field="2" type="button" dataOnly="0" labelOnly="1" outline="0" axis="axisCol" fieldPosition="0"/>
    </format>
    <format dxfId="1525">
      <pivotArea dataOnly="0" labelOnly="1" fieldPosition="0">
        <references count="1">
          <reference field="0" count="0"/>
        </references>
      </pivotArea>
    </format>
    <format dxfId="1524">
      <pivotArea field="2" type="button" dataOnly="0" labelOnly="1" outline="0" axis="axisCol" fieldPosition="0"/>
    </format>
    <format dxfId="1523">
      <pivotArea field="2" type="button" dataOnly="0" labelOnly="1" outline="0" axis="axisCol" fieldPosition="0"/>
    </format>
    <format dxfId="1522">
      <pivotArea dataOnly="0" labelOnly="1" fieldPosition="0">
        <references count="1">
          <reference field="0" count="0"/>
        </references>
      </pivotArea>
    </format>
    <format dxfId="1521">
      <pivotArea dataOnly="0" labelOnly="1" grandCol="1" outline="0" fieldPosition="0"/>
    </format>
    <format dxfId="1520">
      <pivotArea dataOnly="0" labelOnly="1" fieldPosition="0">
        <references count="1">
          <reference field="0" count="0"/>
        </references>
      </pivotArea>
    </format>
    <format dxfId="1519">
      <pivotArea collapsedLevelsAreSubtotals="1" fieldPosition="0">
        <references count="1">
          <reference field="0" count="0"/>
        </references>
      </pivotArea>
    </format>
    <format dxfId="1518">
      <pivotArea collapsedLevelsAreSubtotals="1" fieldPosition="0">
        <references count="1">
          <reference field="0" count="0"/>
        </references>
      </pivotArea>
    </format>
    <format dxfId="1517">
      <pivotArea dataOnly="0" labelOnly="1" fieldPosition="0">
        <references count="1">
          <reference field="2" count="0"/>
        </references>
      </pivotArea>
    </format>
    <format dxfId="1516">
      <pivotArea grandRow="1" outline="0" collapsedLevelsAreSubtotals="1" fieldPosition="0"/>
    </format>
    <format dxfId="1515">
      <pivotArea outline="0" collapsedLevelsAreSubtotals="1" fieldPosition="0"/>
    </format>
    <format dxfId="1514">
      <pivotArea dataOnly="0" labelOnly="1" fieldPosition="0">
        <references count="1">
          <reference field="0" count="0"/>
        </references>
      </pivotArea>
    </format>
    <format dxfId="1513">
      <pivotArea dataOnly="0" labelOnly="1" grandRow="1" outline="0" fieldPosition="0"/>
    </format>
    <format dxfId="1512">
      <pivotArea field="0" type="button" dataOnly="0" labelOnly="1" outline="0" axis="axisRow" fieldPosition="0"/>
    </format>
    <format dxfId="1511">
      <pivotArea dataOnly="0" labelOnly="1" fieldPosition="0">
        <references count="1">
          <reference field="2" count="0"/>
        </references>
      </pivotArea>
    </format>
    <format dxfId="1510">
      <pivotArea dataOnly="0" labelOnly="1" grandCol="1" outline="0" fieldPosition="0"/>
    </format>
    <format dxfId="1509">
      <pivotArea field="0" type="button" dataOnly="0" labelOnly="1" outline="0" axis="axisRow" fieldPosition="0"/>
    </format>
    <format dxfId="1508">
      <pivotArea dataOnly="0" labelOnly="1" fieldPosition="0">
        <references count="1">
          <reference field="2" count="0"/>
        </references>
      </pivotArea>
    </format>
    <format dxfId="1507">
      <pivotArea dataOnly="0" labelOnly="1" grandCol="1" outline="0" fieldPosition="0"/>
    </format>
  </formats>
  <chartFormats count="10">
    <chartFormat chart="1" format="0" series="1">
      <pivotArea type="data" outline="0" fieldPosition="0">
        <references count="2">
          <reference field="4294967294" count="1" selected="0">
            <x v="0"/>
          </reference>
          <reference field="0" count="1" selected="0">
            <x v="0"/>
          </reference>
        </references>
      </pivotArea>
    </chartFormat>
    <chartFormat chart="1" format="1" series="1">
      <pivotArea type="data" outline="0" fieldPosition="0">
        <references count="2">
          <reference field="4294967294" count="1" selected="0">
            <x v="0"/>
          </reference>
          <reference field="0" count="1" selected="0">
            <x v="1"/>
          </reference>
        </references>
      </pivotArea>
    </chartFormat>
    <chartFormat chart="1" format="2" series="1">
      <pivotArea type="data" outline="0" fieldPosition="0">
        <references count="2">
          <reference field="4294967294" count="1" selected="0">
            <x v="0"/>
          </reference>
          <reference field="0" count="1" selected="0">
            <x v="2"/>
          </reference>
        </references>
      </pivotArea>
    </chartFormat>
    <chartFormat chart="1" format="3" series="1">
      <pivotArea type="data" outline="0" fieldPosition="0">
        <references count="2">
          <reference field="4294967294" count="1" selected="0">
            <x v="0"/>
          </reference>
          <reference field="0" count="1" selected="0">
            <x v="3"/>
          </reference>
        </references>
      </pivotArea>
    </chartFormat>
    <chartFormat chart="5" format="0" series="1">
      <pivotArea type="data" outline="0" fieldPosition="0">
        <references count="2">
          <reference field="4294967294" count="1" selected="0">
            <x v="0"/>
          </reference>
          <reference field="2" count="1" selected="0">
            <x v="5"/>
          </reference>
        </references>
      </pivotArea>
    </chartFormat>
    <chartFormat chart="5" format="1" series="1">
      <pivotArea type="data" outline="0" fieldPosition="0">
        <references count="2">
          <reference field="4294967294" count="1" selected="0">
            <x v="0"/>
          </reference>
          <reference field="2" count="1" selected="0">
            <x v="4"/>
          </reference>
        </references>
      </pivotArea>
    </chartFormat>
    <chartFormat chart="5" format="2" series="1">
      <pivotArea type="data" outline="0" fieldPosition="0">
        <references count="2">
          <reference field="4294967294" count="1" selected="0">
            <x v="0"/>
          </reference>
          <reference field="2" count="1" selected="0">
            <x v="0"/>
          </reference>
        </references>
      </pivotArea>
    </chartFormat>
    <chartFormat chart="5" format="3" series="1">
      <pivotArea type="data" outline="0" fieldPosition="0">
        <references count="2">
          <reference field="4294967294" count="1" selected="0">
            <x v="0"/>
          </reference>
          <reference field="2" count="1" selected="0">
            <x v="3"/>
          </reference>
        </references>
      </pivotArea>
    </chartFormat>
    <chartFormat chart="5" format="4" series="1">
      <pivotArea type="data" outline="0" fieldPosition="0">
        <references count="2">
          <reference field="4294967294" count="1" selected="0">
            <x v="0"/>
          </reference>
          <reference field="2" count="1" selected="0">
            <x v="2"/>
          </reference>
        </references>
      </pivotArea>
    </chartFormat>
    <chartFormat chart="5" format="5" series="1">
      <pivotArea type="data" outline="0" fieldPosition="0">
        <references count="2">
          <reference field="4294967294" count="1" selected="0">
            <x v="0"/>
          </reference>
          <reference field="2" count="1" selected="0">
            <x v="1"/>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Dinámica24"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rowHeaderCaption="CAUSAS">
  <location ref="A5:B13" firstHeaderRow="1" firstDataRow="1" firstDataCol="1" rowPageCount="1" colPageCount="1"/>
  <pivotFields count="35">
    <pivotField axis="axisPage" multipleItemSelectionAllowed="1" showAll="0">
      <items count="6">
        <item x="3"/>
        <item x="1"/>
        <item x="2"/>
        <item x="0"/>
        <item x="4"/>
        <item t="default"/>
      </items>
    </pivotField>
    <pivotField showAll="0"/>
    <pivotField axis="axisRow" showAll="0">
      <items count="8">
        <item x="4"/>
        <item x="5"/>
        <item x="3"/>
        <item x="0"/>
        <item x="2"/>
        <item x="1"/>
        <item x="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pageFields count="1">
    <pageField fld="0" hier="-1"/>
  </pageFields>
  <dataFields count="1">
    <dataField name="# de Intervención " fld="4" subtotal="count" baseField="0" baseItem="0" numFmtId="1"/>
  </dataFields>
  <formats count="1">
    <format dxfId="1506">
      <pivotArea outline="0" collapsedLevelsAreSubtotals="1" fieldPosition="0"/>
    </format>
  </formats>
  <chartFormats count="7">
    <chartFormat chart="7" format="15" series="1">
      <pivotArea type="data" outline="0" fieldPosition="0">
        <references count="1">
          <reference field="4294967294" count="1" selected="0">
            <x v="0"/>
          </reference>
        </references>
      </pivotArea>
    </chartFormat>
    <chartFormat chart="7" format="16">
      <pivotArea type="data" outline="0" fieldPosition="0">
        <references count="2">
          <reference field="4294967294" count="1" selected="0">
            <x v="0"/>
          </reference>
          <reference field="2" count="1" selected="0">
            <x v="0"/>
          </reference>
        </references>
      </pivotArea>
    </chartFormat>
    <chartFormat chart="7" format="17">
      <pivotArea type="data" outline="0" fieldPosition="0">
        <references count="2">
          <reference field="4294967294" count="1" selected="0">
            <x v="0"/>
          </reference>
          <reference field="2" count="1" selected="0">
            <x v="1"/>
          </reference>
        </references>
      </pivotArea>
    </chartFormat>
    <chartFormat chart="7" format="18">
      <pivotArea type="data" outline="0" fieldPosition="0">
        <references count="2">
          <reference field="4294967294" count="1" selected="0">
            <x v="0"/>
          </reference>
          <reference field="2" count="1" selected="0">
            <x v="2"/>
          </reference>
        </references>
      </pivotArea>
    </chartFormat>
    <chartFormat chart="7" format="19">
      <pivotArea type="data" outline="0" fieldPosition="0">
        <references count="2">
          <reference field="4294967294" count="1" selected="0">
            <x v="0"/>
          </reference>
          <reference field="2" count="1" selected="0">
            <x v="3"/>
          </reference>
        </references>
      </pivotArea>
    </chartFormat>
    <chartFormat chart="7" format="20">
      <pivotArea type="data" outline="0" fieldPosition="0">
        <references count="2">
          <reference field="4294967294" count="1" selected="0">
            <x v="0"/>
          </reference>
          <reference field="2" count="1" selected="0">
            <x v="4"/>
          </reference>
        </references>
      </pivotArea>
    </chartFormat>
    <chartFormat chart="7" format="21">
      <pivotArea type="data" outline="0" fieldPosition="0">
        <references count="2">
          <reference field="4294967294" count="1" selected="0">
            <x v="0"/>
          </reference>
          <reference field="2" count="1" selected="0">
            <x v="5"/>
          </reference>
        </references>
      </pivotArea>
    </chartFormat>
  </chart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Dinámica6"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INTERVENCIONES / USAs">
  <location ref="A3:G251" firstHeaderRow="1" firstDataRow="2" firstDataCol="1"/>
  <pivotFields count="35">
    <pivotField axis="axisCol" showAll="0">
      <items count="6">
        <item x="3"/>
        <item x="1"/>
        <item x="2"/>
        <item x="0"/>
        <item x="4"/>
        <item t="default"/>
      </items>
    </pivotField>
    <pivotField axis="axisRow" showAll="0">
      <items count="17">
        <item x="13"/>
        <item x="14"/>
        <item x="11"/>
        <item x="5"/>
        <item x="4"/>
        <item x="12"/>
        <item x="15"/>
        <item x="10"/>
        <item x="6"/>
        <item x="7"/>
        <item x="1"/>
        <item x="2"/>
        <item x="8"/>
        <item x="0"/>
        <item x="3"/>
        <item x="9"/>
        <item t="default"/>
      </items>
    </pivotField>
    <pivotField showAll="0"/>
    <pivotField showAll="0"/>
    <pivotField axis="axisRow" dataField="1" showAll="0" sortType="descending">
      <items count="110">
        <item x="30"/>
        <item x="85"/>
        <item x="61"/>
        <item x="62"/>
        <item x="92"/>
        <item x="70"/>
        <item x="46"/>
        <item x="63"/>
        <item x="1"/>
        <item x="68"/>
        <item x="59"/>
        <item x="7"/>
        <item x="21"/>
        <item x="18"/>
        <item x="29"/>
        <item x="97"/>
        <item x="99"/>
        <item x="13"/>
        <item x="60"/>
        <item x="20"/>
        <item x="89"/>
        <item x="69"/>
        <item x="100"/>
        <item x="91"/>
        <item x="31"/>
        <item x="3"/>
        <item x="35"/>
        <item x="84"/>
        <item x="23"/>
        <item x="11"/>
        <item x="80"/>
        <item x="96"/>
        <item x="103"/>
        <item x="104"/>
        <item x="47"/>
        <item x="17"/>
        <item x="10"/>
        <item x="79"/>
        <item x="98"/>
        <item x="105"/>
        <item x="101"/>
        <item x="102"/>
        <item x="77"/>
        <item x="87"/>
        <item x="95"/>
        <item x="8"/>
        <item x="32"/>
        <item x="28"/>
        <item x="26"/>
        <item x="4"/>
        <item x="2"/>
        <item x="50"/>
        <item x="71"/>
        <item x="48"/>
        <item x="19"/>
        <item x="82"/>
        <item x="33"/>
        <item x="9"/>
        <item x="93"/>
        <item x="78"/>
        <item x="76"/>
        <item x="51"/>
        <item x="74"/>
        <item x="6"/>
        <item x="66"/>
        <item x="39"/>
        <item x="58"/>
        <item x="38"/>
        <item x="83"/>
        <item x="12"/>
        <item x="16"/>
        <item x="57"/>
        <item x="37"/>
        <item x="52"/>
        <item x="14"/>
        <item x="90"/>
        <item x="15"/>
        <item x="65"/>
        <item x="64"/>
        <item m="1" x="108"/>
        <item x="88"/>
        <item x="5"/>
        <item x="67"/>
        <item x="49"/>
        <item x="34"/>
        <item x="27"/>
        <item x="94"/>
        <item x="25"/>
        <item x="72"/>
        <item x="0"/>
        <item x="22"/>
        <item x="40"/>
        <item x="41"/>
        <item x="42"/>
        <item x="43"/>
        <item x="44"/>
        <item x="45"/>
        <item x="73"/>
        <item x="53"/>
        <item x="24"/>
        <item x="54"/>
        <item x="55"/>
        <item x="75"/>
        <item x="81"/>
        <item x="86"/>
        <item x="106"/>
        <item m="1" x="107"/>
        <item x="36"/>
        <item x="5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1"/>
  </rowFields>
  <rowItems count="247">
    <i>
      <x v="89"/>
    </i>
    <i r="1">
      <x v="5"/>
    </i>
    <i r="1">
      <x v="10"/>
    </i>
    <i r="1">
      <x v="11"/>
    </i>
    <i r="1">
      <x v="13"/>
    </i>
    <i>
      <x v="74"/>
    </i>
    <i r="1">
      <x v="10"/>
    </i>
    <i r="1">
      <x v="11"/>
    </i>
    <i r="1">
      <x v="13"/>
    </i>
    <i>
      <x v="69"/>
    </i>
    <i r="1">
      <x v="10"/>
    </i>
    <i r="1">
      <x v="11"/>
    </i>
    <i r="1">
      <x v="13"/>
    </i>
    <i>
      <x v="57"/>
    </i>
    <i r="1">
      <x v="10"/>
    </i>
    <i r="1">
      <x v="11"/>
    </i>
    <i r="1">
      <x v="13"/>
    </i>
    <i>
      <x v="50"/>
    </i>
    <i r="1">
      <x v="11"/>
    </i>
    <i r="1">
      <x v="13"/>
    </i>
    <i>
      <x v="93"/>
    </i>
    <i r="1">
      <x v="12"/>
    </i>
    <i r="1">
      <x v="15"/>
    </i>
    <i>
      <x v="35"/>
    </i>
    <i r="1">
      <x v="10"/>
    </i>
    <i r="1">
      <x v="11"/>
    </i>
    <i>
      <x v="90"/>
    </i>
    <i r="1">
      <x v="4"/>
    </i>
    <i r="1">
      <x v="14"/>
    </i>
    <i>
      <x v="92"/>
    </i>
    <i r="1">
      <x v="12"/>
    </i>
    <i r="1">
      <x v="15"/>
    </i>
    <i>
      <x v="81"/>
    </i>
    <i r="1">
      <x v="10"/>
    </i>
    <i r="1">
      <x v="13"/>
    </i>
    <i>
      <x v="94"/>
    </i>
    <i r="1">
      <x v="12"/>
    </i>
    <i r="1">
      <x v="15"/>
    </i>
    <i>
      <x v="47"/>
    </i>
    <i r="1">
      <x/>
    </i>
    <i r="1">
      <x v="1"/>
    </i>
    <i r="1">
      <x v="2"/>
    </i>
    <i r="1">
      <x v="4"/>
    </i>
    <i>
      <x v="105"/>
    </i>
    <i r="1">
      <x v="6"/>
    </i>
    <i>
      <x v="36"/>
    </i>
    <i r="1">
      <x v="13"/>
    </i>
    <i>
      <x v="76"/>
    </i>
    <i r="1">
      <x v="10"/>
    </i>
    <i r="1">
      <x v="13"/>
    </i>
    <i>
      <x v="73"/>
    </i>
    <i r="1">
      <x v="7"/>
    </i>
    <i>
      <x v="11"/>
    </i>
    <i r="1">
      <x v="13"/>
    </i>
    <i>
      <x v="29"/>
    </i>
    <i r="1">
      <x v="13"/>
    </i>
    <i>
      <x v="13"/>
    </i>
    <i r="1">
      <x v="11"/>
    </i>
    <i>
      <x v="17"/>
    </i>
    <i r="1">
      <x v="13"/>
    </i>
    <i>
      <x v="95"/>
    </i>
    <i r="1">
      <x v="15"/>
    </i>
    <i>
      <x v="25"/>
    </i>
    <i r="1">
      <x v="13"/>
    </i>
    <i>
      <x v="26"/>
    </i>
    <i r="1">
      <x/>
    </i>
    <i r="1">
      <x v="1"/>
    </i>
    <i r="1">
      <x v="2"/>
    </i>
    <i r="1">
      <x v="8"/>
    </i>
    <i>
      <x v="49"/>
    </i>
    <i r="1">
      <x v="13"/>
    </i>
    <i>
      <x v="83"/>
    </i>
    <i r="1">
      <x v="7"/>
    </i>
    <i>
      <x v="84"/>
    </i>
    <i r="1">
      <x/>
    </i>
    <i r="1">
      <x v="1"/>
    </i>
    <i r="1">
      <x v="2"/>
    </i>
    <i r="1">
      <x v="8"/>
    </i>
    <i>
      <x v="14"/>
    </i>
    <i r="1">
      <x v="4"/>
    </i>
    <i>
      <x v="8"/>
    </i>
    <i r="1">
      <x v="13"/>
    </i>
    <i>
      <x v="61"/>
    </i>
    <i r="1">
      <x v="7"/>
    </i>
    <i>
      <x v="45"/>
    </i>
    <i r="1">
      <x v="13"/>
    </i>
    <i>
      <x v="63"/>
    </i>
    <i r="1">
      <x v="13"/>
    </i>
    <i>
      <x v="51"/>
    </i>
    <i r="1">
      <x v="7"/>
    </i>
    <i>
      <x v="96"/>
    </i>
    <i r="1">
      <x v="15"/>
    </i>
    <i>
      <x/>
    </i>
    <i r="1">
      <x v="4"/>
    </i>
    <i>
      <x v="54"/>
    </i>
    <i r="1">
      <x v="11"/>
    </i>
    <i>
      <x v="53"/>
    </i>
    <i r="1">
      <x v="7"/>
    </i>
    <i>
      <x v="99"/>
    </i>
    <i r="1">
      <x v="14"/>
    </i>
    <i>
      <x v="28"/>
    </i>
    <i r="1">
      <x v="14"/>
    </i>
    <i>
      <x v="85"/>
    </i>
    <i r="1">
      <x v="14"/>
    </i>
    <i>
      <x v="12"/>
    </i>
    <i r="1">
      <x v="14"/>
    </i>
    <i>
      <x v="91"/>
    </i>
    <i r="1">
      <x v="12"/>
    </i>
    <i>
      <x v="48"/>
    </i>
    <i r="1">
      <x v="14"/>
    </i>
    <i>
      <x v="6"/>
    </i>
    <i r="1">
      <x v="7"/>
    </i>
    <i>
      <x v="70"/>
    </i>
    <i r="1">
      <x v="10"/>
    </i>
    <i>
      <x v="100"/>
    </i>
    <i r="1">
      <x v="14"/>
    </i>
    <i>
      <x v="78"/>
    </i>
    <i r="1">
      <x/>
    </i>
    <i r="1">
      <x v="1"/>
    </i>
    <i>
      <x v="24"/>
    </i>
    <i r="1">
      <x v="3"/>
    </i>
    <i>
      <x v="2"/>
    </i>
    <i r="1">
      <x v="5"/>
    </i>
    <i>
      <x v="7"/>
    </i>
    <i r="1">
      <x v="5"/>
    </i>
    <i>
      <x v="46"/>
    </i>
    <i r="1">
      <x v="3"/>
    </i>
    <i>
      <x v="107"/>
    </i>
    <i r="1">
      <x v="8"/>
    </i>
    <i r="1">
      <x v="9"/>
    </i>
    <i>
      <x v="3"/>
    </i>
    <i r="1">
      <x v="5"/>
    </i>
    <i>
      <x v="77"/>
    </i>
    <i r="1">
      <x/>
    </i>
    <i r="1">
      <x v="1"/>
    </i>
    <i>
      <x v="56"/>
    </i>
    <i r="1">
      <x v="3"/>
    </i>
    <i>
      <x v="82"/>
    </i>
    <i r="1">
      <x/>
    </i>
    <i r="1">
      <x v="1"/>
    </i>
    <i>
      <x v="18"/>
    </i>
    <i r="1">
      <x v="13"/>
    </i>
    <i>
      <x v="34"/>
    </i>
    <i r="1">
      <x v="7"/>
    </i>
    <i>
      <x v="19"/>
    </i>
    <i r="1">
      <x v="14"/>
    </i>
    <i>
      <x v="64"/>
    </i>
    <i r="1">
      <x/>
    </i>
    <i r="1">
      <x v="1"/>
    </i>
    <i>
      <x v="72"/>
    </i>
    <i r="1">
      <x v="8"/>
    </i>
    <i r="1">
      <x v="9"/>
    </i>
    <i>
      <x v="30"/>
    </i>
    <i r="1">
      <x v="6"/>
    </i>
    <i>
      <x v="27"/>
    </i>
    <i r="1">
      <x v="6"/>
    </i>
    <i>
      <x v="59"/>
    </i>
    <i r="1">
      <x v="6"/>
    </i>
    <i>
      <x v="4"/>
    </i>
    <i r="1">
      <x v="6"/>
    </i>
    <i>
      <x v="88"/>
    </i>
    <i r="1">
      <x v="6"/>
    </i>
    <i>
      <x v="62"/>
    </i>
    <i r="1">
      <x v="6"/>
    </i>
    <i>
      <x v="58"/>
    </i>
    <i r="1">
      <x v="6"/>
    </i>
    <i>
      <x v="20"/>
    </i>
    <i r="1">
      <x v="6"/>
    </i>
    <i>
      <x v="38"/>
    </i>
    <i r="1">
      <x v="6"/>
    </i>
    <i>
      <x v="15"/>
    </i>
    <i r="1">
      <x v="6"/>
    </i>
    <i>
      <x v="86"/>
    </i>
    <i r="1">
      <x v="6"/>
    </i>
    <i>
      <x v="65"/>
    </i>
    <i r="1">
      <x v="9"/>
    </i>
    <i>
      <x v="1"/>
    </i>
    <i r="1">
      <x v="6"/>
    </i>
    <i>
      <x v="66"/>
    </i>
    <i r="1">
      <x v="2"/>
    </i>
    <i>
      <x v="32"/>
    </i>
    <i r="1">
      <x v="6"/>
    </i>
    <i>
      <x v="67"/>
    </i>
    <i r="1">
      <x v="8"/>
    </i>
    <i>
      <x v="98"/>
    </i>
    <i r="1">
      <x v="14"/>
    </i>
    <i>
      <x v="68"/>
    </i>
    <i r="1">
      <x v="6"/>
    </i>
    <i>
      <x v="102"/>
    </i>
    <i r="1">
      <x v="6"/>
    </i>
    <i>
      <x v="21"/>
    </i>
    <i r="1">
      <x v="1"/>
    </i>
    <i>
      <x v="37"/>
    </i>
    <i r="1">
      <x v="6"/>
    </i>
    <i>
      <x v="108"/>
    </i>
    <i r="1">
      <x v="2"/>
    </i>
    <i>
      <x v="40"/>
    </i>
    <i r="1">
      <x v="6"/>
    </i>
    <i>
      <x v="10"/>
    </i>
    <i r="1">
      <x v="2"/>
    </i>
    <i>
      <x v="87"/>
    </i>
    <i r="1">
      <x v="14"/>
    </i>
    <i>
      <x v="103"/>
    </i>
    <i r="1">
      <x v="6"/>
    </i>
    <i>
      <x v="41"/>
    </i>
    <i r="1">
      <x v="6"/>
    </i>
    <i>
      <x v="104"/>
    </i>
    <i r="1">
      <x v="6"/>
    </i>
    <i>
      <x v="42"/>
    </i>
    <i r="1">
      <x v="6"/>
    </i>
    <i>
      <x v="52"/>
    </i>
    <i r="1">
      <x v="7"/>
    </i>
    <i>
      <x v="31"/>
    </i>
    <i r="1">
      <x v="6"/>
    </i>
    <i>
      <x v="75"/>
    </i>
    <i r="1">
      <x v="6"/>
    </i>
    <i>
      <x v="33"/>
    </i>
    <i r="1">
      <x v="6"/>
    </i>
    <i>
      <x v="16"/>
    </i>
    <i r="1">
      <x v="6"/>
    </i>
    <i>
      <x v="97"/>
    </i>
    <i r="1">
      <x v="6"/>
    </i>
    <i>
      <x v="5"/>
    </i>
    <i r="1">
      <x v="7"/>
    </i>
    <i>
      <x v="43"/>
    </i>
    <i r="1">
      <x v="6"/>
    </i>
    <i>
      <x v="55"/>
    </i>
    <i r="1">
      <x v="6"/>
    </i>
    <i>
      <x v="101"/>
    </i>
    <i r="1">
      <x v="4"/>
    </i>
    <i>
      <x v="80"/>
    </i>
    <i r="1">
      <x v="6"/>
    </i>
    <i>
      <x v="60"/>
    </i>
    <i r="1">
      <x v="6"/>
    </i>
    <i>
      <x v="39"/>
    </i>
    <i r="1">
      <x v="6"/>
    </i>
    <i>
      <x v="9"/>
    </i>
    <i r="1">
      <x/>
    </i>
    <i>
      <x v="22"/>
    </i>
    <i r="1">
      <x v="6"/>
    </i>
    <i>
      <x v="44"/>
    </i>
    <i r="1">
      <x v="6"/>
    </i>
    <i>
      <x v="23"/>
    </i>
    <i r="1">
      <x v="6"/>
    </i>
    <i>
      <x v="71"/>
    </i>
    <i r="1">
      <x v="2"/>
    </i>
    <i t="grand">
      <x/>
    </i>
  </rowItems>
  <colFields count="1">
    <field x="0"/>
  </colFields>
  <colItems count="6">
    <i>
      <x/>
    </i>
    <i>
      <x v="1"/>
    </i>
    <i>
      <x v="2"/>
    </i>
    <i>
      <x v="3"/>
    </i>
    <i>
      <x v="4"/>
    </i>
    <i t="grand">
      <x/>
    </i>
  </colItems>
  <dataFields count="1">
    <dataField name="Cuenta de Intervención " fld="4" subtotal="count" baseField="0" baseItem="0"/>
  </dataFields>
  <formats count="189">
    <format dxfId="1505">
      <pivotArea dataOnly="0" labelOnly="1" fieldPosition="0">
        <references count="1">
          <reference field="4" count="40">
            <x v="0"/>
            <x v="1"/>
            <x v="2"/>
            <x v="3"/>
            <x v="4"/>
            <x v="5"/>
            <x v="6"/>
            <x v="7"/>
            <x v="8"/>
            <x v="9"/>
            <x v="10"/>
            <x v="11"/>
            <x v="12"/>
            <x v="13"/>
            <x v="14"/>
            <x v="15"/>
            <x v="16"/>
            <x v="17"/>
            <x v="18"/>
            <x v="19"/>
            <x v="20"/>
            <x v="21"/>
            <x v="22"/>
            <x v="23"/>
            <x v="24"/>
            <x v="25"/>
            <x v="26"/>
            <x v="27"/>
            <x v="28"/>
            <x v="29"/>
            <x v="30"/>
            <x v="31"/>
            <x v="32"/>
            <x v="33"/>
            <x v="34"/>
            <x v="35"/>
            <x v="36"/>
            <x v="37"/>
            <x v="38"/>
            <x v="39"/>
          </reference>
        </references>
      </pivotArea>
    </format>
    <format dxfId="1504">
      <pivotArea dataOnly="0" labelOnly="1" fieldPosition="0">
        <references count="1">
          <reference field="4" count="45">
            <x v="40"/>
            <x v="41"/>
            <x v="42"/>
            <x v="43"/>
            <x v="44"/>
            <x v="45"/>
            <x v="46"/>
            <x v="47"/>
            <x v="48"/>
            <x v="49"/>
            <x v="50"/>
            <x v="51"/>
            <x v="52"/>
            <x v="53"/>
            <x v="54"/>
            <x v="55"/>
            <x v="56"/>
            <x v="57"/>
            <x v="58"/>
            <x v="59"/>
            <x v="60"/>
            <x v="61"/>
            <x v="62"/>
            <x v="63"/>
            <x v="64"/>
            <x v="65"/>
            <x v="66"/>
            <x v="67"/>
            <x v="68"/>
            <x v="69"/>
            <x v="70"/>
            <x v="71"/>
            <x v="72"/>
            <x v="73"/>
            <x v="74"/>
            <x v="75"/>
            <x v="76"/>
            <x v="77"/>
            <x v="78"/>
            <x v="79"/>
            <x v="80"/>
            <x v="81"/>
            <x v="82"/>
            <x v="83"/>
            <x v="84"/>
          </reference>
        </references>
      </pivotArea>
    </format>
    <format dxfId="1503">
      <pivotArea dataOnly="0" labelOnly="1" fieldPosition="0">
        <references count="1">
          <reference field="4" count="4">
            <x v="85"/>
            <x v="86"/>
            <x v="87"/>
            <x v="88"/>
          </reference>
        </references>
      </pivotArea>
    </format>
    <format dxfId="1502">
      <pivotArea type="origin" dataOnly="0" labelOnly="1" outline="0" fieldPosition="0"/>
    </format>
    <format dxfId="1501">
      <pivotArea dataOnly="0" labelOnly="1" fieldPosition="0">
        <references count="1">
          <reference field="4" count="40">
            <x v="0"/>
            <x v="1"/>
            <x v="2"/>
            <x v="3"/>
            <x v="4"/>
            <x v="5"/>
            <x v="6"/>
            <x v="7"/>
            <x v="8"/>
            <x v="9"/>
            <x v="10"/>
            <x v="11"/>
            <x v="12"/>
            <x v="13"/>
            <x v="14"/>
            <x v="15"/>
            <x v="16"/>
            <x v="17"/>
            <x v="18"/>
            <x v="19"/>
            <x v="20"/>
            <x v="21"/>
            <x v="22"/>
            <x v="23"/>
            <x v="24"/>
            <x v="25"/>
            <x v="26"/>
            <x v="27"/>
            <x v="28"/>
            <x v="29"/>
            <x v="30"/>
            <x v="31"/>
            <x v="32"/>
            <x v="33"/>
            <x v="34"/>
            <x v="35"/>
            <x v="36"/>
            <x v="37"/>
            <x v="38"/>
            <x v="39"/>
          </reference>
        </references>
      </pivotArea>
    </format>
    <format dxfId="1500">
      <pivotArea dataOnly="0" labelOnly="1" fieldPosition="0">
        <references count="1">
          <reference field="4" count="45">
            <x v="40"/>
            <x v="41"/>
            <x v="42"/>
            <x v="43"/>
            <x v="44"/>
            <x v="45"/>
            <x v="46"/>
            <x v="47"/>
            <x v="48"/>
            <x v="49"/>
            <x v="50"/>
            <x v="51"/>
            <x v="52"/>
            <x v="53"/>
            <x v="54"/>
            <x v="55"/>
            <x v="56"/>
            <x v="57"/>
            <x v="58"/>
            <x v="59"/>
            <x v="60"/>
            <x v="61"/>
            <x v="62"/>
            <x v="63"/>
            <x v="64"/>
            <x v="65"/>
            <x v="66"/>
            <x v="67"/>
            <x v="68"/>
            <x v="69"/>
            <x v="70"/>
            <x v="71"/>
            <x v="72"/>
            <x v="73"/>
            <x v="74"/>
            <x v="75"/>
            <x v="76"/>
            <x v="77"/>
            <x v="78"/>
            <x v="79"/>
            <x v="80"/>
            <x v="81"/>
            <x v="82"/>
            <x v="83"/>
            <x v="84"/>
          </reference>
        </references>
      </pivotArea>
    </format>
    <format dxfId="1499">
      <pivotArea dataOnly="0" labelOnly="1" fieldPosition="0">
        <references count="1">
          <reference field="4" count="4">
            <x v="85"/>
            <x v="86"/>
            <x v="87"/>
            <x v="88"/>
          </reference>
        </references>
      </pivotArea>
    </format>
    <format dxfId="1498">
      <pivotArea dataOnly="0" labelOnly="1" grandRow="1" outline="0" fieldPosition="0"/>
    </format>
    <format dxfId="1497">
      <pivotArea type="origin" dataOnly="0" labelOnly="1" outline="0" fieldPosition="0"/>
    </format>
    <format dxfId="1496">
      <pivotArea dataOnly="0" labelOnly="1" fieldPosition="0">
        <references count="1">
          <reference field="4" count="40">
            <x v="0"/>
            <x v="1"/>
            <x v="2"/>
            <x v="3"/>
            <x v="4"/>
            <x v="5"/>
            <x v="6"/>
            <x v="7"/>
            <x v="8"/>
            <x v="9"/>
            <x v="10"/>
            <x v="11"/>
            <x v="12"/>
            <x v="13"/>
            <x v="14"/>
            <x v="15"/>
            <x v="16"/>
            <x v="17"/>
            <x v="18"/>
            <x v="19"/>
            <x v="20"/>
            <x v="21"/>
            <x v="22"/>
            <x v="23"/>
            <x v="24"/>
            <x v="25"/>
            <x v="26"/>
            <x v="27"/>
            <x v="28"/>
            <x v="29"/>
            <x v="30"/>
            <x v="31"/>
            <x v="32"/>
            <x v="33"/>
            <x v="34"/>
            <x v="35"/>
            <x v="36"/>
            <x v="37"/>
            <x v="38"/>
            <x v="39"/>
          </reference>
        </references>
      </pivotArea>
    </format>
    <format dxfId="1495">
      <pivotArea dataOnly="0" labelOnly="1" fieldPosition="0">
        <references count="1">
          <reference field="4" count="45">
            <x v="40"/>
            <x v="41"/>
            <x v="42"/>
            <x v="43"/>
            <x v="44"/>
            <x v="45"/>
            <x v="46"/>
            <x v="47"/>
            <x v="48"/>
            <x v="49"/>
            <x v="50"/>
            <x v="51"/>
            <x v="52"/>
            <x v="53"/>
            <x v="54"/>
            <x v="55"/>
            <x v="56"/>
            <x v="57"/>
            <x v="58"/>
            <x v="59"/>
            <x v="60"/>
            <x v="61"/>
            <x v="62"/>
            <x v="63"/>
            <x v="64"/>
            <x v="65"/>
            <x v="66"/>
            <x v="67"/>
            <x v="68"/>
            <x v="69"/>
            <x v="70"/>
            <x v="71"/>
            <x v="72"/>
            <x v="73"/>
            <x v="74"/>
            <x v="75"/>
            <x v="76"/>
            <x v="77"/>
            <x v="78"/>
            <x v="79"/>
            <x v="80"/>
            <x v="81"/>
            <x v="82"/>
            <x v="83"/>
            <x v="84"/>
          </reference>
        </references>
      </pivotArea>
    </format>
    <format dxfId="1494">
      <pivotArea dataOnly="0" labelOnly="1" fieldPosition="0">
        <references count="1">
          <reference field="4" count="4">
            <x v="85"/>
            <x v="86"/>
            <x v="87"/>
            <x v="88"/>
          </reference>
        </references>
      </pivotArea>
    </format>
    <format dxfId="1493">
      <pivotArea dataOnly="0" labelOnly="1" grandRow="1" outline="0" fieldPosition="0"/>
    </format>
    <format dxfId="1492">
      <pivotArea type="origin" dataOnly="0" labelOnly="1" outline="0" fieldPosition="0"/>
    </format>
    <format dxfId="1491">
      <pivotArea field="4" type="button" dataOnly="0" labelOnly="1" outline="0" axis="axisRow" fieldPosition="0"/>
    </format>
    <format dxfId="1490">
      <pivotArea dataOnly="0" labelOnly="1" fieldPosition="0">
        <references count="1">
          <reference field="4" count="40">
            <x v="0"/>
            <x v="1"/>
            <x v="2"/>
            <x v="3"/>
            <x v="4"/>
            <x v="5"/>
            <x v="6"/>
            <x v="7"/>
            <x v="8"/>
            <x v="9"/>
            <x v="10"/>
            <x v="11"/>
            <x v="12"/>
            <x v="13"/>
            <x v="14"/>
            <x v="15"/>
            <x v="16"/>
            <x v="17"/>
            <x v="18"/>
            <x v="19"/>
            <x v="20"/>
            <x v="21"/>
            <x v="22"/>
            <x v="23"/>
            <x v="24"/>
            <x v="25"/>
            <x v="26"/>
            <x v="27"/>
            <x v="28"/>
            <x v="29"/>
            <x v="30"/>
            <x v="31"/>
            <x v="32"/>
            <x v="33"/>
            <x v="34"/>
            <x v="35"/>
            <x v="36"/>
            <x v="37"/>
            <x v="38"/>
            <x v="39"/>
          </reference>
        </references>
      </pivotArea>
    </format>
    <format dxfId="1489">
      <pivotArea dataOnly="0" labelOnly="1" fieldPosition="0">
        <references count="1">
          <reference field="4" count="45">
            <x v="40"/>
            <x v="41"/>
            <x v="42"/>
            <x v="43"/>
            <x v="44"/>
            <x v="45"/>
            <x v="46"/>
            <x v="47"/>
            <x v="48"/>
            <x v="49"/>
            <x v="50"/>
            <x v="51"/>
            <x v="52"/>
            <x v="53"/>
            <x v="54"/>
            <x v="55"/>
            <x v="56"/>
            <x v="57"/>
            <x v="58"/>
            <x v="59"/>
            <x v="60"/>
            <x v="61"/>
            <x v="62"/>
            <x v="63"/>
            <x v="64"/>
            <x v="65"/>
            <x v="66"/>
            <x v="67"/>
            <x v="68"/>
            <x v="69"/>
            <x v="70"/>
            <x v="71"/>
            <x v="72"/>
            <x v="73"/>
            <x v="74"/>
            <x v="75"/>
            <x v="76"/>
            <x v="77"/>
            <x v="78"/>
            <x v="79"/>
            <x v="80"/>
            <x v="81"/>
            <x v="82"/>
            <x v="83"/>
            <x v="84"/>
          </reference>
        </references>
      </pivotArea>
    </format>
    <format dxfId="1488">
      <pivotArea dataOnly="0" labelOnly="1" fieldPosition="0">
        <references count="1">
          <reference field="4" count="4">
            <x v="85"/>
            <x v="86"/>
            <x v="87"/>
            <x v="88"/>
          </reference>
        </references>
      </pivotArea>
    </format>
    <format dxfId="1487">
      <pivotArea dataOnly="0" labelOnly="1" grandRow="1" outline="0" fieldPosition="0"/>
    </format>
    <format dxfId="1486">
      <pivotArea dataOnly="0" labelOnly="1" fieldPosition="0">
        <references count="1">
          <reference field="0" count="0"/>
        </references>
      </pivotArea>
    </format>
    <format dxfId="1485">
      <pivotArea dataOnly="0" labelOnly="1" grandCol="1" outline="0" fieldPosition="0"/>
    </format>
    <format dxfId="1484">
      <pivotArea dataOnly="0" labelOnly="1" fieldPosition="0">
        <references count="1">
          <reference field="0" count="0"/>
        </references>
      </pivotArea>
    </format>
    <format dxfId="1483">
      <pivotArea dataOnly="0" labelOnly="1" grandCol="1" outline="0" fieldPosition="0"/>
    </format>
    <format dxfId="1482">
      <pivotArea field="4" type="button" dataOnly="0" labelOnly="1" outline="0" axis="axisRow" fieldPosition="0"/>
    </format>
    <format dxfId="1481">
      <pivotArea dataOnly="0" labelOnly="1" fieldPosition="0">
        <references count="1">
          <reference field="0" count="0"/>
        </references>
      </pivotArea>
    </format>
    <format dxfId="1480">
      <pivotArea dataOnly="0" labelOnly="1" grandCol="1" outline="0" fieldPosition="0"/>
    </format>
    <format dxfId="1479">
      <pivotArea field="4" type="button" dataOnly="0" labelOnly="1" outline="0" axis="axisRow" fieldPosition="0"/>
    </format>
    <format dxfId="1478">
      <pivotArea dataOnly="0" labelOnly="1" fieldPosition="0">
        <references count="1">
          <reference field="0" count="0"/>
        </references>
      </pivotArea>
    </format>
    <format dxfId="1477">
      <pivotArea dataOnly="0" labelOnly="1" grandCol="1" outline="0" fieldPosition="0"/>
    </format>
    <format dxfId="1476">
      <pivotArea type="origin" dataOnly="0" labelOnly="1" outline="0" fieldPosition="0"/>
    </format>
    <format dxfId="1475">
      <pivotArea field="4" type="button" dataOnly="0" labelOnly="1" outline="0" axis="axisRow" fieldPosition="0"/>
    </format>
    <format dxfId="1474">
      <pivotArea dataOnly="0" labelOnly="1" fieldPosition="0">
        <references count="1">
          <reference field="4" count="42">
            <x v="0"/>
            <x v="6"/>
            <x v="8"/>
            <x v="11"/>
            <x v="12"/>
            <x v="13"/>
            <x v="14"/>
            <x v="17"/>
            <x v="24"/>
            <x v="25"/>
            <x v="26"/>
            <x v="28"/>
            <x v="29"/>
            <x v="34"/>
            <x v="35"/>
            <x v="36"/>
            <x v="45"/>
            <x v="46"/>
            <x v="47"/>
            <x v="48"/>
            <x v="49"/>
            <x v="50"/>
            <x v="51"/>
            <x v="53"/>
            <x v="54"/>
            <x v="57"/>
            <x v="61"/>
            <x v="63"/>
            <x v="69"/>
            <x v="70"/>
            <x v="72"/>
            <x v="73"/>
            <x v="74"/>
            <x v="76"/>
            <x v="77"/>
            <x v="78"/>
            <x v="81"/>
            <x v="82"/>
            <x v="83"/>
            <x v="84"/>
            <x v="85"/>
            <x v="87"/>
          </reference>
        </references>
      </pivotArea>
    </format>
    <format dxfId="1473">
      <pivotArea dataOnly="0" labelOnly="1" fieldPosition="0">
        <references count="1">
          <reference field="4" count="41">
            <x v="2"/>
            <x v="3"/>
            <x v="4"/>
            <x v="5"/>
            <x v="7"/>
            <x v="9"/>
            <x v="10"/>
            <x v="15"/>
            <x v="16"/>
            <x v="18"/>
            <x v="19"/>
            <x v="20"/>
            <x v="21"/>
            <x v="22"/>
            <x v="23"/>
            <x v="27"/>
            <x v="30"/>
            <x v="31"/>
            <x v="32"/>
            <x v="37"/>
            <x v="38"/>
            <x v="39"/>
            <x v="40"/>
            <x v="41"/>
            <x v="43"/>
            <x v="44"/>
            <x v="52"/>
            <x v="55"/>
            <x v="56"/>
            <x v="59"/>
            <x v="60"/>
            <x v="62"/>
            <x v="64"/>
            <x v="65"/>
            <x v="68"/>
            <x v="71"/>
            <x v="75"/>
            <x v="79"/>
            <x v="80"/>
            <x v="86"/>
            <x v="88"/>
          </reference>
        </references>
      </pivotArea>
    </format>
    <format dxfId="1472">
      <pivotArea dataOnly="0" labelOnly="1" fieldPosition="0">
        <references count="1">
          <reference field="4" count="6">
            <x v="1"/>
            <x v="33"/>
            <x v="42"/>
            <x v="58"/>
            <x v="66"/>
            <x v="67"/>
          </reference>
        </references>
      </pivotArea>
    </format>
    <format dxfId="1471">
      <pivotArea dataOnly="0" labelOnly="1" grandRow="1" outline="0" fieldPosition="0"/>
    </format>
    <format dxfId="1470">
      <pivotArea dataOnly="0" labelOnly="1" fieldPosition="0">
        <references count="2">
          <reference field="1" count="2">
            <x v="10"/>
            <x v="11"/>
          </reference>
          <reference field="4" count="1" selected="0">
            <x v="69"/>
          </reference>
        </references>
      </pivotArea>
    </format>
    <format dxfId="1469">
      <pivotArea dataOnly="0" labelOnly="1" fieldPosition="0">
        <references count="2">
          <reference field="1" count="2">
            <x v="10"/>
            <x v="11"/>
          </reference>
          <reference field="4" count="1" selected="0">
            <x v="74"/>
          </reference>
        </references>
      </pivotArea>
    </format>
    <format dxfId="1468">
      <pivotArea dataOnly="0" labelOnly="1" fieldPosition="0">
        <references count="2">
          <reference field="1" count="2">
            <x v="10"/>
            <x v="11"/>
          </reference>
          <reference field="4" count="1" selected="0">
            <x v="57"/>
          </reference>
        </references>
      </pivotArea>
    </format>
    <format dxfId="1467">
      <pivotArea dataOnly="0" labelOnly="1" fieldPosition="0">
        <references count="2">
          <reference field="1" count="1">
            <x v="11"/>
          </reference>
          <reference field="4" count="1" selected="0">
            <x v="50"/>
          </reference>
        </references>
      </pivotArea>
    </format>
    <format dxfId="1466">
      <pivotArea dataOnly="0" labelOnly="1" fieldPosition="0">
        <references count="2">
          <reference field="1" count="2">
            <x v="10"/>
            <x v="11"/>
          </reference>
          <reference field="4" count="1" selected="0">
            <x v="35"/>
          </reference>
        </references>
      </pivotArea>
    </format>
    <format dxfId="1465">
      <pivotArea dataOnly="0" labelOnly="1" fieldPosition="0">
        <references count="2">
          <reference field="1" count="1">
            <x v="10"/>
          </reference>
          <reference field="4" count="1" selected="0">
            <x v="81"/>
          </reference>
        </references>
      </pivotArea>
    </format>
    <format dxfId="1464">
      <pivotArea dataOnly="0" labelOnly="1" fieldPosition="0">
        <references count="2">
          <reference field="1" count="4">
            <x v="0"/>
            <x v="1"/>
            <x v="2"/>
            <x v="4"/>
          </reference>
          <reference field="4" count="1" selected="0">
            <x v="47"/>
          </reference>
        </references>
      </pivotArea>
    </format>
    <format dxfId="1463">
      <pivotArea dataOnly="0" labelOnly="1" fieldPosition="0">
        <references count="2">
          <reference field="1" count="1">
            <x v="7"/>
          </reference>
          <reference field="4" count="1" selected="0">
            <x v="61"/>
          </reference>
        </references>
      </pivotArea>
    </format>
    <format dxfId="1462">
      <pivotArea dataOnly="0" labelOnly="1" fieldPosition="0">
        <references count="2">
          <reference field="1" count="1">
            <x v="7"/>
          </reference>
          <reference field="4" count="1" selected="0">
            <x v="73"/>
          </reference>
        </references>
      </pivotArea>
    </format>
    <format dxfId="1461">
      <pivotArea dataOnly="0" labelOnly="1" fieldPosition="0">
        <references count="2">
          <reference field="1" count="1">
            <x v="11"/>
          </reference>
          <reference field="4" count="1" selected="0">
            <x v="54"/>
          </reference>
        </references>
      </pivotArea>
    </format>
    <format dxfId="1460">
      <pivotArea dataOnly="0" labelOnly="1" fieldPosition="0">
        <references count="2">
          <reference field="1" count="4">
            <x v="0"/>
            <x v="1"/>
            <x v="2"/>
            <x v="8"/>
          </reference>
          <reference field="4" count="1" selected="0">
            <x v="26"/>
          </reference>
        </references>
      </pivotArea>
    </format>
    <format dxfId="1459">
      <pivotArea dataOnly="0" labelOnly="1" fieldPosition="0">
        <references count="2">
          <reference field="1" count="1">
            <x v="10"/>
          </reference>
          <reference field="4" count="1" selected="0">
            <x v="76"/>
          </reference>
        </references>
      </pivotArea>
    </format>
    <format dxfId="1458">
      <pivotArea dataOnly="0" labelOnly="1" fieldPosition="0">
        <references count="2">
          <reference field="1" count="1">
            <x v="4"/>
          </reference>
          <reference field="4" count="1" selected="0">
            <x v="0"/>
          </reference>
        </references>
      </pivotArea>
    </format>
    <format dxfId="1457">
      <pivotArea dataOnly="0" labelOnly="1" fieldPosition="0">
        <references count="2">
          <reference field="1" count="1">
            <x v="11"/>
          </reference>
          <reference field="4" count="1" selected="0">
            <x v="13"/>
          </reference>
        </references>
      </pivotArea>
    </format>
    <format dxfId="1456">
      <pivotArea dataOnly="0" labelOnly="1" fieldPosition="0">
        <references count="2">
          <reference field="1" count="4">
            <x v="0"/>
            <x v="1"/>
            <x v="2"/>
            <x v="8"/>
          </reference>
          <reference field="4" count="1" selected="0">
            <x v="84"/>
          </reference>
        </references>
      </pivotArea>
    </format>
    <format dxfId="1455">
      <pivotArea dataOnly="0" labelOnly="1" fieldPosition="0">
        <references count="2">
          <reference field="1" count="1">
            <x v="4"/>
          </reference>
          <reference field="4" count="1" selected="0">
            <x v="14"/>
          </reference>
        </references>
      </pivotArea>
    </format>
    <format dxfId="1454">
      <pivotArea dataOnly="0" labelOnly="1" fieldPosition="0">
        <references count="2">
          <reference field="1" count="4">
            <x v="0"/>
            <x v="1"/>
            <x v="2"/>
            <x v="8"/>
          </reference>
          <reference field="4" count="1" selected="0">
            <x v="78"/>
          </reference>
        </references>
      </pivotArea>
    </format>
    <format dxfId="1453">
      <pivotArea dataOnly="0" labelOnly="1" fieldPosition="0">
        <references count="2">
          <reference field="1" count="1">
            <x v="7"/>
          </reference>
          <reference field="4" count="1" selected="0">
            <x v="83"/>
          </reference>
        </references>
      </pivotArea>
    </format>
    <format dxfId="1452">
      <pivotArea dataOnly="0" labelOnly="1" fieldPosition="0">
        <references count="2">
          <reference field="1" count="1">
            <x v="7"/>
          </reference>
          <reference field="4" count="1" selected="0">
            <x v="51"/>
          </reference>
        </references>
      </pivotArea>
    </format>
    <format dxfId="1451">
      <pivotArea dataOnly="0" labelOnly="1" fieldPosition="0">
        <references count="2">
          <reference field="1" count="1">
            <x v="7"/>
          </reference>
          <reference field="4" count="1" selected="0">
            <x v="53"/>
          </reference>
        </references>
      </pivotArea>
    </format>
    <format dxfId="1450">
      <pivotArea dataOnly="0" labelOnly="1" fieldPosition="0">
        <references count="2">
          <reference field="1" count="1">
            <x v="10"/>
          </reference>
          <reference field="4" count="1" selected="0">
            <x v="70"/>
          </reference>
        </references>
      </pivotArea>
    </format>
    <format dxfId="1449">
      <pivotArea dataOnly="0" labelOnly="1" fieldPosition="0">
        <references count="2">
          <reference field="1" count="1">
            <x v="7"/>
          </reference>
          <reference field="4" count="1" selected="0">
            <x v="6"/>
          </reference>
        </references>
      </pivotArea>
    </format>
    <format dxfId="1448">
      <pivotArea dataOnly="0" labelOnly="1" fieldPosition="0">
        <references count="2">
          <reference field="1" count="1">
            <x v="3"/>
          </reference>
          <reference field="4" count="1" selected="0">
            <x v="24"/>
          </reference>
        </references>
      </pivotArea>
    </format>
    <format dxfId="1447">
      <pivotArea dataOnly="0" labelOnly="1" fieldPosition="0">
        <references count="2">
          <reference field="1" count="2">
            <x v="0"/>
            <x v="1"/>
          </reference>
          <reference field="4" count="1" selected="0">
            <x v="82"/>
          </reference>
        </references>
      </pivotArea>
    </format>
    <format dxfId="1446">
      <pivotArea dataOnly="0" labelOnly="1" fieldPosition="0">
        <references count="2">
          <reference field="1" count="1">
            <x v="3"/>
          </reference>
          <reference field="4" count="1" selected="0">
            <x v="46"/>
          </reference>
        </references>
      </pivotArea>
    </format>
    <format dxfId="1445">
      <pivotArea dataOnly="0" labelOnly="1" fieldPosition="0">
        <references count="2">
          <reference field="1" count="2">
            <x v="8"/>
            <x v="9"/>
          </reference>
          <reference field="4" count="1" selected="0">
            <x v="72"/>
          </reference>
        </references>
      </pivotArea>
    </format>
    <format dxfId="1444">
      <pivotArea dataOnly="0" labelOnly="1" fieldPosition="0">
        <references count="2">
          <reference field="1" count="1">
            <x v="7"/>
          </reference>
          <reference field="4" count="1" selected="0">
            <x v="34"/>
          </reference>
        </references>
      </pivotArea>
    </format>
    <format dxfId="1443">
      <pivotArea dataOnly="0" labelOnly="1" fieldPosition="0">
        <references count="2">
          <reference field="1" count="2">
            <x v="0"/>
            <x v="1"/>
          </reference>
          <reference field="4" count="1" selected="0">
            <x v="77"/>
          </reference>
        </references>
      </pivotArea>
    </format>
    <format dxfId="1442">
      <pivotArea dataOnly="0" labelOnly="1" fieldPosition="0">
        <references count="2">
          <reference field="1" count="2">
            <x v="0"/>
            <x v="1"/>
          </reference>
          <reference field="4" count="1" selected="0">
            <x v="64"/>
          </reference>
        </references>
      </pivotArea>
    </format>
    <format dxfId="1441">
      <pivotArea dataOnly="0" labelOnly="1" fieldPosition="0">
        <references count="2">
          <reference field="1" count="1">
            <x v="5"/>
          </reference>
          <reference field="4" count="1" selected="0">
            <x v="7"/>
          </reference>
        </references>
      </pivotArea>
    </format>
    <format dxfId="1440">
      <pivotArea dataOnly="0" labelOnly="1" fieldPosition="0">
        <references count="2">
          <reference field="1" count="1">
            <x v="5"/>
          </reference>
          <reference field="4" count="1" selected="0">
            <x v="2"/>
          </reference>
        </references>
      </pivotArea>
    </format>
    <format dxfId="1439">
      <pivotArea dataOnly="0" labelOnly="1" fieldPosition="0">
        <references count="2">
          <reference field="1" count="1">
            <x v="3"/>
          </reference>
          <reference field="4" count="1" selected="0">
            <x v="56"/>
          </reference>
        </references>
      </pivotArea>
    </format>
    <format dxfId="1438">
      <pivotArea dataOnly="0" labelOnly="1" fieldPosition="0">
        <references count="2">
          <reference field="1" count="1">
            <x v="5"/>
          </reference>
          <reference field="4" count="1" selected="0">
            <x v="3"/>
          </reference>
        </references>
      </pivotArea>
    </format>
    <format dxfId="1437">
      <pivotArea dataOnly="0" labelOnly="1" fieldPosition="0">
        <references count="2">
          <reference field="1" count="1">
            <x v="6"/>
          </reference>
          <reference field="4" count="1" selected="0">
            <x v="23"/>
          </reference>
        </references>
      </pivotArea>
    </format>
    <format dxfId="1436">
      <pivotArea dataOnly="0" labelOnly="1" fieldPosition="0">
        <references count="2">
          <reference field="1" count="1">
            <x v="6"/>
          </reference>
          <reference field="4" count="1" selected="0">
            <x v="38"/>
          </reference>
        </references>
      </pivotArea>
    </format>
    <format dxfId="1435">
      <pivotArea dataOnly="0" labelOnly="1" fieldPosition="0">
        <references count="2">
          <reference field="1" count="1">
            <x v="6"/>
          </reference>
          <reference field="4" count="1" selected="0">
            <x v="44"/>
          </reference>
        </references>
      </pivotArea>
    </format>
    <format dxfId="1434">
      <pivotArea dataOnly="0" labelOnly="1" fieldPosition="0">
        <references count="2">
          <reference field="1" count="1">
            <x v="6"/>
          </reference>
          <reference field="4" count="1" selected="0">
            <x v="30"/>
          </reference>
        </references>
      </pivotArea>
    </format>
    <format dxfId="1433">
      <pivotArea dataOnly="0" labelOnly="1" fieldPosition="0">
        <references count="2">
          <reference field="1" count="1">
            <x v="6"/>
          </reference>
          <reference field="4" count="1" selected="0">
            <x v="39"/>
          </reference>
        </references>
      </pivotArea>
    </format>
    <format dxfId="1432">
      <pivotArea dataOnly="0" labelOnly="1" fieldPosition="0">
        <references count="2">
          <reference field="1" count="1">
            <x v="6"/>
          </reference>
          <reference field="4" count="1" selected="0">
            <x v="4"/>
          </reference>
        </references>
      </pivotArea>
    </format>
    <format dxfId="1431">
      <pivotArea dataOnly="0" labelOnly="1" fieldPosition="0">
        <references count="2">
          <reference field="1" count="1">
            <x v="6"/>
          </reference>
          <reference field="4" count="1" selected="0">
            <x v="32"/>
          </reference>
        </references>
      </pivotArea>
    </format>
    <format dxfId="1430">
      <pivotArea dataOnly="0" labelOnly="1" fieldPosition="0">
        <references count="2">
          <reference field="1" count="1">
            <x v="6"/>
          </reference>
          <reference field="4" count="1" selected="0">
            <x v="15"/>
          </reference>
        </references>
      </pivotArea>
    </format>
    <format dxfId="1429">
      <pivotArea dataOnly="0" labelOnly="1" fieldPosition="0">
        <references count="2">
          <reference field="1" count="1">
            <x v="1"/>
          </reference>
          <reference field="4" count="1" selected="0">
            <x v="21"/>
          </reference>
        </references>
      </pivotArea>
    </format>
    <format dxfId="1428">
      <pivotArea dataOnly="0" labelOnly="1" fieldPosition="0">
        <references count="2">
          <reference field="1" count="1">
            <x v="7"/>
          </reference>
          <reference field="4" count="1" selected="0">
            <x v="52"/>
          </reference>
        </references>
      </pivotArea>
    </format>
    <format dxfId="1427">
      <pivotArea dataOnly="0" labelOnly="1" fieldPosition="0">
        <references count="2">
          <reference field="1" count="1">
            <x v="6"/>
          </reference>
          <reference field="4" count="1" selected="0">
            <x v="16"/>
          </reference>
        </references>
      </pivotArea>
    </format>
    <format dxfId="1426">
      <pivotArea dataOnly="0" labelOnly="1" fieldPosition="0">
        <references count="2">
          <reference field="1" count="1">
            <x v="6"/>
          </reference>
          <reference field="4" count="1" selected="0">
            <x v="40"/>
          </reference>
        </references>
      </pivotArea>
    </format>
    <format dxfId="1425">
      <pivotArea dataOnly="0" labelOnly="1" fieldPosition="0">
        <references count="2">
          <reference field="1" count="1">
            <x v="7"/>
          </reference>
          <reference field="4" count="1" selected="0">
            <x v="5"/>
          </reference>
        </references>
      </pivotArea>
    </format>
    <format dxfId="1424">
      <pivotArea dataOnly="0" labelOnly="1" fieldPosition="0">
        <references count="2">
          <reference field="1" count="1">
            <x v="6"/>
          </reference>
          <reference field="4" count="1" selected="0">
            <x v="80"/>
          </reference>
        </references>
      </pivotArea>
    </format>
    <format dxfId="1423">
      <pivotArea dataOnly="0" labelOnly="1" fieldPosition="0">
        <references count="2">
          <reference field="1" count="1">
            <x v="6"/>
          </reference>
          <reference field="4" count="1" selected="0">
            <x v="55"/>
          </reference>
        </references>
      </pivotArea>
    </format>
    <format dxfId="1422">
      <pivotArea dataOnly="0" labelOnly="1" fieldPosition="0">
        <references count="2">
          <reference field="1" count="1">
            <x v="6"/>
          </reference>
          <reference field="4" count="1" selected="0">
            <x v="31"/>
          </reference>
        </references>
      </pivotArea>
    </format>
    <format dxfId="1421">
      <pivotArea dataOnly="0" labelOnly="1" fieldPosition="0">
        <references count="2">
          <reference field="1" count="1">
            <x v="6"/>
          </reference>
          <reference field="4" count="1" selected="0">
            <x v="68"/>
          </reference>
        </references>
      </pivotArea>
    </format>
    <format dxfId="1420">
      <pivotArea dataOnly="0" labelOnly="1" fieldPosition="0">
        <references count="2">
          <reference field="1" count="1">
            <x v="0"/>
          </reference>
          <reference field="4" count="1" selected="0">
            <x v="9"/>
          </reference>
        </references>
      </pivotArea>
    </format>
    <format dxfId="1419">
      <pivotArea dataOnly="0" labelOnly="1" fieldPosition="0">
        <references count="2">
          <reference field="1" count="1">
            <x v="6"/>
          </reference>
          <reference field="4" count="1" selected="0">
            <x v="88"/>
          </reference>
        </references>
      </pivotArea>
    </format>
    <format dxfId="1418">
      <pivotArea dataOnly="0" labelOnly="1" fieldPosition="0">
        <references count="2">
          <reference field="1" count="1">
            <x v="2"/>
          </reference>
          <reference field="4" count="1" selected="0">
            <x v="71"/>
          </reference>
        </references>
      </pivotArea>
    </format>
    <format dxfId="1417">
      <pivotArea dataOnly="0" labelOnly="1" fieldPosition="0">
        <references count="2">
          <reference field="1" count="1">
            <x v="6"/>
          </reference>
          <reference field="4" count="1" selected="0">
            <x v="22"/>
          </reference>
        </references>
      </pivotArea>
    </format>
    <format dxfId="1416">
      <pivotArea dataOnly="0" labelOnly="1" fieldPosition="0">
        <references count="2">
          <reference field="1" count="1">
            <x v="6"/>
          </reference>
          <reference field="4" count="1" selected="0">
            <x v="59"/>
          </reference>
        </references>
      </pivotArea>
    </format>
    <format dxfId="1415">
      <pivotArea dataOnly="0" labelOnly="1" fieldPosition="0">
        <references count="2">
          <reference field="1" count="1">
            <x v="6"/>
          </reference>
          <reference field="4" count="1" selected="0">
            <x v="75"/>
          </reference>
        </references>
      </pivotArea>
    </format>
    <format dxfId="1414">
      <pivotArea dataOnly="0" labelOnly="1" fieldPosition="0">
        <references count="2">
          <reference field="1" count="1">
            <x v="6"/>
          </reference>
          <reference field="4" count="1" selected="0">
            <x v="60"/>
          </reference>
        </references>
      </pivotArea>
    </format>
    <format dxfId="1413">
      <pivotArea dataOnly="0" labelOnly="1" fieldPosition="0">
        <references count="2">
          <reference field="1" count="1">
            <x v="6"/>
          </reference>
          <reference field="4" count="1" selected="0">
            <x v="41"/>
          </reference>
        </references>
      </pivotArea>
    </format>
    <format dxfId="1412">
      <pivotArea dataOnly="0" labelOnly="1" fieldPosition="0">
        <references count="2">
          <reference field="1" count="1">
            <x v="2"/>
          </reference>
          <reference field="4" count="1" selected="0">
            <x v="10"/>
          </reference>
        </references>
      </pivotArea>
    </format>
    <format dxfId="1411">
      <pivotArea dataOnly="0" labelOnly="1" fieldPosition="0">
        <references count="2">
          <reference field="1" count="1">
            <x v="9"/>
          </reference>
          <reference field="4" count="1" selected="0">
            <x v="79"/>
          </reference>
        </references>
      </pivotArea>
    </format>
    <format dxfId="1410">
      <pivotArea dataOnly="0" labelOnly="1" fieldPosition="0">
        <references count="2">
          <reference field="1" count="1">
            <x v="6"/>
          </reference>
          <reference field="4" count="1" selected="0">
            <x v="62"/>
          </reference>
        </references>
      </pivotArea>
    </format>
    <format dxfId="1409">
      <pivotArea dataOnly="0" labelOnly="1" fieldPosition="0">
        <references count="2">
          <reference field="1" count="1">
            <x v="6"/>
          </reference>
          <reference field="4" count="1" selected="0">
            <x v="43"/>
          </reference>
        </references>
      </pivotArea>
    </format>
    <format dxfId="1408">
      <pivotArea dataOnly="0" labelOnly="1" fieldPosition="0">
        <references count="2">
          <reference field="1" count="1">
            <x v="6"/>
          </reference>
          <reference field="4" count="1" selected="0">
            <x v="20"/>
          </reference>
        </references>
      </pivotArea>
    </format>
    <format dxfId="1407">
      <pivotArea dataOnly="0" labelOnly="1" fieldPosition="0">
        <references count="2">
          <reference field="1" count="1">
            <x v="6"/>
          </reference>
          <reference field="4" count="1" selected="0">
            <x v="27"/>
          </reference>
        </references>
      </pivotArea>
    </format>
    <format dxfId="1406">
      <pivotArea dataOnly="0" labelOnly="1" fieldPosition="0">
        <references count="2">
          <reference field="1" count="1">
            <x v="6"/>
          </reference>
          <reference field="4" count="1" selected="0">
            <x v="37"/>
          </reference>
        </references>
      </pivotArea>
    </format>
    <format dxfId="1405">
      <pivotArea dataOnly="0" labelOnly="1" fieldPosition="0">
        <references count="2">
          <reference field="1" count="1">
            <x v="9"/>
          </reference>
          <reference field="4" count="1" selected="0">
            <x v="65"/>
          </reference>
        </references>
      </pivotArea>
    </format>
    <format dxfId="1404">
      <pivotArea dataOnly="0" labelOnly="1" fieldPosition="0">
        <references count="2">
          <reference field="1" count="1">
            <x v="6"/>
          </reference>
          <reference field="4" count="1" selected="0">
            <x v="86"/>
          </reference>
        </references>
      </pivotArea>
    </format>
    <format dxfId="1403">
      <pivotArea dataOnly="0" labelOnly="1" fieldPosition="0">
        <references count="2">
          <reference field="1" count="1">
            <x v="2"/>
          </reference>
          <reference field="4" count="1" selected="0">
            <x v="66"/>
          </reference>
        </references>
      </pivotArea>
    </format>
    <format dxfId="1402">
      <pivotArea dataOnly="0" labelOnly="1" fieldPosition="0">
        <references count="2">
          <reference field="1" count="1">
            <x v="6"/>
          </reference>
          <reference field="4" count="1" selected="0">
            <x v="33"/>
          </reference>
        </references>
      </pivotArea>
    </format>
    <format dxfId="1401">
      <pivotArea dataOnly="0" labelOnly="1" fieldPosition="0">
        <references count="2">
          <reference field="1" count="1">
            <x v="8"/>
          </reference>
          <reference field="4" count="1" selected="0">
            <x v="67"/>
          </reference>
        </references>
      </pivotArea>
    </format>
    <format dxfId="1400">
      <pivotArea dataOnly="0" labelOnly="1" fieldPosition="0">
        <references count="2">
          <reference field="1" count="1">
            <x v="6"/>
          </reference>
          <reference field="4" count="1" selected="0">
            <x v="1"/>
          </reference>
        </references>
      </pivotArea>
    </format>
    <format dxfId="1399">
      <pivotArea dataOnly="0" labelOnly="1" fieldPosition="0">
        <references count="2">
          <reference field="1" count="1">
            <x v="6"/>
          </reference>
          <reference field="4" count="1" selected="0">
            <x v="58"/>
          </reference>
        </references>
      </pivotArea>
    </format>
    <format dxfId="1398">
      <pivotArea dataOnly="0" labelOnly="1" fieldPosition="0">
        <references count="2">
          <reference field="1" count="1">
            <x v="6"/>
          </reference>
          <reference field="4" count="1" selected="0">
            <x v="42"/>
          </reference>
        </references>
      </pivotArea>
    </format>
    <format dxfId="1397">
      <pivotArea type="origin" dataOnly="0" labelOnly="1" outline="0" fieldPosition="0"/>
    </format>
    <format dxfId="1396">
      <pivotArea field="4" type="button" dataOnly="0" labelOnly="1" outline="0" axis="axisRow" fieldPosition="0"/>
    </format>
    <format dxfId="1395">
      <pivotArea dataOnly="0" labelOnly="1" fieldPosition="0">
        <references count="1">
          <reference field="4" count="42">
            <x v="0"/>
            <x v="6"/>
            <x v="8"/>
            <x v="11"/>
            <x v="12"/>
            <x v="13"/>
            <x v="14"/>
            <x v="17"/>
            <x v="24"/>
            <x v="25"/>
            <x v="26"/>
            <x v="28"/>
            <x v="29"/>
            <x v="34"/>
            <x v="35"/>
            <x v="36"/>
            <x v="45"/>
            <x v="46"/>
            <x v="47"/>
            <x v="48"/>
            <x v="49"/>
            <x v="50"/>
            <x v="51"/>
            <x v="53"/>
            <x v="54"/>
            <x v="57"/>
            <x v="61"/>
            <x v="63"/>
            <x v="69"/>
            <x v="70"/>
            <x v="72"/>
            <x v="73"/>
            <x v="74"/>
            <x v="76"/>
            <x v="77"/>
            <x v="78"/>
            <x v="81"/>
            <x v="82"/>
            <x v="83"/>
            <x v="84"/>
            <x v="85"/>
            <x v="87"/>
          </reference>
        </references>
      </pivotArea>
    </format>
    <format dxfId="1394">
      <pivotArea dataOnly="0" labelOnly="1" fieldPosition="0">
        <references count="1">
          <reference field="4" count="41">
            <x v="2"/>
            <x v="3"/>
            <x v="4"/>
            <x v="5"/>
            <x v="7"/>
            <x v="9"/>
            <x v="10"/>
            <x v="15"/>
            <x v="16"/>
            <x v="18"/>
            <x v="19"/>
            <x v="20"/>
            <x v="21"/>
            <x v="22"/>
            <x v="23"/>
            <x v="27"/>
            <x v="30"/>
            <x v="31"/>
            <x v="32"/>
            <x v="37"/>
            <x v="38"/>
            <x v="39"/>
            <x v="40"/>
            <x v="41"/>
            <x v="43"/>
            <x v="44"/>
            <x v="52"/>
            <x v="55"/>
            <x v="56"/>
            <x v="59"/>
            <x v="60"/>
            <x v="62"/>
            <x v="64"/>
            <x v="65"/>
            <x v="68"/>
            <x v="71"/>
            <x v="75"/>
            <x v="79"/>
            <x v="80"/>
            <x v="86"/>
            <x v="88"/>
          </reference>
        </references>
      </pivotArea>
    </format>
    <format dxfId="1393">
      <pivotArea dataOnly="0" labelOnly="1" fieldPosition="0">
        <references count="1">
          <reference field="4" count="6">
            <x v="1"/>
            <x v="33"/>
            <x v="42"/>
            <x v="58"/>
            <x v="66"/>
            <x v="67"/>
          </reference>
        </references>
      </pivotArea>
    </format>
    <format dxfId="1392">
      <pivotArea dataOnly="0" labelOnly="1" grandRow="1" outline="0" fieldPosition="0"/>
    </format>
    <format dxfId="1391">
      <pivotArea dataOnly="0" labelOnly="1" fieldPosition="0">
        <references count="2">
          <reference field="1" count="2">
            <x v="10"/>
            <x v="11"/>
          </reference>
          <reference field="4" count="1" selected="0">
            <x v="69"/>
          </reference>
        </references>
      </pivotArea>
    </format>
    <format dxfId="1390">
      <pivotArea dataOnly="0" labelOnly="1" fieldPosition="0">
        <references count="2">
          <reference field="1" count="2">
            <x v="10"/>
            <x v="11"/>
          </reference>
          <reference field="4" count="1" selected="0">
            <x v="74"/>
          </reference>
        </references>
      </pivotArea>
    </format>
    <format dxfId="1389">
      <pivotArea dataOnly="0" labelOnly="1" fieldPosition="0">
        <references count="2">
          <reference field="1" count="2">
            <x v="10"/>
            <x v="11"/>
          </reference>
          <reference field="4" count="1" selected="0">
            <x v="57"/>
          </reference>
        </references>
      </pivotArea>
    </format>
    <format dxfId="1388">
      <pivotArea dataOnly="0" labelOnly="1" fieldPosition="0">
        <references count="2">
          <reference field="1" count="1">
            <x v="11"/>
          </reference>
          <reference field="4" count="1" selected="0">
            <x v="50"/>
          </reference>
        </references>
      </pivotArea>
    </format>
    <format dxfId="1387">
      <pivotArea dataOnly="0" labelOnly="1" fieldPosition="0">
        <references count="2">
          <reference field="1" count="2">
            <x v="10"/>
            <x v="11"/>
          </reference>
          <reference field="4" count="1" selected="0">
            <x v="35"/>
          </reference>
        </references>
      </pivotArea>
    </format>
    <format dxfId="1386">
      <pivotArea dataOnly="0" labelOnly="1" fieldPosition="0">
        <references count="2">
          <reference field="1" count="1">
            <x v="10"/>
          </reference>
          <reference field="4" count="1" selected="0">
            <x v="81"/>
          </reference>
        </references>
      </pivotArea>
    </format>
    <format dxfId="1385">
      <pivotArea dataOnly="0" labelOnly="1" fieldPosition="0">
        <references count="2">
          <reference field="1" count="4">
            <x v="0"/>
            <x v="1"/>
            <x v="2"/>
            <x v="4"/>
          </reference>
          <reference field="4" count="1" selected="0">
            <x v="47"/>
          </reference>
        </references>
      </pivotArea>
    </format>
    <format dxfId="1384">
      <pivotArea dataOnly="0" labelOnly="1" fieldPosition="0">
        <references count="2">
          <reference field="1" count="1">
            <x v="7"/>
          </reference>
          <reference field="4" count="1" selected="0">
            <x v="61"/>
          </reference>
        </references>
      </pivotArea>
    </format>
    <format dxfId="1383">
      <pivotArea dataOnly="0" labelOnly="1" fieldPosition="0">
        <references count="2">
          <reference field="1" count="1">
            <x v="7"/>
          </reference>
          <reference field="4" count="1" selected="0">
            <x v="73"/>
          </reference>
        </references>
      </pivotArea>
    </format>
    <format dxfId="1382">
      <pivotArea dataOnly="0" labelOnly="1" fieldPosition="0">
        <references count="2">
          <reference field="1" count="1">
            <x v="11"/>
          </reference>
          <reference field="4" count="1" selected="0">
            <x v="54"/>
          </reference>
        </references>
      </pivotArea>
    </format>
    <format dxfId="1381">
      <pivotArea dataOnly="0" labelOnly="1" fieldPosition="0">
        <references count="2">
          <reference field="1" count="4">
            <x v="0"/>
            <x v="1"/>
            <x v="2"/>
            <x v="8"/>
          </reference>
          <reference field="4" count="1" selected="0">
            <x v="26"/>
          </reference>
        </references>
      </pivotArea>
    </format>
    <format dxfId="1380">
      <pivotArea dataOnly="0" labelOnly="1" fieldPosition="0">
        <references count="2">
          <reference field="1" count="1">
            <x v="10"/>
          </reference>
          <reference field="4" count="1" selected="0">
            <x v="76"/>
          </reference>
        </references>
      </pivotArea>
    </format>
    <format dxfId="1379">
      <pivotArea dataOnly="0" labelOnly="1" fieldPosition="0">
        <references count="2">
          <reference field="1" count="1">
            <x v="4"/>
          </reference>
          <reference field="4" count="1" selected="0">
            <x v="0"/>
          </reference>
        </references>
      </pivotArea>
    </format>
    <format dxfId="1378">
      <pivotArea dataOnly="0" labelOnly="1" fieldPosition="0">
        <references count="2">
          <reference field="1" count="1">
            <x v="11"/>
          </reference>
          <reference field="4" count="1" selected="0">
            <x v="13"/>
          </reference>
        </references>
      </pivotArea>
    </format>
    <format dxfId="1377">
      <pivotArea dataOnly="0" labelOnly="1" fieldPosition="0">
        <references count="2">
          <reference field="1" count="4">
            <x v="0"/>
            <x v="1"/>
            <x v="2"/>
            <x v="8"/>
          </reference>
          <reference field="4" count="1" selected="0">
            <x v="84"/>
          </reference>
        </references>
      </pivotArea>
    </format>
    <format dxfId="1376">
      <pivotArea dataOnly="0" labelOnly="1" fieldPosition="0">
        <references count="2">
          <reference field="1" count="1">
            <x v="4"/>
          </reference>
          <reference field="4" count="1" selected="0">
            <x v="14"/>
          </reference>
        </references>
      </pivotArea>
    </format>
    <format dxfId="1375">
      <pivotArea dataOnly="0" labelOnly="1" fieldPosition="0">
        <references count="2">
          <reference field="1" count="4">
            <x v="0"/>
            <x v="1"/>
            <x v="2"/>
            <x v="8"/>
          </reference>
          <reference field="4" count="1" selected="0">
            <x v="78"/>
          </reference>
        </references>
      </pivotArea>
    </format>
    <format dxfId="1374">
      <pivotArea dataOnly="0" labelOnly="1" fieldPosition="0">
        <references count="2">
          <reference field="1" count="1">
            <x v="7"/>
          </reference>
          <reference field="4" count="1" selected="0">
            <x v="83"/>
          </reference>
        </references>
      </pivotArea>
    </format>
    <format dxfId="1373">
      <pivotArea dataOnly="0" labelOnly="1" fieldPosition="0">
        <references count="2">
          <reference field="1" count="1">
            <x v="7"/>
          </reference>
          <reference field="4" count="1" selected="0">
            <x v="51"/>
          </reference>
        </references>
      </pivotArea>
    </format>
    <format dxfId="1372">
      <pivotArea dataOnly="0" labelOnly="1" fieldPosition="0">
        <references count="2">
          <reference field="1" count="1">
            <x v="7"/>
          </reference>
          <reference field="4" count="1" selected="0">
            <x v="53"/>
          </reference>
        </references>
      </pivotArea>
    </format>
    <format dxfId="1371">
      <pivotArea dataOnly="0" labelOnly="1" fieldPosition="0">
        <references count="2">
          <reference field="1" count="1">
            <x v="10"/>
          </reference>
          <reference field="4" count="1" selected="0">
            <x v="70"/>
          </reference>
        </references>
      </pivotArea>
    </format>
    <format dxfId="1370">
      <pivotArea dataOnly="0" labelOnly="1" fieldPosition="0">
        <references count="2">
          <reference field="1" count="1">
            <x v="7"/>
          </reference>
          <reference field="4" count="1" selected="0">
            <x v="6"/>
          </reference>
        </references>
      </pivotArea>
    </format>
    <format dxfId="1369">
      <pivotArea dataOnly="0" labelOnly="1" fieldPosition="0">
        <references count="2">
          <reference field="1" count="1">
            <x v="3"/>
          </reference>
          <reference field="4" count="1" selected="0">
            <x v="24"/>
          </reference>
        </references>
      </pivotArea>
    </format>
    <format dxfId="1368">
      <pivotArea dataOnly="0" labelOnly="1" fieldPosition="0">
        <references count="2">
          <reference field="1" count="2">
            <x v="0"/>
            <x v="1"/>
          </reference>
          <reference field="4" count="1" selected="0">
            <x v="82"/>
          </reference>
        </references>
      </pivotArea>
    </format>
    <format dxfId="1367">
      <pivotArea dataOnly="0" labelOnly="1" fieldPosition="0">
        <references count="2">
          <reference field="1" count="1">
            <x v="3"/>
          </reference>
          <reference field="4" count="1" selected="0">
            <x v="46"/>
          </reference>
        </references>
      </pivotArea>
    </format>
    <format dxfId="1366">
      <pivotArea dataOnly="0" labelOnly="1" fieldPosition="0">
        <references count="2">
          <reference field="1" count="2">
            <x v="8"/>
            <x v="9"/>
          </reference>
          <reference field="4" count="1" selected="0">
            <x v="72"/>
          </reference>
        </references>
      </pivotArea>
    </format>
    <format dxfId="1365">
      <pivotArea dataOnly="0" labelOnly="1" fieldPosition="0">
        <references count="2">
          <reference field="1" count="1">
            <x v="7"/>
          </reference>
          <reference field="4" count="1" selected="0">
            <x v="34"/>
          </reference>
        </references>
      </pivotArea>
    </format>
    <format dxfId="1364">
      <pivotArea dataOnly="0" labelOnly="1" fieldPosition="0">
        <references count="2">
          <reference field="1" count="2">
            <x v="0"/>
            <x v="1"/>
          </reference>
          <reference field="4" count="1" selected="0">
            <x v="77"/>
          </reference>
        </references>
      </pivotArea>
    </format>
    <format dxfId="1363">
      <pivotArea dataOnly="0" labelOnly="1" fieldPosition="0">
        <references count="2">
          <reference field="1" count="2">
            <x v="0"/>
            <x v="1"/>
          </reference>
          <reference field="4" count="1" selected="0">
            <x v="64"/>
          </reference>
        </references>
      </pivotArea>
    </format>
    <format dxfId="1362">
      <pivotArea dataOnly="0" labelOnly="1" fieldPosition="0">
        <references count="2">
          <reference field="1" count="1">
            <x v="5"/>
          </reference>
          <reference field="4" count="1" selected="0">
            <x v="7"/>
          </reference>
        </references>
      </pivotArea>
    </format>
    <format dxfId="1361">
      <pivotArea dataOnly="0" labelOnly="1" fieldPosition="0">
        <references count="2">
          <reference field="1" count="1">
            <x v="5"/>
          </reference>
          <reference field="4" count="1" selected="0">
            <x v="2"/>
          </reference>
        </references>
      </pivotArea>
    </format>
    <format dxfId="1360">
      <pivotArea dataOnly="0" labelOnly="1" fieldPosition="0">
        <references count="2">
          <reference field="1" count="1">
            <x v="3"/>
          </reference>
          <reference field="4" count="1" selected="0">
            <x v="56"/>
          </reference>
        </references>
      </pivotArea>
    </format>
    <format dxfId="1359">
      <pivotArea dataOnly="0" labelOnly="1" fieldPosition="0">
        <references count="2">
          <reference field="1" count="1">
            <x v="5"/>
          </reference>
          <reference field="4" count="1" selected="0">
            <x v="3"/>
          </reference>
        </references>
      </pivotArea>
    </format>
    <format dxfId="1358">
      <pivotArea dataOnly="0" labelOnly="1" fieldPosition="0">
        <references count="2">
          <reference field="1" count="1">
            <x v="6"/>
          </reference>
          <reference field="4" count="1" selected="0">
            <x v="23"/>
          </reference>
        </references>
      </pivotArea>
    </format>
    <format dxfId="1357">
      <pivotArea dataOnly="0" labelOnly="1" fieldPosition="0">
        <references count="2">
          <reference field="1" count="1">
            <x v="6"/>
          </reference>
          <reference field="4" count="1" selected="0">
            <x v="38"/>
          </reference>
        </references>
      </pivotArea>
    </format>
    <format dxfId="1356">
      <pivotArea dataOnly="0" labelOnly="1" fieldPosition="0">
        <references count="2">
          <reference field="1" count="1">
            <x v="6"/>
          </reference>
          <reference field="4" count="1" selected="0">
            <x v="44"/>
          </reference>
        </references>
      </pivotArea>
    </format>
    <format dxfId="1355">
      <pivotArea dataOnly="0" labelOnly="1" fieldPosition="0">
        <references count="2">
          <reference field="1" count="1">
            <x v="6"/>
          </reference>
          <reference field="4" count="1" selected="0">
            <x v="30"/>
          </reference>
        </references>
      </pivotArea>
    </format>
    <format dxfId="1354">
      <pivotArea dataOnly="0" labelOnly="1" fieldPosition="0">
        <references count="2">
          <reference field="1" count="1">
            <x v="6"/>
          </reference>
          <reference field="4" count="1" selected="0">
            <x v="39"/>
          </reference>
        </references>
      </pivotArea>
    </format>
    <format dxfId="1353">
      <pivotArea dataOnly="0" labelOnly="1" fieldPosition="0">
        <references count="2">
          <reference field="1" count="1">
            <x v="6"/>
          </reference>
          <reference field="4" count="1" selected="0">
            <x v="4"/>
          </reference>
        </references>
      </pivotArea>
    </format>
    <format dxfId="1352">
      <pivotArea dataOnly="0" labelOnly="1" fieldPosition="0">
        <references count="2">
          <reference field="1" count="1">
            <x v="6"/>
          </reference>
          <reference field="4" count="1" selected="0">
            <x v="32"/>
          </reference>
        </references>
      </pivotArea>
    </format>
    <format dxfId="1351">
      <pivotArea dataOnly="0" labelOnly="1" fieldPosition="0">
        <references count="2">
          <reference field="1" count="1">
            <x v="6"/>
          </reference>
          <reference field="4" count="1" selected="0">
            <x v="15"/>
          </reference>
        </references>
      </pivotArea>
    </format>
    <format dxfId="1350">
      <pivotArea dataOnly="0" labelOnly="1" fieldPosition="0">
        <references count="2">
          <reference field="1" count="1">
            <x v="1"/>
          </reference>
          <reference field="4" count="1" selected="0">
            <x v="21"/>
          </reference>
        </references>
      </pivotArea>
    </format>
    <format dxfId="1349">
      <pivotArea dataOnly="0" labelOnly="1" fieldPosition="0">
        <references count="2">
          <reference field="1" count="1">
            <x v="7"/>
          </reference>
          <reference field="4" count="1" selected="0">
            <x v="52"/>
          </reference>
        </references>
      </pivotArea>
    </format>
    <format dxfId="1348">
      <pivotArea dataOnly="0" labelOnly="1" fieldPosition="0">
        <references count="2">
          <reference field="1" count="1">
            <x v="6"/>
          </reference>
          <reference field="4" count="1" selected="0">
            <x v="16"/>
          </reference>
        </references>
      </pivotArea>
    </format>
    <format dxfId="1347">
      <pivotArea dataOnly="0" labelOnly="1" fieldPosition="0">
        <references count="2">
          <reference field="1" count="1">
            <x v="6"/>
          </reference>
          <reference field="4" count="1" selected="0">
            <x v="40"/>
          </reference>
        </references>
      </pivotArea>
    </format>
    <format dxfId="1346">
      <pivotArea dataOnly="0" labelOnly="1" fieldPosition="0">
        <references count="2">
          <reference field="1" count="1">
            <x v="7"/>
          </reference>
          <reference field="4" count="1" selected="0">
            <x v="5"/>
          </reference>
        </references>
      </pivotArea>
    </format>
    <format dxfId="1345">
      <pivotArea dataOnly="0" labelOnly="1" fieldPosition="0">
        <references count="2">
          <reference field="1" count="1">
            <x v="6"/>
          </reference>
          <reference field="4" count="1" selected="0">
            <x v="80"/>
          </reference>
        </references>
      </pivotArea>
    </format>
    <format dxfId="1344">
      <pivotArea dataOnly="0" labelOnly="1" fieldPosition="0">
        <references count="2">
          <reference field="1" count="1">
            <x v="6"/>
          </reference>
          <reference field="4" count="1" selected="0">
            <x v="55"/>
          </reference>
        </references>
      </pivotArea>
    </format>
    <format dxfId="1343">
      <pivotArea dataOnly="0" labelOnly="1" fieldPosition="0">
        <references count="2">
          <reference field="1" count="1">
            <x v="6"/>
          </reference>
          <reference field="4" count="1" selected="0">
            <x v="31"/>
          </reference>
        </references>
      </pivotArea>
    </format>
    <format dxfId="1342">
      <pivotArea dataOnly="0" labelOnly="1" fieldPosition="0">
        <references count="2">
          <reference field="1" count="1">
            <x v="6"/>
          </reference>
          <reference field="4" count="1" selected="0">
            <x v="68"/>
          </reference>
        </references>
      </pivotArea>
    </format>
    <format dxfId="1341">
      <pivotArea dataOnly="0" labelOnly="1" fieldPosition="0">
        <references count="2">
          <reference field="1" count="1">
            <x v="0"/>
          </reference>
          <reference field="4" count="1" selected="0">
            <x v="9"/>
          </reference>
        </references>
      </pivotArea>
    </format>
    <format dxfId="1340">
      <pivotArea dataOnly="0" labelOnly="1" fieldPosition="0">
        <references count="2">
          <reference field="1" count="1">
            <x v="6"/>
          </reference>
          <reference field="4" count="1" selected="0">
            <x v="88"/>
          </reference>
        </references>
      </pivotArea>
    </format>
    <format dxfId="1339">
      <pivotArea dataOnly="0" labelOnly="1" fieldPosition="0">
        <references count="2">
          <reference field="1" count="1">
            <x v="2"/>
          </reference>
          <reference field="4" count="1" selected="0">
            <x v="71"/>
          </reference>
        </references>
      </pivotArea>
    </format>
    <format dxfId="1338">
      <pivotArea dataOnly="0" labelOnly="1" fieldPosition="0">
        <references count="2">
          <reference field="1" count="1">
            <x v="6"/>
          </reference>
          <reference field="4" count="1" selected="0">
            <x v="22"/>
          </reference>
        </references>
      </pivotArea>
    </format>
    <format dxfId="1337">
      <pivotArea dataOnly="0" labelOnly="1" fieldPosition="0">
        <references count="2">
          <reference field="1" count="1">
            <x v="6"/>
          </reference>
          <reference field="4" count="1" selected="0">
            <x v="59"/>
          </reference>
        </references>
      </pivotArea>
    </format>
    <format dxfId="1336">
      <pivotArea dataOnly="0" labelOnly="1" fieldPosition="0">
        <references count="2">
          <reference field="1" count="1">
            <x v="6"/>
          </reference>
          <reference field="4" count="1" selected="0">
            <x v="75"/>
          </reference>
        </references>
      </pivotArea>
    </format>
    <format dxfId="1335">
      <pivotArea dataOnly="0" labelOnly="1" fieldPosition="0">
        <references count="2">
          <reference field="1" count="1">
            <x v="6"/>
          </reference>
          <reference field="4" count="1" selected="0">
            <x v="60"/>
          </reference>
        </references>
      </pivotArea>
    </format>
    <format dxfId="1334">
      <pivotArea dataOnly="0" labelOnly="1" fieldPosition="0">
        <references count="2">
          <reference field="1" count="1">
            <x v="6"/>
          </reference>
          <reference field="4" count="1" selected="0">
            <x v="41"/>
          </reference>
        </references>
      </pivotArea>
    </format>
    <format dxfId="1333">
      <pivotArea dataOnly="0" labelOnly="1" fieldPosition="0">
        <references count="2">
          <reference field="1" count="1">
            <x v="2"/>
          </reference>
          <reference field="4" count="1" selected="0">
            <x v="10"/>
          </reference>
        </references>
      </pivotArea>
    </format>
    <format dxfId="1332">
      <pivotArea dataOnly="0" labelOnly="1" fieldPosition="0">
        <references count="2">
          <reference field="1" count="1">
            <x v="9"/>
          </reference>
          <reference field="4" count="1" selected="0">
            <x v="79"/>
          </reference>
        </references>
      </pivotArea>
    </format>
    <format dxfId="1331">
      <pivotArea dataOnly="0" labelOnly="1" fieldPosition="0">
        <references count="2">
          <reference field="1" count="1">
            <x v="6"/>
          </reference>
          <reference field="4" count="1" selected="0">
            <x v="62"/>
          </reference>
        </references>
      </pivotArea>
    </format>
    <format dxfId="1330">
      <pivotArea dataOnly="0" labelOnly="1" fieldPosition="0">
        <references count="2">
          <reference field="1" count="1">
            <x v="6"/>
          </reference>
          <reference field="4" count="1" selected="0">
            <x v="43"/>
          </reference>
        </references>
      </pivotArea>
    </format>
    <format dxfId="1329">
      <pivotArea dataOnly="0" labelOnly="1" fieldPosition="0">
        <references count="2">
          <reference field="1" count="1">
            <x v="6"/>
          </reference>
          <reference field="4" count="1" selected="0">
            <x v="20"/>
          </reference>
        </references>
      </pivotArea>
    </format>
    <format dxfId="1328">
      <pivotArea dataOnly="0" labelOnly="1" fieldPosition="0">
        <references count="2">
          <reference field="1" count="1">
            <x v="6"/>
          </reference>
          <reference field="4" count="1" selected="0">
            <x v="27"/>
          </reference>
        </references>
      </pivotArea>
    </format>
    <format dxfId="1327">
      <pivotArea dataOnly="0" labelOnly="1" fieldPosition="0">
        <references count="2">
          <reference field="1" count="1">
            <x v="6"/>
          </reference>
          <reference field="4" count="1" selected="0">
            <x v="37"/>
          </reference>
        </references>
      </pivotArea>
    </format>
    <format dxfId="1326">
      <pivotArea dataOnly="0" labelOnly="1" fieldPosition="0">
        <references count="2">
          <reference field="1" count="1">
            <x v="9"/>
          </reference>
          <reference field="4" count="1" selected="0">
            <x v="65"/>
          </reference>
        </references>
      </pivotArea>
    </format>
    <format dxfId="1325">
      <pivotArea dataOnly="0" labelOnly="1" fieldPosition="0">
        <references count="2">
          <reference field="1" count="1">
            <x v="6"/>
          </reference>
          <reference field="4" count="1" selected="0">
            <x v="86"/>
          </reference>
        </references>
      </pivotArea>
    </format>
    <format dxfId="1324">
      <pivotArea dataOnly="0" labelOnly="1" fieldPosition="0">
        <references count="2">
          <reference field="1" count="1">
            <x v="2"/>
          </reference>
          <reference field="4" count="1" selected="0">
            <x v="66"/>
          </reference>
        </references>
      </pivotArea>
    </format>
    <format dxfId="1323">
      <pivotArea dataOnly="0" labelOnly="1" fieldPosition="0">
        <references count="2">
          <reference field="1" count="1">
            <x v="6"/>
          </reference>
          <reference field="4" count="1" selected="0">
            <x v="33"/>
          </reference>
        </references>
      </pivotArea>
    </format>
    <format dxfId="1322">
      <pivotArea dataOnly="0" labelOnly="1" fieldPosition="0">
        <references count="2">
          <reference field="1" count="1">
            <x v="8"/>
          </reference>
          <reference field="4" count="1" selected="0">
            <x v="67"/>
          </reference>
        </references>
      </pivotArea>
    </format>
    <format dxfId="1321">
      <pivotArea dataOnly="0" labelOnly="1" fieldPosition="0">
        <references count="2">
          <reference field="1" count="1">
            <x v="6"/>
          </reference>
          <reference field="4" count="1" selected="0">
            <x v="1"/>
          </reference>
        </references>
      </pivotArea>
    </format>
    <format dxfId="1320">
      <pivotArea dataOnly="0" labelOnly="1" fieldPosition="0">
        <references count="2">
          <reference field="1" count="1">
            <x v="6"/>
          </reference>
          <reference field="4" count="1" selected="0">
            <x v="58"/>
          </reference>
        </references>
      </pivotArea>
    </format>
    <format dxfId="1319">
      <pivotArea dataOnly="0" labelOnly="1" fieldPosition="0">
        <references count="2">
          <reference field="1" count="1">
            <x v="6"/>
          </reference>
          <reference field="4" count="1" selected="0">
            <x v="42"/>
          </reference>
        </references>
      </pivotArea>
    </format>
    <format dxfId="1318">
      <pivotArea dataOnly="0" labelOnly="1" fieldPosition="0">
        <references count="1">
          <reference field="4" count="1">
            <x v="1"/>
          </reference>
        </references>
      </pivotArea>
    </format>
    <format dxfId="1317">
      <pivotArea dataOnly="0" labelOnly="1" fieldPosition="0">
        <references count="1">
          <reference field="4" count="1">
            <x v="1"/>
          </reference>
        </references>
      </pivotArea>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Dinámica10"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SA / COMPONENTE / INTERVENCIÓN">
  <location ref="A3:G230" firstHeaderRow="1" firstDataRow="2" firstDataCol="1"/>
  <pivotFields count="34">
    <pivotField axis="axisCol" showAll="0">
      <items count="6">
        <item x="3"/>
        <item x="1"/>
        <item x="2"/>
        <item x="0"/>
        <item x="4"/>
        <item t="default"/>
      </items>
    </pivotField>
    <pivotField axis="axisRow" showAll="0">
      <items count="17">
        <item x="13"/>
        <item x="14"/>
        <item x="11"/>
        <item x="5"/>
        <item x="4"/>
        <item x="12"/>
        <item x="6"/>
        <item x="1"/>
        <item x="2"/>
        <item x="8"/>
        <item x="10"/>
        <item x="15"/>
        <item x="7"/>
        <item x="0"/>
        <item x="3"/>
        <item x="9"/>
        <item t="default"/>
      </items>
    </pivotField>
    <pivotField showAll="0"/>
    <pivotField showAll="0"/>
    <pivotField axis="axisRow" showAll="0">
      <items count="110">
        <item x="30"/>
        <item x="61"/>
        <item x="62"/>
        <item x="70"/>
        <item x="63"/>
        <item x="1"/>
        <item x="68"/>
        <item x="59"/>
        <item x="7"/>
        <item x="21"/>
        <item x="18"/>
        <item x="29"/>
        <item x="13"/>
        <item x="60"/>
        <item x="20"/>
        <item x="3"/>
        <item x="11"/>
        <item x="80"/>
        <item x="47"/>
        <item x="17"/>
        <item x="79"/>
        <item x="77"/>
        <item x="87"/>
        <item x="8"/>
        <item x="32"/>
        <item x="28"/>
        <item x="26"/>
        <item x="4"/>
        <item x="2"/>
        <item x="50"/>
        <item x="71"/>
        <item x="48"/>
        <item x="19"/>
        <item x="82"/>
        <item x="33"/>
        <item x="9"/>
        <item x="76"/>
        <item x="51"/>
        <item x="6"/>
        <item x="66"/>
        <item x="58"/>
        <item x="83"/>
        <item x="12"/>
        <item x="16"/>
        <item x="52"/>
        <item x="64"/>
        <item x="5"/>
        <item x="67"/>
        <item x="49"/>
        <item x="34"/>
        <item x="72"/>
        <item m="1" x="108"/>
        <item x="23"/>
        <item x="25"/>
        <item x="27"/>
        <item x="46"/>
        <item x="10"/>
        <item x="14"/>
        <item x="65"/>
        <item x="74"/>
        <item x="85"/>
        <item x="88"/>
        <item x="91"/>
        <item x="92"/>
        <item x="93"/>
        <item x="94"/>
        <item x="95"/>
        <item x="96"/>
        <item x="97"/>
        <item x="98"/>
        <item x="99"/>
        <item x="100"/>
        <item x="101"/>
        <item x="102"/>
        <item x="103"/>
        <item x="104"/>
        <item x="105"/>
        <item x="15"/>
        <item x="31"/>
        <item x="35"/>
        <item x="37"/>
        <item x="38"/>
        <item x="39"/>
        <item x="57"/>
        <item x="69"/>
        <item x="78"/>
        <item x="84"/>
        <item x="89"/>
        <item x="90"/>
        <item x="0"/>
        <item x="22"/>
        <item x="40"/>
        <item x="41"/>
        <item x="42"/>
        <item x="43"/>
        <item x="44"/>
        <item x="45"/>
        <item x="73"/>
        <item x="53"/>
        <item x="24"/>
        <item x="54"/>
        <item x="55"/>
        <item x="75"/>
        <item x="81"/>
        <item x="86"/>
        <item x="106"/>
        <item m="1" x="107"/>
        <item x="36"/>
        <item x="56"/>
        <item t="default"/>
      </items>
    </pivotField>
    <pivotField dataField="1" showAll="0"/>
    <pivotField showAll="0"/>
    <pivotField showAll="0"/>
    <pivotField axis="axisRow" showAll="0">
      <items count="11">
        <item x="9"/>
        <item x="8"/>
        <item x="7"/>
        <item x="4"/>
        <item x="2"/>
        <item x="1"/>
        <item x="5"/>
        <item x="0"/>
        <item x="3"/>
        <item x="6"/>
        <item t="default"/>
      </items>
    </pivotField>
    <pivotField showAll="0"/>
    <pivotField showAll="0"/>
    <pivotField showAll="0"/>
    <pivotField showAll="0"/>
    <pivotField showAll="0"/>
    <pivotField numFmtId="171" showAll="0"/>
    <pivotField numFmtId="171" showAll="0"/>
    <pivotField showAll="0"/>
    <pivotField numFmtId="171" showAll="0"/>
    <pivotField showAll="0"/>
    <pivotField showAll="0"/>
    <pivotField numFmtId="171" showAll="0"/>
    <pivotField numFmtId="171" showAll="0"/>
    <pivotField numFmtId="171" showAll="0"/>
    <pivotField numFmtId="171" showAll="0"/>
    <pivotField numFmtId="171" showAll="0"/>
    <pivotField numFmtId="171" showAll="0"/>
    <pivotField numFmtId="171" showAll="0"/>
    <pivotField showAll="0"/>
    <pivotField showAll="0"/>
    <pivotField showAll="0"/>
    <pivotField showAll="0"/>
    <pivotField showAll="0"/>
    <pivotField showAll="0"/>
    <pivotField showAll="0"/>
  </pivotFields>
  <rowFields count="3">
    <field x="1"/>
    <field x="8"/>
    <field x="4"/>
  </rowFields>
  <rowItems count="226">
    <i>
      <x/>
    </i>
    <i r="1">
      <x v="1"/>
    </i>
    <i r="2">
      <x v="45"/>
    </i>
    <i r="1">
      <x v="2"/>
    </i>
    <i r="2">
      <x v="39"/>
    </i>
    <i r="2">
      <x v="58"/>
    </i>
    <i r="1">
      <x v="8"/>
    </i>
    <i r="2">
      <x v="25"/>
    </i>
    <i r="1">
      <x v="9"/>
    </i>
    <i r="2">
      <x v="6"/>
    </i>
    <i r="2">
      <x v="47"/>
    </i>
    <i r="2">
      <x v="49"/>
    </i>
    <i r="2">
      <x v="79"/>
    </i>
    <i>
      <x v="1"/>
    </i>
    <i r="1">
      <x v="1"/>
    </i>
    <i r="2">
      <x v="45"/>
    </i>
    <i r="1">
      <x v="2"/>
    </i>
    <i r="2">
      <x v="39"/>
    </i>
    <i r="2">
      <x v="58"/>
    </i>
    <i r="1">
      <x v="7"/>
    </i>
    <i r="2">
      <x v="84"/>
    </i>
    <i r="1">
      <x v="8"/>
    </i>
    <i r="2">
      <x v="25"/>
    </i>
    <i r="1">
      <x v="9"/>
    </i>
    <i r="2">
      <x v="47"/>
    </i>
    <i r="2">
      <x v="49"/>
    </i>
    <i r="2">
      <x v="79"/>
    </i>
    <i>
      <x v="2"/>
    </i>
    <i r="1">
      <x v="1"/>
    </i>
    <i r="2">
      <x v="108"/>
    </i>
    <i r="1">
      <x v="2"/>
    </i>
    <i r="2">
      <x v="40"/>
    </i>
    <i r="2">
      <x v="83"/>
    </i>
    <i r="1">
      <x v="8"/>
    </i>
    <i r="2">
      <x v="25"/>
    </i>
    <i r="1">
      <x v="9"/>
    </i>
    <i r="2">
      <x v="7"/>
    </i>
    <i r="2">
      <x v="49"/>
    </i>
    <i r="2">
      <x v="79"/>
    </i>
    <i>
      <x v="3"/>
    </i>
    <i r="1">
      <x v="7"/>
    </i>
    <i r="2">
      <x v="34"/>
    </i>
    <i r="2">
      <x v="78"/>
    </i>
    <i r="1">
      <x v="8"/>
    </i>
    <i r="2">
      <x v="24"/>
    </i>
    <i>
      <x v="4"/>
    </i>
    <i r="1">
      <x v="2"/>
    </i>
    <i r="2">
      <x/>
    </i>
    <i r="2">
      <x v="90"/>
    </i>
    <i r="1">
      <x v="8"/>
    </i>
    <i r="2">
      <x v="25"/>
    </i>
    <i r="2">
      <x v="101"/>
    </i>
    <i r="1">
      <x v="9"/>
    </i>
    <i r="2">
      <x v="11"/>
    </i>
    <i>
      <x v="5"/>
    </i>
    <i r="1">
      <x v="6"/>
    </i>
    <i r="2">
      <x v="2"/>
    </i>
    <i r="2">
      <x v="4"/>
    </i>
    <i r="1">
      <x v="7"/>
    </i>
    <i r="2">
      <x v="89"/>
    </i>
    <i r="1">
      <x v="8"/>
    </i>
    <i r="2">
      <x v="1"/>
    </i>
    <i>
      <x v="6"/>
    </i>
    <i r="1">
      <x v="1"/>
    </i>
    <i r="2">
      <x v="107"/>
    </i>
    <i r="1">
      <x v="2"/>
    </i>
    <i r="2">
      <x v="80"/>
    </i>
    <i r="2">
      <x v="81"/>
    </i>
    <i r="1">
      <x v="9"/>
    </i>
    <i r="2">
      <x v="49"/>
    </i>
    <i r="2">
      <x v="79"/>
    </i>
    <i>
      <x v="7"/>
    </i>
    <i r="1">
      <x v="3"/>
    </i>
    <i r="2">
      <x v="42"/>
    </i>
    <i r="1">
      <x v="4"/>
    </i>
    <i r="2">
      <x v="19"/>
    </i>
    <i r="2">
      <x v="46"/>
    </i>
    <i r="2">
      <x v="77"/>
    </i>
    <i r="1">
      <x v="5"/>
    </i>
    <i r="2">
      <x v="43"/>
    </i>
    <i r="1">
      <x v="7"/>
    </i>
    <i r="2">
      <x v="89"/>
    </i>
    <i r="1">
      <x v="8"/>
    </i>
    <i r="2">
      <x v="35"/>
    </i>
    <i r="1">
      <x v="9"/>
    </i>
    <i r="2">
      <x v="57"/>
    </i>
    <i>
      <x v="8"/>
    </i>
    <i r="1">
      <x v="3"/>
    </i>
    <i r="2">
      <x v="42"/>
    </i>
    <i r="1">
      <x v="4"/>
    </i>
    <i r="2">
      <x v="19"/>
    </i>
    <i r="2">
      <x v="32"/>
    </i>
    <i r="1">
      <x v="5"/>
    </i>
    <i r="2">
      <x v="10"/>
    </i>
    <i r="2">
      <x v="28"/>
    </i>
    <i r="1">
      <x v="7"/>
    </i>
    <i r="2">
      <x v="89"/>
    </i>
    <i r="1">
      <x v="8"/>
    </i>
    <i r="2">
      <x v="35"/>
    </i>
    <i r="1">
      <x v="9"/>
    </i>
    <i r="2">
      <x v="57"/>
    </i>
    <i>
      <x v="9"/>
    </i>
    <i r="1">
      <x v="7"/>
    </i>
    <i r="2">
      <x v="91"/>
    </i>
    <i r="2">
      <x v="92"/>
    </i>
    <i r="2">
      <x v="93"/>
    </i>
    <i r="2">
      <x v="94"/>
    </i>
    <i>
      <x v="10"/>
    </i>
    <i r="1">
      <x/>
    </i>
    <i r="2">
      <x v="29"/>
    </i>
    <i r="2">
      <x v="31"/>
    </i>
    <i r="1">
      <x v="1"/>
    </i>
    <i r="2">
      <x v="29"/>
    </i>
    <i r="2">
      <x v="37"/>
    </i>
    <i r="1">
      <x v="5"/>
    </i>
    <i r="2">
      <x v="30"/>
    </i>
    <i r="1">
      <x v="6"/>
    </i>
    <i r="2">
      <x v="44"/>
    </i>
    <i r="1">
      <x v="7"/>
    </i>
    <i r="2">
      <x v="3"/>
    </i>
    <i r="2">
      <x v="55"/>
    </i>
    <i r="1">
      <x v="9"/>
    </i>
    <i r="2">
      <x v="18"/>
    </i>
    <i r="2">
      <x v="48"/>
    </i>
    <i>
      <x v="11"/>
    </i>
    <i r="1">
      <x v="1"/>
    </i>
    <i r="2">
      <x v="17"/>
    </i>
    <i r="2">
      <x v="41"/>
    </i>
    <i r="1">
      <x v="2"/>
    </i>
    <i r="2">
      <x v="33"/>
    </i>
    <i r="2">
      <x v="60"/>
    </i>
    <i r="2">
      <x v="103"/>
    </i>
    <i r="1">
      <x v="3"/>
    </i>
    <i r="2">
      <x v="85"/>
    </i>
    <i r="1">
      <x v="4"/>
    </i>
    <i r="2">
      <x v="86"/>
    </i>
    <i r="1">
      <x v="6"/>
    </i>
    <i r="2">
      <x v="20"/>
    </i>
    <i r="2">
      <x v="59"/>
    </i>
    <i r="2">
      <x v="62"/>
    </i>
    <i r="2">
      <x v="88"/>
    </i>
    <i r="2">
      <x v="104"/>
    </i>
    <i r="1">
      <x v="7"/>
    </i>
    <i r="2">
      <x v="22"/>
    </i>
    <i r="2">
      <x v="64"/>
    </i>
    <i r="2">
      <x v="65"/>
    </i>
    <i r="2">
      <x v="66"/>
    </i>
    <i r="2">
      <x v="67"/>
    </i>
    <i r="2">
      <x v="68"/>
    </i>
    <i r="2">
      <x v="69"/>
    </i>
    <i r="2">
      <x v="72"/>
    </i>
    <i r="2">
      <x v="73"/>
    </i>
    <i r="2">
      <x v="74"/>
    </i>
    <i r="2">
      <x v="75"/>
    </i>
    <i r="2">
      <x v="76"/>
    </i>
    <i r="2">
      <x v="105"/>
    </i>
    <i r="1">
      <x v="8"/>
    </i>
    <i r="2">
      <x v="21"/>
    </i>
    <i r="2">
      <x v="61"/>
    </i>
    <i r="2">
      <x v="87"/>
    </i>
    <i r="1">
      <x v="9"/>
    </i>
    <i r="2">
      <x v="36"/>
    </i>
    <i r="2">
      <x v="50"/>
    </i>
    <i r="2">
      <x v="63"/>
    </i>
    <i r="2">
      <x v="70"/>
    </i>
    <i r="2">
      <x v="71"/>
    </i>
    <i r="2">
      <x v="97"/>
    </i>
    <i r="2">
      <x v="102"/>
    </i>
    <i>
      <x v="12"/>
    </i>
    <i r="1">
      <x v="1"/>
    </i>
    <i r="2">
      <x v="107"/>
    </i>
    <i r="1">
      <x v="2"/>
    </i>
    <i r="2">
      <x v="80"/>
    </i>
    <i r="2">
      <x v="82"/>
    </i>
    <i>
      <x v="13"/>
    </i>
    <i r="1">
      <x v="3"/>
    </i>
    <i r="2">
      <x v="42"/>
    </i>
    <i r="1">
      <x v="4"/>
    </i>
    <i r="2">
      <x v="8"/>
    </i>
    <i r="2">
      <x v="27"/>
    </i>
    <i r="2">
      <x v="46"/>
    </i>
    <i r="2">
      <x v="56"/>
    </i>
    <i r="2">
      <x v="77"/>
    </i>
    <i r="1">
      <x v="5"/>
    </i>
    <i r="2">
      <x v="5"/>
    </i>
    <i r="2">
      <x v="15"/>
    </i>
    <i r="2">
      <x v="16"/>
    </i>
    <i r="2">
      <x v="28"/>
    </i>
    <i r="2">
      <x v="38"/>
    </i>
    <i r="1">
      <x v="6"/>
    </i>
    <i r="2">
      <x v="12"/>
    </i>
    <i r="2">
      <x v="13"/>
    </i>
    <i r="1">
      <x v="7"/>
    </i>
    <i r="2">
      <x v="89"/>
    </i>
    <i r="1">
      <x v="8"/>
    </i>
    <i r="2">
      <x v="23"/>
    </i>
    <i r="2">
      <x v="35"/>
    </i>
    <i r="1">
      <x v="9"/>
    </i>
    <i r="2">
      <x v="57"/>
    </i>
    <i>
      <x v="14"/>
    </i>
    <i r="1">
      <x v="1"/>
    </i>
    <i r="2">
      <x v="26"/>
    </i>
    <i r="2">
      <x v="54"/>
    </i>
    <i r="1">
      <x v="2"/>
    </i>
    <i r="2">
      <x v="90"/>
    </i>
    <i r="1">
      <x v="3"/>
    </i>
    <i r="2">
      <x v="52"/>
    </i>
    <i r="1">
      <x v="6"/>
    </i>
    <i r="2">
      <x v="99"/>
    </i>
    <i r="1">
      <x v="7"/>
    </i>
    <i r="2">
      <x v="14"/>
    </i>
    <i r="2">
      <x v="98"/>
    </i>
    <i r="1">
      <x v="8"/>
    </i>
    <i r="2">
      <x v="53"/>
    </i>
    <i r="2">
      <x v="100"/>
    </i>
    <i r="1">
      <x v="9"/>
    </i>
    <i r="2">
      <x v="9"/>
    </i>
    <i>
      <x v="15"/>
    </i>
    <i r="1">
      <x v="7"/>
    </i>
    <i r="2">
      <x v="92"/>
    </i>
    <i r="2">
      <x v="93"/>
    </i>
    <i r="2">
      <x v="94"/>
    </i>
    <i r="2">
      <x v="95"/>
    </i>
    <i r="1">
      <x v="9"/>
    </i>
    <i r="2">
      <x v="96"/>
    </i>
    <i t="grand">
      <x/>
    </i>
  </rowItems>
  <colFields count="1">
    <field x="0"/>
  </colFields>
  <colItems count="6">
    <i>
      <x/>
    </i>
    <i>
      <x v="1"/>
    </i>
    <i>
      <x v="2"/>
    </i>
    <i>
      <x v="3"/>
    </i>
    <i>
      <x v="4"/>
    </i>
    <i t="grand">
      <x/>
    </i>
  </colItems>
  <dataFields count="1">
    <dataField name="Cuenta de Descripción " fld="5" subtotal="count" baseField="0" baseItem="0"/>
  </dataFields>
  <formats count="293">
    <format dxfId="1316">
      <pivotArea type="origin" dataOnly="0" labelOnly="1" outline="0" fieldPosition="0"/>
    </format>
    <format dxfId="1315">
      <pivotArea field="1" type="button" dataOnly="0" labelOnly="1" outline="0" axis="axisRow" fieldPosition="0"/>
    </format>
    <format dxfId="1314">
      <pivotArea dataOnly="0" labelOnly="1" fieldPosition="0">
        <references count="1">
          <reference field="1" count="0"/>
        </references>
      </pivotArea>
    </format>
    <format dxfId="1313">
      <pivotArea dataOnly="0" labelOnly="1" grandRow="1" outline="0" fieldPosition="0"/>
    </format>
    <format dxfId="1312">
      <pivotArea dataOnly="0" labelOnly="1" fieldPosition="0">
        <references count="2">
          <reference field="1" count="1" selected="0">
            <x v="0"/>
          </reference>
          <reference field="8" count="2">
            <x v="1"/>
            <x v="2"/>
          </reference>
        </references>
      </pivotArea>
    </format>
    <format dxfId="1311">
      <pivotArea dataOnly="0" labelOnly="1" fieldPosition="0">
        <references count="2">
          <reference field="1" count="1" selected="0">
            <x v="1"/>
          </reference>
          <reference field="8" count="3">
            <x v="1"/>
            <x v="2"/>
            <x v="7"/>
          </reference>
        </references>
      </pivotArea>
    </format>
    <format dxfId="1310">
      <pivotArea dataOnly="0" labelOnly="1" fieldPosition="0">
        <references count="2">
          <reference field="1" count="1" selected="0">
            <x v="2"/>
          </reference>
          <reference field="8" count="2">
            <x v="1"/>
            <x v="2"/>
          </reference>
        </references>
      </pivotArea>
    </format>
    <format dxfId="1309">
      <pivotArea dataOnly="0" labelOnly="1" fieldPosition="0">
        <references count="2">
          <reference field="1" count="1" selected="0">
            <x v="3"/>
          </reference>
          <reference field="8" count="1">
            <x v="7"/>
          </reference>
        </references>
      </pivotArea>
    </format>
    <format dxfId="1308">
      <pivotArea dataOnly="0" labelOnly="1" fieldPosition="0">
        <references count="2">
          <reference field="1" count="1" selected="0">
            <x v="4"/>
          </reference>
          <reference field="8" count="1">
            <x v="2"/>
          </reference>
        </references>
      </pivotArea>
    </format>
    <format dxfId="1307">
      <pivotArea dataOnly="0" labelOnly="1" fieldPosition="0">
        <references count="2">
          <reference field="1" count="1" selected="0">
            <x v="5"/>
          </reference>
          <reference field="8" count="2">
            <x v="5"/>
            <x v="6"/>
          </reference>
        </references>
      </pivotArea>
    </format>
    <format dxfId="1306">
      <pivotArea dataOnly="0" labelOnly="1" fieldPosition="0">
        <references count="2">
          <reference field="1" count="1" selected="0">
            <x v="7"/>
          </reference>
          <reference field="8" count="3">
            <x v="3"/>
            <x v="4"/>
            <x v="5"/>
          </reference>
        </references>
      </pivotArea>
    </format>
    <format dxfId="1305">
      <pivotArea dataOnly="0" labelOnly="1" fieldPosition="0">
        <references count="2">
          <reference field="1" count="1" selected="0">
            <x v="8"/>
          </reference>
          <reference field="8" count="3">
            <x v="3"/>
            <x v="4"/>
            <x v="5"/>
          </reference>
        </references>
      </pivotArea>
    </format>
    <format dxfId="1304">
      <pivotArea dataOnly="0" labelOnly="1" fieldPosition="0">
        <references count="2">
          <reference field="1" count="1" selected="0">
            <x v="9"/>
          </reference>
          <reference field="8" count="1">
            <x v="7"/>
          </reference>
        </references>
      </pivotArea>
    </format>
    <format dxfId="1303">
      <pivotArea dataOnly="0" labelOnly="1" fieldPosition="0">
        <references count="3">
          <reference field="1" count="1" selected="0">
            <x v="0"/>
          </reference>
          <reference field="4" count="1">
            <x v="45"/>
          </reference>
          <reference field="8" count="1" selected="0">
            <x v="1"/>
          </reference>
        </references>
      </pivotArea>
    </format>
    <format dxfId="1302">
      <pivotArea dataOnly="0" labelOnly="1" fieldPosition="0">
        <references count="3">
          <reference field="1" count="1" selected="0">
            <x v="0"/>
          </reference>
          <reference field="4" count="1">
            <x v="39"/>
          </reference>
          <reference field="8" count="1" selected="0">
            <x v="2"/>
          </reference>
        </references>
      </pivotArea>
    </format>
    <format dxfId="1301">
      <pivotArea dataOnly="0" labelOnly="1" fieldPosition="0">
        <references count="3">
          <reference field="1" count="1" selected="0">
            <x v="1"/>
          </reference>
          <reference field="4" count="1">
            <x v="45"/>
          </reference>
          <reference field="8" count="1" selected="0">
            <x v="1"/>
          </reference>
        </references>
      </pivotArea>
    </format>
    <format dxfId="1300">
      <pivotArea dataOnly="0" labelOnly="1" fieldPosition="0">
        <references count="3">
          <reference field="1" count="1" selected="0">
            <x v="1"/>
          </reference>
          <reference field="4" count="1">
            <x v="39"/>
          </reference>
          <reference field="8" count="1" selected="0">
            <x v="2"/>
          </reference>
        </references>
      </pivotArea>
    </format>
    <format dxfId="1299">
      <pivotArea dataOnly="0" labelOnly="1" fieldPosition="0">
        <references count="3">
          <reference field="1" count="1" selected="0">
            <x v="2"/>
          </reference>
          <reference field="4" count="1">
            <x v="45"/>
          </reference>
          <reference field="8" count="1" selected="0">
            <x v="1"/>
          </reference>
        </references>
      </pivotArea>
    </format>
    <format dxfId="1298">
      <pivotArea dataOnly="0" labelOnly="1" fieldPosition="0">
        <references count="3">
          <reference field="1" count="1" selected="0">
            <x v="2"/>
          </reference>
          <reference field="4" count="1">
            <x v="40"/>
          </reference>
          <reference field="8" count="1" selected="0">
            <x v="2"/>
          </reference>
        </references>
      </pivotArea>
    </format>
    <format dxfId="1297">
      <pivotArea dataOnly="0" labelOnly="1" fieldPosition="0">
        <references count="3">
          <reference field="1" count="1" selected="0">
            <x v="3"/>
          </reference>
          <reference field="4" count="1">
            <x v="34"/>
          </reference>
          <reference field="8" count="1" selected="0">
            <x v="7"/>
          </reference>
        </references>
      </pivotArea>
    </format>
    <format dxfId="1296">
      <pivotArea dataOnly="0" labelOnly="1" fieldPosition="0">
        <references count="3">
          <reference field="1" count="1" selected="0">
            <x v="4"/>
          </reference>
          <reference field="4" count="1">
            <x v="0"/>
          </reference>
          <reference field="8" count="1" selected="0">
            <x v="2"/>
          </reference>
        </references>
      </pivotArea>
    </format>
    <format dxfId="1295">
      <pivotArea dataOnly="0" labelOnly="1" fieldPosition="0">
        <references count="3">
          <reference field="1" count="1" selected="0">
            <x v="5"/>
          </reference>
          <reference field="4" count="1">
            <x v="1"/>
          </reference>
          <reference field="8" count="1" selected="0">
            <x v="5"/>
          </reference>
        </references>
      </pivotArea>
    </format>
    <format dxfId="1294">
      <pivotArea dataOnly="0" labelOnly="1" fieldPosition="0">
        <references count="3">
          <reference field="1" count="1" selected="0">
            <x v="5"/>
          </reference>
          <reference field="4" count="2">
            <x v="2"/>
            <x v="4"/>
          </reference>
          <reference field="8" count="1" selected="0">
            <x v="6"/>
          </reference>
        </references>
      </pivotArea>
    </format>
    <format dxfId="1293">
      <pivotArea dataOnly="0" labelOnly="1" fieldPosition="0">
        <references count="3">
          <reference field="1" count="1" selected="0">
            <x v="7"/>
          </reference>
          <reference field="4" count="1">
            <x v="42"/>
          </reference>
          <reference field="8" count="1" selected="0">
            <x v="3"/>
          </reference>
        </references>
      </pivotArea>
    </format>
    <format dxfId="1292">
      <pivotArea dataOnly="0" labelOnly="1" fieldPosition="0">
        <references count="3">
          <reference field="1" count="1" selected="0">
            <x v="7"/>
          </reference>
          <reference field="4" count="2">
            <x v="19"/>
            <x v="46"/>
          </reference>
          <reference field="8" count="1" selected="0">
            <x v="4"/>
          </reference>
        </references>
      </pivotArea>
    </format>
    <format dxfId="1291">
      <pivotArea dataOnly="0" labelOnly="1" fieldPosition="0">
        <references count="3">
          <reference field="1" count="1" selected="0">
            <x v="7"/>
          </reference>
          <reference field="4" count="2">
            <x v="35"/>
            <x v="43"/>
          </reference>
          <reference field="8" count="1" selected="0">
            <x v="5"/>
          </reference>
        </references>
      </pivotArea>
    </format>
    <format dxfId="1290">
      <pivotArea dataOnly="0" labelOnly="1" fieldPosition="0">
        <references count="3">
          <reference field="1" count="1" selected="0">
            <x v="8"/>
          </reference>
          <reference field="4" count="1">
            <x v="42"/>
          </reference>
          <reference field="8" count="1" selected="0">
            <x v="3"/>
          </reference>
        </references>
      </pivotArea>
    </format>
    <format dxfId="1289">
      <pivotArea dataOnly="0" labelOnly="1" fieldPosition="0">
        <references count="3">
          <reference field="1" count="1" selected="0">
            <x v="8"/>
          </reference>
          <reference field="4" count="1">
            <x v="32"/>
          </reference>
          <reference field="8" count="1" selected="0">
            <x v="4"/>
          </reference>
        </references>
      </pivotArea>
    </format>
    <format dxfId="1288">
      <pivotArea dataOnly="0" labelOnly="1" fieldPosition="0">
        <references count="3">
          <reference field="1" count="1" selected="0">
            <x v="8"/>
          </reference>
          <reference field="4" count="3">
            <x v="10"/>
            <x v="28"/>
            <x v="35"/>
          </reference>
          <reference field="8" count="1" selected="0">
            <x v="5"/>
          </reference>
        </references>
      </pivotArea>
    </format>
    <format dxfId="1287">
      <pivotArea dataOnly="0" labelOnly="1" fieldPosition="0">
        <references count="2">
          <reference field="1" count="1" selected="0">
            <x v="3"/>
          </reference>
          <reference field="8" count="1">
            <x v="7"/>
          </reference>
        </references>
      </pivotArea>
    </format>
    <format dxfId="1286">
      <pivotArea dataOnly="0" labelOnly="1" fieldPosition="0">
        <references count="2">
          <reference field="1" count="1" selected="0">
            <x v="4"/>
          </reference>
          <reference field="8" count="1">
            <x v="2"/>
          </reference>
        </references>
      </pivotArea>
    </format>
    <format dxfId="1285">
      <pivotArea outline="0" collapsedLevelsAreSubtotals="1" fieldPosition="0"/>
    </format>
    <format dxfId="1284">
      <pivotArea field="0" type="button" dataOnly="0" labelOnly="1" outline="0" axis="axisCol" fieldPosition="0"/>
    </format>
    <format dxfId="1283">
      <pivotArea type="topRight" dataOnly="0" labelOnly="1" outline="0" fieldPosition="0"/>
    </format>
    <format dxfId="1282">
      <pivotArea dataOnly="0" labelOnly="1" fieldPosition="0">
        <references count="1">
          <reference field="0" count="0"/>
        </references>
      </pivotArea>
    </format>
    <format dxfId="1281">
      <pivotArea dataOnly="0" labelOnly="1" grandCol="1" outline="0" fieldPosition="0"/>
    </format>
    <format dxfId="1280">
      <pivotArea dataOnly="0" labelOnly="1" fieldPosition="0">
        <references count="2">
          <reference field="1" count="1" selected="0">
            <x v="3"/>
          </reference>
          <reference field="8" count="1">
            <x v="7"/>
          </reference>
        </references>
      </pivotArea>
    </format>
    <format dxfId="1279">
      <pivotArea dataOnly="0" labelOnly="1" fieldPosition="0">
        <references count="2">
          <reference field="1" count="1" selected="0">
            <x v="4"/>
          </reference>
          <reference field="8" count="1">
            <x v="2"/>
          </reference>
        </references>
      </pivotArea>
    </format>
    <format dxfId="1278">
      <pivotArea dataOnly="0" labelOnly="1" fieldPosition="0">
        <references count="3">
          <reference field="1" count="1" selected="0">
            <x v="2"/>
          </reference>
          <reference field="4" count="1">
            <x v="40"/>
          </reference>
          <reference field="8" count="1" selected="0">
            <x v="2"/>
          </reference>
        </references>
      </pivotArea>
    </format>
    <format dxfId="1277">
      <pivotArea dataOnly="0" labelOnly="1" fieldPosition="0">
        <references count="3">
          <reference field="1" count="1" selected="0">
            <x v="3"/>
          </reference>
          <reference field="4" count="1">
            <x v="34"/>
          </reference>
          <reference field="8" count="1" selected="0">
            <x v="7"/>
          </reference>
        </references>
      </pivotArea>
    </format>
    <format dxfId="1276">
      <pivotArea dataOnly="0" labelOnly="1" fieldPosition="0">
        <references count="3">
          <reference field="1" count="1" selected="0">
            <x v="4"/>
          </reference>
          <reference field="4" count="1">
            <x v="0"/>
          </reference>
          <reference field="8" count="1" selected="0">
            <x v="2"/>
          </reference>
        </references>
      </pivotArea>
    </format>
    <format dxfId="1275">
      <pivotArea dataOnly="0" labelOnly="1" fieldPosition="0">
        <references count="3">
          <reference field="1" count="1" selected="0">
            <x v="7"/>
          </reference>
          <reference field="4" count="2">
            <x v="19"/>
            <x v="46"/>
          </reference>
          <reference field="8" count="1" selected="0">
            <x v="4"/>
          </reference>
        </references>
      </pivotArea>
    </format>
    <format dxfId="1274">
      <pivotArea dataOnly="0" labelOnly="1" fieldPosition="0">
        <references count="3">
          <reference field="1" count="1" selected="0">
            <x v="8"/>
          </reference>
          <reference field="4" count="1">
            <x v="32"/>
          </reference>
          <reference field="8" count="1" selected="0">
            <x v="4"/>
          </reference>
        </references>
      </pivotArea>
    </format>
    <format dxfId="1273">
      <pivotArea dataOnly="0" labelOnly="1" fieldPosition="0">
        <references count="3">
          <reference field="1" count="1" selected="0">
            <x v="12"/>
          </reference>
          <reference field="4" count="1">
            <x v="51"/>
          </reference>
          <reference field="8" count="1" selected="0">
            <x v="2"/>
          </reference>
        </references>
      </pivotArea>
    </format>
    <format dxfId="1272">
      <pivotArea dataOnly="0" labelOnly="1" fieldPosition="0">
        <references count="2">
          <reference field="1" count="1" selected="0">
            <x v="3"/>
          </reference>
          <reference field="8" count="1">
            <x v="7"/>
          </reference>
        </references>
      </pivotArea>
    </format>
    <format dxfId="1271">
      <pivotArea dataOnly="0" labelOnly="1" fieldPosition="0">
        <references count="2">
          <reference field="1" count="1" selected="0">
            <x v="4"/>
          </reference>
          <reference field="8" count="1">
            <x v="2"/>
          </reference>
        </references>
      </pivotArea>
    </format>
    <format dxfId="1270">
      <pivotArea dataOnly="0" labelOnly="1" fieldPosition="0">
        <references count="3">
          <reference field="1" count="1" selected="0">
            <x v="2"/>
          </reference>
          <reference field="4" count="1">
            <x v="40"/>
          </reference>
          <reference field="8" count="1" selected="0">
            <x v="2"/>
          </reference>
        </references>
      </pivotArea>
    </format>
    <format dxfId="1269">
      <pivotArea dataOnly="0" labelOnly="1" fieldPosition="0">
        <references count="3">
          <reference field="1" count="1" selected="0">
            <x v="3"/>
          </reference>
          <reference field="4" count="1">
            <x v="34"/>
          </reference>
          <reference field="8" count="1" selected="0">
            <x v="7"/>
          </reference>
        </references>
      </pivotArea>
    </format>
    <format dxfId="1268">
      <pivotArea dataOnly="0" labelOnly="1" fieldPosition="0">
        <references count="3">
          <reference field="1" count="1" selected="0">
            <x v="4"/>
          </reference>
          <reference field="4" count="1">
            <x v="0"/>
          </reference>
          <reference field="8" count="1" selected="0">
            <x v="2"/>
          </reference>
        </references>
      </pivotArea>
    </format>
    <format dxfId="1267">
      <pivotArea dataOnly="0" labelOnly="1" fieldPosition="0">
        <references count="3">
          <reference field="1" count="1" selected="0">
            <x v="7"/>
          </reference>
          <reference field="4" count="2">
            <x v="19"/>
            <x v="46"/>
          </reference>
          <reference field="8" count="1" selected="0">
            <x v="4"/>
          </reference>
        </references>
      </pivotArea>
    </format>
    <format dxfId="1266">
      <pivotArea dataOnly="0" labelOnly="1" fieldPosition="0">
        <references count="3">
          <reference field="1" count="1" selected="0">
            <x v="8"/>
          </reference>
          <reference field="4" count="1">
            <x v="32"/>
          </reference>
          <reference field="8" count="1" selected="0">
            <x v="4"/>
          </reference>
        </references>
      </pivotArea>
    </format>
    <format dxfId="1265">
      <pivotArea dataOnly="0" labelOnly="1" fieldPosition="0">
        <references count="3">
          <reference field="1" count="1" selected="0">
            <x v="12"/>
          </reference>
          <reference field="4" count="1">
            <x v="51"/>
          </reference>
          <reference field="8" count="1" selected="0">
            <x v="2"/>
          </reference>
        </references>
      </pivotArea>
    </format>
    <format dxfId="1264">
      <pivotArea dataOnly="0" labelOnly="1" fieldPosition="0">
        <references count="3">
          <reference field="1" count="1" selected="0">
            <x v="6"/>
          </reference>
          <reference field="4" count="2">
            <x v="80"/>
            <x v="81"/>
          </reference>
          <reference field="8" count="1" selected="0">
            <x v="2"/>
          </reference>
        </references>
      </pivotArea>
    </format>
    <format dxfId="1263">
      <pivotArea dataOnly="0" labelOnly="1" fieldPosition="0">
        <references count="3">
          <reference field="1" count="1" selected="0">
            <x v="6"/>
          </reference>
          <reference field="4" count="1">
            <x v="45"/>
          </reference>
          <reference field="8" count="1" selected="0">
            <x v="1"/>
          </reference>
        </references>
      </pivotArea>
    </format>
    <format dxfId="1262">
      <pivotArea dataOnly="0" labelOnly="1" fieldPosition="0">
        <references count="3">
          <reference field="1" count="1" selected="0">
            <x v="11"/>
          </reference>
          <reference field="4" count="26">
            <x v="17"/>
            <x v="20"/>
            <x v="21"/>
            <x v="22"/>
            <x v="33"/>
            <x v="36"/>
            <x v="41"/>
            <x v="50"/>
            <x v="59"/>
            <x v="60"/>
            <x v="61"/>
            <x v="62"/>
            <x v="63"/>
            <x v="64"/>
            <x v="65"/>
            <x v="66"/>
            <x v="67"/>
            <x v="68"/>
            <x v="69"/>
            <x v="70"/>
            <x v="71"/>
            <x v="72"/>
            <x v="73"/>
            <x v="74"/>
            <x v="75"/>
            <x v="76"/>
          </reference>
          <reference field="8" count="1" selected="0">
            <x v="0"/>
          </reference>
        </references>
      </pivotArea>
    </format>
    <format dxfId="1261">
      <pivotArea dataOnly="0" labelOnly="1" fieldPosition="0">
        <references count="3">
          <reference field="1" count="1" selected="0">
            <x v="10"/>
          </reference>
          <reference field="4" count="9">
            <x v="3"/>
            <x v="18"/>
            <x v="29"/>
            <x v="30"/>
            <x v="31"/>
            <x v="37"/>
            <x v="44"/>
            <x v="48"/>
            <x v="55"/>
          </reference>
          <reference field="8" count="1" selected="0">
            <x v="0"/>
          </reference>
        </references>
      </pivotArea>
    </format>
    <format dxfId="1260">
      <pivotArea dataOnly="0" labelOnly="1" fieldPosition="0">
        <references count="3">
          <reference field="1" count="1" selected="0">
            <x v="12"/>
          </reference>
          <reference field="4" count="3">
            <x v="51"/>
            <x v="80"/>
            <x v="82"/>
          </reference>
          <reference field="8" count="1" selected="0">
            <x v="2"/>
          </reference>
        </references>
      </pivotArea>
    </format>
    <format dxfId="1259">
      <pivotArea dataOnly="0" labelOnly="1" fieldPosition="0">
        <references count="1">
          <reference field="4" count="0"/>
        </references>
      </pivotArea>
    </format>
    <format dxfId="1258">
      <pivotArea dataOnly="0" labelOnly="1" fieldPosition="0">
        <references count="1">
          <reference field="4" count="0"/>
        </references>
      </pivotArea>
    </format>
    <format dxfId="1257">
      <pivotArea dataOnly="0" labelOnly="1" fieldPosition="0">
        <references count="3">
          <reference field="1" count="1" selected="0">
            <x v="11"/>
          </reference>
          <reference field="4" count="26">
            <x v="17"/>
            <x v="20"/>
            <x v="21"/>
            <x v="22"/>
            <x v="33"/>
            <x v="36"/>
            <x v="41"/>
            <x v="50"/>
            <x v="59"/>
            <x v="60"/>
            <x v="61"/>
            <x v="62"/>
            <x v="63"/>
            <x v="64"/>
            <x v="65"/>
            <x v="66"/>
            <x v="67"/>
            <x v="68"/>
            <x v="69"/>
            <x v="70"/>
            <x v="71"/>
            <x v="72"/>
            <x v="73"/>
            <x v="74"/>
            <x v="75"/>
            <x v="76"/>
          </reference>
          <reference field="8" count="1" selected="0">
            <x v="0"/>
          </reference>
        </references>
      </pivotArea>
    </format>
    <format dxfId="1256">
      <pivotArea dataOnly="0" labelOnly="1" fieldPosition="0">
        <references count="3">
          <reference field="1" count="1" selected="0">
            <x v="11"/>
          </reference>
          <reference field="4" count="26">
            <x v="17"/>
            <x v="20"/>
            <x v="21"/>
            <x v="22"/>
            <x v="33"/>
            <x v="36"/>
            <x v="41"/>
            <x v="50"/>
            <x v="59"/>
            <x v="60"/>
            <x v="61"/>
            <x v="62"/>
            <x v="63"/>
            <x v="64"/>
            <x v="65"/>
            <x v="66"/>
            <x v="67"/>
            <x v="68"/>
            <x v="69"/>
            <x v="70"/>
            <x v="71"/>
            <x v="72"/>
            <x v="73"/>
            <x v="74"/>
            <x v="75"/>
            <x v="76"/>
          </reference>
          <reference field="8" count="1" selected="0">
            <x v="0"/>
          </reference>
        </references>
      </pivotArea>
    </format>
    <format dxfId="1255">
      <pivotArea type="origin" dataOnly="0" labelOnly="1" outline="0" fieldPosition="0"/>
    </format>
    <format dxfId="1254">
      <pivotArea field="1" type="button" dataOnly="0" labelOnly="1" outline="0" axis="axisRow" fieldPosition="0"/>
    </format>
    <format dxfId="1253">
      <pivotArea dataOnly="0" labelOnly="1" fieldPosition="0">
        <references count="1">
          <reference field="1" count="0"/>
        </references>
      </pivotArea>
    </format>
    <format dxfId="1252">
      <pivotArea dataOnly="0" labelOnly="1" grandRow="1" outline="0" fieldPosition="0"/>
    </format>
    <format dxfId="1251">
      <pivotArea dataOnly="0" labelOnly="1" fieldPosition="0">
        <references count="2">
          <reference field="1" count="1" selected="0">
            <x v="0"/>
          </reference>
          <reference field="8" count="2">
            <x v="1"/>
            <x v="2"/>
          </reference>
        </references>
      </pivotArea>
    </format>
    <format dxfId="1250">
      <pivotArea dataOnly="0" labelOnly="1" fieldPosition="0">
        <references count="2">
          <reference field="1" count="1" selected="0">
            <x v="1"/>
          </reference>
          <reference field="8" count="3">
            <x v="1"/>
            <x v="2"/>
            <x v="7"/>
          </reference>
        </references>
      </pivotArea>
    </format>
    <format dxfId="1249">
      <pivotArea dataOnly="0" labelOnly="1" fieldPosition="0">
        <references count="2">
          <reference field="1" count="1" selected="0">
            <x v="2"/>
          </reference>
          <reference field="8" count="2">
            <x v="1"/>
            <x v="2"/>
          </reference>
        </references>
      </pivotArea>
    </format>
    <format dxfId="1248">
      <pivotArea dataOnly="0" labelOnly="1" fieldPosition="0">
        <references count="2">
          <reference field="1" count="1" selected="0">
            <x v="3"/>
          </reference>
          <reference field="8" count="1">
            <x v="7"/>
          </reference>
        </references>
      </pivotArea>
    </format>
    <format dxfId="1247">
      <pivotArea dataOnly="0" labelOnly="1" fieldPosition="0">
        <references count="2">
          <reference field="1" count="1" selected="0">
            <x v="4"/>
          </reference>
          <reference field="8" count="1">
            <x v="2"/>
          </reference>
        </references>
      </pivotArea>
    </format>
    <format dxfId="1246">
      <pivotArea dataOnly="0" labelOnly="1" fieldPosition="0">
        <references count="2">
          <reference field="1" count="1" selected="0">
            <x v="5"/>
          </reference>
          <reference field="8" count="2">
            <x v="5"/>
            <x v="6"/>
          </reference>
        </references>
      </pivotArea>
    </format>
    <format dxfId="1245">
      <pivotArea dataOnly="0" labelOnly="1" fieldPosition="0">
        <references count="2">
          <reference field="1" count="1" selected="0">
            <x v="6"/>
          </reference>
          <reference field="8" count="2">
            <x v="1"/>
            <x v="2"/>
          </reference>
        </references>
      </pivotArea>
    </format>
    <format dxfId="1244">
      <pivotArea dataOnly="0" labelOnly="1" fieldPosition="0">
        <references count="2">
          <reference field="1" count="1" selected="0">
            <x v="7"/>
          </reference>
          <reference field="8" count="3">
            <x v="3"/>
            <x v="4"/>
            <x v="5"/>
          </reference>
        </references>
      </pivotArea>
    </format>
    <format dxfId="1243">
      <pivotArea dataOnly="0" labelOnly="1" fieldPosition="0">
        <references count="2">
          <reference field="1" count="1" selected="0">
            <x v="8"/>
          </reference>
          <reference field="8" count="3">
            <x v="3"/>
            <x v="4"/>
            <x v="5"/>
          </reference>
        </references>
      </pivotArea>
    </format>
    <format dxfId="1242">
      <pivotArea dataOnly="0" labelOnly="1" fieldPosition="0">
        <references count="2">
          <reference field="1" count="1" selected="0">
            <x v="9"/>
          </reference>
          <reference field="8" count="1">
            <x v="7"/>
          </reference>
        </references>
      </pivotArea>
    </format>
    <format dxfId="1241">
      <pivotArea dataOnly="0" labelOnly="1" fieldPosition="0">
        <references count="2">
          <reference field="1" count="1" selected="0">
            <x v="10"/>
          </reference>
          <reference field="8" count="1">
            <x v="0"/>
          </reference>
        </references>
      </pivotArea>
    </format>
    <format dxfId="1240">
      <pivotArea dataOnly="0" labelOnly="1" fieldPosition="0">
        <references count="2">
          <reference field="1" count="1" selected="0">
            <x v="11"/>
          </reference>
          <reference field="8" count="1">
            <x v="0"/>
          </reference>
        </references>
      </pivotArea>
    </format>
    <format dxfId="1239">
      <pivotArea dataOnly="0" labelOnly="1" fieldPosition="0">
        <references count="2">
          <reference field="1" count="1" selected="0">
            <x v="12"/>
          </reference>
          <reference field="8" count="1">
            <x v="2"/>
          </reference>
        </references>
      </pivotArea>
    </format>
    <format dxfId="1238">
      <pivotArea dataOnly="0" labelOnly="1" fieldPosition="0">
        <references count="3">
          <reference field="1" count="1" selected="0">
            <x v="0"/>
          </reference>
          <reference field="4" count="1">
            <x v="45"/>
          </reference>
          <reference field="8" count="1" selected="0">
            <x v="1"/>
          </reference>
        </references>
      </pivotArea>
    </format>
    <format dxfId="1237">
      <pivotArea dataOnly="0" labelOnly="1" fieldPosition="0">
        <references count="3">
          <reference field="1" count="1" selected="0">
            <x v="0"/>
          </reference>
          <reference field="4" count="2">
            <x v="39"/>
            <x v="58"/>
          </reference>
          <reference field="8" count="1" selected="0">
            <x v="2"/>
          </reference>
        </references>
      </pivotArea>
    </format>
    <format dxfId="1236">
      <pivotArea dataOnly="0" labelOnly="1" fieldPosition="0">
        <references count="3">
          <reference field="1" count="1" selected="0">
            <x v="1"/>
          </reference>
          <reference field="4" count="1">
            <x v="45"/>
          </reference>
          <reference field="8" count="1" selected="0">
            <x v="1"/>
          </reference>
        </references>
      </pivotArea>
    </format>
    <format dxfId="1235">
      <pivotArea dataOnly="0" labelOnly="1" fieldPosition="0">
        <references count="3">
          <reference field="1" count="1" selected="0">
            <x v="1"/>
          </reference>
          <reference field="4" count="2">
            <x v="39"/>
            <x v="58"/>
          </reference>
          <reference field="8" count="1" selected="0">
            <x v="2"/>
          </reference>
        </references>
      </pivotArea>
    </format>
    <format dxfId="1234">
      <pivotArea dataOnly="0" labelOnly="1" fieldPosition="0">
        <references count="3">
          <reference field="1" count="1" selected="0">
            <x v="1"/>
          </reference>
          <reference field="4" count="1">
            <x v="84"/>
          </reference>
          <reference field="8" count="1" selected="0">
            <x v="7"/>
          </reference>
        </references>
      </pivotArea>
    </format>
    <format dxfId="1233">
      <pivotArea dataOnly="0" labelOnly="1" fieldPosition="0">
        <references count="3">
          <reference field="1" count="1" selected="0">
            <x v="2"/>
          </reference>
          <reference field="4" count="1">
            <x v="45"/>
          </reference>
          <reference field="8" count="1" selected="0">
            <x v="1"/>
          </reference>
        </references>
      </pivotArea>
    </format>
    <format dxfId="1232">
      <pivotArea dataOnly="0" labelOnly="1" fieldPosition="0">
        <references count="3">
          <reference field="1" count="1" selected="0">
            <x v="2"/>
          </reference>
          <reference field="4" count="2">
            <x v="40"/>
            <x v="83"/>
          </reference>
          <reference field="8" count="1" selected="0">
            <x v="2"/>
          </reference>
        </references>
      </pivotArea>
    </format>
    <format dxfId="1231">
      <pivotArea dataOnly="0" labelOnly="1" fieldPosition="0">
        <references count="3">
          <reference field="1" count="1" selected="0">
            <x v="3"/>
          </reference>
          <reference field="4" count="2">
            <x v="34"/>
            <x v="78"/>
          </reference>
          <reference field="8" count="1" selected="0">
            <x v="7"/>
          </reference>
        </references>
      </pivotArea>
    </format>
    <format dxfId="1230">
      <pivotArea dataOnly="0" labelOnly="1" fieldPosition="0">
        <references count="3">
          <reference field="1" count="1" selected="0">
            <x v="4"/>
          </reference>
          <reference field="4" count="1">
            <x v="0"/>
          </reference>
          <reference field="8" count="1" selected="0">
            <x v="2"/>
          </reference>
        </references>
      </pivotArea>
    </format>
    <format dxfId="1229">
      <pivotArea dataOnly="0" labelOnly="1" fieldPosition="0">
        <references count="3">
          <reference field="1" count="1" selected="0">
            <x v="5"/>
          </reference>
          <reference field="4" count="1">
            <x v="1"/>
          </reference>
          <reference field="8" count="1" selected="0">
            <x v="5"/>
          </reference>
        </references>
      </pivotArea>
    </format>
    <format dxfId="1228">
      <pivotArea dataOnly="0" labelOnly="1" fieldPosition="0">
        <references count="3">
          <reference field="1" count="1" selected="0">
            <x v="5"/>
          </reference>
          <reference field="4" count="2">
            <x v="2"/>
            <x v="4"/>
          </reference>
          <reference field="8" count="1" selected="0">
            <x v="6"/>
          </reference>
        </references>
      </pivotArea>
    </format>
    <format dxfId="1227">
      <pivotArea dataOnly="0" labelOnly="1" fieldPosition="0">
        <references count="3">
          <reference field="1" count="1" selected="0">
            <x v="6"/>
          </reference>
          <reference field="4" count="1">
            <x v="45"/>
          </reference>
          <reference field="8" count="1" selected="0">
            <x v="1"/>
          </reference>
        </references>
      </pivotArea>
    </format>
    <format dxfId="1226">
      <pivotArea dataOnly="0" labelOnly="1" fieldPosition="0">
        <references count="3">
          <reference field="1" count="1" selected="0">
            <x v="6"/>
          </reference>
          <reference field="4" count="2">
            <x v="80"/>
            <x v="81"/>
          </reference>
          <reference field="8" count="1" selected="0">
            <x v="2"/>
          </reference>
        </references>
      </pivotArea>
    </format>
    <format dxfId="1225">
      <pivotArea dataOnly="0" labelOnly="1" fieldPosition="0">
        <references count="3">
          <reference field="1" count="1" selected="0">
            <x v="7"/>
          </reference>
          <reference field="4" count="1">
            <x v="42"/>
          </reference>
          <reference field="8" count="1" selected="0">
            <x v="3"/>
          </reference>
        </references>
      </pivotArea>
    </format>
    <format dxfId="1224">
      <pivotArea dataOnly="0" labelOnly="1" fieldPosition="0">
        <references count="3">
          <reference field="1" count="1" selected="0">
            <x v="7"/>
          </reference>
          <reference field="4" count="3">
            <x v="19"/>
            <x v="46"/>
            <x v="77"/>
          </reference>
          <reference field="8" count="1" selected="0">
            <x v="4"/>
          </reference>
        </references>
      </pivotArea>
    </format>
    <format dxfId="1223">
      <pivotArea dataOnly="0" labelOnly="1" fieldPosition="0">
        <references count="3">
          <reference field="1" count="1" selected="0">
            <x v="7"/>
          </reference>
          <reference field="4" count="2">
            <x v="35"/>
            <x v="43"/>
          </reference>
          <reference field="8" count="1" selected="0">
            <x v="5"/>
          </reference>
        </references>
      </pivotArea>
    </format>
    <format dxfId="1222">
      <pivotArea dataOnly="0" labelOnly="1" fieldPosition="0">
        <references count="3">
          <reference field="1" count="1" selected="0">
            <x v="8"/>
          </reference>
          <reference field="4" count="1">
            <x v="42"/>
          </reference>
          <reference field="8" count="1" selected="0">
            <x v="3"/>
          </reference>
        </references>
      </pivotArea>
    </format>
    <format dxfId="1221">
      <pivotArea dataOnly="0" labelOnly="1" fieldPosition="0">
        <references count="3">
          <reference field="1" count="1" selected="0">
            <x v="8"/>
          </reference>
          <reference field="4" count="2">
            <x v="19"/>
            <x v="32"/>
          </reference>
          <reference field="8" count="1" selected="0">
            <x v="4"/>
          </reference>
        </references>
      </pivotArea>
    </format>
    <format dxfId="1220">
      <pivotArea dataOnly="0" labelOnly="1" fieldPosition="0">
        <references count="3">
          <reference field="1" count="1" selected="0">
            <x v="8"/>
          </reference>
          <reference field="4" count="3">
            <x v="10"/>
            <x v="28"/>
            <x v="35"/>
          </reference>
          <reference field="8" count="1" selected="0">
            <x v="5"/>
          </reference>
        </references>
      </pivotArea>
    </format>
    <format dxfId="1219">
      <pivotArea dataOnly="0" labelOnly="1" fieldPosition="0">
        <references count="3">
          <reference field="1" count="1" selected="0">
            <x v="10"/>
          </reference>
          <reference field="4" count="9">
            <x v="3"/>
            <x v="18"/>
            <x v="29"/>
            <x v="30"/>
            <x v="31"/>
            <x v="37"/>
            <x v="44"/>
            <x v="48"/>
            <x v="55"/>
          </reference>
          <reference field="8" count="1" selected="0">
            <x v="0"/>
          </reference>
        </references>
      </pivotArea>
    </format>
    <format dxfId="1218">
      <pivotArea dataOnly="0" labelOnly="1" fieldPosition="0">
        <references count="3">
          <reference field="1" count="1" selected="0">
            <x v="11"/>
          </reference>
          <reference field="4" count="30">
            <x v="17"/>
            <x v="20"/>
            <x v="21"/>
            <x v="22"/>
            <x v="33"/>
            <x v="36"/>
            <x v="41"/>
            <x v="50"/>
            <x v="59"/>
            <x v="60"/>
            <x v="61"/>
            <x v="62"/>
            <x v="63"/>
            <x v="64"/>
            <x v="65"/>
            <x v="66"/>
            <x v="67"/>
            <x v="68"/>
            <x v="69"/>
            <x v="70"/>
            <x v="71"/>
            <x v="72"/>
            <x v="73"/>
            <x v="74"/>
            <x v="75"/>
            <x v="76"/>
            <x v="85"/>
            <x v="86"/>
            <x v="87"/>
            <x v="88"/>
          </reference>
          <reference field="8" count="1" selected="0">
            <x v="0"/>
          </reference>
        </references>
      </pivotArea>
    </format>
    <format dxfId="1217">
      <pivotArea dataOnly="0" labelOnly="1" fieldPosition="0">
        <references count="3">
          <reference field="1" count="1" selected="0">
            <x v="12"/>
          </reference>
          <reference field="4" count="3">
            <x v="51"/>
            <x v="80"/>
            <x v="82"/>
          </reference>
          <reference field="8" count="1" selected="0">
            <x v="2"/>
          </reference>
        </references>
      </pivotArea>
    </format>
    <format dxfId="1216">
      <pivotArea type="origin" dataOnly="0" labelOnly="1" outline="0" fieldPosition="0"/>
    </format>
    <format dxfId="1215">
      <pivotArea field="1" type="button" dataOnly="0" labelOnly="1" outline="0" axis="axisRow" fieldPosition="0"/>
    </format>
    <format dxfId="1214">
      <pivotArea dataOnly="0" labelOnly="1" fieldPosition="0">
        <references count="1">
          <reference field="1" count="0"/>
        </references>
      </pivotArea>
    </format>
    <format dxfId="1213">
      <pivotArea dataOnly="0" labelOnly="1" grandRow="1" outline="0" fieldPosition="0"/>
    </format>
    <format dxfId="1212">
      <pivotArea dataOnly="0" labelOnly="1" fieldPosition="0">
        <references count="2">
          <reference field="1" count="1" selected="0">
            <x v="0"/>
          </reference>
          <reference field="8" count="2">
            <x v="1"/>
            <x v="2"/>
          </reference>
        </references>
      </pivotArea>
    </format>
    <format dxfId="1211">
      <pivotArea dataOnly="0" labelOnly="1" fieldPosition="0">
        <references count="2">
          <reference field="1" count="1" selected="0">
            <x v="1"/>
          </reference>
          <reference field="8" count="3">
            <x v="1"/>
            <x v="2"/>
            <x v="7"/>
          </reference>
        </references>
      </pivotArea>
    </format>
    <format dxfId="1210">
      <pivotArea dataOnly="0" labelOnly="1" fieldPosition="0">
        <references count="2">
          <reference field="1" count="1" selected="0">
            <x v="2"/>
          </reference>
          <reference field="8" count="2">
            <x v="1"/>
            <x v="2"/>
          </reference>
        </references>
      </pivotArea>
    </format>
    <format dxfId="1209">
      <pivotArea dataOnly="0" labelOnly="1" fieldPosition="0">
        <references count="2">
          <reference field="1" count="1" selected="0">
            <x v="3"/>
          </reference>
          <reference field="8" count="1">
            <x v="7"/>
          </reference>
        </references>
      </pivotArea>
    </format>
    <format dxfId="1208">
      <pivotArea dataOnly="0" labelOnly="1" fieldPosition="0">
        <references count="2">
          <reference field="1" count="1" selected="0">
            <x v="4"/>
          </reference>
          <reference field="8" count="1">
            <x v="2"/>
          </reference>
        </references>
      </pivotArea>
    </format>
    <format dxfId="1207">
      <pivotArea dataOnly="0" labelOnly="1" fieldPosition="0">
        <references count="2">
          <reference field="1" count="1" selected="0">
            <x v="5"/>
          </reference>
          <reference field="8" count="2">
            <x v="5"/>
            <x v="6"/>
          </reference>
        </references>
      </pivotArea>
    </format>
    <format dxfId="1206">
      <pivotArea dataOnly="0" labelOnly="1" fieldPosition="0">
        <references count="2">
          <reference field="1" count="1" selected="0">
            <x v="6"/>
          </reference>
          <reference field="8" count="2">
            <x v="1"/>
            <x v="2"/>
          </reference>
        </references>
      </pivotArea>
    </format>
    <format dxfId="1205">
      <pivotArea dataOnly="0" labelOnly="1" fieldPosition="0">
        <references count="2">
          <reference field="1" count="1" selected="0">
            <x v="7"/>
          </reference>
          <reference field="8" count="3">
            <x v="3"/>
            <x v="4"/>
            <x v="5"/>
          </reference>
        </references>
      </pivotArea>
    </format>
    <format dxfId="1204">
      <pivotArea dataOnly="0" labelOnly="1" fieldPosition="0">
        <references count="2">
          <reference field="1" count="1" selected="0">
            <x v="8"/>
          </reference>
          <reference field="8" count="3">
            <x v="3"/>
            <x v="4"/>
            <x v="5"/>
          </reference>
        </references>
      </pivotArea>
    </format>
    <format dxfId="1203">
      <pivotArea dataOnly="0" labelOnly="1" fieldPosition="0">
        <references count="2">
          <reference field="1" count="1" selected="0">
            <x v="9"/>
          </reference>
          <reference field="8" count="1">
            <x v="7"/>
          </reference>
        </references>
      </pivotArea>
    </format>
    <format dxfId="1202">
      <pivotArea dataOnly="0" labelOnly="1" fieldPosition="0">
        <references count="2">
          <reference field="1" count="1" selected="0">
            <x v="10"/>
          </reference>
          <reference field="8" count="1">
            <x v="0"/>
          </reference>
        </references>
      </pivotArea>
    </format>
    <format dxfId="1201">
      <pivotArea dataOnly="0" labelOnly="1" fieldPosition="0">
        <references count="2">
          <reference field="1" count="1" selected="0">
            <x v="11"/>
          </reference>
          <reference field="8" count="1">
            <x v="0"/>
          </reference>
        </references>
      </pivotArea>
    </format>
    <format dxfId="1200">
      <pivotArea dataOnly="0" labelOnly="1" fieldPosition="0">
        <references count="2">
          <reference field="1" count="1" selected="0">
            <x v="12"/>
          </reference>
          <reference field="8" count="1">
            <x v="2"/>
          </reference>
        </references>
      </pivotArea>
    </format>
    <format dxfId="1199">
      <pivotArea dataOnly="0" labelOnly="1" fieldPosition="0">
        <references count="3">
          <reference field="1" count="1" selected="0">
            <x v="0"/>
          </reference>
          <reference field="4" count="1">
            <x v="45"/>
          </reference>
          <reference field="8" count="1" selected="0">
            <x v="1"/>
          </reference>
        </references>
      </pivotArea>
    </format>
    <format dxfId="1198">
      <pivotArea dataOnly="0" labelOnly="1" fieldPosition="0">
        <references count="3">
          <reference field="1" count="1" selected="0">
            <x v="0"/>
          </reference>
          <reference field="4" count="2">
            <x v="39"/>
            <x v="58"/>
          </reference>
          <reference field="8" count="1" selected="0">
            <x v="2"/>
          </reference>
        </references>
      </pivotArea>
    </format>
    <format dxfId="1197">
      <pivotArea dataOnly="0" labelOnly="1" fieldPosition="0">
        <references count="3">
          <reference field="1" count="1" selected="0">
            <x v="1"/>
          </reference>
          <reference field="4" count="1">
            <x v="45"/>
          </reference>
          <reference field="8" count="1" selected="0">
            <x v="1"/>
          </reference>
        </references>
      </pivotArea>
    </format>
    <format dxfId="1196">
      <pivotArea dataOnly="0" labelOnly="1" fieldPosition="0">
        <references count="3">
          <reference field="1" count="1" selected="0">
            <x v="1"/>
          </reference>
          <reference field="4" count="2">
            <x v="39"/>
            <x v="58"/>
          </reference>
          <reference field="8" count="1" selected="0">
            <x v="2"/>
          </reference>
        </references>
      </pivotArea>
    </format>
    <format dxfId="1195">
      <pivotArea dataOnly="0" labelOnly="1" fieldPosition="0">
        <references count="3">
          <reference field="1" count="1" selected="0">
            <x v="1"/>
          </reference>
          <reference field="4" count="1">
            <x v="84"/>
          </reference>
          <reference field="8" count="1" selected="0">
            <x v="7"/>
          </reference>
        </references>
      </pivotArea>
    </format>
    <format dxfId="1194">
      <pivotArea dataOnly="0" labelOnly="1" fieldPosition="0">
        <references count="3">
          <reference field="1" count="1" selected="0">
            <x v="2"/>
          </reference>
          <reference field="4" count="1">
            <x v="45"/>
          </reference>
          <reference field="8" count="1" selected="0">
            <x v="1"/>
          </reference>
        </references>
      </pivotArea>
    </format>
    <format dxfId="1193">
      <pivotArea dataOnly="0" labelOnly="1" fieldPosition="0">
        <references count="3">
          <reference field="1" count="1" selected="0">
            <x v="2"/>
          </reference>
          <reference field="4" count="2">
            <x v="40"/>
            <x v="83"/>
          </reference>
          <reference field="8" count="1" selected="0">
            <x v="2"/>
          </reference>
        </references>
      </pivotArea>
    </format>
    <format dxfId="1192">
      <pivotArea dataOnly="0" labelOnly="1" fieldPosition="0">
        <references count="3">
          <reference field="1" count="1" selected="0">
            <x v="3"/>
          </reference>
          <reference field="4" count="2">
            <x v="34"/>
            <x v="78"/>
          </reference>
          <reference field="8" count="1" selected="0">
            <x v="7"/>
          </reference>
        </references>
      </pivotArea>
    </format>
    <format dxfId="1191">
      <pivotArea dataOnly="0" labelOnly="1" fieldPosition="0">
        <references count="3">
          <reference field="1" count="1" selected="0">
            <x v="4"/>
          </reference>
          <reference field="4" count="1">
            <x v="0"/>
          </reference>
          <reference field="8" count="1" selected="0">
            <x v="2"/>
          </reference>
        </references>
      </pivotArea>
    </format>
    <format dxfId="1190">
      <pivotArea dataOnly="0" labelOnly="1" fieldPosition="0">
        <references count="3">
          <reference field="1" count="1" selected="0">
            <x v="5"/>
          </reference>
          <reference field="4" count="1">
            <x v="1"/>
          </reference>
          <reference field="8" count="1" selected="0">
            <x v="5"/>
          </reference>
        </references>
      </pivotArea>
    </format>
    <format dxfId="1189">
      <pivotArea dataOnly="0" labelOnly="1" fieldPosition="0">
        <references count="3">
          <reference field="1" count="1" selected="0">
            <x v="5"/>
          </reference>
          <reference field="4" count="2">
            <x v="2"/>
            <x v="4"/>
          </reference>
          <reference field="8" count="1" selected="0">
            <x v="6"/>
          </reference>
        </references>
      </pivotArea>
    </format>
    <format dxfId="1188">
      <pivotArea dataOnly="0" labelOnly="1" fieldPosition="0">
        <references count="3">
          <reference field="1" count="1" selected="0">
            <x v="6"/>
          </reference>
          <reference field="4" count="1">
            <x v="45"/>
          </reference>
          <reference field="8" count="1" selected="0">
            <x v="1"/>
          </reference>
        </references>
      </pivotArea>
    </format>
    <format dxfId="1187">
      <pivotArea dataOnly="0" labelOnly="1" fieldPosition="0">
        <references count="3">
          <reference field="1" count="1" selected="0">
            <x v="6"/>
          </reference>
          <reference field="4" count="2">
            <x v="80"/>
            <x v="81"/>
          </reference>
          <reference field="8" count="1" selected="0">
            <x v="2"/>
          </reference>
        </references>
      </pivotArea>
    </format>
    <format dxfId="1186">
      <pivotArea dataOnly="0" labelOnly="1" fieldPosition="0">
        <references count="3">
          <reference field="1" count="1" selected="0">
            <x v="7"/>
          </reference>
          <reference field="4" count="1">
            <x v="42"/>
          </reference>
          <reference field="8" count="1" selected="0">
            <x v="3"/>
          </reference>
        </references>
      </pivotArea>
    </format>
    <format dxfId="1185">
      <pivotArea dataOnly="0" labelOnly="1" fieldPosition="0">
        <references count="3">
          <reference field="1" count="1" selected="0">
            <x v="7"/>
          </reference>
          <reference field="4" count="3">
            <x v="19"/>
            <x v="46"/>
            <x v="77"/>
          </reference>
          <reference field="8" count="1" selected="0">
            <x v="4"/>
          </reference>
        </references>
      </pivotArea>
    </format>
    <format dxfId="1184">
      <pivotArea dataOnly="0" labelOnly="1" fieldPosition="0">
        <references count="3">
          <reference field="1" count="1" selected="0">
            <x v="7"/>
          </reference>
          <reference field="4" count="2">
            <x v="35"/>
            <x v="43"/>
          </reference>
          <reference field="8" count="1" selected="0">
            <x v="5"/>
          </reference>
        </references>
      </pivotArea>
    </format>
    <format dxfId="1183">
      <pivotArea dataOnly="0" labelOnly="1" fieldPosition="0">
        <references count="3">
          <reference field="1" count="1" selected="0">
            <x v="8"/>
          </reference>
          <reference field="4" count="1">
            <x v="42"/>
          </reference>
          <reference field="8" count="1" selected="0">
            <x v="3"/>
          </reference>
        </references>
      </pivotArea>
    </format>
    <format dxfId="1182">
      <pivotArea dataOnly="0" labelOnly="1" fieldPosition="0">
        <references count="3">
          <reference field="1" count="1" selected="0">
            <x v="8"/>
          </reference>
          <reference field="4" count="2">
            <x v="19"/>
            <x v="32"/>
          </reference>
          <reference field="8" count="1" selected="0">
            <x v="4"/>
          </reference>
        </references>
      </pivotArea>
    </format>
    <format dxfId="1181">
      <pivotArea dataOnly="0" labelOnly="1" fieldPosition="0">
        <references count="3">
          <reference field="1" count="1" selected="0">
            <x v="8"/>
          </reference>
          <reference field="4" count="3">
            <x v="10"/>
            <x v="28"/>
            <x v="35"/>
          </reference>
          <reference field="8" count="1" selected="0">
            <x v="5"/>
          </reference>
        </references>
      </pivotArea>
    </format>
    <format dxfId="1180">
      <pivotArea dataOnly="0" labelOnly="1" fieldPosition="0">
        <references count="3">
          <reference field="1" count="1" selected="0">
            <x v="10"/>
          </reference>
          <reference field="4" count="9">
            <x v="3"/>
            <x v="18"/>
            <x v="29"/>
            <x v="30"/>
            <x v="31"/>
            <x v="37"/>
            <x v="44"/>
            <x v="48"/>
            <x v="55"/>
          </reference>
          <reference field="8" count="1" selected="0">
            <x v="0"/>
          </reference>
        </references>
      </pivotArea>
    </format>
    <format dxfId="1179">
      <pivotArea dataOnly="0" labelOnly="1" fieldPosition="0">
        <references count="3">
          <reference field="1" count="1" selected="0">
            <x v="11"/>
          </reference>
          <reference field="4" count="30">
            <x v="17"/>
            <x v="20"/>
            <x v="21"/>
            <x v="22"/>
            <x v="33"/>
            <x v="36"/>
            <x v="41"/>
            <x v="50"/>
            <x v="59"/>
            <x v="60"/>
            <x v="61"/>
            <x v="62"/>
            <x v="63"/>
            <x v="64"/>
            <x v="65"/>
            <x v="66"/>
            <x v="67"/>
            <x v="68"/>
            <x v="69"/>
            <x v="70"/>
            <x v="71"/>
            <x v="72"/>
            <x v="73"/>
            <x v="74"/>
            <x v="75"/>
            <x v="76"/>
            <x v="85"/>
            <x v="86"/>
            <x v="87"/>
            <x v="88"/>
          </reference>
          <reference field="8" count="1" selected="0">
            <x v="0"/>
          </reference>
        </references>
      </pivotArea>
    </format>
    <format dxfId="1178">
      <pivotArea dataOnly="0" labelOnly="1" fieldPosition="0">
        <references count="3">
          <reference field="1" count="1" selected="0">
            <x v="12"/>
          </reference>
          <reference field="4" count="3">
            <x v="51"/>
            <x v="80"/>
            <x v="82"/>
          </reference>
          <reference field="8" count="1" selected="0">
            <x v="2"/>
          </reference>
        </references>
      </pivotArea>
    </format>
    <format dxfId="1177">
      <pivotArea type="origin" dataOnly="0" labelOnly="1" outline="0" fieldPosition="0"/>
    </format>
    <format dxfId="1176">
      <pivotArea field="1" type="button" dataOnly="0" labelOnly="1" outline="0" axis="axisRow" fieldPosition="0"/>
    </format>
    <format dxfId="1175">
      <pivotArea dataOnly="0" labelOnly="1" fieldPosition="0">
        <references count="1">
          <reference field="1" count="0"/>
        </references>
      </pivotArea>
    </format>
    <format dxfId="1174">
      <pivotArea dataOnly="0" labelOnly="1" grandRow="1" outline="0" fieldPosition="0"/>
    </format>
    <format dxfId="1173">
      <pivotArea dataOnly="0" labelOnly="1" fieldPosition="0">
        <references count="2">
          <reference field="1" count="1" selected="0">
            <x v="0"/>
          </reference>
          <reference field="8" count="2">
            <x v="1"/>
            <x v="2"/>
          </reference>
        </references>
      </pivotArea>
    </format>
    <format dxfId="1172">
      <pivotArea dataOnly="0" labelOnly="1" fieldPosition="0">
        <references count="2">
          <reference field="1" count="1" selected="0">
            <x v="1"/>
          </reference>
          <reference field="8" count="3">
            <x v="1"/>
            <x v="2"/>
            <x v="7"/>
          </reference>
        </references>
      </pivotArea>
    </format>
    <format dxfId="1171">
      <pivotArea dataOnly="0" labelOnly="1" fieldPosition="0">
        <references count="2">
          <reference field="1" count="1" selected="0">
            <x v="2"/>
          </reference>
          <reference field="8" count="2">
            <x v="1"/>
            <x v="2"/>
          </reference>
        </references>
      </pivotArea>
    </format>
    <format dxfId="1170">
      <pivotArea dataOnly="0" labelOnly="1" fieldPosition="0">
        <references count="2">
          <reference field="1" count="1" selected="0">
            <x v="3"/>
          </reference>
          <reference field="8" count="1">
            <x v="7"/>
          </reference>
        </references>
      </pivotArea>
    </format>
    <format dxfId="1169">
      <pivotArea dataOnly="0" labelOnly="1" fieldPosition="0">
        <references count="2">
          <reference field="1" count="1" selected="0">
            <x v="4"/>
          </reference>
          <reference field="8" count="1">
            <x v="2"/>
          </reference>
        </references>
      </pivotArea>
    </format>
    <format dxfId="1168">
      <pivotArea dataOnly="0" labelOnly="1" fieldPosition="0">
        <references count="2">
          <reference field="1" count="1" selected="0">
            <x v="5"/>
          </reference>
          <reference field="8" count="2">
            <x v="5"/>
            <x v="6"/>
          </reference>
        </references>
      </pivotArea>
    </format>
    <format dxfId="1167">
      <pivotArea dataOnly="0" labelOnly="1" fieldPosition="0">
        <references count="2">
          <reference field="1" count="1" selected="0">
            <x v="6"/>
          </reference>
          <reference field="8" count="2">
            <x v="1"/>
            <x v="2"/>
          </reference>
        </references>
      </pivotArea>
    </format>
    <format dxfId="1166">
      <pivotArea dataOnly="0" labelOnly="1" fieldPosition="0">
        <references count="2">
          <reference field="1" count="1" selected="0">
            <x v="7"/>
          </reference>
          <reference field="8" count="3">
            <x v="3"/>
            <x v="4"/>
            <x v="5"/>
          </reference>
        </references>
      </pivotArea>
    </format>
    <format dxfId="1165">
      <pivotArea dataOnly="0" labelOnly="1" fieldPosition="0">
        <references count="2">
          <reference field="1" count="1" selected="0">
            <x v="8"/>
          </reference>
          <reference field="8" count="3">
            <x v="3"/>
            <x v="4"/>
            <x v="5"/>
          </reference>
        </references>
      </pivotArea>
    </format>
    <format dxfId="1164">
      <pivotArea dataOnly="0" labelOnly="1" fieldPosition="0">
        <references count="2">
          <reference field="1" count="1" selected="0">
            <x v="9"/>
          </reference>
          <reference field="8" count="1">
            <x v="7"/>
          </reference>
        </references>
      </pivotArea>
    </format>
    <format dxfId="1163">
      <pivotArea dataOnly="0" labelOnly="1" fieldPosition="0">
        <references count="2">
          <reference field="1" count="1" selected="0">
            <x v="10"/>
          </reference>
          <reference field="8" count="1">
            <x v="0"/>
          </reference>
        </references>
      </pivotArea>
    </format>
    <format dxfId="1162">
      <pivotArea dataOnly="0" labelOnly="1" fieldPosition="0">
        <references count="2">
          <reference field="1" count="1" selected="0">
            <x v="11"/>
          </reference>
          <reference field="8" count="1">
            <x v="0"/>
          </reference>
        </references>
      </pivotArea>
    </format>
    <format dxfId="1161">
      <pivotArea dataOnly="0" labelOnly="1" fieldPosition="0">
        <references count="2">
          <reference field="1" count="1" selected="0">
            <x v="12"/>
          </reference>
          <reference field="8" count="1">
            <x v="2"/>
          </reference>
        </references>
      </pivotArea>
    </format>
    <format dxfId="1160">
      <pivotArea dataOnly="0" labelOnly="1" fieldPosition="0">
        <references count="3">
          <reference field="1" count="1" selected="0">
            <x v="0"/>
          </reference>
          <reference field="4" count="1">
            <x v="45"/>
          </reference>
          <reference field="8" count="1" selected="0">
            <x v="1"/>
          </reference>
        </references>
      </pivotArea>
    </format>
    <format dxfId="1159">
      <pivotArea dataOnly="0" labelOnly="1" fieldPosition="0">
        <references count="3">
          <reference field="1" count="1" selected="0">
            <x v="0"/>
          </reference>
          <reference field="4" count="2">
            <x v="39"/>
            <x v="58"/>
          </reference>
          <reference field="8" count="1" selected="0">
            <x v="2"/>
          </reference>
        </references>
      </pivotArea>
    </format>
    <format dxfId="1158">
      <pivotArea dataOnly="0" labelOnly="1" fieldPosition="0">
        <references count="3">
          <reference field="1" count="1" selected="0">
            <x v="1"/>
          </reference>
          <reference field="4" count="1">
            <x v="45"/>
          </reference>
          <reference field="8" count="1" selected="0">
            <x v="1"/>
          </reference>
        </references>
      </pivotArea>
    </format>
    <format dxfId="1157">
      <pivotArea dataOnly="0" labelOnly="1" fieldPosition="0">
        <references count="3">
          <reference field="1" count="1" selected="0">
            <x v="1"/>
          </reference>
          <reference field="4" count="2">
            <x v="39"/>
            <x v="58"/>
          </reference>
          <reference field="8" count="1" selected="0">
            <x v="2"/>
          </reference>
        </references>
      </pivotArea>
    </format>
    <format dxfId="1156">
      <pivotArea dataOnly="0" labelOnly="1" fieldPosition="0">
        <references count="3">
          <reference field="1" count="1" selected="0">
            <x v="1"/>
          </reference>
          <reference field="4" count="1">
            <x v="84"/>
          </reference>
          <reference field="8" count="1" selected="0">
            <x v="7"/>
          </reference>
        </references>
      </pivotArea>
    </format>
    <format dxfId="1155">
      <pivotArea dataOnly="0" labelOnly="1" fieldPosition="0">
        <references count="3">
          <reference field="1" count="1" selected="0">
            <x v="2"/>
          </reference>
          <reference field="4" count="1">
            <x v="45"/>
          </reference>
          <reference field="8" count="1" selected="0">
            <x v="1"/>
          </reference>
        </references>
      </pivotArea>
    </format>
    <format dxfId="1154">
      <pivotArea dataOnly="0" labelOnly="1" fieldPosition="0">
        <references count="3">
          <reference field="1" count="1" selected="0">
            <x v="2"/>
          </reference>
          <reference field="4" count="2">
            <x v="40"/>
            <x v="83"/>
          </reference>
          <reference field="8" count="1" selected="0">
            <x v="2"/>
          </reference>
        </references>
      </pivotArea>
    </format>
    <format dxfId="1153">
      <pivotArea dataOnly="0" labelOnly="1" fieldPosition="0">
        <references count="3">
          <reference field="1" count="1" selected="0">
            <x v="3"/>
          </reference>
          <reference field="4" count="2">
            <x v="34"/>
            <x v="78"/>
          </reference>
          <reference field="8" count="1" selected="0">
            <x v="7"/>
          </reference>
        </references>
      </pivotArea>
    </format>
    <format dxfId="1152">
      <pivotArea dataOnly="0" labelOnly="1" fieldPosition="0">
        <references count="3">
          <reference field="1" count="1" selected="0">
            <x v="4"/>
          </reference>
          <reference field="4" count="1">
            <x v="0"/>
          </reference>
          <reference field="8" count="1" selected="0">
            <x v="2"/>
          </reference>
        </references>
      </pivotArea>
    </format>
    <format dxfId="1151">
      <pivotArea dataOnly="0" labelOnly="1" fieldPosition="0">
        <references count="3">
          <reference field="1" count="1" selected="0">
            <x v="5"/>
          </reference>
          <reference field="4" count="1">
            <x v="1"/>
          </reference>
          <reference field="8" count="1" selected="0">
            <x v="5"/>
          </reference>
        </references>
      </pivotArea>
    </format>
    <format dxfId="1150">
      <pivotArea dataOnly="0" labelOnly="1" fieldPosition="0">
        <references count="3">
          <reference field="1" count="1" selected="0">
            <x v="5"/>
          </reference>
          <reference field="4" count="2">
            <x v="2"/>
            <x v="4"/>
          </reference>
          <reference field="8" count="1" selected="0">
            <x v="6"/>
          </reference>
        </references>
      </pivotArea>
    </format>
    <format dxfId="1149">
      <pivotArea dataOnly="0" labelOnly="1" fieldPosition="0">
        <references count="3">
          <reference field="1" count="1" selected="0">
            <x v="6"/>
          </reference>
          <reference field="4" count="1">
            <x v="45"/>
          </reference>
          <reference field="8" count="1" selected="0">
            <x v="1"/>
          </reference>
        </references>
      </pivotArea>
    </format>
    <format dxfId="1148">
      <pivotArea dataOnly="0" labelOnly="1" fieldPosition="0">
        <references count="3">
          <reference field="1" count="1" selected="0">
            <x v="6"/>
          </reference>
          <reference field="4" count="2">
            <x v="80"/>
            <x v="81"/>
          </reference>
          <reference field="8" count="1" selected="0">
            <x v="2"/>
          </reference>
        </references>
      </pivotArea>
    </format>
    <format dxfId="1147">
      <pivotArea dataOnly="0" labelOnly="1" fieldPosition="0">
        <references count="3">
          <reference field="1" count="1" selected="0">
            <x v="7"/>
          </reference>
          <reference field="4" count="1">
            <x v="42"/>
          </reference>
          <reference field="8" count="1" selected="0">
            <x v="3"/>
          </reference>
        </references>
      </pivotArea>
    </format>
    <format dxfId="1146">
      <pivotArea dataOnly="0" labelOnly="1" fieldPosition="0">
        <references count="3">
          <reference field="1" count="1" selected="0">
            <x v="7"/>
          </reference>
          <reference field="4" count="3">
            <x v="19"/>
            <x v="46"/>
            <x v="77"/>
          </reference>
          <reference field="8" count="1" selected="0">
            <x v="4"/>
          </reference>
        </references>
      </pivotArea>
    </format>
    <format dxfId="1145">
      <pivotArea dataOnly="0" labelOnly="1" fieldPosition="0">
        <references count="3">
          <reference field="1" count="1" selected="0">
            <x v="7"/>
          </reference>
          <reference field="4" count="2">
            <x v="35"/>
            <x v="43"/>
          </reference>
          <reference field="8" count="1" selected="0">
            <x v="5"/>
          </reference>
        </references>
      </pivotArea>
    </format>
    <format dxfId="1144">
      <pivotArea dataOnly="0" labelOnly="1" fieldPosition="0">
        <references count="3">
          <reference field="1" count="1" selected="0">
            <x v="8"/>
          </reference>
          <reference field="4" count="1">
            <x v="42"/>
          </reference>
          <reference field="8" count="1" selected="0">
            <x v="3"/>
          </reference>
        </references>
      </pivotArea>
    </format>
    <format dxfId="1143">
      <pivotArea dataOnly="0" labelOnly="1" fieldPosition="0">
        <references count="3">
          <reference field="1" count="1" selected="0">
            <x v="8"/>
          </reference>
          <reference field="4" count="2">
            <x v="19"/>
            <x v="32"/>
          </reference>
          <reference field="8" count="1" selected="0">
            <x v="4"/>
          </reference>
        </references>
      </pivotArea>
    </format>
    <format dxfId="1142">
      <pivotArea dataOnly="0" labelOnly="1" fieldPosition="0">
        <references count="3">
          <reference field="1" count="1" selected="0">
            <x v="8"/>
          </reference>
          <reference field="4" count="3">
            <x v="10"/>
            <x v="28"/>
            <x v="35"/>
          </reference>
          <reference field="8" count="1" selected="0">
            <x v="5"/>
          </reference>
        </references>
      </pivotArea>
    </format>
    <format dxfId="1141">
      <pivotArea dataOnly="0" labelOnly="1" fieldPosition="0">
        <references count="3">
          <reference field="1" count="1" selected="0">
            <x v="10"/>
          </reference>
          <reference field="4" count="9">
            <x v="3"/>
            <x v="18"/>
            <x v="29"/>
            <x v="30"/>
            <x v="31"/>
            <x v="37"/>
            <x v="44"/>
            <x v="48"/>
            <x v="55"/>
          </reference>
          <reference field="8" count="1" selected="0">
            <x v="0"/>
          </reference>
        </references>
      </pivotArea>
    </format>
    <format dxfId="1140">
      <pivotArea dataOnly="0" labelOnly="1" fieldPosition="0">
        <references count="3">
          <reference field="1" count="1" selected="0">
            <x v="11"/>
          </reference>
          <reference field="4" count="30">
            <x v="17"/>
            <x v="20"/>
            <x v="21"/>
            <x v="22"/>
            <x v="33"/>
            <x v="36"/>
            <x v="41"/>
            <x v="50"/>
            <x v="59"/>
            <x v="60"/>
            <x v="61"/>
            <x v="62"/>
            <x v="63"/>
            <x v="64"/>
            <x v="65"/>
            <x v="66"/>
            <x v="67"/>
            <x v="68"/>
            <x v="69"/>
            <x v="70"/>
            <x v="71"/>
            <x v="72"/>
            <x v="73"/>
            <x v="74"/>
            <x v="75"/>
            <x v="76"/>
            <x v="85"/>
            <x v="86"/>
            <x v="87"/>
            <x v="88"/>
          </reference>
          <reference field="8" count="1" selected="0">
            <x v="0"/>
          </reference>
        </references>
      </pivotArea>
    </format>
    <format dxfId="1139">
      <pivotArea dataOnly="0" labelOnly="1" fieldPosition="0">
        <references count="3">
          <reference field="1" count="1" selected="0">
            <x v="12"/>
          </reference>
          <reference field="4" count="3">
            <x v="51"/>
            <x v="80"/>
            <x v="82"/>
          </reference>
          <reference field="8" count="1" selected="0">
            <x v="2"/>
          </reference>
        </references>
      </pivotArea>
    </format>
    <format dxfId="1138">
      <pivotArea dataOnly="0" labelOnly="1" grandCol="1" outline="0" fieldPosition="0"/>
    </format>
    <format dxfId="1137">
      <pivotArea type="origin" dataOnly="0" labelOnly="1" outline="0" fieldPosition="0"/>
    </format>
    <format dxfId="1136">
      <pivotArea field="1" type="button" dataOnly="0" labelOnly="1" outline="0" axis="axisRow" fieldPosition="0"/>
    </format>
    <format dxfId="1135">
      <pivotArea dataOnly="0" labelOnly="1" fieldPosition="0">
        <references count="1">
          <reference field="1" count="0"/>
        </references>
      </pivotArea>
    </format>
    <format dxfId="1134">
      <pivotArea dataOnly="0" labelOnly="1" grandRow="1" outline="0" fieldPosition="0"/>
    </format>
    <format dxfId="1133">
      <pivotArea dataOnly="0" labelOnly="1" fieldPosition="0">
        <references count="2">
          <reference field="1" count="1" selected="0">
            <x v="0"/>
          </reference>
          <reference field="8" count="2">
            <x v="1"/>
            <x v="2"/>
          </reference>
        </references>
      </pivotArea>
    </format>
    <format dxfId="1132">
      <pivotArea dataOnly="0" labelOnly="1" fieldPosition="0">
        <references count="2">
          <reference field="1" count="1" selected="0">
            <x v="1"/>
          </reference>
          <reference field="8" count="3">
            <x v="1"/>
            <x v="2"/>
            <x v="7"/>
          </reference>
        </references>
      </pivotArea>
    </format>
    <format dxfId="1131">
      <pivotArea dataOnly="0" labelOnly="1" fieldPosition="0">
        <references count="2">
          <reference field="1" count="1" selected="0">
            <x v="2"/>
          </reference>
          <reference field="8" count="2">
            <x v="1"/>
            <x v="2"/>
          </reference>
        </references>
      </pivotArea>
    </format>
    <format dxfId="1130">
      <pivotArea dataOnly="0" labelOnly="1" fieldPosition="0">
        <references count="2">
          <reference field="1" count="1" selected="0">
            <x v="3"/>
          </reference>
          <reference field="8" count="1">
            <x v="7"/>
          </reference>
        </references>
      </pivotArea>
    </format>
    <format dxfId="1129">
      <pivotArea dataOnly="0" labelOnly="1" fieldPosition="0">
        <references count="2">
          <reference field="1" count="1" selected="0">
            <x v="4"/>
          </reference>
          <reference field="8" count="1">
            <x v="2"/>
          </reference>
        </references>
      </pivotArea>
    </format>
    <format dxfId="1128">
      <pivotArea dataOnly="0" labelOnly="1" fieldPosition="0">
        <references count="2">
          <reference field="1" count="1" selected="0">
            <x v="5"/>
          </reference>
          <reference field="8" count="3">
            <x v="5"/>
            <x v="6"/>
            <x v="7"/>
          </reference>
        </references>
      </pivotArea>
    </format>
    <format dxfId="1127">
      <pivotArea dataOnly="0" labelOnly="1" fieldPosition="0">
        <references count="2">
          <reference field="1" count="1" selected="0">
            <x v="6"/>
          </reference>
          <reference field="8" count="2">
            <x v="1"/>
            <x v="2"/>
          </reference>
        </references>
      </pivotArea>
    </format>
    <format dxfId="1126">
      <pivotArea dataOnly="0" labelOnly="1" fieldPosition="0">
        <references count="2">
          <reference field="1" count="1" selected="0">
            <x v="7"/>
          </reference>
          <reference field="8" count="4">
            <x v="3"/>
            <x v="4"/>
            <x v="5"/>
            <x v="7"/>
          </reference>
        </references>
      </pivotArea>
    </format>
    <format dxfId="1125">
      <pivotArea dataOnly="0" labelOnly="1" fieldPosition="0">
        <references count="2">
          <reference field="1" count="1" selected="0">
            <x v="8"/>
          </reference>
          <reference field="8" count="4">
            <x v="3"/>
            <x v="4"/>
            <x v="5"/>
            <x v="7"/>
          </reference>
        </references>
      </pivotArea>
    </format>
    <format dxfId="1124">
      <pivotArea dataOnly="0" labelOnly="1" fieldPosition="0">
        <references count="2">
          <reference field="1" count="1" selected="0">
            <x v="9"/>
          </reference>
          <reference field="8" count="1">
            <x v="7"/>
          </reference>
        </references>
      </pivotArea>
    </format>
    <format dxfId="1123">
      <pivotArea dataOnly="0" labelOnly="1" fieldPosition="0">
        <references count="2">
          <reference field="1" count="1" selected="0">
            <x v="10"/>
          </reference>
          <reference field="8" count="1">
            <x v="0"/>
          </reference>
        </references>
      </pivotArea>
    </format>
    <format dxfId="1122">
      <pivotArea dataOnly="0" labelOnly="1" fieldPosition="0">
        <references count="2">
          <reference field="1" count="1" selected="0">
            <x v="11"/>
          </reference>
          <reference field="8" count="1">
            <x v="0"/>
          </reference>
        </references>
      </pivotArea>
    </format>
    <format dxfId="1121">
      <pivotArea dataOnly="0" labelOnly="1" fieldPosition="0">
        <references count="2">
          <reference field="1" count="1" selected="0">
            <x v="12"/>
          </reference>
          <reference field="8" count="1">
            <x v="2"/>
          </reference>
        </references>
      </pivotArea>
    </format>
    <format dxfId="1120">
      <pivotArea dataOnly="0" labelOnly="1" fieldPosition="0">
        <references count="2">
          <reference field="1" count="1" selected="0">
            <x v="13"/>
          </reference>
          <reference field="8" count="5">
            <x v="3"/>
            <x v="4"/>
            <x v="5"/>
            <x v="6"/>
            <x v="7"/>
          </reference>
        </references>
      </pivotArea>
    </format>
    <format dxfId="1119">
      <pivotArea dataOnly="0" labelOnly="1" fieldPosition="0">
        <references count="2">
          <reference field="1" count="1" selected="0">
            <x v="14"/>
          </reference>
          <reference field="8" count="5">
            <x v="1"/>
            <x v="2"/>
            <x v="3"/>
            <x v="6"/>
            <x v="7"/>
          </reference>
        </references>
      </pivotArea>
    </format>
    <format dxfId="1118">
      <pivotArea dataOnly="0" labelOnly="1" fieldPosition="0">
        <references count="2">
          <reference field="1" count="1" selected="0">
            <x v="15"/>
          </reference>
          <reference field="8" count="1">
            <x v="7"/>
          </reference>
        </references>
      </pivotArea>
    </format>
    <format dxfId="1117">
      <pivotArea dataOnly="0" labelOnly="1" fieldPosition="0">
        <references count="3">
          <reference field="1" count="1" selected="0">
            <x v="0"/>
          </reference>
          <reference field="4" count="1">
            <x v="45"/>
          </reference>
          <reference field="8" count="1" selected="0">
            <x v="1"/>
          </reference>
        </references>
      </pivotArea>
    </format>
    <format dxfId="1116">
      <pivotArea dataOnly="0" labelOnly="1" fieldPosition="0">
        <references count="3">
          <reference field="1" count="1" selected="0">
            <x v="0"/>
          </reference>
          <reference field="4" count="2">
            <x v="39"/>
            <x v="58"/>
          </reference>
          <reference field="8" count="1" selected="0">
            <x v="2"/>
          </reference>
        </references>
      </pivotArea>
    </format>
    <format dxfId="1115">
      <pivotArea dataOnly="0" labelOnly="1" fieldPosition="0">
        <references count="3">
          <reference field="1" count="1" selected="0">
            <x v="1"/>
          </reference>
          <reference field="4" count="1">
            <x v="45"/>
          </reference>
          <reference field="8" count="1" selected="0">
            <x v="1"/>
          </reference>
        </references>
      </pivotArea>
    </format>
    <format dxfId="1114">
      <pivotArea dataOnly="0" labelOnly="1" fieldPosition="0">
        <references count="3">
          <reference field="1" count="1" selected="0">
            <x v="1"/>
          </reference>
          <reference field="4" count="2">
            <x v="39"/>
            <x v="58"/>
          </reference>
          <reference field="8" count="1" selected="0">
            <x v="2"/>
          </reference>
        </references>
      </pivotArea>
    </format>
    <format dxfId="1113">
      <pivotArea dataOnly="0" labelOnly="1" fieldPosition="0">
        <references count="3">
          <reference field="1" count="1" selected="0">
            <x v="1"/>
          </reference>
          <reference field="4" count="1">
            <x v="84"/>
          </reference>
          <reference field="8" count="1" selected="0">
            <x v="7"/>
          </reference>
        </references>
      </pivotArea>
    </format>
    <format dxfId="1112">
      <pivotArea dataOnly="0" labelOnly="1" fieldPosition="0">
        <references count="3">
          <reference field="1" count="1" selected="0">
            <x v="2"/>
          </reference>
          <reference field="4" count="1">
            <x v="45"/>
          </reference>
          <reference field="8" count="1" selected="0">
            <x v="1"/>
          </reference>
        </references>
      </pivotArea>
    </format>
    <format dxfId="1111">
      <pivotArea dataOnly="0" labelOnly="1" fieldPosition="0">
        <references count="3">
          <reference field="1" count="1" selected="0">
            <x v="2"/>
          </reference>
          <reference field="4" count="2">
            <x v="40"/>
            <x v="83"/>
          </reference>
          <reference field="8" count="1" selected="0">
            <x v="2"/>
          </reference>
        </references>
      </pivotArea>
    </format>
    <format dxfId="1110">
      <pivotArea dataOnly="0" labelOnly="1" fieldPosition="0">
        <references count="3">
          <reference field="1" count="1" selected="0">
            <x v="3"/>
          </reference>
          <reference field="4" count="2">
            <x v="34"/>
            <x v="78"/>
          </reference>
          <reference field="8" count="1" selected="0">
            <x v="7"/>
          </reference>
        </references>
      </pivotArea>
    </format>
    <format dxfId="1109">
      <pivotArea dataOnly="0" labelOnly="1" fieldPosition="0">
        <references count="3">
          <reference field="1" count="1" selected="0">
            <x v="4"/>
          </reference>
          <reference field="4" count="2">
            <x v="0"/>
            <x v="90"/>
          </reference>
          <reference field="8" count="1" selected="0">
            <x v="2"/>
          </reference>
        </references>
      </pivotArea>
    </format>
    <format dxfId="1108">
      <pivotArea dataOnly="0" labelOnly="1" fieldPosition="0">
        <references count="3">
          <reference field="1" count="1" selected="0">
            <x v="5"/>
          </reference>
          <reference field="4" count="1">
            <x v="1"/>
          </reference>
          <reference field="8" count="1" selected="0">
            <x v="5"/>
          </reference>
        </references>
      </pivotArea>
    </format>
    <format dxfId="1107">
      <pivotArea dataOnly="0" labelOnly="1" fieldPosition="0">
        <references count="3">
          <reference field="1" count="1" selected="0">
            <x v="5"/>
          </reference>
          <reference field="4" count="2">
            <x v="2"/>
            <x v="4"/>
          </reference>
          <reference field="8" count="1" selected="0">
            <x v="6"/>
          </reference>
        </references>
      </pivotArea>
    </format>
    <format dxfId="1106">
      <pivotArea dataOnly="0" labelOnly="1" fieldPosition="0">
        <references count="3">
          <reference field="1" count="1" selected="0">
            <x v="5"/>
          </reference>
          <reference field="4" count="1">
            <x v="89"/>
          </reference>
          <reference field="8" count="1" selected="0">
            <x v="7"/>
          </reference>
        </references>
      </pivotArea>
    </format>
    <format dxfId="1105">
      <pivotArea dataOnly="0" labelOnly="1" fieldPosition="0">
        <references count="3">
          <reference field="1" count="1" selected="0">
            <x v="6"/>
          </reference>
          <reference field="4" count="1">
            <x v="45"/>
          </reference>
          <reference field="8" count="1" selected="0">
            <x v="1"/>
          </reference>
        </references>
      </pivotArea>
    </format>
    <format dxfId="1104">
      <pivotArea dataOnly="0" labelOnly="1" fieldPosition="0">
        <references count="3">
          <reference field="1" count="1" selected="0">
            <x v="6"/>
          </reference>
          <reference field="4" count="2">
            <x v="80"/>
            <x v="81"/>
          </reference>
          <reference field="8" count="1" selected="0">
            <x v="2"/>
          </reference>
        </references>
      </pivotArea>
    </format>
    <format dxfId="1103">
      <pivotArea dataOnly="0" labelOnly="1" fieldPosition="0">
        <references count="3">
          <reference field="1" count="1" selected="0">
            <x v="7"/>
          </reference>
          <reference field="4" count="1">
            <x v="42"/>
          </reference>
          <reference field="8" count="1" selected="0">
            <x v="3"/>
          </reference>
        </references>
      </pivotArea>
    </format>
    <format dxfId="1102">
      <pivotArea dataOnly="0" labelOnly="1" fieldPosition="0">
        <references count="3">
          <reference field="1" count="1" selected="0">
            <x v="7"/>
          </reference>
          <reference field="4" count="3">
            <x v="19"/>
            <x v="46"/>
            <x v="77"/>
          </reference>
          <reference field="8" count="1" selected="0">
            <x v="4"/>
          </reference>
        </references>
      </pivotArea>
    </format>
    <format dxfId="1101">
      <pivotArea dataOnly="0" labelOnly="1" fieldPosition="0">
        <references count="3">
          <reference field="1" count="1" selected="0">
            <x v="7"/>
          </reference>
          <reference field="4" count="2">
            <x v="35"/>
            <x v="43"/>
          </reference>
          <reference field="8" count="1" selected="0">
            <x v="5"/>
          </reference>
        </references>
      </pivotArea>
    </format>
    <format dxfId="1100">
      <pivotArea dataOnly="0" labelOnly="1" fieldPosition="0">
        <references count="3">
          <reference field="1" count="1" selected="0">
            <x v="7"/>
          </reference>
          <reference field="4" count="1">
            <x v="89"/>
          </reference>
          <reference field="8" count="1" selected="0">
            <x v="7"/>
          </reference>
        </references>
      </pivotArea>
    </format>
    <format dxfId="1099">
      <pivotArea dataOnly="0" labelOnly="1" fieldPosition="0">
        <references count="3">
          <reference field="1" count="1" selected="0">
            <x v="8"/>
          </reference>
          <reference field="4" count="1">
            <x v="42"/>
          </reference>
          <reference field="8" count="1" selected="0">
            <x v="3"/>
          </reference>
        </references>
      </pivotArea>
    </format>
    <format dxfId="1098">
      <pivotArea dataOnly="0" labelOnly="1" fieldPosition="0">
        <references count="3">
          <reference field="1" count="1" selected="0">
            <x v="8"/>
          </reference>
          <reference field="4" count="2">
            <x v="19"/>
            <x v="32"/>
          </reference>
          <reference field="8" count="1" selected="0">
            <x v="4"/>
          </reference>
        </references>
      </pivotArea>
    </format>
    <format dxfId="1097">
      <pivotArea dataOnly="0" labelOnly="1" fieldPosition="0">
        <references count="3">
          <reference field="1" count="1" selected="0">
            <x v="8"/>
          </reference>
          <reference field="4" count="3">
            <x v="10"/>
            <x v="28"/>
            <x v="35"/>
          </reference>
          <reference field="8" count="1" selected="0">
            <x v="5"/>
          </reference>
        </references>
      </pivotArea>
    </format>
    <format dxfId="1096">
      <pivotArea dataOnly="0" labelOnly="1" fieldPosition="0">
        <references count="3">
          <reference field="1" count="1" selected="0">
            <x v="8"/>
          </reference>
          <reference field="4" count="1">
            <x v="89"/>
          </reference>
          <reference field="8" count="1" selected="0">
            <x v="7"/>
          </reference>
        </references>
      </pivotArea>
    </format>
    <format dxfId="1095">
      <pivotArea dataOnly="0" labelOnly="1" fieldPosition="0">
        <references count="3">
          <reference field="1" count="1" selected="0">
            <x v="9"/>
          </reference>
          <reference field="4" count="4">
            <x v="91"/>
            <x v="92"/>
            <x v="93"/>
            <x v="94"/>
          </reference>
          <reference field="8" count="1" selected="0">
            <x v="7"/>
          </reference>
        </references>
      </pivotArea>
    </format>
    <format dxfId="1094">
      <pivotArea dataOnly="0" labelOnly="1" fieldPosition="0">
        <references count="3">
          <reference field="1" count="1" selected="0">
            <x v="10"/>
          </reference>
          <reference field="4" count="9">
            <x v="3"/>
            <x v="18"/>
            <x v="29"/>
            <x v="30"/>
            <x v="31"/>
            <x v="37"/>
            <x v="44"/>
            <x v="48"/>
            <x v="55"/>
          </reference>
          <reference field="8" count="1" selected="0">
            <x v="0"/>
          </reference>
        </references>
      </pivotArea>
    </format>
    <format dxfId="1093">
      <pivotArea dataOnly="0" labelOnly="1" fieldPosition="0">
        <references count="3">
          <reference field="1" count="1" selected="0">
            <x v="11"/>
          </reference>
          <reference field="4" count="31">
            <x v="17"/>
            <x v="20"/>
            <x v="21"/>
            <x v="22"/>
            <x v="33"/>
            <x v="36"/>
            <x v="41"/>
            <x v="50"/>
            <x v="59"/>
            <x v="60"/>
            <x v="61"/>
            <x v="62"/>
            <x v="63"/>
            <x v="64"/>
            <x v="65"/>
            <x v="66"/>
            <x v="67"/>
            <x v="68"/>
            <x v="69"/>
            <x v="70"/>
            <x v="71"/>
            <x v="72"/>
            <x v="73"/>
            <x v="74"/>
            <x v="75"/>
            <x v="76"/>
            <x v="85"/>
            <x v="86"/>
            <x v="87"/>
            <x v="88"/>
            <x v="97"/>
          </reference>
          <reference field="8" count="1" selected="0">
            <x v="0"/>
          </reference>
        </references>
      </pivotArea>
    </format>
    <format dxfId="1092">
      <pivotArea dataOnly="0" labelOnly="1" fieldPosition="0">
        <references count="3">
          <reference field="1" count="1" selected="0">
            <x v="12"/>
          </reference>
          <reference field="4" count="3">
            <x v="51"/>
            <x v="80"/>
            <x v="82"/>
          </reference>
          <reference field="8" count="1" selected="0">
            <x v="2"/>
          </reference>
        </references>
      </pivotArea>
    </format>
    <format dxfId="1091">
      <pivotArea dataOnly="0" labelOnly="1" fieldPosition="0">
        <references count="3">
          <reference field="1" count="1" selected="0">
            <x v="13"/>
          </reference>
          <reference field="4" count="1">
            <x v="42"/>
          </reference>
          <reference field="8" count="1" selected="0">
            <x v="3"/>
          </reference>
        </references>
      </pivotArea>
    </format>
    <format dxfId="1090">
      <pivotArea dataOnly="0" labelOnly="1" fieldPosition="0">
        <references count="3">
          <reference field="1" count="1" selected="0">
            <x v="13"/>
          </reference>
          <reference field="4" count="6">
            <x v="8"/>
            <x v="23"/>
            <x v="27"/>
            <x v="46"/>
            <x v="56"/>
            <x v="77"/>
          </reference>
          <reference field="8" count="1" selected="0">
            <x v="4"/>
          </reference>
        </references>
      </pivotArea>
    </format>
    <format dxfId="1089">
      <pivotArea dataOnly="0" labelOnly="1" fieldPosition="0">
        <references count="3">
          <reference field="1" count="1" selected="0">
            <x v="13"/>
          </reference>
          <reference field="4" count="6">
            <x v="5"/>
            <x v="15"/>
            <x v="16"/>
            <x v="28"/>
            <x v="35"/>
            <x v="38"/>
          </reference>
          <reference field="8" count="1" selected="0">
            <x v="5"/>
          </reference>
        </references>
      </pivotArea>
    </format>
    <format dxfId="1088">
      <pivotArea dataOnly="0" labelOnly="1" fieldPosition="0">
        <references count="3">
          <reference field="1" count="1" selected="0">
            <x v="13"/>
          </reference>
          <reference field="4" count="2">
            <x v="12"/>
            <x v="13"/>
          </reference>
          <reference field="8" count="1" selected="0">
            <x v="6"/>
          </reference>
        </references>
      </pivotArea>
    </format>
    <format dxfId="1087">
      <pivotArea dataOnly="0" labelOnly="1" fieldPosition="0">
        <references count="3">
          <reference field="1" count="1" selected="0">
            <x v="13"/>
          </reference>
          <reference field="4" count="1">
            <x v="89"/>
          </reference>
          <reference field="8" count="1" selected="0">
            <x v="7"/>
          </reference>
        </references>
      </pivotArea>
    </format>
    <format dxfId="1086">
      <pivotArea dataOnly="0" labelOnly="1" fieldPosition="0">
        <references count="3">
          <reference field="1" count="1" selected="0">
            <x v="14"/>
          </reference>
          <reference field="4" count="2">
            <x v="26"/>
            <x v="54"/>
          </reference>
          <reference field="8" count="1" selected="0">
            <x v="1"/>
          </reference>
        </references>
      </pivotArea>
    </format>
    <format dxfId="1085">
      <pivotArea dataOnly="0" labelOnly="1" fieldPosition="0">
        <references count="3">
          <reference field="1" count="1" selected="0">
            <x v="14"/>
          </reference>
          <reference field="4" count="1">
            <x v="90"/>
          </reference>
          <reference field="8" count="1" selected="0">
            <x v="2"/>
          </reference>
        </references>
      </pivotArea>
    </format>
    <format dxfId="1084">
      <pivotArea dataOnly="0" labelOnly="1" fieldPosition="0">
        <references count="3">
          <reference field="1" count="1" selected="0">
            <x v="14"/>
          </reference>
          <reference field="4" count="1">
            <x v="52"/>
          </reference>
          <reference field="8" count="1" selected="0">
            <x v="3"/>
          </reference>
        </references>
      </pivotArea>
    </format>
    <format dxfId="1083">
      <pivotArea dataOnly="0" labelOnly="1" fieldPosition="0">
        <references count="3">
          <reference field="1" count="1" selected="0">
            <x v="14"/>
          </reference>
          <reference field="4" count="1">
            <x v="14"/>
          </reference>
          <reference field="8" count="1" selected="0">
            <x v="7"/>
          </reference>
        </references>
      </pivotArea>
    </format>
    <format dxfId="1082">
      <pivotArea dataOnly="0" labelOnly="1" fieldPosition="0">
        <references count="3">
          <reference field="1" count="1" selected="0">
            <x v="15"/>
          </reference>
          <reference field="4" count="5">
            <x v="92"/>
            <x v="93"/>
            <x v="94"/>
            <x v="95"/>
            <x v="96"/>
          </reference>
          <reference field="8" count="1" selected="0">
            <x v="7"/>
          </reference>
        </references>
      </pivotArea>
    </format>
    <format dxfId="1081">
      <pivotArea type="origin" dataOnly="0" labelOnly="1" outline="0" fieldPosition="0"/>
    </format>
    <format dxfId="1080">
      <pivotArea field="1" type="button" dataOnly="0" labelOnly="1" outline="0" axis="axisRow" fieldPosition="0"/>
    </format>
    <format dxfId="1079">
      <pivotArea dataOnly="0" labelOnly="1" fieldPosition="0">
        <references count="1">
          <reference field="1" count="0"/>
        </references>
      </pivotArea>
    </format>
    <format dxfId="1078">
      <pivotArea dataOnly="0" labelOnly="1" grandRow="1" outline="0" fieldPosition="0"/>
    </format>
    <format dxfId="1077">
      <pivotArea dataOnly="0" labelOnly="1" fieldPosition="0">
        <references count="2">
          <reference field="1" count="1" selected="0">
            <x v="0"/>
          </reference>
          <reference field="8" count="2">
            <x v="1"/>
            <x v="2"/>
          </reference>
        </references>
      </pivotArea>
    </format>
    <format dxfId="1076">
      <pivotArea dataOnly="0" labelOnly="1" fieldPosition="0">
        <references count="2">
          <reference field="1" count="1" selected="0">
            <x v="1"/>
          </reference>
          <reference field="8" count="3">
            <x v="1"/>
            <x v="2"/>
            <x v="7"/>
          </reference>
        </references>
      </pivotArea>
    </format>
    <format dxfId="1075">
      <pivotArea dataOnly="0" labelOnly="1" fieldPosition="0">
        <references count="2">
          <reference field="1" count="1" selected="0">
            <x v="2"/>
          </reference>
          <reference field="8" count="2">
            <x v="1"/>
            <x v="2"/>
          </reference>
        </references>
      </pivotArea>
    </format>
    <format dxfId="1074">
      <pivotArea dataOnly="0" labelOnly="1" fieldPosition="0">
        <references count="2">
          <reference field="1" count="1" selected="0">
            <x v="3"/>
          </reference>
          <reference field="8" count="1">
            <x v="7"/>
          </reference>
        </references>
      </pivotArea>
    </format>
    <format dxfId="1073">
      <pivotArea dataOnly="0" labelOnly="1" fieldPosition="0">
        <references count="2">
          <reference field="1" count="1" selected="0">
            <x v="4"/>
          </reference>
          <reference field="8" count="1">
            <x v="2"/>
          </reference>
        </references>
      </pivotArea>
    </format>
    <format dxfId="1072">
      <pivotArea dataOnly="0" labelOnly="1" fieldPosition="0">
        <references count="2">
          <reference field="1" count="1" selected="0">
            <x v="5"/>
          </reference>
          <reference field="8" count="3">
            <x v="5"/>
            <x v="6"/>
            <x v="7"/>
          </reference>
        </references>
      </pivotArea>
    </format>
    <format dxfId="1071">
      <pivotArea dataOnly="0" labelOnly="1" fieldPosition="0">
        <references count="2">
          <reference field="1" count="1" selected="0">
            <x v="6"/>
          </reference>
          <reference field="8" count="2">
            <x v="1"/>
            <x v="2"/>
          </reference>
        </references>
      </pivotArea>
    </format>
    <format dxfId="1070">
      <pivotArea dataOnly="0" labelOnly="1" fieldPosition="0">
        <references count="2">
          <reference field="1" count="1" selected="0">
            <x v="7"/>
          </reference>
          <reference field="8" count="4">
            <x v="3"/>
            <x v="4"/>
            <x v="5"/>
            <x v="7"/>
          </reference>
        </references>
      </pivotArea>
    </format>
    <format dxfId="1069">
      <pivotArea dataOnly="0" labelOnly="1" fieldPosition="0">
        <references count="2">
          <reference field="1" count="1" selected="0">
            <x v="8"/>
          </reference>
          <reference field="8" count="4">
            <x v="3"/>
            <x v="4"/>
            <x v="5"/>
            <x v="7"/>
          </reference>
        </references>
      </pivotArea>
    </format>
    <format dxfId="1068">
      <pivotArea dataOnly="0" labelOnly="1" fieldPosition="0">
        <references count="2">
          <reference field="1" count="1" selected="0">
            <x v="9"/>
          </reference>
          <reference field="8" count="1">
            <x v="7"/>
          </reference>
        </references>
      </pivotArea>
    </format>
    <format dxfId="1067">
      <pivotArea dataOnly="0" labelOnly="1" fieldPosition="0">
        <references count="2">
          <reference field="1" count="1" selected="0">
            <x v="10"/>
          </reference>
          <reference field="8" count="1">
            <x v="0"/>
          </reference>
        </references>
      </pivotArea>
    </format>
    <format dxfId="1066">
      <pivotArea dataOnly="0" labelOnly="1" fieldPosition="0">
        <references count="2">
          <reference field="1" count="1" selected="0">
            <x v="11"/>
          </reference>
          <reference field="8" count="1">
            <x v="0"/>
          </reference>
        </references>
      </pivotArea>
    </format>
    <format dxfId="1065">
      <pivotArea dataOnly="0" labelOnly="1" fieldPosition="0">
        <references count="2">
          <reference field="1" count="1" selected="0">
            <x v="12"/>
          </reference>
          <reference field="8" count="1">
            <x v="2"/>
          </reference>
        </references>
      </pivotArea>
    </format>
    <format dxfId="1064">
      <pivotArea dataOnly="0" labelOnly="1" fieldPosition="0">
        <references count="2">
          <reference field="1" count="1" selected="0">
            <x v="13"/>
          </reference>
          <reference field="8" count="5">
            <x v="3"/>
            <x v="4"/>
            <x v="5"/>
            <x v="6"/>
            <x v="7"/>
          </reference>
        </references>
      </pivotArea>
    </format>
    <format dxfId="1063">
      <pivotArea dataOnly="0" labelOnly="1" fieldPosition="0">
        <references count="2">
          <reference field="1" count="1" selected="0">
            <x v="14"/>
          </reference>
          <reference field="8" count="5">
            <x v="1"/>
            <x v="2"/>
            <x v="3"/>
            <x v="6"/>
            <x v="7"/>
          </reference>
        </references>
      </pivotArea>
    </format>
    <format dxfId="1062">
      <pivotArea dataOnly="0" labelOnly="1" fieldPosition="0">
        <references count="2">
          <reference field="1" count="1" selected="0">
            <x v="15"/>
          </reference>
          <reference field="8" count="1">
            <x v="7"/>
          </reference>
        </references>
      </pivotArea>
    </format>
    <format dxfId="1061">
      <pivotArea dataOnly="0" labelOnly="1" fieldPosition="0">
        <references count="3">
          <reference field="1" count="1" selected="0">
            <x v="0"/>
          </reference>
          <reference field="4" count="1">
            <x v="45"/>
          </reference>
          <reference field="8" count="1" selected="0">
            <x v="1"/>
          </reference>
        </references>
      </pivotArea>
    </format>
    <format dxfId="1060">
      <pivotArea dataOnly="0" labelOnly="1" fieldPosition="0">
        <references count="3">
          <reference field="1" count="1" selected="0">
            <x v="0"/>
          </reference>
          <reference field="4" count="2">
            <x v="39"/>
            <x v="58"/>
          </reference>
          <reference field="8" count="1" selected="0">
            <x v="2"/>
          </reference>
        </references>
      </pivotArea>
    </format>
    <format dxfId="1059">
      <pivotArea dataOnly="0" labelOnly="1" fieldPosition="0">
        <references count="3">
          <reference field="1" count="1" selected="0">
            <x v="1"/>
          </reference>
          <reference field="4" count="1">
            <x v="45"/>
          </reference>
          <reference field="8" count="1" selected="0">
            <x v="1"/>
          </reference>
        </references>
      </pivotArea>
    </format>
    <format dxfId="1058">
      <pivotArea dataOnly="0" labelOnly="1" fieldPosition="0">
        <references count="3">
          <reference field="1" count="1" selected="0">
            <x v="1"/>
          </reference>
          <reference field="4" count="2">
            <x v="39"/>
            <x v="58"/>
          </reference>
          <reference field="8" count="1" selected="0">
            <x v="2"/>
          </reference>
        </references>
      </pivotArea>
    </format>
    <format dxfId="1057">
      <pivotArea dataOnly="0" labelOnly="1" fieldPosition="0">
        <references count="3">
          <reference field="1" count="1" selected="0">
            <x v="1"/>
          </reference>
          <reference field="4" count="1">
            <x v="84"/>
          </reference>
          <reference field="8" count="1" selected="0">
            <x v="7"/>
          </reference>
        </references>
      </pivotArea>
    </format>
    <format dxfId="1056">
      <pivotArea dataOnly="0" labelOnly="1" fieldPosition="0">
        <references count="3">
          <reference field="1" count="1" selected="0">
            <x v="2"/>
          </reference>
          <reference field="4" count="1">
            <x v="45"/>
          </reference>
          <reference field="8" count="1" selected="0">
            <x v="1"/>
          </reference>
        </references>
      </pivotArea>
    </format>
    <format dxfId="1055">
      <pivotArea dataOnly="0" labelOnly="1" fieldPosition="0">
        <references count="3">
          <reference field="1" count="1" selected="0">
            <x v="2"/>
          </reference>
          <reference field="4" count="2">
            <x v="40"/>
            <x v="83"/>
          </reference>
          <reference field="8" count="1" selected="0">
            <x v="2"/>
          </reference>
        </references>
      </pivotArea>
    </format>
    <format dxfId="1054">
      <pivotArea dataOnly="0" labelOnly="1" fieldPosition="0">
        <references count="3">
          <reference field="1" count="1" selected="0">
            <x v="3"/>
          </reference>
          <reference field="4" count="2">
            <x v="34"/>
            <x v="78"/>
          </reference>
          <reference field="8" count="1" selected="0">
            <x v="7"/>
          </reference>
        </references>
      </pivotArea>
    </format>
    <format dxfId="1053">
      <pivotArea dataOnly="0" labelOnly="1" fieldPosition="0">
        <references count="3">
          <reference field="1" count="1" selected="0">
            <x v="4"/>
          </reference>
          <reference field="4" count="2">
            <x v="0"/>
            <x v="90"/>
          </reference>
          <reference field="8" count="1" selected="0">
            <x v="2"/>
          </reference>
        </references>
      </pivotArea>
    </format>
    <format dxfId="1052">
      <pivotArea dataOnly="0" labelOnly="1" fieldPosition="0">
        <references count="3">
          <reference field="1" count="1" selected="0">
            <x v="5"/>
          </reference>
          <reference field="4" count="1">
            <x v="1"/>
          </reference>
          <reference field="8" count="1" selected="0">
            <x v="5"/>
          </reference>
        </references>
      </pivotArea>
    </format>
    <format dxfId="1051">
      <pivotArea dataOnly="0" labelOnly="1" fieldPosition="0">
        <references count="3">
          <reference field="1" count="1" selected="0">
            <x v="5"/>
          </reference>
          <reference field="4" count="2">
            <x v="2"/>
            <x v="4"/>
          </reference>
          <reference field="8" count="1" selected="0">
            <x v="6"/>
          </reference>
        </references>
      </pivotArea>
    </format>
    <format dxfId="1050">
      <pivotArea dataOnly="0" labelOnly="1" fieldPosition="0">
        <references count="3">
          <reference field="1" count="1" selected="0">
            <x v="5"/>
          </reference>
          <reference field="4" count="1">
            <x v="89"/>
          </reference>
          <reference field="8" count="1" selected="0">
            <x v="7"/>
          </reference>
        </references>
      </pivotArea>
    </format>
    <format dxfId="1049">
      <pivotArea dataOnly="0" labelOnly="1" fieldPosition="0">
        <references count="3">
          <reference field="1" count="1" selected="0">
            <x v="6"/>
          </reference>
          <reference field="4" count="1">
            <x v="45"/>
          </reference>
          <reference field="8" count="1" selected="0">
            <x v="1"/>
          </reference>
        </references>
      </pivotArea>
    </format>
    <format dxfId="1048">
      <pivotArea dataOnly="0" labelOnly="1" fieldPosition="0">
        <references count="3">
          <reference field="1" count="1" selected="0">
            <x v="6"/>
          </reference>
          <reference field="4" count="2">
            <x v="80"/>
            <x v="81"/>
          </reference>
          <reference field="8" count="1" selected="0">
            <x v="2"/>
          </reference>
        </references>
      </pivotArea>
    </format>
    <format dxfId="1047">
      <pivotArea dataOnly="0" labelOnly="1" fieldPosition="0">
        <references count="3">
          <reference field="1" count="1" selected="0">
            <x v="7"/>
          </reference>
          <reference field="4" count="1">
            <x v="42"/>
          </reference>
          <reference field="8" count="1" selected="0">
            <x v="3"/>
          </reference>
        </references>
      </pivotArea>
    </format>
    <format dxfId="1046">
      <pivotArea dataOnly="0" labelOnly="1" fieldPosition="0">
        <references count="3">
          <reference field="1" count="1" selected="0">
            <x v="7"/>
          </reference>
          <reference field="4" count="3">
            <x v="19"/>
            <x v="46"/>
            <x v="77"/>
          </reference>
          <reference field="8" count="1" selected="0">
            <x v="4"/>
          </reference>
        </references>
      </pivotArea>
    </format>
    <format dxfId="1045">
      <pivotArea dataOnly="0" labelOnly="1" fieldPosition="0">
        <references count="3">
          <reference field="1" count="1" selected="0">
            <x v="7"/>
          </reference>
          <reference field="4" count="2">
            <x v="35"/>
            <x v="43"/>
          </reference>
          <reference field="8" count="1" selected="0">
            <x v="5"/>
          </reference>
        </references>
      </pivotArea>
    </format>
    <format dxfId="1044">
      <pivotArea dataOnly="0" labelOnly="1" fieldPosition="0">
        <references count="3">
          <reference field="1" count="1" selected="0">
            <x v="7"/>
          </reference>
          <reference field="4" count="1">
            <x v="89"/>
          </reference>
          <reference field="8" count="1" selected="0">
            <x v="7"/>
          </reference>
        </references>
      </pivotArea>
    </format>
    <format dxfId="1043">
      <pivotArea dataOnly="0" labelOnly="1" fieldPosition="0">
        <references count="3">
          <reference field="1" count="1" selected="0">
            <x v="8"/>
          </reference>
          <reference field="4" count="1">
            <x v="42"/>
          </reference>
          <reference field="8" count="1" selected="0">
            <x v="3"/>
          </reference>
        </references>
      </pivotArea>
    </format>
    <format dxfId="1042">
      <pivotArea dataOnly="0" labelOnly="1" fieldPosition="0">
        <references count="3">
          <reference field="1" count="1" selected="0">
            <x v="8"/>
          </reference>
          <reference field="4" count="2">
            <x v="19"/>
            <x v="32"/>
          </reference>
          <reference field="8" count="1" selected="0">
            <x v="4"/>
          </reference>
        </references>
      </pivotArea>
    </format>
    <format dxfId="1041">
      <pivotArea dataOnly="0" labelOnly="1" fieldPosition="0">
        <references count="3">
          <reference field="1" count="1" selected="0">
            <x v="8"/>
          </reference>
          <reference field="4" count="3">
            <x v="10"/>
            <x v="28"/>
            <x v="35"/>
          </reference>
          <reference field="8" count="1" selected="0">
            <x v="5"/>
          </reference>
        </references>
      </pivotArea>
    </format>
    <format dxfId="1040">
      <pivotArea dataOnly="0" labelOnly="1" fieldPosition="0">
        <references count="3">
          <reference field="1" count="1" selected="0">
            <x v="8"/>
          </reference>
          <reference field="4" count="1">
            <x v="89"/>
          </reference>
          <reference field="8" count="1" selected="0">
            <x v="7"/>
          </reference>
        </references>
      </pivotArea>
    </format>
    <format dxfId="1039">
      <pivotArea dataOnly="0" labelOnly="1" fieldPosition="0">
        <references count="3">
          <reference field="1" count="1" selected="0">
            <x v="9"/>
          </reference>
          <reference field="4" count="4">
            <x v="91"/>
            <x v="92"/>
            <x v="93"/>
            <x v="94"/>
          </reference>
          <reference field="8" count="1" selected="0">
            <x v="7"/>
          </reference>
        </references>
      </pivotArea>
    </format>
    <format dxfId="1038">
      <pivotArea dataOnly="0" labelOnly="1" fieldPosition="0">
        <references count="3">
          <reference field="1" count="1" selected="0">
            <x v="10"/>
          </reference>
          <reference field="4" count="9">
            <x v="3"/>
            <x v="18"/>
            <x v="29"/>
            <x v="30"/>
            <x v="31"/>
            <x v="37"/>
            <x v="44"/>
            <x v="48"/>
            <x v="55"/>
          </reference>
          <reference field="8" count="1" selected="0">
            <x v="0"/>
          </reference>
        </references>
      </pivotArea>
    </format>
    <format dxfId="1037">
      <pivotArea dataOnly="0" labelOnly="1" fieldPosition="0">
        <references count="3">
          <reference field="1" count="1" selected="0">
            <x v="11"/>
          </reference>
          <reference field="4" count="31">
            <x v="17"/>
            <x v="20"/>
            <x v="21"/>
            <x v="22"/>
            <x v="33"/>
            <x v="36"/>
            <x v="41"/>
            <x v="50"/>
            <x v="59"/>
            <x v="60"/>
            <x v="61"/>
            <x v="62"/>
            <x v="63"/>
            <x v="64"/>
            <x v="65"/>
            <x v="66"/>
            <x v="67"/>
            <x v="68"/>
            <x v="69"/>
            <x v="70"/>
            <x v="71"/>
            <x v="72"/>
            <x v="73"/>
            <x v="74"/>
            <x v="75"/>
            <x v="76"/>
            <x v="85"/>
            <x v="86"/>
            <x v="87"/>
            <x v="88"/>
            <x v="97"/>
          </reference>
          <reference field="8" count="1" selected="0">
            <x v="0"/>
          </reference>
        </references>
      </pivotArea>
    </format>
    <format dxfId="1036">
      <pivotArea dataOnly="0" labelOnly="1" fieldPosition="0">
        <references count="3">
          <reference field="1" count="1" selected="0">
            <x v="12"/>
          </reference>
          <reference field="4" count="3">
            <x v="51"/>
            <x v="80"/>
            <x v="82"/>
          </reference>
          <reference field="8" count="1" selected="0">
            <x v="2"/>
          </reference>
        </references>
      </pivotArea>
    </format>
    <format dxfId="1035">
      <pivotArea dataOnly="0" labelOnly="1" fieldPosition="0">
        <references count="3">
          <reference field="1" count="1" selected="0">
            <x v="13"/>
          </reference>
          <reference field="4" count="1">
            <x v="42"/>
          </reference>
          <reference field="8" count="1" selected="0">
            <x v="3"/>
          </reference>
        </references>
      </pivotArea>
    </format>
    <format dxfId="1034">
      <pivotArea dataOnly="0" labelOnly="1" fieldPosition="0">
        <references count="3">
          <reference field="1" count="1" selected="0">
            <x v="13"/>
          </reference>
          <reference field="4" count="6">
            <x v="8"/>
            <x v="23"/>
            <x v="27"/>
            <x v="46"/>
            <x v="56"/>
            <x v="77"/>
          </reference>
          <reference field="8" count="1" selected="0">
            <x v="4"/>
          </reference>
        </references>
      </pivotArea>
    </format>
    <format dxfId="1033">
      <pivotArea dataOnly="0" labelOnly="1" fieldPosition="0">
        <references count="3">
          <reference field="1" count="1" selected="0">
            <x v="13"/>
          </reference>
          <reference field="4" count="6">
            <x v="5"/>
            <x v="15"/>
            <x v="16"/>
            <x v="28"/>
            <x v="35"/>
            <x v="38"/>
          </reference>
          <reference field="8" count="1" selected="0">
            <x v="5"/>
          </reference>
        </references>
      </pivotArea>
    </format>
    <format dxfId="1032">
      <pivotArea dataOnly="0" labelOnly="1" fieldPosition="0">
        <references count="3">
          <reference field="1" count="1" selected="0">
            <x v="13"/>
          </reference>
          <reference field="4" count="2">
            <x v="12"/>
            <x v="13"/>
          </reference>
          <reference field="8" count="1" selected="0">
            <x v="6"/>
          </reference>
        </references>
      </pivotArea>
    </format>
    <format dxfId="1031">
      <pivotArea dataOnly="0" labelOnly="1" fieldPosition="0">
        <references count="3">
          <reference field="1" count="1" selected="0">
            <x v="13"/>
          </reference>
          <reference field="4" count="1">
            <x v="89"/>
          </reference>
          <reference field="8" count="1" selected="0">
            <x v="7"/>
          </reference>
        </references>
      </pivotArea>
    </format>
    <format dxfId="1030">
      <pivotArea dataOnly="0" labelOnly="1" fieldPosition="0">
        <references count="3">
          <reference field="1" count="1" selected="0">
            <x v="14"/>
          </reference>
          <reference field="4" count="2">
            <x v="26"/>
            <x v="54"/>
          </reference>
          <reference field="8" count="1" selected="0">
            <x v="1"/>
          </reference>
        </references>
      </pivotArea>
    </format>
    <format dxfId="1029">
      <pivotArea dataOnly="0" labelOnly="1" fieldPosition="0">
        <references count="3">
          <reference field="1" count="1" selected="0">
            <x v="14"/>
          </reference>
          <reference field="4" count="1">
            <x v="90"/>
          </reference>
          <reference field="8" count="1" selected="0">
            <x v="2"/>
          </reference>
        </references>
      </pivotArea>
    </format>
    <format dxfId="1028">
      <pivotArea dataOnly="0" labelOnly="1" fieldPosition="0">
        <references count="3">
          <reference field="1" count="1" selected="0">
            <x v="14"/>
          </reference>
          <reference field="4" count="1">
            <x v="52"/>
          </reference>
          <reference field="8" count="1" selected="0">
            <x v="3"/>
          </reference>
        </references>
      </pivotArea>
    </format>
    <format dxfId="1027">
      <pivotArea dataOnly="0" labelOnly="1" fieldPosition="0">
        <references count="3">
          <reference field="1" count="1" selected="0">
            <x v="14"/>
          </reference>
          <reference field="4" count="1">
            <x v="14"/>
          </reference>
          <reference field="8" count="1" selected="0">
            <x v="7"/>
          </reference>
        </references>
      </pivotArea>
    </format>
    <format dxfId="1026">
      <pivotArea dataOnly="0" labelOnly="1" fieldPosition="0">
        <references count="3">
          <reference field="1" count="1" selected="0">
            <x v="15"/>
          </reference>
          <reference field="4" count="5">
            <x v="92"/>
            <x v="93"/>
            <x v="94"/>
            <x v="95"/>
            <x v="96"/>
          </reference>
          <reference field="8" count="1" selected="0">
            <x v="7"/>
          </reference>
        </references>
      </pivotArea>
    </format>
    <format dxfId="1025">
      <pivotArea dataOnly="0" labelOnly="1" fieldPosition="0">
        <references count="3">
          <reference field="1" count="1" selected="0">
            <x v="11"/>
          </reference>
          <reference field="4" count="1">
            <x v="60"/>
          </reference>
          <reference field="8" count="1" selected="0">
            <x v="0"/>
          </reference>
        </references>
      </pivotArea>
    </format>
    <format dxfId="1024">
      <pivotArea dataOnly="0" labelOnly="1" fieldPosition="0">
        <references count="3">
          <reference field="1" count="1" selected="0">
            <x v="11"/>
          </reference>
          <reference field="4" count="1">
            <x v="60"/>
          </reference>
          <reference field="8" count="1" selected="0">
            <x v="0"/>
          </reference>
        </references>
      </pivotArea>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TablaDinámica4"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DT / USA">
  <location ref="A3:G48" firstHeaderRow="0" firstDataRow="1" firstDataCol="1"/>
  <pivotFields count="35">
    <pivotField axis="axisRow" showAll="0">
      <items count="6">
        <item x="3"/>
        <item x="1"/>
        <item x="2"/>
        <item x="0"/>
        <item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5"/>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s>
  <rowFields count="2">
    <field x="0"/>
    <field x="1"/>
  </rowFields>
  <rowItems count="45">
    <i>
      <x/>
    </i>
    <i r="1">
      <x v="10"/>
    </i>
    <i r="1">
      <x v="7"/>
    </i>
    <i r="1">
      <x v="1"/>
    </i>
    <i r="1">
      <x v="5"/>
    </i>
    <i r="1">
      <x v="12"/>
    </i>
    <i r="1">
      <x v="11"/>
    </i>
    <i r="1">
      <x v="4"/>
    </i>
    <i r="1">
      <x v="14"/>
    </i>
    <i r="1">
      <x v="3"/>
    </i>
    <i>
      <x v="1"/>
    </i>
    <i r="1">
      <x v="10"/>
    </i>
    <i r="1">
      <x v="7"/>
    </i>
    <i r="1">
      <x v="13"/>
    </i>
    <i r="1">
      <x v="12"/>
    </i>
    <i r="1">
      <x v="11"/>
    </i>
    <i r="1">
      <x v="2"/>
    </i>
    <i r="1">
      <x v="14"/>
    </i>
    <i r="1">
      <x v="4"/>
    </i>
    <i r="1">
      <x v="15"/>
    </i>
    <i>
      <x v="2"/>
    </i>
    <i r="1">
      <x v="10"/>
    </i>
    <i r="1">
      <x v="13"/>
    </i>
    <i r="1">
      <x/>
    </i>
    <i r="1">
      <x v="7"/>
    </i>
    <i r="1">
      <x v="12"/>
    </i>
    <i r="1">
      <x v="5"/>
    </i>
    <i r="1">
      <x v="14"/>
    </i>
    <i r="1">
      <x v="4"/>
    </i>
    <i r="1">
      <x v="15"/>
    </i>
    <i>
      <x v="3"/>
    </i>
    <i r="1">
      <x v="10"/>
    </i>
    <i r="1">
      <x v="7"/>
    </i>
    <i r="1">
      <x v="13"/>
    </i>
    <i r="1">
      <x v="12"/>
    </i>
    <i r="1">
      <x v="11"/>
    </i>
    <i r="1">
      <x v="14"/>
    </i>
    <i r="1">
      <x v="8"/>
    </i>
    <i r="1">
      <x v="4"/>
    </i>
    <i r="1">
      <x v="9"/>
    </i>
    <i r="1">
      <x v="3"/>
    </i>
    <i r="1">
      <x v="15"/>
    </i>
    <i>
      <x v="4"/>
    </i>
    <i r="1">
      <x v="6"/>
    </i>
    <i t="grand">
      <x/>
    </i>
  </rowItems>
  <colFields count="1">
    <field x="-2"/>
  </colFields>
  <colItems count="6">
    <i>
      <x/>
    </i>
    <i i="1">
      <x v="1"/>
    </i>
    <i i="2">
      <x v="2"/>
    </i>
    <i i="3">
      <x v="3"/>
    </i>
    <i i="4">
      <x v="4"/>
    </i>
    <i i="5">
      <x v="5"/>
    </i>
  </colItems>
  <dataFields count="6">
    <dataField name=" Año 1" fld="22" baseField="0" baseItem="0"/>
    <dataField name=" Año 2" fld="23" baseField="0" baseItem="0"/>
    <dataField name=" Año 3" fld="24" baseField="0" baseItem="0"/>
    <dataField name=" Año 4" fld="25" baseField="0" baseItem="0"/>
    <dataField name=" Año 5" fld="26" baseField="0" baseItem="0"/>
    <dataField name="Suma de 2025 S/" fld="20" baseField="0" baseItem="0"/>
  </dataFields>
  <formats count="12">
    <format dxfId="1023">
      <pivotArea outline="0" collapsedLevelsAreSubtotals="1" fieldPosition="0"/>
    </format>
    <format dxfId="1022">
      <pivotArea field="0" type="button" dataOnly="0" labelOnly="1" outline="0" axis="axisRow" fieldPosition="0"/>
    </format>
    <format dxfId="1021">
      <pivotArea field="0" type="button" dataOnly="0" labelOnly="1" outline="0" axis="axisRow" fieldPosition="0"/>
    </format>
    <format dxfId="1020">
      <pivotArea dataOnly="0" labelOnly="1" outline="0" fieldPosition="0">
        <references count="1">
          <reference field="4294967294" count="6">
            <x v="0"/>
            <x v="1"/>
            <x v="2"/>
            <x v="3"/>
            <x v="4"/>
            <x v="5"/>
          </reference>
        </references>
      </pivotArea>
    </format>
    <format dxfId="1019">
      <pivotArea field="0" type="button" dataOnly="0" labelOnly="1" outline="0" axis="axisRow" fieldPosition="0"/>
    </format>
    <format dxfId="1018">
      <pivotArea dataOnly="0" labelOnly="1" fieldPosition="0">
        <references count="1">
          <reference field="0" count="0"/>
        </references>
      </pivotArea>
    </format>
    <format dxfId="1017">
      <pivotArea dataOnly="0" labelOnly="1" grandRow="1" outline="0" fieldPosition="0"/>
    </format>
    <format dxfId="1016">
      <pivotArea dataOnly="0" labelOnly="1" fieldPosition="0">
        <references count="2">
          <reference field="0" count="1" selected="0">
            <x v="0"/>
          </reference>
          <reference field="1" count="9">
            <x v="1"/>
            <x v="3"/>
            <x v="4"/>
            <x v="5"/>
            <x v="7"/>
            <x v="10"/>
            <x v="11"/>
            <x v="12"/>
            <x v="14"/>
          </reference>
        </references>
      </pivotArea>
    </format>
    <format dxfId="1015">
      <pivotArea dataOnly="0" labelOnly="1" fieldPosition="0">
        <references count="2">
          <reference field="0" count="1" selected="0">
            <x v="1"/>
          </reference>
          <reference field="1" count="9">
            <x v="2"/>
            <x v="4"/>
            <x v="7"/>
            <x v="10"/>
            <x v="11"/>
            <x v="12"/>
            <x v="13"/>
            <x v="14"/>
            <x v="15"/>
          </reference>
        </references>
      </pivotArea>
    </format>
    <format dxfId="1014">
      <pivotArea dataOnly="0" labelOnly="1" fieldPosition="0">
        <references count="2">
          <reference field="0" count="1" selected="0">
            <x v="2"/>
          </reference>
          <reference field="1" count="8">
            <x v="0"/>
            <x v="4"/>
            <x v="5"/>
            <x v="7"/>
            <x v="10"/>
            <x v="12"/>
            <x v="14"/>
            <x v="15"/>
          </reference>
        </references>
      </pivotArea>
    </format>
    <format dxfId="1013">
      <pivotArea dataOnly="0" labelOnly="1" fieldPosition="0">
        <references count="2">
          <reference field="0" count="1" selected="0">
            <x v="3"/>
          </reference>
          <reference field="1" count="11">
            <x v="3"/>
            <x v="4"/>
            <x v="7"/>
            <x v="8"/>
            <x v="9"/>
            <x v="10"/>
            <x v="11"/>
            <x v="12"/>
            <x v="13"/>
            <x v="14"/>
            <x v="15"/>
          </reference>
        </references>
      </pivotArea>
    </format>
    <format dxfId="1012">
      <pivotArea dataOnly="0" labelOnly="1" fieldPosition="0">
        <references count="2">
          <reference field="0" count="1" selected="0">
            <x v="2"/>
          </reference>
          <reference field="1" count="1">
            <x v="13"/>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TablaDinámica10"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INTERVENCIONES">
  <location ref="A5:C113" firstHeaderRow="0" firstDataRow="1" firstDataCol="1" rowPageCount="1" colPageCount="1"/>
  <pivotFields count="35">
    <pivotField axis="axisPage" showAll="0">
      <items count="6">
        <item x="3"/>
        <item x="1"/>
        <item x="2"/>
        <item x="0"/>
        <item x="4"/>
        <item t="default"/>
      </items>
    </pivotField>
    <pivotField showAll="0"/>
    <pivotField showAll="0"/>
    <pivotField showAll="0"/>
    <pivotField axis="axisRow" showAll="0" sortType="ascending">
      <items count="110">
        <item x="61"/>
        <item x="62"/>
        <item x="92"/>
        <item x="70"/>
        <item x="46"/>
        <item x="40"/>
        <item x="63"/>
        <item x="75"/>
        <item x="1"/>
        <item x="68"/>
        <item x="59"/>
        <item x="7"/>
        <item x="21"/>
        <item x="18"/>
        <item x="29"/>
        <item x="97"/>
        <item x="99"/>
        <item x="13"/>
        <item x="60"/>
        <item x="20"/>
        <item x="44"/>
        <item x="89"/>
        <item x="42"/>
        <item x="106"/>
        <item x="69"/>
        <item x="100"/>
        <item x="91"/>
        <item x="31"/>
        <item x="3"/>
        <item x="35"/>
        <item x="84"/>
        <item x="23"/>
        <item x="41"/>
        <item x="11"/>
        <item x="80"/>
        <item x="96"/>
        <item x="103"/>
        <item x="104"/>
        <item x="47"/>
        <item x="24"/>
        <item x="17"/>
        <item x="10"/>
        <item x="79"/>
        <item x="98"/>
        <item x="105"/>
        <item x="101"/>
        <item x="102"/>
        <item x="77"/>
        <item x="87"/>
        <item x="95"/>
        <item x="8"/>
        <item x="55"/>
        <item x="32"/>
        <item x="28"/>
        <item x="26"/>
        <item x="43"/>
        <item x="4"/>
        <item x="2"/>
        <item x="50"/>
        <item x="71"/>
        <item x="48"/>
        <item x="19"/>
        <item x="82"/>
        <item x="33"/>
        <item x="0"/>
        <item x="9"/>
        <item x="93"/>
        <item x="81"/>
        <item x="78"/>
        <item x="76"/>
        <item x="51"/>
        <item x="74"/>
        <item x="6"/>
        <item x="66"/>
        <item x="39"/>
        <item x="58"/>
        <item x="38"/>
        <item x="22"/>
        <item n="Promoción de emprendimientos agroindustriales de la pequeña empresa sobre la base de los productos del biocomercio " x="85"/>
        <item x="83"/>
        <item n="Promoción de mercados turísticos" x="30"/>
        <item x="12"/>
        <item x="86"/>
        <item x="16"/>
        <item x="57"/>
        <item x="37"/>
        <item x="52"/>
        <item x="14"/>
        <item x="90"/>
        <item x="15"/>
        <item x="65"/>
        <item x="56"/>
        <item x="36"/>
        <item x="64"/>
        <item m="1" x="108"/>
        <item x="88"/>
        <item x="5"/>
        <item x="67"/>
        <item x="45"/>
        <item x="49"/>
        <item x="34"/>
        <item x="27"/>
        <item x="94"/>
        <item x="53"/>
        <item x="25"/>
        <item x="54"/>
        <item x="72"/>
        <item x="73"/>
        <item m="1" x="10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0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5"/>
    </i>
    <i>
      <x v="96"/>
    </i>
    <i>
      <x v="97"/>
    </i>
    <i>
      <x v="98"/>
    </i>
    <i>
      <x v="99"/>
    </i>
    <i>
      <x v="100"/>
    </i>
    <i>
      <x v="101"/>
    </i>
    <i>
      <x v="102"/>
    </i>
    <i>
      <x v="103"/>
    </i>
    <i>
      <x v="104"/>
    </i>
    <i>
      <x v="105"/>
    </i>
    <i>
      <x v="106"/>
    </i>
    <i>
      <x v="107"/>
    </i>
    <i t="grand">
      <x/>
    </i>
  </rowItems>
  <colFields count="1">
    <field x="-2"/>
  </colFields>
  <colItems count="2">
    <i>
      <x/>
    </i>
    <i i="1">
      <x v="1"/>
    </i>
  </colItems>
  <pageFields count="1">
    <pageField fld="0" hier="-1"/>
  </pageFields>
  <dataFields count="2">
    <dataField name="Suma de 2025 S/" fld="20" baseField="0" baseItem="0"/>
    <dataField name="Suma de 2030 S/" fld="21" baseField="0" baseItem="0"/>
  </dataFields>
  <formats count="5">
    <format dxfId="1011">
      <pivotArea outline="0" collapsedLevelsAreSubtotals="1" fieldPosition="0"/>
    </format>
    <format dxfId="1010">
      <pivotArea field="0" type="button" dataOnly="0" labelOnly="1" outline="0" axis="axisPage" fieldPosition="0"/>
    </format>
    <format dxfId="1009">
      <pivotArea field="4" type="button" dataOnly="0" labelOnly="1" outline="0" axis="axisRow" fieldPosition="0"/>
    </format>
    <format dxfId="1008">
      <pivotArea dataOnly="0" labelOnly="1" fieldPosition="0">
        <references count="1">
          <reference field="4" count="1">
            <x v="15"/>
          </reference>
        </references>
      </pivotArea>
    </format>
    <format dxfId="1007">
      <pivotArea field="0" type="button" dataOnly="0" labelOnly="1" outline="0" axis="axisPage" fieldPosition="0"/>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TablaDinámica16"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7:E48" firstHeaderRow="1" firstDataRow="2" firstDataCol="1" rowPageCount="1" colPageCount="1"/>
  <pivotFields count="35">
    <pivotField axis="axisPage" multipleItemSelectionAllowed="1" showAll="0">
      <items count="6">
        <item h="1" x="3"/>
        <item h="1" x="1"/>
        <item x="2"/>
        <item h="1" x="0"/>
        <item h="1"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Col"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v="10"/>
    </i>
    <i>
      <x v="13"/>
    </i>
    <i>
      <x/>
    </i>
    <i>
      <x v="7"/>
    </i>
    <i>
      <x v="12"/>
    </i>
    <i>
      <x v="5"/>
    </i>
    <i>
      <x v="14"/>
    </i>
    <i>
      <x v="4"/>
    </i>
    <i>
      <x v="15"/>
    </i>
    <i t="grand">
      <x/>
    </i>
  </rowItems>
  <colFields count="1">
    <field x="7"/>
  </colFields>
  <colItems count="4">
    <i>
      <x/>
    </i>
    <i>
      <x v="1"/>
    </i>
    <i>
      <x v="2"/>
    </i>
    <i t="grand">
      <x/>
    </i>
  </colItems>
  <pageFields count="1">
    <pageField fld="0" hier="-1"/>
  </pageFields>
  <dataFields count="1">
    <dataField name="Suma de 2025 S/" fld="20" baseField="0" baseItem="0" numFmtId="172"/>
  </dataFields>
  <formats count="6">
    <format dxfId="981">
      <pivotArea field="1" type="button" dataOnly="0" labelOnly="1" outline="0" axis="axisRow" fieldPosition="0"/>
    </format>
    <format dxfId="980">
      <pivotArea dataOnly="0" labelOnly="1" fieldPosition="0">
        <references count="1">
          <reference field="7" count="0"/>
        </references>
      </pivotArea>
    </format>
    <format dxfId="979">
      <pivotArea dataOnly="0" labelOnly="1" grandCol="1" outline="0" fieldPosition="0"/>
    </format>
    <format dxfId="978">
      <pivotArea outline="0" collapsedLevelsAreSubtotals="1" fieldPosition="0"/>
    </format>
    <format dxfId="977">
      <pivotArea dataOnly="0" labelOnly="1" fieldPosition="0">
        <references count="1">
          <reference field="1" count="1">
            <x v="10"/>
          </reference>
        </references>
      </pivotArea>
    </format>
    <format dxfId="976">
      <pivotArea field="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0"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NIVEL DE PRIORIZACIÓN">
  <location ref="A3:G9" firstHeaderRow="1" firstDataRow="2" firstDataCol="1"/>
  <pivotFields count="34">
    <pivotField axis="axisCol" showAll="0">
      <items count="6">
        <item x="3"/>
        <item x="1"/>
        <item x="2"/>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71" showAll="0"/>
    <pivotField numFmtId="171" showAll="0"/>
    <pivotField showAll="0"/>
    <pivotField numFmtId="171" showAll="0"/>
    <pivotField showAll="0"/>
    <pivotField showAll="0"/>
    <pivotField numFmtId="171" showAll="0"/>
    <pivotField numFmtId="171" showAll="0"/>
    <pivotField numFmtId="171" showAll="0"/>
    <pivotField numFmtId="171" showAll="0"/>
    <pivotField numFmtId="171" showAll="0"/>
    <pivotField numFmtId="171" showAll="0"/>
    <pivotField numFmtId="171" showAll="0"/>
    <pivotField showAll="0"/>
    <pivotField showAll="0"/>
    <pivotField showAll="0"/>
    <pivotField showAll="0"/>
    <pivotField showAll="0"/>
    <pivotField showAll="0"/>
    <pivotField axis="axisRow" showAll="0" sortType="descending">
      <items count="6">
        <item n="POCO RELEVANTE" x="2"/>
        <item n="MEDIANAMENTE RELEVANTE" x="1"/>
        <item n="MUY RELEVANTE" x="0"/>
        <item m="1" x="4"/>
        <item x="3"/>
        <item t="default"/>
      </items>
      <autoSortScope>
        <pivotArea dataOnly="0" outline="0" fieldPosition="0">
          <references count="1">
            <reference field="4294967294" count="1" selected="0">
              <x v="0"/>
            </reference>
          </references>
        </pivotArea>
      </autoSortScope>
    </pivotField>
  </pivotFields>
  <rowFields count="1">
    <field x="33"/>
  </rowFields>
  <rowItems count="5">
    <i>
      <x v="2"/>
    </i>
    <i>
      <x v="1"/>
    </i>
    <i>
      <x v="4"/>
    </i>
    <i>
      <x/>
    </i>
    <i t="grand">
      <x/>
    </i>
  </rowItems>
  <colFields count="1">
    <field x="0"/>
  </colFields>
  <colItems count="6">
    <i>
      <x/>
    </i>
    <i>
      <x v="1"/>
    </i>
    <i>
      <x v="2"/>
    </i>
    <i>
      <x v="3"/>
    </i>
    <i>
      <x v="4"/>
    </i>
    <i t="grand">
      <x/>
    </i>
  </colItems>
  <dataFields count="1">
    <dataField name="Cuenta de N° de Referencia para meta" fld="14" subtotal="count" baseField="32" baseItem="0"/>
  </dataFields>
  <formats count="25">
    <format dxfId="2047">
      <pivotArea field="33" type="button" dataOnly="0" labelOnly="1" outline="0" axis="axisRow" fieldPosition="0"/>
    </format>
    <format dxfId="2046">
      <pivotArea dataOnly="0" labelOnly="1" fieldPosition="0">
        <references count="1">
          <reference field="0" count="0"/>
        </references>
      </pivotArea>
    </format>
    <format dxfId="2045">
      <pivotArea dataOnly="0" labelOnly="1" grandCol="1" outline="0" fieldPosition="0"/>
    </format>
    <format dxfId="2044">
      <pivotArea field="33" type="button" dataOnly="0" labelOnly="1" outline="0" axis="axisRow" fieldPosition="0"/>
    </format>
    <format dxfId="2043">
      <pivotArea dataOnly="0" labelOnly="1" fieldPosition="0">
        <references count="1">
          <reference field="0" count="0"/>
        </references>
      </pivotArea>
    </format>
    <format dxfId="2042">
      <pivotArea dataOnly="0" labelOnly="1" grandCol="1" outline="0" fieldPosition="0"/>
    </format>
    <format dxfId="2041">
      <pivotArea field="33" type="button" dataOnly="0" labelOnly="1" outline="0" axis="axisRow" fieldPosition="0"/>
    </format>
    <format dxfId="2040">
      <pivotArea dataOnly="0" labelOnly="1" fieldPosition="0">
        <references count="1">
          <reference field="0" count="0"/>
        </references>
      </pivotArea>
    </format>
    <format dxfId="2039">
      <pivotArea dataOnly="0" labelOnly="1" grandCol="1" outline="0" fieldPosition="0"/>
    </format>
    <format dxfId="2038">
      <pivotArea field="33" type="button" dataOnly="0" labelOnly="1" outline="0" axis="axisRow" fieldPosition="0"/>
    </format>
    <format dxfId="2037">
      <pivotArea dataOnly="0" labelOnly="1" fieldPosition="0">
        <references count="1">
          <reference field="0" count="0"/>
        </references>
      </pivotArea>
    </format>
    <format dxfId="2036">
      <pivotArea dataOnly="0" labelOnly="1" grandCol="1" outline="0" fieldPosition="0"/>
    </format>
    <format dxfId="2035">
      <pivotArea field="33" type="button" dataOnly="0" labelOnly="1" outline="0" axis="axisRow" fieldPosition="0"/>
    </format>
    <format dxfId="2034">
      <pivotArea dataOnly="0" labelOnly="1" fieldPosition="0">
        <references count="1">
          <reference field="0" count="0"/>
        </references>
      </pivotArea>
    </format>
    <format dxfId="2033">
      <pivotArea dataOnly="0" labelOnly="1" grandCol="1" outline="0" fieldPosition="0"/>
    </format>
    <format dxfId="2032">
      <pivotArea grandRow="1" outline="0" collapsedLevelsAreSubtotals="1" fieldPosition="0"/>
    </format>
    <format dxfId="2031">
      <pivotArea dataOnly="0" labelOnly="1" grandRow="1" outline="0" fieldPosition="0"/>
    </format>
    <format dxfId="2030">
      <pivotArea grandRow="1" outline="0" collapsedLevelsAreSubtotals="1" fieldPosition="0"/>
    </format>
    <format dxfId="2029">
      <pivotArea dataOnly="0" labelOnly="1" grandRow="1" outline="0" fieldPosition="0"/>
    </format>
    <format dxfId="2028">
      <pivotArea grandRow="1" outline="0" collapsedLevelsAreSubtotals="1" fieldPosition="0"/>
    </format>
    <format dxfId="2027">
      <pivotArea dataOnly="0" labelOnly="1" grandRow="1" outline="0" fieldPosition="0"/>
    </format>
    <format dxfId="2026">
      <pivotArea outline="0" collapsedLevelsAreSubtotals="1" fieldPosition="0"/>
    </format>
    <format dxfId="2025">
      <pivotArea dataOnly="0" labelOnly="1" fieldPosition="0">
        <references count="1">
          <reference field="33" count="0"/>
        </references>
      </pivotArea>
    </format>
    <format dxfId="2024">
      <pivotArea dataOnly="0" labelOnly="1" grandRow="1" outline="0" fieldPosition="0"/>
    </format>
    <format dxfId="202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TablaDinámica15"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0:E31" firstHeaderRow="1" firstDataRow="2" firstDataCol="1" rowPageCount="1" colPageCount="1"/>
  <pivotFields count="35">
    <pivotField axis="axisPage" multipleItemSelectionAllowed="1" showAll="0">
      <items count="6">
        <item h="1" x="3"/>
        <item x="1"/>
        <item h="1" x="2"/>
        <item h="1" x="0"/>
        <item h="1"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Col"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v="10"/>
    </i>
    <i>
      <x v="7"/>
    </i>
    <i>
      <x v="13"/>
    </i>
    <i>
      <x v="12"/>
    </i>
    <i>
      <x v="11"/>
    </i>
    <i>
      <x v="2"/>
    </i>
    <i>
      <x v="14"/>
    </i>
    <i>
      <x v="4"/>
    </i>
    <i>
      <x v="15"/>
    </i>
    <i t="grand">
      <x/>
    </i>
  </rowItems>
  <colFields count="1">
    <field x="7"/>
  </colFields>
  <colItems count="4">
    <i>
      <x/>
    </i>
    <i>
      <x v="1"/>
    </i>
    <i>
      <x v="2"/>
    </i>
    <i t="grand">
      <x/>
    </i>
  </colItems>
  <pageFields count="1">
    <pageField fld="0" hier="-1"/>
  </pageFields>
  <dataFields count="1">
    <dataField name="Suma de 2025 S/" fld="20" baseField="0" baseItem="0" numFmtId="172"/>
  </dataFields>
  <formats count="7">
    <format dxfId="988">
      <pivotArea field="1" type="button" dataOnly="0" labelOnly="1" outline="0" axis="axisRow" fieldPosition="0"/>
    </format>
    <format dxfId="987">
      <pivotArea dataOnly="0" labelOnly="1" fieldPosition="0">
        <references count="1">
          <reference field="7" count="0"/>
        </references>
      </pivotArea>
    </format>
    <format dxfId="986">
      <pivotArea dataOnly="0" labelOnly="1" grandCol="1" outline="0" fieldPosition="0"/>
    </format>
    <format dxfId="985">
      <pivotArea outline="0" collapsedLevelsAreSubtotals="1" fieldPosition="0"/>
    </format>
    <format dxfId="984">
      <pivotArea dataOnly="0" labelOnly="1" fieldPosition="0">
        <references count="1">
          <reference field="1" count="1">
            <x v="10"/>
          </reference>
        </references>
      </pivotArea>
    </format>
    <format dxfId="983">
      <pivotArea collapsedLevelsAreSubtotals="1" fieldPosition="0">
        <references count="1">
          <reference field="1" count="1">
            <x v="10"/>
          </reference>
        </references>
      </pivotArea>
    </format>
    <format dxfId="982">
      <pivotArea dataOnly="0" labelOnly="1" fieldPosition="0">
        <references count="1">
          <reference field="1"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TablaDinámica14"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14" firstHeaderRow="1" firstDataRow="2" firstDataCol="1" rowPageCount="1" colPageCount="1"/>
  <pivotFields count="35">
    <pivotField axis="axisPage" multipleItemSelectionAllowed="1" showAll="0">
      <items count="6">
        <item x="3"/>
        <item h="1" x="1"/>
        <item h="1" x="2"/>
        <item h="1" x="0"/>
        <item h="1"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Col"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v="10"/>
    </i>
    <i>
      <x v="7"/>
    </i>
    <i>
      <x v="1"/>
    </i>
    <i>
      <x v="5"/>
    </i>
    <i>
      <x v="12"/>
    </i>
    <i>
      <x v="11"/>
    </i>
    <i>
      <x v="4"/>
    </i>
    <i>
      <x v="14"/>
    </i>
    <i>
      <x v="3"/>
    </i>
    <i t="grand">
      <x/>
    </i>
  </rowItems>
  <colFields count="1">
    <field x="7"/>
  </colFields>
  <colItems count="4">
    <i>
      <x/>
    </i>
    <i>
      <x v="1"/>
    </i>
    <i>
      <x v="2"/>
    </i>
    <i t="grand">
      <x/>
    </i>
  </colItems>
  <pageFields count="1">
    <pageField fld="0" hier="-1"/>
  </pageFields>
  <dataFields count="1">
    <dataField name="Suma de 2025 S/" fld="20" baseField="0" baseItem="0" numFmtId="172"/>
  </dataFields>
  <formats count="6">
    <format dxfId="994">
      <pivotArea field="1" type="button" dataOnly="0" labelOnly="1" outline="0" axis="axisRow" fieldPosition="0"/>
    </format>
    <format dxfId="993">
      <pivotArea dataOnly="0" labelOnly="1" fieldPosition="0">
        <references count="1">
          <reference field="7" count="0"/>
        </references>
      </pivotArea>
    </format>
    <format dxfId="992">
      <pivotArea dataOnly="0" labelOnly="1" grandCol="1" outline="0" fieldPosition="0"/>
    </format>
    <format dxfId="991">
      <pivotArea outline="0" collapsedLevelsAreSubtotals="1" fieldPosition="0"/>
    </format>
    <format dxfId="990">
      <pivotArea dataOnly="0" labelOnly="1" fieldPosition="0">
        <references count="1">
          <reference field="1" count="1">
            <x v="10"/>
          </reference>
        </references>
      </pivotArea>
    </format>
    <format dxfId="989">
      <pivotArea collapsedLevelsAreSubtotals="1" fieldPosition="0">
        <references count="1">
          <reference field="1" count="9">
            <x v="1"/>
            <x v="3"/>
            <x v="4"/>
            <x v="5"/>
            <x v="7"/>
            <x v="10"/>
            <x v="11"/>
            <x v="12"/>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TablaDinámica18"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73:E76" firstHeaderRow="1" firstDataRow="2" firstDataCol="1" rowPageCount="1" colPageCount="1"/>
  <pivotFields count="35">
    <pivotField axis="axisPage" multipleItemSelectionAllowed="1" showAll="0">
      <items count="6">
        <item h="1" x="3"/>
        <item h="1" x="1"/>
        <item h="1" x="2"/>
        <item h="1" x="0"/>
        <item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Col"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v="6"/>
    </i>
    <i t="grand">
      <x/>
    </i>
  </rowItems>
  <colFields count="1">
    <field x="7"/>
  </colFields>
  <colItems count="4">
    <i>
      <x/>
    </i>
    <i>
      <x v="1"/>
    </i>
    <i>
      <x v="2"/>
    </i>
    <i t="grand">
      <x/>
    </i>
  </colItems>
  <pageFields count="1">
    <pageField fld="0" hier="-1"/>
  </pageFields>
  <dataFields count="1">
    <dataField name="Suma de 2025 S/" fld="20" baseField="0" baseItem="0" numFmtId="172"/>
  </dataFields>
  <formats count="6">
    <format dxfId="1000">
      <pivotArea field="1" type="button" dataOnly="0" labelOnly="1" outline="0" axis="axisRow" fieldPosition="0"/>
    </format>
    <format dxfId="999">
      <pivotArea dataOnly="0" labelOnly="1" fieldPosition="0">
        <references count="1">
          <reference field="7" count="0"/>
        </references>
      </pivotArea>
    </format>
    <format dxfId="998">
      <pivotArea dataOnly="0" labelOnly="1" grandCol="1" outline="0" fieldPosition="0"/>
    </format>
    <format dxfId="997">
      <pivotArea outline="0" collapsedLevelsAreSubtotals="1" fieldPosition="0"/>
    </format>
    <format dxfId="996">
      <pivotArea dataOnly="0" labelOnly="1" fieldPosition="0">
        <references count="1">
          <reference field="1" count="1">
            <x v="10"/>
          </reference>
        </references>
      </pivotArea>
    </format>
    <format dxfId="995">
      <pivotArea field="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TablaDinámica17"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4:E67" firstHeaderRow="1" firstDataRow="2" firstDataCol="1" rowPageCount="1" colPageCount="1"/>
  <pivotFields count="35">
    <pivotField axis="axisPage" multipleItemSelectionAllowed="1" showAll="0">
      <items count="6">
        <item h="1" x="3"/>
        <item h="1" x="1"/>
        <item h="1" x="2"/>
        <item x="0"/>
        <item h="1"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Col"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v="10"/>
    </i>
    <i>
      <x v="7"/>
    </i>
    <i>
      <x v="13"/>
    </i>
    <i>
      <x v="12"/>
    </i>
    <i>
      <x v="11"/>
    </i>
    <i>
      <x v="14"/>
    </i>
    <i>
      <x v="8"/>
    </i>
    <i>
      <x v="4"/>
    </i>
    <i>
      <x v="9"/>
    </i>
    <i>
      <x v="3"/>
    </i>
    <i>
      <x v="15"/>
    </i>
    <i t="grand">
      <x/>
    </i>
  </rowItems>
  <colFields count="1">
    <field x="7"/>
  </colFields>
  <colItems count="4">
    <i>
      <x/>
    </i>
    <i>
      <x v="1"/>
    </i>
    <i>
      <x v="2"/>
    </i>
    <i t="grand">
      <x/>
    </i>
  </colItems>
  <pageFields count="1">
    <pageField fld="0" hier="-1"/>
  </pageFields>
  <dataFields count="1">
    <dataField name="Suma de 2025 S/" fld="20" baseField="0" baseItem="0" numFmtId="172"/>
  </dataFields>
  <formats count="6">
    <format dxfId="1006">
      <pivotArea field="1" type="button" dataOnly="0" labelOnly="1" outline="0" axis="axisRow" fieldPosition="0"/>
    </format>
    <format dxfId="1005">
      <pivotArea dataOnly="0" labelOnly="1" fieldPosition="0">
        <references count="1">
          <reference field="7" count="0"/>
        </references>
      </pivotArea>
    </format>
    <format dxfId="1004">
      <pivotArea dataOnly="0" labelOnly="1" grandCol="1" outline="0" fieldPosition="0"/>
    </format>
    <format dxfId="1003">
      <pivotArea outline="0" collapsedLevelsAreSubtotals="1" fieldPosition="0"/>
    </format>
    <format dxfId="1002">
      <pivotArea dataOnly="0" labelOnly="1" fieldPosition="0">
        <references count="1">
          <reference field="1" count="1">
            <x v="10"/>
          </reference>
        </references>
      </pivotArea>
    </format>
    <format dxfId="1001">
      <pivotArea field="0" type="button" dataOnly="0" labelOnly="1" outline="0" axis="axisPage"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TablaDinámica24" cacheId="3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SAs / COMPONENTES">
  <location ref="A230:E282" firstHeaderRow="1" firstDataRow="2" firstDataCol="1" rowPageCount="1" colPageCount="1"/>
  <pivotFields count="35">
    <pivotField axis="axisPage" showAll="0">
      <items count="7">
        <item m="1" x="5"/>
        <item x="3"/>
        <item x="1"/>
        <item x="2"/>
        <item x="0"/>
        <item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axis="axisRow" showAll="0">
      <items count="112">
        <item x="30"/>
        <item x="85"/>
        <item x="61"/>
        <item x="62"/>
        <item x="92"/>
        <item x="70"/>
        <item x="46"/>
        <item x="40"/>
        <item x="63"/>
        <item x="75"/>
        <item x="1"/>
        <item x="68"/>
        <item x="59"/>
        <item x="7"/>
        <item x="21"/>
        <item x="18"/>
        <item x="29"/>
        <item x="97"/>
        <item x="99"/>
        <item x="13"/>
        <item x="60"/>
        <item x="20"/>
        <item x="44"/>
        <item x="89"/>
        <item x="42"/>
        <item x="69"/>
        <item x="100"/>
        <item x="91"/>
        <item x="31"/>
        <item x="3"/>
        <item x="35"/>
        <item x="84"/>
        <item x="23"/>
        <item x="41"/>
        <item x="11"/>
        <item x="80"/>
        <item m="1" x="107"/>
        <item x="96"/>
        <item x="103"/>
        <item x="104"/>
        <item x="47"/>
        <item m="1" x="106"/>
        <item x="24"/>
        <item x="17"/>
        <item x="10"/>
        <item x="79"/>
        <item x="98"/>
        <item x="105"/>
        <item m="1" x="108"/>
        <item x="101"/>
        <item x="102"/>
        <item x="77"/>
        <item x="87"/>
        <item x="95"/>
        <item x="8"/>
        <item x="55"/>
        <item x="32"/>
        <item x="28"/>
        <item x="26"/>
        <item x="43"/>
        <item x="4"/>
        <item x="2"/>
        <item x="50"/>
        <item x="71"/>
        <item x="48"/>
        <item x="19"/>
        <item x="82"/>
        <item m="1" x="109"/>
        <item x="33"/>
        <item x="0"/>
        <item x="9"/>
        <item x="93"/>
        <item x="81"/>
        <item x="78"/>
        <item x="76"/>
        <item x="51"/>
        <item x="74"/>
        <item x="6"/>
        <item x="66"/>
        <item x="39"/>
        <item x="58"/>
        <item x="38"/>
        <item x="22"/>
        <item x="83"/>
        <item x="12"/>
        <item x="86"/>
        <item x="16"/>
        <item x="57"/>
        <item x="37"/>
        <item x="52"/>
        <item x="14"/>
        <item x="90"/>
        <item x="15"/>
        <item x="65"/>
        <item x="64"/>
        <item m="1" x="110"/>
        <item x="88"/>
        <item x="5"/>
        <item x="67"/>
        <item x="45"/>
        <item x="49"/>
        <item x="34"/>
        <item x="27"/>
        <item x="94"/>
        <item x="53"/>
        <item x="25"/>
        <item x="54"/>
        <item x="72"/>
        <item x="73"/>
        <item x="36"/>
        <item x="56"/>
        <item t="default"/>
      </items>
    </pivotField>
    <pivotField showAll="0"/>
    <pivotField showAll="0"/>
    <pivotField axis="axisCol" showAll="0">
      <items count="4">
        <item x="2"/>
        <item x="0"/>
        <item x="1"/>
        <item t="default"/>
      </items>
    </pivotField>
    <pivotField axis="axisRow" showAll="0" sortType="descending">
      <items count="11">
        <item x="9"/>
        <item sd="0" x="8"/>
        <item sd="0" x="7"/>
        <item sd="0" x="3"/>
        <item sd="0" x="4"/>
        <item sd="0" x="6"/>
        <item sd="0" x="2"/>
        <item sd="0" x="1"/>
        <item sd="0" x="5"/>
        <item sd="0"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1"/>
    <field x="8"/>
    <field x="4"/>
  </rowFields>
  <rowItems count="51">
    <i>
      <x v="10"/>
    </i>
    <i r="1">
      <x v="3"/>
    </i>
    <i r="1">
      <x v="7"/>
    </i>
    <i r="1">
      <x v="6"/>
    </i>
    <i r="1">
      <x v="8"/>
    </i>
    <i r="1">
      <x v="9"/>
    </i>
    <i r="1">
      <x v="4"/>
    </i>
    <i r="1">
      <x v="5"/>
    </i>
    <i>
      <x v="7"/>
    </i>
    <i r="1">
      <x/>
    </i>
    <i r="2">
      <x v="64"/>
    </i>
    <i r="1">
      <x v="1"/>
    </i>
    <i r="1">
      <x v="5"/>
    </i>
    <i r="1">
      <x v="8"/>
    </i>
    <i r="1">
      <x v="9"/>
    </i>
    <i r="1">
      <x v="7"/>
    </i>
    <i>
      <x v="1"/>
    </i>
    <i r="1">
      <x v="5"/>
    </i>
    <i r="1">
      <x v="3"/>
    </i>
    <i r="1">
      <x v="2"/>
    </i>
    <i r="1">
      <x v="1"/>
    </i>
    <i r="1">
      <x v="9"/>
    </i>
    <i>
      <x v="5"/>
    </i>
    <i r="1">
      <x v="3"/>
    </i>
    <i r="1">
      <x v="9"/>
    </i>
    <i r="1">
      <x v="8"/>
    </i>
    <i>
      <x v="12"/>
    </i>
    <i r="1">
      <x v="6"/>
    </i>
    <i r="1">
      <x v="4"/>
    </i>
    <i r="1">
      <x v="3"/>
    </i>
    <i r="1">
      <x v="7"/>
    </i>
    <i r="1">
      <x v="9"/>
    </i>
    <i r="1">
      <x v="5"/>
    </i>
    <i>
      <x v="11"/>
    </i>
    <i r="1">
      <x v="3"/>
    </i>
    <i r="1">
      <x v="6"/>
    </i>
    <i r="1">
      <x v="4"/>
    </i>
    <i r="1">
      <x v="7"/>
    </i>
    <i r="1">
      <x v="5"/>
    </i>
    <i r="1">
      <x v="9"/>
    </i>
    <i>
      <x v="4"/>
    </i>
    <i r="1">
      <x v="2"/>
    </i>
    <i r="1">
      <x v="3"/>
    </i>
    <i r="1">
      <x v="5"/>
    </i>
    <i>
      <x v="14"/>
    </i>
    <i r="1">
      <x v="5"/>
    </i>
    <i r="1">
      <x v="9"/>
    </i>
    <i>
      <x v="3"/>
    </i>
    <i r="1">
      <x v="9"/>
    </i>
    <i r="1">
      <x v="3"/>
    </i>
    <i t="grand">
      <x/>
    </i>
  </rowItems>
  <colFields count="1">
    <field x="7"/>
  </colFields>
  <colItems count="4">
    <i>
      <x/>
    </i>
    <i>
      <x v="1"/>
    </i>
    <i>
      <x v="2"/>
    </i>
    <i t="grand">
      <x/>
    </i>
  </colItems>
  <pageFields count="1">
    <pageField fld="0" item="1" hier="-1"/>
  </pageFields>
  <dataFields count="1">
    <dataField name="Suma de 2025 S/" fld="20" baseField="0" baseItem="0" numFmtId="172"/>
  </dataFields>
  <formats count="81">
    <format dxfId="488">
      <pivotArea dataOnly="0" labelOnly="1" fieldPosition="0">
        <references count="1">
          <reference field="7" count="0"/>
        </references>
      </pivotArea>
    </format>
    <format dxfId="487">
      <pivotArea dataOnly="0" labelOnly="1" grandCol="1" outline="0" fieldPosition="0"/>
    </format>
    <format dxfId="486">
      <pivotArea dataOnly="0" labelOnly="1" grandCol="1" outline="0" fieldPosition="0"/>
    </format>
    <format dxfId="485">
      <pivotArea outline="0" collapsedLevelsAreSubtotals="1" fieldPosition="0"/>
    </format>
    <format dxfId="484">
      <pivotArea field="0" type="button" dataOnly="0" labelOnly="1" outline="0" axis="axisPage" fieldPosition="0"/>
    </format>
    <format dxfId="483">
      <pivotArea type="origin" dataOnly="0" labelOnly="1" outline="0" fieldPosition="0"/>
    </format>
    <format dxfId="482">
      <pivotArea field="1" type="button" dataOnly="0" labelOnly="1" outline="0" axis="axisRow" fieldPosition="0"/>
    </format>
    <format dxfId="481">
      <pivotArea dataOnly="0" labelOnly="1" fieldPosition="0">
        <references count="1">
          <reference field="1" count="0"/>
        </references>
      </pivotArea>
    </format>
    <format dxfId="480">
      <pivotArea dataOnly="0" labelOnly="1" grandRow="1" outline="0" fieldPosition="0"/>
    </format>
    <format dxfId="479">
      <pivotArea dataOnly="0" labelOnly="1" fieldPosition="0">
        <references count="2">
          <reference field="1" count="1" selected="0">
            <x v="0"/>
          </reference>
          <reference field="8" count="4">
            <x v="1"/>
            <x v="2"/>
            <x v="3"/>
            <x v="5"/>
          </reference>
        </references>
      </pivotArea>
    </format>
    <format dxfId="478">
      <pivotArea dataOnly="0" labelOnly="1" fieldPosition="0">
        <references count="2">
          <reference field="1" count="1" selected="0">
            <x v="1"/>
          </reference>
          <reference field="8" count="5">
            <x v="1"/>
            <x v="2"/>
            <x v="3"/>
            <x v="5"/>
            <x v="9"/>
          </reference>
        </references>
      </pivotArea>
    </format>
    <format dxfId="477">
      <pivotArea dataOnly="0" labelOnly="1" fieldPosition="0">
        <references count="2">
          <reference field="1" count="1" selected="0">
            <x v="2"/>
          </reference>
          <reference field="8" count="4">
            <x v="1"/>
            <x v="2"/>
            <x v="3"/>
            <x v="5"/>
          </reference>
        </references>
      </pivotArea>
    </format>
    <format dxfId="476">
      <pivotArea dataOnly="0" labelOnly="1" fieldPosition="0">
        <references count="2">
          <reference field="1" count="1" selected="0">
            <x v="3"/>
          </reference>
          <reference field="8" count="2">
            <x v="3"/>
            <x v="9"/>
          </reference>
        </references>
      </pivotArea>
    </format>
    <format dxfId="475">
      <pivotArea dataOnly="0" labelOnly="1" fieldPosition="0">
        <references count="2">
          <reference field="1" count="1" selected="0">
            <x v="4"/>
          </reference>
          <reference field="8" count="3">
            <x v="2"/>
            <x v="3"/>
            <x v="5"/>
          </reference>
        </references>
      </pivotArea>
    </format>
    <format dxfId="474">
      <pivotArea dataOnly="0" labelOnly="1" fieldPosition="0">
        <references count="2">
          <reference field="1" count="1" selected="0">
            <x v="5"/>
          </reference>
          <reference field="8" count="3">
            <x v="3"/>
            <x v="8"/>
            <x v="9"/>
          </reference>
        </references>
      </pivotArea>
    </format>
    <format dxfId="473">
      <pivotArea dataOnly="0" labelOnly="1" fieldPosition="0">
        <references count="2">
          <reference field="1" count="1" selected="0">
            <x v="6"/>
          </reference>
          <reference field="8" count="8">
            <x v="1"/>
            <x v="2"/>
            <x v="3"/>
            <x v="4"/>
            <x v="5"/>
            <x v="6"/>
            <x v="8"/>
            <x v="9"/>
          </reference>
        </references>
      </pivotArea>
    </format>
    <format dxfId="472">
      <pivotArea dataOnly="0" labelOnly="1" fieldPosition="0">
        <references count="2">
          <reference field="1" count="1" selected="0">
            <x v="7"/>
          </reference>
          <reference field="8" count="6">
            <x v="0"/>
            <x v="1"/>
            <x v="5"/>
            <x v="7"/>
            <x v="8"/>
            <x v="9"/>
          </reference>
        </references>
      </pivotArea>
    </format>
    <format dxfId="471">
      <pivotArea dataOnly="0" labelOnly="1" fieldPosition="0">
        <references count="2">
          <reference field="1" count="1" selected="0">
            <x v="8"/>
          </reference>
          <reference field="8" count="3">
            <x v="1"/>
            <x v="2"/>
            <x v="5"/>
          </reference>
        </references>
      </pivotArea>
    </format>
    <format dxfId="470">
      <pivotArea dataOnly="0" labelOnly="1" fieldPosition="0">
        <references count="2">
          <reference field="1" count="1" selected="0">
            <x v="9"/>
          </reference>
          <reference field="8" count="1">
            <x v="2"/>
          </reference>
        </references>
      </pivotArea>
    </format>
    <format dxfId="469">
      <pivotArea dataOnly="0" labelOnly="1" fieldPosition="0">
        <references count="2">
          <reference field="1" count="1" selected="0">
            <x v="10"/>
          </reference>
          <reference field="8" count="7">
            <x v="3"/>
            <x v="4"/>
            <x v="5"/>
            <x v="6"/>
            <x v="7"/>
            <x v="8"/>
            <x v="9"/>
          </reference>
        </references>
      </pivotArea>
    </format>
    <format dxfId="468">
      <pivotArea dataOnly="0" labelOnly="1" fieldPosition="0">
        <references count="2">
          <reference field="1" count="1" selected="0">
            <x v="11"/>
          </reference>
          <reference field="8" count="6">
            <x v="3"/>
            <x v="4"/>
            <x v="5"/>
            <x v="6"/>
            <x v="7"/>
            <x v="9"/>
          </reference>
        </references>
      </pivotArea>
    </format>
    <format dxfId="467">
      <pivotArea dataOnly="0" labelOnly="1" fieldPosition="0">
        <references count="2">
          <reference field="1" count="1" selected="0">
            <x v="12"/>
          </reference>
          <reference field="8" count="6">
            <x v="3"/>
            <x v="4"/>
            <x v="5"/>
            <x v="6"/>
            <x v="7"/>
            <x v="9"/>
          </reference>
        </references>
      </pivotArea>
    </format>
    <format dxfId="466">
      <pivotArea dataOnly="0" labelOnly="1" fieldPosition="0">
        <references count="2">
          <reference field="1" count="1" selected="0">
            <x v="13"/>
          </reference>
          <reference field="8" count="7">
            <x v="1"/>
            <x v="2"/>
            <x v="3"/>
            <x v="4"/>
            <x v="5"/>
            <x v="8"/>
            <x v="9"/>
          </reference>
        </references>
      </pivotArea>
    </format>
    <format dxfId="465">
      <pivotArea dataOnly="0" labelOnly="1" fieldPosition="0">
        <references count="2">
          <reference field="1" count="1" selected="0">
            <x v="14"/>
          </reference>
          <reference field="8" count="1">
            <x v="9"/>
          </reference>
        </references>
      </pivotArea>
    </format>
    <format dxfId="464">
      <pivotArea dataOnly="0" labelOnly="1" fieldPosition="0">
        <references count="2">
          <reference field="1" count="1" selected="0">
            <x v="15"/>
          </reference>
          <reference field="8" count="1">
            <x v="9"/>
          </reference>
        </references>
      </pivotArea>
    </format>
    <format dxfId="463">
      <pivotArea dataOnly="0" labelOnly="1" fieldPosition="0">
        <references count="1">
          <reference field="1" count="0"/>
        </references>
      </pivotArea>
    </format>
    <format dxfId="462">
      <pivotArea dataOnly="0" labelOnly="1" fieldPosition="0">
        <references count="2">
          <reference field="1" count="1" selected="0">
            <x v="0"/>
          </reference>
          <reference field="8" count="4">
            <x v="1"/>
            <x v="2"/>
            <x v="3"/>
            <x v="5"/>
          </reference>
        </references>
      </pivotArea>
    </format>
    <format dxfId="461">
      <pivotArea dataOnly="0" labelOnly="1" fieldPosition="0">
        <references count="2">
          <reference field="1" count="1" selected="0">
            <x v="2"/>
          </reference>
          <reference field="8" count="4">
            <x v="1"/>
            <x v="2"/>
            <x v="3"/>
            <x v="5"/>
          </reference>
        </references>
      </pivotArea>
    </format>
    <format dxfId="460">
      <pivotArea dataOnly="0" labelOnly="1" fieldPosition="0">
        <references count="2">
          <reference field="1" count="1" selected="0">
            <x v="6"/>
          </reference>
          <reference field="8" count="8">
            <x v="1"/>
            <x v="2"/>
            <x v="3"/>
            <x v="4"/>
            <x v="5"/>
            <x v="6"/>
            <x v="8"/>
            <x v="9"/>
          </reference>
        </references>
      </pivotArea>
    </format>
    <format dxfId="459">
      <pivotArea dataOnly="0" labelOnly="1" fieldPosition="0">
        <references count="2">
          <reference field="1" count="1" selected="0">
            <x v="7"/>
          </reference>
          <reference field="8" count="6">
            <x v="0"/>
            <x v="1"/>
            <x v="5"/>
            <x v="7"/>
            <x v="8"/>
            <x v="9"/>
          </reference>
        </references>
      </pivotArea>
    </format>
    <format dxfId="458">
      <pivotArea dataOnly="0" labelOnly="1" fieldPosition="0">
        <references count="2">
          <reference field="1" count="1" selected="0">
            <x v="8"/>
          </reference>
          <reference field="8" count="3">
            <x v="1"/>
            <x v="2"/>
            <x v="5"/>
          </reference>
        </references>
      </pivotArea>
    </format>
    <format dxfId="457">
      <pivotArea dataOnly="0" labelOnly="1" fieldPosition="0">
        <references count="2">
          <reference field="1" count="1" selected="0">
            <x v="9"/>
          </reference>
          <reference field="8" count="1">
            <x v="2"/>
          </reference>
        </references>
      </pivotArea>
    </format>
    <format dxfId="456">
      <pivotArea dataOnly="0" labelOnly="1" fieldPosition="0">
        <references count="2">
          <reference field="1" count="1" selected="0">
            <x v="13"/>
          </reference>
          <reference field="8" count="7">
            <x v="1"/>
            <x v="2"/>
            <x v="3"/>
            <x v="4"/>
            <x v="5"/>
            <x v="8"/>
            <x v="9"/>
          </reference>
        </references>
      </pivotArea>
    </format>
    <format dxfId="455">
      <pivotArea dataOnly="0" labelOnly="1" fieldPosition="0">
        <references count="2">
          <reference field="1" count="1" selected="0">
            <x v="15"/>
          </reference>
          <reference field="8" count="1">
            <x v="9"/>
          </reference>
        </references>
      </pivotArea>
    </format>
    <format dxfId="454">
      <pivotArea dataOnly="0" labelOnly="1" fieldPosition="0">
        <references count="1">
          <reference field="1" count="0"/>
        </references>
      </pivotArea>
    </format>
    <format dxfId="453">
      <pivotArea dataOnly="0" labelOnly="1" fieldPosition="0">
        <references count="2">
          <reference field="1" count="1" selected="0">
            <x v="0"/>
          </reference>
          <reference field="8" count="4">
            <x v="1"/>
            <x v="2"/>
            <x v="3"/>
            <x v="5"/>
          </reference>
        </references>
      </pivotArea>
    </format>
    <format dxfId="452">
      <pivotArea dataOnly="0" labelOnly="1" fieldPosition="0">
        <references count="2">
          <reference field="1" count="1" selected="0">
            <x v="2"/>
          </reference>
          <reference field="8" count="4">
            <x v="1"/>
            <x v="2"/>
            <x v="3"/>
            <x v="5"/>
          </reference>
        </references>
      </pivotArea>
    </format>
    <format dxfId="451">
      <pivotArea dataOnly="0" labelOnly="1" fieldPosition="0">
        <references count="2">
          <reference field="1" count="1" selected="0">
            <x v="6"/>
          </reference>
          <reference field="8" count="8">
            <x v="1"/>
            <x v="2"/>
            <x v="3"/>
            <x v="4"/>
            <x v="5"/>
            <x v="6"/>
            <x v="8"/>
            <x v="9"/>
          </reference>
        </references>
      </pivotArea>
    </format>
    <format dxfId="450">
      <pivotArea dataOnly="0" labelOnly="1" fieldPosition="0">
        <references count="2">
          <reference field="1" count="1" selected="0">
            <x v="7"/>
          </reference>
          <reference field="8" count="6">
            <x v="0"/>
            <x v="1"/>
            <x v="5"/>
            <x v="7"/>
            <x v="8"/>
            <x v="9"/>
          </reference>
        </references>
      </pivotArea>
    </format>
    <format dxfId="449">
      <pivotArea dataOnly="0" labelOnly="1" fieldPosition="0">
        <references count="2">
          <reference field="1" count="1" selected="0">
            <x v="8"/>
          </reference>
          <reference field="8" count="3">
            <x v="1"/>
            <x v="2"/>
            <x v="5"/>
          </reference>
        </references>
      </pivotArea>
    </format>
    <format dxfId="448">
      <pivotArea dataOnly="0" labelOnly="1" fieldPosition="0">
        <references count="2">
          <reference field="1" count="1" selected="0">
            <x v="9"/>
          </reference>
          <reference field="8" count="1">
            <x v="2"/>
          </reference>
        </references>
      </pivotArea>
    </format>
    <format dxfId="447">
      <pivotArea dataOnly="0" labelOnly="1" fieldPosition="0">
        <references count="2">
          <reference field="1" count="1" selected="0">
            <x v="13"/>
          </reference>
          <reference field="8" count="7">
            <x v="1"/>
            <x v="2"/>
            <x v="3"/>
            <x v="4"/>
            <x v="5"/>
            <x v="8"/>
            <x v="9"/>
          </reference>
        </references>
      </pivotArea>
    </format>
    <format dxfId="446">
      <pivotArea dataOnly="0" labelOnly="1" fieldPosition="0">
        <references count="2">
          <reference field="1" count="1" selected="0">
            <x v="15"/>
          </reference>
          <reference field="8" count="1">
            <x v="9"/>
          </reference>
        </references>
      </pivotArea>
    </format>
    <format dxfId="445">
      <pivotArea field="0" type="button" dataOnly="0" labelOnly="1" outline="0" axis="axisPage" fieldPosition="0"/>
    </format>
    <format dxfId="444">
      <pivotArea type="origin" dataOnly="0" labelOnly="1" outline="0" fieldPosition="0"/>
    </format>
    <format dxfId="443">
      <pivotArea field="1" type="button" dataOnly="0" labelOnly="1" outline="0" axis="axisRow" fieldPosition="0"/>
    </format>
    <format dxfId="442">
      <pivotArea dataOnly="0" labelOnly="1" fieldPosition="0">
        <references count="1">
          <reference field="1" count="9">
            <x v="1"/>
            <x v="3"/>
            <x v="4"/>
            <x v="5"/>
            <x v="7"/>
            <x v="10"/>
            <x v="11"/>
            <x v="12"/>
            <x v="14"/>
          </reference>
        </references>
      </pivotArea>
    </format>
    <format dxfId="441">
      <pivotArea dataOnly="0" labelOnly="1" grandRow="1" outline="0" fieldPosition="0"/>
    </format>
    <format dxfId="440">
      <pivotArea dataOnly="0" labelOnly="1" fieldPosition="0">
        <references count="2">
          <reference field="1" count="1" selected="0">
            <x v="10"/>
          </reference>
          <reference field="8" count="7">
            <x v="3"/>
            <x v="4"/>
            <x v="5"/>
            <x v="6"/>
            <x v="7"/>
            <x v="8"/>
            <x v="9"/>
          </reference>
        </references>
      </pivotArea>
    </format>
    <format dxfId="439">
      <pivotArea dataOnly="0" labelOnly="1" fieldPosition="0">
        <references count="2">
          <reference field="1" count="1" selected="0">
            <x v="7"/>
          </reference>
          <reference field="8" count="5">
            <x v="1"/>
            <x v="5"/>
            <x v="7"/>
            <x v="8"/>
            <x v="9"/>
          </reference>
        </references>
      </pivotArea>
    </format>
    <format dxfId="438">
      <pivotArea dataOnly="0" labelOnly="1" fieldPosition="0">
        <references count="2">
          <reference field="1" count="1" selected="0">
            <x v="1"/>
          </reference>
          <reference field="8" count="5">
            <x v="1"/>
            <x v="2"/>
            <x v="3"/>
            <x v="5"/>
            <x v="9"/>
          </reference>
        </references>
      </pivotArea>
    </format>
    <format dxfId="437">
      <pivotArea dataOnly="0" labelOnly="1" fieldPosition="0">
        <references count="2">
          <reference field="1" count="1" selected="0">
            <x v="5"/>
          </reference>
          <reference field="8" count="3">
            <x v="3"/>
            <x v="8"/>
            <x v="9"/>
          </reference>
        </references>
      </pivotArea>
    </format>
    <format dxfId="436">
      <pivotArea dataOnly="0" labelOnly="1" fieldPosition="0">
        <references count="2">
          <reference field="1" count="1" selected="0">
            <x v="12"/>
          </reference>
          <reference field="8" count="6">
            <x v="3"/>
            <x v="4"/>
            <x v="5"/>
            <x v="6"/>
            <x v="7"/>
            <x v="9"/>
          </reference>
        </references>
      </pivotArea>
    </format>
    <format dxfId="435">
      <pivotArea dataOnly="0" labelOnly="1" fieldPosition="0">
        <references count="2">
          <reference field="1" count="1" selected="0">
            <x v="11"/>
          </reference>
          <reference field="8" count="6">
            <x v="3"/>
            <x v="4"/>
            <x v="5"/>
            <x v="6"/>
            <x v="7"/>
            <x v="9"/>
          </reference>
        </references>
      </pivotArea>
    </format>
    <format dxfId="434">
      <pivotArea dataOnly="0" labelOnly="1" fieldPosition="0">
        <references count="2">
          <reference field="1" count="1" selected="0">
            <x v="14"/>
          </reference>
          <reference field="8" count="1">
            <x v="9"/>
          </reference>
        </references>
      </pivotArea>
    </format>
    <format dxfId="433">
      <pivotArea dataOnly="0" labelOnly="1" fieldPosition="0">
        <references count="2">
          <reference field="1" count="1" selected="0">
            <x v="4"/>
          </reference>
          <reference field="8" count="3">
            <x v="2"/>
            <x v="3"/>
            <x v="5"/>
          </reference>
        </references>
      </pivotArea>
    </format>
    <format dxfId="432">
      <pivotArea dataOnly="0" labelOnly="1" fieldPosition="0">
        <references count="2">
          <reference field="1" count="1" selected="0">
            <x v="3"/>
          </reference>
          <reference field="8" count="2">
            <x v="3"/>
            <x v="9"/>
          </reference>
        </references>
      </pivotArea>
    </format>
    <format dxfId="431">
      <pivotArea field="0" type="button" dataOnly="0" labelOnly="1" outline="0" axis="axisPage" fieldPosition="0"/>
    </format>
    <format dxfId="430">
      <pivotArea type="origin" dataOnly="0" labelOnly="1" outline="0" fieldPosition="0"/>
    </format>
    <format dxfId="429">
      <pivotArea field="1" type="button" dataOnly="0" labelOnly="1" outline="0" axis="axisRow" fieldPosition="0"/>
    </format>
    <format dxfId="428">
      <pivotArea dataOnly="0" labelOnly="1" fieldPosition="0">
        <references count="1">
          <reference field="1" count="9">
            <x v="1"/>
            <x v="3"/>
            <x v="4"/>
            <x v="5"/>
            <x v="7"/>
            <x v="10"/>
            <x v="11"/>
            <x v="12"/>
            <x v="14"/>
          </reference>
        </references>
      </pivotArea>
    </format>
    <format dxfId="427">
      <pivotArea dataOnly="0" labelOnly="1" grandRow="1" outline="0" fieldPosition="0"/>
    </format>
    <format dxfId="426">
      <pivotArea dataOnly="0" labelOnly="1" fieldPosition="0">
        <references count="2">
          <reference field="1" count="1" selected="0">
            <x v="10"/>
          </reference>
          <reference field="8" count="7">
            <x v="3"/>
            <x v="4"/>
            <x v="5"/>
            <x v="6"/>
            <x v="7"/>
            <x v="8"/>
            <x v="9"/>
          </reference>
        </references>
      </pivotArea>
    </format>
    <format dxfId="425">
      <pivotArea dataOnly="0" labelOnly="1" fieldPosition="0">
        <references count="2">
          <reference field="1" count="1" selected="0">
            <x v="7"/>
          </reference>
          <reference field="8" count="5">
            <x v="1"/>
            <x v="5"/>
            <x v="7"/>
            <x v="8"/>
            <x v="9"/>
          </reference>
        </references>
      </pivotArea>
    </format>
    <format dxfId="424">
      <pivotArea dataOnly="0" labelOnly="1" fieldPosition="0">
        <references count="2">
          <reference field="1" count="1" selected="0">
            <x v="1"/>
          </reference>
          <reference field="8" count="5">
            <x v="1"/>
            <x v="2"/>
            <x v="3"/>
            <x v="5"/>
            <x v="9"/>
          </reference>
        </references>
      </pivotArea>
    </format>
    <format dxfId="423">
      <pivotArea dataOnly="0" labelOnly="1" fieldPosition="0">
        <references count="2">
          <reference field="1" count="1" selected="0">
            <x v="5"/>
          </reference>
          <reference field="8" count="3">
            <x v="3"/>
            <x v="8"/>
            <x v="9"/>
          </reference>
        </references>
      </pivotArea>
    </format>
    <format dxfId="422">
      <pivotArea dataOnly="0" labelOnly="1" fieldPosition="0">
        <references count="2">
          <reference field="1" count="1" selected="0">
            <x v="12"/>
          </reference>
          <reference field="8" count="6">
            <x v="3"/>
            <x v="4"/>
            <x v="5"/>
            <x v="6"/>
            <x v="7"/>
            <x v="9"/>
          </reference>
        </references>
      </pivotArea>
    </format>
    <format dxfId="421">
      <pivotArea dataOnly="0" labelOnly="1" fieldPosition="0">
        <references count="2">
          <reference field="1" count="1" selected="0">
            <x v="11"/>
          </reference>
          <reference field="8" count="6">
            <x v="3"/>
            <x v="4"/>
            <x v="5"/>
            <x v="6"/>
            <x v="7"/>
            <x v="9"/>
          </reference>
        </references>
      </pivotArea>
    </format>
    <format dxfId="420">
      <pivotArea dataOnly="0" labelOnly="1" fieldPosition="0">
        <references count="2">
          <reference field="1" count="1" selected="0">
            <x v="14"/>
          </reference>
          <reference field="8" count="1">
            <x v="9"/>
          </reference>
        </references>
      </pivotArea>
    </format>
    <format dxfId="419">
      <pivotArea dataOnly="0" labelOnly="1" fieldPosition="0">
        <references count="2">
          <reference field="1" count="1" selected="0">
            <x v="4"/>
          </reference>
          <reference field="8" count="3">
            <x v="2"/>
            <x v="3"/>
            <x v="5"/>
          </reference>
        </references>
      </pivotArea>
    </format>
    <format dxfId="418">
      <pivotArea dataOnly="0" labelOnly="1" fieldPosition="0">
        <references count="2">
          <reference field="1" count="1" selected="0">
            <x v="3"/>
          </reference>
          <reference field="8" count="2">
            <x v="3"/>
            <x v="9"/>
          </reference>
        </references>
      </pivotArea>
    </format>
    <format dxfId="417">
      <pivotArea field="1" type="button" dataOnly="0" labelOnly="1" outline="0" axis="axisRow" fieldPosition="0"/>
    </format>
    <format dxfId="416">
      <pivotArea collapsedLevelsAreSubtotals="1" fieldPosition="0">
        <references count="1">
          <reference field="1" count="1">
            <x v="6"/>
          </reference>
        </references>
      </pivotArea>
    </format>
    <format dxfId="415">
      <pivotArea collapsedLevelsAreSubtotals="1" fieldPosition="0">
        <references count="2">
          <reference field="1" count="1" selected="0">
            <x v="6"/>
          </reference>
          <reference field="8" count="1">
            <x v="8"/>
          </reference>
        </references>
      </pivotArea>
    </format>
    <format dxfId="414">
      <pivotArea collapsedLevelsAreSubtotals="1" fieldPosition="0">
        <references count="2">
          <reference field="1" count="1" selected="0">
            <x v="6"/>
          </reference>
          <reference field="8" count="1">
            <x v="5"/>
          </reference>
        </references>
      </pivotArea>
    </format>
    <format dxfId="413">
      <pivotArea collapsedLevelsAreSubtotals="1" fieldPosition="0">
        <references count="2">
          <reference field="1" count="1" selected="0">
            <x v="6"/>
          </reference>
          <reference field="8" count="1">
            <x v="9"/>
          </reference>
        </references>
      </pivotArea>
    </format>
    <format dxfId="412">
      <pivotArea collapsedLevelsAreSubtotals="1" fieldPosition="0">
        <references count="2">
          <reference field="1" count="1" selected="0">
            <x v="6"/>
          </reference>
          <reference field="8" count="1">
            <x v="2"/>
          </reference>
        </references>
      </pivotArea>
    </format>
    <format dxfId="411">
      <pivotArea collapsedLevelsAreSubtotals="1" fieldPosition="0">
        <references count="2">
          <reference field="1" count="1" selected="0">
            <x v="6"/>
          </reference>
          <reference field="8" count="1">
            <x v="3"/>
          </reference>
        </references>
      </pivotArea>
    </format>
    <format dxfId="410">
      <pivotArea collapsedLevelsAreSubtotals="1" fieldPosition="0">
        <references count="2">
          <reference field="1" count="1" selected="0">
            <x v="6"/>
          </reference>
          <reference field="8" count="1">
            <x v="4"/>
          </reference>
        </references>
      </pivotArea>
    </format>
    <format dxfId="409">
      <pivotArea collapsedLevelsAreSubtotals="1" fieldPosition="0">
        <references count="2">
          <reference field="1" count="1" selected="0">
            <x v="6"/>
          </reference>
          <reference field="8" count="1">
            <x v="1"/>
          </reference>
        </references>
      </pivotArea>
    </format>
    <format dxfId="408">
      <pivotArea collapsedLevelsAreSubtotals="1" fieldPosition="0">
        <references count="2">
          <reference field="1" count="1" selected="0">
            <x v="6"/>
          </reference>
          <reference field="8" count="1">
            <x v="6"/>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TablaDinámica23" cacheId="3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SAs / COMPONENTES">
  <location ref="A167:E226" firstHeaderRow="1" firstDataRow="2" firstDataCol="1" rowPageCount="1" colPageCount="1"/>
  <pivotFields count="35">
    <pivotField axis="axisPage" showAll="0">
      <items count="7">
        <item m="1" x="5"/>
        <item x="3"/>
        <item x="1"/>
        <item x="2"/>
        <item x="0"/>
        <item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axis="axisRow" showAll="0">
      <items count="112">
        <item x="30"/>
        <item x="85"/>
        <item x="61"/>
        <item x="62"/>
        <item x="92"/>
        <item x="70"/>
        <item x="46"/>
        <item x="40"/>
        <item x="63"/>
        <item x="75"/>
        <item x="1"/>
        <item x="68"/>
        <item x="59"/>
        <item x="7"/>
        <item x="21"/>
        <item x="18"/>
        <item x="29"/>
        <item x="97"/>
        <item x="99"/>
        <item x="13"/>
        <item x="60"/>
        <item x="20"/>
        <item x="44"/>
        <item x="89"/>
        <item x="42"/>
        <item x="69"/>
        <item x="100"/>
        <item x="91"/>
        <item x="31"/>
        <item x="3"/>
        <item x="35"/>
        <item x="84"/>
        <item x="23"/>
        <item x="41"/>
        <item x="11"/>
        <item x="80"/>
        <item m="1" x="107"/>
        <item x="96"/>
        <item x="103"/>
        <item x="104"/>
        <item x="47"/>
        <item m="1" x="106"/>
        <item x="24"/>
        <item x="17"/>
        <item x="10"/>
        <item x="79"/>
        <item x="98"/>
        <item x="105"/>
        <item m="1" x="108"/>
        <item x="101"/>
        <item x="102"/>
        <item x="77"/>
        <item x="87"/>
        <item x="95"/>
        <item x="8"/>
        <item x="55"/>
        <item x="32"/>
        <item x="28"/>
        <item x="26"/>
        <item x="43"/>
        <item x="4"/>
        <item x="2"/>
        <item x="50"/>
        <item x="71"/>
        <item x="48"/>
        <item x="19"/>
        <item x="82"/>
        <item m="1" x="109"/>
        <item x="33"/>
        <item x="0"/>
        <item x="9"/>
        <item x="93"/>
        <item x="81"/>
        <item x="78"/>
        <item x="76"/>
        <item x="51"/>
        <item x="74"/>
        <item x="6"/>
        <item x="66"/>
        <item x="39"/>
        <item x="58"/>
        <item x="38"/>
        <item x="22"/>
        <item x="83"/>
        <item x="12"/>
        <item x="86"/>
        <item x="16"/>
        <item x="57"/>
        <item x="37"/>
        <item x="52"/>
        <item x="14"/>
        <item x="90"/>
        <item x="15"/>
        <item x="65"/>
        <item x="64"/>
        <item m="1" x="110"/>
        <item x="88"/>
        <item x="5"/>
        <item x="67"/>
        <item x="45"/>
        <item x="49"/>
        <item x="34"/>
        <item x="27"/>
        <item x="94"/>
        <item x="53"/>
        <item x="25"/>
        <item x="54"/>
        <item x="72"/>
        <item x="73"/>
        <item x="36"/>
        <item x="56"/>
        <item t="default"/>
      </items>
    </pivotField>
    <pivotField showAll="0"/>
    <pivotField showAll="0"/>
    <pivotField axis="axisCol" showAll="0">
      <items count="4">
        <item x="2"/>
        <item x="0"/>
        <item x="1"/>
        <item t="default"/>
      </items>
    </pivotField>
    <pivotField axis="axisRow" showAll="0" sortType="descending">
      <items count="11">
        <item x="9"/>
        <item sd="0" x="8"/>
        <item sd="0" x="7"/>
        <item sd="0" x="3"/>
        <item sd="0" x="4"/>
        <item sd="0" x="6"/>
        <item sd="0" x="2"/>
        <item sd="0" x="1"/>
        <item sd="0" x="5"/>
        <item sd="0"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1"/>
    <field x="8"/>
    <field x="4"/>
  </rowFields>
  <rowItems count="58">
    <i>
      <x v="10"/>
    </i>
    <i r="1">
      <x v="7"/>
    </i>
    <i r="1">
      <x v="3"/>
    </i>
    <i r="1">
      <x v="6"/>
    </i>
    <i r="1">
      <x v="9"/>
    </i>
    <i r="1">
      <x v="8"/>
    </i>
    <i r="1">
      <x v="5"/>
    </i>
    <i r="1">
      <x v="4"/>
    </i>
    <i>
      <x v="7"/>
    </i>
    <i r="1">
      <x/>
    </i>
    <i r="2">
      <x v="62"/>
    </i>
    <i r="2">
      <x v="64"/>
    </i>
    <i r="1">
      <x v="5"/>
    </i>
    <i r="1">
      <x v="1"/>
    </i>
    <i r="1">
      <x v="8"/>
    </i>
    <i r="1">
      <x v="9"/>
    </i>
    <i>
      <x v="13"/>
    </i>
    <i r="1">
      <x v="1"/>
    </i>
    <i r="1">
      <x v="9"/>
    </i>
    <i r="1">
      <x v="5"/>
    </i>
    <i r="1">
      <x v="4"/>
    </i>
    <i r="1">
      <x v="8"/>
    </i>
    <i r="1">
      <x v="3"/>
    </i>
    <i r="1">
      <x v="2"/>
    </i>
    <i>
      <x v="12"/>
    </i>
    <i r="1">
      <x v="6"/>
    </i>
    <i r="1">
      <x v="7"/>
    </i>
    <i r="1">
      <x v="3"/>
    </i>
    <i r="1">
      <x v="4"/>
    </i>
    <i r="1">
      <x v="9"/>
    </i>
    <i r="1">
      <x v="5"/>
    </i>
    <i>
      <x v="11"/>
    </i>
    <i r="1">
      <x v="3"/>
    </i>
    <i r="1">
      <x v="6"/>
    </i>
    <i r="1">
      <x v="9"/>
    </i>
    <i r="1">
      <x v="4"/>
    </i>
    <i r="1">
      <x v="5"/>
    </i>
    <i r="1">
      <x v="7"/>
    </i>
    <i>
      <x v="14"/>
    </i>
    <i r="1">
      <x v="5"/>
    </i>
    <i r="1">
      <x v="9"/>
    </i>
    <i>
      <x v="8"/>
    </i>
    <i r="1">
      <x v="5"/>
    </i>
    <i r="1">
      <x v="2"/>
    </i>
    <i r="1">
      <x v="1"/>
    </i>
    <i>
      <x v="4"/>
    </i>
    <i r="1">
      <x v="2"/>
    </i>
    <i r="1">
      <x v="3"/>
    </i>
    <i r="1">
      <x v="5"/>
    </i>
    <i>
      <x v="9"/>
    </i>
    <i r="1">
      <x v="2"/>
    </i>
    <i r="1">
      <x v="1"/>
    </i>
    <i>
      <x v="3"/>
    </i>
    <i r="1">
      <x v="3"/>
    </i>
    <i r="1">
      <x v="9"/>
    </i>
    <i>
      <x v="15"/>
    </i>
    <i r="1">
      <x v="9"/>
    </i>
    <i t="grand">
      <x/>
    </i>
  </rowItems>
  <colFields count="1">
    <field x="7"/>
  </colFields>
  <colItems count="4">
    <i>
      <x/>
    </i>
    <i>
      <x v="1"/>
    </i>
    <i>
      <x v="2"/>
    </i>
    <i t="grand">
      <x/>
    </i>
  </colItems>
  <pageFields count="1">
    <pageField fld="0" item="4" hier="-1"/>
  </pageFields>
  <dataFields count="1">
    <dataField name="Suma de 2025 S/" fld="20" baseField="0" baseItem="0" numFmtId="172"/>
  </dataFields>
  <formats count="128">
    <format dxfId="616">
      <pivotArea dataOnly="0" labelOnly="1" fieldPosition="0">
        <references count="1">
          <reference field="7" count="0"/>
        </references>
      </pivotArea>
    </format>
    <format dxfId="615">
      <pivotArea dataOnly="0" labelOnly="1" grandCol="1" outline="0" fieldPosition="0"/>
    </format>
    <format dxfId="614">
      <pivotArea dataOnly="0" labelOnly="1" grandCol="1" outline="0" fieldPosition="0"/>
    </format>
    <format dxfId="613">
      <pivotArea outline="0" collapsedLevelsAreSubtotals="1" fieldPosition="0"/>
    </format>
    <format dxfId="612">
      <pivotArea field="0" type="button" dataOnly="0" labelOnly="1" outline="0" axis="axisPage" fieldPosition="0"/>
    </format>
    <format dxfId="611">
      <pivotArea type="origin" dataOnly="0" labelOnly="1" outline="0" fieldPosition="0"/>
    </format>
    <format dxfId="610">
      <pivotArea field="1" type="button" dataOnly="0" labelOnly="1" outline="0" axis="axisRow" fieldPosition="0"/>
    </format>
    <format dxfId="609">
      <pivotArea dataOnly="0" labelOnly="1" fieldPosition="0">
        <references count="1">
          <reference field="1" count="0"/>
        </references>
      </pivotArea>
    </format>
    <format dxfId="608">
      <pivotArea dataOnly="0" labelOnly="1" grandRow="1" outline="0" fieldPosition="0"/>
    </format>
    <format dxfId="607">
      <pivotArea dataOnly="0" labelOnly="1" fieldPosition="0">
        <references count="2">
          <reference field="1" count="1" selected="0">
            <x v="0"/>
          </reference>
          <reference field="8" count="4">
            <x v="1"/>
            <x v="2"/>
            <x v="3"/>
            <x v="5"/>
          </reference>
        </references>
      </pivotArea>
    </format>
    <format dxfId="606">
      <pivotArea dataOnly="0" labelOnly="1" fieldPosition="0">
        <references count="2">
          <reference field="1" count="1" selected="0">
            <x v="1"/>
          </reference>
          <reference field="8" count="5">
            <x v="1"/>
            <x v="2"/>
            <x v="3"/>
            <x v="5"/>
            <x v="9"/>
          </reference>
        </references>
      </pivotArea>
    </format>
    <format dxfId="605">
      <pivotArea dataOnly="0" labelOnly="1" fieldPosition="0">
        <references count="2">
          <reference field="1" count="1" selected="0">
            <x v="2"/>
          </reference>
          <reference field="8" count="4">
            <x v="1"/>
            <x v="2"/>
            <x v="3"/>
            <x v="5"/>
          </reference>
        </references>
      </pivotArea>
    </format>
    <format dxfId="604">
      <pivotArea dataOnly="0" labelOnly="1" fieldPosition="0">
        <references count="2">
          <reference field="1" count="1" selected="0">
            <x v="3"/>
          </reference>
          <reference field="8" count="2">
            <x v="3"/>
            <x v="9"/>
          </reference>
        </references>
      </pivotArea>
    </format>
    <format dxfId="603">
      <pivotArea dataOnly="0" labelOnly="1" fieldPosition="0">
        <references count="2">
          <reference field="1" count="1" selected="0">
            <x v="4"/>
          </reference>
          <reference field="8" count="3">
            <x v="2"/>
            <x v="3"/>
            <x v="5"/>
          </reference>
        </references>
      </pivotArea>
    </format>
    <format dxfId="602">
      <pivotArea dataOnly="0" labelOnly="1" fieldPosition="0">
        <references count="2">
          <reference field="1" count="1" selected="0">
            <x v="5"/>
          </reference>
          <reference field="8" count="3">
            <x v="3"/>
            <x v="8"/>
            <x v="9"/>
          </reference>
        </references>
      </pivotArea>
    </format>
    <format dxfId="601">
      <pivotArea dataOnly="0" labelOnly="1" fieldPosition="0">
        <references count="2">
          <reference field="1" count="1" selected="0">
            <x v="6"/>
          </reference>
          <reference field="8" count="8">
            <x v="1"/>
            <x v="2"/>
            <x v="3"/>
            <x v="4"/>
            <x v="5"/>
            <x v="6"/>
            <x v="8"/>
            <x v="9"/>
          </reference>
        </references>
      </pivotArea>
    </format>
    <format dxfId="600">
      <pivotArea dataOnly="0" labelOnly="1" fieldPosition="0">
        <references count="2">
          <reference field="1" count="1" selected="0">
            <x v="7"/>
          </reference>
          <reference field="8" count="6">
            <x v="0"/>
            <x v="1"/>
            <x v="5"/>
            <x v="7"/>
            <x v="8"/>
            <x v="9"/>
          </reference>
        </references>
      </pivotArea>
    </format>
    <format dxfId="599">
      <pivotArea dataOnly="0" labelOnly="1" fieldPosition="0">
        <references count="2">
          <reference field="1" count="1" selected="0">
            <x v="8"/>
          </reference>
          <reference field="8" count="3">
            <x v="1"/>
            <x v="2"/>
            <x v="5"/>
          </reference>
        </references>
      </pivotArea>
    </format>
    <format dxfId="598">
      <pivotArea dataOnly="0" labelOnly="1" fieldPosition="0">
        <references count="2">
          <reference field="1" count="1" selected="0">
            <x v="9"/>
          </reference>
          <reference field="8" count="1">
            <x v="2"/>
          </reference>
        </references>
      </pivotArea>
    </format>
    <format dxfId="597">
      <pivotArea dataOnly="0" labelOnly="1" fieldPosition="0">
        <references count="2">
          <reference field="1" count="1" selected="0">
            <x v="10"/>
          </reference>
          <reference field="8" count="7">
            <x v="3"/>
            <x v="4"/>
            <x v="5"/>
            <x v="6"/>
            <x v="7"/>
            <x v="8"/>
            <x v="9"/>
          </reference>
        </references>
      </pivotArea>
    </format>
    <format dxfId="596">
      <pivotArea dataOnly="0" labelOnly="1" fieldPosition="0">
        <references count="2">
          <reference field="1" count="1" selected="0">
            <x v="11"/>
          </reference>
          <reference field="8" count="6">
            <x v="3"/>
            <x v="4"/>
            <x v="5"/>
            <x v="6"/>
            <x v="7"/>
            <x v="9"/>
          </reference>
        </references>
      </pivotArea>
    </format>
    <format dxfId="595">
      <pivotArea dataOnly="0" labelOnly="1" fieldPosition="0">
        <references count="2">
          <reference field="1" count="1" selected="0">
            <x v="12"/>
          </reference>
          <reference field="8" count="6">
            <x v="3"/>
            <x v="4"/>
            <x v="5"/>
            <x v="6"/>
            <x v="7"/>
            <x v="9"/>
          </reference>
        </references>
      </pivotArea>
    </format>
    <format dxfId="594">
      <pivotArea dataOnly="0" labelOnly="1" fieldPosition="0">
        <references count="2">
          <reference field="1" count="1" selected="0">
            <x v="13"/>
          </reference>
          <reference field="8" count="7">
            <x v="1"/>
            <x v="2"/>
            <x v="3"/>
            <x v="4"/>
            <x v="5"/>
            <x v="8"/>
            <x v="9"/>
          </reference>
        </references>
      </pivotArea>
    </format>
    <format dxfId="593">
      <pivotArea dataOnly="0" labelOnly="1" fieldPosition="0">
        <references count="2">
          <reference field="1" count="1" selected="0">
            <x v="14"/>
          </reference>
          <reference field="8" count="1">
            <x v="9"/>
          </reference>
        </references>
      </pivotArea>
    </format>
    <format dxfId="592">
      <pivotArea dataOnly="0" labelOnly="1" fieldPosition="0">
        <references count="2">
          <reference field="1" count="1" selected="0">
            <x v="15"/>
          </reference>
          <reference field="8" count="1">
            <x v="9"/>
          </reference>
        </references>
      </pivotArea>
    </format>
    <format dxfId="591">
      <pivotArea dataOnly="0" labelOnly="1" fieldPosition="0">
        <references count="1">
          <reference field="1" count="0"/>
        </references>
      </pivotArea>
    </format>
    <format dxfId="590">
      <pivotArea dataOnly="0" labelOnly="1" fieldPosition="0">
        <references count="2">
          <reference field="1" count="1" selected="0">
            <x v="0"/>
          </reference>
          <reference field="8" count="4">
            <x v="1"/>
            <x v="2"/>
            <x v="3"/>
            <x v="5"/>
          </reference>
        </references>
      </pivotArea>
    </format>
    <format dxfId="589">
      <pivotArea dataOnly="0" labelOnly="1" fieldPosition="0">
        <references count="2">
          <reference field="1" count="1" selected="0">
            <x v="2"/>
          </reference>
          <reference field="8" count="4">
            <x v="1"/>
            <x v="2"/>
            <x v="3"/>
            <x v="5"/>
          </reference>
        </references>
      </pivotArea>
    </format>
    <format dxfId="588">
      <pivotArea dataOnly="0" labelOnly="1" fieldPosition="0">
        <references count="2">
          <reference field="1" count="1" selected="0">
            <x v="6"/>
          </reference>
          <reference field="8" count="8">
            <x v="1"/>
            <x v="2"/>
            <x v="3"/>
            <x v="4"/>
            <x v="5"/>
            <x v="6"/>
            <x v="8"/>
            <x v="9"/>
          </reference>
        </references>
      </pivotArea>
    </format>
    <format dxfId="587">
      <pivotArea dataOnly="0" labelOnly="1" fieldPosition="0">
        <references count="2">
          <reference field="1" count="1" selected="0">
            <x v="7"/>
          </reference>
          <reference field="8" count="6">
            <x v="0"/>
            <x v="1"/>
            <x v="5"/>
            <x v="7"/>
            <x v="8"/>
            <x v="9"/>
          </reference>
        </references>
      </pivotArea>
    </format>
    <format dxfId="586">
      <pivotArea dataOnly="0" labelOnly="1" fieldPosition="0">
        <references count="2">
          <reference field="1" count="1" selected="0">
            <x v="8"/>
          </reference>
          <reference field="8" count="3">
            <x v="1"/>
            <x v="2"/>
            <x v="5"/>
          </reference>
        </references>
      </pivotArea>
    </format>
    <format dxfId="585">
      <pivotArea dataOnly="0" labelOnly="1" fieldPosition="0">
        <references count="2">
          <reference field="1" count="1" selected="0">
            <x v="9"/>
          </reference>
          <reference field="8" count="1">
            <x v="2"/>
          </reference>
        </references>
      </pivotArea>
    </format>
    <format dxfId="584">
      <pivotArea dataOnly="0" labelOnly="1" fieldPosition="0">
        <references count="2">
          <reference field="1" count="1" selected="0">
            <x v="13"/>
          </reference>
          <reference field="8" count="7">
            <x v="1"/>
            <x v="2"/>
            <x v="3"/>
            <x v="4"/>
            <x v="5"/>
            <x v="8"/>
            <x v="9"/>
          </reference>
        </references>
      </pivotArea>
    </format>
    <format dxfId="583">
      <pivotArea dataOnly="0" labelOnly="1" fieldPosition="0">
        <references count="2">
          <reference field="1" count="1" selected="0">
            <x v="15"/>
          </reference>
          <reference field="8" count="1">
            <x v="9"/>
          </reference>
        </references>
      </pivotArea>
    </format>
    <format dxfId="582">
      <pivotArea dataOnly="0" labelOnly="1" fieldPosition="0">
        <references count="1">
          <reference field="1" count="0"/>
        </references>
      </pivotArea>
    </format>
    <format dxfId="581">
      <pivotArea dataOnly="0" labelOnly="1" fieldPosition="0">
        <references count="2">
          <reference field="1" count="1" selected="0">
            <x v="0"/>
          </reference>
          <reference field="8" count="4">
            <x v="1"/>
            <x v="2"/>
            <x v="3"/>
            <x v="5"/>
          </reference>
        </references>
      </pivotArea>
    </format>
    <format dxfId="580">
      <pivotArea dataOnly="0" labelOnly="1" fieldPosition="0">
        <references count="2">
          <reference field="1" count="1" selected="0">
            <x v="2"/>
          </reference>
          <reference field="8" count="4">
            <x v="1"/>
            <x v="2"/>
            <x v="3"/>
            <x v="5"/>
          </reference>
        </references>
      </pivotArea>
    </format>
    <format dxfId="579">
      <pivotArea dataOnly="0" labelOnly="1" fieldPosition="0">
        <references count="2">
          <reference field="1" count="1" selected="0">
            <x v="6"/>
          </reference>
          <reference field="8" count="8">
            <x v="1"/>
            <x v="2"/>
            <x v="3"/>
            <x v="4"/>
            <x v="5"/>
            <x v="6"/>
            <x v="8"/>
            <x v="9"/>
          </reference>
        </references>
      </pivotArea>
    </format>
    <format dxfId="578">
      <pivotArea dataOnly="0" labelOnly="1" fieldPosition="0">
        <references count="2">
          <reference field="1" count="1" selected="0">
            <x v="7"/>
          </reference>
          <reference field="8" count="6">
            <x v="0"/>
            <x v="1"/>
            <x v="5"/>
            <x v="7"/>
            <x v="8"/>
            <x v="9"/>
          </reference>
        </references>
      </pivotArea>
    </format>
    <format dxfId="577">
      <pivotArea dataOnly="0" labelOnly="1" fieldPosition="0">
        <references count="2">
          <reference field="1" count="1" selected="0">
            <x v="8"/>
          </reference>
          <reference field="8" count="3">
            <x v="1"/>
            <x v="2"/>
            <x v="5"/>
          </reference>
        </references>
      </pivotArea>
    </format>
    <format dxfId="576">
      <pivotArea dataOnly="0" labelOnly="1" fieldPosition="0">
        <references count="2">
          <reference field="1" count="1" selected="0">
            <x v="9"/>
          </reference>
          <reference field="8" count="1">
            <x v="2"/>
          </reference>
        </references>
      </pivotArea>
    </format>
    <format dxfId="575">
      <pivotArea dataOnly="0" labelOnly="1" fieldPosition="0">
        <references count="2">
          <reference field="1" count="1" selected="0">
            <x v="13"/>
          </reference>
          <reference field="8" count="7">
            <x v="1"/>
            <x v="2"/>
            <x v="3"/>
            <x v="4"/>
            <x v="5"/>
            <x v="8"/>
            <x v="9"/>
          </reference>
        </references>
      </pivotArea>
    </format>
    <format dxfId="574">
      <pivotArea dataOnly="0" labelOnly="1" fieldPosition="0">
        <references count="2">
          <reference field="1" count="1" selected="0">
            <x v="15"/>
          </reference>
          <reference field="8" count="1">
            <x v="9"/>
          </reference>
        </references>
      </pivotArea>
    </format>
    <format dxfId="573">
      <pivotArea field="0" type="button" dataOnly="0" labelOnly="1" outline="0" axis="axisPage" fieldPosition="0"/>
    </format>
    <format dxfId="572">
      <pivotArea type="origin" dataOnly="0" labelOnly="1" outline="0" fieldPosition="0"/>
    </format>
    <format dxfId="571">
      <pivotArea field="1" type="button" dataOnly="0" labelOnly="1" outline="0" axis="axisRow" fieldPosition="0"/>
    </format>
    <format dxfId="570">
      <pivotArea dataOnly="0" labelOnly="1" fieldPosition="0">
        <references count="1">
          <reference field="1" count="9">
            <x v="1"/>
            <x v="3"/>
            <x v="4"/>
            <x v="5"/>
            <x v="7"/>
            <x v="10"/>
            <x v="11"/>
            <x v="12"/>
            <x v="14"/>
          </reference>
        </references>
      </pivotArea>
    </format>
    <format dxfId="569">
      <pivotArea dataOnly="0" labelOnly="1" grandRow="1" outline="0" fieldPosition="0"/>
    </format>
    <format dxfId="568">
      <pivotArea dataOnly="0" labelOnly="1" fieldPosition="0">
        <references count="2">
          <reference field="1" count="1" selected="0">
            <x v="10"/>
          </reference>
          <reference field="8" count="7">
            <x v="3"/>
            <x v="4"/>
            <x v="5"/>
            <x v="6"/>
            <x v="7"/>
            <x v="8"/>
            <x v="9"/>
          </reference>
        </references>
      </pivotArea>
    </format>
    <format dxfId="567">
      <pivotArea dataOnly="0" labelOnly="1" fieldPosition="0">
        <references count="2">
          <reference field="1" count="1" selected="0">
            <x v="7"/>
          </reference>
          <reference field="8" count="5">
            <x v="1"/>
            <x v="5"/>
            <x v="7"/>
            <x v="8"/>
            <x v="9"/>
          </reference>
        </references>
      </pivotArea>
    </format>
    <format dxfId="566">
      <pivotArea dataOnly="0" labelOnly="1" fieldPosition="0">
        <references count="2">
          <reference field="1" count="1" selected="0">
            <x v="1"/>
          </reference>
          <reference field="8" count="5">
            <x v="1"/>
            <x v="2"/>
            <x v="3"/>
            <x v="5"/>
            <x v="9"/>
          </reference>
        </references>
      </pivotArea>
    </format>
    <format dxfId="565">
      <pivotArea dataOnly="0" labelOnly="1" fieldPosition="0">
        <references count="2">
          <reference field="1" count="1" selected="0">
            <x v="5"/>
          </reference>
          <reference field="8" count="3">
            <x v="3"/>
            <x v="8"/>
            <x v="9"/>
          </reference>
        </references>
      </pivotArea>
    </format>
    <format dxfId="564">
      <pivotArea dataOnly="0" labelOnly="1" fieldPosition="0">
        <references count="2">
          <reference field="1" count="1" selected="0">
            <x v="12"/>
          </reference>
          <reference field="8" count="6">
            <x v="3"/>
            <x v="4"/>
            <x v="5"/>
            <x v="6"/>
            <x v="7"/>
            <x v="9"/>
          </reference>
        </references>
      </pivotArea>
    </format>
    <format dxfId="563">
      <pivotArea dataOnly="0" labelOnly="1" fieldPosition="0">
        <references count="2">
          <reference field="1" count="1" selected="0">
            <x v="11"/>
          </reference>
          <reference field="8" count="6">
            <x v="3"/>
            <x v="4"/>
            <x v="5"/>
            <x v="6"/>
            <x v="7"/>
            <x v="9"/>
          </reference>
        </references>
      </pivotArea>
    </format>
    <format dxfId="562">
      <pivotArea dataOnly="0" labelOnly="1" fieldPosition="0">
        <references count="2">
          <reference field="1" count="1" selected="0">
            <x v="14"/>
          </reference>
          <reference field="8" count="1">
            <x v="9"/>
          </reference>
        </references>
      </pivotArea>
    </format>
    <format dxfId="561">
      <pivotArea dataOnly="0" labelOnly="1" fieldPosition="0">
        <references count="2">
          <reference field="1" count="1" selected="0">
            <x v="4"/>
          </reference>
          <reference field="8" count="3">
            <x v="2"/>
            <x v="3"/>
            <x v="5"/>
          </reference>
        </references>
      </pivotArea>
    </format>
    <format dxfId="560">
      <pivotArea dataOnly="0" labelOnly="1" fieldPosition="0">
        <references count="2">
          <reference field="1" count="1" selected="0">
            <x v="3"/>
          </reference>
          <reference field="8" count="2">
            <x v="3"/>
            <x v="9"/>
          </reference>
        </references>
      </pivotArea>
    </format>
    <format dxfId="559">
      <pivotArea field="0" type="button" dataOnly="0" labelOnly="1" outline="0" axis="axisPage" fieldPosition="0"/>
    </format>
    <format dxfId="558">
      <pivotArea type="origin" dataOnly="0" labelOnly="1" outline="0" fieldPosition="0"/>
    </format>
    <format dxfId="557">
      <pivotArea field="1" type="button" dataOnly="0" labelOnly="1" outline="0" axis="axisRow" fieldPosition="0"/>
    </format>
    <format dxfId="556">
      <pivotArea dataOnly="0" labelOnly="1" fieldPosition="0">
        <references count="1">
          <reference field="1" count="9">
            <x v="1"/>
            <x v="3"/>
            <x v="4"/>
            <x v="5"/>
            <x v="7"/>
            <x v="10"/>
            <x v="11"/>
            <x v="12"/>
            <x v="14"/>
          </reference>
        </references>
      </pivotArea>
    </format>
    <format dxfId="555">
      <pivotArea dataOnly="0" labelOnly="1" grandRow="1" outline="0" fieldPosition="0"/>
    </format>
    <format dxfId="554">
      <pivotArea dataOnly="0" labelOnly="1" fieldPosition="0">
        <references count="2">
          <reference field="1" count="1" selected="0">
            <x v="10"/>
          </reference>
          <reference field="8" count="7">
            <x v="3"/>
            <x v="4"/>
            <x v="5"/>
            <x v="6"/>
            <x v="7"/>
            <x v="8"/>
            <x v="9"/>
          </reference>
        </references>
      </pivotArea>
    </format>
    <format dxfId="553">
      <pivotArea dataOnly="0" labelOnly="1" fieldPosition="0">
        <references count="2">
          <reference field="1" count="1" selected="0">
            <x v="7"/>
          </reference>
          <reference field="8" count="5">
            <x v="1"/>
            <x v="5"/>
            <x v="7"/>
            <x v="8"/>
            <x v="9"/>
          </reference>
        </references>
      </pivotArea>
    </format>
    <format dxfId="552">
      <pivotArea dataOnly="0" labelOnly="1" fieldPosition="0">
        <references count="2">
          <reference field="1" count="1" selected="0">
            <x v="1"/>
          </reference>
          <reference field="8" count="5">
            <x v="1"/>
            <x v="2"/>
            <x v="3"/>
            <x v="5"/>
            <x v="9"/>
          </reference>
        </references>
      </pivotArea>
    </format>
    <format dxfId="551">
      <pivotArea dataOnly="0" labelOnly="1" fieldPosition="0">
        <references count="2">
          <reference field="1" count="1" selected="0">
            <x v="5"/>
          </reference>
          <reference field="8" count="3">
            <x v="3"/>
            <x v="8"/>
            <x v="9"/>
          </reference>
        </references>
      </pivotArea>
    </format>
    <format dxfId="550">
      <pivotArea dataOnly="0" labelOnly="1" fieldPosition="0">
        <references count="2">
          <reference field="1" count="1" selected="0">
            <x v="12"/>
          </reference>
          <reference field="8" count="6">
            <x v="3"/>
            <x v="4"/>
            <x v="5"/>
            <x v="6"/>
            <x v="7"/>
            <x v="9"/>
          </reference>
        </references>
      </pivotArea>
    </format>
    <format dxfId="549">
      <pivotArea dataOnly="0" labelOnly="1" fieldPosition="0">
        <references count="2">
          <reference field="1" count="1" selected="0">
            <x v="11"/>
          </reference>
          <reference field="8" count="6">
            <x v="3"/>
            <x v="4"/>
            <x v="5"/>
            <x v="6"/>
            <x v="7"/>
            <x v="9"/>
          </reference>
        </references>
      </pivotArea>
    </format>
    <format dxfId="548">
      <pivotArea dataOnly="0" labelOnly="1" fieldPosition="0">
        <references count="2">
          <reference field="1" count="1" selected="0">
            <x v="14"/>
          </reference>
          <reference field="8" count="1">
            <x v="9"/>
          </reference>
        </references>
      </pivotArea>
    </format>
    <format dxfId="547">
      <pivotArea dataOnly="0" labelOnly="1" fieldPosition="0">
        <references count="2">
          <reference field="1" count="1" selected="0">
            <x v="4"/>
          </reference>
          <reference field="8" count="3">
            <x v="2"/>
            <x v="3"/>
            <x v="5"/>
          </reference>
        </references>
      </pivotArea>
    </format>
    <format dxfId="546">
      <pivotArea dataOnly="0" labelOnly="1" fieldPosition="0">
        <references count="2">
          <reference field="1" count="1" selected="0">
            <x v="3"/>
          </reference>
          <reference field="8" count="2">
            <x v="3"/>
            <x v="9"/>
          </reference>
        </references>
      </pivotArea>
    </format>
    <format dxfId="545">
      <pivotArea field="1" type="button" dataOnly="0" labelOnly="1" outline="0" axis="axisRow" fieldPosition="0"/>
    </format>
    <format dxfId="544">
      <pivotArea dataOnly="0" labelOnly="1" outline="0" fieldPosition="0">
        <references count="1">
          <reference field="0" count="1">
            <x v="4"/>
          </reference>
        </references>
      </pivotArea>
    </format>
    <format dxfId="543">
      <pivotArea field="0" type="button" dataOnly="0" labelOnly="1" outline="0" axis="axisPage" fieldPosition="0"/>
    </format>
    <format dxfId="542">
      <pivotArea collapsedLevelsAreSubtotals="1" fieldPosition="0">
        <references count="1">
          <reference field="1" count="1">
            <x v="10"/>
          </reference>
        </references>
      </pivotArea>
    </format>
    <format dxfId="541">
      <pivotArea collapsedLevelsAreSubtotals="1" fieldPosition="0">
        <references count="2">
          <reference field="1" count="1" selected="0">
            <x v="10"/>
          </reference>
          <reference field="8" count="1">
            <x v="7"/>
          </reference>
        </references>
      </pivotArea>
    </format>
    <format dxfId="540">
      <pivotArea collapsedLevelsAreSubtotals="1" fieldPosition="0">
        <references count="2">
          <reference field="1" count="1" selected="0">
            <x v="10"/>
          </reference>
          <reference field="8" count="1">
            <x v="3"/>
          </reference>
        </references>
      </pivotArea>
    </format>
    <format dxfId="539">
      <pivotArea collapsedLevelsAreSubtotals="1" fieldPosition="0">
        <references count="2">
          <reference field="1" count="1" selected="0">
            <x v="10"/>
          </reference>
          <reference field="8" count="1">
            <x v="6"/>
          </reference>
        </references>
      </pivotArea>
    </format>
    <format dxfId="538">
      <pivotArea collapsedLevelsAreSubtotals="1" fieldPosition="0">
        <references count="2">
          <reference field="1" count="1" selected="0">
            <x v="10"/>
          </reference>
          <reference field="8" count="1">
            <x v="9"/>
          </reference>
        </references>
      </pivotArea>
    </format>
    <format dxfId="537">
      <pivotArea collapsedLevelsAreSubtotals="1" fieldPosition="0">
        <references count="2">
          <reference field="1" count="1" selected="0">
            <x v="10"/>
          </reference>
          <reference field="8" count="1">
            <x v="8"/>
          </reference>
        </references>
      </pivotArea>
    </format>
    <format dxfId="536">
      <pivotArea collapsedLevelsAreSubtotals="1" fieldPosition="0">
        <references count="2">
          <reference field="1" count="1" selected="0">
            <x v="10"/>
          </reference>
          <reference field="8" count="1">
            <x v="5"/>
          </reference>
        </references>
      </pivotArea>
    </format>
    <format dxfId="535">
      <pivotArea collapsedLevelsAreSubtotals="1" fieldPosition="0">
        <references count="2">
          <reference field="1" count="1" selected="0">
            <x v="10"/>
          </reference>
          <reference field="8" count="1">
            <x v="4"/>
          </reference>
        </references>
      </pivotArea>
    </format>
    <format dxfId="534">
      <pivotArea collapsedLevelsAreSubtotals="1" fieldPosition="0">
        <references count="1">
          <reference field="1" count="1">
            <x v="7"/>
          </reference>
        </references>
      </pivotArea>
    </format>
    <format dxfId="533">
      <pivotArea collapsedLevelsAreSubtotals="1" fieldPosition="0">
        <references count="2">
          <reference field="1" count="1" selected="0">
            <x v="7"/>
          </reference>
          <reference field="8" count="1">
            <x v="0"/>
          </reference>
        </references>
      </pivotArea>
    </format>
    <format dxfId="532">
      <pivotArea collapsedLevelsAreSubtotals="1" fieldPosition="0">
        <references count="3">
          <reference field="1" count="1" selected="0">
            <x v="7"/>
          </reference>
          <reference field="4" count="2">
            <x v="62"/>
            <x v="64"/>
          </reference>
          <reference field="8" count="1" selected="0">
            <x v="0"/>
          </reference>
        </references>
      </pivotArea>
    </format>
    <format dxfId="531">
      <pivotArea collapsedLevelsAreSubtotals="1" fieldPosition="0">
        <references count="2">
          <reference field="1" count="1" selected="0">
            <x v="7"/>
          </reference>
          <reference field="8" count="1">
            <x v="5"/>
          </reference>
        </references>
      </pivotArea>
    </format>
    <format dxfId="530">
      <pivotArea collapsedLevelsAreSubtotals="1" fieldPosition="0">
        <references count="2">
          <reference field="1" count="1" selected="0">
            <x v="7"/>
          </reference>
          <reference field="8" count="1">
            <x v="1"/>
          </reference>
        </references>
      </pivotArea>
    </format>
    <format dxfId="529">
      <pivotArea collapsedLevelsAreSubtotals="1" fieldPosition="0">
        <references count="2">
          <reference field="1" count="1" selected="0">
            <x v="7"/>
          </reference>
          <reference field="8" count="1">
            <x v="8"/>
          </reference>
        </references>
      </pivotArea>
    </format>
    <format dxfId="528">
      <pivotArea collapsedLevelsAreSubtotals="1" fieldPosition="0">
        <references count="2">
          <reference field="1" count="1" selected="0">
            <x v="7"/>
          </reference>
          <reference field="8" count="1">
            <x v="9"/>
          </reference>
        </references>
      </pivotArea>
    </format>
    <format dxfId="527">
      <pivotArea collapsedLevelsAreSubtotals="1" fieldPosition="0">
        <references count="1">
          <reference field="1" count="1">
            <x v="13"/>
          </reference>
        </references>
      </pivotArea>
    </format>
    <format dxfId="526">
      <pivotArea collapsedLevelsAreSubtotals="1" fieldPosition="0">
        <references count="2">
          <reference field="1" count="1" selected="0">
            <x v="13"/>
          </reference>
          <reference field="8" count="1">
            <x v="1"/>
          </reference>
        </references>
      </pivotArea>
    </format>
    <format dxfId="525">
      <pivotArea collapsedLevelsAreSubtotals="1" fieldPosition="0">
        <references count="2">
          <reference field="1" count="1" selected="0">
            <x v="13"/>
          </reference>
          <reference field="8" count="1">
            <x v="9"/>
          </reference>
        </references>
      </pivotArea>
    </format>
    <format dxfId="524">
      <pivotArea collapsedLevelsAreSubtotals="1" fieldPosition="0">
        <references count="2">
          <reference field="1" count="1" selected="0">
            <x v="13"/>
          </reference>
          <reference field="8" count="1">
            <x v="5"/>
          </reference>
        </references>
      </pivotArea>
    </format>
    <format dxfId="523">
      <pivotArea collapsedLevelsAreSubtotals="1" fieldPosition="0">
        <references count="2">
          <reference field="1" count="1" selected="0">
            <x v="13"/>
          </reference>
          <reference field="8" count="1">
            <x v="4"/>
          </reference>
        </references>
      </pivotArea>
    </format>
    <format dxfId="522">
      <pivotArea collapsedLevelsAreSubtotals="1" fieldPosition="0">
        <references count="2">
          <reference field="1" count="1" selected="0">
            <x v="13"/>
          </reference>
          <reference field="8" count="1">
            <x v="8"/>
          </reference>
        </references>
      </pivotArea>
    </format>
    <format dxfId="521">
      <pivotArea collapsedLevelsAreSubtotals="1" fieldPosition="0">
        <references count="2">
          <reference field="1" count="1" selected="0">
            <x v="13"/>
          </reference>
          <reference field="8" count="1">
            <x v="3"/>
          </reference>
        </references>
      </pivotArea>
    </format>
    <format dxfId="520">
      <pivotArea collapsedLevelsAreSubtotals="1" fieldPosition="0">
        <references count="2">
          <reference field="1" count="1" selected="0">
            <x v="13"/>
          </reference>
          <reference field="8" count="1">
            <x v="2"/>
          </reference>
        </references>
      </pivotArea>
    </format>
    <format dxfId="519">
      <pivotArea collapsedLevelsAreSubtotals="1" fieldPosition="0">
        <references count="1">
          <reference field="1" count="1">
            <x v="12"/>
          </reference>
        </references>
      </pivotArea>
    </format>
    <format dxfId="518">
      <pivotArea collapsedLevelsAreSubtotals="1" fieldPosition="0">
        <references count="2">
          <reference field="1" count="1" selected="0">
            <x v="12"/>
          </reference>
          <reference field="8" count="1">
            <x v="6"/>
          </reference>
        </references>
      </pivotArea>
    </format>
    <format dxfId="517">
      <pivotArea collapsedLevelsAreSubtotals="1" fieldPosition="0">
        <references count="2">
          <reference field="1" count="1" selected="0">
            <x v="12"/>
          </reference>
          <reference field="8" count="1">
            <x v="7"/>
          </reference>
        </references>
      </pivotArea>
    </format>
    <format dxfId="516">
      <pivotArea collapsedLevelsAreSubtotals="1" fieldPosition="0">
        <references count="2">
          <reference field="1" count="1" selected="0">
            <x v="12"/>
          </reference>
          <reference field="8" count="1">
            <x v="3"/>
          </reference>
        </references>
      </pivotArea>
    </format>
    <format dxfId="515">
      <pivotArea collapsedLevelsAreSubtotals="1" fieldPosition="0">
        <references count="2">
          <reference field="1" count="1" selected="0">
            <x v="12"/>
          </reference>
          <reference field="8" count="1">
            <x v="4"/>
          </reference>
        </references>
      </pivotArea>
    </format>
    <format dxfId="514">
      <pivotArea collapsedLevelsAreSubtotals="1" fieldPosition="0">
        <references count="2">
          <reference field="1" count="1" selected="0">
            <x v="12"/>
          </reference>
          <reference field="8" count="1">
            <x v="9"/>
          </reference>
        </references>
      </pivotArea>
    </format>
    <format dxfId="513">
      <pivotArea collapsedLevelsAreSubtotals="1" fieldPosition="0">
        <references count="2">
          <reference field="1" count="1" selected="0">
            <x v="12"/>
          </reference>
          <reference field="8" count="1">
            <x v="5"/>
          </reference>
        </references>
      </pivotArea>
    </format>
    <format dxfId="512">
      <pivotArea collapsedLevelsAreSubtotals="1" fieldPosition="0">
        <references count="1">
          <reference field="1" count="1">
            <x v="14"/>
          </reference>
        </references>
      </pivotArea>
    </format>
    <format dxfId="511">
      <pivotArea collapsedLevelsAreSubtotals="1" fieldPosition="0">
        <references count="2">
          <reference field="1" count="1" selected="0">
            <x v="14"/>
          </reference>
          <reference field="8" count="1">
            <x v="9"/>
          </reference>
        </references>
      </pivotArea>
    </format>
    <format dxfId="510">
      <pivotArea collapsedLevelsAreSubtotals="1" fieldPosition="0">
        <references count="1">
          <reference field="1" count="1">
            <x v="11"/>
          </reference>
        </references>
      </pivotArea>
    </format>
    <format dxfId="509">
      <pivotArea collapsedLevelsAreSubtotals="1" fieldPosition="0">
        <references count="2">
          <reference field="1" count="1" selected="0">
            <x v="11"/>
          </reference>
          <reference field="8" count="1">
            <x v="3"/>
          </reference>
        </references>
      </pivotArea>
    </format>
    <format dxfId="508">
      <pivotArea collapsedLevelsAreSubtotals="1" fieldPosition="0">
        <references count="2">
          <reference field="1" count="1" selected="0">
            <x v="11"/>
          </reference>
          <reference field="8" count="1">
            <x v="6"/>
          </reference>
        </references>
      </pivotArea>
    </format>
    <format dxfId="507">
      <pivotArea collapsedLevelsAreSubtotals="1" fieldPosition="0">
        <references count="2">
          <reference field="1" count="1" selected="0">
            <x v="11"/>
          </reference>
          <reference field="8" count="1">
            <x v="9"/>
          </reference>
        </references>
      </pivotArea>
    </format>
    <format dxfId="506">
      <pivotArea collapsedLevelsAreSubtotals="1" fieldPosition="0">
        <references count="2">
          <reference field="1" count="1" selected="0">
            <x v="11"/>
          </reference>
          <reference field="8" count="1">
            <x v="4"/>
          </reference>
        </references>
      </pivotArea>
    </format>
    <format dxfId="505">
      <pivotArea collapsedLevelsAreSubtotals="1" fieldPosition="0">
        <references count="2">
          <reference field="1" count="1" selected="0">
            <x v="11"/>
          </reference>
          <reference field="8" count="1">
            <x v="5"/>
          </reference>
        </references>
      </pivotArea>
    </format>
    <format dxfId="504">
      <pivotArea collapsedLevelsAreSubtotals="1" fieldPosition="0">
        <references count="2">
          <reference field="1" count="1" selected="0">
            <x v="11"/>
          </reference>
          <reference field="8" count="1">
            <x v="7"/>
          </reference>
        </references>
      </pivotArea>
    </format>
    <format dxfId="503">
      <pivotArea collapsedLevelsAreSubtotals="1" fieldPosition="0">
        <references count="1">
          <reference field="1" count="1">
            <x v="8"/>
          </reference>
        </references>
      </pivotArea>
    </format>
    <format dxfId="502">
      <pivotArea collapsedLevelsAreSubtotals="1" fieldPosition="0">
        <references count="2">
          <reference field="1" count="1" selected="0">
            <x v="8"/>
          </reference>
          <reference field="8" count="1">
            <x v="5"/>
          </reference>
        </references>
      </pivotArea>
    </format>
    <format dxfId="501">
      <pivotArea collapsedLevelsAreSubtotals="1" fieldPosition="0">
        <references count="2">
          <reference field="1" count="1" selected="0">
            <x v="8"/>
          </reference>
          <reference field="8" count="1">
            <x v="2"/>
          </reference>
        </references>
      </pivotArea>
    </format>
    <format dxfId="500">
      <pivotArea collapsedLevelsAreSubtotals="1" fieldPosition="0">
        <references count="2">
          <reference field="1" count="1" selected="0">
            <x v="8"/>
          </reference>
          <reference field="8" count="1">
            <x v="1"/>
          </reference>
        </references>
      </pivotArea>
    </format>
    <format dxfId="499">
      <pivotArea collapsedLevelsAreSubtotals="1" fieldPosition="0">
        <references count="1">
          <reference field="1" count="1">
            <x v="4"/>
          </reference>
        </references>
      </pivotArea>
    </format>
    <format dxfId="498">
      <pivotArea collapsedLevelsAreSubtotals="1" fieldPosition="0">
        <references count="2">
          <reference field="1" count="1" selected="0">
            <x v="4"/>
          </reference>
          <reference field="8" count="1">
            <x v="2"/>
          </reference>
        </references>
      </pivotArea>
    </format>
    <format dxfId="497">
      <pivotArea collapsedLevelsAreSubtotals="1" fieldPosition="0">
        <references count="2">
          <reference field="1" count="1" selected="0">
            <x v="4"/>
          </reference>
          <reference field="8" count="1">
            <x v="3"/>
          </reference>
        </references>
      </pivotArea>
    </format>
    <format dxfId="496">
      <pivotArea collapsedLevelsAreSubtotals="1" fieldPosition="0">
        <references count="2">
          <reference field="1" count="1" selected="0">
            <x v="4"/>
          </reference>
          <reference field="8" count="1">
            <x v="5"/>
          </reference>
        </references>
      </pivotArea>
    </format>
    <format dxfId="495">
      <pivotArea collapsedLevelsAreSubtotals="1" fieldPosition="0">
        <references count="1">
          <reference field="1" count="1">
            <x v="15"/>
          </reference>
        </references>
      </pivotArea>
    </format>
    <format dxfId="494">
      <pivotArea collapsedLevelsAreSubtotals="1" fieldPosition="0">
        <references count="2">
          <reference field="1" count="1" selected="0">
            <x v="15"/>
          </reference>
          <reference field="8" count="1">
            <x v="9"/>
          </reference>
        </references>
      </pivotArea>
    </format>
    <format dxfId="493">
      <pivotArea collapsedLevelsAreSubtotals="1" fieldPosition="0">
        <references count="1">
          <reference field="1" count="1">
            <x v="9"/>
          </reference>
        </references>
      </pivotArea>
    </format>
    <format dxfId="492">
      <pivotArea collapsedLevelsAreSubtotals="1" fieldPosition="0">
        <references count="2">
          <reference field="1" count="1" selected="0">
            <x v="9"/>
          </reference>
          <reference field="8" count="1">
            <x v="2"/>
          </reference>
        </references>
      </pivotArea>
    </format>
    <format dxfId="491">
      <pivotArea collapsedLevelsAreSubtotals="1" fieldPosition="0">
        <references count="1">
          <reference field="1" count="1">
            <x v="3"/>
          </reference>
        </references>
      </pivotArea>
    </format>
    <format dxfId="490">
      <pivotArea collapsedLevelsAreSubtotals="1" fieldPosition="0">
        <references count="2">
          <reference field="1" count="1" selected="0">
            <x v="3"/>
          </reference>
          <reference field="8" count="1">
            <x v="3"/>
          </reference>
        </references>
      </pivotArea>
    </format>
    <format dxfId="489">
      <pivotArea collapsedLevelsAreSubtotals="1" fieldPosition="0">
        <references count="2">
          <reference field="1" count="1" selected="0">
            <x v="3"/>
          </reference>
          <reference field="8" count="1">
            <x v="9"/>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TablaDinámica22" cacheId="3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SAs / COMPONENTES">
  <location ref="A114:E164" firstHeaderRow="1" firstDataRow="2" firstDataCol="1" rowPageCount="1" colPageCount="1"/>
  <pivotFields count="35">
    <pivotField axis="axisPage" showAll="0">
      <items count="7">
        <item m="1" x="5"/>
        <item x="3"/>
        <item x="1"/>
        <item x="2"/>
        <item x="0"/>
        <item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axis="axisRow" showAll="0">
      <items count="112">
        <item x="30"/>
        <item x="85"/>
        <item x="61"/>
        <item x="62"/>
        <item x="92"/>
        <item x="70"/>
        <item x="46"/>
        <item x="40"/>
        <item x="63"/>
        <item x="75"/>
        <item x="1"/>
        <item x="68"/>
        <item x="59"/>
        <item x="7"/>
        <item x="21"/>
        <item x="18"/>
        <item x="29"/>
        <item x="97"/>
        <item x="99"/>
        <item x="13"/>
        <item x="60"/>
        <item x="20"/>
        <item x="44"/>
        <item x="89"/>
        <item x="42"/>
        <item x="69"/>
        <item x="100"/>
        <item x="91"/>
        <item x="31"/>
        <item x="3"/>
        <item x="35"/>
        <item x="84"/>
        <item x="23"/>
        <item x="41"/>
        <item x="11"/>
        <item x="80"/>
        <item m="1" x="107"/>
        <item x="96"/>
        <item x="103"/>
        <item x="104"/>
        <item x="47"/>
        <item m="1" x="106"/>
        <item x="24"/>
        <item x="17"/>
        <item x="10"/>
        <item x="79"/>
        <item x="98"/>
        <item x="105"/>
        <item m="1" x="108"/>
        <item x="101"/>
        <item x="102"/>
        <item x="77"/>
        <item x="87"/>
        <item x="95"/>
        <item x="8"/>
        <item x="55"/>
        <item x="32"/>
        <item x="28"/>
        <item x="26"/>
        <item x="43"/>
        <item x="4"/>
        <item x="2"/>
        <item x="50"/>
        <item x="71"/>
        <item x="48"/>
        <item x="19"/>
        <item x="82"/>
        <item m="1" x="109"/>
        <item x="33"/>
        <item x="0"/>
        <item x="9"/>
        <item x="93"/>
        <item x="81"/>
        <item x="78"/>
        <item x="76"/>
        <item x="51"/>
        <item x="74"/>
        <item x="6"/>
        <item x="66"/>
        <item x="39"/>
        <item x="58"/>
        <item x="38"/>
        <item x="22"/>
        <item x="83"/>
        <item x="12"/>
        <item x="86"/>
        <item x="16"/>
        <item x="57"/>
        <item x="37"/>
        <item x="52"/>
        <item x="14"/>
        <item x="90"/>
        <item x="15"/>
        <item x="65"/>
        <item x="64"/>
        <item m="1" x="110"/>
        <item x="88"/>
        <item x="5"/>
        <item x="67"/>
        <item x="45"/>
        <item x="49"/>
        <item x="34"/>
        <item x="27"/>
        <item x="94"/>
        <item x="53"/>
        <item x="25"/>
        <item x="54"/>
        <item x="72"/>
        <item x="73"/>
        <item x="36"/>
        <item x="56"/>
        <item t="default"/>
      </items>
    </pivotField>
    <pivotField showAll="0"/>
    <pivotField showAll="0"/>
    <pivotField axis="axisCol" showAll="0">
      <items count="4">
        <item x="2"/>
        <item x="0"/>
        <item x="1"/>
        <item t="default"/>
      </items>
    </pivotField>
    <pivotField axis="axisRow" showAll="0" sortType="descending">
      <items count="11">
        <item x="9"/>
        <item sd="0" x="8"/>
        <item sd="0" x="7"/>
        <item sd="0" x="3"/>
        <item sd="0" x="4"/>
        <item sd="0" x="6"/>
        <item sd="0" x="2"/>
        <item sd="0" x="1"/>
        <item sd="0" x="5"/>
        <item sd="0"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1"/>
    <field x="8"/>
    <field x="4"/>
  </rowFields>
  <rowItems count="49">
    <i>
      <x v="10"/>
    </i>
    <i r="1">
      <x v="7"/>
    </i>
    <i r="1">
      <x v="3"/>
    </i>
    <i r="1">
      <x v="6"/>
    </i>
    <i r="1">
      <x v="8"/>
    </i>
    <i r="1">
      <x v="9"/>
    </i>
    <i r="1">
      <x v="4"/>
    </i>
    <i r="1">
      <x v="5"/>
    </i>
    <i>
      <x v="13"/>
    </i>
    <i r="1">
      <x v="1"/>
    </i>
    <i r="1">
      <x v="9"/>
    </i>
    <i r="1">
      <x v="5"/>
    </i>
    <i r="1">
      <x v="4"/>
    </i>
    <i r="1">
      <x v="2"/>
    </i>
    <i r="1">
      <x v="3"/>
    </i>
    <i r="1">
      <x v="8"/>
    </i>
    <i>
      <x/>
    </i>
    <i r="1">
      <x v="5"/>
    </i>
    <i r="1">
      <x v="3"/>
    </i>
    <i r="1">
      <x v="2"/>
    </i>
    <i r="1">
      <x v="1"/>
    </i>
    <i>
      <x v="7"/>
    </i>
    <i r="1">
      <x/>
    </i>
    <i r="2">
      <x v="64"/>
    </i>
    <i r="1">
      <x v="1"/>
    </i>
    <i r="1">
      <x v="5"/>
    </i>
    <i r="1">
      <x v="9"/>
    </i>
    <i r="1">
      <x v="8"/>
    </i>
    <i>
      <x v="12"/>
    </i>
    <i r="1">
      <x v="6"/>
    </i>
    <i r="1">
      <x v="3"/>
    </i>
    <i r="1">
      <x v="4"/>
    </i>
    <i r="1">
      <x v="7"/>
    </i>
    <i r="1">
      <x v="9"/>
    </i>
    <i r="1">
      <x v="5"/>
    </i>
    <i>
      <x v="5"/>
    </i>
    <i r="1">
      <x v="3"/>
    </i>
    <i r="1">
      <x v="8"/>
    </i>
    <i r="1">
      <x v="9"/>
    </i>
    <i>
      <x v="14"/>
    </i>
    <i r="1">
      <x v="5"/>
    </i>
    <i r="1">
      <x v="9"/>
    </i>
    <i>
      <x v="4"/>
    </i>
    <i r="1">
      <x v="2"/>
    </i>
    <i r="1">
      <x v="3"/>
    </i>
    <i r="1">
      <x v="5"/>
    </i>
    <i>
      <x v="15"/>
    </i>
    <i r="1">
      <x v="9"/>
    </i>
    <i t="grand">
      <x/>
    </i>
  </rowItems>
  <colFields count="1">
    <field x="7"/>
  </colFields>
  <colItems count="4">
    <i>
      <x/>
    </i>
    <i>
      <x v="1"/>
    </i>
    <i>
      <x v="2"/>
    </i>
    <i t="grand">
      <x/>
    </i>
  </colItems>
  <pageFields count="1">
    <pageField fld="0" item="3" hier="-1"/>
  </pageFields>
  <dataFields count="1">
    <dataField name="Suma de 2025 S/" fld="20" baseField="0" baseItem="0" numFmtId="172"/>
  </dataFields>
  <formats count="119">
    <format dxfId="735">
      <pivotArea dataOnly="0" labelOnly="1" fieldPosition="0">
        <references count="1">
          <reference field="7" count="0"/>
        </references>
      </pivotArea>
    </format>
    <format dxfId="734">
      <pivotArea dataOnly="0" labelOnly="1" grandCol="1" outline="0" fieldPosition="0"/>
    </format>
    <format dxfId="733">
      <pivotArea dataOnly="0" labelOnly="1" grandCol="1" outline="0" fieldPosition="0"/>
    </format>
    <format dxfId="732">
      <pivotArea outline="0" collapsedLevelsAreSubtotals="1" fieldPosition="0"/>
    </format>
    <format dxfId="731">
      <pivotArea field="0" type="button" dataOnly="0" labelOnly="1" outline="0" axis="axisPage" fieldPosition="0"/>
    </format>
    <format dxfId="730">
      <pivotArea type="origin" dataOnly="0" labelOnly="1" outline="0" fieldPosition="0"/>
    </format>
    <format dxfId="729">
      <pivotArea field="1" type="button" dataOnly="0" labelOnly="1" outline="0" axis="axisRow" fieldPosition="0"/>
    </format>
    <format dxfId="728">
      <pivotArea dataOnly="0" labelOnly="1" fieldPosition="0">
        <references count="1">
          <reference field="1" count="0"/>
        </references>
      </pivotArea>
    </format>
    <format dxfId="727">
      <pivotArea dataOnly="0" labelOnly="1" grandRow="1" outline="0" fieldPosition="0"/>
    </format>
    <format dxfId="726">
      <pivotArea dataOnly="0" labelOnly="1" fieldPosition="0">
        <references count="2">
          <reference field="1" count="1" selected="0">
            <x v="0"/>
          </reference>
          <reference field="8" count="4">
            <x v="1"/>
            <x v="2"/>
            <x v="3"/>
            <x v="5"/>
          </reference>
        </references>
      </pivotArea>
    </format>
    <format dxfId="725">
      <pivotArea dataOnly="0" labelOnly="1" fieldPosition="0">
        <references count="2">
          <reference field="1" count="1" selected="0">
            <x v="1"/>
          </reference>
          <reference field="8" count="5">
            <x v="1"/>
            <x v="2"/>
            <x v="3"/>
            <x v="5"/>
            <x v="9"/>
          </reference>
        </references>
      </pivotArea>
    </format>
    <format dxfId="724">
      <pivotArea dataOnly="0" labelOnly="1" fieldPosition="0">
        <references count="2">
          <reference field="1" count="1" selected="0">
            <x v="2"/>
          </reference>
          <reference field="8" count="4">
            <x v="1"/>
            <x v="2"/>
            <x v="3"/>
            <x v="5"/>
          </reference>
        </references>
      </pivotArea>
    </format>
    <format dxfId="723">
      <pivotArea dataOnly="0" labelOnly="1" fieldPosition="0">
        <references count="2">
          <reference field="1" count="1" selected="0">
            <x v="3"/>
          </reference>
          <reference field="8" count="2">
            <x v="3"/>
            <x v="9"/>
          </reference>
        </references>
      </pivotArea>
    </format>
    <format dxfId="722">
      <pivotArea dataOnly="0" labelOnly="1" fieldPosition="0">
        <references count="2">
          <reference field="1" count="1" selected="0">
            <x v="4"/>
          </reference>
          <reference field="8" count="3">
            <x v="2"/>
            <x v="3"/>
            <x v="5"/>
          </reference>
        </references>
      </pivotArea>
    </format>
    <format dxfId="721">
      <pivotArea dataOnly="0" labelOnly="1" fieldPosition="0">
        <references count="2">
          <reference field="1" count="1" selected="0">
            <x v="5"/>
          </reference>
          <reference field="8" count="3">
            <x v="3"/>
            <x v="8"/>
            <x v="9"/>
          </reference>
        </references>
      </pivotArea>
    </format>
    <format dxfId="720">
      <pivotArea dataOnly="0" labelOnly="1" fieldPosition="0">
        <references count="2">
          <reference field="1" count="1" selected="0">
            <x v="6"/>
          </reference>
          <reference field="8" count="8">
            <x v="1"/>
            <x v="2"/>
            <x v="3"/>
            <x v="4"/>
            <x v="5"/>
            <x v="6"/>
            <x v="8"/>
            <x v="9"/>
          </reference>
        </references>
      </pivotArea>
    </format>
    <format dxfId="719">
      <pivotArea dataOnly="0" labelOnly="1" fieldPosition="0">
        <references count="2">
          <reference field="1" count="1" selected="0">
            <x v="7"/>
          </reference>
          <reference field="8" count="6">
            <x v="0"/>
            <x v="1"/>
            <x v="5"/>
            <x v="7"/>
            <x v="8"/>
            <x v="9"/>
          </reference>
        </references>
      </pivotArea>
    </format>
    <format dxfId="718">
      <pivotArea dataOnly="0" labelOnly="1" fieldPosition="0">
        <references count="2">
          <reference field="1" count="1" selected="0">
            <x v="8"/>
          </reference>
          <reference field="8" count="3">
            <x v="1"/>
            <x v="2"/>
            <x v="5"/>
          </reference>
        </references>
      </pivotArea>
    </format>
    <format dxfId="717">
      <pivotArea dataOnly="0" labelOnly="1" fieldPosition="0">
        <references count="2">
          <reference field="1" count="1" selected="0">
            <x v="9"/>
          </reference>
          <reference field="8" count="1">
            <x v="2"/>
          </reference>
        </references>
      </pivotArea>
    </format>
    <format dxfId="716">
      <pivotArea dataOnly="0" labelOnly="1" fieldPosition="0">
        <references count="2">
          <reference field="1" count="1" selected="0">
            <x v="10"/>
          </reference>
          <reference field="8" count="7">
            <x v="3"/>
            <x v="4"/>
            <x v="5"/>
            <x v="6"/>
            <x v="7"/>
            <x v="8"/>
            <x v="9"/>
          </reference>
        </references>
      </pivotArea>
    </format>
    <format dxfId="715">
      <pivotArea dataOnly="0" labelOnly="1" fieldPosition="0">
        <references count="2">
          <reference field="1" count="1" selected="0">
            <x v="11"/>
          </reference>
          <reference field="8" count="6">
            <x v="3"/>
            <x v="4"/>
            <x v="5"/>
            <x v="6"/>
            <x v="7"/>
            <x v="9"/>
          </reference>
        </references>
      </pivotArea>
    </format>
    <format dxfId="714">
      <pivotArea dataOnly="0" labelOnly="1" fieldPosition="0">
        <references count="2">
          <reference field="1" count="1" selected="0">
            <x v="12"/>
          </reference>
          <reference field="8" count="6">
            <x v="3"/>
            <x v="4"/>
            <x v="5"/>
            <x v="6"/>
            <x v="7"/>
            <x v="9"/>
          </reference>
        </references>
      </pivotArea>
    </format>
    <format dxfId="713">
      <pivotArea dataOnly="0" labelOnly="1" fieldPosition="0">
        <references count="2">
          <reference field="1" count="1" selected="0">
            <x v="13"/>
          </reference>
          <reference field="8" count="7">
            <x v="1"/>
            <x v="2"/>
            <x v="3"/>
            <x v="4"/>
            <x v="5"/>
            <x v="8"/>
            <x v="9"/>
          </reference>
        </references>
      </pivotArea>
    </format>
    <format dxfId="712">
      <pivotArea dataOnly="0" labelOnly="1" fieldPosition="0">
        <references count="2">
          <reference field="1" count="1" selected="0">
            <x v="14"/>
          </reference>
          <reference field="8" count="1">
            <x v="9"/>
          </reference>
        </references>
      </pivotArea>
    </format>
    <format dxfId="711">
      <pivotArea dataOnly="0" labelOnly="1" fieldPosition="0">
        <references count="2">
          <reference field="1" count="1" selected="0">
            <x v="15"/>
          </reference>
          <reference field="8" count="1">
            <x v="9"/>
          </reference>
        </references>
      </pivotArea>
    </format>
    <format dxfId="710">
      <pivotArea dataOnly="0" labelOnly="1" fieldPosition="0">
        <references count="1">
          <reference field="1" count="0"/>
        </references>
      </pivotArea>
    </format>
    <format dxfId="709">
      <pivotArea dataOnly="0" labelOnly="1" fieldPosition="0">
        <references count="2">
          <reference field="1" count="1" selected="0">
            <x v="0"/>
          </reference>
          <reference field="8" count="4">
            <x v="1"/>
            <x v="2"/>
            <x v="3"/>
            <x v="5"/>
          </reference>
        </references>
      </pivotArea>
    </format>
    <format dxfId="708">
      <pivotArea dataOnly="0" labelOnly="1" fieldPosition="0">
        <references count="2">
          <reference field="1" count="1" selected="0">
            <x v="2"/>
          </reference>
          <reference field="8" count="4">
            <x v="1"/>
            <x v="2"/>
            <x v="3"/>
            <x v="5"/>
          </reference>
        </references>
      </pivotArea>
    </format>
    <format dxfId="707">
      <pivotArea dataOnly="0" labelOnly="1" fieldPosition="0">
        <references count="2">
          <reference field="1" count="1" selected="0">
            <x v="6"/>
          </reference>
          <reference field="8" count="8">
            <x v="1"/>
            <x v="2"/>
            <x v="3"/>
            <x v="4"/>
            <x v="5"/>
            <x v="6"/>
            <x v="8"/>
            <x v="9"/>
          </reference>
        </references>
      </pivotArea>
    </format>
    <format dxfId="706">
      <pivotArea dataOnly="0" labelOnly="1" fieldPosition="0">
        <references count="2">
          <reference field="1" count="1" selected="0">
            <x v="7"/>
          </reference>
          <reference field="8" count="6">
            <x v="0"/>
            <x v="1"/>
            <x v="5"/>
            <x v="7"/>
            <x v="8"/>
            <x v="9"/>
          </reference>
        </references>
      </pivotArea>
    </format>
    <format dxfId="705">
      <pivotArea dataOnly="0" labelOnly="1" fieldPosition="0">
        <references count="2">
          <reference field="1" count="1" selected="0">
            <x v="8"/>
          </reference>
          <reference field="8" count="3">
            <x v="1"/>
            <x v="2"/>
            <x v="5"/>
          </reference>
        </references>
      </pivotArea>
    </format>
    <format dxfId="704">
      <pivotArea dataOnly="0" labelOnly="1" fieldPosition="0">
        <references count="2">
          <reference field="1" count="1" selected="0">
            <x v="9"/>
          </reference>
          <reference field="8" count="1">
            <x v="2"/>
          </reference>
        </references>
      </pivotArea>
    </format>
    <format dxfId="703">
      <pivotArea dataOnly="0" labelOnly="1" fieldPosition="0">
        <references count="2">
          <reference field="1" count="1" selected="0">
            <x v="13"/>
          </reference>
          <reference field="8" count="7">
            <x v="1"/>
            <x v="2"/>
            <x v="3"/>
            <x v="4"/>
            <x v="5"/>
            <x v="8"/>
            <x v="9"/>
          </reference>
        </references>
      </pivotArea>
    </format>
    <format dxfId="702">
      <pivotArea dataOnly="0" labelOnly="1" fieldPosition="0">
        <references count="2">
          <reference field="1" count="1" selected="0">
            <x v="15"/>
          </reference>
          <reference field="8" count="1">
            <x v="9"/>
          </reference>
        </references>
      </pivotArea>
    </format>
    <format dxfId="701">
      <pivotArea dataOnly="0" labelOnly="1" fieldPosition="0">
        <references count="1">
          <reference field="1" count="0"/>
        </references>
      </pivotArea>
    </format>
    <format dxfId="700">
      <pivotArea dataOnly="0" labelOnly="1" fieldPosition="0">
        <references count="2">
          <reference field="1" count="1" selected="0">
            <x v="0"/>
          </reference>
          <reference field="8" count="4">
            <x v="1"/>
            <x v="2"/>
            <x v="3"/>
            <x v="5"/>
          </reference>
        </references>
      </pivotArea>
    </format>
    <format dxfId="699">
      <pivotArea dataOnly="0" labelOnly="1" fieldPosition="0">
        <references count="2">
          <reference field="1" count="1" selected="0">
            <x v="2"/>
          </reference>
          <reference field="8" count="4">
            <x v="1"/>
            <x v="2"/>
            <x v="3"/>
            <x v="5"/>
          </reference>
        </references>
      </pivotArea>
    </format>
    <format dxfId="698">
      <pivotArea dataOnly="0" labelOnly="1" fieldPosition="0">
        <references count="2">
          <reference field="1" count="1" selected="0">
            <x v="6"/>
          </reference>
          <reference field="8" count="8">
            <x v="1"/>
            <x v="2"/>
            <x v="3"/>
            <x v="4"/>
            <x v="5"/>
            <x v="6"/>
            <x v="8"/>
            <x v="9"/>
          </reference>
        </references>
      </pivotArea>
    </format>
    <format dxfId="697">
      <pivotArea dataOnly="0" labelOnly="1" fieldPosition="0">
        <references count="2">
          <reference field="1" count="1" selected="0">
            <x v="7"/>
          </reference>
          <reference field="8" count="6">
            <x v="0"/>
            <x v="1"/>
            <x v="5"/>
            <x v="7"/>
            <x v="8"/>
            <x v="9"/>
          </reference>
        </references>
      </pivotArea>
    </format>
    <format dxfId="696">
      <pivotArea dataOnly="0" labelOnly="1" fieldPosition="0">
        <references count="2">
          <reference field="1" count="1" selected="0">
            <x v="8"/>
          </reference>
          <reference field="8" count="3">
            <x v="1"/>
            <x v="2"/>
            <x v="5"/>
          </reference>
        </references>
      </pivotArea>
    </format>
    <format dxfId="695">
      <pivotArea dataOnly="0" labelOnly="1" fieldPosition="0">
        <references count="2">
          <reference field="1" count="1" selected="0">
            <x v="9"/>
          </reference>
          <reference field="8" count="1">
            <x v="2"/>
          </reference>
        </references>
      </pivotArea>
    </format>
    <format dxfId="694">
      <pivotArea dataOnly="0" labelOnly="1" fieldPosition="0">
        <references count="2">
          <reference field="1" count="1" selected="0">
            <x v="13"/>
          </reference>
          <reference field="8" count="7">
            <x v="1"/>
            <x v="2"/>
            <x v="3"/>
            <x v="4"/>
            <x v="5"/>
            <x v="8"/>
            <x v="9"/>
          </reference>
        </references>
      </pivotArea>
    </format>
    <format dxfId="693">
      <pivotArea dataOnly="0" labelOnly="1" fieldPosition="0">
        <references count="2">
          <reference field="1" count="1" selected="0">
            <x v="15"/>
          </reference>
          <reference field="8" count="1">
            <x v="9"/>
          </reference>
        </references>
      </pivotArea>
    </format>
    <format dxfId="692">
      <pivotArea field="0" type="button" dataOnly="0" labelOnly="1" outline="0" axis="axisPage" fieldPosition="0"/>
    </format>
    <format dxfId="691">
      <pivotArea type="origin" dataOnly="0" labelOnly="1" outline="0" fieldPosition="0"/>
    </format>
    <format dxfId="690">
      <pivotArea field="1" type="button" dataOnly="0" labelOnly="1" outline="0" axis="axisRow" fieldPosition="0"/>
    </format>
    <format dxfId="689">
      <pivotArea dataOnly="0" labelOnly="1" fieldPosition="0">
        <references count="1">
          <reference field="1" count="9">
            <x v="1"/>
            <x v="3"/>
            <x v="4"/>
            <x v="5"/>
            <x v="7"/>
            <x v="10"/>
            <x v="11"/>
            <x v="12"/>
            <x v="14"/>
          </reference>
        </references>
      </pivotArea>
    </format>
    <format dxfId="688">
      <pivotArea dataOnly="0" labelOnly="1" grandRow="1" outline="0" fieldPosition="0"/>
    </format>
    <format dxfId="687">
      <pivotArea dataOnly="0" labelOnly="1" fieldPosition="0">
        <references count="2">
          <reference field="1" count="1" selected="0">
            <x v="10"/>
          </reference>
          <reference field="8" count="7">
            <x v="3"/>
            <x v="4"/>
            <x v="5"/>
            <x v="6"/>
            <x v="7"/>
            <x v="8"/>
            <x v="9"/>
          </reference>
        </references>
      </pivotArea>
    </format>
    <format dxfId="686">
      <pivotArea dataOnly="0" labelOnly="1" fieldPosition="0">
        <references count="2">
          <reference field="1" count="1" selected="0">
            <x v="7"/>
          </reference>
          <reference field="8" count="5">
            <x v="1"/>
            <x v="5"/>
            <x v="7"/>
            <x v="8"/>
            <x v="9"/>
          </reference>
        </references>
      </pivotArea>
    </format>
    <format dxfId="685">
      <pivotArea dataOnly="0" labelOnly="1" fieldPosition="0">
        <references count="2">
          <reference field="1" count="1" selected="0">
            <x v="1"/>
          </reference>
          <reference field="8" count="5">
            <x v="1"/>
            <x v="2"/>
            <x v="3"/>
            <x v="5"/>
            <x v="9"/>
          </reference>
        </references>
      </pivotArea>
    </format>
    <format dxfId="684">
      <pivotArea dataOnly="0" labelOnly="1" fieldPosition="0">
        <references count="2">
          <reference field="1" count="1" selected="0">
            <x v="5"/>
          </reference>
          <reference field="8" count="3">
            <x v="3"/>
            <x v="8"/>
            <x v="9"/>
          </reference>
        </references>
      </pivotArea>
    </format>
    <format dxfId="683">
      <pivotArea dataOnly="0" labelOnly="1" fieldPosition="0">
        <references count="2">
          <reference field="1" count="1" selected="0">
            <x v="12"/>
          </reference>
          <reference field="8" count="6">
            <x v="3"/>
            <x v="4"/>
            <x v="5"/>
            <x v="6"/>
            <x v="7"/>
            <x v="9"/>
          </reference>
        </references>
      </pivotArea>
    </format>
    <format dxfId="682">
      <pivotArea dataOnly="0" labelOnly="1" fieldPosition="0">
        <references count="2">
          <reference field="1" count="1" selected="0">
            <x v="11"/>
          </reference>
          <reference field="8" count="6">
            <x v="3"/>
            <x v="4"/>
            <x v="5"/>
            <x v="6"/>
            <x v="7"/>
            <x v="9"/>
          </reference>
        </references>
      </pivotArea>
    </format>
    <format dxfId="681">
      <pivotArea dataOnly="0" labelOnly="1" fieldPosition="0">
        <references count="2">
          <reference field="1" count="1" selected="0">
            <x v="14"/>
          </reference>
          <reference field="8" count="1">
            <x v="9"/>
          </reference>
        </references>
      </pivotArea>
    </format>
    <format dxfId="680">
      <pivotArea dataOnly="0" labelOnly="1" fieldPosition="0">
        <references count="2">
          <reference field="1" count="1" selected="0">
            <x v="4"/>
          </reference>
          <reference field="8" count="3">
            <x v="2"/>
            <x v="3"/>
            <x v="5"/>
          </reference>
        </references>
      </pivotArea>
    </format>
    <format dxfId="679">
      <pivotArea dataOnly="0" labelOnly="1" fieldPosition="0">
        <references count="2">
          <reference field="1" count="1" selected="0">
            <x v="3"/>
          </reference>
          <reference field="8" count="2">
            <x v="3"/>
            <x v="9"/>
          </reference>
        </references>
      </pivotArea>
    </format>
    <format dxfId="678">
      <pivotArea type="origin" dataOnly="0" labelOnly="1" outline="0" fieldPosition="0"/>
    </format>
    <format dxfId="677">
      <pivotArea field="1" type="button" dataOnly="0" labelOnly="1" outline="0" axis="axisRow" fieldPosition="0"/>
    </format>
    <format dxfId="676">
      <pivotArea dataOnly="0" labelOnly="1" fieldPosition="0">
        <references count="1">
          <reference field="1" count="9">
            <x v="1"/>
            <x v="3"/>
            <x v="4"/>
            <x v="5"/>
            <x v="7"/>
            <x v="10"/>
            <x v="11"/>
            <x v="12"/>
            <x v="14"/>
          </reference>
        </references>
      </pivotArea>
    </format>
    <format dxfId="675">
      <pivotArea dataOnly="0" labelOnly="1" grandRow="1" outline="0" fieldPosition="0"/>
    </format>
    <format dxfId="674">
      <pivotArea dataOnly="0" labelOnly="1" fieldPosition="0">
        <references count="2">
          <reference field="1" count="1" selected="0">
            <x v="10"/>
          </reference>
          <reference field="8" count="7">
            <x v="3"/>
            <x v="4"/>
            <x v="5"/>
            <x v="6"/>
            <x v="7"/>
            <x v="8"/>
            <x v="9"/>
          </reference>
        </references>
      </pivotArea>
    </format>
    <format dxfId="673">
      <pivotArea dataOnly="0" labelOnly="1" fieldPosition="0">
        <references count="2">
          <reference field="1" count="1" selected="0">
            <x v="7"/>
          </reference>
          <reference field="8" count="5">
            <x v="1"/>
            <x v="5"/>
            <x v="7"/>
            <x v="8"/>
            <x v="9"/>
          </reference>
        </references>
      </pivotArea>
    </format>
    <format dxfId="672">
      <pivotArea dataOnly="0" labelOnly="1" fieldPosition="0">
        <references count="2">
          <reference field="1" count="1" selected="0">
            <x v="1"/>
          </reference>
          <reference field="8" count="5">
            <x v="1"/>
            <x v="2"/>
            <x v="3"/>
            <x v="5"/>
            <x v="9"/>
          </reference>
        </references>
      </pivotArea>
    </format>
    <format dxfId="671">
      <pivotArea dataOnly="0" labelOnly="1" fieldPosition="0">
        <references count="2">
          <reference field="1" count="1" selected="0">
            <x v="5"/>
          </reference>
          <reference field="8" count="3">
            <x v="3"/>
            <x v="8"/>
            <x v="9"/>
          </reference>
        </references>
      </pivotArea>
    </format>
    <format dxfId="670">
      <pivotArea dataOnly="0" labelOnly="1" fieldPosition="0">
        <references count="2">
          <reference field="1" count="1" selected="0">
            <x v="12"/>
          </reference>
          <reference field="8" count="6">
            <x v="3"/>
            <x v="4"/>
            <x v="5"/>
            <x v="6"/>
            <x v="7"/>
            <x v="9"/>
          </reference>
        </references>
      </pivotArea>
    </format>
    <format dxfId="669">
      <pivotArea dataOnly="0" labelOnly="1" fieldPosition="0">
        <references count="2">
          <reference field="1" count="1" selected="0">
            <x v="11"/>
          </reference>
          <reference field="8" count="6">
            <x v="3"/>
            <x v="4"/>
            <x v="5"/>
            <x v="6"/>
            <x v="7"/>
            <x v="9"/>
          </reference>
        </references>
      </pivotArea>
    </format>
    <format dxfId="668">
      <pivotArea dataOnly="0" labelOnly="1" fieldPosition="0">
        <references count="2">
          <reference field="1" count="1" selected="0">
            <x v="14"/>
          </reference>
          <reference field="8" count="1">
            <x v="9"/>
          </reference>
        </references>
      </pivotArea>
    </format>
    <format dxfId="667">
      <pivotArea dataOnly="0" labelOnly="1" fieldPosition="0">
        <references count="2">
          <reference field="1" count="1" selected="0">
            <x v="4"/>
          </reference>
          <reference field="8" count="3">
            <x v="2"/>
            <x v="3"/>
            <x v="5"/>
          </reference>
        </references>
      </pivotArea>
    </format>
    <format dxfId="666">
      <pivotArea dataOnly="0" labelOnly="1" fieldPosition="0">
        <references count="2">
          <reference field="1" count="1" selected="0">
            <x v="3"/>
          </reference>
          <reference field="8" count="2">
            <x v="3"/>
            <x v="9"/>
          </reference>
        </references>
      </pivotArea>
    </format>
    <format dxfId="665">
      <pivotArea field="1" type="button" dataOnly="0" labelOnly="1" outline="0" axis="axisRow" fieldPosition="0"/>
    </format>
    <format dxfId="664">
      <pivotArea field="0" type="button" dataOnly="0" labelOnly="1" outline="0" axis="axisPage" fieldPosition="0"/>
    </format>
    <format dxfId="663">
      <pivotArea field="0" type="button" dataOnly="0" labelOnly="1" outline="0" axis="axisPage" fieldPosition="0"/>
    </format>
    <format dxfId="662">
      <pivotArea dataOnly="0" labelOnly="1" outline="0" fieldPosition="0">
        <references count="1">
          <reference field="0" count="1">
            <x v="3"/>
          </reference>
        </references>
      </pivotArea>
    </format>
    <format dxfId="661">
      <pivotArea collapsedLevelsAreSubtotals="1" fieldPosition="0">
        <references count="1">
          <reference field="1" count="1">
            <x v="10"/>
          </reference>
        </references>
      </pivotArea>
    </format>
    <format dxfId="660">
      <pivotArea collapsedLevelsAreSubtotals="1" fieldPosition="0">
        <references count="2">
          <reference field="1" count="1" selected="0">
            <x v="10"/>
          </reference>
          <reference field="8" count="1">
            <x v="7"/>
          </reference>
        </references>
      </pivotArea>
    </format>
    <format dxfId="659">
      <pivotArea collapsedLevelsAreSubtotals="1" fieldPosition="0">
        <references count="2">
          <reference field="1" count="1" selected="0">
            <x v="10"/>
          </reference>
          <reference field="8" count="1">
            <x v="3"/>
          </reference>
        </references>
      </pivotArea>
    </format>
    <format dxfId="658">
      <pivotArea collapsedLevelsAreSubtotals="1" fieldPosition="0">
        <references count="2">
          <reference field="1" count="1" selected="0">
            <x v="10"/>
          </reference>
          <reference field="8" count="1">
            <x v="6"/>
          </reference>
        </references>
      </pivotArea>
    </format>
    <format dxfId="657">
      <pivotArea collapsedLevelsAreSubtotals="1" fieldPosition="0">
        <references count="2">
          <reference field="1" count="1" selected="0">
            <x v="10"/>
          </reference>
          <reference field="8" count="1">
            <x v="8"/>
          </reference>
        </references>
      </pivotArea>
    </format>
    <format dxfId="656">
      <pivotArea collapsedLevelsAreSubtotals="1" fieldPosition="0">
        <references count="2">
          <reference field="1" count="1" selected="0">
            <x v="10"/>
          </reference>
          <reference field="8" count="1">
            <x v="9"/>
          </reference>
        </references>
      </pivotArea>
    </format>
    <format dxfId="655">
      <pivotArea collapsedLevelsAreSubtotals="1" fieldPosition="0">
        <references count="2">
          <reference field="1" count="1" selected="0">
            <x v="10"/>
          </reference>
          <reference field="8" count="1">
            <x v="4"/>
          </reference>
        </references>
      </pivotArea>
    </format>
    <format dxfId="654">
      <pivotArea collapsedLevelsAreSubtotals="1" fieldPosition="0">
        <references count="2">
          <reference field="1" count="1" selected="0">
            <x v="10"/>
          </reference>
          <reference field="8" count="1">
            <x v="5"/>
          </reference>
        </references>
      </pivotArea>
    </format>
    <format dxfId="653">
      <pivotArea collapsedLevelsAreSubtotals="1" fieldPosition="0">
        <references count="1">
          <reference field="1" count="1">
            <x v="13"/>
          </reference>
        </references>
      </pivotArea>
    </format>
    <format dxfId="652">
      <pivotArea collapsedLevelsAreSubtotals="1" fieldPosition="0">
        <references count="2">
          <reference field="1" count="1" selected="0">
            <x v="13"/>
          </reference>
          <reference field="8" count="1">
            <x v="1"/>
          </reference>
        </references>
      </pivotArea>
    </format>
    <format dxfId="651">
      <pivotArea collapsedLevelsAreSubtotals="1" fieldPosition="0">
        <references count="2">
          <reference field="1" count="1" selected="0">
            <x v="13"/>
          </reference>
          <reference field="8" count="1">
            <x v="9"/>
          </reference>
        </references>
      </pivotArea>
    </format>
    <format dxfId="650">
      <pivotArea collapsedLevelsAreSubtotals="1" fieldPosition="0">
        <references count="2">
          <reference field="1" count="1" selected="0">
            <x v="13"/>
          </reference>
          <reference field="8" count="1">
            <x v="5"/>
          </reference>
        </references>
      </pivotArea>
    </format>
    <format dxfId="649">
      <pivotArea collapsedLevelsAreSubtotals="1" fieldPosition="0">
        <references count="2">
          <reference field="1" count="1" selected="0">
            <x v="13"/>
          </reference>
          <reference field="8" count="1">
            <x v="4"/>
          </reference>
        </references>
      </pivotArea>
    </format>
    <format dxfId="648">
      <pivotArea collapsedLevelsAreSubtotals="1" fieldPosition="0">
        <references count="2">
          <reference field="1" count="1" selected="0">
            <x v="13"/>
          </reference>
          <reference field="8" count="1">
            <x v="2"/>
          </reference>
        </references>
      </pivotArea>
    </format>
    <format dxfId="647">
      <pivotArea collapsedLevelsAreSubtotals="1" fieldPosition="0">
        <references count="2">
          <reference field="1" count="1" selected="0">
            <x v="13"/>
          </reference>
          <reference field="8" count="1">
            <x v="3"/>
          </reference>
        </references>
      </pivotArea>
    </format>
    <format dxfId="646">
      <pivotArea collapsedLevelsAreSubtotals="1" fieldPosition="0">
        <references count="2">
          <reference field="1" count="1" selected="0">
            <x v="13"/>
          </reference>
          <reference field="8" count="1">
            <x v="8"/>
          </reference>
        </references>
      </pivotArea>
    </format>
    <format dxfId="645">
      <pivotArea collapsedLevelsAreSubtotals="1" fieldPosition="0">
        <references count="1">
          <reference field="1" count="1">
            <x v="0"/>
          </reference>
        </references>
      </pivotArea>
    </format>
    <format dxfId="644">
      <pivotArea collapsedLevelsAreSubtotals="1" fieldPosition="0">
        <references count="2">
          <reference field="1" count="1" selected="0">
            <x v="0"/>
          </reference>
          <reference field="8" count="1">
            <x v="5"/>
          </reference>
        </references>
      </pivotArea>
    </format>
    <format dxfId="643">
      <pivotArea collapsedLevelsAreSubtotals="1" fieldPosition="0">
        <references count="2">
          <reference field="1" count="1" selected="0">
            <x v="0"/>
          </reference>
          <reference field="8" count="1">
            <x v="3"/>
          </reference>
        </references>
      </pivotArea>
    </format>
    <format dxfId="642">
      <pivotArea collapsedLevelsAreSubtotals="1" fieldPosition="0">
        <references count="2">
          <reference field="1" count="1" selected="0">
            <x v="0"/>
          </reference>
          <reference field="8" count="1">
            <x v="2"/>
          </reference>
        </references>
      </pivotArea>
    </format>
    <format dxfId="641">
      <pivotArea collapsedLevelsAreSubtotals="1" fieldPosition="0">
        <references count="2">
          <reference field="1" count="1" selected="0">
            <x v="0"/>
          </reference>
          <reference field="8" count="1">
            <x v="1"/>
          </reference>
        </references>
      </pivotArea>
    </format>
    <format dxfId="640">
      <pivotArea collapsedLevelsAreSubtotals="1" fieldPosition="0">
        <references count="1">
          <reference field="1" count="1">
            <x v="7"/>
          </reference>
        </references>
      </pivotArea>
    </format>
    <format dxfId="639">
      <pivotArea collapsedLevelsAreSubtotals="1" fieldPosition="0">
        <references count="2">
          <reference field="1" count="1" selected="0">
            <x v="7"/>
          </reference>
          <reference field="8" count="1">
            <x v="5"/>
          </reference>
        </references>
      </pivotArea>
    </format>
    <format dxfId="638">
      <pivotArea collapsedLevelsAreSubtotals="1" fieldPosition="0">
        <references count="2">
          <reference field="1" count="1" selected="0">
            <x v="7"/>
          </reference>
          <reference field="8" count="1">
            <x v="1"/>
          </reference>
        </references>
      </pivotArea>
    </format>
    <format dxfId="637">
      <pivotArea collapsedLevelsAreSubtotals="1" fieldPosition="0">
        <references count="2">
          <reference field="1" count="1" selected="0">
            <x v="7"/>
          </reference>
          <reference field="8" count="1">
            <x v="9"/>
          </reference>
        </references>
      </pivotArea>
    </format>
    <format dxfId="636">
      <pivotArea collapsedLevelsAreSubtotals="1" fieldPosition="0">
        <references count="2">
          <reference field="1" count="1" selected="0">
            <x v="7"/>
          </reference>
          <reference field="8" count="1">
            <x v="8"/>
          </reference>
        </references>
      </pivotArea>
    </format>
    <format dxfId="635">
      <pivotArea collapsedLevelsAreSubtotals="1" fieldPosition="0">
        <references count="1">
          <reference field="1" count="1">
            <x v="12"/>
          </reference>
        </references>
      </pivotArea>
    </format>
    <format dxfId="634">
      <pivotArea collapsedLevelsAreSubtotals="1" fieldPosition="0">
        <references count="2">
          <reference field="1" count="1" selected="0">
            <x v="12"/>
          </reference>
          <reference field="8" count="1">
            <x v="6"/>
          </reference>
        </references>
      </pivotArea>
    </format>
    <format dxfId="633">
      <pivotArea collapsedLevelsAreSubtotals="1" fieldPosition="0">
        <references count="2">
          <reference field="1" count="1" selected="0">
            <x v="12"/>
          </reference>
          <reference field="8" count="1">
            <x v="3"/>
          </reference>
        </references>
      </pivotArea>
    </format>
    <format dxfId="632">
      <pivotArea collapsedLevelsAreSubtotals="1" fieldPosition="0">
        <references count="2">
          <reference field="1" count="1" selected="0">
            <x v="12"/>
          </reference>
          <reference field="8" count="1">
            <x v="4"/>
          </reference>
        </references>
      </pivotArea>
    </format>
    <format dxfId="631">
      <pivotArea collapsedLevelsAreSubtotals="1" fieldPosition="0">
        <references count="2">
          <reference field="1" count="1" selected="0">
            <x v="12"/>
          </reference>
          <reference field="8" count="1">
            <x v="7"/>
          </reference>
        </references>
      </pivotArea>
    </format>
    <format dxfId="630">
      <pivotArea collapsedLevelsAreSubtotals="1" fieldPosition="0">
        <references count="2">
          <reference field="1" count="1" selected="0">
            <x v="12"/>
          </reference>
          <reference field="8" count="1">
            <x v="9"/>
          </reference>
        </references>
      </pivotArea>
    </format>
    <format dxfId="629">
      <pivotArea collapsedLevelsAreSubtotals="1" fieldPosition="0">
        <references count="2">
          <reference field="1" count="1" selected="0">
            <x v="12"/>
          </reference>
          <reference field="8" count="1">
            <x v="5"/>
          </reference>
        </references>
      </pivotArea>
    </format>
    <format dxfId="628">
      <pivotArea collapsedLevelsAreSubtotals="1" fieldPosition="0">
        <references count="1">
          <reference field="1" count="1">
            <x v="14"/>
          </reference>
        </references>
      </pivotArea>
    </format>
    <format dxfId="627">
      <pivotArea collapsedLevelsAreSubtotals="1" fieldPosition="0">
        <references count="2">
          <reference field="1" count="1" selected="0">
            <x v="14"/>
          </reference>
          <reference field="8" count="1">
            <x v="9"/>
          </reference>
        </references>
      </pivotArea>
    </format>
    <format dxfId="626">
      <pivotArea collapsedLevelsAreSubtotals="1" fieldPosition="0">
        <references count="1">
          <reference field="1" count="1">
            <x v="5"/>
          </reference>
        </references>
      </pivotArea>
    </format>
    <format dxfId="625">
      <pivotArea collapsedLevelsAreSubtotals="1" fieldPosition="0">
        <references count="2">
          <reference field="1" count="1" selected="0">
            <x v="5"/>
          </reference>
          <reference field="8" count="1">
            <x v="3"/>
          </reference>
        </references>
      </pivotArea>
    </format>
    <format dxfId="624">
      <pivotArea collapsedLevelsAreSubtotals="1" fieldPosition="0">
        <references count="2">
          <reference field="1" count="1" selected="0">
            <x v="5"/>
          </reference>
          <reference field="8" count="1">
            <x v="8"/>
          </reference>
        </references>
      </pivotArea>
    </format>
    <format dxfId="623">
      <pivotArea collapsedLevelsAreSubtotals="1" fieldPosition="0">
        <references count="2">
          <reference field="1" count="1" selected="0">
            <x v="5"/>
          </reference>
          <reference field="8" count="1">
            <x v="9"/>
          </reference>
        </references>
      </pivotArea>
    </format>
    <format dxfId="622">
      <pivotArea collapsedLevelsAreSubtotals="1" fieldPosition="0">
        <references count="1">
          <reference field="1" count="1">
            <x v="15"/>
          </reference>
        </references>
      </pivotArea>
    </format>
    <format dxfId="621">
      <pivotArea collapsedLevelsAreSubtotals="1" fieldPosition="0">
        <references count="2">
          <reference field="1" count="1" selected="0">
            <x v="15"/>
          </reference>
          <reference field="8" count="1">
            <x v="9"/>
          </reference>
        </references>
      </pivotArea>
    </format>
    <format dxfId="620">
      <pivotArea collapsedLevelsAreSubtotals="1" fieldPosition="0">
        <references count="1">
          <reference field="1" count="1">
            <x v="4"/>
          </reference>
        </references>
      </pivotArea>
    </format>
    <format dxfId="619">
      <pivotArea collapsedLevelsAreSubtotals="1" fieldPosition="0">
        <references count="2">
          <reference field="1" count="1" selected="0">
            <x v="4"/>
          </reference>
          <reference field="8" count="1">
            <x v="2"/>
          </reference>
        </references>
      </pivotArea>
    </format>
    <format dxfId="618">
      <pivotArea collapsedLevelsAreSubtotals="1" fieldPosition="0">
        <references count="2">
          <reference field="1" count="1" selected="0">
            <x v="4"/>
          </reference>
          <reference field="8" count="1">
            <x v="3"/>
          </reference>
        </references>
      </pivotArea>
    </format>
    <format dxfId="617">
      <pivotArea collapsedLevelsAreSubtotals="1" fieldPosition="0">
        <references count="2">
          <reference field="1" count="1" selected="0">
            <x v="4"/>
          </reference>
          <reference field="8" count="1">
            <x v="5"/>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TablaDinámica21" cacheId="3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SAs / COMPONENTES">
  <location ref="A58:E111" firstHeaderRow="1" firstDataRow="2" firstDataCol="1" rowPageCount="1" colPageCount="1"/>
  <pivotFields count="35">
    <pivotField axis="axisPage" showAll="0">
      <items count="7">
        <item m="1" x="5"/>
        <item x="3"/>
        <item x="1"/>
        <item x="2"/>
        <item x="0"/>
        <item x="4"/>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axis="axisRow" showAll="0">
      <items count="112">
        <item x="30"/>
        <item x="85"/>
        <item x="61"/>
        <item x="62"/>
        <item x="92"/>
        <item x="70"/>
        <item x="46"/>
        <item x="40"/>
        <item x="63"/>
        <item x="75"/>
        <item x="1"/>
        <item x="68"/>
        <item x="59"/>
        <item x="7"/>
        <item x="21"/>
        <item x="18"/>
        <item x="29"/>
        <item x="97"/>
        <item x="99"/>
        <item x="13"/>
        <item x="60"/>
        <item x="20"/>
        <item x="44"/>
        <item x="89"/>
        <item x="42"/>
        <item x="69"/>
        <item x="100"/>
        <item x="91"/>
        <item x="31"/>
        <item x="3"/>
        <item x="35"/>
        <item x="84"/>
        <item x="23"/>
        <item x="41"/>
        <item x="11"/>
        <item x="80"/>
        <item m="1" x="107"/>
        <item x="96"/>
        <item x="103"/>
        <item x="104"/>
        <item x="47"/>
        <item m="1" x="106"/>
        <item x="24"/>
        <item x="17"/>
        <item x="10"/>
        <item x="79"/>
        <item x="98"/>
        <item x="105"/>
        <item m="1" x="108"/>
        <item x="101"/>
        <item x="102"/>
        <item x="77"/>
        <item x="87"/>
        <item x="95"/>
        <item x="8"/>
        <item x="55"/>
        <item x="32"/>
        <item x="28"/>
        <item x="26"/>
        <item x="43"/>
        <item x="4"/>
        <item x="2"/>
        <item x="50"/>
        <item x="71"/>
        <item x="48"/>
        <item x="19"/>
        <item x="82"/>
        <item m="1" x="109"/>
        <item x="33"/>
        <item x="0"/>
        <item x="9"/>
        <item x="93"/>
        <item x="81"/>
        <item x="78"/>
        <item x="76"/>
        <item x="51"/>
        <item x="74"/>
        <item x="6"/>
        <item x="66"/>
        <item x="39"/>
        <item x="58"/>
        <item x="38"/>
        <item x="22"/>
        <item x="83"/>
        <item x="12"/>
        <item x="86"/>
        <item x="16"/>
        <item x="57"/>
        <item x="37"/>
        <item x="52"/>
        <item x="14"/>
        <item x="90"/>
        <item x="15"/>
        <item x="65"/>
        <item x="64"/>
        <item m="1" x="110"/>
        <item x="88"/>
        <item x="5"/>
        <item x="67"/>
        <item x="45"/>
        <item x="49"/>
        <item x="34"/>
        <item x="27"/>
        <item x="94"/>
        <item x="53"/>
        <item x="25"/>
        <item x="54"/>
        <item x="72"/>
        <item x="73"/>
        <item x="36"/>
        <item x="56"/>
        <item t="default"/>
      </items>
    </pivotField>
    <pivotField showAll="0"/>
    <pivotField showAll="0"/>
    <pivotField axis="axisCol" showAll="0">
      <items count="4">
        <item x="2"/>
        <item x="0"/>
        <item x="1"/>
        <item t="default"/>
      </items>
    </pivotField>
    <pivotField axis="axisRow" showAll="0" sortType="descending">
      <items count="11">
        <item x="9"/>
        <item sd="0" x="8"/>
        <item sd="0" x="7"/>
        <item sd="0" x="3"/>
        <item sd="0" x="4"/>
        <item sd="0" x="6"/>
        <item sd="0" x="2"/>
        <item sd="0" x="1"/>
        <item sd="0" x="5"/>
        <item sd="0"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1"/>
    <field x="8"/>
    <field x="4"/>
  </rowFields>
  <rowItems count="52">
    <i>
      <x v="10"/>
    </i>
    <i r="1">
      <x v="3"/>
    </i>
    <i r="1">
      <x v="7"/>
    </i>
    <i r="1">
      <x v="6"/>
    </i>
    <i r="1">
      <x v="9"/>
    </i>
    <i r="1">
      <x v="4"/>
    </i>
    <i r="1">
      <x v="8"/>
    </i>
    <i r="1">
      <x v="5"/>
    </i>
    <i>
      <x v="7"/>
    </i>
    <i r="1">
      <x/>
    </i>
    <i r="2">
      <x v="64"/>
    </i>
    <i r="1">
      <x v="1"/>
    </i>
    <i r="1">
      <x v="5"/>
    </i>
    <i r="1">
      <x v="9"/>
    </i>
    <i r="1">
      <x v="8"/>
    </i>
    <i>
      <x v="13"/>
    </i>
    <i r="1">
      <x v="1"/>
    </i>
    <i r="1">
      <x v="4"/>
    </i>
    <i r="1">
      <x v="9"/>
    </i>
    <i r="1">
      <x v="2"/>
    </i>
    <i r="1">
      <x v="5"/>
    </i>
    <i r="1">
      <x v="8"/>
    </i>
    <i r="1">
      <x v="3"/>
    </i>
    <i>
      <x v="12"/>
    </i>
    <i r="1">
      <x v="6"/>
    </i>
    <i r="1">
      <x v="4"/>
    </i>
    <i r="1">
      <x v="3"/>
    </i>
    <i r="1">
      <x v="7"/>
    </i>
    <i r="1">
      <x v="9"/>
    </i>
    <i r="1">
      <x v="5"/>
    </i>
    <i>
      <x v="11"/>
    </i>
    <i r="1">
      <x v="3"/>
    </i>
    <i r="1">
      <x v="6"/>
    </i>
    <i r="1">
      <x v="4"/>
    </i>
    <i r="1">
      <x v="9"/>
    </i>
    <i r="1">
      <x v="7"/>
    </i>
    <i r="1">
      <x v="5"/>
    </i>
    <i>
      <x v="2"/>
    </i>
    <i r="1">
      <x v="3"/>
    </i>
    <i r="1">
      <x v="5"/>
    </i>
    <i r="1">
      <x v="2"/>
    </i>
    <i r="1">
      <x v="1"/>
    </i>
    <i>
      <x v="14"/>
    </i>
    <i r="1">
      <x v="5"/>
    </i>
    <i r="1">
      <x v="9"/>
    </i>
    <i>
      <x v="4"/>
    </i>
    <i r="1">
      <x v="2"/>
    </i>
    <i r="1">
      <x v="3"/>
    </i>
    <i r="1">
      <x v="5"/>
    </i>
    <i>
      <x v="15"/>
    </i>
    <i r="1">
      <x v="9"/>
    </i>
    <i t="grand">
      <x/>
    </i>
  </rowItems>
  <colFields count="1">
    <field x="7"/>
  </colFields>
  <colItems count="4">
    <i>
      <x/>
    </i>
    <i>
      <x v="1"/>
    </i>
    <i>
      <x v="2"/>
    </i>
    <i t="grand">
      <x/>
    </i>
  </colItems>
  <pageFields count="1">
    <pageField fld="0" item="2" hier="-1"/>
  </pageFields>
  <dataFields count="1">
    <dataField name="Suma de 2025 S/" fld="20" baseField="0" baseItem="0" numFmtId="172"/>
  </dataFields>
  <formats count="121">
    <format dxfId="856">
      <pivotArea dataOnly="0" labelOnly="1" fieldPosition="0">
        <references count="1">
          <reference field="7" count="0"/>
        </references>
      </pivotArea>
    </format>
    <format dxfId="855">
      <pivotArea dataOnly="0" labelOnly="1" grandCol="1" outline="0" fieldPosition="0"/>
    </format>
    <format dxfId="854">
      <pivotArea dataOnly="0" labelOnly="1" grandCol="1" outline="0" fieldPosition="0"/>
    </format>
    <format dxfId="853">
      <pivotArea outline="0" collapsedLevelsAreSubtotals="1" fieldPosition="0"/>
    </format>
    <format dxfId="852">
      <pivotArea field="0" type="button" dataOnly="0" labelOnly="1" outline="0" axis="axisPage" fieldPosition="0"/>
    </format>
    <format dxfId="851">
      <pivotArea type="origin" dataOnly="0" labelOnly="1" outline="0" fieldPosition="0"/>
    </format>
    <format dxfId="850">
      <pivotArea field="1" type="button" dataOnly="0" labelOnly="1" outline="0" axis="axisRow" fieldPosition="0"/>
    </format>
    <format dxfId="849">
      <pivotArea dataOnly="0" labelOnly="1" fieldPosition="0">
        <references count="1">
          <reference field="1" count="0"/>
        </references>
      </pivotArea>
    </format>
    <format dxfId="848">
      <pivotArea dataOnly="0" labelOnly="1" grandRow="1" outline="0" fieldPosition="0"/>
    </format>
    <format dxfId="847">
      <pivotArea dataOnly="0" labelOnly="1" fieldPosition="0">
        <references count="2">
          <reference field="1" count="1" selected="0">
            <x v="0"/>
          </reference>
          <reference field="8" count="4">
            <x v="1"/>
            <x v="2"/>
            <x v="3"/>
            <x v="5"/>
          </reference>
        </references>
      </pivotArea>
    </format>
    <format dxfId="846">
      <pivotArea dataOnly="0" labelOnly="1" fieldPosition="0">
        <references count="2">
          <reference field="1" count="1" selected="0">
            <x v="1"/>
          </reference>
          <reference field="8" count="5">
            <x v="1"/>
            <x v="2"/>
            <x v="3"/>
            <x v="5"/>
            <x v="9"/>
          </reference>
        </references>
      </pivotArea>
    </format>
    <format dxfId="845">
      <pivotArea dataOnly="0" labelOnly="1" fieldPosition="0">
        <references count="2">
          <reference field="1" count="1" selected="0">
            <x v="2"/>
          </reference>
          <reference field="8" count="4">
            <x v="1"/>
            <x v="2"/>
            <x v="3"/>
            <x v="5"/>
          </reference>
        </references>
      </pivotArea>
    </format>
    <format dxfId="844">
      <pivotArea dataOnly="0" labelOnly="1" fieldPosition="0">
        <references count="2">
          <reference field="1" count="1" selected="0">
            <x v="3"/>
          </reference>
          <reference field="8" count="2">
            <x v="3"/>
            <x v="9"/>
          </reference>
        </references>
      </pivotArea>
    </format>
    <format dxfId="843">
      <pivotArea dataOnly="0" labelOnly="1" fieldPosition="0">
        <references count="2">
          <reference field="1" count="1" selected="0">
            <x v="4"/>
          </reference>
          <reference field="8" count="3">
            <x v="2"/>
            <x v="3"/>
            <x v="5"/>
          </reference>
        </references>
      </pivotArea>
    </format>
    <format dxfId="842">
      <pivotArea dataOnly="0" labelOnly="1" fieldPosition="0">
        <references count="2">
          <reference field="1" count="1" selected="0">
            <x v="5"/>
          </reference>
          <reference field="8" count="3">
            <x v="3"/>
            <x v="8"/>
            <x v="9"/>
          </reference>
        </references>
      </pivotArea>
    </format>
    <format dxfId="841">
      <pivotArea dataOnly="0" labelOnly="1" fieldPosition="0">
        <references count="2">
          <reference field="1" count="1" selected="0">
            <x v="6"/>
          </reference>
          <reference field="8" count="8">
            <x v="1"/>
            <x v="2"/>
            <x v="3"/>
            <x v="4"/>
            <x v="5"/>
            <x v="6"/>
            <x v="8"/>
            <x v="9"/>
          </reference>
        </references>
      </pivotArea>
    </format>
    <format dxfId="840">
      <pivotArea dataOnly="0" labelOnly="1" fieldPosition="0">
        <references count="2">
          <reference field="1" count="1" selected="0">
            <x v="7"/>
          </reference>
          <reference field="8" count="6">
            <x v="0"/>
            <x v="1"/>
            <x v="5"/>
            <x v="7"/>
            <x v="8"/>
            <x v="9"/>
          </reference>
        </references>
      </pivotArea>
    </format>
    <format dxfId="839">
      <pivotArea dataOnly="0" labelOnly="1" fieldPosition="0">
        <references count="2">
          <reference field="1" count="1" selected="0">
            <x v="8"/>
          </reference>
          <reference field="8" count="3">
            <x v="1"/>
            <x v="2"/>
            <x v="5"/>
          </reference>
        </references>
      </pivotArea>
    </format>
    <format dxfId="838">
      <pivotArea dataOnly="0" labelOnly="1" fieldPosition="0">
        <references count="2">
          <reference field="1" count="1" selected="0">
            <x v="9"/>
          </reference>
          <reference field="8" count="1">
            <x v="2"/>
          </reference>
        </references>
      </pivotArea>
    </format>
    <format dxfId="837">
      <pivotArea dataOnly="0" labelOnly="1" fieldPosition="0">
        <references count="2">
          <reference field="1" count="1" selected="0">
            <x v="10"/>
          </reference>
          <reference field="8" count="7">
            <x v="3"/>
            <x v="4"/>
            <x v="5"/>
            <x v="6"/>
            <x v="7"/>
            <x v="8"/>
            <x v="9"/>
          </reference>
        </references>
      </pivotArea>
    </format>
    <format dxfId="836">
      <pivotArea dataOnly="0" labelOnly="1" fieldPosition="0">
        <references count="2">
          <reference field="1" count="1" selected="0">
            <x v="11"/>
          </reference>
          <reference field="8" count="6">
            <x v="3"/>
            <x v="4"/>
            <x v="5"/>
            <x v="6"/>
            <x v="7"/>
            <x v="9"/>
          </reference>
        </references>
      </pivotArea>
    </format>
    <format dxfId="835">
      <pivotArea dataOnly="0" labelOnly="1" fieldPosition="0">
        <references count="2">
          <reference field="1" count="1" selected="0">
            <x v="12"/>
          </reference>
          <reference field="8" count="6">
            <x v="3"/>
            <x v="4"/>
            <x v="5"/>
            <x v="6"/>
            <x v="7"/>
            <x v="9"/>
          </reference>
        </references>
      </pivotArea>
    </format>
    <format dxfId="834">
      <pivotArea dataOnly="0" labelOnly="1" fieldPosition="0">
        <references count="2">
          <reference field="1" count="1" selected="0">
            <x v="13"/>
          </reference>
          <reference field="8" count="7">
            <x v="1"/>
            <x v="2"/>
            <x v="3"/>
            <x v="4"/>
            <x v="5"/>
            <x v="8"/>
            <x v="9"/>
          </reference>
        </references>
      </pivotArea>
    </format>
    <format dxfId="833">
      <pivotArea dataOnly="0" labelOnly="1" fieldPosition="0">
        <references count="2">
          <reference field="1" count="1" selected="0">
            <x v="14"/>
          </reference>
          <reference field="8" count="1">
            <x v="9"/>
          </reference>
        </references>
      </pivotArea>
    </format>
    <format dxfId="832">
      <pivotArea dataOnly="0" labelOnly="1" fieldPosition="0">
        <references count="2">
          <reference field="1" count="1" selected="0">
            <x v="15"/>
          </reference>
          <reference field="8" count="1">
            <x v="9"/>
          </reference>
        </references>
      </pivotArea>
    </format>
    <format dxfId="831">
      <pivotArea dataOnly="0" labelOnly="1" fieldPosition="0">
        <references count="1">
          <reference field="1" count="0"/>
        </references>
      </pivotArea>
    </format>
    <format dxfId="830">
      <pivotArea dataOnly="0" labelOnly="1" fieldPosition="0">
        <references count="2">
          <reference field="1" count="1" selected="0">
            <x v="0"/>
          </reference>
          <reference field="8" count="4">
            <x v="1"/>
            <x v="2"/>
            <x v="3"/>
            <x v="5"/>
          </reference>
        </references>
      </pivotArea>
    </format>
    <format dxfId="829">
      <pivotArea dataOnly="0" labelOnly="1" fieldPosition="0">
        <references count="2">
          <reference field="1" count="1" selected="0">
            <x v="2"/>
          </reference>
          <reference field="8" count="4">
            <x v="1"/>
            <x v="2"/>
            <x v="3"/>
            <x v="5"/>
          </reference>
        </references>
      </pivotArea>
    </format>
    <format dxfId="828">
      <pivotArea dataOnly="0" labelOnly="1" fieldPosition="0">
        <references count="2">
          <reference field="1" count="1" selected="0">
            <x v="6"/>
          </reference>
          <reference field="8" count="8">
            <x v="1"/>
            <x v="2"/>
            <x v="3"/>
            <x v="4"/>
            <x v="5"/>
            <x v="6"/>
            <x v="8"/>
            <x v="9"/>
          </reference>
        </references>
      </pivotArea>
    </format>
    <format dxfId="827">
      <pivotArea dataOnly="0" labelOnly="1" fieldPosition="0">
        <references count="2">
          <reference field="1" count="1" selected="0">
            <x v="7"/>
          </reference>
          <reference field="8" count="6">
            <x v="0"/>
            <x v="1"/>
            <x v="5"/>
            <x v="7"/>
            <x v="8"/>
            <x v="9"/>
          </reference>
        </references>
      </pivotArea>
    </format>
    <format dxfId="826">
      <pivotArea dataOnly="0" labelOnly="1" fieldPosition="0">
        <references count="2">
          <reference field="1" count="1" selected="0">
            <x v="8"/>
          </reference>
          <reference field="8" count="3">
            <x v="1"/>
            <x v="2"/>
            <x v="5"/>
          </reference>
        </references>
      </pivotArea>
    </format>
    <format dxfId="825">
      <pivotArea dataOnly="0" labelOnly="1" fieldPosition="0">
        <references count="2">
          <reference field="1" count="1" selected="0">
            <x v="9"/>
          </reference>
          <reference field="8" count="1">
            <x v="2"/>
          </reference>
        </references>
      </pivotArea>
    </format>
    <format dxfId="824">
      <pivotArea dataOnly="0" labelOnly="1" fieldPosition="0">
        <references count="2">
          <reference field="1" count="1" selected="0">
            <x v="13"/>
          </reference>
          <reference field="8" count="7">
            <x v="1"/>
            <x v="2"/>
            <x v="3"/>
            <x v="4"/>
            <x v="5"/>
            <x v="8"/>
            <x v="9"/>
          </reference>
        </references>
      </pivotArea>
    </format>
    <format dxfId="823">
      <pivotArea dataOnly="0" labelOnly="1" fieldPosition="0">
        <references count="2">
          <reference field="1" count="1" selected="0">
            <x v="15"/>
          </reference>
          <reference field="8" count="1">
            <x v="9"/>
          </reference>
        </references>
      </pivotArea>
    </format>
    <format dxfId="822">
      <pivotArea dataOnly="0" labelOnly="1" fieldPosition="0">
        <references count="1">
          <reference field="1" count="0"/>
        </references>
      </pivotArea>
    </format>
    <format dxfId="821">
      <pivotArea dataOnly="0" labelOnly="1" fieldPosition="0">
        <references count="2">
          <reference field="1" count="1" selected="0">
            <x v="0"/>
          </reference>
          <reference field="8" count="4">
            <x v="1"/>
            <x v="2"/>
            <x v="3"/>
            <x v="5"/>
          </reference>
        </references>
      </pivotArea>
    </format>
    <format dxfId="820">
      <pivotArea dataOnly="0" labelOnly="1" fieldPosition="0">
        <references count="2">
          <reference field="1" count="1" selected="0">
            <x v="2"/>
          </reference>
          <reference field="8" count="4">
            <x v="1"/>
            <x v="2"/>
            <x v="3"/>
            <x v="5"/>
          </reference>
        </references>
      </pivotArea>
    </format>
    <format dxfId="819">
      <pivotArea dataOnly="0" labelOnly="1" fieldPosition="0">
        <references count="2">
          <reference field="1" count="1" selected="0">
            <x v="6"/>
          </reference>
          <reference field="8" count="8">
            <x v="1"/>
            <x v="2"/>
            <x v="3"/>
            <x v="4"/>
            <x v="5"/>
            <x v="6"/>
            <x v="8"/>
            <x v="9"/>
          </reference>
        </references>
      </pivotArea>
    </format>
    <format dxfId="818">
      <pivotArea dataOnly="0" labelOnly="1" fieldPosition="0">
        <references count="2">
          <reference field="1" count="1" selected="0">
            <x v="7"/>
          </reference>
          <reference field="8" count="6">
            <x v="0"/>
            <x v="1"/>
            <x v="5"/>
            <x v="7"/>
            <x v="8"/>
            <x v="9"/>
          </reference>
        </references>
      </pivotArea>
    </format>
    <format dxfId="817">
      <pivotArea dataOnly="0" labelOnly="1" fieldPosition="0">
        <references count="2">
          <reference field="1" count="1" selected="0">
            <x v="8"/>
          </reference>
          <reference field="8" count="3">
            <x v="1"/>
            <x v="2"/>
            <x v="5"/>
          </reference>
        </references>
      </pivotArea>
    </format>
    <format dxfId="816">
      <pivotArea dataOnly="0" labelOnly="1" fieldPosition="0">
        <references count="2">
          <reference field="1" count="1" selected="0">
            <x v="9"/>
          </reference>
          <reference field="8" count="1">
            <x v="2"/>
          </reference>
        </references>
      </pivotArea>
    </format>
    <format dxfId="815">
      <pivotArea dataOnly="0" labelOnly="1" fieldPosition="0">
        <references count="2">
          <reference field="1" count="1" selected="0">
            <x v="13"/>
          </reference>
          <reference field="8" count="7">
            <x v="1"/>
            <x v="2"/>
            <x v="3"/>
            <x v="4"/>
            <x v="5"/>
            <x v="8"/>
            <x v="9"/>
          </reference>
        </references>
      </pivotArea>
    </format>
    <format dxfId="814">
      <pivotArea dataOnly="0" labelOnly="1" fieldPosition="0">
        <references count="2">
          <reference field="1" count="1" selected="0">
            <x v="15"/>
          </reference>
          <reference field="8" count="1">
            <x v="9"/>
          </reference>
        </references>
      </pivotArea>
    </format>
    <format dxfId="813">
      <pivotArea field="0" type="button" dataOnly="0" labelOnly="1" outline="0" axis="axisPage" fieldPosition="0"/>
    </format>
    <format dxfId="812">
      <pivotArea type="origin" dataOnly="0" labelOnly="1" outline="0" fieldPosition="0"/>
    </format>
    <format dxfId="811">
      <pivotArea field="1" type="button" dataOnly="0" labelOnly="1" outline="0" axis="axisRow" fieldPosition="0"/>
    </format>
    <format dxfId="810">
      <pivotArea dataOnly="0" labelOnly="1" fieldPosition="0">
        <references count="1">
          <reference field="1" count="9">
            <x v="1"/>
            <x v="3"/>
            <x v="4"/>
            <x v="5"/>
            <x v="7"/>
            <x v="10"/>
            <x v="11"/>
            <x v="12"/>
            <x v="14"/>
          </reference>
        </references>
      </pivotArea>
    </format>
    <format dxfId="809">
      <pivotArea dataOnly="0" labelOnly="1" grandRow="1" outline="0" fieldPosition="0"/>
    </format>
    <format dxfId="808">
      <pivotArea dataOnly="0" labelOnly="1" fieldPosition="0">
        <references count="2">
          <reference field="1" count="1" selected="0">
            <x v="10"/>
          </reference>
          <reference field="8" count="7">
            <x v="3"/>
            <x v="4"/>
            <x v="5"/>
            <x v="6"/>
            <x v="7"/>
            <x v="8"/>
            <x v="9"/>
          </reference>
        </references>
      </pivotArea>
    </format>
    <format dxfId="807">
      <pivotArea dataOnly="0" labelOnly="1" fieldPosition="0">
        <references count="2">
          <reference field="1" count="1" selected="0">
            <x v="7"/>
          </reference>
          <reference field="8" count="5">
            <x v="1"/>
            <x v="5"/>
            <x v="7"/>
            <x v="8"/>
            <x v="9"/>
          </reference>
        </references>
      </pivotArea>
    </format>
    <format dxfId="806">
      <pivotArea dataOnly="0" labelOnly="1" fieldPosition="0">
        <references count="2">
          <reference field="1" count="1" selected="0">
            <x v="1"/>
          </reference>
          <reference field="8" count="5">
            <x v="1"/>
            <x v="2"/>
            <x v="3"/>
            <x v="5"/>
            <x v="9"/>
          </reference>
        </references>
      </pivotArea>
    </format>
    <format dxfId="805">
      <pivotArea dataOnly="0" labelOnly="1" fieldPosition="0">
        <references count="2">
          <reference field="1" count="1" selected="0">
            <x v="5"/>
          </reference>
          <reference field="8" count="3">
            <x v="3"/>
            <x v="8"/>
            <x v="9"/>
          </reference>
        </references>
      </pivotArea>
    </format>
    <format dxfId="804">
      <pivotArea dataOnly="0" labelOnly="1" fieldPosition="0">
        <references count="2">
          <reference field="1" count="1" selected="0">
            <x v="12"/>
          </reference>
          <reference field="8" count="6">
            <x v="3"/>
            <x v="4"/>
            <x v="5"/>
            <x v="6"/>
            <x v="7"/>
            <x v="9"/>
          </reference>
        </references>
      </pivotArea>
    </format>
    <format dxfId="803">
      <pivotArea dataOnly="0" labelOnly="1" fieldPosition="0">
        <references count="2">
          <reference field="1" count="1" selected="0">
            <x v="11"/>
          </reference>
          <reference field="8" count="6">
            <x v="3"/>
            <x v="4"/>
            <x v="5"/>
            <x v="6"/>
            <x v="7"/>
            <x v="9"/>
          </reference>
        </references>
      </pivotArea>
    </format>
    <format dxfId="802">
      <pivotArea dataOnly="0" labelOnly="1" fieldPosition="0">
        <references count="2">
          <reference field="1" count="1" selected="0">
            <x v="14"/>
          </reference>
          <reference field="8" count="1">
            <x v="9"/>
          </reference>
        </references>
      </pivotArea>
    </format>
    <format dxfId="801">
      <pivotArea dataOnly="0" labelOnly="1" fieldPosition="0">
        <references count="2">
          <reference field="1" count="1" selected="0">
            <x v="4"/>
          </reference>
          <reference field="8" count="3">
            <x v="2"/>
            <x v="3"/>
            <x v="5"/>
          </reference>
        </references>
      </pivotArea>
    </format>
    <format dxfId="800">
      <pivotArea dataOnly="0" labelOnly="1" fieldPosition="0">
        <references count="2">
          <reference field="1" count="1" selected="0">
            <x v="3"/>
          </reference>
          <reference field="8" count="2">
            <x v="3"/>
            <x v="9"/>
          </reference>
        </references>
      </pivotArea>
    </format>
    <format dxfId="799">
      <pivotArea field="0" type="button" dataOnly="0" labelOnly="1" outline="0" axis="axisPage" fieldPosition="0"/>
    </format>
    <format dxfId="798">
      <pivotArea type="origin" dataOnly="0" labelOnly="1" outline="0" fieldPosition="0"/>
    </format>
    <format dxfId="797">
      <pivotArea field="1" type="button" dataOnly="0" labelOnly="1" outline="0" axis="axisRow" fieldPosition="0"/>
    </format>
    <format dxfId="796">
      <pivotArea dataOnly="0" labelOnly="1" fieldPosition="0">
        <references count="1">
          <reference field="1" count="9">
            <x v="1"/>
            <x v="3"/>
            <x v="4"/>
            <x v="5"/>
            <x v="7"/>
            <x v="10"/>
            <x v="11"/>
            <x v="12"/>
            <x v="14"/>
          </reference>
        </references>
      </pivotArea>
    </format>
    <format dxfId="795">
      <pivotArea dataOnly="0" labelOnly="1" grandRow="1" outline="0" fieldPosition="0"/>
    </format>
    <format dxfId="794">
      <pivotArea dataOnly="0" labelOnly="1" fieldPosition="0">
        <references count="2">
          <reference field="1" count="1" selected="0">
            <x v="10"/>
          </reference>
          <reference field="8" count="7">
            <x v="3"/>
            <x v="4"/>
            <x v="5"/>
            <x v="6"/>
            <x v="7"/>
            <x v="8"/>
            <x v="9"/>
          </reference>
        </references>
      </pivotArea>
    </format>
    <format dxfId="793">
      <pivotArea dataOnly="0" labelOnly="1" fieldPosition="0">
        <references count="2">
          <reference field="1" count="1" selected="0">
            <x v="7"/>
          </reference>
          <reference field="8" count="5">
            <x v="1"/>
            <x v="5"/>
            <x v="7"/>
            <x v="8"/>
            <x v="9"/>
          </reference>
        </references>
      </pivotArea>
    </format>
    <format dxfId="792">
      <pivotArea dataOnly="0" labelOnly="1" fieldPosition="0">
        <references count="2">
          <reference field="1" count="1" selected="0">
            <x v="1"/>
          </reference>
          <reference field="8" count="5">
            <x v="1"/>
            <x v="2"/>
            <x v="3"/>
            <x v="5"/>
            <x v="9"/>
          </reference>
        </references>
      </pivotArea>
    </format>
    <format dxfId="791">
      <pivotArea dataOnly="0" labelOnly="1" fieldPosition="0">
        <references count="2">
          <reference field="1" count="1" selected="0">
            <x v="5"/>
          </reference>
          <reference field="8" count="3">
            <x v="3"/>
            <x v="8"/>
            <x v="9"/>
          </reference>
        </references>
      </pivotArea>
    </format>
    <format dxfId="790">
      <pivotArea dataOnly="0" labelOnly="1" fieldPosition="0">
        <references count="2">
          <reference field="1" count="1" selected="0">
            <x v="12"/>
          </reference>
          <reference field="8" count="6">
            <x v="3"/>
            <x v="4"/>
            <x v="5"/>
            <x v="6"/>
            <x v="7"/>
            <x v="9"/>
          </reference>
        </references>
      </pivotArea>
    </format>
    <format dxfId="789">
      <pivotArea dataOnly="0" labelOnly="1" fieldPosition="0">
        <references count="2">
          <reference field="1" count="1" selected="0">
            <x v="11"/>
          </reference>
          <reference field="8" count="6">
            <x v="3"/>
            <x v="4"/>
            <x v="5"/>
            <x v="6"/>
            <x v="7"/>
            <x v="9"/>
          </reference>
        </references>
      </pivotArea>
    </format>
    <format dxfId="788">
      <pivotArea dataOnly="0" labelOnly="1" fieldPosition="0">
        <references count="2">
          <reference field="1" count="1" selected="0">
            <x v="14"/>
          </reference>
          <reference field="8" count="1">
            <x v="9"/>
          </reference>
        </references>
      </pivotArea>
    </format>
    <format dxfId="787">
      <pivotArea dataOnly="0" labelOnly="1" fieldPosition="0">
        <references count="2">
          <reference field="1" count="1" selected="0">
            <x v="4"/>
          </reference>
          <reference field="8" count="3">
            <x v="2"/>
            <x v="3"/>
            <x v="5"/>
          </reference>
        </references>
      </pivotArea>
    </format>
    <format dxfId="786">
      <pivotArea dataOnly="0" labelOnly="1" fieldPosition="0">
        <references count="2">
          <reference field="1" count="1" selected="0">
            <x v="3"/>
          </reference>
          <reference field="8" count="2">
            <x v="3"/>
            <x v="9"/>
          </reference>
        </references>
      </pivotArea>
    </format>
    <format dxfId="785">
      <pivotArea field="1" type="button" dataOnly="0" labelOnly="1" outline="0" axis="axisRow" fieldPosition="0"/>
    </format>
    <format dxfId="784">
      <pivotArea field="0" type="button" dataOnly="0" labelOnly="1" outline="0" axis="axisPage" fieldPosition="0"/>
    </format>
    <format dxfId="783">
      <pivotArea collapsedLevelsAreSubtotals="1" fieldPosition="0">
        <references count="1">
          <reference field="1" count="1">
            <x v="10"/>
          </reference>
        </references>
      </pivotArea>
    </format>
    <format dxfId="782">
      <pivotArea collapsedLevelsAreSubtotals="1" fieldPosition="0">
        <references count="2">
          <reference field="1" count="1" selected="0">
            <x v="10"/>
          </reference>
          <reference field="8" count="1">
            <x v="3"/>
          </reference>
        </references>
      </pivotArea>
    </format>
    <format dxfId="781">
      <pivotArea collapsedLevelsAreSubtotals="1" fieldPosition="0">
        <references count="2">
          <reference field="1" count="1" selected="0">
            <x v="10"/>
          </reference>
          <reference field="8" count="1">
            <x v="7"/>
          </reference>
        </references>
      </pivotArea>
    </format>
    <format dxfId="780">
      <pivotArea collapsedLevelsAreSubtotals="1" fieldPosition="0">
        <references count="2">
          <reference field="1" count="1" selected="0">
            <x v="10"/>
          </reference>
          <reference field="8" count="1">
            <x v="6"/>
          </reference>
        </references>
      </pivotArea>
    </format>
    <format dxfId="779">
      <pivotArea collapsedLevelsAreSubtotals="1" fieldPosition="0">
        <references count="2">
          <reference field="1" count="1" selected="0">
            <x v="10"/>
          </reference>
          <reference field="8" count="1">
            <x v="9"/>
          </reference>
        </references>
      </pivotArea>
    </format>
    <format dxfId="778">
      <pivotArea collapsedLevelsAreSubtotals="1" fieldPosition="0">
        <references count="2">
          <reference field="1" count="1" selected="0">
            <x v="10"/>
          </reference>
          <reference field="8" count="1">
            <x v="4"/>
          </reference>
        </references>
      </pivotArea>
    </format>
    <format dxfId="777">
      <pivotArea collapsedLevelsAreSubtotals="1" fieldPosition="0">
        <references count="2">
          <reference field="1" count="1" selected="0">
            <x v="10"/>
          </reference>
          <reference field="8" count="1">
            <x v="8"/>
          </reference>
        </references>
      </pivotArea>
    </format>
    <format dxfId="776">
      <pivotArea collapsedLevelsAreSubtotals="1" fieldPosition="0">
        <references count="2">
          <reference field="1" count="1" selected="0">
            <x v="10"/>
          </reference>
          <reference field="8" count="1">
            <x v="5"/>
          </reference>
        </references>
      </pivotArea>
    </format>
    <format dxfId="775">
      <pivotArea collapsedLevelsAreSubtotals="1" fieldPosition="0">
        <references count="1">
          <reference field="1" count="1">
            <x v="7"/>
          </reference>
        </references>
      </pivotArea>
    </format>
    <format dxfId="774">
      <pivotArea collapsedLevelsAreSubtotals="1" fieldPosition="0">
        <references count="2">
          <reference field="1" count="1" selected="0">
            <x v="7"/>
          </reference>
          <reference field="8" count="1">
            <x v="5"/>
          </reference>
        </references>
      </pivotArea>
    </format>
    <format dxfId="773">
      <pivotArea collapsedLevelsAreSubtotals="1" fieldPosition="0">
        <references count="2">
          <reference field="1" count="1" selected="0">
            <x v="7"/>
          </reference>
          <reference field="8" count="1">
            <x v="1"/>
          </reference>
        </references>
      </pivotArea>
    </format>
    <format dxfId="772">
      <pivotArea collapsedLevelsAreSubtotals="1" fieldPosition="0">
        <references count="2">
          <reference field="1" count="1" selected="0">
            <x v="7"/>
          </reference>
          <reference field="8" count="1">
            <x v="9"/>
          </reference>
        </references>
      </pivotArea>
    </format>
    <format dxfId="771">
      <pivotArea collapsedLevelsAreSubtotals="1" fieldPosition="0">
        <references count="2">
          <reference field="1" count="1" selected="0">
            <x v="7"/>
          </reference>
          <reference field="8" count="1">
            <x v="8"/>
          </reference>
        </references>
      </pivotArea>
    </format>
    <format dxfId="770">
      <pivotArea collapsedLevelsAreSubtotals="1" fieldPosition="0">
        <references count="1">
          <reference field="1" count="1">
            <x v="13"/>
          </reference>
        </references>
      </pivotArea>
    </format>
    <format dxfId="769">
      <pivotArea collapsedLevelsAreSubtotals="1" fieldPosition="0">
        <references count="2">
          <reference field="1" count="1" selected="0">
            <x v="13"/>
          </reference>
          <reference field="8" count="1">
            <x v="1"/>
          </reference>
        </references>
      </pivotArea>
    </format>
    <format dxfId="768">
      <pivotArea collapsedLevelsAreSubtotals="1" fieldPosition="0">
        <references count="2">
          <reference field="1" count="1" selected="0">
            <x v="13"/>
          </reference>
          <reference field="8" count="1">
            <x v="4"/>
          </reference>
        </references>
      </pivotArea>
    </format>
    <format dxfId="767">
      <pivotArea collapsedLevelsAreSubtotals="1" fieldPosition="0">
        <references count="2">
          <reference field="1" count="1" selected="0">
            <x v="13"/>
          </reference>
          <reference field="8" count="1">
            <x v="9"/>
          </reference>
        </references>
      </pivotArea>
    </format>
    <format dxfId="766">
      <pivotArea collapsedLevelsAreSubtotals="1" fieldPosition="0">
        <references count="2">
          <reference field="1" count="1" selected="0">
            <x v="13"/>
          </reference>
          <reference field="8" count="1">
            <x v="2"/>
          </reference>
        </references>
      </pivotArea>
    </format>
    <format dxfId="765">
      <pivotArea collapsedLevelsAreSubtotals="1" fieldPosition="0">
        <references count="2">
          <reference field="1" count="1" selected="0">
            <x v="13"/>
          </reference>
          <reference field="8" count="1">
            <x v="5"/>
          </reference>
        </references>
      </pivotArea>
    </format>
    <format dxfId="764">
      <pivotArea collapsedLevelsAreSubtotals="1" fieldPosition="0">
        <references count="2">
          <reference field="1" count="1" selected="0">
            <x v="13"/>
          </reference>
          <reference field="8" count="1">
            <x v="8"/>
          </reference>
        </references>
      </pivotArea>
    </format>
    <format dxfId="763">
      <pivotArea collapsedLevelsAreSubtotals="1" fieldPosition="0">
        <references count="2">
          <reference field="1" count="1" selected="0">
            <x v="13"/>
          </reference>
          <reference field="8" count="1">
            <x v="3"/>
          </reference>
        </references>
      </pivotArea>
    </format>
    <format dxfId="762">
      <pivotArea collapsedLevelsAreSubtotals="1" fieldPosition="0">
        <references count="1">
          <reference field="1" count="1">
            <x v="12"/>
          </reference>
        </references>
      </pivotArea>
    </format>
    <format dxfId="761">
      <pivotArea collapsedLevelsAreSubtotals="1" fieldPosition="0">
        <references count="2">
          <reference field="1" count="1" selected="0">
            <x v="12"/>
          </reference>
          <reference field="8" count="1">
            <x v="6"/>
          </reference>
        </references>
      </pivotArea>
    </format>
    <format dxfId="760">
      <pivotArea collapsedLevelsAreSubtotals="1" fieldPosition="0">
        <references count="2">
          <reference field="1" count="1" selected="0">
            <x v="12"/>
          </reference>
          <reference field="8" count="1">
            <x v="4"/>
          </reference>
        </references>
      </pivotArea>
    </format>
    <format dxfId="759">
      <pivotArea collapsedLevelsAreSubtotals="1" fieldPosition="0">
        <references count="2">
          <reference field="1" count="1" selected="0">
            <x v="12"/>
          </reference>
          <reference field="8" count="1">
            <x v="3"/>
          </reference>
        </references>
      </pivotArea>
    </format>
    <format dxfId="758">
      <pivotArea collapsedLevelsAreSubtotals="1" fieldPosition="0">
        <references count="2">
          <reference field="1" count="1" selected="0">
            <x v="12"/>
          </reference>
          <reference field="8" count="1">
            <x v="7"/>
          </reference>
        </references>
      </pivotArea>
    </format>
    <format dxfId="757">
      <pivotArea collapsedLevelsAreSubtotals="1" fieldPosition="0">
        <references count="2">
          <reference field="1" count="1" selected="0">
            <x v="12"/>
          </reference>
          <reference field="8" count="1">
            <x v="9"/>
          </reference>
        </references>
      </pivotArea>
    </format>
    <format dxfId="756">
      <pivotArea collapsedLevelsAreSubtotals="1" fieldPosition="0">
        <references count="2">
          <reference field="1" count="1" selected="0">
            <x v="12"/>
          </reference>
          <reference field="8" count="1">
            <x v="5"/>
          </reference>
        </references>
      </pivotArea>
    </format>
    <format dxfId="755">
      <pivotArea collapsedLevelsAreSubtotals="1" fieldPosition="0">
        <references count="1">
          <reference field="1" count="1">
            <x v="11"/>
          </reference>
        </references>
      </pivotArea>
    </format>
    <format dxfId="754">
      <pivotArea collapsedLevelsAreSubtotals="1" fieldPosition="0">
        <references count="2">
          <reference field="1" count="1" selected="0">
            <x v="11"/>
          </reference>
          <reference field="8" count="1">
            <x v="3"/>
          </reference>
        </references>
      </pivotArea>
    </format>
    <format dxfId="753">
      <pivotArea collapsedLevelsAreSubtotals="1" fieldPosition="0">
        <references count="2">
          <reference field="1" count="1" selected="0">
            <x v="11"/>
          </reference>
          <reference field="8" count="1">
            <x v="6"/>
          </reference>
        </references>
      </pivotArea>
    </format>
    <format dxfId="752">
      <pivotArea collapsedLevelsAreSubtotals="1" fieldPosition="0">
        <references count="2">
          <reference field="1" count="1" selected="0">
            <x v="11"/>
          </reference>
          <reference field="8" count="1">
            <x v="4"/>
          </reference>
        </references>
      </pivotArea>
    </format>
    <format dxfId="751">
      <pivotArea collapsedLevelsAreSubtotals="1" fieldPosition="0">
        <references count="2">
          <reference field="1" count="1" selected="0">
            <x v="11"/>
          </reference>
          <reference field="8" count="1">
            <x v="9"/>
          </reference>
        </references>
      </pivotArea>
    </format>
    <format dxfId="750">
      <pivotArea collapsedLevelsAreSubtotals="1" fieldPosition="0">
        <references count="2">
          <reference field="1" count="1" selected="0">
            <x v="11"/>
          </reference>
          <reference field="8" count="1">
            <x v="7"/>
          </reference>
        </references>
      </pivotArea>
    </format>
    <format dxfId="749">
      <pivotArea collapsedLevelsAreSubtotals="1" fieldPosition="0">
        <references count="2">
          <reference field="1" count="1" selected="0">
            <x v="11"/>
          </reference>
          <reference field="8" count="1">
            <x v="5"/>
          </reference>
        </references>
      </pivotArea>
    </format>
    <format dxfId="748">
      <pivotArea collapsedLevelsAreSubtotals="1" fieldPosition="0">
        <references count="1">
          <reference field="1" count="1">
            <x v="15"/>
          </reference>
        </references>
      </pivotArea>
    </format>
    <format dxfId="747">
      <pivotArea collapsedLevelsAreSubtotals="1" fieldPosition="0">
        <references count="2">
          <reference field="1" count="1" selected="0">
            <x v="15"/>
          </reference>
          <reference field="8" count="1">
            <x v="9"/>
          </reference>
        </references>
      </pivotArea>
    </format>
    <format dxfId="746">
      <pivotArea collapsedLevelsAreSubtotals="1" fieldPosition="0">
        <references count="1">
          <reference field="1" count="1">
            <x v="2"/>
          </reference>
        </references>
      </pivotArea>
    </format>
    <format dxfId="745">
      <pivotArea collapsedLevelsAreSubtotals="1" fieldPosition="0">
        <references count="2">
          <reference field="1" count="1" selected="0">
            <x v="2"/>
          </reference>
          <reference field="8" count="1">
            <x v="3"/>
          </reference>
        </references>
      </pivotArea>
    </format>
    <format dxfId="744">
      <pivotArea collapsedLevelsAreSubtotals="1" fieldPosition="0">
        <references count="2">
          <reference field="1" count="1" selected="0">
            <x v="2"/>
          </reference>
          <reference field="8" count="1">
            <x v="5"/>
          </reference>
        </references>
      </pivotArea>
    </format>
    <format dxfId="743">
      <pivotArea collapsedLevelsAreSubtotals="1" fieldPosition="0">
        <references count="2">
          <reference field="1" count="1" selected="0">
            <x v="2"/>
          </reference>
          <reference field="8" count="1">
            <x v="2"/>
          </reference>
        </references>
      </pivotArea>
    </format>
    <format dxfId="742">
      <pivotArea collapsedLevelsAreSubtotals="1" fieldPosition="0">
        <references count="2">
          <reference field="1" count="1" selected="0">
            <x v="2"/>
          </reference>
          <reference field="8" count="1">
            <x v="1"/>
          </reference>
        </references>
      </pivotArea>
    </format>
    <format dxfId="741">
      <pivotArea collapsedLevelsAreSubtotals="1" fieldPosition="0">
        <references count="1">
          <reference field="1" count="1">
            <x v="14"/>
          </reference>
        </references>
      </pivotArea>
    </format>
    <format dxfId="740">
      <pivotArea collapsedLevelsAreSubtotals="1" fieldPosition="0">
        <references count="2">
          <reference field="1" count="1" selected="0">
            <x v="14"/>
          </reference>
          <reference field="8" count="1">
            <x v="9"/>
          </reference>
        </references>
      </pivotArea>
    </format>
    <format dxfId="739">
      <pivotArea collapsedLevelsAreSubtotals="1" fieldPosition="0">
        <references count="1">
          <reference field="1" count="1">
            <x v="4"/>
          </reference>
        </references>
      </pivotArea>
    </format>
    <format dxfId="738">
      <pivotArea collapsedLevelsAreSubtotals="1" fieldPosition="0">
        <references count="2">
          <reference field="1" count="1" selected="0">
            <x v="4"/>
          </reference>
          <reference field="8" count="1">
            <x v="2"/>
          </reference>
        </references>
      </pivotArea>
    </format>
    <format dxfId="737">
      <pivotArea collapsedLevelsAreSubtotals="1" fieldPosition="0">
        <references count="2">
          <reference field="1" count="1" selected="0">
            <x v="4"/>
          </reference>
          <reference field="8" count="1">
            <x v="3"/>
          </reference>
        </references>
      </pivotArea>
    </format>
    <format dxfId="736">
      <pivotArea collapsedLevelsAreSubtotals="1" fieldPosition="0">
        <references count="2">
          <reference field="1" count="1" selected="0">
            <x v="4"/>
          </reference>
          <reference field="8" count="1">
            <x v="5"/>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TablaDinámica20"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SAs / COMPONENTES/intervcion">
  <location ref="A3:E14" firstHeaderRow="1" firstDataRow="2" firstDataCol="1" rowPageCount="1" colPageCount="1"/>
  <pivotFields count="35">
    <pivotField axis="axisPage" showAll="0">
      <items count="6">
        <item x="3"/>
        <item x="1"/>
        <item x="2"/>
        <item x="0"/>
        <item x="4"/>
        <item t="default"/>
      </items>
    </pivotField>
    <pivotField axis="axisRow" showAll="0" sortType="descending">
      <items count="17">
        <item x="13"/>
        <item sd="0" x="14"/>
        <item x="11"/>
        <item sd="0" x="5"/>
        <item sd="0" x="4"/>
        <item sd="0" x="12"/>
        <item x="15"/>
        <item sd="0" x="10"/>
        <item x="6"/>
        <item x="7"/>
        <item sd="0" x="0"/>
        <item sd="0" x="1"/>
        <item sd="0" x="2"/>
        <item x="3"/>
        <item sd="0" x="9"/>
        <item x="8"/>
        <item t="default"/>
      </items>
      <autoSortScope>
        <pivotArea dataOnly="0" outline="0" fieldPosition="0">
          <references count="1">
            <reference field="4294967294" count="1" selected="0">
              <x v="0"/>
            </reference>
          </references>
        </pivotArea>
      </autoSortScope>
    </pivotField>
    <pivotField showAll="0"/>
    <pivotField showAll="0"/>
    <pivotField axis="axisRow" showAll="0">
      <items count="110">
        <item x="30"/>
        <item x="85"/>
        <item x="61"/>
        <item x="62"/>
        <item x="92"/>
        <item x="70"/>
        <item x="46"/>
        <item x="40"/>
        <item x="63"/>
        <item x="75"/>
        <item x="1"/>
        <item x="68"/>
        <item x="59"/>
        <item x="7"/>
        <item x="21"/>
        <item x="18"/>
        <item x="29"/>
        <item x="97"/>
        <item x="99"/>
        <item x="13"/>
        <item x="60"/>
        <item x="20"/>
        <item x="44"/>
        <item x="89"/>
        <item x="42"/>
        <item x="69"/>
        <item x="100"/>
        <item x="91"/>
        <item x="31"/>
        <item x="3"/>
        <item x="35"/>
        <item x="84"/>
        <item x="23"/>
        <item x="41"/>
        <item x="11"/>
        <item x="80"/>
        <item x="96"/>
        <item x="103"/>
        <item x="104"/>
        <item x="47"/>
        <item x="24"/>
        <item x="17"/>
        <item x="10"/>
        <item x="79"/>
        <item x="98"/>
        <item x="105"/>
        <item x="101"/>
        <item x="102"/>
        <item x="77"/>
        <item x="87"/>
        <item x="95"/>
        <item x="8"/>
        <item x="55"/>
        <item x="32"/>
        <item x="28"/>
        <item x="26"/>
        <item x="43"/>
        <item x="4"/>
        <item x="2"/>
        <item x="50"/>
        <item x="71"/>
        <item x="48"/>
        <item x="19"/>
        <item x="82"/>
        <item x="33"/>
        <item x="0"/>
        <item x="9"/>
        <item x="93"/>
        <item x="81"/>
        <item x="78"/>
        <item x="76"/>
        <item x="51"/>
        <item x="74"/>
        <item x="6"/>
        <item x="66"/>
        <item x="39"/>
        <item x="58"/>
        <item x="38"/>
        <item x="22"/>
        <item x="83"/>
        <item x="12"/>
        <item x="86"/>
        <item x="16"/>
        <item x="57"/>
        <item x="37"/>
        <item x="52"/>
        <item x="14"/>
        <item x="90"/>
        <item x="15"/>
        <item x="65"/>
        <item x="64"/>
        <item m="1" x="108"/>
        <item x="88"/>
        <item x="5"/>
        <item x="67"/>
        <item x="45"/>
        <item x="49"/>
        <item x="34"/>
        <item x="27"/>
        <item x="94"/>
        <item x="53"/>
        <item x="25"/>
        <item x="54"/>
        <item x="72"/>
        <item x="73"/>
        <item x="106"/>
        <item m="1" x="107"/>
        <item x="36"/>
        <item x="56"/>
        <item t="default"/>
      </items>
    </pivotField>
    <pivotField showAll="0"/>
    <pivotField showAll="0"/>
    <pivotField axis="axisCol" showAll="0">
      <items count="4">
        <item x="2"/>
        <item x="0"/>
        <item x="1"/>
        <item t="default"/>
      </items>
    </pivotField>
    <pivotField axis="axisRow" showAll="0" sortType="descending">
      <items count="11">
        <item x="9"/>
        <item sd="0" x="8"/>
        <item sd="0" x="7"/>
        <item sd="0" x="3"/>
        <item sd="0" x="4"/>
        <item sd="0" x="6"/>
        <item sd="0" x="2"/>
        <item sd="0" x="1"/>
        <item sd="0" x="5"/>
        <item sd="0"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1"/>
    <field x="8"/>
    <field x="4"/>
  </rowFields>
  <rowItems count="10">
    <i>
      <x v="10"/>
    </i>
    <i>
      <x v="7"/>
    </i>
    <i>
      <x v="1"/>
    </i>
    <i>
      <x v="5"/>
    </i>
    <i>
      <x v="12"/>
    </i>
    <i>
      <x v="11"/>
    </i>
    <i>
      <x v="4"/>
    </i>
    <i>
      <x v="14"/>
    </i>
    <i>
      <x v="3"/>
    </i>
    <i t="grand">
      <x/>
    </i>
  </rowItems>
  <colFields count="1">
    <field x="7"/>
  </colFields>
  <colItems count="4">
    <i>
      <x/>
    </i>
    <i>
      <x v="1"/>
    </i>
    <i>
      <x v="2"/>
    </i>
    <i t="grand">
      <x/>
    </i>
  </colItems>
  <pageFields count="1">
    <pageField fld="0" item="0" hier="-1"/>
  </pageFields>
  <dataFields count="1">
    <dataField name="Suma de 2025 S/" fld="20" baseField="0" baseItem="0" numFmtId="172"/>
  </dataFields>
  <formats count="119">
    <format dxfId="975">
      <pivotArea dataOnly="0" labelOnly="1" fieldPosition="0">
        <references count="1">
          <reference field="7" count="0"/>
        </references>
      </pivotArea>
    </format>
    <format dxfId="974">
      <pivotArea dataOnly="0" labelOnly="1" grandCol="1" outline="0" fieldPosition="0"/>
    </format>
    <format dxfId="973">
      <pivotArea dataOnly="0" labelOnly="1" grandCol="1" outline="0" fieldPosition="0"/>
    </format>
    <format dxfId="972">
      <pivotArea outline="0" collapsedLevelsAreSubtotals="1" fieldPosition="0"/>
    </format>
    <format dxfId="971">
      <pivotArea field="0" type="button" dataOnly="0" labelOnly="1" outline="0" axis="axisPage" fieldPosition="0"/>
    </format>
    <format dxfId="970">
      <pivotArea type="origin" dataOnly="0" labelOnly="1" outline="0" fieldPosition="0"/>
    </format>
    <format dxfId="969">
      <pivotArea field="1" type="button" dataOnly="0" labelOnly="1" outline="0" axis="axisRow" fieldPosition="0"/>
    </format>
    <format dxfId="968">
      <pivotArea dataOnly="0" labelOnly="1" fieldPosition="0">
        <references count="1">
          <reference field="1" count="0"/>
        </references>
      </pivotArea>
    </format>
    <format dxfId="967">
      <pivotArea dataOnly="0" labelOnly="1" grandRow="1" outline="0" fieldPosition="0"/>
    </format>
    <format dxfId="966">
      <pivotArea dataOnly="0" labelOnly="1" fieldPosition="0">
        <references count="2">
          <reference field="1" count="1" selected="0">
            <x v="0"/>
          </reference>
          <reference field="8" count="4">
            <x v="1"/>
            <x v="2"/>
            <x v="3"/>
            <x v="5"/>
          </reference>
        </references>
      </pivotArea>
    </format>
    <format dxfId="965">
      <pivotArea dataOnly="0" labelOnly="1" fieldPosition="0">
        <references count="2">
          <reference field="1" count="1" selected="0">
            <x v="1"/>
          </reference>
          <reference field="8" count="5">
            <x v="1"/>
            <x v="2"/>
            <x v="3"/>
            <x v="5"/>
            <x v="9"/>
          </reference>
        </references>
      </pivotArea>
    </format>
    <format dxfId="964">
      <pivotArea dataOnly="0" labelOnly="1" fieldPosition="0">
        <references count="2">
          <reference field="1" count="1" selected="0">
            <x v="2"/>
          </reference>
          <reference field="8" count="4">
            <x v="1"/>
            <x v="2"/>
            <x v="3"/>
            <x v="5"/>
          </reference>
        </references>
      </pivotArea>
    </format>
    <format dxfId="963">
      <pivotArea dataOnly="0" labelOnly="1" fieldPosition="0">
        <references count="2">
          <reference field="1" count="1" selected="0">
            <x v="3"/>
          </reference>
          <reference field="8" count="2">
            <x v="3"/>
            <x v="9"/>
          </reference>
        </references>
      </pivotArea>
    </format>
    <format dxfId="962">
      <pivotArea dataOnly="0" labelOnly="1" fieldPosition="0">
        <references count="2">
          <reference field="1" count="1" selected="0">
            <x v="4"/>
          </reference>
          <reference field="8" count="3">
            <x v="2"/>
            <x v="3"/>
            <x v="5"/>
          </reference>
        </references>
      </pivotArea>
    </format>
    <format dxfId="961">
      <pivotArea dataOnly="0" labelOnly="1" fieldPosition="0">
        <references count="2">
          <reference field="1" count="1" selected="0">
            <x v="5"/>
          </reference>
          <reference field="8" count="3">
            <x v="3"/>
            <x v="8"/>
            <x v="9"/>
          </reference>
        </references>
      </pivotArea>
    </format>
    <format dxfId="960">
      <pivotArea dataOnly="0" labelOnly="1" fieldPosition="0">
        <references count="2">
          <reference field="1" count="1" selected="0">
            <x v="6"/>
          </reference>
          <reference field="8" count="8">
            <x v="1"/>
            <x v="2"/>
            <x v="3"/>
            <x v="4"/>
            <x v="5"/>
            <x v="6"/>
            <x v="8"/>
            <x v="9"/>
          </reference>
        </references>
      </pivotArea>
    </format>
    <format dxfId="959">
      <pivotArea dataOnly="0" labelOnly="1" fieldPosition="0">
        <references count="2">
          <reference field="1" count="1" selected="0">
            <x v="7"/>
          </reference>
          <reference field="8" count="6">
            <x v="0"/>
            <x v="1"/>
            <x v="5"/>
            <x v="7"/>
            <x v="8"/>
            <x v="9"/>
          </reference>
        </references>
      </pivotArea>
    </format>
    <format dxfId="958">
      <pivotArea dataOnly="0" labelOnly="1" fieldPosition="0">
        <references count="2">
          <reference field="1" count="1" selected="0">
            <x v="8"/>
          </reference>
          <reference field="8" count="3">
            <x v="1"/>
            <x v="2"/>
            <x v="5"/>
          </reference>
        </references>
      </pivotArea>
    </format>
    <format dxfId="957">
      <pivotArea dataOnly="0" labelOnly="1" fieldPosition="0">
        <references count="2">
          <reference field="1" count="1" selected="0">
            <x v="9"/>
          </reference>
          <reference field="8" count="1">
            <x v="2"/>
          </reference>
        </references>
      </pivotArea>
    </format>
    <format dxfId="956">
      <pivotArea dataOnly="0" labelOnly="1" fieldPosition="0">
        <references count="2">
          <reference field="1" count="1" selected="0">
            <x v="10"/>
          </reference>
          <reference field="8" count="7">
            <x v="3"/>
            <x v="4"/>
            <x v="5"/>
            <x v="6"/>
            <x v="7"/>
            <x v="8"/>
            <x v="9"/>
          </reference>
        </references>
      </pivotArea>
    </format>
    <format dxfId="955">
      <pivotArea dataOnly="0" labelOnly="1" fieldPosition="0">
        <references count="2">
          <reference field="1" count="1" selected="0">
            <x v="11"/>
          </reference>
          <reference field="8" count="6">
            <x v="3"/>
            <x v="4"/>
            <x v="5"/>
            <x v="6"/>
            <x v="7"/>
            <x v="9"/>
          </reference>
        </references>
      </pivotArea>
    </format>
    <format dxfId="954">
      <pivotArea dataOnly="0" labelOnly="1" fieldPosition="0">
        <references count="2">
          <reference field="1" count="1" selected="0">
            <x v="12"/>
          </reference>
          <reference field="8" count="6">
            <x v="3"/>
            <x v="4"/>
            <x v="5"/>
            <x v="6"/>
            <x v="7"/>
            <x v="9"/>
          </reference>
        </references>
      </pivotArea>
    </format>
    <format dxfId="953">
      <pivotArea dataOnly="0" labelOnly="1" fieldPosition="0">
        <references count="2">
          <reference field="1" count="1" selected="0">
            <x v="13"/>
          </reference>
          <reference field="8" count="7">
            <x v="1"/>
            <x v="2"/>
            <x v="3"/>
            <x v="4"/>
            <x v="5"/>
            <x v="8"/>
            <x v="9"/>
          </reference>
        </references>
      </pivotArea>
    </format>
    <format dxfId="952">
      <pivotArea dataOnly="0" labelOnly="1" fieldPosition="0">
        <references count="2">
          <reference field="1" count="1" selected="0">
            <x v="14"/>
          </reference>
          <reference field="8" count="1">
            <x v="9"/>
          </reference>
        </references>
      </pivotArea>
    </format>
    <format dxfId="951">
      <pivotArea dataOnly="0" labelOnly="1" fieldPosition="0">
        <references count="2">
          <reference field="1" count="1" selected="0">
            <x v="15"/>
          </reference>
          <reference field="8" count="1">
            <x v="9"/>
          </reference>
        </references>
      </pivotArea>
    </format>
    <format dxfId="950">
      <pivotArea dataOnly="0" labelOnly="1" fieldPosition="0">
        <references count="1">
          <reference field="1" count="0"/>
        </references>
      </pivotArea>
    </format>
    <format dxfId="949">
      <pivotArea dataOnly="0" labelOnly="1" fieldPosition="0">
        <references count="2">
          <reference field="1" count="1" selected="0">
            <x v="0"/>
          </reference>
          <reference field="8" count="4">
            <x v="1"/>
            <x v="2"/>
            <x v="3"/>
            <x v="5"/>
          </reference>
        </references>
      </pivotArea>
    </format>
    <format dxfId="948">
      <pivotArea dataOnly="0" labelOnly="1" fieldPosition="0">
        <references count="2">
          <reference field="1" count="1" selected="0">
            <x v="2"/>
          </reference>
          <reference field="8" count="4">
            <x v="1"/>
            <x v="2"/>
            <x v="3"/>
            <x v="5"/>
          </reference>
        </references>
      </pivotArea>
    </format>
    <format dxfId="947">
      <pivotArea dataOnly="0" labelOnly="1" fieldPosition="0">
        <references count="2">
          <reference field="1" count="1" selected="0">
            <x v="6"/>
          </reference>
          <reference field="8" count="8">
            <x v="1"/>
            <x v="2"/>
            <x v="3"/>
            <x v="4"/>
            <x v="5"/>
            <x v="6"/>
            <x v="8"/>
            <x v="9"/>
          </reference>
        </references>
      </pivotArea>
    </format>
    <format dxfId="946">
      <pivotArea dataOnly="0" labelOnly="1" fieldPosition="0">
        <references count="2">
          <reference field="1" count="1" selected="0">
            <x v="7"/>
          </reference>
          <reference field="8" count="6">
            <x v="0"/>
            <x v="1"/>
            <x v="5"/>
            <x v="7"/>
            <x v="8"/>
            <x v="9"/>
          </reference>
        </references>
      </pivotArea>
    </format>
    <format dxfId="945">
      <pivotArea dataOnly="0" labelOnly="1" fieldPosition="0">
        <references count="2">
          <reference field="1" count="1" selected="0">
            <x v="8"/>
          </reference>
          <reference field="8" count="3">
            <x v="1"/>
            <x v="2"/>
            <x v="5"/>
          </reference>
        </references>
      </pivotArea>
    </format>
    <format dxfId="944">
      <pivotArea dataOnly="0" labelOnly="1" fieldPosition="0">
        <references count="2">
          <reference field="1" count="1" selected="0">
            <x v="9"/>
          </reference>
          <reference field="8" count="1">
            <x v="2"/>
          </reference>
        </references>
      </pivotArea>
    </format>
    <format dxfId="943">
      <pivotArea dataOnly="0" labelOnly="1" fieldPosition="0">
        <references count="2">
          <reference field="1" count="1" selected="0">
            <x v="13"/>
          </reference>
          <reference field="8" count="7">
            <x v="1"/>
            <x v="2"/>
            <x v="3"/>
            <x v="4"/>
            <x v="5"/>
            <x v="8"/>
            <x v="9"/>
          </reference>
        </references>
      </pivotArea>
    </format>
    <format dxfId="942">
      <pivotArea dataOnly="0" labelOnly="1" fieldPosition="0">
        <references count="2">
          <reference field="1" count="1" selected="0">
            <x v="15"/>
          </reference>
          <reference field="8" count="1">
            <x v="9"/>
          </reference>
        </references>
      </pivotArea>
    </format>
    <format dxfId="941">
      <pivotArea dataOnly="0" labelOnly="1" fieldPosition="0">
        <references count="1">
          <reference field="1" count="0"/>
        </references>
      </pivotArea>
    </format>
    <format dxfId="940">
      <pivotArea dataOnly="0" labelOnly="1" fieldPosition="0">
        <references count="2">
          <reference field="1" count="1" selected="0">
            <x v="0"/>
          </reference>
          <reference field="8" count="4">
            <x v="1"/>
            <x v="2"/>
            <x v="3"/>
            <x v="5"/>
          </reference>
        </references>
      </pivotArea>
    </format>
    <format dxfId="939">
      <pivotArea dataOnly="0" labelOnly="1" fieldPosition="0">
        <references count="2">
          <reference field="1" count="1" selected="0">
            <x v="2"/>
          </reference>
          <reference field="8" count="4">
            <x v="1"/>
            <x v="2"/>
            <x v="3"/>
            <x v="5"/>
          </reference>
        </references>
      </pivotArea>
    </format>
    <format dxfId="938">
      <pivotArea dataOnly="0" labelOnly="1" fieldPosition="0">
        <references count="2">
          <reference field="1" count="1" selected="0">
            <x v="6"/>
          </reference>
          <reference field="8" count="8">
            <x v="1"/>
            <x v="2"/>
            <x v="3"/>
            <x v="4"/>
            <x v="5"/>
            <x v="6"/>
            <x v="8"/>
            <x v="9"/>
          </reference>
        </references>
      </pivotArea>
    </format>
    <format dxfId="937">
      <pivotArea dataOnly="0" labelOnly="1" fieldPosition="0">
        <references count="2">
          <reference field="1" count="1" selected="0">
            <x v="7"/>
          </reference>
          <reference field="8" count="6">
            <x v="0"/>
            <x v="1"/>
            <x v="5"/>
            <x v="7"/>
            <x v="8"/>
            <x v="9"/>
          </reference>
        </references>
      </pivotArea>
    </format>
    <format dxfId="936">
      <pivotArea dataOnly="0" labelOnly="1" fieldPosition="0">
        <references count="2">
          <reference field="1" count="1" selected="0">
            <x v="8"/>
          </reference>
          <reference field="8" count="3">
            <x v="1"/>
            <x v="2"/>
            <x v="5"/>
          </reference>
        </references>
      </pivotArea>
    </format>
    <format dxfId="935">
      <pivotArea dataOnly="0" labelOnly="1" fieldPosition="0">
        <references count="2">
          <reference field="1" count="1" selected="0">
            <x v="9"/>
          </reference>
          <reference field="8" count="1">
            <x v="2"/>
          </reference>
        </references>
      </pivotArea>
    </format>
    <format dxfId="934">
      <pivotArea dataOnly="0" labelOnly="1" fieldPosition="0">
        <references count="2">
          <reference field="1" count="1" selected="0">
            <x v="13"/>
          </reference>
          <reference field="8" count="7">
            <x v="1"/>
            <x v="2"/>
            <x v="3"/>
            <x v="4"/>
            <x v="5"/>
            <x v="8"/>
            <x v="9"/>
          </reference>
        </references>
      </pivotArea>
    </format>
    <format dxfId="933">
      <pivotArea dataOnly="0" labelOnly="1" fieldPosition="0">
        <references count="2">
          <reference field="1" count="1" selected="0">
            <x v="15"/>
          </reference>
          <reference field="8" count="1">
            <x v="9"/>
          </reference>
        </references>
      </pivotArea>
    </format>
    <format dxfId="932">
      <pivotArea field="0" type="button" dataOnly="0" labelOnly="1" outline="0" axis="axisPage" fieldPosition="0"/>
    </format>
    <format dxfId="931">
      <pivotArea type="origin" dataOnly="0" labelOnly="1" outline="0" fieldPosition="0"/>
    </format>
    <format dxfId="930">
      <pivotArea field="1" type="button" dataOnly="0" labelOnly="1" outline="0" axis="axisRow" fieldPosition="0"/>
    </format>
    <format dxfId="929">
      <pivotArea dataOnly="0" labelOnly="1" fieldPosition="0">
        <references count="1">
          <reference field="1" count="9">
            <x v="1"/>
            <x v="3"/>
            <x v="4"/>
            <x v="5"/>
            <x v="7"/>
            <x v="10"/>
            <x v="11"/>
            <x v="12"/>
            <x v="14"/>
          </reference>
        </references>
      </pivotArea>
    </format>
    <format dxfId="928">
      <pivotArea dataOnly="0" labelOnly="1" grandRow="1" outline="0" fieldPosition="0"/>
    </format>
    <format dxfId="927">
      <pivotArea dataOnly="0" labelOnly="1" fieldPosition="0">
        <references count="2">
          <reference field="1" count="1" selected="0">
            <x v="10"/>
          </reference>
          <reference field="8" count="7">
            <x v="3"/>
            <x v="4"/>
            <x v="5"/>
            <x v="6"/>
            <x v="7"/>
            <x v="8"/>
            <x v="9"/>
          </reference>
        </references>
      </pivotArea>
    </format>
    <format dxfId="926">
      <pivotArea dataOnly="0" labelOnly="1" fieldPosition="0">
        <references count="2">
          <reference field="1" count="1" selected="0">
            <x v="7"/>
          </reference>
          <reference field="8" count="5">
            <x v="1"/>
            <x v="5"/>
            <x v="7"/>
            <x v="8"/>
            <x v="9"/>
          </reference>
        </references>
      </pivotArea>
    </format>
    <format dxfId="925">
      <pivotArea dataOnly="0" labelOnly="1" fieldPosition="0">
        <references count="2">
          <reference field="1" count="1" selected="0">
            <x v="1"/>
          </reference>
          <reference field="8" count="5">
            <x v="1"/>
            <x v="2"/>
            <x v="3"/>
            <x v="5"/>
            <x v="9"/>
          </reference>
        </references>
      </pivotArea>
    </format>
    <format dxfId="924">
      <pivotArea dataOnly="0" labelOnly="1" fieldPosition="0">
        <references count="2">
          <reference field="1" count="1" selected="0">
            <x v="5"/>
          </reference>
          <reference field="8" count="3">
            <x v="3"/>
            <x v="8"/>
            <x v="9"/>
          </reference>
        </references>
      </pivotArea>
    </format>
    <format dxfId="923">
      <pivotArea dataOnly="0" labelOnly="1" fieldPosition="0">
        <references count="2">
          <reference field="1" count="1" selected="0">
            <x v="12"/>
          </reference>
          <reference field="8" count="6">
            <x v="3"/>
            <x v="4"/>
            <x v="5"/>
            <x v="6"/>
            <x v="7"/>
            <x v="9"/>
          </reference>
        </references>
      </pivotArea>
    </format>
    <format dxfId="922">
      <pivotArea dataOnly="0" labelOnly="1" fieldPosition="0">
        <references count="2">
          <reference field="1" count="1" selected="0">
            <x v="11"/>
          </reference>
          <reference field="8" count="6">
            <x v="3"/>
            <x v="4"/>
            <x v="5"/>
            <x v="6"/>
            <x v="7"/>
            <x v="9"/>
          </reference>
        </references>
      </pivotArea>
    </format>
    <format dxfId="921">
      <pivotArea dataOnly="0" labelOnly="1" fieldPosition="0">
        <references count="2">
          <reference field="1" count="1" selected="0">
            <x v="14"/>
          </reference>
          <reference field="8" count="1">
            <x v="9"/>
          </reference>
        </references>
      </pivotArea>
    </format>
    <format dxfId="920">
      <pivotArea dataOnly="0" labelOnly="1" fieldPosition="0">
        <references count="2">
          <reference field="1" count="1" selected="0">
            <x v="4"/>
          </reference>
          <reference field="8" count="3">
            <x v="2"/>
            <x v="3"/>
            <x v="5"/>
          </reference>
        </references>
      </pivotArea>
    </format>
    <format dxfId="919">
      <pivotArea dataOnly="0" labelOnly="1" fieldPosition="0">
        <references count="2">
          <reference field="1" count="1" selected="0">
            <x v="3"/>
          </reference>
          <reference field="8" count="2">
            <x v="3"/>
            <x v="9"/>
          </reference>
        </references>
      </pivotArea>
    </format>
    <format dxfId="918">
      <pivotArea field="0" type="button" dataOnly="0" labelOnly="1" outline="0" axis="axisPage" fieldPosition="0"/>
    </format>
    <format dxfId="917">
      <pivotArea type="origin" dataOnly="0" labelOnly="1" outline="0" fieldPosition="0"/>
    </format>
    <format dxfId="916">
      <pivotArea field="1" type="button" dataOnly="0" labelOnly="1" outline="0" axis="axisRow" fieldPosition="0"/>
    </format>
    <format dxfId="915">
      <pivotArea dataOnly="0" labelOnly="1" fieldPosition="0">
        <references count="1">
          <reference field="1" count="9">
            <x v="1"/>
            <x v="3"/>
            <x v="4"/>
            <x v="5"/>
            <x v="7"/>
            <x v="10"/>
            <x v="11"/>
            <x v="12"/>
            <x v="14"/>
          </reference>
        </references>
      </pivotArea>
    </format>
    <format dxfId="914">
      <pivotArea dataOnly="0" labelOnly="1" grandRow="1" outline="0" fieldPosition="0"/>
    </format>
    <format dxfId="913">
      <pivotArea dataOnly="0" labelOnly="1" fieldPosition="0">
        <references count="2">
          <reference field="1" count="1" selected="0">
            <x v="10"/>
          </reference>
          <reference field="8" count="7">
            <x v="3"/>
            <x v="4"/>
            <x v="5"/>
            <x v="6"/>
            <x v="7"/>
            <x v="8"/>
            <x v="9"/>
          </reference>
        </references>
      </pivotArea>
    </format>
    <format dxfId="912">
      <pivotArea dataOnly="0" labelOnly="1" fieldPosition="0">
        <references count="2">
          <reference field="1" count="1" selected="0">
            <x v="7"/>
          </reference>
          <reference field="8" count="5">
            <x v="1"/>
            <x v="5"/>
            <x v="7"/>
            <x v="8"/>
            <x v="9"/>
          </reference>
        </references>
      </pivotArea>
    </format>
    <format dxfId="911">
      <pivotArea dataOnly="0" labelOnly="1" fieldPosition="0">
        <references count="2">
          <reference field="1" count="1" selected="0">
            <x v="1"/>
          </reference>
          <reference field="8" count="5">
            <x v="1"/>
            <x v="2"/>
            <x v="3"/>
            <x v="5"/>
            <x v="9"/>
          </reference>
        </references>
      </pivotArea>
    </format>
    <format dxfId="910">
      <pivotArea dataOnly="0" labelOnly="1" fieldPosition="0">
        <references count="2">
          <reference field="1" count="1" selected="0">
            <x v="5"/>
          </reference>
          <reference field="8" count="3">
            <x v="3"/>
            <x v="8"/>
            <x v="9"/>
          </reference>
        </references>
      </pivotArea>
    </format>
    <format dxfId="909">
      <pivotArea dataOnly="0" labelOnly="1" fieldPosition="0">
        <references count="2">
          <reference field="1" count="1" selected="0">
            <x v="12"/>
          </reference>
          <reference field="8" count="6">
            <x v="3"/>
            <x v="4"/>
            <x v="5"/>
            <x v="6"/>
            <x v="7"/>
            <x v="9"/>
          </reference>
        </references>
      </pivotArea>
    </format>
    <format dxfId="908">
      <pivotArea dataOnly="0" labelOnly="1" fieldPosition="0">
        <references count="2">
          <reference field="1" count="1" selected="0">
            <x v="11"/>
          </reference>
          <reference field="8" count="6">
            <x v="3"/>
            <x v="4"/>
            <x v="5"/>
            <x v="6"/>
            <x v="7"/>
            <x v="9"/>
          </reference>
        </references>
      </pivotArea>
    </format>
    <format dxfId="907">
      <pivotArea dataOnly="0" labelOnly="1" fieldPosition="0">
        <references count="2">
          <reference field="1" count="1" selected="0">
            <x v="14"/>
          </reference>
          <reference field="8" count="1">
            <x v="9"/>
          </reference>
        </references>
      </pivotArea>
    </format>
    <format dxfId="906">
      <pivotArea dataOnly="0" labelOnly="1" fieldPosition="0">
        <references count="2">
          <reference field="1" count="1" selected="0">
            <x v="4"/>
          </reference>
          <reference field="8" count="3">
            <x v="2"/>
            <x v="3"/>
            <x v="5"/>
          </reference>
        </references>
      </pivotArea>
    </format>
    <format dxfId="905">
      <pivotArea dataOnly="0" labelOnly="1" fieldPosition="0">
        <references count="2">
          <reference field="1" count="1" selected="0">
            <x v="3"/>
          </reference>
          <reference field="8" count="2">
            <x v="3"/>
            <x v="9"/>
          </reference>
        </references>
      </pivotArea>
    </format>
    <format dxfId="904">
      <pivotArea field="1" type="button" dataOnly="0" labelOnly="1" outline="0" axis="axisRow" fieldPosition="0"/>
    </format>
    <format dxfId="903">
      <pivotArea collapsedLevelsAreSubtotals="1" fieldPosition="0">
        <references count="1">
          <reference field="1" count="1">
            <x v="10"/>
          </reference>
        </references>
      </pivotArea>
    </format>
    <format dxfId="902">
      <pivotArea collapsedLevelsAreSubtotals="1" fieldPosition="0">
        <references count="2">
          <reference field="1" count="1" selected="0">
            <x v="10"/>
          </reference>
          <reference field="8" count="1">
            <x v="3"/>
          </reference>
        </references>
      </pivotArea>
    </format>
    <format dxfId="901">
      <pivotArea collapsedLevelsAreSubtotals="1" fieldPosition="0">
        <references count="2">
          <reference field="1" count="1" selected="0">
            <x v="10"/>
          </reference>
          <reference field="8" count="1">
            <x v="7"/>
          </reference>
        </references>
      </pivotArea>
    </format>
    <format dxfId="900">
      <pivotArea collapsedLevelsAreSubtotals="1" fieldPosition="0">
        <references count="2">
          <reference field="1" count="1" selected="0">
            <x v="10"/>
          </reference>
          <reference field="8" count="1">
            <x v="6"/>
          </reference>
        </references>
      </pivotArea>
    </format>
    <format dxfId="899">
      <pivotArea collapsedLevelsAreSubtotals="1" fieldPosition="0">
        <references count="2">
          <reference field="1" count="1" selected="0">
            <x v="10"/>
          </reference>
          <reference field="8" count="1">
            <x v="8"/>
          </reference>
        </references>
      </pivotArea>
    </format>
    <format dxfId="898">
      <pivotArea collapsedLevelsAreSubtotals="1" fieldPosition="0">
        <references count="2">
          <reference field="1" count="1" selected="0">
            <x v="10"/>
          </reference>
          <reference field="8" count="1">
            <x v="9"/>
          </reference>
        </references>
      </pivotArea>
    </format>
    <format dxfId="897">
      <pivotArea collapsedLevelsAreSubtotals="1" fieldPosition="0">
        <references count="2">
          <reference field="1" count="1" selected="0">
            <x v="10"/>
          </reference>
          <reference field="8" count="1">
            <x v="4"/>
          </reference>
        </references>
      </pivotArea>
    </format>
    <format dxfId="896">
      <pivotArea collapsedLevelsAreSubtotals="1" fieldPosition="0">
        <references count="2">
          <reference field="1" count="1" selected="0">
            <x v="10"/>
          </reference>
          <reference field="8" count="1">
            <x v="5"/>
          </reference>
        </references>
      </pivotArea>
    </format>
    <format dxfId="895">
      <pivotArea collapsedLevelsAreSubtotals="1" fieldPosition="0">
        <references count="1">
          <reference field="1" count="1">
            <x v="7"/>
          </reference>
        </references>
      </pivotArea>
    </format>
    <format dxfId="894">
      <pivotArea collapsedLevelsAreSubtotals="1" fieldPosition="0">
        <references count="2">
          <reference field="1" count="1" selected="0">
            <x v="7"/>
          </reference>
          <reference field="8" count="1">
            <x v="5"/>
          </reference>
        </references>
      </pivotArea>
    </format>
    <format dxfId="893">
      <pivotArea collapsedLevelsAreSubtotals="1" fieldPosition="0">
        <references count="2">
          <reference field="1" count="1" selected="0">
            <x v="7"/>
          </reference>
          <reference field="8" count="1">
            <x v="1"/>
          </reference>
        </references>
      </pivotArea>
    </format>
    <format dxfId="892">
      <pivotArea collapsedLevelsAreSubtotals="1" fieldPosition="0">
        <references count="2">
          <reference field="1" count="1" selected="0">
            <x v="7"/>
          </reference>
          <reference field="8" count="1">
            <x v="8"/>
          </reference>
        </references>
      </pivotArea>
    </format>
    <format dxfId="891">
      <pivotArea collapsedLevelsAreSubtotals="1" fieldPosition="0">
        <references count="2">
          <reference field="1" count="1" selected="0">
            <x v="7"/>
          </reference>
          <reference field="8" count="1">
            <x v="9"/>
          </reference>
        </references>
      </pivotArea>
    </format>
    <format dxfId="890">
      <pivotArea collapsedLevelsAreSubtotals="1" fieldPosition="0">
        <references count="2">
          <reference field="1" count="1" selected="0">
            <x v="7"/>
          </reference>
          <reference field="8" count="1">
            <x v="7"/>
          </reference>
        </references>
      </pivotArea>
    </format>
    <format dxfId="889">
      <pivotArea collapsedLevelsAreSubtotals="1" fieldPosition="0">
        <references count="1">
          <reference field="1" count="1">
            <x v="1"/>
          </reference>
        </references>
      </pivotArea>
    </format>
    <format dxfId="888">
      <pivotArea collapsedLevelsAreSubtotals="1" fieldPosition="0">
        <references count="2">
          <reference field="1" count="1" selected="0">
            <x v="1"/>
          </reference>
          <reference field="8" count="1">
            <x v="5"/>
          </reference>
        </references>
      </pivotArea>
    </format>
    <format dxfId="887">
      <pivotArea collapsedLevelsAreSubtotals="1" fieldPosition="0">
        <references count="2">
          <reference field="1" count="1" selected="0">
            <x v="1"/>
          </reference>
          <reference field="8" count="1">
            <x v="3"/>
          </reference>
        </references>
      </pivotArea>
    </format>
    <format dxfId="886">
      <pivotArea collapsedLevelsAreSubtotals="1" fieldPosition="0">
        <references count="2">
          <reference field="1" count="1" selected="0">
            <x v="1"/>
          </reference>
          <reference field="8" count="1">
            <x v="2"/>
          </reference>
        </references>
      </pivotArea>
    </format>
    <format dxfId="885">
      <pivotArea collapsedLevelsAreSubtotals="1" fieldPosition="0">
        <references count="2">
          <reference field="1" count="1" selected="0">
            <x v="1"/>
          </reference>
          <reference field="8" count="1">
            <x v="1"/>
          </reference>
        </references>
      </pivotArea>
    </format>
    <format dxfId="884">
      <pivotArea collapsedLevelsAreSubtotals="1" fieldPosition="0">
        <references count="2">
          <reference field="1" count="1" selected="0">
            <x v="1"/>
          </reference>
          <reference field="8" count="1">
            <x v="9"/>
          </reference>
        </references>
      </pivotArea>
    </format>
    <format dxfId="883">
      <pivotArea collapsedLevelsAreSubtotals="1" fieldPosition="0">
        <references count="1">
          <reference field="1" count="1">
            <x v="5"/>
          </reference>
        </references>
      </pivotArea>
    </format>
    <format dxfId="882">
      <pivotArea collapsedLevelsAreSubtotals="1" fieldPosition="0">
        <references count="2">
          <reference field="1" count="1" selected="0">
            <x v="5"/>
          </reference>
          <reference field="8" count="1">
            <x v="3"/>
          </reference>
        </references>
      </pivotArea>
    </format>
    <format dxfId="881">
      <pivotArea collapsedLevelsAreSubtotals="1" fieldPosition="0">
        <references count="2">
          <reference field="1" count="1" selected="0">
            <x v="5"/>
          </reference>
          <reference field="8" count="1">
            <x v="9"/>
          </reference>
        </references>
      </pivotArea>
    </format>
    <format dxfId="880">
      <pivotArea collapsedLevelsAreSubtotals="1" fieldPosition="0">
        <references count="2">
          <reference field="1" count="1" selected="0">
            <x v="5"/>
          </reference>
          <reference field="8" count="1">
            <x v="8"/>
          </reference>
        </references>
      </pivotArea>
    </format>
    <format dxfId="879">
      <pivotArea collapsedLevelsAreSubtotals="1" fieldPosition="0">
        <references count="1">
          <reference field="1" count="1">
            <x v="12"/>
          </reference>
        </references>
      </pivotArea>
    </format>
    <format dxfId="878">
      <pivotArea collapsedLevelsAreSubtotals="1" fieldPosition="0">
        <references count="2">
          <reference field="1" count="1" selected="0">
            <x v="12"/>
          </reference>
          <reference field="8" count="1">
            <x v="6"/>
          </reference>
        </references>
      </pivotArea>
    </format>
    <format dxfId="877">
      <pivotArea collapsedLevelsAreSubtotals="1" fieldPosition="0">
        <references count="2">
          <reference field="1" count="1" selected="0">
            <x v="12"/>
          </reference>
          <reference field="8" count="1">
            <x v="4"/>
          </reference>
        </references>
      </pivotArea>
    </format>
    <format dxfId="876">
      <pivotArea collapsedLevelsAreSubtotals="1" fieldPosition="0">
        <references count="2">
          <reference field="1" count="1" selected="0">
            <x v="12"/>
          </reference>
          <reference field="8" count="1">
            <x v="3"/>
          </reference>
        </references>
      </pivotArea>
    </format>
    <format dxfId="875">
      <pivotArea collapsedLevelsAreSubtotals="1" fieldPosition="0">
        <references count="2">
          <reference field="1" count="1" selected="0">
            <x v="12"/>
          </reference>
          <reference field="8" count="1">
            <x v="7"/>
          </reference>
        </references>
      </pivotArea>
    </format>
    <format dxfId="874">
      <pivotArea collapsedLevelsAreSubtotals="1" fieldPosition="0">
        <references count="2">
          <reference field="1" count="1" selected="0">
            <x v="12"/>
          </reference>
          <reference field="8" count="1">
            <x v="9"/>
          </reference>
        </references>
      </pivotArea>
    </format>
    <format dxfId="873">
      <pivotArea collapsedLevelsAreSubtotals="1" fieldPosition="0">
        <references count="2">
          <reference field="1" count="1" selected="0">
            <x v="12"/>
          </reference>
          <reference field="8" count="1">
            <x v="5"/>
          </reference>
        </references>
      </pivotArea>
    </format>
    <format dxfId="872">
      <pivotArea collapsedLevelsAreSubtotals="1" fieldPosition="0">
        <references count="1">
          <reference field="1" count="1">
            <x v="11"/>
          </reference>
        </references>
      </pivotArea>
    </format>
    <format dxfId="871">
      <pivotArea collapsedLevelsAreSubtotals="1" fieldPosition="0">
        <references count="2">
          <reference field="1" count="1" selected="0">
            <x v="11"/>
          </reference>
          <reference field="8" count="1">
            <x v="3"/>
          </reference>
        </references>
      </pivotArea>
    </format>
    <format dxfId="870">
      <pivotArea collapsedLevelsAreSubtotals="1" fieldPosition="0">
        <references count="2">
          <reference field="1" count="1" selected="0">
            <x v="11"/>
          </reference>
          <reference field="8" count="1">
            <x v="6"/>
          </reference>
        </references>
      </pivotArea>
    </format>
    <format dxfId="869">
      <pivotArea collapsedLevelsAreSubtotals="1" fieldPosition="0">
        <references count="2">
          <reference field="1" count="1" selected="0">
            <x v="11"/>
          </reference>
          <reference field="8" count="1">
            <x v="4"/>
          </reference>
        </references>
      </pivotArea>
    </format>
    <format dxfId="868">
      <pivotArea collapsedLevelsAreSubtotals="1" fieldPosition="0">
        <references count="2">
          <reference field="1" count="1" selected="0">
            <x v="11"/>
          </reference>
          <reference field="8" count="1">
            <x v="7"/>
          </reference>
        </references>
      </pivotArea>
    </format>
    <format dxfId="867">
      <pivotArea collapsedLevelsAreSubtotals="1" fieldPosition="0">
        <references count="2">
          <reference field="1" count="1" selected="0">
            <x v="11"/>
          </reference>
          <reference field="8" count="1">
            <x v="5"/>
          </reference>
        </references>
      </pivotArea>
    </format>
    <format dxfId="866">
      <pivotArea collapsedLevelsAreSubtotals="1" fieldPosition="0">
        <references count="2">
          <reference field="1" count="1" selected="0">
            <x v="11"/>
          </reference>
          <reference field="8" count="1">
            <x v="9"/>
          </reference>
        </references>
      </pivotArea>
    </format>
    <format dxfId="865">
      <pivotArea collapsedLevelsAreSubtotals="1" fieldPosition="0">
        <references count="1">
          <reference field="1" count="1">
            <x v="14"/>
          </reference>
        </references>
      </pivotArea>
    </format>
    <format dxfId="864">
      <pivotArea collapsedLevelsAreSubtotals="1" fieldPosition="0">
        <references count="2">
          <reference field="1" count="1" selected="0">
            <x v="14"/>
          </reference>
          <reference field="8" count="1">
            <x v="9"/>
          </reference>
        </references>
      </pivotArea>
    </format>
    <format dxfId="863">
      <pivotArea collapsedLevelsAreSubtotals="1" fieldPosition="0">
        <references count="1">
          <reference field="1" count="1">
            <x v="4"/>
          </reference>
        </references>
      </pivotArea>
    </format>
    <format dxfId="862">
      <pivotArea collapsedLevelsAreSubtotals="1" fieldPosition="0">
        <references count="2">
          <reference field="1" count="1" selected="0">
            <x v="4"/>
          </reference>
          <reference field="8" count="1">
            <x v="2"/>
          </reference>
        </references>
      </pivotArea>
    </format>
    <format dxfId="861">
      <pivotArea collapsedLevelsAreSubtotals="1" fieldPosition="0">
        <references count="2">
          <reference field="1" count="1" selected="0">
            <x v="4"/>
          </reference>
          <reference field="8" count="1">
            <x v="3"/>
          </reference>
        </references>
      </pivotArea>
    </format>
    <format dxfId="860">
      <pivotArea collapsedLevelsAreSubtotals="1" fieldPosition="0">
        <references count="2">
          <reference field="1" count="1" selected="0">
            <x v="4"/>
          </reference>
          <reference field="8" count="1">
            <x v="5"/>
          </reference>
        </references>
      </pivotArea>
    </format>
    <format dxfId="859">
      <pivotArea collapsedLevelsAreSubtotals="1" fieldPosition="0">
        <references count="1">
          <reference field="1" count="1">
            <x v="3"/>
          </reference>
        </references>
      </pivotArea>
    </format>
    <format dxfId="858">
      <pivotArea collapsedLevelsAreSubtotals="1" fieldPosition="0">
        <references count="2">
          <reference field="1" count="1" selected="0">
            <x v="3"/>
          </reference>
          <reference field="8" count="1">
            <x v="9"/>
          </reference>
        </references>
      </pivotArea>
    </format>
    <format dxfId="857">
      <pivotArea collapsedLevelsAreSubtotals="1" fieldPosition="0">
        <references count="2">
          <reference field="1" count="1" selected="0">
            <x v="3"/>
          </reference>
          <reference field="8" count="1">
            <x v="3"/>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TablaDinámica7" cacheId="54"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USAS">
  <location ref="C14:J31" firstHeaderRow="0" firstDataRow="1" firstDataCol="1"/>
  <pivotFields count="43">
    <pivotField showAll="0" sortType="descending">
      <items count="6">
        <item x="4"/>
        <item x="3"/>
        <item x="1"/>
        <item x="2"/>
        <item x="0"/>
        <item t="default"/>
      </items>
      <autoSortScope>
        <pivotArea dataOnly="0" outline="0" fieldPosition="0">
          <references count="1">
            <reference field="4294967294" count="1" selected="0">
              <x v="1"/>
            </reference>
          </references>
        </pivotArea>
      </autoSortScope>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1"/>
            </reference>
          </references>
        </pivotArea>
      </autoSortScope>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dataField="1" showAll="0"/>
    <pivotField numFmtId="3" showAll="0"/>
    <pivotField showAll="0"/>
    <pivotField numFmtId="3" showAll="0"/>
    <pivotField dataField="1" showAll="0"/>
    <pivotField numFmtId="3" showAll="0"/>
    <pivotField dataField="1" showAll="0"/>
    <pivotField numFmtId="3" showAll="0"/>
    <pivotField dataField="1" showAll="0"/>
    <pivotField numFmtId="3" showAll="0"/>
    <pivotField dataField="1" showAll="0"/>
    <pivotField numFmtId="3" showAll="0"/>
    <pivotField dataField="1" showAll="0"/>
    <pivotField showAll="0"/>
    <pivotField showAll="0"/>
    <pivotField showAll="0"/>
    <pivotField showAll="0"/>
    <pivotField showAll="0"/>
    <pivotField showAll="0"/>
    <pivotField showAll="0"/>
  </pivotFields>
  <rowFields count="1">
    <field x="1"/>
  </rowFields>
  <rowItems count="17">
    <i>
      <x v="10"/>
    </i>
    <i>
      <x v="7"/>
    </i>
    <i>
      <x v="13"/>
    </i>
    <i>
      <x v="6"/>
    </i>
    <i>
      <x v="12"/>
    </i>
    <i>
      <x v="11"/>
    </i>
    <i>
      <x v="1"/>
    </i>
    <i>
      <x/>
    </i>
    <i>
      <x v="5"/>
    </i>
    <i>
      <x v="14"/>
    </i>
    <i>
      <x v="4"/>
    </i>
    <i>
      <x v="2"/>
    </i>
    <i>
      <x v="8"/>
    </i>
    <i>
      <x v="15"/>
    </i>
    <i>
      <x v="3"/>
    </i>
    <i>
      <x v="9"/>
    </i>
    <i t="grand">
      <x/>
    </i>
  </rowItems>
  <colFields count="1">
    <field x="-2"/>
  </colFields>
  <colItems count="7">
    <i>
      <x/>
    </i>
    <i i="1">
      <x v="1"/>
    </i>
    <i i="2">
      <x v="2"/>
    </i>
    <i i="3">
      <x v="3"/>
    </i>
    <i i="4">
      <x v="4"/>
    </i>
    <i i="5">
      <x v="5"/>
    </i>
    <i i="6">
      <x v="6"/>
    </i>
  </colItems>
  <dataFields count="7">
    <dataField name="#  Intervenciones" fld="4" subtotal="count" baseField="0" baseItem="0"/>
    <dataField name="Al 2025 S/" fld="23" baseField="0" baseItem="0" numFmtId="172"/>
    <dataField name=" Año 1" fld="27" baseField="0" baseItem="0" numFmtId="172"/>
    <dataField name=" Año 2" fld="29" baseField="0" baseItem="0" numFmtId="172"/>
    <dataField name=" Año 3" fld="31" baseField="0" baseItem="0" numFmtId="172"/>
    <dataField name=" Año 4" fld="33" baseField="0" baseItem="0" numFmtId="172"/>
    <dataField name=" Año 5" fld="35" baseField="0" baseItem="0" numFmtId="172"/>
  </dataFields>
  <formats count="19">
    <format dxfId="285">
      <pivotArea outline="0" collapsedLevelsAreSubtotals="1" fieldPosition="0">
        <references count="1">
          <reference field="4294967294" count="5" selected="0">
            <x v="2"/>
            <x v="3"/>
            <x v="4"/>
            <x v="5"/>
            <x v="6"/>
          </reference>
        </references>
      </pivotArea>
    </format>
    <format dxfId="284">
      <pivotArea outline="0" collapsedLevelsAreSubtotals="1" fieldPosition="0">
        <references count="1">
          <reference field="4294967294" count="1" selected="0">
            <x v="1"/>
          </reference>
        </references>
      </pivotArea>
    </format>
    <format dxfId="283">
      <pivotArea field="0" type="button" dataOnly="0" labelOnly="1" outline="0"/>
    </format>
    <format dxfId="282">
      <pivotArea dataOnly="0" labelOnly="1" outline="0" fieldPosition="0">
        <references count="1">
          <reference field="4294967294" count="7">
            <x v="0"/>
            <x v="1"/>
            <x v="2"/>
            <x v="3"/>
            <x v="4"/>
            <x v="5"/>
            <x v="6"/>
          </reference>
        </references>
      </pivotArea>
    </format>
    <format dxfId="281">
      <pivotArea field="0" type="button" dataOnly="0" labelOnly="1" outline="0"/>
    </format>
    <format dxfId="280">
      <pivotArea dataOnly="0" labelOnly="1" outline="0" fieldPosition="0">
        <references count="1">
          <reference field="4294967294" count="7">
            <x v="0"/>
            <x v="1"/>
            <x v="2"/>
            <x v="3"/>
            <x v="4"/>
            <x v="5"/>
            <x v="6"/>
          </reference>
        </references>
      </pivotArea>
    </format>
    <format dxfId="279">
      <pivotArea dataOnly="0" labelOnly="1" grandRow="1" outline="0" fieldPosition="0"/>
    </format>
    <format dxfId="278">
      <pivotArea outline="0" collapsedLevelsAreSubtotals="1" fieldPosition="0">
        <references count="1">
          <reference field="4294967294" count="1" selected="0">
            <x v="0"/>
          </reference>
        </references>
      </pivotArea>
    </format>
    <format dxfId="277">
      <pivotArea field="0" type="button" dataOnly="0" labelOnly="1" outline="0"/>
    </format>
    <format dxfId="276">
      <pivotArea dataOnly="0" labelOnly="1" grandRow="1" outline="0" fieldPosition="0"/>
    </format>
    <format dxfId="275">
      <pivotArea field="0" type="button" dataOnly="0" labelOnly="1" outline="0"/>
    </format>
    <format dxfId="274">
      <pivotArea dataOnly="0" labelOnly="1" grandRow="1" outline="0" fieldPosition="0"/>
    </format>
    <format dxfId="273">
      <pivotArea dataOnly="0" labelOnly="1" fieldPosition="0">
        <references count="1">
          <reference field="1" count="1">
            <x v="10"/>
          </reference>
        </references>
      </pivotArea>
    </format>
    <format dxfId="272">
      <pivotArea collapsedLevelsAreSubtotals="1" fieldPosition="0">
        <references count="1">
          <reference field="1" count="1">
            <x v="10"/>
          </reference>
        </references>
      </pivotArea>
    </format>
    <format dxfId="271">
      <pivotArea dataOnly="0" labelOnly="1" fieldPosition="0">
        <references count="1">
          <reference field="1" count="1">
            <x v="10"/>
          </reference>
        </references>
      </pivotArea>
    </format>
    <format dxfId="270">
      <pivotArea collapsedLevelsAreSubtotals="1" fieldPosition="0">
        <references count="1">
          <reference field="1" count="0"/>
        </references>
      </pivotArea>
    </format>
    <format dxfId="269">
      <pivotArea dataOnly="0" labelOnly="1" fieldPosition="0">
        <references count="1">
          <reference field="1" count="0"/>
        </references>
      </pivotArea>
    </format>
    <format dxfId="268">
      <pivotArea dataOnly="0" labelOnly="1" fieldPosition="0">
        <references count="1">
          <reference field="1" count="0"/>
        </references>
      </pivotArea>
    </format>
    <format dxfId="267">
      <pivotArea field="1" type="button" dataOnly="0" labelOnly="1" outline="0" axis="axisRow" fieldPosition="0"/>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2"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SAS / INTERVENCIONES">
  <location ref="A3:D52" firstHeaderRow="0" firstDataRow="1" firstDataCol="1" rowPageCount="1" colPageCount="1"/>
  <pivotFields count="34">
    <pivotField axis="axisPage" showAll="0">
      <items count="6">
        <item x="3"/>
        <item x="1"/>
        <item x="2"/>
        <item x="0"/>
        <item x="4"/>
        <item t="default"/>
      </items>
    </pivotField>
    <pivotField axis="axisRow" showAll="0" sortType="descending">
      <items count="17">
        <item sd="0" x="13"/>
        <item sd="0" x="14"/>
        <item sd="0" x="11"/>
        <item sd="0" x="5"/>
        <item sd="0" x="4"/>
        <item sd="0" x="12"/>
        <item sd="0" x="15"/>
        <item sd="0" x="10"/>
        <item sd="0" x="6"/>
        <item sd="0" x="1"/>
        <item sd="0" x="2"/>
        <item sd="0" x="8"/>
        <item sd="0" x="7"/>
        <item x="0"/>
        <item x="3"/>
        <item x="9"/>
        <item t="default"/>
      </items>
      <autoSortScope>
        <pivotArea dataOnly="0" outline="0" fieldPosition="0">
          <references count="1">
            <reference field="4294967294" count="1" selected="0">
              <x v="1"/>
            </reference>
          </references>
        </pivotArea>
      </autoSortScope>
    </pivotField>
    <pivotField showAll="0"/>
    <pivotField showAll="0"/>
    <pivotField axis="axisRow" showAll="0">
      <items count="110">
        <item x="30"/>
        <item x="61"/>
        <item x="62"/>
        <item x="70"/>
        <item x="63"/>
        <item x="1"/>
        <item x="68"/>
        <item x="59"/>
        <item x="7"/>
        <item x="21"/>
        <item x="18"/>
        <item x="29"/>
        <item x="13"/>
        <item x="60"/>
        <item x="20"/>
        <item x="3"/>
        <item x="11"/>
        <item x="80"/>
        <item x="47"/>
        <item x="17"/>
        <item x="79"/>
        <item x="77"/>
        <item x="87"/>
        <item x="8"/>
        <item x="32"/>
        <item x="28"/>
        <item x="26"/>
        <item x="4"/>
        <item x="2"/>
        <item x="50"/>
        <item x="71"/>
        <item x="48"/>
        <item x="19"/>
        <item x="82"/>
        <item x="33"/>
        <item x="9"/>
        <item x="76"/>
        <item x="51"/>
        <item x="6"/>
        <item x="66"/>
        <item x="58"/>
        <item x="83"/>
        <item x="12"/>
        <item x="16"/>
        <item x="52"/>
        <item x="64"/>
        <item x="5"/>
        <item x="67"/>
        <item x="49"/>
        <item x="34"/>
        <item x="72"/>
        <item m="1" x="108"/>
        <item x="23"/>
        <item x="25"/>
        <item x="27"/>
        <item x="46"/>
        <item x="10"/>
        <item x="14"/>
        <item x="65"/>
        <item x="74"/>
        <item x="85"/>
        <item x="88"/>
        <item x="91"/>
        <item x="92"/>
        <item x="93"/>
        <item x="94"/>
        <item x="95"/>
        <item x="96"/>
        <item x="97"/>
        <item x="98"/>
        <item x="99"/>
        <item x="100"/>
        <item x="101"/>
        <item x="102"/>
        <item x="103"/>
        <item x="104"/>
        <item x="105"/>
        <item x="15"/>
        <item x="31"/>
        <item x="35"/>
        <item x="37"/>
        <item x="38"/>
        <item x="39"/>
        <item x="57"/>
        <item x="69"/>
        <item x="78"/>
        <item x="84"/>
        <item x="89"/>
        <item x="90"/>
        <item x="0"/>
        <item x="22"/>
        <item x="40"/>
        <item x="41"/>
        <item x="42"/>
        <item x="43"/>
        <item x="44"/>
        <item x="45"/>
        <item x="73"/>
        <item x="53"/>
        <item x="24"/>
        <item x="54"/>
        <item x="55"/>
        <item x="75"/>
        <item x="81"/>
        <item x="86"/>
        <item x="106"/>
        <item m="1" x="107"/>
        <item x="36"/>
        <item x="56"/>
        <item t="default"/>
      </items>
    </pivotField>
    <pivotField showAll="0"/>
    <pivotField showAll="0"/>
    <pivotField showAll="0"/>
    <pivotField showAll="0"/>
    <pivotField showAll="0"/>
    <pivotField showAll="0"/>
    <pivotField showAll="0"/>
    <pivotField showAll="0"/>
    <pivotField showAll="0"/>
    <pivotField dataField="1" numFmtId="171" showAll="0"/>
    <pivotField numFmtId="171" showAll="0"/>
    <pivotField showAll="0"/>
    <pivotField numFmtId="171" showAll="0"/>
    <pivotField showAll="0"/>
    <pivotField showAll="0"/>
    <pivotField dataField="1" numFmtId="171" showAll="0"/>
    <pivotField numFmtId="171" showAll="0"/>
    <pivotField numFmtId="171" showAll="0"/>
    <pivotField numFmtId="171" showAll="0"/>
    <pivotField numFmtId="171" showAll="0"/>
    <pivotField numFmtId="171" showAll="0"/>
    <pivotField numFmtId="171" showAll="0"/>
    <pivotField showAll="0"/>
    <pivotField showAll="0"/>
    <pivotField showAll="0"/>
    <pivotField showAll="0"/>
    <pivotField showAll="0"/>
    <pivotField showAll="0"/>
    <pivotField showAll="0"/>
  </pivotFields>
  <rowFields count="2">
    <field x="1"/>
    <field x="4"/>
  </rowFields>
  <rowItems count="49">
    <i>
      <x v="13"/>
    </i>
    <i r="1">
      <x v="5"/>
    </i>
    <i r="1">
      <x v="8"/>
    </i>
    <i r="1">
      <x v="12"/>
    </i>
    <i r="1">
      <x v="13"/>
    </i>
    <i r="1">
      <x v="15"/>
    </i>
    <i r="1">
      <x v="16"/>
    </i>
    <i r="1">
      <x v="23"/>
    </i>
    <i r="1">
      <x v="27"/>
    </i>
    <i r="1">
      <x v="28"/>
    </i>
    <i r="1">
      <x v="35"/>
    </i>
    <i r="1">
      <x v="38"/>
    </i>
    <i r="1">
      <x v="42"/>
    </i>
    <i r="1">
      <x v="46"/>
    </i>
    <i r="1">
      <x v="56"/>
    </i>
    <i r="1">
      <x v="57"/>
    </i>
    <i r="1">
      <x v="77"/>
    </i>
    <i r="1">
      <x v="89"/>
    </i>
    <i>
      <x v="7"/>
    </i>
    <i>
      <x v="14"/>
    </i>
    <i r="1">
      <x v="9"/>
    </i>
    <i r="1">
      <x v="14"/>
    </i>
    <i r="1">
      <x v="26"/>
    </i>
    <i r="1">
      <x v="52"/>
    </i>
    <i r="1">
      <x v="53"/>
    </i>
    <i r="1">
      <x v="54"/>
    </i>
    <i r="1">
      <x v="90"/>
    </i>
    <i r="1">
      <x v="98"/>
    </i>
    <i r="1">
      <x v="99"/>
    </i>
    <i r="1">
      <x v="100"/>
    </i>
    <i>
      <x v="6"/>
    </i>
    <i>
      <x v="10"/>
    </i>
    <i>
      <x v="9"/>
    </i>
    <i>
      <x v="1"/>
    </i>
    <i>
      <x/>
    </i>
    <i>
      <x v="5"/>
    </i>
    <i>
      <x v="15"/>
    </i>
    <i r="1">
      <x v="92"/>
    </i>
    <i r="1">
      <x v="93"/>
    </i>
    <i r="1">
      <x v="94"/>
    </i>
    <i r="1">
      <x v="95"/>
    </i>
    <i r="1">
      <x v="96"/>
    </i>
    <i>
      <x v="4"/>
    </i>
    <i>
      <x v="2"/>
    </i>
    <i>
      <x v="8"/>
    </i>
    <i>
      <x v="11"/>
    </i>
    <i>
      <x v="3"/>
    </i>
    <i>
      <x v="12"/>
    </i>
    <i t="grand">
      <x/>
    </i>
  </rowItems>
  <colFields count="1">
    <field x="-2"/>
  </colFields>
  <colItems count="3">
    <i>
      <x/>
    </i>
    <i i="1">
      <x v="1"/>
    </i>
    <i i="2">
      <x v="2"/>
    </i>
  </colItems>
  <pageFields count="1">
    <pageField fld="0" hier="-1"/>
  </pageFields>
  <dataFields count="3">
    <dataField name="# Intervenciones" fld="14" subtotal="count" baseField="1" baseItem="0"/>
    <dataField name=" 2025 S/" fld="20" baseField="0" baseItem="0" numFmtId="172"/>
    <dataField name="%" fld="20" showDataAs="percentOfCol" baseField="1" baseItem="9" numFmtId="10"/>
  </dataFields>
  <formats count="44">
    <format dxfId="2013">
      <pivotArea field="0" type="button" dataOnly="0" labelOnly="1" outline="0" axis="axisPage" fieldPosition="0"/>
    </format>
    <format dxfId="2012">
      <pivotArea field="1" type="button" dataOnly="0" labelOnly="1" outline="0" axis="axisRow" fieldPosition="0"/>
    </format>
    <format dxfId="2011">
      <pivotArea dataOnly="0" labelOnly="1" grandRow="1" outline="0" fieldPosition="0"/>
    </format>
    <format dxfId="2010">
      <pivotArea outline="0" collapsedLevelsAreSubtotals="1" fieldPosition="0">
        <references count="1">
          <reference field="4294967294" count="1" selected="0">
            <x v="1"/>
          </reference>
        </references>
      </pivotArea>
    </format>
    <format dxfId="2009">
      <pivotArea field="0" type="button" dataOnly="0" labelOnly="1" outline="0" axis="axisPage" fieldPosition="0"/>
    </format>
    <format dxfId="2008">
      <pivotArea field="0" type="button" dataOnly="0" labelOnly="1" outline="0" axis="axisPage" fieldPosition="0"/>
    </format>
    <format dxfId="2007">
      <pivotArea field="0" type="button" dataOnly="0" labelOnly="1" outline="0" axis="axisPage" fieldPosition="0"/>
    </format>
    <format dxfId="2006">
      <pivotArea field="0" type="button" dataOnly="0" labelOnly="1" outline="0" axis="axisPage" fieldPosition="0"/>
    </format>
    <format dxfId="2005">
      <pivotArea field="0" type="button" dataOnly="0" labelOnly="1" outline="0" axis="axisPage" fieldPosition="0"/>
    </format>
    <format dxfId="2004">
      <pivotArea dataOnly="0" labelOnly="1" outline="0" fieldPosition="0">
        <references count="1">
          <reference field="0" count="0"/>
        </references>
      </pivotArea>
    </format>
    <format dxfId="2003">
      <pivotArea dataOnly="0" labelOnly="1" outline="0" fieldPosition="0">
        <references count="1">
          <reference field="0" count="0"/>
        </references>
      </pivotArea>
    </format>
    <format dxfId="2002">
      <pivotArea field="1" type="button" dataOnly="0" labelOnly="1" outline="0" axis="axisRow" fieldPosition="0"/>
    </format>
    <format dxfId="2001">
      <pivotArea field="1" type="button" dataOnly="0" labelOnly="1" outline="0" axis="axisRow" fieldPosition="0"/>
    </format>
    <format dxfId="2000">
      <pivotArea dataOnly="0" labelOnly="1" grandRow="1" outline="0" fieldPosition="0"/>
    </format>
    <format dxfId="1999">
      <pivotArea field="1" type="button" dataOnly="0" labelOnly="1" outline="0" axis="axisRow" fieldPosition="0"/>
    </format>
    <format dxfId="1998">
      <pivotArea dataOnly="0" labelOnly="1" outline="0" fieldPosition="0">
        <references count="1">
          <reference field="4294967294" count="2">
            <x v="0"/>
            <x v="1"/>
          </reference>
        </references>
      </pivotArea>
    </format>
    <format dxfId="1997">
      <pivotArea field="1" type="button" dataOnly="0" labelOnly="1" outline="0" axis="axisRow" fieldPosition="0"/>
    </format>
    <format dxfId="1996">
      <pivotArea dataOnly="0" labelOnly="1" outline="0" fieldPosition="0">
        <references count="1">
          <reference field="4294967294" count="2">
            <x v="0"/>
            <x v="1"/>
          </reference>
        </references>
      </pivotArea>
    </format>
    <format dxfId="1995">
      <pivotArea field="1" type="button" dataOnly="0" labelOnly="1" outline="0" axis="axisRow" fieldPosition="0"/>
    </format>
    <format dxfId="1994">
      <pivotArea dataOnly="0" labelOnly="1" outline="0" fieldPosition="0">
        <references count="1">
          <reference field="4294967294" count="2">
            <x v="0"/>
            <x v="1"/>
          </reference>
        </references>
      </pivotArea>
    </format>
    <format dxfId="1993">
      <pivotArea grandRow="1" outline="0" collapsedLevelsAreSubtotals="1" fieldPosition="0"/>
    </format>
    <format dxfId="1992">
      <pivotArea dataOnly="0" labelOnly="1" grandRow="1" outline="0" fieldPosition="0"/>
    </format>
    <format dxfId="1991">
      <pivotArea grandRow="1" outline="0" collapsedLevelsAreSubtotals="1" fieldPosition="0"/>
    </format>
    <format dxfId="1990">
      <pivotArea dataOnly="0" labelOnly="1" grandRow="1" outline="0" fieldPosition="0"/>
    </format>
    <format dxfId="1989">
      <pivotArea grandRow="1" outline="0" collapsedLevelsAreSubtotals="1" fieldPosition="0"/>
    </format>
    <format dxfId="1988">
      <pivotArea dataOnly="0" labelOnly="1" grandRow="1" outline="0" fieldPosition="0"/>
    </format>
    <format dxfId="1987">
      <pivotArea outline="0" fieldPosition="0">
        <references count="1">
          <reference field="4294967294" count="1">
            <x v="2"/>
          </reference>
        </references>
      </pivotArea>
    </format>
    <format dxfId="1986">
      <pivotArea dataOnly="0" labelOnly="1" outline="0" fieldPosition="0">
        <references count="1">
          <reference field="4294967294" count="1">
            <x v="2"/>
          </reference>
        </references>
      </pivotArea>
    </format>
    <format dxfId="1985">
      <pivotArea dataOnly="0" labelOnly="1" outline="0" fieldPosition="0">
        <references count="1">
          <reference field="4294967294" count="1">
            <x v="2"/>
          </reference>
        </references>
      </pivotArea>
    </format>
    <format dxfId="1984">
      <pivotArea dataOnly="0" labelOnly="1" outline="0" fieldPosition="0">
        <references count="1">
          <reference field="4294967294" count="1">
            <x v="2"/>
          </reference>
        </references>
      </pivotArea>
    </format>
    <format dxfId="1983">
      <pivotArea field="0" type="button" dataOnly="0" labelOnly="1" outline="0" axis="axisPage" fieldPosition="0"/>
    </format>
    <format dxfId="1982">
      <pivotArea field="1" type="button" dataOnly="0" labelOnly="1" outline="0" axis="axisRow" fieldPosition="0"/>
    </format>
    <format dxfId="1981">
      <pivotArea dataOnly="0" labelOnly="1" fieldPosition="0">
        <references count="1">
          <reference field="1" count="0"/>
        </references>
      </pivotArea>
    </format>
    <format dxfId="1980">
      <pivotArea dataOnly="0" labelOnly="1" grandRow="1" outline="0" fieldPosition="0"/>
    </format>
    <format dxfId="1979">
      <pivotArea outline="0" collapsedLevelsAreSubtotals="1" fieldPosition="0">
        <references count="1">
          <reference field="4294967294" count="1" selected="0">
            <x v="0"/>
          </reference>
        </references>
      </pivotArea>
    </format>
    <format dxfId="1978">
      <pivotArea dataOnly="0" labelOnly="1" outline="0" fieldPosition="0">
        <references count="1">
          <reference field="4294967294" count="1">
            <x v="1"/>
          </reference>
        </references>
      </pivotArea>
    </format>
    <format dxfId="1977">
      <pivotArea collapsedLevelsAreSubtotals="1" fieldPosition="0">
        <references count="2">
          <reference field="4294967294" count="1" selected="0">
            <x v="0"/>
          </reference>
          <reference field="1" count="1">
            <x v="10"/>
          </reference>
        </references>
      </pivotArea>
    </format>
    <format dxfId="1976">
      <pivotArea collapsedLevelsAreSubtotals="1" fieldPosition="0">
        <references count="2">
          <reference field="4294967294" count="1" selected="0">
            <x v="0"/>
          </reference>
          <reference field="1" count="1">
            <x v="1"/>
          </reference>
        </references>
      </pivotArea>
    </format>
    <format dxfId="1975">
      <pivotArea collapsedLevelsAreSubtotals="1" fieldPosition="0">
        <references count="2">
          <reference field="4294967294" count="1" selected="0">
            <x v="0"/>
          </reference>
          <reference field="1" count="1">
            <x v="5"/>
          </reference>
        </references>
      </pivotArea>
    </format>
    <format dxfId="1974">
      <pivotArea collapsedLevelsAreSubtotals="1" fieldPosition="0">
        <references count="2">
          <reference field="4294967294" count="1" selected="0">
            <x v="0"/>
          </reference>
          <reference field="1" count="1">
            <x v="2"/>
          </reference>
        </references>
      </pivotArea>
    </format>
    <format dxfId="1973">
      <pivotArea collapsedLevelsAreSubtotals="1" fieldPosition="0">
        <references count="2">
          <reference field="4294967294" count="1" selected="0">
            <x v="0"/>
          </reference>
          <reference field="1" count="1">
            <x v="11"/>
          </reference>
        </references>
      </pivotArea>
    </format>
    <format dxfId="1972">
      <pivotArea collapsedLevelsAreSubtotals="1" fieldPosition="0">
        <references count="2">
          <reference field="4294967294" count="1" selected="0">
            <x v="0"/>
          </reference>
          <reference field="1" count="1">
            <x v="12"/>
          </reference>
        </references>
      </pivotArea>
    </format>
    <format dxfId="1971">
      <pivotArea outline="0" collapsedLevelsAreSubtotals="1" fieldPosition="0">
        <references count="1">
          <reference field="4294967294" count="1" selected="0">
            <x v="2"/>
          </reference>
        </references>
      </pivotArea>
    </format>
    <format dxfId="1970">
      <pivotArea outline="0" collapsedLevelsAreSubtotals="1" fieldPosition="0">
        <references count="1">
          <reference field="4294967294" count="1" selected="0">
            <x v="1"/>
          </reference>
        </references>
      </pivotArea>
    </format>
  </formats>
  <conditionalFormats count="6">
    <conditionalFormat priority="2">
      <pivotAreas count="1">
        <pivotArea type="data" collapsedLevelsAreSubtotals="1" fieldPosition="0">
          <references count="1">
            <reference field="1" count="1">
              <x v="12"/>
            </reference>
          </references>
        </pivotArea>
      </pivotAreas>
    </conditionalFormat>
    <conditionalFormat priority="3">
      <pivotAreas count="1">
        <pivotArea type="data" collapsedLevelsAreSubtotals="1" fieldPosition="0">
          <references count="1">
            <reference field="1" count="1">
              <x v="11"/>
            </reference>
          </references>
        </pivotArea>
      </pivotAreas>
    </conditionalFormat>
    <conditionalFormat priority="4">
      <pivotAreas count="1">
        <pivotArea type="data" collapsedLevelsAreSubtotals="1" fieldPosition="0">
          <references count="1">
            <reference field="1" count="1">
              <x v="2"/>
            </reference>
          </references>
        </pivotArea>
      </pivotAreas>
    </conditionalFormat>
    <conditionalFormat priority="5">
      <pivotAreas count="1">
        <pivotArea type="data" collapsedLevelsAreSubtotals="1" fieldPosition="0">
          <references count="1">
            <reference field="1" count="1">
              <x v="5"/>
            </reference>
          </references>
        </pivotArea>
      </pivotAreas>
    </conditionalFormat>
    <conditionalFormat priority="6">
      <pivotAreas count="1">
        <pivotArea type="data" collapsedLevelsAreSubtotals="1" fieldPosition="0">
          <references count="1">
            <reference field="1" count="1">
              <x v="1"/>
            </reference>
          </references>
        </pivotArea>
      </pivotAreas>
    </conditionalFormat>
    <conditionalFormat priority="7">
      <pivotAreas count="1">
        <pivotArea type="data" collapsedLevelsAreSubtotals="1" fieldPosition="0">
          <references count="1">
            <reference field="1" count="1">
              <x v="1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TablaDinámica6" cacheId="54"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UDTs">
  <location ref="C4:J10" firstHeaderRow="0" firstDataRow="1" firstDataCol="1"/>
  <pivotFields count="43">
    <pivotField axis="axisRow" showAll="0" sortType="descending">
      <items count="6">
        <item x="4"/>
        <item x="3"/>
        <item x="1"/>
        <item x="2"/>
        <item x="0"/>
        <item t="default"/>
      </items>
      <autoSortScope>
        <pivotArea dataOnly="0" outline="0" fieldPosition="0">
          <references count="1">
            <reference field="4294967294" count="1" selected="0">
              <x v="1"/>
            </reference>
          </references>
        </pivotArea>
      </autoSortScope>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dataField="1" showAll="0"/>
    <pivotField numFmtId="3" showAll="0"/>
    <pivotField showAll="0"/>
    <pivotField numFmtId="3" showAll="0"/>
    <pivotField dataField="1" showAll="0"/>
    <pivotField numFmtId="3" showAll="0"/>
    <pivotField dataField="1" showAll="0"/>
    <pivotField numFmtId="3" showAll="0"/>
    <pivotField dataField="1" showAll="0"/>
    <pivotField numFmtId="3" showAll="0"/>
    <pivotField dataField="1" showAll="0"/>
    <pivotField numFmtId="3" showAll="0"/>
    <pivotField dataField="1" showAll="0"/>
    <pivotField showAll="0"/>
    <pivotField showAll="0"/>
    <pivotField showAll="0"/>
    <pivotField showAll="0"/>
    <pivotField showAll="0"/>
    <pivotField showAll="0"/>
    <pivotField showAll="0"/>
  </pivotFields>
  <rowFields count="1">
    <field x="0"/>
  </rowFields>
  <rowItems count="6">
    <i>
      <x v="4"/>
    </i>
    <i>
      <x v="2"/>
    </i>
    <i>
      <x v="1"/>
    </i>
    <i>
      <x v="3"/>
    </i>
    <i>
      <x/>
    </i>
    <i t="grand">
      <x/>
    </i>
  </rowItems>
  <colFields count="1">
    <field x="-2"/>
  </colFields>
  <colItems count="7">
    <i>
      <x/>
    </i>
    <i i="1">
      <x v="1"/>
    </i>
    <i i="2">
      <x v="2"/>
    </i>
    <i i="3">
      <x v="3"/>
    </i>
    <i i="4">
      <x v="4"/>
    </i>
    <i i="5">
      <x v="5"/>
    </i>
    <i i="6">
      <x v="6"/>
    </i>
  </colItems>
  <dataFields count="7">
    <dataField name="#  Intervenciones" fld="4" subtotal="count" baseField="0" baseItem="0"/>
    <dataField name="Al 2025 S/" fld="23" baseField="0" baseItem="0" numFmtId="172"/>
    <dataField name=" Año 1" fld="27" baseField="0" baseItem="0" numFmtId="172"/>
    <dataField name=" Año 2" fld="29" baseField="0" baseItem="0" numFmtId="172"/>
    <dataField name=" Año 3" fld="31" baseField="0" baseItem="0" numFmtId="172"/>
    <dataField name=" Año 4" fld="33" baseField="0" baseItem="0" numFmtId="172"/>
    <dataField name=" Año 5" fld="35" baseField="0" baseItem="0" numFmtId="172"/>
  </dataFields>
  <formats count="20">
    <format dxfId="305">
      <pivotArea outline="0" collapsedLevelsAreSubtotals="1" fieldPosition="0">
        <references count="1">
          <reference field="4294967294" count="5" selected="0">
            <x v="2"/>
            <x v="3"/>
            <x v="4"/>
            <x v="5"/>
            <x v="6"/>
          </reference>
        </references>
      </pivotArea>
    </format>
    <format dxfId="304">
      <pivotArea outline="0" collapsedLevelsAreSubtotals="1" fieldPosition="0">
        <references count="1">
          <reference field="4294967294" count="1" selected="0">
            <x v="1"/>
          </reference>
        </references>
      </pivotArea>
    </format>
    <format dxfId="303">
      <pivotArea field="0" type="button" dataOnly="0" labelOnly="1" outline="0" axis="axisRow" fieldPosition="0"/>
    </format>
    <format dxfId="302">
      <pivotArea dataOnly="0" labelOnly="1" outline="0" fieldPosition="0">
        <references count="1">
          <reference field="4294967294" count="7">
            <x v="0"/>
            <x v="1"/>
            <x v="2"/>
            <x v="3"/>
            <x v="4"/>
            <x v="5"/>
            <x v="6"/>
          </reference>
        </references>
      </pivotArea>
    </format>
    <format dxfId="301">
      <pivotArea field="0" type="button" dataOnly="0" labelOnly="1" outline="0" axis="axisRow" fieldPosition="0"/>
    </format>
    <format dxfId="300">
      <pivotArea dataOnly="0" labelOnly="1" outline="0" fieldPosition="0">
        <references count="1">
          <reference field="4294967294" count="7">
            <x v="0"/>
            <x v="1"/>
            <x v="2"/>
            <x v="3"/>
            <x v="4"/>
            <x v="5"/>
            <x v="6"/>
          </reference>
        </references>
      </pivotArea>
    </format>
    <format dxfId="299">
      <pivotArea dataOnly="0" labelOnly="1" grandRow="1" outline="0" fieldPosition="0"/>
    </format>
    <format dxfId="298">
      <pivotArea outline="0" collapsedLevelsAreSubtotals="1" fieldPosition="0">
        <references count="1">
          <reference field="4294967294" count="1" selected="0">
            <x v="0"/>
          </reference>
        </references>
      </pivotArea>
    </format>
    <format dxfId="297">
      <pivotArea field="0" type="button" dataOnly="0" labelOnly="1" outline="0" axis="axisRow" fieldPosition="0"/>
    </format>
    <format dxfId="296">
      <pivotArea dataOnly="0" labelOnly="1" fieldPosition="0">
        <references count="1">
          <reference field="0" count="0"/>
        </references>
      </pivotArea>
    </format>
    <format dxfId="295">
      <pivotArea dataOnly="0" labelOnly="1" grandRow="1" outline="0" fieldPosition="0"/>
    </format>
    <format dxfId="294">
      <pivotArea field="0" type="button" dataOnly="0" labelOnly="1" outline="0" axis="axisRow" fieldPosition="0"/>
    </format>
    <format dxfId="293">
      <pivotArea dataOnly="0" labelOnly="1" fieldPosition="0">
        <references count="1">
          <reference field="0" count="0"/>
        </references>
      </pivotArea>
    </format>
    <format dxfId="292">
      <pivotArea dataOnly="0" labelOnly="1" grandRow="1" outline="0" fieldPosition="0"/>
    </format>
    <format dxfId="291">
      <pivotArea collapsedLevelsAreSubtotals="1" fieldPosition="0">
        <references count="1">
          <reference field="0" count="1">
            <x v="4"/>
          </reference>
        </references>
      </pivotArea>
    </format>
    <format dxfId="290">
      <pivotArea dataOnly="0" labelOnly="1" fieldPosition="0">
        <references count="1">
          <reference field="0" count="1">
            <x v="4"/>
          </reference>
        </references>
      </pivotArea>
    </format>
    <format dxfId="289">
      <pivotArea collapsedLevelsAreSubtotals="1" fieldPosition="0">
        <references count="1">
          <reference field="0" count="0"/>
        </references>
      </pivotArea>
    </format>
    <format dxfId="288">
      <pivotArea dataOnly="0" labelOnly="1" fieldPosition="0">
        <references count="1">
          <reference field="0" count="0"/>
        </references>
      </pivotArea>
    </format>
    <format dxfId="287">
      <pivotArea dataOnly="0" labelOnly="1" fieldPosition="0">
        <references count="1">
          <reference field="0" count="0"/>
        </references>
      </pivotArea>
    </format>
    <format dxfId="286">
      <pivotArea dataOnly="0" labelOnly="1" fieldPosition="0">
        <references count="1">
          <reference field="0" count="4">
            <x v="0"/>
            <x v="1"/>
            <x v="2"/>
            <x v="3"/>
          </reference>
        </references>
      </pivotArea>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TablaDinámica11" cacheId="54"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INTERVENCIONES">
  <location ref="C85:J193" firstHeaderRow="0" firstDataRow="1" firstDataCol="1"/>
  <pivotFields count="43">
    <pivotField showAll="0" sortType="descending">
      <items count="6">
        <item x="4"/>
        <item x="3"/>
        <item x="1"/>
        <item x="2"/>
        <item x="0"/>
        <item t="default"/>
      </items>
      <autoSortScope>
        <pivotArea dataOnly="0" outline="0" fieldPosition="0">
          <references count="1">
            <reference field="4294967294" count="1" selected="0">
              <x v="1"/>
            </reference>
          </references>
        </pivotArea>
      </autoSortScope>
    </pivotField>
    <pivotField showAll="0"/>
    <pivotField showAll="0"/>
    <pivotField showAll="0"/>
    <pivotField axis="axisRow" dataField="1" showAll="0" sortType="descending">
      <items count="108">
        <item x="30"/>
        <item x="85"/>
        <item x="61"/>
        <item x="62"/>
        <item x="92"/>
        <item x="70"/>
        <item x="46"/>
        <item x="40"/>
        <item x="63"/>
        <item x="75"/>
        <item x="1"/>
        <item x="68"/>
        <item x="59"/>
        <item x="7"/>
        <item x="21"/>
        <item x="18"/>
        <item x="29"/>
        <item x="97"/>
        <item x="99"/>
        <item x="13"/>
        <item x="60"/>
        <item x="20"/>
        <item x="44"/>
        <item x="89"/>
        <item x="42"/>
        <item x="106"/>
        <item x="69"/>
        <item x="100"/>
        <item x="91"/>
        <item x="31"/>
        <item x="3"/>
        <item x="35"/>
        <item x="84"/>
        <item x="23"/>
        <item x="41"/>
        <item x="11"/>
        <item x="80"/>
        <item x="96"/>
        <item x="103"/>
        <item x="104"/>
        <item x="47"/>
        <item x="24"/>
        <item x="17"/>
        <item x="10"/>
        <item x="79"/>
        <item x="98"/>
        <item x="105"/>
        <item x="101"/>
        <item x="102"/>
        <item x="77"/>
        <item x="87"/>
        <item x="95"/>
        <item x="8"/>
        <item x="55"/>
        <item x="32"/>
        <item x="28"/>
        <item x="26"/>
        <item x="43"/>
        <item x="4"/>
        <item x="2"/>
        <item x="50"/>
        <item x="71"/>
        <item x="48"/>
        <item x="19"/>
        <item x="82"/>
        <item x="33"/>
        <item x="0"/>
        <item x="9"/>
        <item x="93"/>
        <item x="81"/>
        <item x="78"/>
        <item x="76"/>
        <item x="51"/>
        <item x="74"/>
        <item x="6"/>
        <item x="66"/>
        <item x="39"/>
        <item x="58"/>
        <item x="38"/>
        <item x="22"/>
        <item x="83"/>
        <item x="12"/>
        <item x="86"/>
        <item x="16"/>
        <item x="57"/>
        <item x="37"/>
        <item x="52"/>
        <item x="14"/>
        <item x="90"/>
        <item x="15"/>
        <item x="65"/>
        <item x="56"/>
        <item x="36"/>
        <item x="64"/>
        <item x="88"/>
        <item x="5"/>
        <item x="67"/>
        <item x="45"/>
        <item x="49"/>
        <item x="34"/>
        <item x="27"/>
        <item x="94"/>
        <item x="53"/>
        <item x="25"/>
        <item x="54"/>
        <item x="72"/>
        <item x="73"/>
        <item t="default"/>
      </items>
      <autoSortScope>
        <pivotArea dataOnly="0" outline="0" fieldPosition="0">
          <references count="1">
            <reference field="4294967294" count="1" selected="0">
              <x v="1"/>
            </reference>
          </references>
        </pivotArea>
      </autoSortScope>
    </pivotField>
    <pivotField showAll="0"/>
    <pivotField showAll="0"/>
    <pivotField showAll="0" sortType="descending">
      <items count="4">
        <item x="2"/>
        <item x="0"/>
        <item x="1"/>
        <item t="default"/>
      </items>
      <autoSortScope>
        <pivotArea dataOnly="0" outline="0" fieldPosition="0">
          <references count="1">
            <reference field="4294967294" count="1" selected="0">
              <x v="0"/>
            </reference>
          </references>
        </pivotArea>
      </autoSortScope>
    </pivotField>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3" showAll="0"/>
    <pivotField dataField="1" showAll="0"/>
    <pivotField numFmtId="3" showAll="0"/>
    <pivotField showAll="0"/>
    <pivotField numFmtId="3" showAll="0"/>
    <pivotField dataField="1" showAll="0"/>
    <pivotField numFmtId="3" showAll="0"/>
    <pivotField dataField="1" showAll="0"/>
    <pivotField numFmtId="3" showAll="0"/>
    <pivotField dataField="1" showAll="0"/>
    <pivotField numFmtId="3" showAll="0"/>
    <pivotField dataField="1" showAll="0"/>
    <pivotField numFmtId="3" showAll="0"/>
    <pivotField dataField="1" showAll="0"/>
    <pivotField showAll="0"/>
    <pivotField showAll="0"/>
    <pivotField showAll="0"/>
    <pivotField showAll="0"/>
    <pivotField showAll="0"/>
    <pivotField showAll="0"/>
    <pivotField showAll="0"/>
  </pivotFields>
  <rowFields count="1">
    <field x="4"/>
  </rowFields>
  <rowItems count="108">
    <i>
      <x v="67"/>
    </i>
    <i>
      <x v="62"/>
    </i>
    <i>
      <x v="74"/>
    </i>
    <i>
      <x v="58"/>
    </i>
    <i>
      <x v="30"/>
    </i>
    <i>
      <x v="95"/>
    </i>
    <i>
      <x v="56"/>
    </i>
    <i>
      <x v="66"/>
    </i>
    <i>
      <x v="96"/>
    </i>
    <i>
      <x v="60"/>
    </i>
    <i>
      <x v="59"/>
    </i>
    <i>
      <x v="73"/>
    </i>
    <i>
      <x v="100"/>
    </i>
    <i>
      <x v="10"/>
    </i>
    <i>
      <x v="42"/>
    </i>
    <i>
      <x v="81"/>
    </i>
    <i>
      <x v="2"/>
    </i>
    <i>
      <x v="43"/>
    </i>
    <i>
      <x v="97"/>
    </i>
    <i>
      <x v="20"/>
    </i>
    <i>
      <x v="98"/>
    </i>
    <i>
      <x v="52"/>
    </i>
    <i>
      <x v="72"/>
    </i>
    <i>
      <x v="33"/>
    </i>
    <i>
      <x v="19"/>
    </i>
    <i>
      <x v="31"/>
    </i>
    <i>
      <x v="55"/>
    </i>
    <i>
      <x v="105"/>
    </i>
    <i>
      <x v="99"/>
    </i>
    <i>
      <x v="63"/>
    </i>
    <i>
      <x v="87"/>
    </i>
    <i>
      <x v="21"/>
    </i>
    <i>
      <x v="94"/>
    </i>
    <i>
      <x v="69"/>
    </i>
    <i>
      <x v="82"/>
    </i>
    <i>
      <x v="106"/>
    </i>
    <i>
      <x v="14"/>
    </i>
    <i>
      <x v="79"/>
    </i>
    <i>
      <x v="70"/>
    </i>
    <i>
      <x/>
    </i>
    <i>
      <x v="35"/>
    </i>
    <i>
      <x v="71"/>
    </i>
    <i>
      <x v="22"/>
    </i>
    <i>
      <x v="38"/>
    </i>
    <i>
      <x v="83"/>
    </i>
    <i>
      <x v="15"/>
    </i>
    <i>
      <x v="40"/>
    </i>
    <i>
      <x v="16"/>
    </i>
    <i>
      <x v="102"/>
    </i>
    <i>
      <x v="41"/>
    </i>
    <i>
      <x v="1"/>
    </i>
    <i>
      <x v="80"/>
    </i>
    <i>
      <x v="9"/>
    </i>
    <i>
      <x v="7"/>
    </i>
    <i>
      <x v="85"/>
    </i>
    <i>
      <x v="11"/>
    </i>
    <i>
      <x v="78"/>
    </i>
    <i>
      <x v="36"/>
    </i>
    <i>
      <x v="54"/>
    </i>
    <i>
      <x v="88"/>
    </i>
    <i>
      <x v="47"/>
    </i>
    <i>
      <x v="86"/>
    </i>
    <i>
      <x v="92"/>
    </i>
    <i>
      <x v="104"/>
    </i>
    <i>
      <x v="13"/>
    </i>
    <i>
      <x v="17"/>
    </i>
    <i>
      <x v="76"/>
    </i>
    <i>
      <x v="8"/>
    </i>
    <i>
      <x v="3"/>
    </i>
    <i>
      <x v="6"/>
    </i>
    <i>
      <x v="103"/>
    </i>
    <i>
      <x v="39"/>
    </i>
    <i>
      <x v="32"/>
    </i>
    <i>
      <x v="75"/>
    </i>
    <i>
      <x v="12"/>
    </i>
    <i>
      <x v="53"/>
    </i>
    <i>
      <x v="25"/>
    </i>
    <i>
      <x v="64"/>
    </i>
    <i>
      <x v="29"/>
    </i>
    <i>
      <x v="24"/>
    </i>
    <i>
      <x v="27"/>
    </i>
    <i>
      <x v="28"/>
    </i>
    <i>
      <x v="46"/>
    </i>
    <i>
      <x v="90"/>
    </i>
    <i>
      <x v="84"/>
    </i>
    <i>
      <x v="23"/>
    </i>
    <i>
      <x v="93"/>
    </i>
    <i>
      <x v="57"/>
    </i>
    <i>
      <x v="65"/>
    </i>
    <i>
      <x v="89"/>
    </i>
    <i>
      <x v="91"/>
    </i>
    <i>
      <x v="5"/>
    </i>
    <i>
      <x v="77"/>
    </i>
    <i>
      <x v="101"/>
    </i>
    <i>
      <x v="48"/>
    </i>
    <i>
      <x v="50"/>
    </i>
    <i>
      <x v="26"/>
    </i>
    <i>
      <x v="49"/>
    </i>
    <i>
      <x v="44"/>
    </i>
    <i>
      <x v="34"/>
    </i>
    <i>
      <x v="4"/>
    </i>
    <i>
      <x v="51"/>
    </i>
    <i>
      <x v="37"/>
    </i>
    <i>
      <x v="61"/>
    </i>
    <i>
      <x v="45"/>
    </i>
    <i>
      <x v="18"/>
    </i>
    <i>
      <x v="68"/>
    </i>
    <i t="grand">
      <x/>
    </i>
  </rowItems>
  <colFields count="1">
    <field x="-2"/>
  </colFields>
  <colItems count="7">
    <i>
      <x/>
    </i>
    <i i="1">
      <x v="1"/>
    </i>
    <i i="2">
      <x v="2"/>
    </i>
    <i i="3">
      <x v="3"/>
    </i>
    <i i="4">
      <x v="4"/>
    </i>
    <i i="5">
      <x v="5"/>
    </i>
    <i i="6">
      <x v="6"/>
    </i>
  </colItems>
  <dataFields count="7">
    <dataField name="#  Intervenciones" fld="4" subtotal="count" baseField="0" baseItem="0"/>
    <dataField name="Al 2025 S/" fld="23" baseField="0" baseItem="0" numFmtId="172"/>
    <dataField name=" Año 1" fld="27" baseField="0" baseItem="0" numFmtId="172"/>
    <dataField name=" Año 2" fld="29" baseField="0" baseItem="0" numFmtId="172"/>
    <dataField name=" Año 3" fld="31" baseField="0" baseItem="0" numFmtId="172"/>
    <dataField name=" Año 4" fld="33" baseField="0" baseItem="0" numFmtId="172"/>
    <dataField name=" Año 5" fld="35" baseField="0" baseItem="0" numFmtId="172"/>
  </dataFields>
  <formats count="15">
    <format dxfId="320">
      <pivotArea outline="0" collapsedLevelsAreSubtotals="1" fieldPosition="0">
        <references count="1">
          <reference field="4294967294" count="5" selected="0">
            <x v="2"/>
            <x v="3"/>
            <x v="4"/>
            <x v="5"/>
            <x v="6"/>
          </reference>
        </references>
      </pivotArea>
    </format>
    <format dxfId="319">
      <pivotArea outline="0" collapsedLevelsAreSubtotals="1" fieldPosition="0">
        <references count="1">
          <reference field="4294967294" count="1" selected="0">
            <x v="1"/>
          </reference>
        </references>
      </pivotArea>
    </format>
    <format dxfId="318">
      <pivotArea field="0" type="button" dataOnly="0" labelOnly="1" outline="0"/>
    </format>
    <format dxfId="317">
      <pivotArea dataOnly="0" labelOnly="1" outline="0" fieldPosition="0">
        <references count="1">
          <reference field="4294967294" count="7">
            <x v="0"/>
            <x v="1"/>
            <x v="2"/>
            <x v="3"/>
            <x v="4"/>
            <x v="5"/>
            <x v="6"/>
          </reference>
        </references>
      </pivotArea>
    </format>
    <format dxfId="316">
      <pivotArea field="0" type="button" dataOnly="0" labelOnly="1" outline="0"/>
    </format>
    <format dxfId="315">
      <pivotArea dataOnly="0" labelOnly="1" outline="0" fieldPosition="0">
        <references count="1">
          <reference field="4294967294" count="7">
            <x v="0"/>
            <x v="1"/>
            <x v="2"/>
            <x v="3"/>
            <x v="4"/>
            <x v="5"/>
            <x v="6"/>
          </reference>
        </references>
      </pivotArea>
    </format>
    <format dxfId="314">
      <pivotArea dataOnly="0" labelOnly="1" grandRow="1" outline="0" fieldPosition="0"/>
    </format>
    <format dxfId="313">
      <pivotArea outline="0" collapsedLevelsAreSubtotals="1" fieldPosition="0">
        <references count="1">
          <reference field="4294967294" count="1" selected="0">
            <x v="0"/>
          </reference>
        </references>
      </pivotArea>
    </format>
    <format dxfId="312">
      <pivotArea field="0" type="button" dataOnly="0" labelOnly="1" outline="0"/>
    </format>
    <format dxfId="311">
      <pivotArea dataOnly="0" labelOnly="1" grandRow="1" outline="0" fieldPosition="0"/>
    </format>
    <format dxfId="310">
      <pivotArea field="0" type="button" dataOnly="0" labelOnly="1" outline="0"/>
    </format>
    <format dxfId="309">
      <pivotArea dataOnly="0" labelOnly="1" grandRow="1" outline="0" fieldPosition="0"/>
    </format>
    <format dxfId="308">
      <pivotArea field="7" type="button" dataOnly="0" labelOnly="1" outline="0"/>
    </format>
    <format dxfId="307">
      <pivotArea dataOnly="0" labelOnly="1" fieldPosition="0">
        <references count="1">
          <reference field="4" count="0"/>
        </references>
      </pivotArea>
    </format>
    <format dxfId="306">
      <pivotArea field="4" type="button" dataOnly="0" labelOnly="1" outline="0" axis="axisRow" fieldPosition="0"/>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name="TablaDinámica10" cacheId="54"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PROGRAMAS">
  <location ref="C76:J80" firstHeaderRow="0" firstDataRow="1" firstDataCol="1"/>
  <pivotFields count="43">
    <pivotField showAll="0" sortType="descending">
      <items count="6">
        <item x="4"/>
        <item x="3"/>
        <item x="1"/>
        <item x="2"/>
        <item x="0"/>
        <item t="default"/>
      </items>
      <autoSortScope>
        <pivotArea dataOnly="0" outline="0" fieldPosition="0">
          <references count="1">
            <reference field="4294967294" count="1" selected="0">
              <x v="1"/>
            </reference>
          </references>
        </pivotArea>
      </autoSortScope>
    </pivotField>
    <pivotField showAll="0"/>
    <pivotField showAll="0"/>
    <pivotField showAll="0"/>
    <pivotField dataField="1" showAll="0"/>
    <pivotField showAll="0"/>
    <pivotField showAll="0"/>
    <pivotField axis="axisRow" showAll="0" sortType="descending">
      <items count="4">
        <item x="2"/>
        <item x="0"/>
        <item x="1"/>
        <item t="default"/>
      </items>
      <autoSortScope>
        <pivotArea dataOnly="0" outline="0" fieldPosition="0">
          <references count="1">
            <reference field="4294967294" count="1" selected="0">
              <x v="0"/>
            </reference>
          </references>
        </pivotArea>
      </autoSortScope>
    </pivotField>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3" showAll="0"/>
    <pivotField dataField="1" showAll="0"/>
    <pivotField numFmtId="3" showAll="0"/>
    <pivotField showAll="0"/>
    <pivotField numFmtId="3" showAll="0"/>
    <pivotField dataField="1" showAll="0"/>
    <pivotField numFmtId="3" showAll="0"/>
    <pivotField dataField="1" showAll="0"/>
    <pivotField numFmtId="3" showAll="0"/>
    <pivotField dataField="1" showAll="0"/>
    <pivotField numFmtId="3" showAll="0"/>
    <pivotField dataField="1" showAll="0"/>
    <pivotField numFmtId="3" showAll="0"/>
    <pivotField dataField="1" showAll="0"/>
    <pivotField showAll="0"/>
    <pivotField showAll="0"/>
    <pivotField showAll="0"/>
    <pivotField showAll="0"/>
    <pivotField showAll="0"/>
    <pivotField showAll="0"/>
    <pivotField showAll="0"/>
  </pivotFields>
  <rowFields count="1">
    <field x="7"/>
  </rowFields>
  <rowItems count="4">
    <i>
      <x v="2"/>
    </i>
    <i>
      <x v="1"/>
    </i>
    <i>
      <x/>
    </i>
    <i t="grand">
      <x/>
    </i>
  </rowItems>
  <colFields count="1">
    <field x="-2"/>
  </colFields>
  <colItems count="7">
    <i>
      <x/>
    </i>
    <i i="1">
      <x v="1"/>
    </i>
    <i i="2">
      <x v="2"/>
    </i>
    <i i="3">
      <x v="3"/>
    </i>
    <i i="4">
      <x v="4"/>
    </i>
    <i i="5">
      <x v="5"/>
    </i>
    <i i="6">
      <x v="6"/>
    </i>
  </colItems>
  <dataFields count="7">
    <dataField name="#  Intervenciones" fld="4" subtotal="count" baseField="0" baseItem="0"/>
    <dataField name="Al 2025 S/" fld="23" baseField="0" baseItem="0" numFmtId="172"/>
    <dataField name=" Año 1" fld="27" baseField="0" baseItem="0" numFmtId="172"/>
    <dataField name=" Año 2" fld="29" baseField="0" baseItem="0" numFmtId="172"/>
    <dataField name=" Año 3" fld="31" baseField="0" baseItem="0" numFmtId="172"/>
    <dataField name=" Año 4" fld="33" baseField="0" baseItem="0" numFmtId="172"/>
    <dataField name=" Año 5" fld="35" baseField="0" baseItem="0" numFmtId="172"/>
  </dataFields>
  <formats count="13">
    <format dxfId="333">
      <pivotArea outline="0" collapsedLevelsAreSubtotals="1" fieldPosition="0">
        <references count="1">
          <reference field="4294967294" count="5" selected="0">
            <x v="2"/>
            <x v="3"/>
            <x v="4"/>
            <x v="5"/>
            <x v="6"/>
          </reference>
        </references>
      </pivotArea>
    </format>
    <format dxfId="332">
      <pivotArea outline="0" collapsedLevelsAreSubtotals="1" fieldPosition="0">
        <references count="1">
          <reference field="4294967294" count="1" selected="0">
            <x v="1"/>
          </reference>
        </references>
      </pivotArea>
    </format>
    <format dxfId="331">
      <pivotArea field="0" type="button" dataOnly="0" labelOnly="1" outline="0"/>
    </format>
    <format dxfId="330">
      <pivotArea dataOnly="0" labelOnly="1" outline="0" fieldPosition="0">
        <references count="1">
          <reference field="4294967294" count="7">
            <x v="0"/>
            <x v="1"/>
            <x v="2"/>
            <x v="3"/>
            <x v="4"/>
            <x v="5"/>
            <x v="6"/>
          </reference>
        </references>
      </pivotArea>
    </format>
    <format dxfId="329">
      <pivotArea field="0" type="button" dataOnly="0" labelOnly="1" outline="0"/>
    </format>
    <format dxfId="328">
      <pivotArea dataOnly="0" labelOnly="1" outline="0" fieldPosition="0">
        <references count="1">
          <reference field="4294967294" count="7">
            <x v="0"/>
            <x v="1"/>
            <x v="2"/>
            <x v="3"/>
            <x v="4"/>
            <x v="5"/>
            <x v="6"/>
          </reference>
        </references>
      </pivotArea>
    </format>
    <format dxfId="327">
      <pivotArea dataOnly="0" labelOnly="1" grandRow="1" outline="0" fieldPosition="0"/>
    </format>
    <format dxfId="326">
      <pivotArea outline="0" collapsedLevelsAreSubtotals="1" fieldPosition="0">
        <references count="1">
          <reference field="4294967294" count="1" selected="0">
            <x v="0"/>
          </reference>
        </references>
      </pivotArea>
    </format>
    <format dxfId="325">
      <pivotArea field="0" type="button" dataOnly="0" labelOnly="1" outline="0"/>
    </format>
    <format dxfId="324">
      <pivotArea dataOnly="0" labelOnly="1" grandRow="1" outline="0" fieldPosition="0"/>
    </format>
    <format dxfId="323">
      <pivotArea field="0" type="button" dataOnly="0" labelOnly="1" outline="0"/>
    </format>
    <format dxfId="322">
      <pivotArea dataOnly="0" labelOnly="1" grandRow="1" outline="0" fieldPosition="0"/>
    </format>
    <format dxfId="321">
      <pivotArea field="7" type="button" dataOnly="0" labelOnly="1" outline="0" axis="axisRow" fieldPosition="0"/>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name="TablaDinámica9" cacheId="54"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COMPONENTES">
  <location ref="C60:J71" firstHeaderRow="0" firstDataRow="1" firstDataCol="1"/>
  <pivotFields count="43">
    <pivotField showAll="0" sortType="descending">
      <items count="6">
        <item x="4"/>
        <item x="3"/>
        <item x="1"/>
        <item x="2"/>
        <item x="0"/>
        <item t="default"/>
      </items>
      <autoSortScope>
        <pivotArea dataOnly="0" outline="0" fieldPosition="0">
          <references count="1">
            <reference field="4294967294" count="1" selected="0">
              <x v="1"/>
            </reference>
          </references>
        </pivotArea>
      </autoSortScope>
    </pivotField>
    <pivotField showAll="0"/>
    <pivotField showAll="0"/>
    <pivotField showAll="0"/>
    <pivotField dataField="1" showAll="0"/>
    <pivotField showAll="0"/>
    <pivotField showAll="0"/>
    <pivotField showAll="0"/>
    <pivotField showAll="0"/>
    <pivotField showAll="0"/>
    <pivotField axis="axisRow" showAll="0" sortType="descending">
      <items count="11">
        <item x="9"/>
        <item x="8"/>
        <item x="7"/>
        <item x="3"/>
        <item x="4"/>
        <item x="6"/>
        <item x="2"/>
        <item x="1"/>
        <item x="5"/>
        <item x="0"/>
        <item t="default"/>
      </items>
      <autoSortScope>
        <pivotArea dataOnly="0" outline="0" fieldPosition="0">
          <references count="1">
            <reference field="4294967294" count="1" selected="0">
              <x v="1"/>
            </reference>
          </references>
        </pivotArea>
      </autoSortScope>
    </pivotField>
    <pivotField showAll="0"/>
    <pivotField showAll="0"/>
    <pivotField showAll="0" sortType="descending">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3" showAll="0"/>
    <pivotField dataField="1" showAll="0"/>
    <pivotField numFmtId="3" showAll="0"/>
    <pivotField showAll="0"/>
    <pivotField numFmtId="3" showAll="0"/>
    <pivotField dataField="1" showAll="0"/>
    <pivotField numFmtId="3" showAll="0"/>
    <pivotField dataField="1" showAll="0"/>
    <pivotField numFmtId="3" showAll="0"/>
    <pivotField dataField="1" showAll="0"/>
    <pivotField numFmtId="3" showAll="0"/>
    <pivotField dataField="1" showAll="0"/>
    <pivotField numFmtId="3" showAll="0"/>
    <pivotField dataField="1" showAll="0"/>
    <pivotField showAll="0"/>
    <pivotField showAll="0"/>
    <pivotField showAll="0"/>
    <pivotField showAll="0"/>
    <pivotField showAll="0"/>
    <pivotField showAll="0"/>
    <pivotField showAll="0"/>
  </pivotFields>
  <rowFields count="1">
    <field x="10"/>
  </rowFields>
  <rowItems count="11">
    <i>
      <x v="7"/>
    </i>
    <i>
      <x v="3"/>
    </i>
    <i>
      <x/>
    </i>
    <i>
      <x v="6"/>
    </i>
    <i>
      <x v="1"/>
    </i>
    <i>
      <x v="5"/>
    </i>
    <i>
      <x v="9"/>
    </i>
    <i>
      <x v="8"/>
    </i>
    <i>
      <x v="4"/>
    </i>
    <i>
      <x v="2"/>
    </i>
    <i t="grand">
      <x/>
    </i>
  </rowItems>
  <colFields count="1">
    <field x="-2"/>
  </colFields>
  <colItems count="7">
    <i>
      <x/>
    </i>
    <i i="1">
      <x v="1"/>
    </i>
    <i i="2">
      <x v="2"/>
    </i>
    <i i="3">
      <x v="3"/>
    </i>
    <i i="4">
      <x v="4"/>
    </i>
    <i i="5">
      <x v="5"/>
    </i>
    <i i="6">
      <x v="6"/>
    </i>
  </colItems>
  <dataFields count="7">
    <dataField name="#  Intervenciones" fld="4" subtotal="count" baseField="0" baseItem="0"/>
    <dataField name="Al 2025 S/" fld="23" baseField="0" baseItem="0" numFmtId="172"/>
    <dataField name=" Año 1" fld="27" baseField="0" baseItem="0" numFmtId="172"/>
    <dataField name=" Año 2" fld="29" baseField="0" baseItem="0" numFmtId="172"/>
    <dataField name=" Año 3" fld="31" baseField="0" baseItem="0" numFmtId="172"/>
    <dataField name=" Año 4" fld="33" baseField="0" baseItem="0" numFmtId="172"/>
    <dataField name=" Año 5" fld="35" baseField="0" baseItem="0" numFmtId="172"/>
  </dataFields>
  <formats count="14">
    <format dxfId="347">
      <pivotArea outline="0" collapsedLevelsAreSubtotals="1" fieldPosition="0">
        <references count="1">
          <reference field="4294967294" count="5" selected="0">
            <x v="2"/>
            <x v="3"/>
            <x v="4"/>
            <x v="5"/>
            <x v="6"/>
          </reference>
        </references>
      </pivotArea>
    </format>
    <format dxfId="346">
      <pivotArea outline="0" collapsedLevelsAreSubtotals="1" fieldPosition="0">
        <references count="1">
          <reference field="4294967294" count="1" selected="0">
            <x v="1"/>
          </reference>
        </references>
      </pivotArea>
    </format>
    <format dxfId="345">
      <pivotArea field="0" type="button" dataOnly="0" labelOnly="1" outline="0"/>
    </format>
    <format dxfId="344">
      <pivotArea dataOnly="0" labelOnly="1" outline="0" fieldPosition="0">
        <references count="1">
          <reference field="4294967294" count="7">
            <x v="0"/>
            <x v="1"/>
            <x v="2"/>
            <x v="3"/>
            <x v="4"/>
            <x v="5"/>
            <x v="6"/>
          </reference>
        </references>
      </pivotArea>
    </format>
    <format dxfId="343">
      <pivotArea field="0" type="button" dataOnly="0" labelOnly="1" outline="0"/>
    </format>
    <format dxfId="342">
      <pivotArea dataOnly="0" labelOnly="1" outline="0" fieldPosition="0">
        <references count="1">
          <reference field="4294967294" count="7">
            <x v="0"/>
            <x v="1"/>
            <x v="2"/>
            <x v="3"/>
            <x v="4"/>
            <x v="5"/>
            <x v="6"/>
          </reference>
        </references>
      </pivotArea>
    </format>
    <format dxfId="341">
      <pivotArea dataOnly="0" labelOnly="1" grandRow="1" outline="0" fieldPosition="0"/>
    </format>
    <format dxfId="340">
      <pivotArea outline="0" collapsedLevelsAreSubtotals="1" fieldPosition="0">
        <references count="1">
          <reference field="4294967294" count="1" selected="0">
            <x v="0"/>
          </reference>
        </references>
      </pivotArea>
    </format>
    <format dxfId="339">
      <pivotArea field="0" type="button" dataOnly="0" labelOnly="1" outline="0"/>
    </format>
    <format dxfId="338">
      <pivotArea dataOnly="0" labelOnly="1" grandRow="1" outline="0" fieldPosition="0"/>
    </format>
    <format dxfId="337">
      <pivotArea field="0" type="button" dataOnly="0" labelOnly="1" outline="0"/>
    </format>
    <format dxfId="336">
      <pivotArea dataOnly="0" labelOnly="1" grandRow="1" outline="0" fieldPosition="0"/>
    </format>
    <format dxfId="335">
      <pivotArea dataOnly="0" labelOnly="1" fieldPosition="0">
        <references count="1">
          <reference field="10" count="0"/>
        </references>
      </pivotArea>
    </format>
    <format dxfId="334">
      <pivotArea field="10" type="button" dataOnly="0" labelOnly="1" outline="0" axis="axisRow" fieldPosition="0"/>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name="TablaDinámica8" cacheId="54"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CATEGORIAS">
  <location ref="C35:J55" firstHeaderRow="0" firstDataRow="1" firstDataCol="1"/>
  <pivotFields count="43">
    <pivotField showAll="0" sortType="descending">
      <items count="6">
        <item x="4"/>
        <item x="3"/>
        <item x="1"/>
        <item x="2"/>
        <item x="0"/>
        <item t="default"/>
      </items>
      <autoSortScope>
        <pivotArea dataOnly="0" outline="0" fieldPosition="0">
          <references count="1">
            <reference field="4294967294" count="1" selected="0">
              <x v="1"/>
            </reference>
          </references>
        </pivotArea>
      </autoSortScope>
    </pivotField>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sortType="descending">
      <items count="20">
        <item x="1"/>
        <item x="7"/>
        <item x="4"/>
        <item x="14"/>
        <item x="0"/>
        <item x="5"/>
        <item x="13"/>
        <item x="17"/>
        <item x="6"/>
        <item x="10"/>
        <item x="8"/>
        <item x="15"/>
        <item x="12"/>
        <item x="3"/>
        <item x="11"/>
        <item x="9"/>
        <item x="2"/>
        <item x="18"/>
        <item x="16"/>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numFmtId="3" showAll="0"/>
    <pivotField dataField="1" showAll="0"/>
    <pivotField numFmtId="3" showAll="0"/>
    <pivotField showAll="0"/>
    <pivotField numFmtId="3" showAll="0"/>
    <pivotField dataField="1" showAll="0"/>
    <pivotField numFmtId="3" showAll="0"/>
    <pivotField dataField="1" showAll="0"/>
    <pivotField numFmtId="3" showAll="0"/>
    <pivotField dataField="1" showAll="0"/>
    <pivotField numFmtId="3" showAll="0"/>
    <pivotField dataField="1" showAll="0"/>
    <pivotField numFmtId="3" showAll="0"/>
    <pivotField dataField="1" showAll="0"/>
    <pivotField showAll="0"/>
    <pivotField showAll="0"/>
    <pivotField showAll="0"/>
    <pivotField showAll="0"/>
    <pivotField showAll="0"/>
    <pivotField showAll="0"/>
    <pivotField showAll="0"/>
  </pivotFields>
  <rowFields count="1">
    <field x="13"/>
  </rowFields>
  <rowItems count="20">
    <i>
      <x v="5"/>
    </i>
    <i>
      <x v="18"/>
    </i>
    <i>
      <x v="16"/>
    </i>
    <i>
      <x v="2"/>
    </i>
    <i>
      <x v="14"/>
    </i>
    <i>
      <x v="4"/>
    </i>
    <i>
      <x v="13"/>
    </i>
    <i>
      <x v="17"/>
    </i>
    <i>
      <x v="15"/>
    </i>
    <i>
      <x/>
    </i>
    <i>
      <x v="1"/>
    </i>
    <i>
      <x v="10"/>
    </i>
    <i>
      <x v="8"/>
    </i>
    <i>
      <x v="3"/>
    </i>
    <i>
      <x v="12"/>
    </i>
    <i>
      <x v="9"/>
    </i>
    <i>
      <x v="7"/>
    </i>
    <i>
      <x v="11"/>
    </i>
    <i>
      <x v="6"/>
    </i>
    <i t="grand">
      <x/>
    </i>
  </rowItems>
  <colFields count="1">
    <field x="-2"/>
  </colFields>
  <colItems count="7">
    <i>
      <x/>
    </i>
    <i i="1">
      <x v="1"/>
    </i>
    <i i="2">
      <x v="2"/>
    </i>
    <i i="3">
      <x v="3"/>
    </i>
    <i i="4">
      <x v="4"/>
    </i>
    <i i="5">
      <x v="5"/>
    </i>
    <i i="6">
      <x v="6"/>
    </i>
  </colItems>
  <dataFields count="7">
    <dataField name="#  Intervenciones" fld="4" subtotal="count" baseField="0" baseItem="0"/>
    <dataField name="Al 2025 S/" fld="23" baseField="0" baseItem="0" numFmtId="172"/>
    <dataField name=" Año 1" fld="27" baseField="0" baseItem="0" numFmtId="172"/>
    <dataField name=" Año 2" fld="29" baseField="0" baseItem="0" numFmtId="172"/>
    <dataField name=" Año 3" fld="31" baseField="0" baseItem="0" numFmtId="172"/>
    <dataField name=" Año 4" fld="33" baseField="0" baseItem="0" numFmtId="172"/>
    <dataField name=" Año 5" fld="35" baseField="0" baseItem="0" numFmtId="172"/>
  </dataFields>
  <formats count="14">
    <format dxfId="361">
      <pivotArea outline="0" collapsedLevelsAreSubtotals="1" fieldPosition="0">
        <references count="1">
          <reference field="4294967294" count="5" selected="0">
            <x v="2"/>
            <x v="3"/>
            <x v="4"/>
            <x v="5"/>
            <x v="6"/>
          </reference>
        </references>
      </pivotArea>
    </format>
    <format dxfId="360">
      <pivotArea outline="0" collapsedLevelsAreSubtotals="1" fieldPosition="0">
        <references count="1">
          <reference field="4294967294" count="1" selected="0">
            <x v="1"/>
          </reference>
        </references>
      </pivotArea>
    </format>
    <format dxfId="359">
      <pivotArea field="0" type="button" dataOnly="0" labelOnly="1" outline="0"/>
    </format>
    <format dxfId="358">
      <pivotArea dataOnly="0" labelOnly="1" outline="0" fieldPosition="0">
        <references count="1">
          <reference field="4294967294" count="7">
            <x v="0"/>
            <x v="1"/>
            <x v="2"/>
            <x v="3"/>
            <x v="4"/>
            <x v="5"/>
            <x v="6"/>
          </reference>
        </references>
      </pivotArea>
    </format>
    <format dxfId="357">
      <pivotArea field="0" type="button" dataOnly="0" labelOnly="1" outline="0"/>
    </format>
    <format dxfId="356">
      <pivotArea dataOnly="0" labelOnly="1" outline="0" fieldPosition="0">
        <references count="1">
          <reference field="4294967294" count="7">
            <x v="0"/>
            <x v="1"/>
            <x v="2"/>
            <x v="3"/>
            <x v="4"/>
            <x v="5"/>
            <x v="6"/>
          </reference>
        </references>
      </pivotArea>
    </format>
    <format dxfId="355">
      <pivotArea dataOnly="0" labelOnly="1" grandRow="1" outline="0" fieldPosition="0"/>
    </format>
    <format dxfId="354">
      <pivotArea outline="0" collapsedLevelsAreSubtotals="1" fieldPosition="0">
        <references count="1">
          <reference field="4294967294" count="1" selected="0">
            <x v="0"/>
          </reference>
        </references>
      </pivotArea>
    </format>
    <format dxfId="353">
      <pivotArea field="0" type="button" dataOnly="0" labelOnly="1" outline="0"/>
    </format>
    <format dxfId="352">
      <pivotArea dataOnly="0" labelOnly="1" grandRow="1" outline="0" fieldPosition="0"/>
    </format>
    <format dxfId="351">
      <pivotArea field="0" type="button" dataOnly="0" labelOnly="1" outline="0"/>
    </format>
    <format dxfId="350">
      <pivotArea dataOnly="0" labelOnly="1" grandRow="1" outline="0" fieldPosition="0"/>
    </format>
    <format dxfId="349">
      <pivotArea dataOnly="0" labelOnly="1" fieldPosition="0">
        <references count="1">
          <reference field="13" count="0"/>
        </references>
      </pivotArea>
    </format>
    <format dxfId="348">
      <pivotArea field="13" type="button" dataOnly="0" labelOnly="1" outline="0" axis="axisRow" fieldPosition="0"/>
    </format>
  </formats>
  <pivotTableStyleInfo name="Estilo de tabla dinámica 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name="TablaDinámica13" cacheId="38" applyNumberFormats="0" applyBorderFormats="0" applyFontFormats="0" applyPatternFormats="0" applyAlignmentFormats="0" applyWidthHeightFormats="1" dataCaption="Valores" grandTotalCaption="Total Inversión " updatedVersion="6" minRefreshableVersion="3" useAutoFormatting="1" itemPrintTitles="1" createdVersion="6" indent="0" outline="1" outlineData="1" multipleFieldFilters="0" rowHeaderCaption="OBJETIVO DE PROGRAMA / COMPONENTES">
  <location ref="B9:H25" firstHeaderRow="1" firstDataRow="2" firstDataCol="1"/>
  <pivotFields count="44">
    <pivotField axis="axisCol" multipleItemSelectionAllowed="1" showAll="0">
      <items count="6">
        <item x="3"/>
        <item x="1"/>
        <item x="2"/>
        <item x="0"/>
        <item x="4"/>
        <item t="default"/>
      </items>
    </pivotField>
    <pivotField showAll="0">
      <items count="18">
        <item x="13"/>
        <item x="14"/>
        <item x="11"/>
        <item x="5"/>
        <item x="4"/>
        <item x="12"/>
        <item x="15"/>
        <item x="10"/>
        <item x="6"/>
        <item x="7"/>
        <item x="0"/>
        <item x="1"/>
        <item x="2"/>
        <item x="3"/>
        <item x="9"/>
        <item x="8"/>
        <item f="1" x="16"/>
        <item t="default"/>
      </items>
    </pivotField>
    <pivotField showAll="0"/>
    <pivotField showAll="0"/>
    <pivotField showAll="0"/>
    <pivotField showAll="0"/>
    <pivotField showAll="0"/>
    <pivotField axis="axisRow" showAll="0" sortType="descending">
      <items count="4">
        <item x="2"/>
        <item x="0"/>
        <item x="1"/>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11">
        <item x="9"/>
        <item x="8"/>
        <item x="7"/>
        <item x="3"/>
        <item x="4"/>
        <item x="6"/>
        <item x="2"/>
        <item x="1"/>
        <item x="5"/>
        <item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numFmtId="3" showAll="0"/>
    <pivotField dataField="1"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showAll="0"/>
    <pivotField showAll="0"/>
    <pivotField showAll="0"/>
    <pivotField showAll="0"/>
    <pivotField showAll="0"/>
    <pivotField showAll="0"/>
    <pivotField showAll="0"/>
    <pivotField showAll="0"/>
  </pivotFields>
  <rowFields count="2">
    <field x="7"/>
    <field x="10"/>
  </rowFields>
  <rowItems count="15">
    <i>
      <x v="2"/>
    </i>
    <i r="1">
      <x v="7"/>
    </i>
    <i r="1">
      <x v="3"/>
    </i>
    <i r="1">
      <x v="6"/>
    </i>
    <i r="1">
      <x v="8"/>
    </i>
    <i r="1">
      <x v="4"/>
    </i>
    <i>
      <x v="1"/>
    </i>
    <i r="1">
      <x/>
    </i>
    <i r="1">
      <x v="1"/>
    </i>
    <i r="1">
      <x v="9"/>
    </i>
    <i>
      <x/>
    </i>
    <i r="1">
      <x v="5"/>
    </i>
    <i r="1">
      <x v="2"/>
    </i>
    <i r="1">
      <x v="3"/>
    </i>
    <i t="grand">
      <x/>
    </i>
  </rowItems>
  <colFields count="1">
    <field x="0"/>
  </colFields>
  <colItems count="6">
    <i>
      <x/>
    </i>
    <i>
      <x v="1"/>
    </i>
    <i>
      <x v="2"/>
    </i>
    <i>
      <x v="3"/>
    </i>
    <i>
      <x v="4"/>
    </i>
    <i t="grand">
      <x/>
    </i>
  </colItems>
  <dataFields count="1">
    <dataField name=" 2025 S/" fld="23" baseField="0" baseItem="0" numFmtId="3"/>
  </dataFields>
  <formats count="39">
    <format dxfId="228">
      <pivotArea outline="0" collapsedLevelsAreSubtotals="1" fieldPosition="0"/>
    </format>
    <format dxfId="227">
      <pivotArea dataOnly="0" labelOnly="1" outline="0" fieldPosition="0">
        <references count="1">
          <reference field="4294967294" count="1">
            <x v="0"/>
          </reference>
        </references>
      </pivotArea>
    </format>
    <format dxfId="226">
      <pivotArea outline="0" collapsedLevelsAreSubtotals="1" fieldPosition="0"/>
    </format>
    <format dxfId="225">
      <pivotArea dataOnly="0" labelOnly="1" outline="0" fieldPosition="0">
        <references count="1">
          <reference field="4294967294" count="1">
            <x v="0"/>
          </reference>
        </references>
      </pivotArea>
    </format>
    <format dxfId="224">
      <pivotArea dataOnly="0" labelOnly="1" grandRow="1" outline="0" fieldPosition="0"/>
    </format>
    <format dxfId="223">
      <pivotArea grandRow="1" outline="0" collapsedLevelsAreSubtotals="1" fieldPosition="0"/>
    </format>
    <format dxfId="222">
      <pivotArea dataOnly="0" labelOnly="1" grandRow="1" outline="0" fieldPosition="0"/>
    </format>
    <format dxfId="221">
      <pivotArea dataOnly="0" labelOnly="1" outline="0" fieldPosition="0">
        <references count="1">
          <reference field="4294967294" count="1">
            <x v="0"/>
          </reference>
        </references>
      </pivotArea>
    </format>
    <format dxfId="220">
      <pivotArea grandRow="1" outline="0" collapsedLevelsAreSubtotals="1" fieldPosition="0"/>
    </format>
    <format dxfId="219">
      <pivotArea dataOnly="0" labelOnly="1" grandRow="1" outline="0" fieldPosition="0"/>
    </format>
    <format dxfId="218">
      <pivotArea grandRow="1" outline="0" collapsedLevelsAreSubtotals="1" fieldPosition="0"/>
    </format>
    <format dxfId="217">
      <pivotArea dataOnly="0" labelOnly="1" grandRow="1" outline="0" fieldPosition="0"/>
    </format>
    <format dxfId="216">
      <pivotArea grandRow="1" outline="0" collapsedLevelsAreSubtotals="1" fieldPosition="0"/>
    </format>
    <format dxfId="215">
      <pivotArea grandRow="1" outline="0" collapsedLevelsAreSubtotals="1" fieldPosition="0"/>
    </format>
    <format dxfId="214">
      <pivotArea dataOnly="0" labelOnly="1" outline="0" fieldPosition="0">
        <references count="1">
          <reference field="4294967294" count="1">
            <x v="0"/>
          </reference>
        </references>
      </pivotArea>
    </format>
    <format dxfId="213">
      <pivotArea field="0" type="button" dataOnly="0" labelOnly="1" outline="0" axis="axisCol" fieldPosition="0"/>
    </format>
    <format dxfId="212">
      <pivotArea field="0" type="button" dataOnly="0" labelOnly="1" outline="0" axis="axisCol" fieldPosition="0"/>
    </format>
    <format dxfId="211">
      <pivotArea dataOnly="0" labelOnly="1" outline="0" fieldPosition="0">
        <references count="1">
          <reference field="4294967294" count="1">
            <x v="0"/>
          </reference>
        </references>
      </pivotArea>
    </format>
    <format dxfId="210">
      <pivotArea dataOnly="0" labelOnly="1" outline="0" fieldPosition="0">
        <references count="1">
          <reference field="4294967294" count="1">
            <x v="0"/>
          </reference>
        </references>
      </pivotArea>
    </format>
    <format dxfId="209">
      <pivotArea dataOnly="0" labelOnly="1" grandRow="1" outline="0" fieldPosition="0"/>
    </format>
    <format dxfId="208">
      <pivotArea dataOnly="0" labelOnly="1" fieldPosition="0">
        <references count="1">
          <reference field="10" count="0"/>
        </references>
      </pivotArea>
    </format>
    <format dxfId="207">
      <pivotArea dataOnly="0" labelOnly="1" fieldPosition="0">
        <references count="1">
          <reference field="0" count="0"/>
        </references>
      </pivotArea>
    </format>
    <format dxfId="206">
      <pivotArea dataOnly="0" labelOnly="1" grandCol="1" outline="0" fieldPosition="0"/>
    </format>
    <format dxfId="205">
      <pivotArea dataOnly="0" labelOnly="1" fieldPosition="0">
        <references count="1">
          <reference field="0" count="0"/>
        </references>
      </pivotArea>
    </format>
    <format dxfId="204">
      <pivotArea dataOnly="0" labelOnly="1" grandCol="1" outline="0" fieldPosition="0"/>
    </format>
    <format dxfId="203">
      <pivotArea dataOnly="0" labelOnly="1" fieldPosition="0">
        <references count="1">
          <reference field="0" count="0"/>
        </references>
      </pivotArea>
    </format>
    <format dxfId="202">
      <pivotArea dataOnly="0" labelOnly="1" grandCol="1" outline="0" fieldPosition="0"/>
    </format>
    <format dxfId="201">
      <pivotArea grandRow="1" outline="0" collapsedLevelsAreSubtotals="1" fieldPosition="0"/>
    </format>
    <format dxfId="200">
      <pivotArea dataOnly="0" labelOnly="1" grandRow="1" outline="0" fieldPosition="0"/>
    </format>
    <format dxfId="199">
      <pivotArea collapsedLevelsAreSubtotals="1" fieldPosition="0">
        <references count="2">
          <reference field="7" count="1" selected="0">
            <x v="0"/>
          </reference>
          <reference field="10" count="1">
            <x v="5"/>
          </reference>
        </references>
      </pivotArea>
    </format>
    <format dxfId="198">
      <pivotArea dataOnly="0" labelOnly="1" fieldPosition="0">
        <references count="2">
          <reference field="7" count="1" selected="0">
            <x v="0"/>
          </reference>
          <reference field="10" count="1">
            <x v="5"/>
          </reference>
        </references>
      </pivotArea>
    </format>
    <format dxfId="197">
      <pivotArea field="7" type="button" dataOnly="0" labelOnly="1" outline="0" axis="axisRow" fieldPosition="0"/>
    </format>
    <format dxfId="196">
      <pivotArea field="7" type="button" dataOnly="0" labelOnly="1" outline="0" axis="axisRow" fieldPosition="0"/>
    </format>
    <format dxfId="195">
      <pivotArea outline="0" fieldPosition="0">
        <references count="1">
          <reference field="4294967294" count="1">
            <x v="0"/>
          </reference>
        </references>
      </pivotArea>
    </format>
    <format dxfId="194">
      <pivotArea grandRow="1" outline="0" collapsedLevelsAreSubtotals="1" fieldPosition="0"/>
    </format>
    <format dxfId="193">
      <pivotArea dataOnly="0" labelOnly="1" fieldPosition="0">
        <references count="2">
          <reference field="7" count="1" selected="0">
            <x v="0"/>
          </reference>
          <reference field="10" count="1">
            <x v="5"/>
          </reference>
        </references>
      </pivotArea>
    </format>
    <format dxfId="192">
      <pivotArea collapsedLevelsAreSubtotals="1" fieldPosition="0">
        <references count="3">
          <reference field="0" count="1" selected="0">
            <x v="4"/>
          </reference>
          <reference field="7" count="1" selected="0">
            <x v="2"/>
          </reference>
          <reference field="10" count="2">
            <x v="6"/>
            <x v="8"/>
          </reference>
        </references>
      </pivotArea>
    </format>
    <format dxfId="191">
      <pivotArea collapsedLevelsAreSubtotals="1" fieldPosition="0">
        <references count="3">
          <reference field="0" count="1" selected="0">
            <x v="4"/>
          </reference>
          <reference field="7" count="1" selected="0">
            <x v="1"/>
          </reference>
          <reference field="10" count="2">
            <x v="1"/>
            <x v="9"/>
          </reference>
        </references>
      </pivotArea>
    </format>
    <format dxfId="190">
      <pivotArea collapsedLevelsAreSubtotals="1" fieldPosition="0">
        <references count="3">
          <reference field="0" count="1" selected="0">
            <x v="4"/>
          </reference>
          <reference field="7" count="1" selected="0">
            <x v="0"/>
          </reference>
          <reference field="10" count="2">
            <x v="2"/>
            <x v="5"/>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name="TablaDinámica16" cacheId="38" applyNumberFormats="0" applyBorderFormats="0" applyFontFormats="0" applyPatternFormats="0" applyAlignmentFormats="0" applyWidthHeightFormats="1" dataCaption="Valores" grandTotalCaption="Total Inversión de los Programas de las ERDRBE para la Región San Martín" updatedVersion="6" minRefreshableVersion="3" useAutoFormatting="1" itemPrintTitles="1" createdVersion="6" indent="0" outline="1" outlineData="1" multipleFieldFilters="0" rowHeaderCaption="OBJETIVO DE PROGRAMA / COMPONENTES">
  <location ref="B36:I51" firstHeaderRow="0" firstDataRow="1" firstDataCol="1" rowPageCount="1" colPageCount="1"/>
  <pivotFields count="44">
    <pivotField axis="axisPage" multipleItemSelectionAllowed="1" showAll="0">
      <items count="6">
        <item x="4"/>
        <item x="3"/>
        <item x="1"/>
        <item x="2"/>
        <item x="0"/>
        <item t="default"/>
      </items>
    </pivotField>
    <pivotField showAll="0">
      <items count="18">
        <item x="13"/>
        <item x="14"/>
        <item x="11"/>
        <item x="5"/>
        <item x="4"/>
        <item x="12"/>
        <item x="15"/>
        <item x="10"/>
        <item x="6"/>
        <item x="7"/>
        <item x="0"/>
        <item x="1"/>
        <item x="2"/>
        <item x="3"/>
        <item x="9"/>
        <item x="8"/>
        <item f="1" x="16"/>
        <item t="default"/>
      </items>
    </pivotField>
    <pivotField showAll="0"/>
    <pivotField showAll="0"/>
    <pivotField axis="axisRow" showAll="0">
      <items count="108">
        <item x="30"/>
        <item x="85"/>
        <item x="61"/>
        <item x="62"/>
        <item x="92"/>
        <item x="70"/>
        <item x="46"/>
        <item x="40"/>
        <item x="63"/>
        <item x="75"/>
        <item x="1"/>
        <item x="68"/>
        <item x="59"/>
        <item x="7"/>
        <item x="21"/>
        <item x="18"/>
        <item x="29"/>
        <item x="97"/>
        <item x="99"/>
        <item x="13"/>
        <item x="60"/>
        <item x="20"/>
        <item x="44"/>
        <item x="89"/>
        <item x="42"/>
        <item x="106"/>
        <item x="69"/>
        <item x="100"/>
        <item x="91"/>
        <item x="31"/>
        <item x="3"/>
        <item x="35"/>
        <item x="84"/>
        <item x="23"/>
        <item x="41"/>
        <item x="11"/>
        <item x="80"/>
        <item x="96"/>
        <item x="103"/>
        <item x="104"/>
        <item x="47"/>
        <item x="24"/>
        <item x="17"/>
        <item x="10"/>
        <item x="79"/>
        <item x="98"/>
        <item x="105"/>
        <item x="101"/>
        <item x="102"/>
        <item x="77"/>
        <item x="87"/>
        <item x="95"/>
        <item x="8"/>
        <item x="55"/>
        <item x="32"/>
        <item x="28"/>
        <item x="26"/>
        <item x="43"/>
        <item x="4"/>
        <item x="2"/>
        <item x="50"/>
        <item x="71"/>
        <item x="48"/>
        <item x="19"/>
        <item x="82"/>
        <item x="33"/>
        <item x="0"/>
        <item x="9"/>
        <item x="93"/>
        <item x="81"/>
        <item x="78"/>
        <item x="76"/>
        <item x="51"/>
        <item x="74"/>
        <item x="6"/>
        <item x="66"/>
        <item x="39"/>
        <item x="58"/>
        <item x="38"/>
        <item x="22"/>
        <item x="83"/>
        <item x="12"/>
        <item x="86"/>
        <item x="16"/>
        <item x="57"/>
        <item x="37"/>
        <item x="52"/>
        <item x="14"/>
        <item x="90"/>
        <item x="15"/>
        <item x="65"/>
        <item x="56"/>
        <item x="36"/>
        <item x="64"/>
        <item x="88"/>
        <item x="5"/>
        <item x="67"/>
        <item x="45"/>
        <item x="49"/>
        <item x="34"/>
        <item x="27"/>
        <item x="94"/>
        <item x="53"/>
        <item x="25"/>
        <item x="54"/>
        <item x="72"/>
        <item x="73"/>
        <item t="default"/>
      </items>
    </pivotField>
    <pivotField showAll="0"/>
    <pivotField showAll="0"/>
    <pivotField axis="axisRow" showAll="0">
      <items count="4">
        <item x="2"/>
        <item x="0"/>
        <item x="1"/>
        <item t="default"/>
      </items>
    </pivotField>
    <pivotField showAll="0"/>
    <pivotField showAll="0"/>
    <pivotField axis="axisRow" showAll="0" sortType="descending">
      <items count="11">
        <item sd="0" x="9"/>
        <item sd="0" x="8"/>
        <item sd="0" x="7"/>
        <item sd="0" x="3"/>
        <item sd="0" x="4"/>
        <item sd="0" x="6"/>
        <item sd="0" x="2"/>
        <item sd="0" x="1"/>
        <item sd="0" x="5"/>
        <item sd="0"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numFmtId="3" showAll="0"/>
    <pivotField dataField="1" showAll="0"/>
    <pivotField numFmtId="3" showAll="0"/>
    <pivotField dataField="1" showAll="0"/>
    <pivotField numFmtId="3" showAll="0"/>
    <pivotField dataField="1" showAll="0"/>
    <pivotField numFmtId="3" showAll="0"/>
    <pivotField dataField="1" showAll="0"/>
    <pivotField numFmtId="3" showAll="0"/>
    <pivotField dataField="1" showAll="0"/>
    <pivotField numFmtId="3" showAll="0"/>
    <pivotField dataField="1" showAll="0"/>
    <pivotField numFmtId="3" showAll="0"/>
    <pivotField dataField="1" showAll="0"/>
    <pivotField showAll="0"/>
    <pivotField showAll="0"/>
    <pivotField showAll="0"/>
    <pivotField showAll="0"/>
    <pivotField showAll="0"/>
    <pivotField showAll="0"/>
    <pivotField showAll="0"/>
    <pivotField showAll="0"/>
  </pivotFields>
  <rowFields count="3">
    <field x="7"/>
    <field x="10"/>
    <field x="4"/>
  </rowFields>
  <rowItems count="15">
    <i>
      <x/>
    </i>
    <i r="1">
      <x v="5"/>
    </i>
    <i r="1">
      <x v="2"/>
    </i>
    <i r="1">
      <x v="3"/>
    </i>
    <i>
      <x v="1"/>
    </i>
    <i r="1">
      <x/>
    </i>
    <i r="1">
      <x v="1"/>
    </i>
    <i r="1">
      <x v="9"/>
    </i>
    <i>
      <x v="2"/>
    </i>
    <i r="1">
      <x v="7"/>
    </i>
    <i r="1">
      <x v="3"/>
    </i>
    <i r="1">
      <x v="6"/>
    </i>
    <i r="1">
      <x v="8"/>
    </i>
    <i r="1">
      <x v="4"/>
    </i>
    <i t="grand">
      <x/>
    </i>
  </rowItems>
  <colFields count="1">
    <field x="-2"/>
  </colFields>
  <colItems count="7">
    <i>
      <x/>
    </i>
    <i i="1">
      <x v="1"/>
    </i>
    <i i="2">
      <x v="2"/>
    </i>
    <i i="3">
      <x v="3"/>
    </i>
    <i i="4">
      <x v="4"/>
    </i>
    <i i="5">
      <x v="5"/>
    </i>
    <i i="6">
      <x v="6"/>
    </i>
  </colItems>
  <pageFields count="1">
    <pageField fld="0" hier="-1"/>
  </pageFields>
  <dataFields count="7">
    <dataField name=" 2025 S/" fld="23" baseField="0" baseItem="0" numFmtId="3"/>
    <dataField name=" 2030 S/" fld="25" baseField="0" baseItem="0"/>
    <dataField name=" Año 1" fld="27" baseField="0" baseItem="0"/>
    <dataField name=" Año 2" fld="29" baseField="0" baseItem="0"/>
    <dataField name=" Año 3" fld="31" baseField="0" baseItem="0"/>
    <dataField name=" Año 4" fld="33" baseField="0" baseItem="0" numFmtId="3"/>
    <dataField name=" Año 5" fld="35" baseField="0" baseItem="0" numFmtId="3"/>
  </dataFields>
  <formats count="38">
    <format dxfId="266">
      <pivotArea dataOnly="0" labelOnly="1" outline="0" fieldPosition="0">
        <references count="1">
          <reference field="4294967294" count="2">
            <x v="0"/>
            <x v="1"/>
          </reference>
        </references>
      </pivotArea>
    </format>
    <format dxfId="265">
      <pivotArea dataOnly="0" labelOnly="1" outline="0" fieldPosition="0">
        <references count="1">
          <reference field="4294967294" count="2">
            <x v="0"/>
            <x v="1"/>
          </reference>
        </references>
      </pivotArea>
    </format>
    <format dxfId="264">
      <pivotArea dataOnly="0" labelOnly="1" grandRow="1" outline="0" fieldPosition="0"/>
    </format>
    <format dxfId="263">
      <pivotArea grandRow="1" outline="0" collapsedLevelsAreSubtotals="1" fieldPosition="0"/>
    </format>
    <format dxfId="262">
      <pivotArea dataOnly="0" labelOnly="1" grandRow="1" outline="0" fieldPosition="0"/>
    </format>
    <format dxfId="261">
      <pivotArea dataOnly="0" labelOnly="1" grandRow="1" outline="0" fieldPosition="0"/>
    </format>
    <format dxfId="260">
      <pivotArea dataOnly="0" labelOnly="1" grandRow="1" outline="0" fieldPosition="0"/>
    </format>
    <format dxfId="259">
      <pivotArea dataOnly="0" labelOnly="1" grandRow="1" outline="0" fieldPosition="0"/>
    </format>
    <format dxfId="258">
      <pivotArea dataOnly="0" labelOnly="1" grandRow="1" outline="0" fieldPosition="0"/>
    </format>
    <format dxfId="257">
      <pivotArea dataOnly="0" labelOnly="1" grandRow="1" outline="0" fieldPosition="0"/>
    </format>
    <format dxfId="256">
      <pivotArea dataOnly="0" labelOnly="1" grandRow="1" outline="0" fieldPosition="0"/>
    </format>
    <format dxfId="255">
      <pivotArea dataOnly="0" labelOnly="1" outline="0" fieldPosition="0">
        <references count="1">
          <reference field="4294967294" count="2">
            <x v="0"/>
            <x v="1"/>
          </reference>
        </references>
      </pivotArea>
    </format>
    <format dxfId="254">
      <pivotArea grandRow="1" outline="0" collapsedLevelsAreSubtotals="1" fieldPosition="0"/>
    </format>
    <format dxfId="253">
      <pivotArea dataOnly="0" labelOnly="1" grandRow="1" outline="0" fieldPosition="0"/>
    </format>
    <format dxfId="252">
      <pivotArea grandRow="1" outline="0" collapsedLevelsAreSubtotals="1" fieldPosition="0"/>
    </format>
    <format dxfId="251">
      <pivotArea dataOnly="0" labelOnly="1" grandRow="1" outline="0" fieldPosition="0"/>
    </format>
    <format dxfId="250">
      <pivotArea grandRow="1" outline="0" collapsedLevelsAreSubtotals="1" fieldPosition="0"/>
    </format>
    <format dxfId="249">
      <pivotArea dataOnly="0" labelOnly="1" grandRow="1" outline="0" fieldPosition="0"/>
    </format>
    <format dxfId="248">
      <pivotArea grandRow="1" outline="0" collapsedLevelsAreSubtotals="1" fieldPosition="0"/>
    </format>
    <format dxfId="247">
      <pivotArea dataOnly="0" labelOnly="1" grandRow="1" outline="0" fieldPosition="0"/>
    </format>
    <format dxfId="246">
      <pivotArea dataOnly="0" labelOnly="1" outline="0" fieldPosition="0">
        <references count="1">
          <reference field="4294967294" count="2">
            <x v="0"/>
            <x v="1"/>
          </reference>
        </references>
      </pivotArea>
    </format>
    <format dxfId="245">
      <pivotArea field="0" type="button" dataOnly="0" labelOnly="1" outline="0" axis="axisPage" fieldPosition="0"/>
    </format>
    <format dxfId="244">
      <pivotArea field="0" type="button" dataOnly="0" labelOnly="1" outline="0" axis="axisPage" fieldPosition="0"/>
    </format>
    <format dxfId="243">
      <pivotArea dataOnly="0" labelOnly="1" outline="0" fieldPosition="0">
        <references count="1">
          <reference field="4294967294" count="2">
            <x v="0"/>
            <x v="1"/>
          </reference>
        </references>
      </pivotArea>
    </format>
    <format dxfId="242">
      <pivotArea dataOnly="0" labelOnly="1" outline="0" fieldPosition="0">
        <references count="1">
          <reference field="4294967294" count="2">
            <x v="0"/>
            <x v="1"/>
          </reference>
        </references>
      </pivotArea>
    </format>
    <format dxfId="241">
      <pivotArea dataOnly="0" labelOnly="1" outline="0" fieldPosition="0">
        <references count="1">
          <reference field="4294967294" count="5">
            <x v="2"/>
            <x v="3"/>
            <x v="4"/>
            <x v="5"/>
            <x v="6"/>
          </reference>
        </references>
      </pivotArea>
    </format>
    <format dxfId="240">
      <pivotArea dataOnly="0" labelOnly="1" outline="0" fieldPosition="0">
        <references count="1">
          <reference field="4294967294" count="5">
            <x v="2"/>
            <x v="3"/>
            <x v="4"/>
            <x v="5"/>
            <x v="6"/>
          </reference>
        </references>
      </pivotArea>
    </format>
    <format dxfId="239">
      <pivotArea dataOnly="0" labelOnly="1" grandRow="1" outline="0" fieldPosition="0"/>
    </format>
    <format dxfId="238">
      <pivotArea outline="0" fieldPosition="0">
        <references count="1">
          <reference field="4294967294" count="1">
            <x v="0"/>
          </reference>
        </references>
      </pivotArea>
    </format>
    <format dxfId="237">
      <pivotArea outline="0" collapsedLevelsAreSubtotals="1" fieldPosition="0"/>
    </format>
    <format dxfId="236">
      <pivotArea dataOnly="0" labelOnly="1" fieldPosition="0">
        <references count="1">
          <reference field="7" count="0"/>
        </references>
      </pivotArea>
    </format>
    <format dxfId="235">
      <pivotArea dataOnly="0" labelOnly="1" grandRow="1" outline="0" fieldPosition="0"/>
    </format>
    <format dxfId="234">
      <pivotArea dataOnly="0" labelOnly="1" fieldPosition="0">
        <references count="2">
          <reference field="7" count="1" selected="0">
            <x v="0"/>
          </reference>
          <reference field="10" count="3">
            <x v="2"/>
            <x v="3"/>
            <x v="5"/>
          </reference>
        </references>
      </pivotArea>
    </format>
    <format dxfId="233">
      <pivotArea dataOnly="0" labelOnly="1" fieldPosition="0">
        <references count="2">
          <reference field="7" count="1" selected="0">
            <x v="1"/>
          </reference>
          <reference field="10" count="3">
            <x v="0"/>
            <x v="1"/>
            <x v="9"/>
          </reference>
        </references>
      </pivotArea>
    </format>
    <format dxfId="232">
      <pivotArea dataOnly="0" labelOnly="1" fieldPosition="0">
        <references count="2">
          <reference field="7" count="1" selected="0">
            <x v="2"/>
          </reference>
          <reference field="10" count="5">
            <x v="3"/>
            <x v="4"/>
            <x v="6"/>
            <x v="7"/>
            <x v="8"/>
          </reference>
        </references>
      </pivotArea>
    </format>
    <format dxfId="231">
      <pivotArea outline="0" fieldPosition="0">
        <references count="1">
          <reference field="4294967294" count="1">
            <x v="5"/>
          </reference>
        </references>
      </pivotArea>
    </format>
    <format dxfId="230">
      <pivotArea outline="0" fieldPosition="0">
        <references count="1">
          <reference field="4294967294" count="1">
            <x v="6"/>
          </reference>
        </references>
      </pivotArea>
    </format>
    <format dxfId="229">
      <pivotArea dataOnly="0" labelOnly="1" outline="0" fieldPosition="0">
        <references count="1">
          <reference field="0" count="0"/>
        </references>
      </pivotArea>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name="TablaDinámica4" cacheId="3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SA / COMPONENTES DE LA USA / IDEAS DE PROYECTOS">
  <location ref="B7:H169" firstHeaderRow="0" firstDataRow="1" firstDataCol="1" rowPageCount="1" colPageCount="1"/>
  <pivotFields count="44">
    <pivotField axis="axisPage" multipleItemSelectionAllowed="1" showAll="0">
      <items count="6">
        <item x="4"/>
        <item x="3"/>
        <item x="1"/>
        <item x="2"/>
        <item x="0"/>
        <item t="default"/>
      </items>
    </pivotField>
    <pivotField axis="axisRow" showAll="0" sortType="descending">
      <items count="17">
        <item x="13"/>
        <item x="14"/>
        <item x="11"/>
        <item x="5"/>
        <item x="4"/>
        <item x="12"/>
        <item x="15"/>
        <item x="10"/>
        <item x="6"/>
        <item x="7"/>
        <item x="0"/>
        <item x="1"/>
        <item x="2"/>
        <item x="3"/>
        <item x="9"/>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axis="axisRow" showAll="0" sortType="descending">
      <items count="13">
        <item x="2"/>
        <item x="1"/>
        <item x="6"/>
        <item x="8"/>
        <item x="3"/>
        <item x="10"/>
        <item x="0"/>
        <item x="7"/>
        <item x="11"/>
        <item x="5"/>
        <item x="4"/>
        <item x="9"/>
        <item t="default"/>
      </items>
      <autoSortScope>
        <pivotArea dataOnly="0" outline="0" fieldPosition="0">
          <references count="1">
            <reference field="4294967294" count="1" selected="0">
              <x v="0"/>
            </reference>
          </references>
        </pivotArea>
      </autoSortScope>
    </pivotField>
    <pivotField axis="axisRow" showAll="0" sortType="descending">
      <items count="11">
        <item x="9"/>
        <item x="8"/>
        <item x="7"/>
        <item x="3"/>
        <item x="4"/>
        <item x="6"/>
        <item x="2"/>
        <item x="1"/>
        <item x="5"/>
        <item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numFmtId="3" showAll="0"/>
    <pivotField dataField="1" numFmtId="3" showAll="0"/>
    <pivotField numFmtId="3"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showAll="0"/>
    <pivotField showAll="0"/>
    <pivotField showAll="0"/>
    <pivotField showAll="0"/>
    <pivotField showAll="0"/>
    <pivotField showAll="0"/>
    <pivotField showAll="0"/>
    <pivotField showAll="0"/>
  </pivotFields>
  <rowFields count="3">
    <field x="1"/>
    <field x="10"/>
    <field x="9"/>
  </rowFields>
  <rowItems count="162">
    <i>
      <x v="10"/>
    </i>
    <i r="1">
      <x v="7"/>
    </i>
    <i r="2">
      <x v="1"/>
    </i>
    <i r="1">
      <x v="3"/>
    </i>
    <i r="2">
      <x/>
    </i>
    <i r="1">
      <x v="6"/>
    </i>
    <i r="2">
      <x v="1"/>
    </i>
    <i r="1">
      <x v="9"/>
    </i>
    <i r="2">
      <x v="6"/>
    </i>
    <i r="1">
      <x v="8"/>
    </i>
    <i r="2">
      <x v="1"/>
    </i>
    <i r="1">
      <x v="4"/>
    </i>
    <i r="2">
      <x v="4"/>
    </i>
    <i r="1">
      <x v="5"/>
    </i>
    <i r="2">
      <x v="10"/>
    </i>
    <i>
      <x v="7"/>
    </i>
    <i r="1">
      <x/>
    </i>
    <i r="2">
      <x v="7"/>
    </i>
    <i r="1">
      <x v="1"/>
    </i>
    <i r="2">
      <x v="7"/>
    </i>
    <i r="1">
      <x v="5"/>
    </i>
    <i r="2">
      <x v="10"/>
    </i>
    <i r="2">
      <x v="7"/>
    </i>
    <i r="1">
      <x v="8"/>
    </i>
    <i r="2">
      <x v="1"/>
    </i>
    <i r="1">
      <x v="9"/>
    </i>
    <i r="2">
      <x v="6"/>
    </i>
    <i r="1">
      <x v="7"/>
    </i>
    <i r="2">
      <x v="7"/>
    </i>
    <i>
      <x v="13"/>
    </i>
    <i r="1">
      <x v="1"/>
    </i>
    <i r="2">
      <x v="7"/>
    </i>
    <i r="1">
      <x v="4"/>
    </i>
    <i r="2">
      <x v="4"/>
    </i>
    <i r="1">
      <x v="9"/>
    </i>
    <i r="2">
      <x v="6"/>
    </i>
    <i r="1">
      <x v="5"/>
    </i>
    <i r="2">
      <x v="10"/>
    </i>
    <i r="1">
      <x v="2"/>
    </i>
    <i r="2">
      <x v="9"/>
    </i>
    <i r="1">
      <x v="8"/>
    </i>
    <i r="2">
      <x v="1"/>
    </i>
    <i r="1">
      <x v="3"/>
    </i>
    <i r="2">
      <x v="2"/>
    </i>
    <i>
      <x v="6"/>
    </i>
    <i r="1">
      <x v="8"/>
    </i>
    <i r="2">
      <x v="11"/>
    </i>
    <i r="1">
      <x v="5"/>
    </i>
    <i r="2">
      <x v="3"/>
    </i>
    <i r="1">
      <x v="2"/>
    </i>
    <i r="2">
      <x v="8"/>
    </i>
    <i r="1">
      <x v="3"/>
    </i>
    <i r="2">
      <x/>
    </i>
    <i r="1">
      <x v="9"/>
    </i>
    <i r="2">
      <x v="5"/>
    </i>
    <i r="1">
      <x v="4"/>
    </i>
    <i r="2">
      <x/>
    </i>
    <i r="1">
      <x v="1"/>
    </i>
    <i r="2">
      <x v="5"/>
    </i>
    <i r="1">
      <x v="6"/>
    </i>
    <i r="2">
      <x v="11"/>
    </i>
    <i>
      <x v="12"/>
    </i>
    <i r="1">
      <x v="6"/>
    </i>
    <i r="2">
      <x v="1"/>
    </i>
    <i r="1">
      <x v="4"/>
    </i>
    <i r="2">
      <x v="4"/>
    </i>
    <i r="1">
      <x v="3"/>
    </i>
    <i r="2">
      <x/>
    </i>
    <i r="1">
      <x v="7"/>
    </i>
    <i r="2">
      <x v="1"/>
    </i>
    <i r="1">
      <x v="9"/>
    </i>
    <i r="2">
      <x v="6"/>
    </i>
    <i r="1">
      <x v="5"/>
    </i>
    <i r="2">
      <x v="10"/>
    </i>
    <i>
      <x v="11"/>
    </i>
    <i r="1">
      <x v="3"/>
    </i>
    <i r="2">
      <x/>
    </i>
    <i r="1">
      <x v="6"/>
    </i>
    <i r="2">
      <x v="1"/>
    </i>
    <i r="1">
      <x v="4"/>
    </i>
    <i r="2">
      <x v="4"/>
    </i>
    <i r="1">
      <x v="9"/>
    </i>
    <i r="2">
      <x v="6"/>
    </i>
    <i r="1">
      <x v="7"/>
    </i>
    <i r="2">
      <x v="1"/>
    </i>
    <i r="1">
      <x v="5"/>
    </i>
    <i r="2">
      <x v="10"/>
    </i>
    <i>
      <x v="1"/>
    </i>
    <i r="1">
      <x v="5"/>
    </i>
    <i r="2">
      <x v="10"/>
    </i>
    <i r="2">
      <x v="6"/>
    </i>
    <i r="1">
      <x v="3"/>
    </i>
    <i r="2">
      <x v="2"/>
    </i>
    <i r="1">
      <x v="2"/>
    </i>
    <i r="2">
      <x v="6"/>
    </i>
    <i r="2">
      <x v="9"/>
    </i>
    <i r="1">
      <x v="1"/>
    </i>
    <i r="2">
      <x v="7"/>
    </i>
    <i r="1">
      <x v="9"/>
    </i>
    <i r="2">
      <x v="6"/>
    </i>
    <i>
      <x/>
    </i>
    <i r="1">
      <x v="5"/>
    </i>
    <i r="2">
      <x v="10"/>
    </i>
    <i r="2">
      <x v="6"/>
    </i>
    <i r="1">
      <x v="3"/>
    </i>
    <i r="2">
      <x v="2"/>
    </i>
    <i r="1">
      <x v="2"/>
    </i>
    <i r="2">
      <x v="9"/>
    </i>
    <i r="1">
      <x v="1"/>
    </i>
    <i r="2">
      <x v="7"/>
    </i>
    <i>
      <x v="5"/>
    </i>
    <i r="1">
      <x v="3"/>
    </i>
    <i r="2">
      <x v="10"/>
    </i>
    <i r="2">
      <x/>
    </i>
    <i r="1">
      <x v="8"/>
    </i>
    <i r="2">
      <x v="1"/>
    </i>
    <i r="2">
      <x v="4"/>
    </i>
    <i r="2">
      <x v="9"/>
    </i>
    <i r="1">
      <x v="9"/>
    </i>
    <i r="2">
      <x v="6"/>
    </i>
    <i>
      <x v="14"/>
    </i>
    <i r="1">
      <x v="5"/>
    </i>
    <i r="2">
      <x v="10"/>
    </i>
    <i r="1">
      <x v="9"/>
    </i>
    <i r="2">
      <x v="6"/>
    </i>
    <i>
      <x v="4"/>
    </i>
    <i r="1">
      <x v="2"/>
    </i>
    <i r="2">
      <x v="9"/>
    </i>
    <i r="1">
      <x v="3"/>
    </i>
    <i r="2">
      <x v="2"/>
    </i>
    <i r="1">
      <x v="5"/>
    </i>
    <i r="2">
      <x v="10"/>
    </i>
    <i>
      <x v="2"/>
    </i>
    <i r="1">
      <x v="3"/>
    </i>
    <i r="2">
      <x v="2"/>
    </i>
    <i r="1">
      <x v="5"/>
    </i>
    <i r="2">
      <x v="10"/>
    </i>
    <i r="1">
      <x v="2"/>
    </i>
    <i r="2">
      <x v="9"/>
    </i>
    <i r="1">
      <x v="1"/>
    </i>
    <i r="2">
      <x v="7"/>
    </i>
    <i>
      <x v="8"/>
    </i>
    <i r="1">
      <x v="5"/>
    </i>
    <i r="2">
      <x v="10"/>
    </i>
    <i r="1">
      <x v="2"/>
    </i>
    <i r="2">
      <x v="9"/>
    </i>
    <i r="1">
      <x v="1"/>
    </i>
    <i r="2">
      <x v="7"/>
    </i>
    <i>
      <x v="15"/>
    </i>
    <i r="1">
      <x v="9"/>
    </i>
    <i r="2">
      <x v="6"/>
    </i>
    <i>
      <x v="3"/>
    </i>
    <i r="1">
      <x v="3"/>
    </i>
    <i r="2">
      <x v="2"/>
    </i>
    <i r="1">
      <x v="9"/>
    </i>
    <i r="2">
      <x v="6"/>
    </i>
    <i>
      <x v="9"/>
    </i>
    <i r="1">
      <x v="2"/>
    </i>
    <i r="2">
      <x v="9"/>
    </i>
    <i r="1">
      <x v="1"/>
    </i>
    <i r="2">
      <x v="7"/>
    </i>
    <i t="grand">
      <x/>
    </i>
  </rowItems>
  <colFields count="1">
    <field x="-2"/>
  </colFields>
  <colItems count="6">
    <i>
      <x/>
    </i>
    <i i="1">
      <x v="1"/>
    </i>
    <i i="2">
      <x v="2"/>
    </i>
    <i i="3">
      <x v="3"/>
    </i>
    <i i="4">
      <x v="4"/>
    </i>
    <i i="5">
      <x v="5"/>
    </i>
  </colItems>
  <pageFields count="1">
    <pageField fld="0" hier="-1"/>
  </pageFields>
  <dataFields count="6">
    <dataField name=" Al  2025 S/" fld="23" baseField="0" baseItem="0"/>
    <dataField name=" Año 1" fld="27" baseField="0" baseItem="0"/>
    <dataField name=" Año 2" fld="29" baseField="0" baseItem="0"/>
    <dataField name=" Año 3" fld="31" baseField="0" baseItem="0"/>
    <dataField name="  Año 4" fld="33" baseField="0" baseItem="0"/>
    <dataField name=" Año 5" fld="35" baseField="0" baseItem="0"/>
  </dataFields>
  <formats count="7">
    <format dxfId="189">
      <pivotArea outline="0" collapsedLevelsAreSubtotals="1" fieldPosition="0"/>
    </format>
    <format dxfId="188">
      <pivotArea dataOnly="0" labelOnly="1" outline="0" fieldPosition="0">
        <references count="1">
          <reference field="0" count="0"/>
        </references>
      </pivotArea>
    </format>
    <format dxfId="187">
      <pivotArea dataOnly="0" labelOnly="1" outline="0" fieldPosition="0">
        <references count="1">
          <reference field="4294967294" count="6">
            <x v="0"/>
            <x v="1"/>
            <x v="2"/>
            <x v="3"/>
            <x v="4"/>
            <x v="5"/>
          </reference>
        </references>
      </pivotArea>
    </format>
    <format dxfId="186">
      <pivotArea dataOnly="0" labelOnly="1" outline="0" fieldPosition="0">
        <references count="1">
          <reference field="4294967294" count="6">
            <x v="0"/>
            <x v="1"/>
            <x v="2"/>
            <x v="3"/>
            <x v="4"/>
            <x v="5"/>
          </reference>
        </references>
      </pivotArea>
    </format>
    <format dxfId="185">
      <pivotArea dataOnly="0" labelOnly="1" outline="0" fieldPosition="0">
        <references count="1">
          <reference field="4294967294" count="6">
            <x v="0"/>
            <x v="1"/>
            <x v="2"/>
            <x v="3"/>
            <x v="4"/>
            <x v="5"/>
          </reference>
        </references>
      </pivotArea>
    </format>
    <format dxfId="184">
      <pivotArea field="1" type="button" dataOnly="0" labelOnly="1" outline="0" axis="axisRow" fieldPosition="0"/>
    </format>
    <format dxfId="183">
      <pivotArea field="1" type="button" dataOnly="0" labelOnly="1" outline="0" axis="axisRow" fieldPosition="0"/>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name="TablaDinámica16" cacheId="46"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Áreas de Riesgo">
  <location ref="B109:D136" firstHeaderRow="0" firstDataRow="1" firstDataCol="1"/>
  <pivotFields count="20">
    <pivotField axis="axisRow" showAll="0" sortType="descending">
      <items count="7">
        <item x="3"/>
        <item x="2"/>
        <item x="4"/>
        <item x="0"/>
        <item x="5"/>
        <item h="1"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0">
        <item x="0"/>
        <item x="6"/>
        <item x="2"/>
        <item x="1"/>
        <item x="7"/>
        <item x="3"/>
        <item x="4"/>
        <item x="5"/>
        <item m="1"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 showAll="0"/>
  </pivotFields>
  <rowFields count="2">
    <field x="0"/>
    <field x="13"/>
  </rowFields>
  <rowItems count="27">
    <i>
      <x v="3"/>
    </i>
    <i r="1">
      <x/>
    </i>
    <i r="1">
      <x v="5"/>
    </i>
    <i r="1">
      <x v="3"/>
    </i>
    <i r="1">
      <x v="2"/>
    </i>
    <i>
      <x v="1"/>
    </i>
    <i r="1">
      <x/>
    </i>
    <i r="1">
      <x v="5"/>
    </i>
    <i r="1">
      <x v="3"/>
    </i>
    <i r="1">
      <x v="2"/>
    </i>
    <i>
      <x v="2"/>
    </i>
    <i r="1">
      <x/>
    </i>
    <i r="1">
      <x v="5"/>
    </i>
    <i r="1">
      <x v="2"/>
    </i>
    <i r="1">
      <x v="3"/>
    </i>
    <i>
      <x/>
    </i>
    <i r="1">
      <x/>
    </i>
    <i r="1">
      <x v="5"/>
    </i>
    <i r="1">
      <x v="2"/>
    </i>
    <i r="1">
      <x v="3"/>
    </i>
    <i>
      <x v="4"/>
    </i>
    <i r="1">
      <x v="5"/>
    </i>
    <i r="1">
      <x v="3"/>
    </i>
    <i r="1">
      <x/>
    </i>
    <i r="1">
      <x v="7"/>
    </i>
    <i r="1">
      <x v="2"/>
    </i>
    <i t="grand">
      <x/>
    </i>
  </rowItems>
  <colFields count="1">
    <field x="-2"/>
  </colFields>
  <colItems count="2">
    <i>
      <x/>
    </i>
    <i i="1">
      <x v="1"/>
    </i>
  </colItems>
  <dataFields count="2">
    <dataField name="# de Intervenciones" fld="18" subtotal="count" baseField="0" baseItem="0"/>
    <dataField name="%" fld="18" subtotal="count" showDataAs="percentOfCol" baseField="13" baseItem="5" numFmtId="10"/>
  </dataFields>
  <formats count="22">
    <format dxfId="131">
      <pivotArea dataOnly="0" labelOnly="1" fieldPosition="0">
        <references count="1">
          <reference field="13" count="0"/>
        </references>
      </pivotArea>
    </format>
    <format dxfId="130">
      <pivotArea dataOnly="0" labelOnly="1" grandRow="1" outline="0" fieldPosition="0"/>
    </format>
    <format dxfId="129">
      <pivotArea field="13" type="button" dataOnly="0" labelOnly="1" outline="0" axis="axisRow" fieldPosition="1"/>
    </format>
    <format dxfId="128">
      <pivotArea dataOnly="0" labelOnly="1" outline="0" fieldPosition="0">
        <references count="1">
          <reference field="4294967294" count="2">
            <x v="0"/>
            <x v="1"/>
          </reference>
        </references>
      </pivotArea>
    </format>
    <format dxfId="127">
      <pivotArea field="13" type="button" dataOnly="0" labelOnly="1" outline="0" axis="axisRow" fieldPosition="1"/>
    </format>
    <format dxfId="126">
      <pivotArea dataOnly="0" labelOnly="1" outline="0" fieldPosition="0">
        <references count="1">
          <reference field="4294967294" count="2">
            <x v="0"/>
            <x v="1"/>
          </reference>
        </references>
      </pivotArea>
    </format>
    <format dxfId="125">
      <pivotArea field="0" type="button" dataOnly="0" labelOnly="1" outline="0" axis="axisRow" fieldPosition="0"/>
    </format>
    <format dxfId="124">
      <pivotArea dataOnly="0" labelOnly="1" fieldPosition="0">
        <references count="1">
          <reference field="0" count="0"/>
        </references>
      </pivotArea>
    </format>
    <format dxfId="123">
      <pivotArea dataOnly="0" labelOnly="1" grandRow="1" outline="0" fieldPosition="0"/>
    </format>
    <format dxfId="122">
      <pivotArea dataOnly="0" labelOnly="1" fieldPosition="0">
        <references count="2">
          <reference field="0" count="1" selected="0">
            <x v="3"/>
          </reference>
          <reference field="13" count="4">
            <x v="0"/>
            <x v="2"/>
            <x v="3"/>
            <x v="5"/>
          </reference>
        </references>
      </pivotArea>
    </format>
    <format dxfId="121">
      <pivotArea dataOnly="0" labelOnly="1" fieldPosition="0">
        <references count="2">
          <reference field="0" count="1" selected="0">
            <x v="1"/>
          </reference>
          <reference field="13" count="4">
            <x v="0"/>
            <x v="2"/>
            <x v="3"/>
            <x v="5"/>
          </reference>
        </references>
      </pivotArea>
    </format>
    <format dxfId="120">
      <pivotArea dataOnly="0" labelOnly="1" fieldPosition="0">
        <references count="2">
          <reference field="0" count="1" selected="0">
            <x v="2"/>
          </reference>
          <reference field="13" count="4">
            <x v="0"/>
            <x v="2"/>
            <x v="3"/>
            <x v="5"/>
          </reference>
        </references>
      </pivotArea>
    </format>
    <format dxfId="119">
      <pivotArea dataOnly="0" labelOnly="1" fieldPosition="0">
        <references count="2">
          <reference field="0" count="1" selected="0">
            <x v="0"/>
          </reference>
          <reference field="13" count="4">
            <x v="0"/>
            <x v="2"/>
            <x v="3"/>
            <x v="5"/>
          </reference>
        </references>
      </pivotArea>
    </format>
    <format dxfId="118">
      <pivotArea dataOnly="0" labelOnly="1" fieldPosition="0">
        <references count="2">
          <reference field="0" count="1" selected="0">
            <x v="4"/>
          </reference>
          <reference field="13" count="5">
            <x v="0"/>
            <x v="2"/>
            <x v="3"/>
            <x v="5"/>
            <x v="7"/>
          </reference>
        </references>
      </pivotArea>
    </format>
    <format dxfId="117">
      <pivotArea field="0" type="button" dataOnly="0" labelOnly="1" outline="0" axis="axisRow" fieldPosition="0"/>
    </format>
    <format dxfId="116">
      <pivotArea dataOnly="0" labelOnly="1" fieldPosition="0">
        <references count="1">
          <reference field="0" count="0"/>
        </references>
      </pivotArea>
    </format>
    <format dxfId="115">
      <pivotArea dataOnly="0" labelOnly="1" grandRow="1" outline="0" fieldPosition="0"/>
    </format>
    <format dxfId="114">
      <pivotArea dataOnly="0" labelOnly="1" fieldPosition="0">
        <references count="2">
          <reference field="0" count="1" selected="0">
            <x v="3"/>
          </reference>
          <reference field="13" count="4">
            <x v="0"/>
            <x v="2"/>
            <x v="3"/>
            <x v="5"/>
          </reference>
        </references>
      </pivotArea>
    </format>
    <format dxfId="113">
      <pivotArea dataOnly="0" labelOnly="1" fieldPosition="0">
        <references count="2">
          <reference field="0" count="1" selected="0">
            <x v="1"/>
          </reference>
          <reference field="13" count="4">
            <x v="0"/>
            <x v="2"/>
            <x v="3"/>
            <x v="5"/>
          </reference>
        </references>
      </pivotArea>
    </format>
    <format dxfId="112">
      <pivotArea dataOnly="0" labelOnly="1" fieldPosition="0">
        <references count="2">
          <reference field="0" count="1" selected="0">
            <x v="2"/>
          </reference>
          <reference field="13" count="4">
            <x v="0"/>
            <x v="2"/>
            <x v="3"/>
            <x v="5"/>
          </reference>
        </references>
      </pivotArea>
    </format>
    <format dxfId="111">
      <pivotArea dataOnly="0" labelOnly="1" fieldPosition="0">
        <references count="2">
          <reference field="0" count="1" selected="0">
            <x v="0"/>
          </reference>
          <reference field="13" count="4">
            <x v="0"/>
            <x v="2"/>
            <x v="3"/>
            <x v="5"/>
          </reference>
        </references>
      </pivotArea>
    </format>
    <format dxfId="110">
      <pivotArea dataOnly="0" labelOnly="1" fieldPosition="0">
        <references count="2">
          <reference field="0" count="1" selected="0">
            <x v="4"/>
          </reference>
          <reference field="13" count="5">
            <x v="0"/>
            <x v="2"/>
            <x v="3"/>
            <x v="5"/>
            <x v="7"/>
          </reference>
        </references>
      </pivotArea>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name="TablaDinámica14" cacheId="46"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Áreas de Riesgo / Salvaguardas">
  <location ref="B20:D103" firstHeaderRow="0" firstDataRow="1" firstDataCol="1"/>
  <pivotFields count="2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0">
        <item x="0"/>
        <item x="6"/>
        <item x="2"/>
        <item x="1"/>
        <item x="7"/>
        <item x="3"/>
        <item x="4"/>
        <item x="5"/>
        <item m="1" x="8"/>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75">
        <item x="24"/>
        <item x="22"/>
        <item x="40"/>
        <item x="4"/>
        <item x="13"/>
        <item x="20"/>
        <item x="23"/>
        <item x="25"/>
        <item x="12"/>
        <item x="15"/>
        <item x="18"/>
        <item x="57"/>
        <item x="34"/>
        <item x="17"/>
        <item x="14"/>
        <item x="59"/>
        <item x="44"/>
        <item x="38"/>
        <item x="39"/>
        <item x="55"/>
        <item x="63"/>
        <item x="48"/>
        <item x="45"/>
        <item x="53"/>
        <item x="52"/>
        <item x="28"/>
        <item x="7"/>
        <item x="70"/>
        <item x="3"/>
        <item x="67"/>
        <item x="2"/>
        <item x="31"/>
        <item x="62"/>
        <item x="36"/>
        <item x="41"/>
        <item x="1"/>
        <item x="10"/>
        <item x="46"/>
        <item x="50"/>
        <item x="49"/>
        <item x="64"/>
        <item x="58"/>
        <item x="43"/>
        <item x="42"/>
        <item x="6"/>
        <item x="69"/>
        <item x="26"/>
        <item x="11"/>
        <item x="9"/>
        <item x="27"/>
        <item x="65"/>
        <item x="71"/>
        <item x="30"/>
        <item x="29"/>
        <item x="8"/>
        <item x="35"/>
        <item x="19"/>
        <item x="66"/>
        <item x="47"/>
        <item x="0"/>
        <item x="33"/>
        <item x="32"/>
        <item x="51"/>
        <item x="60"/>
        <item x="21"/>
        <item x="72"/>
        <item x="61"/>
        <item x="16"/>
        <item x="37"/>
        <item x="73"/>
        <item x="54"/>
        <item x="68"/>
        <item x="5"/>
        <item x="56"/>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showAll="0"/>
  </pivotFields>
  <rowFields count="2">
    <field x="13"/>
    <field x="15"/>
  </rowFields>
  <rowItems count="83">
    <i>
      <x v="5"/>
    </i>
    <i r="1">
      <x v="13"/>
    </i>
    <i r="1">
      <x v="54"/>
    </i>
    <i r="1">
      <x v="56"/>
    </i>
    <i r="1">
      <x v="44"/>
    </i>
    <i r="1">
      <x v="10"/>
    </i>
    <i r="1">
      <x v="42"/>
    </i>
    <i r="1">
      <x v="39"/>
    </i>
    <i r="1">
      <x v="52"/>
    </i>
    <i r="1">
      <x v="18"/>
    </i>
    <i r="1">
      <x v="37"/>
    </i>
    <i r="1">
      <x v="12"/>
    </i>
    <i r="1">
      <x v="16"/>
    </i>
    <i r="1">
      <x v="55"/>
    </i>
    <i r="1">
      <x v="41"/>
    </i>
    <i r="1">
      <x v="21"/>
    </i>
    <i r="1">
      <x v="38"/>
    </i>
    <i r="1">
      <x v="46"/>
    </i>
    <i r="1">
      <x v="45"/>
    </i>
    <i r="1">
      <x v="40"/>
    </i>
    <i r="1">
      <x v="11"/>
    </i>
    <i>
      <x/>
    </i>
    <i r="1">
      <x v="48"/>
    </i>
    <i r="1">
      <x v="14"/>
    </i>
    <i r="1">
      <x v="22"/>
    </i>
    <i r="1">
      <x v="30"/>
    </i>
    <i r="1">
      <x v="36"/>
    </i>
    <i r="1">
      <x v="59"/>
    </i>
    <i r="1">
      <x v="35"/>
    </i>
    <i r="1">
      <x v="58"/>
    </i>
    <i r="1">
      <x v="19"/>
    </i>
    <i r="1">
      <x v="20"/>
    </i>
    <i>
      <x v="3"/>
    </i>
    <i r="1">
      <x v="3"/>
    </i>
    <i r="1">
      <x v="53"/>
    </i>
    <i r="1">
      <x v="28"/>
    </i>
    <i r="1">
      <x v="15"/>
    </i>
    <i r="1">
      <x v="60"/>
    </i>
    <i r="1">
      <x v="31"/>
    </i>
    <i r="1">
      <x v="73"/>
    </i>
    <i r="1">
      <x v="61"/>
    </i>
    <i r="1">
      <x v="57"/>
    </i>
    <i r="1">
      <x v="17"/>
    </i>
    <i r="1">
      <x v="64"/>
    </i>
    <i r="1">
      <x v="6"/>
    </i>
    <i r="1">
      <x v="33"/>
    </i>
    <i r="1">
      <x v="7"/>
    </i>
    <i r="1">
      <x v="51"/>
    </i>
    <i r="1">
      <x v="49"/>
    </i>
    <i r="1">
      <x v="1"/>
    </i>
    <i r="1">
      <x v="23"/>
    </i>
    <i r="1">
      <x/>
    </i>
    <i r="1">
      <x v="29"/>
    </i>
    <i>
      <x v="2"/>
    </i>
    <i r="1">
      <x v="67"/>
    </i>
    <i r="1">
      <x v="72"/>
    </i>
    <i r="1">
      <x v="70"/>
    </i>
    <i r="1">
      <x v="68"/>
    </i>
    <i r="1">
      <x v="34"/>
    </i>
    <i r="1">
      <x v="43"/>
    </i>
    <i r="1">
      <x v="63"/>
    </i>
    <i r="1">
      <x v="62"/>
    </i>
    <i r="1">
      <x v="24"/>
    </i>
    <i r="1">
      <x v="32"/>
    </i>
    <i r="1">
      <x v="71"/>
    </i>
    <i r="1">
      <x v="66"/>
    </i>
    <i r="1">
      <x v="69"/>
    </i>
    <i r="1">
      <x v="65"/>
    </i>
    <i>
      <x v="1"/>
    </i>
    <i r="1">
      <x v="9"/>
    </i>
    <i r="1">
      <x v="8"/>
    </i>
    <i>
      <x v="7"/>
    </i>
    <i r="1">
      <x v="5"/>
    </i>
    <i r="1">
      <x v="47"/>
    </i>
    <i r="1">
      <x v="4"/>
    </i>
    <i r="1">
      <x v="50"/>
    </i>
    <i>
      <x v="6"/>
    </i>
    <i r="1">
      <x v="26"/>
    </i>
    <i r="1">
      <x v="25"/>
    </i>
    <i r="1">
      <x v="27"/>
    </i>
    <i>
      <x v="4"/>
    </i>
    <i r="1">
      <x v="2"/>
    </i>
    <i t="grand">
      <x/>
    </i>
  </rowItems>
  <colFields count="1">
    <field x="-2"/>
  </colFields>
  <colItems count="2">
    <i>
      <x/>
    </i>
    <i i="1">
      <x v="1"/>
    </i>
  </colItems>
  <dataFields count="2">
    <dataField name="# de Salvaguardas" fld="18" subtotal="count" baseField="0" baseItem="0"/>
    <dataField name="%" fld="18" subtotal="count" showDataAs="percentOfCol" baseField="13" baseItem="5" numFmtId="10"/>
  </dataFields>
  <formats count="28">
    <format dxfId="159">
      <pivotArea dataOnly="0" labelOnly="1" fieldPosition="0">
        <references count="1">
          <reference field="13" count="0"/>
        </references>
      </pivotArea>
    </format>
    <format dxfId="158">
      <pivotArea dataOnly="0" labelOnly="1" grandRow="1" outline="0" fieldPosition="0"/>
    </format>
    <format dxfId="157">
      <pivotArea field="13" type="button" dataOnly="0" labelOnly="1" outline="0" axis="axisRow" fieldPosition="0"/>
    </format>
    <format dxfId="156">
      <pivotArea dataOnly="0" labelOnly="1" outline="0" fieldPosition="0">
        <references count="1">
          <reference field="4294967294" count="2">
            <x v="0"/>
            <x v="1"/>
          </reference>
        </references>
      </pivotArea>
    </format>
    <format dxfId="155">
      <pivotArea field="13" type="button" dataOnly="0" labelOnly="1" outline="0" axis="axisRow" fieldPosition="0"/>
    </format>
    <format dxfId="154">
      <pivotArea dataOnly="0" labelOnly="1" outline="0" fieldPosition="0">
        <references count="1">
          <reference field="4294967294" count="2">
            <x v="0"/>
            <x v="1"/>
          </reference>
        </references>
      </pivotArea>
    </format>
    <format dxfId="153">
      <pivotArea field="13" type="button" dataOnly="0" labelOnly="1" outline="0" axis="axisRow" fieldPosition="0"/>
    </format>
    <format dxfId="152">
      <pivotArea dataOnly="0" labelOnly="1" fieldPosition="0">
        <references count="1">
          <reference field="13" count="0"/>
        </references>
      </pivotArea>
    </format>
    <format dxfId="151">
      <pivotArea dataOnly="0" labelOnly="1" grandRow="1" outline="0" fieldPosition="0"/>
    </format>
    <format dxfId="150">
      <pivotArea dataOnly="0" labelOnly="1" fieldPosition="0">
        <references count="2">
          <reference field="13" count="1" selected="0">
            <x v="5"/>
          </reference>
          <reference field="15" count="20">
            <x v="10"/>
            <x v="11"/>
            <x v="12"/>
            <x v="13"/>
            <x v="16"/>
            <x v="18"/>
            <x v="21"/>
            <x v="37"/>
            <x v="38"/>
            <x v="39"/>
            <x v="40"/>
            <x v="41"/>
            <x v="42"/>
            <x v="44"/>
            <x v="45"/>
            <x v="46"/>
            <x v="52"/>
            <x v="54"/>
            <x v="55"/>
            <x v="56"/>
          </reference>
        </references>
      </pivotArea>
    </format>
    <format dxfId="149">
      <pivotArea dataOnly="0" labelOnly="1" fieldPosition="0">
        <references count="2">
          <reference field="13" count="1" selected="0">
            <x v="0"/>
          </reference>
          <reference field="15" count="10">
            <x v="14"/>
            <x v="19"/>
            <x v="20"/>
            <x v="22"/>
            <x v="30"/>
            <x v="35"/>
            <x v="36"/>
            <x v="48"/>
            <x v="58"/>
            <x v="59"/>
          </reference>
        </references>
      </pivotArea>
    </format>
    <format dxfId="148">
      <pivotArea dataOnly="0" labelOnly="1" fieldPosition="0">
        <references count="2">
          <reference field="13" count="1" selected="0">
            <x v="3"/>
          </reference>
          <reference field="15" count="20">
            <x v="0"/>
            <x v="1"/>
            <x v="3"/>
            <x v="6"/>
            <x v="7"/>
            <x v="15"/>
            <x v="17"/>
            <x v="23"/>
            <x v="28"/>
            <x v="29"/>
            <x v="31"/>
            <x v="33"/>
            <x v="49"/>
            <x v="51"/>
            <x v="53"/>
            <x v="57"/>
            <x v="60"/>
            <x v="61"/>
            <x v="64"/>
            <x v="73"/>
          </reference>
        </references>
      </pivotArea>
    </format>
    <format dxfId="147">
      <pivotArea dataOnly="0" labelOnly="1" fieldPosition="0">
        <references count="2">
          <reference field="13" count="1" selected="0">
            <x v="2"/>
          </reference>
          <reference field="15" count="14">
            <x v="24"/>
            <x v="32"/>
            <x v="34"/>
            <x v="43"/>
            <x v="62"/>
            <x v="63"/>
            <x v="65"/>
            <x v="66"/>
            <x v="67"/>
            <x v="68"/>
            <x v="69"/>
            <x v="70"/>
            <x v="71"/>
            <x v="72"/>
          </reference>
        </references>
      </pivotArea>
    </format>
    <format dxfId="146">
      <pivotArea dataOnly="0" labelOnly="1" fieldPosition="0">
        <references count="2">
          <reference field="13" count="1" selected="0">
            <x v="1"/>
          </reference>
          <reference field="15" count="2">
            <x v="8"/>
            <x v="9"/>
          </reference>
        </references>
      </pivotArea>
    </format>
    <format dxfId="145">
      <pivotArea dataOnly="0" labelOnly="1" fieldPosition="0">
        <references count="2">
          <reference field="13" count="1" selected="0">
            <x v="7"/>
          </reference>
          <reference field="15" count="4">
            <x v="4"/>
            <x v="5"/>
            <x v="47"/>
            <x v="50"/>
          </reference>
        </references>
      </pivotArea>
    </format>
    <format dxfId="144">
      <pivotArea dataOnly="0" labelOnly="1" fieldPosition="0">
        <references count="2">
          <reference field="13" count="1" selected="0">
            <x v="6"/>
          </reference>
          <reference field="15" count="3">
            <x v="25"/>
            <x v="26"/>
            <x v="27"/>
          </reference>
        </references>
      </pivotArea>
    </format>
    <format dxfId="143">
      <pivotArea dataOnly="0" labelOnly="1" fieldPosition="0">
        <references count="2">
          <reference field="13" count="1" selected="0">
            <x v="4"/>
          </reference>
          <reference field="15" count="1">
            <x v="2"/>
          </reference>
        </references>
      </pivotArea>
    </format>
    <format dxfId="142">
      <pivotArea field="13" type="button" dataOnly="0" labelOnly="1" outline="0" axis="axisRow" fieldPosition="0"/>
    </format>
    <format dxfId="141">
      <pivotArea dataOnly="0" labelOnly="1" fieldPosition="0">
        <references count="1">
          <reference field="13" count="0"/>
        </references>
      </pivotArea>
    </format>
    <format dxfId="140">
      <pivotArea dataOnly="0" labelOnly="1" grandRow="1" outline="0" fieldPosition="0"/>
    </format>
    <format dxfId="139">
      <pivotArea dataOnly="0" labelOnly="1" fieldPosition="0">
        <references count="2">
          <reference field="13" count="1" selected="0">
            <x v="5"/>
          </reference>
          <reference field="15" count="20">
            <x v="10"/>
            <x v="11"/>
            <x v="12"/>
            <x v="13"/>
            <x v="16"/>
            <x v="18"/>
            <x v="21"/>
            <x v="37"/>
            <x v="38"/>
            <x v="39"/>
            <x v="40"/>
            <x v="41"/>
            <x v="42"/>
            <x v="44"/>
            <x v="45"/>
            <x v="46"/>
            <x v="52"/>
            <x v="54"/>
            <x v="55"/>
            <x v="56"/>
          </reference>
        </references>
      </pivotArea>
    </format>
    <format dxfId="138">
      <pivotArea dataOnly="0" labelOnly="1" fieldPosition="0">
        <references count="2">
          <reference field="13" count="1" selected="0">
            <x v="0"/>
          </reference>
          <reference field="15" count="10">
            <x v="14"/>
            <x v="19"/>
            <x v="20"/>
            <x v="22"/>
            <x v="30"/>
            <x v="35"/>
            <x v="36"/>
            <x v="48"/>
            <x v="58"/>
            <x v="59"/>
          </reference>
        </references>
      </pivotArea>
    </format>
    <format dxfId="137">
      <pivotArea dataOnly="0" labelOnly="1" fieldPosition="0">
        <references count="2">
          <reference field="13" count="1" selected="0">
            <x v="3"/>
          </reference>
          <reference field="15" count="20">
            <x v="0"/>
            <x v="1"/>
            <x v="3"/>
            <x v="6"/>
            <x v="7"/>
            <x v="15"/>
            <x v="17"/>
            <x v="23"/>
            <x v="28"/>
            <x v="29"/>
            <x v="31"/>
            <x v="33"/>
            <x v="49"/>
            <x v="51"/>
            <x v="53"/>
            <x v="57"/>
            <x v="60"/>
            <x v="61"/>
            <x v="64"/>
            <x v="73"/>
          </reference>
        </references>
      </pivotArea>
    </format>
    <format dxfId="136">
      <pivotArea dataOnly="0" labelOnly="1" fieldPosition="0">
        <references count="2">
          <reference field="13" count="1" selected="0">
            <x v="2"/>
          </reference>
          <reference field="15" count="14">
            <x v="24"/>
            <x v="32"/>
            <x v="34"/>
            <x v="43"/>
            <x v="62"/>
            <x v="63"/>
            <x v="65"/>
            <x v="66"/>
            <x v="67"/>
            <x v="68"/>
            <x v="69"/>
            <x v="70"/>
            <x v="71"/>
            <x v="72"/>
          </reference>
        </references>
      </pivotArea>
    </format>
    <format dxfId="135">
      <pivotArea dataOnly="0" labelOnly="1" fieldPosition="0">
        <references count="2">
          <reference field="13" count="1" selected="0">
            <x v="1"/>
          </reference>
          <reference field="15" count="2">
            <x v="8"/>
            <x v="9"/>
          </reference>
        </references>
      </pivotArea>
    </format>
    <format dxfId="134">
      <pivotArea dataOnly="0" labelOnly="1" fieldPosition="0">
        <references count="2">
          <reference field="13" count="1" selected="0">
            <x v="7"/>
          </reference>
          <reference field="15" count="4">
            <x v="4"/>
            <x v="5"/>
            <x v="47"/>
            <x v="50"/>
          </reference>
        </references>
      </pivotArea>
    </format>
    <format dxfId="133">
      <pivotArea dataOnly="0" labelOnly="1" fieldPosition="0">
        <references count="2">
          <reference field="13" count="1" selected="0">
            <x v="6"/>
          </reference>
          <reference field="15" count="3">
            <x v="25"/>
            <x v="26"/>
            <x v="27"/>
          </reference>
        </references>
      </pivotArea>
    </format>
    <format dxfId="132">
      <pivotArea dataOnly="0" labelOnly="1" fieldPosition="0">
        <references count="2">
          <reference field="13" count="1" selected="0">
            <x v="4"/>
          </reference>
          <reference field="15" count="1">
            <x v="2"/>
          </reference>
        </references>
      </pivotArea>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4"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DT  / USA">
  <location ref="A3:D9" firstHeaderRow="0" firstDataRow="1" firstDataCol="1"/>
  <pivotFields count="34">
    <pivotField axis="axisRow" showAll="0" sortType="descending">
      <items count="6">
        <item sd="0" x="3"/>
        <item sd="0" x="1"/>
        <item sd="0" x="2"/>
        <item sd="0" x="0"/>
        <item sd="0" x="4"/>
        <item t="default"/>
      </items>
      <autoSortScope>
        <pivotArea dataOnly="0" outline="0" fieldPosition="0">
          <references count="1">
            <reference field="4294967294" count="1" selected="0">
              <x v="2"/>
            </reference>
          </references>
        </pivotArea>
      </autoSortScope>
    </pivotField>
    <pivotField axis="axisRow" showAll="0" sortType="descending">
      <items count="17">
        <item x="13"/>
        <item x="14"/>
        <item x="11"/>
        <item x="5"/>
        <item x="4"/>
        <item x="12"/>
        <item x="15"/>
        <item x="10"/>
        <item x="6"/>
        <item x="1"/>
        <item x="2"/>
        <item x="8"/>
        <item x="7"/>
        <item x="0"/>
        <item x="3"/>
        <item x="9"/>
        <item t="default"/>
      </items>
      <autoSortScope>
        <pivotArea dataOnly="0" outline="0" fieldPosition="0">
          <references count="1">
            <reference field="4294967294" count="1" selected="0">
              <x v="2"/>
            </reference>
          </references>
        </pivotArea>
      </autoSortScope>
    </pivotField>
    <pivotField showAll="0"/>
    <pivotField showAll="0"/>
    <pivotField dataField="1" showAll="0"/>
    <pivotField showAll="0"/>
    <pivotField showAll="0"/>
    <pivotField showAll="0"/>
    <pivotField showAll="0"/>
    <pivotField showAll="0"/>
    <pivotField showAll="0"/>
    <pivotField showAll="0"/>
    <pivotField showAll="0"/>
    <pivotField showAll="0"/>
    <pivotField numFmtId="171" showAll="0"/>
    <pivotField numFmtId="171" showAll="0"/>
    <pivotField showAll="0"/>
    <pivotField numFmtId="171" showAll="0"/>
    <pivotField showAll="0"/>
    <pivotField showAll="0"/>
    <pivotField dataField="1" numFmtId="171" showAll="0"/>
    <pivotField dataField="1" numFmtId="171" showAll="0"/>
    <pivotField numFmtId="171" showAll="0"/>
    <pivotField numFmtId="171" showAll="0"/>
    <pivotField numFmtId="171" showAll="0"/>
    <pivotField numFmtId="171" showAll="0"/>
    <pivotField numFmtId="171" showAll="0"/>
    <pivotField showAll="0"/>
    <pivotField showAll="0"/>
    <pivotField showAll="0"/>
    <pivotField showAll="0"/>
    <pivotField showAll="0"/>
    <pivotField showAll="0"/>
    <pivotField showAll="0"/>
  </pivotFields>
  <rowFields count="2">
    <field x="0"/>
    <field x="1"/>
  </rowFields>
  <rowItems count="6">
    <i>
      <x v="3"/>
    </i>
    <i>
      <x v="1"/>
    </i>
    <i>
      <x/>
    </i>
    <i>
      <x v="2"/>
    </i>
    <i>
      <x v="4"/>
    </i>
    <i t="grand">
      <x/>
    </i>
  </rowItems>
  <colFields count="1">
    <field x="-2"/>
  </colFields>
  <colItems count="3">
    <i>
      <x/>
    </i>
    <i i="1">
      <x v="1"/>
    </i>
    <i i="2">
      <x v="2"/>
    </i>
  </colItems>
  <dataFields count="3">
    <dataField name="# Intervención " fld="4" subtotal="count" baseField="0" baseItem="0"/>
    <dataField name="Total S/. Al 2025" fld="20" baseField="0" baseItem="0" numFmtId="172"/>
    <dataField name="Total S/. Al 2030 " fld="21" baseField="0" baseItem="0" numFmtId="172"/>
  </dataFields>
  <formats count="39">
    <format dxfId="1967">
      <pivotArea outline="0" collapsedLevelsAreSubtotals="1" fieldPosition="0">
        <references count="1">
          <reference field="4294967294" count="2" selected="0">
            <x v="1"/>
            <x v="2"/>
          </reference>
        </references>
      </pivotArea>
    </format>
    <format dxfId="1966">
      <pivotArea field="0" type="button" dataOnly="0" labelOnly="1" outline="0" axis="axisRow" fieldPosition="0"/>
    </format>
    <format dxfId="1965">
      <pivotArea dataOnly="0" labelOnly="1" fieldPosition="0">
        <references count="1">
          <reference field="0" count="0"/>
        </references>
      </pivotArea>
    </format>
    <format dxfId="1964">
      <pivotArea dataOnly="0" labelOnly="1" grandRow="1" outline="0" fieldPosition="0"/>
    </format>
    <format dxfId="1963">
      <pivotArea dataOnly="0" labelOnly="1" fieldPosition="0">
        <references count="2">
          <reference field="0" count="1" selected="0">
            <x v="0"/>
          </reference>
          <reference field="1" count="8">
            <x v="1"/>
            <x v="3"/>
            <x v="4"/>
            <x v="5"/>
            <x v="7"/>
            <x v="9"/>
            <x v="10"/>
            <x v="11"/>
          </reference>
        </references>
      </pivotArea>
    </format>
    <format dxfId="1962">
      <pivotArea dataOnly="0" labelOnly="1" fieldPosition="0">
        <references count="2">
          <reference field="0" count="1" selected="0">
            <x v="1"/>
          </reference>
          <reference field="1" count="6">
            <x v="2"/>
            <x v="4"/>
            <x v="7"/>
            <x v="9"/>
            <x v="10"/>
            <x v="11"/>
          </reference>
        </references>
      </pivotArea>
    </format>
    <format dxfId="1961">
      <pivotArea dataOnly="0" labelOnly="1" fieldPosition="0">
        <references count="2">
          <reference field="0" count="1" selected="0">
            <x v="2"/>
          </reference>
          <reference field="1" count="6">
            <x v="0"/>
            <x v="4"/>
            <x v="5"/>
            <x v="7"/>
            <x v="10"/>
            <x v="11"/>
          </reference>
        </references>
      </pivotArea>
    </format>
    <format dxfId="1960">
      <pivotArea dataOnly="0" labelOnly="1" fieldPosition="0">
        <references count="2">
          <reference field="0" count="1" selected="0">
            <x v="3"/>
          </reference>
          <reference field="1" count="7">
            <x v="3"/>
            <x v="4"/>
            <x v="7"/>
            <x v="8"/>
            <x v="9"/>
            <x v="10"/>
            <x v="11"/>
          </reference>
        </references>
      </pivotArea>
    </format>
    <format dxfId="1959">
      <pivotArea collapsedLevelsAreSubtotals="1" fieldPosition="0">
        <references count="2">
          <reference field="0" count="1" selected="0">
            <x v="0"/>
          </reference>
          <reference field="1" count="8">
            <x v="1"/>
            <x v="3"/>
            <x v="4"/>
            <x v="5"/>
            <x v="7"/>
            <x v="9"/>
            <x v="10"/>
            <x v="11"/>
          </reference>
        </references>
      </pivotArea>
    </format>
    <format dxfId="1958">
      <pivotArea collapsedLevelsAreSubtotals="1" fieldPosition="0">
        <references count="1">
          <reference field="0" count="1">
            <x v="1"/>
          </reference>
        </references>
      </pivotArea>
    </format>
    <format dxfId="1957">
      <pivotArea collapsedLevelsAreSubtotals="1" fieldPosition="0">
        <references count="2">
          <reference field="0" count="1" selected="0">
            <x v="1"/>
          </reference>
          <reference field="1" count="6">
            <x v="2"/>
            <x v="4"/>
            <x v="7"/>
            <x v="9"/>
            <x v="10"/>
            <x v="11"/>
          </reference>
        </references>
      </pivotArea>
    </format>
    <format dxfId="1956">
      <pivotArea collapsedLevelsAreSubtotals="1" fieldPosition="0">
        <references count="1">
          <reference field="0" count="1">
            <x v="2"/>
          </reference>
        </references>
      </pivotArea>
    </format>
    <format dxfId="1955">
      <pivotArea collapsedLevelsAreSubtotals="1" fieldPosition="0">
        <references count="2">
          <reference field="0" count="1" selected="0">
            <x v="2"/>
          </reference>
          <reference field="1" count="6">
            <x v="0"/>
            <x v="4"/>
            <x v="5"/>
            <x v="7"/>
            <x v="10"/>
            <x v="11"/>
          </reference>
        </references>
      </pivotArea>
    </format>
    <format dxfId="1954">
      <pivotArea collapsedLevelsAreSubtotals="1" fieldPosition="0">
        <references count="1">
          <reference field="0" count="1">
            <x v="3"/>
          </reference>
        </references>
      </pivotArea>
    </format>
    <format dxfId="1953">
      <pivotArea collapsedLevelsAreSubtotals="1" fieldPosition="0">
        <references count="2">
          <reference field="0" count="1" selected="0">
            <x v="3"/>
          </reference>
          <reference field="1" count="7">
            <x v="3"/>
            <x v="4"/>
            <x v="7"/>
            <x v="8"/>
            <x v="9"/>
            <x v="10"/>
            <x v="11"/>
          </reference>
        </references>
      </pivotArea>
    </format>
    <format dxfId="1952">
      <pivotArea dataOnly="0" labelOnly="1" fieldPosition="0">
        <references count="1">
          <reference field="0" count="3">
            <x v="1"/>
            <x v="2"/>
            <x v="3"/>
          </reference>
        </references>
      </pivotArea>
    </format>
    <format dxfId="1951">
      <pivotArea dataOnly="0" labelOnly="1" fieldPosition="0">
        <references count="2">
          <reference field="0" count="1" selected="0">
            <x v="0"/>
          </reference>
          <reference field="1" count="8">
            <x v="1"/>
            <x v="3"/>
            <x v="4"/>
            <x v="5"/>
            <x v="7"/>
            <x v="9"/>
            <x v="10"/>
            <x v="11"/>
          </reference>
        </references>
      </pivotArea>
    </format>
    <format dxfId="1950">
      <pivotArea dataOnly="0" labelOnly="1" fieldPosition="0">
        <references count="2">
          <reference field="0" count="1" selected="0">
            <x v="1"/>
          </reference>
          <reference field="1" count="6">
            <x v="2"/>
            <x v="4"/>
            <x v="7"/>
            <x v="9"/>
            <x v="10"/>
            <x v="11"/>
          </reference>
        </references>
      </pivotArea>
    </format>
    <format dxfId="1949">
      <pivotArea dataOnly="0" labelOnly="1" fieldPosition="0">
        <references count="2">
          <reference field="0" count="1" selected="0">
            <x v="2"/>
          </reference>
          <reference field="1" count="6">
            <x v="0"/>
            <x v="4"/>
            <x v="5"/>
            <x v="7"/>
            <x v="10"/>
            <x v="11"/>
          </reference>
        </references>
      </pivotArea>
    </format>
    <format dxfId="1948">
      <pivotArea dataOnly="0" labelOnly="1" fieldPosition="0">
        <references count="2">
          <reference field="0" count="1" selected="0">
            <x v="3"/>
          </reference>
          <reference field="1" count="7">
            <x v="3"/>
            <x v="4"/>
            <x v="7"/>
            <x v="8"/>
            <x v="9"/>
            <x v="10"/>
            <x v="11"/>
          </reference>
        </references>
      </pivotArea>
    </format>
    <format dxfId="1947">
      <pivotArea field="0" type="button" dataOnly="0" labelOnly="1" outline="0" axis="axisRow" fieldPosition="0"/>
    </format>
    <format dxfId="1946">
      <pivotArea dataOnly="0" labelOnly="1" outline="0" fieldPosition="0">
        <references count="1">
          <reference field="4294967294" count="3">
            <x v="0"/>
            <x v="1"/>
            <x v="2"/>
          </reference>
        </references>
      </pivotArea>
    </format>
    <format dxfId="1945">
      <pivotArea field="0" type="button" dataOnly="0" labelOnly="1" outline="0" axis="axisRow" fieldPosition="0"/>
    </format>
    <format dxfId="1944">
      <pivotArea dataOnly="0" labelOnly="1" outline="0" fieldPosition="0">
        <references count="1">
          <reference field="4294967294" count="3">
            <x v="0"/>
            <x v="1"/>
            <x v="2"/>
          </reference>
        </references>
      </pivotArea>
    </format>
    <format dxfId="1943">
      <pivotArea field="0" type="button" dataOnly="0" labelOnly="1" outline="0" axis="axisRow" fieldPosition="0"/>
    </format>
    <format dxfId="1942">
      <pivotArea dataOnly="0" labelOnly="1" outline="0" fieldPosition="0">
        <references count="1">
          <reference field="4294967294" count="3">
            <x v="0"/>
            <x v="1"/>
            <x v="2"/>
          </reference>
        </references>
      </pivotArea>
    </format>
    <format dxfId="1941">
      <pivotArea grandRow="1" outline="0" collapsedLevelsAreSubtotals="1" fieldPosition="0"/>
    </format>
    <format dxfId="1940">
      <pivotArea dataOnly="0" labelOnly="1" grandRow="1" outline="0" fieldPosition="0"/>
    </format>
    <format dxfId="1939">
      <pivotArea grandRow="1" outline="0" collapsedLevelsAreSubtotals="1" fieldPosition="0"/>
    </format>
    <format dxfId="1938">
      <pivotArea dataOnly="0" labelOnly="1" grandRow="1" outline="0" fieldPosition="0"/>
    </format>
    <format dxfId="1937">
      <pivotArea grandRow="1" outline="0" collapsedLevelsAreSubtotals="1" fieldPosition="0"/>
    </format>
    <format dxfId="1936">
      <pivotArea dataOnly="0" labelOnly="1" grandRow="1" outline="0" fieldPosition="0"/>
    </format>
    <format dxfId="1935">
      <pivotArea dataOnly="0" labelOnly="1" grandRow="1" outline="0" fieldPosition="0"/>
    </format>
    <format dxfId="1934">
      <pivotArea field="0" type="button" dataOnly="0" labelOnly="1" outline="0" axis="axisRow" fieldPosition="0"/>
    </format>
    <format dxfId="1933">
      <pivotArea collapsedLevelsAreSubtotals="1" fieldPosition="0">
        <references count="1">
          <reference field="0" count="1">
            <x v="3"/>
          </reference>
        </references>
      </pivotArea>
    </format>
    <format dxfId="1932">
      <pivotArea dataOnly="0" labelOnly="1" fieldPosition="0">
        <references count="1">
          <reference field="0" count="1">
            <x v="3"/>
          </reference>
        </references>
      </pivotArea>
    </format>
    <format dxfId="1931">
      <pivotArea collapsedLevelsAreSubtotals="1" fieldPosition="0">
        <references count="1">
          <reference field="0" count="1">
            <x v="0"/>
          </reference>
        </references>
      </pivotArea>
    </format>
    <format dxfId="1930">
      <pivotArea dataOnly="0" labelOnly="1" fieldPosition="0">
        <references count="1">
          <reference field="0" count="1">
            <x v="0"/>
          </reference>
        </references>
      </pivotArea>
    </format>
    <format dxfId="1929">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name="TablaDinámica13" cacheId="46"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Áreas de Riesgo">
  <location ref="B7:D16" firstHeaderRow="0" firstDataRow="1" firstDataCol="1"/>
  <pivotFields count="2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0">
        <item x="0"/>
        <item x="6"/>
        <item x="2"/>
        <item x="1"/>
        <item x="7"/>
        <item x="3"/>
        <item x="4"/>
        <item x="5"/>
        <item m="1"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 showAll="0"/>
  </pivotFields>
  <rowFields count="1">
    <field x="13"/>
  </rowFields>
  <rowItems count="9">
    <i>
      <x v="5"/>
    </i>
    <i>
      <x/>
    </i>
    <i>
      <x v="3"/>
    </i>
    <i>
      <x v="2"/>
    </i>
    <i>
      <x v="1"/>
    </i>
    <i>
      <x v="7"/>
    </i>
    <i>
      <x v="6"/>
    </i>
    <i>
      <x v="4"/>
    </i>
    <i t="grand">
      <x/>
    </i>
  </rowItems>
  <colFields count="1">
    <field x="-2"/>
  </colFields>
  <colItems count="2">
    <i>
      <x/>
    </i>
    <i i="1">
      <x v="1"/>
    </i>
  </colItems>
  <dataFields count="2">
    <dataField name="# de Salvaguardas" fld="18" subtotal="count" baseField="0" baseItem="0"/>
    <dataField name="%" fld="18" subtotal="count" showDataAs="percentOfCol" baseField="13" baseItem="5" numFmtId="10"/>
  </dataFields>
  <formats count="12">
    <format dxfId="171">
      <pivotArea dataOnly="0" labelOnly="1" fieldPosition="0">
        <references count="1">
          <reference field="13" count="0"/>
        </references>
      </pivotArea>
    </format>
    <format dxfId="170">
      <pivotArea dataOnly="0" labelOnly="1" grandRow="1" outline="0" fieldPosition="0"/>
    </format>
    <format dxfId="169">
      <pivotArea field="13" type="button" dataOnly="0" labelOnly="1" outline="0" axis="axisRow" fieldPosition="0"/>
    </format>
    <format dxfId="168">
      <pivotArea dataOnly="0" labelOnly="1" outline="0" fieldPosition="0">
        <references count="1">
          <reference field="4294967294" count="2">
            <x v="0"/>
            <x v="1"/>
          </reference>
        </references>
      </pivotArea>
    </format>
    <format dxfId="167">
      <pivotArea field="13" type="button" dataOnly="0" labelOnly="1" outline="0" axis="axisRow" fieldPosition="0"/>
    </format>
    <format dxfId="166">
      <pivotArea dataOnly="0" labelOnly="1" outline="0" fieldPosition="0">
        <references count="1">
          <reference field="4294967294" count="2">
            <x v="0"/>
            <x v="1"/>
          </reference>
        </references>
      </pivotArea>
    </format>
    <format dxfId="165">
      <pivotArea field="13" type="button" dataOnly="0" labelOnly="1" outline="0" axis="axisRow" fieldPosition="0"/>
    </format>
    <format dxfId="164">
      <pivotArea dataOnly="0" labelOnly="1" fieldPosition="0">
        <references count="1">
          <reference field="13" count="0"/>
        </references>
      </pivotArea>
    </format>
    <format dxfId="163">
      <pivotArea dataOnly="0" labelOnly="1" grandRow="1" outline="0" fieldPosition="0"/>
    </format>
    <format dxfId="162">
      <pivotArea field="13" type="button" dataOnly="0" labelOnly="1" outline="0" axis="axisRow" fieldPosition="0"/>
    </format>
    <format dxfId="161">
      <pivotArea dataOnly="0" labelOnly="1" fieldPosition="0">
        <references count="1">
          <reference field="13" count="0"/>
        </references>
      </pivotArea>
    </format>
    <format dxfId="160">
      <pivotArea dataOnly="0" labelOnly="1" grandRow="1" outline="0" fieldPosition="0"/>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name="TablaDinámica17" cacheId="46" applyNumberFormats="0" applyBorderFormats="0" applyFontFormats="0" applyPatternFormats="0" applyAlignmentFormats="0" applyWidthHeightFormats="1" dataCaption="Valores" updatedVersion="5" minRefreshableVersion="3" useAutoFormatting="1" itemPrintTitles="1" createdVersion="6" indent="0" outline="1" outlineData="1" multipleFieldFilters="0" rowHeaderCaption="UDTS">
  <location ref="B139:D145" firstHeaderRow="0" firstDataRow="1" firstDataCol="1"/>
  <pivotFields count="20">
    <pivotField axis="axisRow" showAll="0" sortType="descending">
      <items count="7">
        <item x="3"/>
        <item x="2"/>
        <item x="4"/>
        <item x="0"/>
        <item x="5"/>
        <item h="1" x="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items count="10">
        <item x="0"/>
        <item x="6"/>
        <item x="2"/>
        <item x="1"/>
        <item x="7"/>
        <item x="3"/>
        <item x="4"/>
        <item x="5"/>
        <item m="1"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dataField="1" showAll="0"/>
    <pivotField showAll="0"/>
  </pivotFields>
  <rowFields count="1">
    <field x="0"/>
  </rowFields>
  <rowItems count="6">
    <i>
      <x v="3"/>
    </i>
    <i>
      <x v="1"/>
    </i>
    <i>
      <x v="2"/>
    </i>
    <i>
      <x/>
    </i>
    <i>
      <x v="4"/>
    </i>
    <i t="grand">
      <x/>
    </i>
  </rowItems>
  <colFields count="1">
    <field x="-2"/>
  </colFields>
  <colItems count="2">
    <i>
      <x/>
    </i>
    <i i="1">
      <x v="1"/>
    </i>
  </colItems>
  <dataFields count="2">
    <dataField name="# de Intervenciones" fld="18" subtotal="count" baseField="0" baseItem="0"/>
    <dataField name="%" fld="18" subtotal="count" showDataAs="percentOfCol" baseField="13" baseItem="5" numFmtId="10"/>
  </dataFields>
  <formats count="11">
    <format dxfId="182">
      <pivotArea dataOnly="0" labelOnly="1" grandRow="1" outline="0" fieldPosition="0"/>
    </format>
    <format dxfId="181">
      <pivotArea field="13" type="button" dataOnly="0" labelOnly="1" outline="0"/>
    </format>
    <format dxfId="180">
      <pivotArea dataOnly="0" labelOnly="1" outline="0" fieldPosition="0">
        <references count="1">
          <reference field="4294967294" count="2">
            <x v="0"/>
            <x v="1"/>
          </reference>
        </references>
      </pivotArea>
    </format>
    <format dxfId="179">
      <pivotArea field="13" type="button" dataOnly="0" labelOnly="1" outline="0"/>
    </format>
    <format dxfId="178">
      <pivotArea dataOnly="0" labelOnly="1" outline="0" fieldPosition="0">
        <references count="1">
          <reference field="4294967294" count="2">
            <x v="0"/>
            <x v="1"/>
          </reference>
        </references>
      </pivotArea>
    </format>
    <format dxfId="177">
      <pivotArea field="0" type="button" dataOnly="0" labelOnly="1" outline="0" axis="axisRow" fieldPosition="0"/>
    </format>
    <format dxfId="176">
      <pivotArea dataOnly="0" labelOnly="1" fieldPosition="0">
        <references count="1">
          <reference field="0" count="0"/>
        </references>
      </pivotArea>
    </format>
    <format dxfId="175">
      <pivotArea dataOnly="0" labelOnly="1" grandRow="1" outline="0" fieldPosition="0"/>
    </format>
    <format dxfId="174">
      <pivotArea field="0" type="button" dataOnly="0" labelOnly="1" outline="0" axis="axisRow" fieldPosition="0"/>
    </format>
    <format dxfId="173">
      <pivotArea dataOnly="0" labelOnly="1" fieldPosition="0">
        <references count="1">
          <reference field="0" count="0"/>
        </references>
      </pivotArea>
    </format>
    <format dxfId="172">
      <pivotArea dataOnly="0" labelOnly="1" grandRow="1" outline="0" fieldPosition="0"/>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name="TablaDinámica10" cacheId="3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GRAMSA / COMPONENTES">
  <location ref="B165:H174" firstHeaderRow="1" firstDataRow="2" firstDataCol="1"/>
  <pivotFields count="16">
    <pivotField showAll="0"/>
    <pivotField showAll="0"/>
    <pivotField showAll="0"/>
    <pivotField showAll="0"/>
    <pivotField showAll="0"/>
    <pivotField axis="axisRow" showAll="0" sortType="descending">
      <items count="4">
        <item x="0"/>
        <item x="2"/>
        <item x="1"/>
        <item t="default"/>
      </items>
      <autoSortScope>
        <pivotArea dataOnly="0" outline="0" fieldPosition="0">
          <references count="1">
            <reference field="4294967294" count="1" selected="0">
              <x v="0"/>
            </reference>
          </references>
        </pivotArea>
      </autoSortScope>
    </pivotField>
    <pivotField axis="axisRow" showAll="0">
      <items count="5">
        <item x="2"/>
        <item x="3"/>
        <item x="0"/>
        <item x="1"/>
        <item t="default"/>
      </items>
    </pivotField>
    <pivotField showAll="0"/>
    <pivotField showAll="0"/>
    <pivotField axis="axisCol" showAll="0">
      <items count="6">
        <item x="0"/>
        <item x="4"/>
        <item x="2"/>
        <item x="1"/>
        <item x="3"/>
        <item t="default"/>
      </items>
    </pivotField>
    <pivotField numFmtId="165" showAll="0"/>
    <pivotField numFmtId="165" showAll="0"/>
    <pivotField numFmtId="165" showAll="0"/>
    <pivotField numFmtId="165" showAll="0"/>
    <pivotField numFmtId="165" showAll="0"/>
    <pivotField dataField="1" numFmtId="165" showAll="0"/>
  </pivotFields>
  <rowFields count="2">
    <field x="5"/>
    <field x="6"/>
  </rowFields>
  <rowItems count="8">
    <i>
      <x/>
    </i>
    <i r="1">
      <x v="2"/>
    </i>
    <i>
      <x v="1"/>
    </i>
    <i r="1">
      <x/>
    </i>
    <i r="1">
      <x v="1"/>
    </i>
    <i>
      <x v="2"/>
    </i>
    <i r="1">
      <x v="3"/>
    </i>
    <i t="grand">
      <x/>
    </i>
  </rowItems>
  <colFields count="1">
    <field x="9"/>
  </colFields>
  <colItems count="6">
    <i>
      <x/>
    </i>
    <i>
      <x v="1"/>
    </i>
    <i>
      <x v="2"/>
    </i>
    <i>
      <x v="3"/>
    </i>
    <i>
      <x v="4"/>
    </i>
    <i t="grand">
      <x/>
    </i>
  </colItems>
  <dataFields count="1">
    <dataField name=" TOTAL S/. 2025" fld="15" baseField="0" baseItem="0" numFmtId="172"/>
  </dataFields>
  <formats count="11">
    <format dxfId="10">
      <pivotArea outline="0" collapsedLevelsAreSubtotals="1" fieldPosition="0"/>
    </format>
    <format dxfId="9">
      <pivotArea dataOnly="0" labelOnly="1" outline="0" fieldPosition="0">
        <references count="1">
          <reference field="4294967294" count="1">
            <x v="0"/>
          </reference>
        </references>
      </pivotArea>
    </format>
    <format dxfId="8">
      <pivotArea field="5" type="button" dataOnly="0" labelOnly="1" outline="0" axis="axisRow" fieldPosition="0"/>
    </format>
    <format dxfId="7">
      <pivotArea dataOnly="0" labelOnly="1" fieldPosition="0">
        <references count="1">
          <reference field="9" count="0"/>
        </references>
      </pivotArea>
    </format>
    <format dxfId="6">
      <pivotArea dataOnly="0" labelOnly="1" grandCol="1" outline="0" fieldPosition="0"/>
    </format>
    <format dxfId="5">
      <pivotArea field="5" type="button" dataOnly="0" labelOnly="1" outline="0" axis="axisRow" fieldPosition="0"/>
    </format>
    <format dxfId="4">
      <pivotArea dataOnly="0" labelOnly="1" fieldPosition="0">
        <references count="1">
          <reference field="9" count="0"/>
        </references>
      </pivotArea>
    </format>
    <format dxfId="3">
      <pivotArea dataOnly="0" labelOnly="1" grandCol="1" outline="0" fieldPosition="0"/>
    </format>
    <format dxfId="2">
      <pivotArea field="5" type="button" dataOnly="0" labelOnly="1" outline="0" axis="axisRow" fieldPosition="0"/>
    </format>
    <format dxfId="1">
      <pivotArea dataOnly="0" labelOnly="1" fieldPosition="0">
        <references count="1">
          <reference field="9" count="0"/>
        </references>
      </pivotArea>
    </format>
    <format dxfId="0">
      <pivotArea dataOnly="0" labelOnly="1" grandCol="1" outline="0" fieldPosition="0"/>
    </format>
  </formats>
  <pivotTableStyleInfo name="PivotStyleLight2 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name="TablaDinámica4" cacheId="3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NIVEL / PROGRAMAS / COMPONENTES">
  <location ref="B76:H108" firstHeaderRow="1" firstDataRow="2" firstDataCol="1"/>
  <pivotFields count="18">
    <pivotField showAll="0"/>
    <pivotField showAll="0"/>
    <pivotField showAll="0"/>
    <pivotField showAll="0"/>
    <pivotField showAll="0"/>
    <pivotField axis="axisRow" showAll="0" sortType="descending">
      <items count="4">
        <item x="2"/>
        <item x="1"/>
        <item x="0"/>
        <item t="default"/>
      </items>
      <autoSortScope>
        <pivotArea dataOnly="0" outline="0" fieldPosition="0">
          <references count="1">
            <reference field="4294967294" count="1" selected="0">
              <x v="0"/>
            </reference>
          </references>
        </pivotArea>
      </autoSortScope>
    </pivotField>
    <pivotField axis="axisRow" showAll="0" sortType="descending">
      <items count="9">
        <item x="6"/>
        <item x="1"/>
        <item x="4"/>
        <item x="3"/>
        <item x="0"/>
        <item x="2"/>
        <item x="7"/>
        <item x="5"/>
        <item t="default"/>
      </items>
      <autoSortScope>
        <pivotArea dataOnly="0" outline="0" fieldPosition="0">
          <references count="1">
            <reference field="4294967294" count="1" selected="0">
              <x v="0"/>
            </reference>
          </references>
        </pivotArea>
      </autoSortScope>
    </pivotField>
    <pivotField showAll="0"/>
    <pivotField showAll="0"/>
    <pivotField axis="axisRow" showAll="0">
      <items count="4">
        <item x="1"/>
        <item x="2"/>
        <item x="0"/>
        <item t="default"/>
      </items>
    </pivotField>
    <pivotField showAll="0">
      <items count="10">
        <item x="0"/>
        <item x="1"/>
        <item x="2"/>
        <item x="3"/>
        <item x="7"/>
        <item x="8"/>
        <item x="6"/>
        <item x="5"/>
        <item x="4"/>
        <item t="default"/>
      </items>
    </pivotField>
    <pivotField axis="axisCol" showAll="0">
      <items count="6">
        <item x="0"/>
        <item x="2"/>
        <item x="1"/>
        <item x="3"/>
        <item x="4"/>
        <item t="default"/>
      </items>
    </pivotField>
    <pivotField numFmtId="165" showAll="0"/>
    <pivotField numFmtId="165" showAll="0"/>
    <pivotField numFmtId="165" showAll="0"/>
    <pivotField showAll="0"/>
    <pivotField showAll="0"/>
    <pivotField dataField="1" numFmtId="165" showAll="0"/>
  </pivotFields>
  <rowFields count="3">
    <field x="9"/>
    <field x="5"/>
    <field x="6"/>
  </rowFields>
  <rowItems count="31">
    <i>
      <x/>
    </i>
    <i r="1">
      <x v="2"/>
    </i>
    <i r="2">
      <x v="5"/>
    </i>
    <i r="2">
      <x v="4"/>
    </i>
    <i r="2">
      <x v="6"/>
    </i>
    <i r="1">
      <x/>
    </i>
    <i r="2">
      <x v="3"/>
    </i>
    <i r="1">
      <x v="1"/>
    </i>
    <i r="2">
      <x v="1"/>
    </i>
    <i r="2">
      <x/>
    </i>
    <i r="2">
      <x v="7"/>
    </i>
    <i>
      <x v="1"/>
    </i>
    <i r="1">
      <x v="2"/>
    </i>
    <i r="2">
      <x v="4"/>
    </i>
    <i r="1">
      <x/>
    </i>
    <i r="2">
      <x v="3"/>
    </i>
    <i r="1">
      <x v="1"/>
    </i>
    <i r="2">
      <x v="1"/>
    </i>
    <i r="2">
      <x/>
    </i>
    <i>
      <x v="2"/>
    </i>
    <i r="1">
      <x v="2"/>
    </i>
    <i r="2">
      <x v="5"/>
    </i>
    <i r="2">
      <x v="4"/>
    </i>
    <i r="1">
      <x/>
    </i>
    <i r="2">
      <x v="3"/>
    </i>
    <i r="2">
      <x v="2"/>
    </i>
    <i r="1">
      <x v="1"/>
    </i>
    <i r="2">
      <x v="7"/>
    </i>
    <i r="2">
      <x v="1"/>
    </i>
    <i r="2">
      <x/>
    </i>
    <i t="grand">
      <x/>
    </i>
  </rowItems>
  <colFields count="1">
    <field x="11"/>
  </colFields>
  <colItems count="6">
    <i>
      <x/>
    </i>
    <i>
      <x v="1"/>
    </i>
    <i>
      <x v="2"/>
    </i>
    <i>
      <x v="3"/>
    </i>
    <i>
      <x v="4"/>
    </i>
    <i t="grand">
      <x/>
    </i>
  </colItems>
  <dataFields count="1">
    <dataField name=" TOTAL S/. 2025" fld="17" baseField="0" baseItem="0" numFmtId="172"/>
  </dataFields>
  <formats count="17">
    <format dxfId="27">
      <pivotArea outline="0" collapsedLevelsAreSubtotals="1" fieldPosition="0">
        <references count="1">
          <reference field="4294967294" count="1" selected="0">
            <x v="0"/>
          </reference>
        </references>
      </pivotArea>
    </format>
    <format dxfId="26">
      <pivotArea dataOnly="0" labelOnly="1" outline="0" fieldPosition="0">
        <references count="1">
          <reference field="4294967294" count="1">
            <x v="0"/>
          </reference>
        </references>
      </pivotArea>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0"/>
          </reference>
        </references>
      </pivotArea>
    </format>
    <format dxfId="23">
      <pivotArea field="9" type="button" dataOnly="0" labelOnly="1" outline="0" axis="axisRow" fieldPosition="0"/>
    </format>
    <format dxfId="22">
      <pivotArea dataOnly="0" labelOnly="1" fieldPosition="0">
        <references count="1">
          <reference field="9" count="0"/>
        </references>
      </pivotArea>
    </format>
    <format dxfId="21">
      <pivotArea dataOnly="0" labelOnly="1" grandRow="1" outline="0" fieldPosition="0"/>
    </format>
    <format dxfId="20">
      <pivotArea field="9" type="button" dataOnly="0" labelOnly="1" outline="0" axis="axisRow" fieldPosition="0"/>
    </format>
    <format dxfId="19">
      <pivotArea dataOnly="0" labelOnly="1" fieldPosition="0">
        <references count="1">
          <reference field="9" count="0"/>
        </references>
      </pivotArea>
    </format>
    <format dxfId="18">
      <pivotArea dataOnly="0" labelOnly="1" grandRow="1" outline="0" fieldPosition="0"/>
    </format>
    <format dxfId="17">
      <pivotArea dataOnly="0" labelOnly="1" fieldPosition="0">
        <references count="1">
          <reference field="11" count="0"/>
        </references>
      </pivotArea>
    </format>
    <format dxfId="16">
      <pivotArea field="9" type="button" dataOnly="0" labelOnly="1" outline="0" axis="axisRow" fieldPosition="0"/>
    </format>
    <format dxfId="15">
      <pivotArea dataOnly="0" labelOnly="1" fieldPosition="0">
        <references count="1">
          <reference field="11" count="0"/>
        </references>
      </pivotArea>
    </format>
    <format dxfId="14">
      <pivotArea dataOnly="0" labelOnly="1" grandCol="1" outline="0" fieldPosition="0"/>
    </format>
    <format dxfId="13">
      <pivotArea field="9" type="button" dataOnly="0" labelOnly="1" outline="0" axis="axisRow" fieldPosition="0"/>
    </format>
    <format dxfId="12">
      <pivotArea dataOnly="0" labelOnly="1" fieldPosition="0">
        <references count="1">
          <reference field="11" count="0"/>
        </references>
      </pivotArea>
    </format>
    <format dxfId="11">
      <pivotArea dataOnly="0" labelOnly="1" grandCol="1" outline="0" fieldPosition="0"/>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name="TablaDinámica6" cacheId="3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NIVEL / PROGRAMAS / COMPONENTES">
  <location ref="B131:H144" firstHeaderRow="1" firstDataRow="2" firstDataCol="1"/>
  <pivotFields count="18">
    <pivotField showAll="0"/>
    <pivotField showAll="0"/>
    <pivotField showAll="0"/>
    <pivotField showAll="0"/>
    <pivotField showAll="0"/>
    <pivotField axis="axisRow" showAll="0" sortType="descending">
      <items count="4">
        <item x="2"/>
        <item x="1"/>
        <item x="0"/>
        <item t="default"/>
      </items>
      <autoSortScope>
        <pivotArea dataOnly="0" outline="0" fieldPosition="0">
          <references count="1">
            <reference field="4294967294" count="1" selected="0">
              <x v="0"/>
            </reference>
          </references>
        </pivotArea>
      </autoSortScope>
    </pivotField>
    <pivotField axis="axisRow" showAll="0" sortType="descending">
      <items count="9">
        <item x="6"/>
        <item x="1"/>
        <item x="4"/>
        <item x="3"/>
        <item x="0"/>
        <item x="2"/>
        <item x="7"/>
        <item x="5"/>
        <item t="default"/>
      </items>
      <autoSortScope>
        <pivotArea dataOnly="0" outline="0" fieldPosition="0">
          <references count="1">
            <reference field="4294967294" count="1" selected="0">
              <x v="0"/>
            </reference>
          </references>
        </pivotArea>
      </autoSortScope>
    </pivotField>
    <pivotField showAll="0"/>
    <pivotField showAll="0"/>
    <pivotField showAll="0">
      <items count="4">
        <item x="1"/>
        <item x="2"/>
        <item x="0"/>
        <item t="default"/>
      </items>
    </pivotField>
    <pivotField showAll="0">
      <items count="10">
        <item x="0"/>
        <item x="1"/>
        <item x="2"/>
        <item x="3"/>
        <item x="7"/>
        <item x="8"/>
        <item x="6"/>
        <item x="5"/>
        <item x="4"/>
        <item t="default"/>
      </items>
    </pivotField>
    <pivotField axis="axisCol" showAll="0">
      <items count="6">
        <item x="0"/>
        <item x="2"/>
        <item x="1"/>
        <item x="3"/>
        <item x="4"/>
        <item t="default"/>
      </items>
    </pivotField>
    <pivotField numFmtId="165" showAll="0"/>
    <pivotField numFmtId="165" showAll="0"/>
    <pivotField numFmtId="165" showAll="0"/>
    <pivotField showAll="0"/>
    <pivotField showAll="0"/>
    <pivotField dataField="1" numFmtId="165" showAll="0"/>
  </pivotFields>
  <rowFields count="2">
    <field x="5"/>
    <field x="6"/>
  </rowFields>
  <rowItems count="12">
    <i>
      <x v="2"/>
    </i>
    <i r="1">
      <x v="5"/>
    </i>
    <i r="1">
      <x v="4"/>
    </i>
    <i r="1">
      <x v="6"/>
    </i>
    <i>
      <x/>
    </i>
    <i r="1">
      <x v="3"/>
    </i>
    <i r="1">
      <x v="2"/>
    </i>
    <i>
      <x v="1"/>
    </i>
    <i r="1">
      <x v="1"/>
    </i>
    <i r="1">
      <x v="7"/>
    </i>
    <i r="1">
      <x/>
    </i>
    <i t="grand">
      <x/>
    </i>
  </rowItems>
  <colFields count="1">
    <field x="11"/>
  </colFields>
  <colItems count="6">
    <i>
      <x/>
    </i>
    <i>
      <x v="1"/>
    </i>
    <i>
      <x v="2"/>
    </i>
    <i>
      <x v="3"/>
    </i>
    <i>
      <x v="4"/>
    </i>
    <i t="grand">
      <x/>
    </i>
  </colItems>
  <dataFields count="1">
    <dataField name=" TOTAL S/. 2025" fld="17" baseField="0" baseItem="0" numFmtId="172"/>
  </dataFields>
  <formats count="15">
    <format dxfId="42">
      <pivotArea outline="0" collapsedLevelsAreSubtotals="1" fieldPosition="0">
        <references count="1">
          <reference field="4294967294" count="1" selected="0">
            <x v="0"/>
          </reference>
        </references>
      </pivotArea>
    </format>
    <format dxfId="41">
      <pivotArea dataOnly="0" labelOnly="1" outline="0" fieldPosition="0">
        <references count="1">
          <reference field="4294967294" count="1">
            <x v="0"/>
          </reference>
        </references>
      </pivotArea>
    </format>
    <format dxfId="40">
      <pivotArea dataOnly="0" labelOnly="1" outline="0" fieldPosition="0">
        <references count="1">
          <reference field="4294967294" count="1">
            <x v="0"/>
          </reference>
        </references>
      </pivotArea>
    </format>
    <format dxfId="39">
      <pivotArea dataOnly="0" labelOnly="1" outline="0" fieldPosition="0">
        <references count="1">
          <reference field="4294967294" count="1">
            <x v="0"/>
          </reference>
        </references>
      </pivotArea>
    </format>
    <format dxfId="38">
      <pivotArea field="9" type="button" dataOnly="0" labelOnly="1" outline="0"/>
    </format>
    <format dxfId="37">
      <pivotArea dataOnly="0" labelOnly="1" grandRow="1" outline="0" fieldPosition="0"/>
    </format>
    <format dxfId="36">
      <pivotArea field="9" type="button" dataOnly="0" labelOnly="1" outline="0"/>
    </format>
    <format dxfId="35">
      <pivotArea dataOnly="0" labelOnly="1" grandRow="1" outline="0" fieldPosition="0"/>
    </format>
    <format dxfId="34">
      <pivotArea dataOnly="0" labelOnly="1" fieldPosition="0">
        <references count="1">
          <reference field="11" count="0"/>
        </references>
      </pivotArea>
    </format>
    <format dxfId="33">
      <pivotArea field="9" type="button" dataOnly="0" labelOnly="1" outline="0"/>
    </format>
    <format dxfId="32">
      <pivotArea dataOnly="0" labelOnly="1" fieldPosition="0">
        <references count="1">
          <reference field="11" count="0"/>
        </references>
      </pivotArea>
    </format>
    <format dxfId="31">
      <pivotArea dataOnly="0" labelOnly="1" grandCol="1" outline="0" fieldPosition="0"/>
    </format>
    <format dxfId="30">
      <pivotArea field="9" type="button" dataOnly="0" labelOnly="1" outline="0"/>
    </format>
    <format dxfId="29">
      <pivotArea dataOnly="0" labelOnly="1" fieldPosition="0">
        <references count="1">
          <reference field="11" count="0"/>
        </references>
      </pivotArea>
    </format>
    <format dxfId="28">
      <pivotArea dataOnly="0" labelOnly="1" grandCol="1" outline="0" fieldPosition="0"/>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name="TablaDinámica5" cacheId="3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 PROGRAMAS / COMPONENTES">
  <location ref="B113:I125" firstHeaderRow="0" firstDataRow="1" firstDataCol="1"/>
  <pivotFields count="18">
    <pivotField showAll="0"/>
    <pivotField showAll="0"/>
    <pivotField showAll="0"/>
    <pivotField showAll="0"/>
    <pivotField showAll="0"/>
    <pivotField axis="axisRow" showAll="0" sortType="descending">
      <items count="4">
        <item x="2"/>
        <item x="1"/>
        <item x="0"/>
        <item t="default"/>
      </items>
      <autoSortScope>
        <pivotArea dataOnly="0" outline="0" fieldPosition="0">
          <references count="1">
            <reference field="4294967294" count="1" selected="0">
              <x v="6"/>
            </reference>
          </references>
        </pivotArea>
      </autoSortScope>
    </pivotField>
    <pivotField axis="axisRow" showAll="0" sortType="descending">
      <items count="9">
        <item x="6"/>
        <item x="1"/>
        <item x="4"/>
        <item x="3"/>
        <item x="0"/>
        <item x="2"/>
        <item x="7"/>
        <item x="5"/>
        <item t="default"/>
      </items>
      <autoSortScope>
        <pivotArea dataOnly="0" outline="0" fieldPosition="0">
          <references count="1">
            <reference field="4294967294" count="1" selected="0">
              <x v="6"/>
            </reference>
          </references>
        </pivotArea>
      </autoSortScope>
    </pivotField>
    <pivotField showAll="0"/>
    <pivotField showAll="0"/>
    <pivotField showAll="0" sortType="descending">
      <items count="4">
        <item x="1"/>
        <item x="2"/>
        <item x="0"/>
        <item t="default"/>
      </items>
      <autoSortScope>
        <pivotArea dataOnly="0" outline="0" fieldPosition="0">
          <references count="1">
            <reference field="4294967294" count="1" selected="0">
              <x v="6"/>
            </reference>
          </references>
        </pivotArea>
      </autoSortScope>
    </pivotField>
    <pivotField showAll="0"/>
    <pivotField showAll="0"/>
    <pivotField dataField="1" numFmtId="165" showAll="0"/>
    <pivotField dataField="1" numFmtId="165" showAll="0"/>
    <pivotField dataField="1" numFmtId="165" showAll="0"/>
    <pivotField dataField="1" showAll="0"/>
    <pivotField dataField="1" showAll="0"/>
    <pivotField dataField="1" numFmtId="165" showAll="0"/>
  </pivotFields>
  <rowFields count="2">
    <field x="5"/>
    <field x="6"/>
  </rowFields>
  <rowItems count="12">
    <i>
      <x v="2"/>
    </i>
    <i r="1">
      <x v="4"/>
    </i>
    <i r="1">
      <x v="5"/>
    </i>
    <i r="1">
      <x v="6"/>
    </i>
    <i>
      <x/>
    </i>
    <i r="1">
      <x v="3"/>
    </i>
    <i r="1">
      <x v="2"/>
    </i>
    <i>
      <x v="1"/>
    </i>
    <i r="1">
      <x v="1"/>
    </i>
    <i r="1">
      <x/>
    </i>
    <i r="1">
      <x v="7"/>
    </i>
    <i t="grand">
      <x/>
    </i>
  </rowItems>
  <colFields count="1">
    <field x="-2"/>
  </colFields>
  <colItems count="7">
    <i>
      <x/>
    </i>
    <i i="1">
      <x v="1"/>
    </i>
    <i i="2">
      <x v="2"/>
    </i>
    <i i="3">
      <x v="3"/>
    </i>
    <i i="4">
      <x v="4"/>
    </i>
    <i i="5">
      <x v="5"/>
    </i>
    <i i="6">
      <x v="6"/>
    </i>
  </colItems>
  <dataFields count="7">
    <dataField name=" TOTAL S/. 2025" fld="17" baseField="0" baseItem="0" numFmtId="172"/>
    <dataField name="%" fld="17" showDataAs="percentOfCol" baseField="5" baseItem="2" numFmtId="10"/>
    <dataField name=" 2021" fld="12" baseField="0" baseItem="0" numFmtId="172"/>
    <dataField name=" 2022" fld="13" baseField="0" baseItem="0" numFmtId="172"/>
    <dataField name=" 2023" fld="14" baseField="0" baseItem="0" numFmtId="172"/>
    <dataField name=" 2024" fld="15" baseField="6" baseItem="1" numFmtId="172"/>
    <dataField name=" 2025" fld="16" baseField="6" baseItem="1" numFmtId="172"/>
  </dataFields>
  <formats count="10">
    <format dxfId="52">
      <pivotArea outline="0" collapsedLevelsAreSubtotals="1" fieldPosition="0">
        <references count="1">
          <reference field="4294967294" count="1" selected="0">
            <x v="0"/>
          </reference>
        </references>
      </pivotArea>
    </format>
    <format dxfId="51">
      <pivotArea dataOnly="0" labelOnly="1" outline="0" fieldPosition="0">
        <references count="1">
          <reference field="4294967294" count="1">
            <x v="0"/>
          </reference>
        </references>
      </pivotArea>
    </format>
    <format dxfId="50">
      <pivotArea outline="0" collapsedLevelsAreSubtotals="1" fieldPosition="0">
        <references count="1">
          <reference field="4294967294" count="5" selected="0">
            <x v="2"/>
            <x v="3"/>
            <x v="4"/>
            <x v="5"/>
            <x v="6"/>
          </reference>
        </references>
      </pivotArea>
    </format>
    <format dxfId="49">
      <pivotArea outline="0" fieldPosition="0">
        <references count="1">
          <reference field="4294967294" count="1">
            <x v="1"/>
          </reference>
        </references>
      </pivotArea>
    </format>
    <format dxfId="48">
      <pivotArea dataOnly="0" labelOnly="1" outline="0" fieldPosition="0">
        <references count="1">
          <reference field="4294967294" count="7">
            <x v="0"/>
            <x v="1"/>
            <x v="2"/>
            <x v="3"/>
            <x v="4"/>
            <x v="5"/>
            <x v="6"/>
          </reference>
        </references>
      </pivotArea>
    </format>
    <format dxfId="47">
      <pivotArea dataOnly="0" labelOnly="1" outline="0" fieldPosition="0">
        <references count="1">
          <reference field="4294967294" count="7">
            <x v="0"/>
            <x v="1"/>
            <x v="2"/>
            <x v="3"/>
            <x v="4"/>
            <x v="5"/>
            <x v="6"/>
          </reference>
        </references>
      </pivotArea>
    </format>
    <format dxfId="46">
      <pivotArea field="9" type="button" dataOnly="0" labelOnly="1" outline="0"/>
    </format>
    <format dxfId="45">
      <pivotArea dataOnly="0" labelOnly="1" grandRow="1" outline="0" fieldPosition="0"/>
    </format>
    <format dxfId="44">
      <pivotArea field="9" type="button" dataOnly="0" labelOnly="1" outline="0"/>
    </format>
    <format dxfId="43">
      <pivotArea dataOnly="0" labelOnly="1" grandRow="1" outline="0" fieldPosition="0"/>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name="TablaDinámica2" cacheId="3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NIVEL / PROGRAMAS / COMPONENTES">
  <location ref="B11:I42" firstHeaderRow="0" firstDataRow="1" firstDataCol="1"/>
  <pivotFields count="18">
    <pivotField showAll="0"/>
    <pivotField showAll="0"/>
    <pivotField showAll="0"/>
    <pivotField showAll="0"/>
    <pivotField showAll="0"/>
    <pivotField axis="axisRow" showAll="0" sortType="descending">
      <items count="4">
        <item x="2"/>
        <item x="1"/>
        <item x="0"/>
        <item t="default"/>
      </items>
      <autoSortScope>
        <pivotArea dataOnly="0" outline="0" fieldPosition="0">
          <references count="1">
            <reference field="4294967294" count="1" selected="0">
              <x v="6"/>
            </reference>
          </references>
        </pivotArea>
      </autoSortScope>
    </pivotField>
    <pivotField axis="axisRow" showAll="0" sortType="descending">
      <items count="9">
        <item x="6"/>
        <item x="1"/>
        <item x="4"/>
        <item x="3"/>
        <item x="0"/>
        <item x="2"/>
        <item x="7"/>
        <item x="5"/>
        <item t="default"/>
      </items>
      <autoSortScope>
        <pivotArea dataOnly="0" outline="0" fieldPosition="0">
          <references count="1">
            <reference field="4294967294" count="1" selected="0">
              <x v="6"/>
            </reference>
          </references>
        </pivotArea>
      </autoSortScope>
    </pivotField>
    <pivotField showAll="0"/>
    <pivotField showAll="0"/>
    <pivotField axis="axisRow" showAll="0" sortType="descending">
      <items count="4">
        <item x="1"/>
        <item x="2"/>
        <item x="0"/>
        <item t="default"/>
      </items>
      <autoSortScope>
        <pivotArea dataOnly="0" outline="0" fieldPosition="0">
          <references count="1">
            <reference field="4294967294" count="1" selected="0">
              <x v="6"/>
            </reference>
          </references>
        </pivotArea>
      </autoSortScope>
    </pivotField>
    <pivotField showAll="0"/>
    <pivotField showAll="0"/>
    <pivotField dataField="1" numFmtId="165" showAll="0"/>
    <pivotField dataField="1" numFmtId="165" showAll="0"/>
    <pivotField dataField="1" numFmtId="165" showAll="0"/>
    <pivotField dataField="1" showAll="0"/>
    <pivotField dataField="1" showAll="0"/>
    <pivotField dataField="1" numFmtId="165" showAll="0"/>
  </pivotFields>
  <rowFields count="3">
    <field x="9"/>
    <field x="5"/>
    <field x="6"/>
  </rowFields>
  <rowItems count="31">
    <i>
      <x v="1"/>
    </i>
    <i r="1">
      <x v="2"/>
    </i>
    <i r="2">
      <x v="4"/>
    </i>
    <i r="1">
      <x v="1"/>
    </i>
    <i r="2">
      <x v="1"/>
    </i>
    <i r="2">
      <x/>
    </i>
    <i r="1">
      <x/>
    </i>
    <i r="2">
      <x v="3"/>
    </i>
    <i>
      <x/>
    </i>
    <i r="1">
      <x v="2"/>
    </i>
    <i r="2">
      <x v="5"/>
    </i>
    <i r="2">
      <x v="4"/>
    </i>
    <i r="2">
      <x v="6"/>
    </i>
    <i r="1">
      <x/>
    </i>
    <i r="2">
      <x v="3"/>
    </i>
    <i r="1">
      <x v="1"/>
    </i>
    <i r="2">
      <x v="1"/>
    </i>
    <i r="2">
      <x v="7"/>
    </i>
    <i r="2">
      <x/>
    </i>
    <i>
      <x v="2"/>
    </i>
    <i r="1">
      <x v="2"/>
    </i>
    <i r="2">
      <x v="4"/>
    </i>
    <i r="2">
      <x v="5"/>
    </i>
    <i r="1">
      <x/>
    </i>
    <i r="2">
      <x v="3"/>
    </i>
    <i r="2">
      <x v="2"/>
    </i>
    <i r="1">
      <x v="1"/>
    </i>
    <i r="2">
      <x/>
    </i>
    <i r="2">
      <x v="7"/>
    </i>
    <i r="2">
      <x v="1"/>
    </i>
    <i t="grand">
      <x/>
    </i>
  </rowItems>
  <colFields count="1">
    <field x="-2"/>
  </colFields>
  <colItems count="7">
    <i>
      <x/>
    </i>
    <i i="1">
      <x v="1"/>
    </i>
    <i i="2">
      <x v="2"/>
    </i>
    <i i="3">
      <x v="3"/>
    </i>
    <i i="4">
      <x v="4"/>
    </i>
    <i i="5">
      <x v="5"/>
    </i>
    <i i="6">
      <x v="6"/>
    </i>
  </colItems>
  <dataFields count="7">
    <dataField name=" TOTAL S/. 2025" fld="17" baseField="0" baseItem="0" numFmtId="172"/>
    <dataField name="%" fld="17" showDataAs="percentOfCol" baseField="5" baseItem="2" numFmtId="10"/>
    <dataField name=" 2021" fld="12" baseField="0" baseItem="0" numFmtId="172"/>
    <dataField name=" 2022" fld="13" baseField="0" baseItem="0" numFmtId="172"/>
    <dataField name=" 2023" fld="14" baseField="0" baseItem="0" numFmtId="172"/>
    <dataField name=" 2024" fld="15" baseField="6" baseItem="1" numFmtId="172"/>
    <dataField name=" 2025" fld="16" baseField="6" baseItem="1" numFmtId="172"/>
  </dataFields>
  <formats count="36">
    <format dxfId="88">
      <pivotArea outline="0" collapsedLevelsAreSubtotals="1" fieldPosition="0">
        <references count="1">
          <reference field="4294967294" count="1" selected="0">
            <x v="0"/>
          </reference>
        </references>
      </pivotArea>
    </format>
    <format dxfId="87">
      <pivotArea dataOnly="0" labelOnly="1" outline="0" fieldPosition="0">
        <references count="1">
          <reference field="4294967294" count="1">
            <x v="0"/>
          </reference>
        </references>
      </pivotArea>
    </format>
    <format dxfId="86">
      <pivotArea outline="0" collapsedLevelsAreSubtotals="1" fieldPosition="0">
        <references count="1">
          <reference field="4294967294" count="5" selected="0">
            <x v="2"/>
            <x v="3"/>
            <x v="4"/>
            <x v="5"/>
            <x v="6"/>
          </reference>
        </references>
      </pivotArea>
    </format>
    <format dxfId="85">
      <pivotArea outline="0" fieldPosition="0">
        <references count="1">
          <reference field="4294967294" count="1">
            <x v="1"/>
          </reference>
        </references>
      </pivotArea>
    </format>
    <format dxfId="84">
      <pivotArea dataOnly="0" labelOnly="1" outline="0" fieldPosition="0">
        <references count="1">
          <reference field="4294967294" count="7">
            <x v="0"/>
            <x v="1"/>
            <x v="2"/>
            <x v="3"/>
            <x v="4"/>
            <x v="5"/>
            <x v="6"/>
          </reference>
        </references>
      </pivotArea>
    </format>
    <format dxfId="83">
      <pivotArea dataOnly="0" labelOnly="1" outline="0" fieldPosition="0">
        <references count="1">
          <reference field="4294967294" count="7">
            <x v="0"/>
            <x v="1"/>
            <x v="2"/>
            <x v="3"/>
            <x v="4"/>
            <x v="5"/>
            <x v="6"/>
          </reference>
        </references>
      </pivotArea>
    </format>
    <format dxfId="82">
      <pivotArea field="9" type="button" dataOnly="0" labelOnly="1" outline="0" axis="axisRow" fieldPosition="0"/>
    </format>
    <format dxfId="81">
      <pivotArea dataOnly="0" labelOnly="1" fieldPosition="0">
        <references count="1">
          <reference field="9" count="0"/>
        </references>
      </pivotArea>
    </format>
    <format dxfId="80">
      <pivotArea dataOnly="0" labelOnly="1" grandRow="1" outline="0" fieldPosition="0"/>
    </format>
    <format dxfId="79">
      <pivotArea dataOnly="0" labelOnly="1" fieldPosition="0">
        <references count="2">
          <reference field="5" count="0"/>
          <reference field="9" count="1" selected="0">
            <x v="0"/>
          </reference>
        </references>
      </pivotArea>
    </format>
    <format dxfId="78">
      <pivotArea dataOnly="0" labelOnly="1" fieldPosition="0">
        <references count="2">
          <reference field="5" count="0"/>
          <reference field="9" count="1" selected="0">
            <x v="1"/>
          </reference>
        </references>
      </pivotArea>
    </format>
    <format dxfId="77">
      <pivotArea dataOnly="0" labelOnly="1" fieldPosition="0">
        <references count="2">
          <reference field="5" count="0"/>
          <reference field="9" count="1" selected="0">
            <x v="2"/>
          </reference>
        </references>
      </pivotArea>
    </format>
    <format dxfId="76">
      <pivotArea dataOnly="0" labelOnly="1" fieldPosition="0">
        <references count="3">
          <reference field="5" count="1" selected="0">
            <x v="0"/>
          </reference>
          <reference field="6" count="1">
            <x v="3"/>
          </reference>
          <reference field="9" count="1" selected="0">
            <x v="0"/>
          </reference>
        </references>
      </pivotArea>
    </format>
    <format dxfId="75">
      <pivotArea dataOnly="0" labelOnly="1" fieldPosition="0">
        <references count="3">
          <reference field="5" count="1" selected="0">
            <x v="1"/>
          </reference>
          <reference field="6" count="3">
            <x v="0"/>
            <x v="1"/>
            <x v="7"/>
          </reference>
          <reference field="9" count="1" selected="0">
            <x v="0"/>
          </reference>
        </references>
      </pivotArea>
    </format>
    <format dxfId="74">
      <pivotArea dataOnly="0" labelOnly="1" fieldPosition="0">
        <references count="3">
          <reference field="5" count="1" selected="0">
            <x v="2"/>
          </reference>
          <reference field="6" count="3">
            <x v="4"/>
            <x v="5"/>
            <x v="6"/>
          </reference>
          <reference field="9" count="1" selected="0">
            <x v="0"/>
          </reference>
        </references>
      </pivotArea>
    </format>
    <format dxfId="73">
      <pivotArea dataOnly="0" labelOnly="1" fieldPosition="0">
        <references count="3">
          <reference field="5" count="1" selected="0">
            <x v="0"/>
          </reference>
          <reference field="6" count="1">
            <x v="3"/>
          </reference>
          <reference field="9" count="1" selected="0">
            <x v="1"/>
          </reference>
        </references>
      </pivotArea>
    </format>
    <format dxfId="72">
      <pivotArea dataOnly="0" labelOnly="1" fieldPosition="0">
        <references count="3">
          <reference field="5" count="1" selected="0">
            <x v="1"/>
          </reference>
          <reference field="6" count="2">
            <x v="0"/>
            <x v="1"/>
          </reference>
          <reference field="9" count="1" selected="0">
            <x v="1"/>
          </reference>
        </references>
      </pivotArea>
    </format>
    <format dxfId="71">
      <pivotArea dataOnly="0" labelOnly="1" fieldPosition="0">
        <references count="3">
          <reference field="5" count="1" selected="0">
            <x v="2"/>
          </reference>
          <reference field="6" count="1">
            <x v="4"/>
          </reference>
          <reference field="9" count="1" selected="0">
            <x v="1"/>
          </reference>
        </references>
      </pivotArea>
    </format>
    <format dxfId="70">
      <pivotArea dataOnly="0" labelOnly="1" fieldPosition="0">
        <references count="3">
          <reference field="5" count="1" selected="0">
            <x v="0"/>
          </reference>
          <reference field="6" count="2">
            <x v="2"/>
            <x v="3"/>
          </reference>
          <reference field="9" count="1" selected="0">
            <x v="2"/>
          </reference>
        </references>
      </pivotArea>
    </format>
    <format dxfId="69">
      <pivotArea dataOnly="0" labelOnly="1" fieldPosition="0">
        <references count="3">
          <reference field="5" count="1" selected="0">
            <x v="1"/>
          </reference>
          <reference field="6" count="3">
            <x v="0"/>
            <x v="1"/>
            <x v="7"/>
          </reference>
          <reference field="9" count="1" selected="0">
            <x v="2"/>
          </reference>
        </references>
      </pivotArea>
    </format>
    <format dxfId="68">
      <pivotArea dataOnly="0" labelOnly="1" fieldPosition="0">
        <references count="3">
          <reference field="5" count="1" selected="0">
            <x v="2"/>
          </reference>
          <reference field="6" count="2">
            <x v="4"/>
            <x v="5"/>
          </reference>
          <reference field="9" count="1" selected="0">
            <x v="2"/>
          </reference>
        </references>
      </pivotArea>
    </format>
    <format dxfId="67">
      <pivotArea field="9" type="button" dataOnly="0" labelOnly="1" outline="0" axis="axisRow" fieldPosition="0"/>
    </format>
    <format dxfId="66">
      <pivotArea dataOnly="0" labelOnly="1" fieldPosition="0">
        <references count="1">
          <reference field="9" count="0"/>
        </references>
      </pivotArea>
    </format>
    <format dxfId="65">
      <pivotArea dataOnly="0" labelOnly="1" grandRow="1" outline="0" fieldPosition="0"/>
    </format>
    <format dxfId="64">
      <pivotArea dataOnly="0" labelOnly="1" fieldPosition="0">
        <references count="2">
          <reference field="5" count="0"/>
          <reference field="9" count="1" selected="0">
            <x v="0"/>
          </reference>
        </references>
      </pivotArea>
    </format>
    <format dxfId="63">
      <pivotArea dataOnly="0" labelOnly="1" fieldPosition="0">
        <references count="2">
          <reference field="5" count="0"/>
          <reference field="9" count="1" selected="0">
            <x v="1"/>
          </reference>
        </references>
      </pivotArea>
    </format>
    <format dxfId="62">
      <pivotArea dataOnly="0" labelOnly="1" fieldPosition="0">
        <references count="2">
          <reference field="5" count="0"/>
          <reference field="9" count="1" selected="0">
            <x v="2"/>
          </reference>
        </references>
      </pivotArea>
    </format>
    <format dxfId="61">
      <pivotArea dataOnly="0" labelOnly="1" fieldPosition="0">
        <references count="3">
          <reference field="5" count="1" selected="0">
            <x v="0"/>
          </reference>
          <reference field="6" count="1">
            <x v="3"/>
          </reference>
          <reference field="9" count="1" selected="0">
            <x v="0"/>
          </reference>
        </references>
      </pivotArea>
    </format>
    <format dxfId="60">
      <pivotArea dataOnly="0" labelOnly="1" fieldPosition="0">
        <references count="3">
          <reference field="5" count="1" selected="0">
            <x v="1"/>
          </reference>
          <reference field="6" count="3">
            <x v="0"/>
            <x v="1"/>
            <x v="7"/>
          </reference>
          <reference field="9" count="1" selected="0">
            <x v="0"/>
          </reference>
        </references>
      </pivotArea>
    </format>
    <format dxfId="59">
      <pivotArea dataOnly="0" labelOnly="1" fieldPosition="0">
        <references count="3">
          <reference field="5" count="1" selected="0">
            <x v="2"/>
          </reference>
          <reference field="6" count="3">
            <x v="4"/>
            <x v="5"/>
            <x v="6"/>
          </reference>
          <reference field="9" count="1" selected="0">
            <x v="0"/>
          </reference>
        </references>
      </pivotArea>
    </format>
    <format dxfId="58">
      <pivotArea dataOnly="0" labelOnly="1" fieldPosition="0">
        <references count="3">
          <reference field="5" count="1" selected="0">
            <x v="0"/>
          </reference>
          <reference field="6" count="1">
            <x v="3"/>
          </reference>
          <reference field="9" count="1" selected="0">
            <x v="1"/>
          </reference>
        </references>
      </pivotArea>
    </format>
    <format dxfId="57">
      <pivotArea dataOnly="0" labelOnly="1" fieldPosition="0">
        <references count="3">
          <reference field="5" count="1" selected="0">
            <x v="1"/>
          </reference>
          <reference field="6" count="2">
            <x v="0"/>
            <x v="1"/>
          </reference>
          <reference field="9" count="1" selected="0">
            <x v="1"/>
          </reference>
        </references>
      </pivotArea>
    </format>
    <format dxfId="56">
      <pivotArea dataOnly="0" labelOnly="1" fieldPosition="0">
        <references count="3">
          <reference field="5" count="1" selected="0">
            <x v="2"/>
          </reference>
          <reference field="6" count="1">
            <x v="4"/>
          </reference>
          <reference field="9" count="1" selected="0">
            <x v="1"/>
          </reference>
        </references>
      </pivotArea>
    </format>
    <format dxfId="55">
      <pivotArea dataOnly="0" labelOnly="1" fieldPosition="0">
        <references count="3">
          <reference field="5" count="1" selected="0">
            <x v="0"/>
          </reference>
          <reference field="6" count="2">
            <x v="2"/>
            <x v="3"/>
          </reference>
          <reference field="9" count="1" selected="0">
            <x v="2"/>
          </reference>
        </references>
      </pivotArea>
    </format>
    <format dxfId="54">
      <pivotArea dataOnly="0" labelOnly="1" fieldPosition="0">
        <references count="3">
          <reference field="5" count="1" selected="0">
            <x v="1"/>
          </reference>
          <reference field="6" count="3">
            <x v="0"/>
            <x v="1"/>
            <x v="7"/>
          </reference>
          <reference field="9" count="1" selected="0">
            <x v="2"/>
          </reference>
        </references>
      </pivotArea>
    </format>
    <format dxfId="53">
      <pivotArea dataOnly="0" labelOnly="1" fieldPosition="0">
        <references count="3">
          <reference field="5" count="1" selected="0">
            <x v="2"/>
          </reference>
          <reference field="6" count="2">
            <x v="4"/>
            <x v="5"/>
          </reference>
          <reference field="9" count="1" selected="0">
            <x v="2"/>
          </reference>
        </references>
      </pivotArea>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name="TablaDinámica3" cacheId="3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NIVEL / USAs">
  <location ref="B47:H70" firstHeaderRow="1" firstDataRow="2" firstDataCol="1"/>
  <pivotFields count="18">
    <pivotField showAll="0"/>
    <pivotField showAll="0"/>
    <pivotField showAll="0"/>
    <pivotField showAll="0"/>
    <pivotField showAll="0"/>
    <pivotField showAll="0">
      <items count="4">
        <item x="2"/>
        <item x="1"/>
        <item x="0"/>
        <item t="default"/>
      </items>
    </pivotField>
    <pivotField showAll="0">
      <items count="9">
        <item x="6"/>
        <item x="1"/>
        <item x="4"/>
        <item x="3"/>
        <item x="0"/>
        <item x="2"/>
        <item x="7"/>
        <item x="5"/>
        <item t="default"/>
      </items>
    </pivotField>
    <pivotField showAll="0"/>
    <pivotField showAll="0"/>
    <pivotField axis="axisRow" showAll="0">
      <items count="4">
        <item x="1"/>
        <item x="2"/>
        <item x="0"/>
        <item t="default"/>
      </items>
    </pivotField>
    <pivotField axis="axisRow" showAll="0">
      <items count="10">
        <item x="0"/>
        <item x="1"/>
        <item x="2"/>
        <item x="3"/>
        <item x="7"/>
        <item x="8"/>
        <item x="6"/>
        <item x="5"/>
        <item x="4"/>
        <item t="default"/>
      </items>
    </pivotField>
    <pivotField axis="axisCol" showAll="0">
      <items count="6">
        <item x="0"/>
        <item x="2"/>
        <item x="1"/>
        <item x="3"/>
        <item x="4"/>
        <item t="default"/>
      </items>
    </pivotField>
    <pivotField numFmtId="165" showAll="0"/>
    <pivotField numFmtId="165" showAll="0"/>
    <pivotField numFmtId="165" showAll="0"/>
    <pivotField showAll="0"/>
    <pivotField showAll="0"/>
    <pivotField dataField="1" numFmtId="165" showAll="0"/>
  </pivotFields>
  <rowFields count="2">
    <field x="9"/>
    <field x="10"/>
  </rowFields>
  <rowItems count="22">
    <i>
      <x/>
    </i>
    <i r="1">
      <x/>
    </i>
    <i r="1">
      <x v="1"/>
    </i>
    <i r="1">
      <x v="2"/>
    </i>
    <i r="1">
      <x v="3"/>
    </i>
    <i r="1">
      <x v="4"/>
    </i>
    <i r="1">
      <x v="5"/>
    </i>
    <i r="1">
      <x v="6"/>
    </i>
    <i>
      <x v="1"/>
    </i>
    <i r="1">
      <x/>
    </i>
    <i r="1">
      <x v="1"/>
    </i>
    <i r="1">
      <x v="2"/>
    </i>
    <i r="1">
      <x v="4"/>
    </i>
    <i>
      <x v="2"/>
    </i>
    <i r="1">
      <x/>
    </i>
    <i r="1">
      <x v="1"/>
    </i>
    <i r="1">
      <x v="2"/>
    </i>
    <i r="1">
      <x v="3"/>
    </i>
    <i r="1">
      <x v="4"/>
    </i>
    <i r="1">
      <x v="7"/>
    </i>
    <i r="1">
      <x v="8"/>
    </i>
    <i t="grand">
      <x/>
    </i>
  </rowItems>
  <colFields count="1">
    <field x="11"/>
  </colFields>
  <colItems count="6">
    <i>
      <x/>
    </i>
    <i>
      <x v="1"/>
    </i>
    <i>
      <x v="2"/>
    </i>
    <i>
      <x v="3"/>
    </i>
    <i>
      <x v="4"/>
    </i>
    <i t="grand">
      <x/>
    </i>
  </colItems>
  <dataFields count="1">
    <dataField name=" TOTAL S/. 2025" fld="17" baseField="0" baseItem="0" numFmtId="172"/>
  </dataFields>
  <formats count="17">
    <format dxfId="105">
      <pivotArea outline="0" collapsedLevelsAreSubtotals="1" fieldPosition="0">
        <references count="1">
          <reference field="4294967294" count="1" selected="0">
            <x v="0"/>
          </reference>
        </references>
      </pivotArea>
    </format>
    <format dxfId="104">
      <pivotArea dataOnly="0" labelOnly="1" outline="0" fieldPosition="0">
        <references count="1">
          <reference field="4294967294" count="1">
            <x v="0"/>
          </reference>
        </references>
      </pivotArea>
    </format>
    <format dxfId="103">
      <pivotArea dataOnly="0" labelOnly="1" outline="0" fieldPosition="0">
        <references count="1">
          <reference field="4294967294" count="1">
            <x v="0"/>
          </reference>
        </references>
      </pivotArea>
    </format>
    <format dxfId="102">
      <pivotArea dataOnly="0" labelOnly="1" outline="0" fieldPosition="0">
        <references count="1">
          <reference field="4294967294" count="1">
            <x v="0"/>
          </reference>
        </references>
      </pivotArea>
    </format>
    <format dxfId="101">
      <pivotArea field="9" type="button" dataOnly="0" labelOnly="1" outline="0" axis="axisRow" fieldPosition="0"/>
    </format>
    <format dxfId="100">
      <pivotArea dataOnly="0" labelOnly="1" fieldPosition="0">
        <references count="1">
          <reference field="9" count="0"/>
        </references>
      </pivotArea>
    </format>
    <format dxfId="99">
      <pivotArea dataOnly="0" labelOnly="1" grandRow="1" outline="0" fieldPosition="0"/>
    </format>
    <format dxfId="98">
      <pivotArea field="9" type="button" dataOnly="0" labelOnly="1" outline="0" axis="axisRow" fieldPosition="0"/>
    </format>
    <format dxfId="97">
      <pivotArea dataOnly="0" labelOnly="1" fieldPosition="0">
        <references count="1">
          <reference field="9" count="0"/>
        </references>
      </pivotArea>
    </format>
    <format dxfId="96">
      <pivotArea dataOnly="0" labelOnly="1" grandRow="1" outline="0" fieldPosition="0"/>
    </format>
    <format dxfId="95">
      <pivotArea dataOnly="0" labelOnly="1" fieldPosition="0">
        <references count="1">
          <reference field="11" count="0"/>
        </references>
      </pivotArea>
    </format>
    <format dxfId="94">
      <pivotArea field="9" type="button" dataOnly="0" labelOnly="1" outline="0" axis="axisRow" fieldPosition="0"/>
    </format>
    <format dxfId="93">
      <pivotArea dataOnly="0" labelOnly="1" fieldPosition="0">
        <references count="1">
          <reference field="11" count="0"/>
        </references>
      </pivotArea>
    </format>
    <format dxfId="92">
      <pivotArea dataOnly="0" labelOnly="1" grandCol="1" outline="0" fieldPosition="0"/>
    </format>
    <format dxfId="91">
      <pivotArea field="9" type="button" dataOnly="0" labelOnly="1" outline="0" axis="axisRow" fieldPosition="0"/>
    </format>
    <format dxfId="90">
      <pivotArea dataOnly="0" labelOnly="1" fieldPosition="0">
        <references count="1">
          <reference field="11" count="0"/>
        </references>
      </pivotArea>
    </format>
    <format dxfId="89">
      <pivotArea dataOnly="0" labelOnly="1" grandCol="1" outline="0" fieldPosition="0"/>
    </format>
  </formats>
  <pivotTableStyleInfo name="Estilo de tabla dinámica 1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name="TablaDinámica9" cacheId="3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GRAMSA / COMPONENTES">
  <location ref="B152:I160" firstHeaderRow="0" firstDataRow="1" firstDataCol="1"/>
  <pivotFields count="16">
    <pivotField showAll="0"/>
    <pivotField showAll="0"/>
    <pivotField showAll="0"/>
    <pivotField showAll="0"/>
    <pivotField showAll="0"/>
    <pivotField axis="axisRow" showAll="0" sortType="descending">
      <items count="4">
        <item x="0"/>
        <item x="2"/>
        <item x="1"/>
        <item t="default"/>
      </items>
      <autoSortScope>
        <pivotArea dataOnly="0" outline="0" fieldPosition="0">
          <references count="1">
            <reference field="4294967294" count="1" selected="0">
              <x v="0"/>
            </reference>
          </references>
        </pivotArea>
      </autoSortScope>
    </pivotField>
    <pivotField axis="axisRow" showAll="0">
      <items count="5">
        <item x="2"/>
        <item x="3"/>
        <item x="0"/>
        <item x="1"/>
        <item t="default"/>
      </items>
    </pivotField>
    <pivotField showAll="0"/>
    <pivotField showAll="0"/>
    <pivotField showAll="0"/>
    <pivotField dataField="1" numFmtId="165" showAll="0"/>
    <pivotField dataField="1" numFmtId="165" showAll="0"/>
    <pivotField dataField="1" numFmtId="165" showAll="0"/>
    <pivotField dataField="1" numFmtId="165" showAll="0"/>
    <pivotField dataField="1" numFmtId="165" showAll="0"/>
    <pivotField dataField="1" numFmtId="165" showAll="0"/>
  </pivotFields>
  <rowFields count="2">
    <field x="5"/>
    <field x="6"/>
  </rowFields>
  <rowItems count="8">
    <i>
      <x/>
    </i>
    <i r="1">
      <x v="2"/>
    </i>
    <i>
      <x v="1"/>
    </i>
    <i r="1">
      <x/>
    </i>
    <i r="1">
      <x v="1"/>
    </i>
    <i>
      <x v="2"/>
    </i>
    <i r="1">
      <x v="3"/>
    </i>
    <i t="grand">
      <x/>
    </i>
  </rowItems>
  <colFields count="1">
    <field x="-2"/>
  </colFields>
  <colItems count="7">
    <i>
      <x/>
    </i>
    <i i="1">
      <x v="1"/>
    </i>
    <i i="2">
      <x v="2"/>
    </i>
    <i i="3">
      <x v="3"/>
    </i>
    <i i="4">
      <x v="4"/>
    </i>
    <i i="5">
      <x v="5"/>
    </i>
    <i i="6">
      <x v="6"/>
    </i>
  </colItems>
  <dataFields count="7">
    <dataField name=" TOTAL S/. 2025" fld="15" baseField="0" baseItem="0" numFmtId="172"/>
    <dataField name="%" fld="15" showDataAs="percentOfCol" baseField="6" baseItem="2" numFmtId="10"/>
    <dataField name=" 2021" fld="10" baseField="0" baseItem="0"/>
    <dataField name=" 2022" fld="11" baseField="0" baseItem="0"/>
    <dataField name=" 2023" fld="12" baseField="0" baseItem="0"/>
    <dataField name=" 2024" fld="13" baseField="0" baseItem="0"/>
    <dataField name=" 2025" fld="14" baseField="0" baseItem="0"/>
  </dataFields>
  <formats count="4">
    <format dxfId="109">
      <pivotArea outline="0" collapsedLevelsAreSubtotals="1" fieldPosition="0"/>
    </format>
    <format dxfId="108">
      <pivotArea outline="0" fieldPosition="0">
        <references count="1">
          <reference field="4294967294" count="1">
            <x v="1"/>
          </reference>
        </references>
      </pivotArea>
    </format>
    <format dxfId="107">
      <pivotArea field="5" type="button" dataOnly="0" labelOnly="1" outline="0" axis="axisRow" fieldPosition="0"/>
    </format>
    <format dxfId="106">
      <pivotArea dataOnly="0" labelOnly="1" outline="0" fieldPosition="0">
        <references count="1">
          <reference field="4294967294" count="7">
            <x v="0"/>
            <x v="1"/>
            <x v="2"/>
            <x v="3"/>
            <x v="4"/>
            <x v="5"/>
            <x v="6"/>
          </reference>
        </references>
      </pivotArea>
    </format>
  </formats>
  <pivotTableStyleInfo name="PivotStyleLight2 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8"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M21" firstHeaderRow="1" firstDataRow="3" firstDataCol="1"/>
  <pivotFields count="34">
    <pivotField axis="axisCol" showAll="0">
      <items count="6">
        <item x="3"/>
        <item x="1"/>
        <item x="2"/>
        <item x="0"/>
        <item x="4"/>
        <item t="default"/>
      </items>
    </pivotField>
    <pivotField showAll="0"/>
    <pivotField showAll="0"/>
    <pivotField showAll="0"/>
    <pivotField axis="axisRow" showAll="0">
      <items count="110">
        <item x="30"/>
        <item x="61"/>
        <item x="62"/>
        <item x="70"/>
        <item x="63"/>
        <item x="1"/>
        <item x="68"/>
        <item x="59"/>
        <item x="7"/>
        <item x="21"/>
        <item x="18"/>
        <item x="29"/>
        <item x="13"/>
        <item x="60"/>
        <item x="20"/>
        <item x="3"/>
        <item x="11"/>
        <item x="80"/>
        <item x="47"/>
        <item x="17"/>
        <item x="79"/>
        <item x="77"/>
        <item x="87"/>
        <item x="8"/>
        <item x="32"/>
        <item x="28"/>
        <item x="26"/>
        <item x="4"/>
        <item x="2"/>
        <item x="50"/>
        <item x="71"/>
        <item x="48"/>
        <item x="19"/>
        <item x="82"/>
        <item x="33"/>
        <item x="9"/>
        <item x="76"/>
        <item x="51"/>
        <item x="6"/>
        <item x="66"/>
        <item x="58"/>
        <item x="83"/>
        <item x="12"/>
        <item x="16"/>
        <item x="52"/>
        <item x="64"/>
        <item x="5"/>
        <item x="67"/>
        <item x="49"/>
        <item x="34"/>
        <item x="72"/>
        <item m="1" x="108"/>
        <item x="23"/>
        <item x="25"/>
        <item x="27"/>
        <item x="46"/>
        <item x="10"/>
        <item x="14"/>
        <item x="15"/>
        <item x="31"/>
        <item x="35"/>
        <item x="37"/>
        <item x="38"/>
        <item x="39"/>
        <item x="57"/>
        <item x="65"/>
        <item x="69"/>
        <item x="74"/>
        <item x="85"/>
        <item x="88"/>
        <item x="91"/>
        <item x="92"/>
        <item x="93"/>
        <item x="94"/>
        <item x="95"/>
        <item x="96"/>
        <item x="97"/>
        <item x="98"/>
        <item x="99"/>
        <item x="100"/>
        <item x="101"/>
        <item x="102"/>
        <item x="103"/>
        <item x="104"/>
        <item x="105"/>
        <item x="78"/>
        <item x="84"/>
        <item x="89"/>
        <item x="90"/>
        <item x="0"/>
        <item x="22"/>
        <item x="40"/>
        <item x="41"/>
        <item x="42"/>
        <item x="43"/>
        <item x="44"/>
        <item x="45"/>
        <item x="73"/>
        <item x="53"/>
        <item x="24"/>
        <item x="54"/>
        <item x="55"/>
        <item x="75"/>
        <item x="81"/>
        <item x="86"/>
        <item x="106"/>
        <item m="1" x="107"/>
        <item x="36"/>
        <item x="56"/>
        <item t="default"/>
      </items>
    </pivotField>
    <pivotField showAll="0"/>
    <pivotField showAll="0"/>
    <pivotField axis="axisRow" showAll="0" sortType="descending">
      <items count="4">
        <item x="2"/>
        <item x="0"/>
        <item x="1"/>
        <item t="default"/>
      </items>
      <autoSortScope>
        <pivotArea dataOnly="0" outline="0" fieldPosition="0">
          <references count="1">
            <reference field="4294967294" count="1" selected="0">
              <x v="0"/>
            </reference>
          </references>
        </pivotArea>
      </autoSortScope>
    </pivotField>
    <pivotField axis="axisRow" showAll="0" sortType="descending">
      <items count="11">
        <item sd="0" x="9"/>
        <item sd="0" x="8"/>
        <item sd="0" x="7"/>
        <item sd="0" x="4"/>
        <item sd="0" x="2"/>
        <item sd="0" x="1"/>
        <item sd="0" x="5"/>
        <item sd="0" x="0"/>
        <item sd="0" x="3"/>
        <item sd="0"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numFmtId="171" showAll="0"/>
    <pivotField numFmtId="171" showAll="0"/>
    <pivotField showAll="0"/>
    <pivotField numFmtId="171" showAll="0"/>
    <pivotField showAll="0"/>
    <pivotField showAll="0"/>
    <pivotField dataField="1" numFmtId="171" showAll="0"/>
    <pivotField numFmtId="171" showAll="0"/>
    <pivotField numFmtId="171" showAll="0"/>
    <pivotField numFmtId="171" showAll="0"/>
    <pivotField numFmtId="171" showAll="0"/>
    <pivotField numFmtId="171" showAll="0"/>
    <pivotField numFmtId="171" showAll="0"/>
    <pivotField showAll="0"/>
    <pivotField showAll="0"/>
    <pivotField showAll="0"/>
    <pivotField showAll="0"/>
    <pivotField showAll="0"/>
    <pivotField showAll="0"/>
    <pivotField showAll="0"/>
  </pivotFields>
  <rowFields count="3">
    <field x="7"/>
    <field x="8"/>
    <field x="4"/>
  </rowFields>
  <rowItems count="15">
    <i>
      <x v="2"/>
    </i>
    <i r="1">
      <x v="5"/>
    </i>
    <i r="1">
      <x v="8"/>
    </i>
    <i r="1">
      <x v="4"/>
    </i>
    <i r="1">
      <x v="6"/>
    </i>
    <i r="1">
      <x v="3"/>
    </i>
    <i>
      <x v="1"/>
    </i>
    <i r="1">
      <x/>
    </i>
    <i r="1">
      <x v="1"/>
    </i>
    <i r="1">
      <x v="7"/>
    </i>
    <i>
      <x/>
    </i>
    <i r="1">
      <x v="9"/>
    </i>
    <i r="1">
      <x v="2"/>
    </i>
    <i r="1">
      <x v="8"/>
    </i>
    <i t="grand">
      <x/>
    </i>
  </rowItems>
  <colFields count="2">
    <field x="0"/>
    <field x="-2"/>
  </colFields>
  <colItems count="12">
    <i>
      <x/>
      <x/>
    </i>
    <i r="1" i="1">
      <x v="1"/>
    </i>
    <i>
      <x v="1"/>
      <x/>
    </i>
    <i r="1" i="1">
      <x v="1"/>
    </i>
    <i>
      <x v="2"/>
      <x/>
    </i>
    <i r="1" i="1">
      <x v="1"/>
    </i>
    <i>
      <x v="3"/>
      <x/>
    </i>
    <i r="1" i="1">
      <x v="1"/>
    </i>
    <i>
      <x v="4"/>
      <x/>
    </i>
    <i r="1" i="1">
      <x v="1"/>
    </i>
    <i t="grand">
      <x/>
    </i>
    <i t="grand" i="1">
      <x/>
    </i>
  </colItems>
  <dataFields count="2">
    <dataField name=" 2025 S/" fld="20" baseField="6" baseItem="0" numFmtId="172"/>
    <dataField name="% 2025" fld="20" showDataAs="percentOfCol" baseField="7" baseItem="2" numFmtId="10"/>
  </dataFields>
  <formats count="44">
    <format dxfId="1928">
      <pivotArea outline="0" collapsedLevelsAreSubtotals="1" fieldPosition="0"/>
    </format>
    <format dxfId="1927">
      <pivotArea field="7" type="button" dataOnly="0" labelOnly="1" outline="0" axis="axisRow" fieldPosition="0"/>
    </format>
    <format dxfId="1926">
      <pivotArea dataOnly="0" labelOnly="1" fieldPosition="0">
        <references count="1">
          <reference field="0" count="0"/>
        </references>
      </pivotArea>
    </format>
    <format dxfId="1925">
      <pivotArea dataOnly="0" labelOnly="1" grandCol="1" outline="0" fieldPosition="0"/>
    </format>
    <format dxfId="1924">
      <pivotArea field="7" type="button" dataOnly="0" labelOnly="1" outline="0" axis="axisRow" fieldPosition="0"/>
    </format>
    <format dxfId="1923">
      <pivotArea dataOnly="0" labelOnly="1" fieldPosition="0">
        <references count="1">
          <reference field="0" count="0"/>
        </references>
      </pivotArea>
    </format>
    <format dxfId="1922">
      <pivotArea dataOnly="0" labelOnly="1" grandCol="1" outline="0" fieldPosition="0"/>
    </format>
    <format dxfId="1921">
      <pivotArea field="7" type="button" dataOnly="0" labelOnly="1" outline="0" axis="axisRow" fieldPosition="0"/>
    </format>
    <format dxfId="1920">
      <pivotArea dataOnly="0" labelOnly="1" fieldPosition="0">
        <references count="1">
          <reference field="0" count="0"/>
        </references>
      </pivotArea>
    </format>
    <format dxfId="1919">
      <pivotArea dataOnly="0" labelOnly="1" grandCol="1" outline="0" fieldPosition="0"/>
    </format>
    <format dxfId="1918">
      <pivotArea field="7" type="button" dataOnly="0" labelOnly="1" outline="0" axis="axisRow" fieldPosition="0"/>
    </format>
    <format dxfId="1917">
      <pivotArea dataOnly="0" labelOnly="1" fieldPosition="0">
        <references count="1">
          <reference field="0" count="0"/>
        </references>
      </pivotArea>
    </format>
    <format dxfId="1916">
      <pivotArea dataOnly="0" labelOnly="1" grandCol="1" outline="0" fieldPosition="0"/>
    </format>
    <format dxfId="1915">
      <pivotArea field="7" type="button" dataOnly="0" labelOnly="1" outline="0" axis="axisRow" fieldPosition="0"/>
    </format>
    <format dxfId="1914">
      <pivotArea dataOnly="0" labelOnly="1" fieldPosition="0">
        <references count="1">
          <reference field="0" count="0"/>
        </references>
      </pivotArea>
    </format>
    <format dxfId="1913">
      <pivotArea dataOnly="0" labelOnly="1" grandCol="1" outline="0" fieldPosition="0"/>
    </format>
    <format dxfId="1912">
      <pivotArea dataOnly="0" labelOnly="1" grandRow="1" outline="0" fieldPosition="0"/>
    </format>
    <format dxfId="1911">
      <pivotArea grandRow="1" outline="0" collapsedLevelsAreSubtotals="1" fieldPosition="0"/>
    </format>
    <format dxfId="1910">
      <pivotArea dataOnly="0" labelOnly="1" grandRow="1" outline="0" fieldPosition="0"/>
    </format>
    <format dxfId="1909">
      <pivotArea grandRow="1" outline="0" collapsedLevelsAreSubtotals="1" fieldPosition="0"/>
    </format>
    <format dxfId="1908">
      <pivotArea dataOnly="0" labelOnly="1" grandRow="1" outline="0" fieldPosition="0"/>
    </format>
    <format dxfId="1907">
      <pivotArea grandRow="1" outline="0" collapsedLevelsAreSubtotals="1" fieldPosition="0"/>
    </format>
    <format dxfId="1906">
      <pivotArea dataOnly="0" labelOnly="1" grandRow="1" outline="0" fieldPosition="0"/>
    </format>
    <format dxfId="1905">
      <pivotArea collapsedLevelsAreSubtotals="1" fieldPosition="0">
        <references count="1">
          <reference field="7" count="1">
            <x v="2"/>
          </reference>
        </references>
      </pivotArea>
    </format>
    <format dxfId="1904">
      <pivotArea dataOnly="0" labelOnly="1" fieldPosition="0">
        <references count="1">
          <reference field="7" count="1">
            <x v="2"/>
          </reference>
        </references>
      </pivotArea>
    </format>
    <format dxfId="1903">
      <pivotArea collapsedLevelsAreSubtotals="1" fieldPosition="0">
        <references count="1">
          <reference field="7" count="1">
            <x v="1"/>
          </reference>
        </references>
      </pivotArea>
    </format>
    <format dxfId="1902">
      <pivotArea dataOnly="0" labelOnly="1" fieldPosition="0">
        <references count="1">
          <reference field="7" count="1">
            <x v="1"/>
          </reference>
        </references>
      </pivotArea>
    </format>
    <format dxfId="1901">
      <pivotArea collapsedLevelsAreSubtotals="1" fieldPosition="0">
        <references count="1">
          <reference field="7" count="1">
            <x v="0"/>
          </reference>
        </references>
      </pivotArea>
    </format>
    <format dxfId="1900">
      <pivotArea dataOnly="0" labelOnly="1" fieldPosition="0">
        <references count="1">
          <reference field="7" count="1">
            <x v="0"/>
          </reference>
        </references>
      </pivotArea>
    </format>
    <format dxfId="1899">
      <pivotArea type="origin" dataOnly="0" labelOnly="1" outline="0" fieldPosition="0"/>
    </format>
    <format dxfId="1898">
      <pivotArea field="7" type="button" dataOnly="0" labelOnly="1" outline="0" axis="axisRow" fieldPosition="0"/>
    </format>
    <format dxfId="1897">
      <pivotArea dataOnly="0" labelOnly="1" fieldPosition="0">
        <references count="1">
          <reference field="7" count="0"/>
        </references>
      </pivotArea>
    </format>
    <format dxfId="1896">
      <pivotArea dataOnly="0" labelOnly="1" grandRow="1" outline="0" fieldPosition="0"/>
    </format>
    <format dxfId="1895">
      <pivotArea dataOnly="0" labelOnly="1" fieldPosition="0">
        <references count="2">
          <reference field="7" count="1" selected="0">
            <x v="2"/>
          </reference>
          <reference field="8" count="4">
            <x v="3"/>
            <x v="4"/>
            <x v="5"/>
            <x v="6"/>
          </reference>
        </references>
      </pivotArea>
    </format>
    <format dxfId="1894">
      <pivotArea dataOnly="0" labelOnly="1" fieldPosition="0">
        <references count="2">
          <reference field="7" count="1" selected="0">
            <x v="1"/>
          </reference>
          <reference field="8" count="3">
            <x v="0"/>
            <x v="1"/>
            <x v="7"/>
          </reference>
        </references>
      </pivotArea>
    </format>
    <format dxfId="1893">
      <pivotArea dataOnly="0" labelOnly="1" fieldPosition="0">
        <references count="2">
          <reference field="7" count="1" selected="0">
            <x v="0"/>
          </reference>
          <reference field="8" count="1">
            <x v="2"/>
          </reference>
        </references>
      </pivotArea>
    </format>
    <format dxfId="1892">
      <pivotArea outline="0" fieldPosition="0">
        <references count="1">
          <reference field="4294967294" count="1">
            <x v="1"/>
          </reference>
        </references>
      </pivotArea>
    </format>
    <format dxfId="1891">
      <pivotArea dataOnly="0" labelOnly="1" outline="0" fieldPosition="0">
        <references count="2">
          <reference field="4294967294" count="2">
            <x v="0"/>
            <x v="1"/>
          </reference>
          <reference field="0" count="1" selected="0">
            <x v="0"/>
          </reference>
        </references>
      </pivotArea>
    </format>
    <format dxfId="1890">
      <pivotArea dataOnly="0" labelOnly="1" outline="0" fieldPosition="0">
        <references count="2">
          <reference field="4294967294" count="2">
            <x v="0"/>
            <x v="1"/>
          </reference>
          <reference field="0" count="1" selected="0">
            <x v="1"/>
          </reference>
        </references>
      </pivotArea>
    </format>
    <format dxfId="1889">
      <pivotArea dataOnly="0" labelOnly="1" outline="0" fieldPosition="0">
        <references count="2">
          <reference field="4294967294" count="2">
            <x v="0"/>
            <x v="1"/>
          </reference>
          <reference field="0" count="1" selected="0">
            <x v="2"/>
          </reference>
        </references>
      </pivotArea>
    </format>
    <format dxfId="1888">
      <pivotArea dataOnly="0" labelOnly="1" outline="0" fieldPosition="0">
        <references count="2">
          <reference field="4294967294" count="2">
            <x v="0"/>
            <x v="1"/>
          </reference>
          <reference field="0" count="1" selected="0">
            <x v="3"/>
          </reference>
        </references>
      </pivotArea>
    </format>
    <format dxfId="1887">
      <pivotArea dataOnly="0" labelOnly="1" fieldPosition="0">
        <references count="2">
          <reference field="7" count="1" selected="0">
            <x v="2"/>
          </reference>
          <reference field="8" count="1">
            <x v="8"/>
          </reference>
        </references>
      </pivotArea>
    </format>
    <format dxfId="1886">
      <pivotArea dataOnly="0" labelOnly="1" fieldPosition="0">
        <references count="2">
          <reference field="7" count="1" selected="0">
            <x v="0"/>
          </reference>
          <reference field="8" count="1">
            <x v="9"/>
          </reference>
        </references>
      </pivotArea>
    </format>
    <format dxfId="1885">
      <pivotArea dataOnly="0" labelOnly="1" fieldPosition="0">
        <references count="2">
          <reference field="7" count="1" selected="0">
            <x v="0"/>
          </reference>
          <reference field="8"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20"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
  <location ref="A5:H30" firstHeaderRow="0" firstDataRow="1" firstDataCol="1"/>
  <pivotFields count="34">
    <pivotField showAll="0"/>
    <pivotField showAll="0"/>
    <pivotField showAll="0"/>
    <pivotField showAll="0"/>
    <pivotField dataField="1" showAll="0"/>
    <pivotField showAll="0"/>
    <pivotField showAll="0"/>
    <pivotField showAll="0"/>
    <pivotField showAll="0"/>
    <pivotField showAll="0"/>
    <pivotField showAll="0"/>
    <pivotField axis="axisRow" showAll="0" sortType="descending">
      <items count="20">
        <item x="1"/>
        <item x="7"/>
        <item x="4"/>
        <item x="14"/>
        <item x="0"/>
        <item x="5"/>
        <item x="13"/>
        <item x="17"/>
        <item x="6"/>
        <item x="10"/>
        <item x="8"/>
        <item x="15"/>
        <item x="12"/>
        <item x="3"/>
        <item x="11"/>
        <item x="9"/>
        <item x="2"/>
        <item x="18"/>
        <item x="16"/>
        <item t="default"/>
      </items>
      <autoSortScope>
        <pivotArea dataOnly="0" outline="0" fieldPosition="0">
          <references count="1">
            <reference field="4294967294" count="1" selected="0">
              <x v="6"/>
            </reference>
          </references>
        </pivotArea>
      </autoSortScope>
    </pivotField>
    <pivotField showAll="0"/>
    <pivotField showAll="0"/>
    <pivotField numFmtId="171" showAll="0"/>
    <pivotField numFmtId="171" showAll="0"/>
    <pivotField showAll="0"/>
    <pivotField numFmtId="171" showAll="0"/>
    <pivotField showAll="0"/>
    <pivotField showAll="0"/>
    <pivotField dataField="1" numFmtId="171" showAll="0"/>
    <pivotField numFmtId="171" showAll="0"/>
    <pivotField dataField="1" numFmtId="171" showAll="0"/>
    <pivotField dataField="1" numFmtId="171" showAll="0"/>
    <pivotField dataField="1" numFmtId="171" showAll="0"/>
    <pivotField dataField="1" numFmtId="171" showAll="0"/>
    <pivotField dataField="1" numFmtId="171" showAll="0"/>
    <pivotField showAll="0"/>
    <pivotField showAll="0"/>
    <pivotField showAll="0"/>
    <pivotField showAll="0"/>
    <pivotField showAll="0"/>
    <pivotField axis="axisRow" showAll="0" sortType="descending">
      <items count="4">
        <item n="ALINEADAS A LA REACTIVACIÓN" x="0"/>
        <item n="COMPLEMENTARIAS A LA REACTIVACIÓN" sd="0" x="1"/>
        <item x="2"/>
        <item t="default"/>
      </items>
      <autoSortScope>
        <pivotArea dataOnly="0" outline="0" fieldPosition="0">
          <references count="1">
            <reference field="4294967294" count="1" selected="0">
              <x v="6"/>
            </reference>
          </references>
        </pivotArea>
      </autoSortScope>
    </pivotField>
    <pivotField showAll="0"/>
  </pivotFields>
  <rowFields count="2">
    <field x="32"/>
    <field x="11"/>
  </rowFields>
  <rowItems count="25">
    <i>
      <x/>
    </i>
    <i r="1">
      <x v="5"/>
    </i>
    <i r="1">
      <x v="16"/>
    </i>
    <i r="1">
      <x v="2"/>
    </i>
    <i r="1">
      <x v="18"/>
    </i>
    <i r="1">
      <x v="13"/>
    </i>
    <i r="1">
      <x v="4"/>
    </i>
    <i r="1">
      <x v="17"/>
    </i>
    <i r="1">
      <x/>
    </i>
    <i r="1">
      <x v="15"/>
    </i>
    <i r="1">
      <x v="14"/>
    </i>
    <i r="1">
      <x v="8"/>
    </i>
    <i r="1">
      <x v="10"/>
    </i>
    <i r="1">
      <x v="3"/>
    </i>
    <i r="1">
      <x v="1"/>
    </i>
    <i r="1">
      <x v="9"/>
    </i>
    <i r="1">
      <x v="12"/>
    </i>
    <i>
      <x v="1"/>
    </i>
    <i>
      <x v="2"/>
    </i>
    <i r="1">
      <x v="18"/>
    </i>
    <i r="1">
      <x v="4"/>
    </i>
    <i r="1">
      <x v="12"/>
    </i>
    <i r="1">
      <x v="5"/>
    </i>
    <i r="1">
      <x/>
    </i>
    <i t="grand">
      <x/>
    </i>
  </rowItems>
  <colFields count="1">
    <field x="-2"/>
  </colFields>
  <colItems count="7">
    <i>
      <x/>
    </i>
    <i i="1">
      <x v="1"/>
    </i>
    <i i="2">
      <x v="2"/>
    </i>
    <i i="3">
      <x v="3"/>
    </i>
    <i i="4">
      <x v="4"/>
    </i>
    <i i="5">
      <x v="5"/>
    </i>
    <i i="6">
      <x v="6"/>
    </i>
  </colItems>
  <dataFields count="7">
    <dataField name="# Intervención " fld="4" subtotal="count" baseField="0" baseItem="0"/>
    <dataField name=" Año 1" fld="22" baseField="0" baseItem="0"/>
    <dataField name=" Año 2" fld="23" baseField="0" baseItem="0"/>
    <dataField name=" Año 3" fld="24" baseField="0" baseItem="0"/>
    <dataField name=" Año 4" fld="25" baseField="0" baseItem="0"/>
    <dataField name=" Año 5" fld="26" baseField="0" baseItem="0"/>
    <dataField name="Total 2025 S/" fld="20" baseField="0" baseItem="0"/>
  </dataFields>
  <formats count="14">
    <format dxfId="1884">
      <pivotArea outline="0" collapsedLevelsAreSubtotals="1" fieldPosition="0"/>
    </format>
    <format dxfId="1883">
      <pivotArea field="32" type="button" dataOnly="0" labelOnly="1" outline="0" axis="axisRow" fieldPosition="0"/>
    </format>
    <format dxfId="1882">
      <pivotArea dataOnly="0" labelOnly="1" outline="0" fieldPosition="0">
        <references count="1">
          <reference field="4294967294" count="7">
            <x v="0"/>
            <x v="1"/>
            <x v="2"/>
            <x v="3"/>
            <x v="4"/>
            <x v="5"/>
            <x v="6"/>
          </reference>
        </references>
      </pivotArea>
    </format>
    <format dxfId="1881">
      <pivotArea field="32" type="button" dataOnly="0" labelOnly="1" outline="0" axis="axisRow" fieldPosition="0"/>
    </format>
    <format dxfId="1880">
      <pivotArea dataOnly="0" labelOnly="1" outline="0" fieldPosition="0">
        <references count="1">
          <reference field="4294967294" count="7">
            <x v="0"/>
            <x v="1"/>
            <x v="2"/>
            <x v="3"/>
            <x v="4"/>
            <x v="5"/>
            <x v="6"/>
          </reference>
        </references>
      </pivotArea>
    </format>
    <format dxfId="1879">
      <pivotArea collapsedLevelsAreSubtotals="1" fieldPosition="0">
        <references count="1">
          <reference field="32" count="1">
            <x v="0"/>
          </reference>
        </references>
      </pivotArea>
    </format>
    <format dxfId="1878">
      <pivotArea dataOnly="0" labelOnly="1" fieldPosition="0">
        <references count="1">
          <reference field="32" count="1">
            <x v="0"/>
          </reference>
        </references>
      </pivotArea>
    </format>
    <format dxfId="1877">
      <pivotArea collapsedLevelsAreSubtotals="1" fieldPosition="0">
        <references count="1">
          <reference field="32" count="1">
            <x v="1"/>
          </reference>
        </references>
      </pivotArea>
    </format>
    <format dxfId="1876">
      <pivotArea dataOnly="0" labelOnly="1" fieldPosition="0">
        <references count="1">
          <reference field="32" count="1">
            <x v="1"/>
          </reference>
        </references>
      </pivotArea>
    </format>
    <format dxfId="1875">
      <pivotArea grandRow="1" outline="0" collapsedLevelsAreSubtotals="1" fieldPosition="0"/>
    </format>
    <format dxfId="1874">
      <pivotArea dataOnly="0" labelOnly="1" grandRow="1" outline="0" fieldPosition="0"/>
    </format>
    <format dxfId="1873">
      <pivotArea grandRow="1" outline="0" collapsedLevelsAreSubtotals="1" fieldPosition="0"/>
    </format>
    <format dxfId="1872">
      <pivotArea dataOnly="0" labelOnly="1" grandRow="1" outline="0" fieldPosition="0"/>
    </format>
    <format dxfId="187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26"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USAs / CATERGORIAS">
  <location ref="A3:G21" firstHeaderRow="1" firstDataRow="2" firstDataCol="1"/>
  <pivotFields count="34">
    <pivotField axis="axisCol" showAll="0" sumSubtotal="1">
      <items count="6">
        <item x="3"/>
        <item x="1"/>
        <item x="2"/>
        <item x="0"/>
        <item x="4"/>
        <item t="sum"/>
      </items>
    </pivotField>
    <pivotField axis="axisRow" showAll="0" sortType="descending">
      <items count="17">
        <item sd="0" x="13"/>
        <item sd="0" x="14"/>
        <item sd="0" x="11"/>
        <item sd="0" x="5"/>
        <item sd="0" x="4"/>
        <item sd="0" x="12"/>
        <item sd="0" x="15"/>
        <item sd="0" x="10"/>
        <item sd="0" x="6"/>
        <item sd="0" x="1"/>
        <item sd="0" x="2"/>
        <item sd="0" x="8"/>
        <item sd="0" x="7"/>
        <item sd="0" x="0"/>
        <item sd="0" x="3"/>
        <item sd="0" x="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axis="axisRow" showAll="0" sortType="descending">
      <items count="20">
        <item x="1"/>
        <item x="7"/>
        <item x="4"/>
        <item x="14"/>
        <item x="0"/>
        <item x="5"/>
        <item x="13"/>
        <item x="17"/>
        <item x="6"/>
        <item x="10"/>
        <item x="8"/>
        <item x="15"/>
        <item x="12"/>
        <item x="3"/>
        <item x="11"/>
        <item x="9"/>
        <item x="2"/>
        <item x="18"/>
        <item x="16"/>
        <item t="default"/>
      </items>
      <autoSortScope>
        <pivotArea dataOnly="0" outline="0" fieldPosition="0">
          <references count="1">
            <reference field="4294967294" count="1" selected="0">
              <x v="0"/>
            </reference>
          </references>
        </pivotArea>
      </autoSortScope>
    </pivotField>
    <pivotField showAll="0"/>
    <pivotField showAll="0"/>
    <pivotField numFmtId="171" showAll="0"/>
    <pivotField numFmtId="171" showAll="0"/>
    <pivotField showAll="0"/>
    <pivotField numFmtId="171" showAll="0"/>
    <pivotField showAll="0"/>
    <pivotField showAll="0"/>
    <pivotField dataField="1" numFmtId="171" showAll="0"/>
    <pivotField numFmtId="171" showAll="0"/>
    <pivotField numFmtId="171" showAll="0"/>
    <pivotField numFmtId="171" showAll="0"/>
    <pivotField numFmtId="171" showAll="0"/>
    <pivotField numFmtId="171" showAll="0"/>
    <pivotField numFmtId="171" showAll="0"/>
    <pivotField showAll="0"/>
    <pivotField showAll="0"/>
    <pivotField showAll="0"/>
    <pivotField showAll="0"/>
    <pivotField showAll="0"/>
    <pivotField showAll="0"/>
    <pivotField showAll="0"/>
  </pivotFields>
  <rowFields count="2">
    <field x="1"/>
    <field x="11"/>
  </rowFields>
  <rowItems count="17">
    <i>
      <x v="13"/>
    </i>
    <i>
      <x v="7"/>
    </i>
    <i>
      <x v="14"/>
    </i>
    <i>
      <x v="6"/>
    </i>
    <i>
      <x v="10"/>
    </i>
    <i>
      <x v="9"/>
    </i>
    <i>
      <x v="1"/>
    </i>
    <i>
      <x/>
    </i>
    <i>
      <x v="5"/>
    </i>
    <i>
      <x v="15"/>
    </i>
    <i>
      <x v="4"/>
    </i>
    <i>
      <x v="2"/>
    </i>
    <i>
      <x v="8"/>
    </i>
    <i>
      <x v="11"/>
    </i>
    <i>
      <x v="3"/>
    </i>
    <i>
      <x v="12"/>
    </i>
    <i t="grand">
      <x/>
    </i>
  </rowItems>
  <colFields count="1">
    <field x="0"/>
  </colFields>
  <colItems count="6">
    <i>
      <x/>
    </i>
    <i>
      <x v="1"/>
    </i>
    <i>
      <x v="2"/>
    </i>
    <i>
      <x v="3"/>
    </i>
    <i>
      <x v="4"/>
    </i>
    <i t="grand">
      <x/>
    </i>
  </colItems>
  <dataFields count="1">
    <dataField name="Suma de 2025 S/" fld="20" baseField="0" baseItem="0" numFmtId="172"/>
  </dataFields>
  <formats count="54">
    <format dxfId="1869">
      <pivotArea outline="0" collapsedLevelsAreSubtotals="1" fieldPosition="0"/>
    </format>
    <format dxfId="1868">
      <pivotArea dataOnly="0" labelOnly="1" fieldPosition="0">
        <references count="1">
          <reference field="0" count="0"/>
        </references>
      </pivotArea>
    </format>
    <format dxfId="1867">
      <pivotArea dataOnly="0" labelOnly="1" grandCol="1" outline="0" fieldPosition="0"/>
    </format>
    <format dxfId="1866">
      <pivotArea type="origin" dataOnly="0" labelOnly="1" outline="0" fieldPosition="0"/>
    </format>
    <format dxfId="1865">
      <pivotArea field="1" type="button" dataOnly="0" labelOnly="1" outline="0" axis="axisRow" fieldPosition="0"/>
    </format>
    <format dxfId="1864">
      <pivotArea dataOnly="0" labelOnly="1" fieldPosition="0">
        <references count="1">
          <reference field="1" count="0"/>
        </references>
      </pivotArea>
    </format>
    <format dxfId="1863">
      <pivotArea dataOnly="0" labelOnly="1" grandRow="1" outline="0" fieldPosition="0"/>
    </format>
    <format dxfId="1862">
      <pivotArea dataOnly="0" labelOnly="1" fieldPosition="0">
        <references count="2">
          <reference field="1" count="1" selected="0">
            <x v="7"/>
          </reference>
          <reference field="11" count="1">
            <x v="18"/>
          </reference>
        </references>
      </pivotArea>
    </format>
    <format dxfId="1861">
      <pivotArea dataOnly="0" labelOnly="1" fieldPosition="0">
        <references count="2">
          <reference field="1" count="1" selected="0">
            <x v="6"/>
          </reference>
          <reference field="11" count="1">
            <x v="17"/>
          </reference>
        </references>
      </pivotArea>
    </format>
    <format dxfId="1860">
      <pivotArea dataOnly="0" labelOnly="1" fieldPosition="0">
        <references count="2">
          <reference field="1" count="1" selected="0">
            <x v="10"/>
          </reference>
          <reference field="11" count="6">
            <x v="0"/>
            <x v="1"/>
            <x v="5"/>
            <x v="8"/>
            <x v="15"/>
            <x v="16"/>
          </reference>
        </references>
      </pivotArea>
    </format>
    <format dxfId="1859">
      <pivotArea dataOnly="0" labelOnly="1" fieldPosition="0">
        <references count="2">
          <reference field="1" count="1" selected="0">
            <x v="9"/>
          </reference>
          <reference field="11" count="7">
            <x v="1"/>
            <x v="2"/>
            <x v="5"/>
            <x v="8"/>
            <x v="13"/>
            <x v="15"/>
            <x v="16"/>
          </reference>
        </references>
      </pivotArea>
    </format>
    <format dxfId="1858">
      <pivotArea dataOnly="0" labelOnly="1" fieldPosition="0">
        <references count="2">
          <reference field="1" count="1" selected="0">
            <x v="0"/>
          </reference>
          <reference field="11" count="6">
            <x v="0"/>
            <x v="3"/>
            <x v="5"/>
            <x v="11"/>
            <x v="12"/>
            <x v="15"/>
          </reference>
        </references>
      </pivotArea>
    </format>
    <format dxfId="1857">
      <pivotArea dataOnly="0" labelOnly="1" fieldPosition="0">
        <references count="2">
          <reference field="1" count="1" selected="0">
            <x v="1"/>
          </reference>
          <reference field="11" count="6">
            <x v="3"/>
            <x v="4"/>
            <x v="5"/>
            <x v="11"/>
            <x v="12"/>
            <x v="15"/>
          </reference>
        </references>
      </pivotArea>
    </format>
    <format dxfId="1856">
      <pivotArea dataOnly="0" labelOnly="1" fieldPosition="0">
        <references count="2">
          <reference field="1" count="1" selected="0">
            <x v="4"/>
          </reference>
          <reference field="11" count="5">
            <x v="0"/>
            <x v="3"/>
            <x v="5"/>
            <x v="9"/>
            <x v="12"/>
          </reference>
        </references>
      </pivotArea>
    </format>
    <format dxfId="1855">
      <pivotArea dataOnly="0" labelOnly="1" fieldPosition="0">
        <references count="2">
          <reference field="1" count="1" selected="0">
            <x v="3"/>
          </reference>
          <reference field="11" count="4">
            <x v="3"/>
            <x v="4"/>
            <x v="5"/>
            <x v="6"/>
          </reference>
        </references>
      </pivotArea>
    </format>
    <format dxfId="1854">
      <pivotArea dataOnly="0" labelOnly="1" fieldPosition="0">
        <references count="2">
          <reference field="1" count="1" selected="0">
            <x v="5"/>
          </reference>
          <reference field="11" count="2">
            <x v="5"/>
            <x v="10"/>
          </reference>
        </references>
      </pivotArea>
    </format>
    <format dxfId="1853">
      <pivotArea dataOnly="0" labelOnly="1" fieldPosition="0">
        <references count="2">
          <reference field="1" count="1" selected="0">
            <x v="8"/>
          </reference>
          <reference field="11" count="3">
            <x v="3"/>
            <x v="11"/>
            <x v="12"/>
          </reference>
        </references>
      </pivotArea>
    </format>
    <format dxfId="1852">
      <pivotArea dataOnly="0" labelOnly="1" fieldPosition="0">
        <references count="2">
          <reference field="1" count="1" selected="0">
            <x v="2"/>
          </reference>
          <reference field="11" count="5">
            <x v="0"/>
            <x v="3"/>
            <x v="5"/>
            <x v="11"/>
            <x v="12"/>
          </reference>
        </references>
      </pivotArea>
    </format>
    <format dxfId="1851">
      <pivotArea dataOnly="0" labelOnly="1" fieldPosition="0">
        <references count="2">
          <reference field="1" count="1" selected="0">
            <x v="11"/>
          </reference>
          <reference field="11" count="1">
            <x v="4"/>
          </reference>
        </references>
      </pivotArea>
    </format>
    <format dxfId="1850">
      <pivotArea type="origin" dataOnly="0" labelOnly="1" outline="0" fieldPosition="0"/>
    </format>
    <format dxfId="1849">
      <pivotArea field="1" type="button" dataOnly="0" labelOnly="1" outline="0" axis="axisRow" fieldPosition="0"/>
    </format>
    <format dxfId="1848">
      <pivotArea dataOnly="0" labelOnly="1" fieldPosition="0">
        <references count="1">
          <reference field="1" count="0"/>
        </references>
      </pivotArea>
    </format>
    <format dxfId="1847">
      <pivotArea dataOnly="0" labelOnly="1" grandRow="1" outline="0" fieldPosition="0"/>
    </format>
    <format dxfId="1846">
      <pivotArea dataOnly="0" labelOnly="1" fieldPosition="0">
        <references count="2">
          <reference field="1" count="1" selected="0">
            <x v="7"/>
          </reference>
          <reference field="11" count="1">
            <x v="18"/>
          </reference>
        </references>
      </pivotArea>
    </format>
    <format dxfId="1845">
      <pivotArea dataOnly="0" labelOnly="1" fieldPosition="0">
        <references count="2">
          <reference field="1" count="1" selected="0">
            <x v="6"/>
          </reference>
          <reference field="11" count="1">
            <x v="17"/>
          </reference>
        </references>
      </pivotArea>
    </format>
    <format dxfId="1844">
      <pivotArea dataOnly="0" labelOnly="1" fieldPosition="0">
        <references count="2">
          <reference field="1" count="1" selected="0">
            <x v="10"/>
          </reference>
          <reference field="11" count="6">
            <x v="0"/>
            <x v="1"/>
            <x v="5"/>
            <x v="8"/>
            <x v="15"/>
            <x v="16"/>
          </reference>
        </references>
      </pivotArea>
    </format>
    <format dxfId="1843">
      <pivotArea dataOnly="0" labelOnly="1" fieldPosition="0">
        <references count="2">
          <reference field="1" count="1" selected="0">
            <x v="9"/>
          </reference>
          <reference field="11" count="7">
            <x v="1"/>
            <x v="2"/>
            <x v="5"/>
            <x v="8"/>
            <x v="13"/>
            <x v="15"/>
            <x v="16"/>
          </reference>
        </references>
      </pivotArea>
    </format>
    <format dxfId="1842">
      <pivotArea dataOnly="0" labelOnly="1" fieldPosition="0">
        <references count="2">
          <reference field="1" count="1" selected="0">
            <x v="0"/>
          </reference>
          <reference field="11" count="6">
            <x v="0"/>
            <x v="3"/>
            <x v="5"/>
            <x v="11"/>
            <x v="12"/>
            <x v="15"/>
          </reference>
        </references>
      </pivotArea>
    </format>
    <format dxfId="1841">
      <pivotArea dataOnly="0" labelOnly="1" fieldPosition="0">
        <references count="2">
          <reference field="1" count="1" selected="0">
            <x v="1"/>
          </reference>
          <reference field="11" count="6">
            <x v="3"/>
            <x v="4"/>
            <x v="5"/>
            <x v="11"/>
            <x v="12"/>
            <x v="15"/>
          </reference>
        </references>
      </pivotArea>
    </format>
    <format dxfId="1840">
      <pivotArea dataOnly="0" labelOnly="1" fieldPosition="0">
        <references count="2">
          <reference field="1" count="1" selected="0">
            <x v="4"/>
          </reference>
          <reference field="11" count="5">
            <x v="0"/>
            <x v="3"/>
            <x v="5"/>
            <x v="9"/>
            <x v="12"/>
          </reference>
        </references>
      </pivotArea>
    </format>
    <format dxfId="1839">
      <pivotArea dataOnly="0" labelOnly="1" fieldPosition="0">
        <references count="2">
          <reference field="1" count="1" selected="0">
            <x v="3"/>
          </reference>
          <reference field="11" count="4">
            <x v="3"/>
            <x v="4"/>
            <x v="5"/>
            <x v="6"/>
          </reference>
        </references>
      </pivotArea>
    </format>
    <format dxfId="1838">
      <pivotArea dataOnly="0" labelOnly="1" fieldPosition="0">
        <references count="2">
          <reference field="1" count="1" selected="0">
            <x v="5"/>
          </reference>
          <reference field="11" count="2">
            <x v="5"/>
            <x v="10"/>
          </reference>
        </references>
      </pivotArea>
    </format>
    <format dxfId="1837">
      <pivotArea dataOnly="0" labelOnly="1" fieldPosition="0">
        <references count="2">
          <reference field="1" count="1" selected="0">
            <x v="8"/>
          </reference>
          <reference field="11" count="3">
            <x v="3"/>
            <x v="11"/>
            <x v="12"/>
          </reference>
        </references>
      </pivotArea>
    </format>
    <format dxfId="1836">
      <pivotArea dataOnly="0" labelOnly="1" fieldPosition="0">
        <references count="2">
          <reference field="1" count="1" selected="0">
            <x v="2"/>
          </reference>
          <reference field="11" count="5">
            <x v="0"/>
            <x v="3"/>
            <x v="5"/>
            <x v="11"/>
            <x v="12"/>
          </reference>
        </references>
      </pivotArea>
    </format>
    <format dxfId="1835">
      <pivotArea dataOnly="0" labelOnly="1" fieldPosition="0">
        <references count="2">
          <reference field="1" count="1" selected="0">
            <x v="11"/>
          </reference>
          <reference field="11" count="1">
            <x v="4"/>
          </reference>
        </references>
      </pivotArea>
    </format>
    <format dxfId="1834">
      <pivotArea field="1" type="button" dataOnly="0" labelOnly="1" outline="0" axis="axisRow" fieldPosition="0"/>
    </format>
    <format dxfId="1833">
      <pivotArea dataOnly="0" labelOnly="1" fieldPosition="0">
        <references count="1">
          <reference field="0" count="0"/>
        </references>
      </pivotArea>
    </format>
    <format dxfId="1832">
      <pivotArea dataOnly="0" labelOnly="1" grandCol="1" outline="0" fieldPosition="0"/>
    </format>
    <format dxfId="1831">
      <pivotArea field="1" type="button" dataOnly="0" labelOnly="1" outline="0" axis="axisRow" fieldPosition="0"/>
    </format>
    <format dxfId="1830">
      <pivotArea dataOnly="0" labelOnly="1" fieldPosition="0">
        <references count="1">
          <reference field="0" count="0"/>
        </references>
      </pivotArea>
    </format>
    <format dxfId="1829">
      <pivotArea dataOnly="0" labelOnly="1" grandCol="1" outline="0" fieldPosition="0"/>
    </format>
    <format dxfId="1828">
      <pivotArea field="1" type="button" dataOnly="0" labelOnly="1" outline="0" axis="axisRow" fieldPosition="0"/>
    </format>
    <format dxfId="1827">
      <pivotArea dataOnly="0" labelOnly="1" fieldPosition="0">
        <references count="1">
          <reference field="0" count="0"/>
        </references>
      </pivotArea>
    </format>
    <format dxfId="1826">
      <pivotArea dataOnly="0" labelOnly="1" grandCol="1" outline="0" fieldPosition="0"/>
    </format>
    <format dxfId="1825">
      <pivotArea grandRow="1" outline="0" collapsedLevelsAreSubtotals="1" fieldPosition="0"/>
    </format>
    <format dxfId="1824">
      <pivotArea dataOnly="0" labelOnly="1" grandRow="1" outline="0" fieldPosition="0"/>
    </format>
    <format dxfId="1823">
      <pivotArea grandRow="1" outline="0" collapsedLevelsAreSubtotals="1" fieldPosition="0"/>
    </format>
    <format dxfId="1822">
      <pivotArea dataOnly="0" labelOnly="1" grandRow="1" outline="0" fieldPosition="0"/>
    </format>
    <format dxfId="1821">
      <pivotArea grandRow="1" outline="0" collapsedLevelsAreSubtotals="1" fieldPosition="0"/>
    </format>
    <format dxfId="1820">
      <pivotArea dataOnly="0" labelOnly="1" grandRow="1" outline="0" fieldPosition="0"/>
    </format>
    <format dxfId="1819">
      <pivotArea field="1" type="button" dataOnly="0" labelOnly="1" outline="0" axis="axisRow" fieldPosition="0"/>
    </format>
    <format dxfId="1818">
      <pivotArea dataOnly="0" labelOnly="1" fieldPosition="0">
        <references count="1">
          <reference field="0" count="0"/>
        </references>
      </pivotArea>
    </format>
    <format dxfId="1817">
      <pivotArea dataOnly="0" labelOnly="1" grandCol="1" outline="0" fieldPosition="0"/>
    </format>
    <format dxfId="1816">
      <pivotArea dataOnly="0" labelOnly="1" grandRow="1" outline="0" fieldPosition="0"/>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8"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M25" firstHeaderRow="1" firstDataRow="3" firstDataCol="1"/>
  <pivotFields count="35">
    <pivotField axis="axisCol" showAll="0">
      <items count="6">
        <item x="3"/>
        <item x="1"/>
        <item x="2"/>
        <item x="0"/>
        <item x="4"/>
        <item t="default"/>
      </items>
    </pivotField>
    <pivotField showAll="0"/>
    <pivotField showAll="0"/>
    <pivotField showAll="0"/>
    <pivotField dataField="1" showAll="0"/>
    <pivotField showAll="0"/>
    <pivotField showAll="0"/>
    <pivotField showAll="0"/>
    <pivotField showAll="0"/>
    <pivotField showAll="0"/>
    <pivotField showAll="0"/>
    <pivotField axis="axisRow" showAll="0" sortType="descending">
      <items count="20">
        <item x="1"/>
        <item x="7"/>
        <item x="4"/>
        <item x="14"/>
        <item x="0"/>
        <item x="5"/>
        <item x="13"/>
        <item x="17"/>
        <item x="6"/>
        <item x="10"/>
        <item x="8"/>
        <item x="15"/>
        <item x="12"/>
        <item x="3"/>
        <item x="11"/>
        <item x="9"/>
        <item x="2"/>
        <item x="18"/>
        <item x="16"/>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20">
    <i>
      <x v="5"/>
    </i>
    <i>
      <x v="18"/>
    </i>
    <i>
      <x v="16"/>
    </i>
    <i>
      <x v="2"/>
    </i>
    <i>
      <x v="14"/>
    </i>
    <i>
      <x v="4"/>
    </i>
    <i>
      <x v="13"/>
    </i>
    <i>
      <x v="17"/>
    </i>
    <i>
      <x v="15"/>
    </i>
    <i>
      <x/>
    </i>
    <i>
      <x v="1"/>
    </i>
    <i>
      <x v="10"/>
    </i>
    <i>
      <x v="8"/>
    </i>
    <i>
      <x v="3"/>
    </i>
    <i>
      <x v="12"/>
    </i>
    <i>
      <x v="9"/>
    </i>
    <i>
      <x v="7"/>
    </i>
    <i>
      <x v="11"/>
    </i>
    <i>
      <x v="6"/>
    </i>
    <i t="grand">
      <x/>
    </i>
  </rowItems>
  <colFields count="2">
    <field x="0"/>
    <field x="-2"/>
  </colFields>
  <colItems count="12">
    <i>
      <x/>
      <x/>
    </i>
    <i r="1" i="1">
      <x v="1"/>
    </i>
    <i>
      <x v="1"/>
      <x/>
    </i>
    <i r="1" i="1">
      <x v="1"/>
    </i>
    <i>
      <x v="2"/>
      <x/>
    </i>
    <i r="1" i="1">
      <x v="1"/>
    </i>
    <i>
      <x v="3"/>
      <x/>
    </i>
    <i r="1" i="1">
      <x v="1"/>
    </i>
    <i>
      <x v="4"/>
      <x/>
    </i>
    <i r="1" i="1">
      <x v="1"/>
    </i>
    <i t="grand">
      <x/>
    </i>
    <i t="grand" i="1">
      <x/>
    </i>
  </colItems>
  <dataFields count="2">
    <dataField name="# Interv" fld="4" subtotal="count" baseField="0" baseItem="0"/>
    <dataField name="S/. 2025" fld="20" baseField="11" baseItem="0"/>
  </dataFields>
  <formats count="18">
    <format dxfId="1815">
      <pivotArea field="0" grandCol="1" outline="0" collapsedLevelsAreSubtotals="1" axis="axisCol" fieldPosition="0">
        <references count="1">
          <reference field="4294967294" count="1" selected="0">
            <x v="1"/>
          </reference>
        </references>
      </pivotArea>
    </format>
    <format dxfId="1814">
      <pivotArea outline="0" collapsedLevelsAreSubtotals="1" fieldPosition="0">
        <references count="2">
          <reference field="4294967294" count="1" selected="0">
            <x v="1"/>
          </reference>
          <reference field="0" count="1" selected="0">
            <x v="3"/>
          </reference>
        </references>
      </pivotArea>
    </format>
    <format dxfId="1813">
      <pivotArea outline="0" collapsedLevelsAreSubtotals="1" fieldPosition="0">
        <references count="2">
          <reference field="4294967294" count="1" selected="0">
            <x v="1"/>
          </reference>
          <reference field="0" count="1" selected="0">
            <x v="2"/>
          </reference>
        </references>
      </pivotArea>
    </format>
    <format dxfId="1812">
      <pivotArea outline="0" collapsedLevelsAreSubtotals="1" fieldPosition="0">
        <references count="2">
          <reference field="4294967294" count="1" selected="0">
            <x v="1"/>
          </reference>
          <reference field="0" count="1" selected="0">
            <x v="1"/>
          </reference>
        </references>
      </pivotArea>
    </format>
    <format dxfId="1811">
      <pivotArea outline="0" collapsedLevelsAreSubtotals="1" fieldPosition="0">
        <references count="2">
          <reference field="4294967294" count="1" selected="0">
            <x v="1"/>
          </reference>
          <reference field="0" count="1" selected="0">
            <x v="0"/>
          </reference>
        </references>
      </pivotArea>
    </format>
    <format dxfId="1810">
      <pivotArea outline="0" collapsedLevelsAreSubtotals="1" fieldPosition="0">
        <references count="2">
          <reference field="4294967294" count="1" selected="0">
            <x v="0"/>
          </reference>
          <reference field="0" count="1" selected="0">
            <x v="0"/>
          </reference>
        </references>
      </pivotArea>
    </format>
    <format dxfId="1809">
      <pivotArea field="0" dataOnly="0" labelOnly="1" grandCol="1" outline="0" axis="axisCol" fieldPosition="0">
        <references count="1">
          <reference field="4294967294" count="1" selected="0">
            <x v="0"/>
          </reference>
        </references>
      </pivotArea>
    </format>
    <format dxfId="1808">
      <pivotArea field="0" dataOnly="0" labelOnly="1" grandCol="1" outline="0" axis="axisCol" fieldPosition="0">
        <references count="1">
          <reference field="4294967294" count="1" selected="0">
            <x v="1"/>
          </reference>
        </references>
      </pivotArea>
    </format>
    <format dxfId="1807">
      <pivotArea dataOnly="0" labelOnly="1" outline="0" fieldPosition="0">
        <references count="2">
          <reference field="4294967294" count="2">
            <x v="0"/>
            <x v="1"/>
          </reference>
          <reference field="0" count="1" selected="0">
            <x v="0"/>
          </reference>
        </references>
      </pivotArea>
    </format>
    <format dxfId="1806">
      <pivotArea dataOnly="0" labelOnly="1" outline="0" fieldPosition="0">
        <references count="2">
          <reference field="4294967294" count="2">
            <x v="0"/>
            <x v="1"/>
          </reference>
          <reference field="0" count="1" selected="0">
            <x v="1"/>
          </reference>
        </references>
      </pivotArea>
    </format>
    <format dxfId="1805">
      <pivotArea dataOnly="0" labelOnly="1" outline="0" fieldPosition="0">
        <references count="2">
          <reference field="4294967294" count="2">
            <x v="0"/>
            <x v="1"/>
          </reference>
          <reference field="0" count="1" selected="0">
            <x v="2"/>
          </reference>
        </references>
      </pivotArea>
    </format>
    <format dxfId="1804">
      <pivotArea dataOnly="0" labelOnly="1" outline="0" fieldPosition="0">
        <references count="2">
          <reference field="4294967294" count="2">
            <x v="0"/>
            <x v="1"/>
          </reference>
          <reference field="0" count="1" selected="0">
            <x v="3"/>
          </reference>
        </references>
      </pivotArea>
    </format>
    <format dxfId="1803">
      <pivotArea outline="0" collapsedLevelsAreSubtotals="1" fieldPosition="0">
        <references count="2">
          <reference field="4294967294" count="1" selected="0">
            <x v="0"/>
          </reference>
          <reference field="0" count="1" selected="0">
            <x v="1"/>
          </reference>
        </references>
      </pivotArea>
    </format>
    <format dxfId="1802">
      <pivotArea outline="0" collapsedLevelsAreSubtotals="1" fieldPosition="0">
        <references count="2">
          <reference field="4294967294" count="1" selected="0">
            <x v="0"/>
          </reference>
          <reference field="0" count="1" selected="0">
            <x v="2"/>
          </reference>
        </references>
      </pivotArea>
    </format>
    <format dxfId="1801">
      <pivotArea outline="0" collapsedLevelsAreSubtotals="1" fieldPosition="0">
        <references count="2">
          <reference field="4294967294" count="1" selected="0">
            <x v="0"/>
          </reference>
          <reference field="0" count="1" selected="0">
            <x v="3"/>
          </reference>
        </references>
      </pivotArea>
    </format>
    <format dxfId="1800">
      <pivotArea field="0" grandCol="1" outline="0" collapsedLevelsAreSubtotals="1" axis="axisCol" fieldPosition="0">
        <references count="1">
          <reference field="4294967294" count="1" selected="0">
            <x v="0"/>
          </reference>
        </references>
      </pivotArea>
    </format>
    <format dxfId="1799">
      <pivotArea dataOnly="0" labelOnly="1" fieldPosition="0">
        <references count="1">
          <reference field="11" count="0"/>
        </references>
      </pivotArea>
    </format>
    <format dxfId="1798">
      <pivotArea field="0" grandRow="1" outline="0" collapsedLevelsAreSubtotals="1" axis="axisCol" fieldPosition="0">
        <references count="2">
          <reference field="4294967294" count="1" selected="0">
            <x v="1"/>
          </reference>
          <reference field="0" count="1" selected="0">
            <x v="4"/>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22"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CATEGORÍAS / INTERVENCIONES">
  <location ref="A3:M25" firstHeaderRow="1" firstDataRow="3" firstDataCol="1"/>
  <pivotFields count="34">
    <pivotField axis="axisCol" showAll="0">
      <items count="6">
        <item x="3"/>
        <item x="1"/>
        <item x="2"/>
        <item x="0"/>
        <item x="4"/>
        <item t="default"/>
      </items>
    </pivotField>
    <pivotField showAll="0"/>
    <pivotField showAll="0"/>
    <pivotField showAll="0"/>
    <pivotField axis="axisRow" showAll="0">
      <items count="110">
        <item x="30"/>
        <item x="61"/>
        <item x="62"/>
        <item x="70"/>
        <item x="63"/>
        <item x="1"/>
        <item x="68"/>
        <item x="59"/>
        <item x="7"/>
        <item x="21"/>
        <item x="18"/>
        <item x="29"/>
        <item x="13"/>
        <item x="60"/>
        <item x="20"/>
        <item x="3"/>
        <item x="11"/>
        <item x="80"/>
        <item x="47"/>
        <item x="17"/>
        <item x="79"/>
        <item x="77"/>
        <item x="87"/>
        <item x="8"/>
        <item x="32"/>
        <item x="28"/>
        <item x="26"/>
        <item x="4"/>
        <item x="2"/>
        <item x="50"/>
        <item x="71"/>
        <item x="48"/>
        <item x="19"/>
        <item x="82"/>
        <item x="33"/>
        <item x="9"/>
        <item x="76"/>
        <item x="51"/>
        <item x="6"/>
        <item x="66"/>
        <item x="58"/>
        <item x="83"/>
        <item x="12"/>
        <item x="16"/>
        <item x="52"/>
        <item x="64"/>
        <item x="5"/>
        <item x="67"/>
        <item x="49"/>
        <item x="34"/>
        <item x="72"/>
        <item m="1" x="108"/>
        <item x="23"/>
        <item x="25"/>
        <item x="27"/>
        <item x="46"/>
        <item x="10"/>
        <item x="14"/>
        <item x="15"/>
        <item x="31"/>
        <item x="35"/>
        <item x="37"/>
        <item x="38"/>
        <item x="39"/>
        <item x="57"/>
        <item x="65"/>
        <item x="69"/>
        <item x="74"/>
        <item x="85"/>
        <item x="88"/>
        <item x="91"/>
        <item x="92"/>
        <item x="93"/>
        <item x="94"/>
        <item x="95"/>
        <item x="96"/>
        <item x="97"/>
        <item x="98"/>
        <item x="99"/>
        <item x="100"/>
        <item x="101"/>
        <item x="102"/>
        <item x="103"/>
        <item x="104"/>
        <item x="105"/>
        <item x="78"/>
        <item x="84"/>
        <item x="89"/>
        <item x="90"/>
        <item x="0"/>
        <item x="22"/>
        <item x="40"/>
        <item x="41"/>
        <item x="42"/>
        <item x="43"/>
        <item x="44"/>
        <item x="45"/>
        <item x="73"/>
        <item x="53"/>
        <item x="24"/>
        <item x="54"/>
        <item x="55"/>
        <item x="75"/>
        <item x="81"/>
        <item x="86"/>
        <item x="106"/>
        <item m="1" x="107"/>
        <item x="36"/>
        <item x="56"/>
        <item t="default"/>
      </items>
    </pivotField>
    <pivotField showAll="0"/>
    <pivotField showAll="0"/>
    <pivotField showAll="0"/>
    <pivotField showAll="0"/>
    <pivotField showAll="0"/>
    <pivotField showAll="0"/>
    <pivotField axis="axisRow" showAll="0" sortType="descending">
      <items count="20">
        <item sd="0" x="1"/>
        <item sd="0" x="7"/>
        <item sd="0" x="4"/>
        <item sd="0" x="14"/>
        <item sd="0" x="0"/>
        <item sd="0" x="5"/>
        <item sd="0" x="13"/>
        <item sd="0" x="17"/>
        <item sd="0" x="6"/>
        <item sd="0" x="10"/>
        <item sd="0" x="8"/>
        <item sd="0" x="15"/>
        <item sd="0" x="12"/>
        <item sd="0" x="3"/>
        <item sd="0" x="11"/>
        <item sd="0" x="9"/>
        <item sd="0" x="2"/>
        <item sd="0" x="16"/>
        <item sd="0" x="18"/>
        <item t="default"/>
      </items>
      <autoSortScope>
        <pivotArea dataOnly="0" outline="0" fieldPosition="0">
          <references count="1">
            <reference field="4294967294" count="1" selected="0">
              <x v="1"/>
            </reference>
          </references>
        </pivotArea>
      </autoSortScope>
    </pivotField>
    <pivotField showAll="0"/>
    <pivotField showAll="0"/>
    <pivotField numFmtId="171" showAll="0"/>
    <pivotField numFmtId="171" showAll="0"/>
    <pivotField showAll="0"/>
    <pivotField numFmtId="171" showAll="0"/>
    <pivotField showAll="0"/>
    <pivotField showAll="0"/>
    <pivotField dataField="1" numFmtId="171" showAll="0"/>
    <pivotField numFmtId="171" showAll="0"/>
    <pivotField numFmtId="171" showAll="0"/>
    <pivotField numFmtId="171" showAll="0"/>
    <pivotField numFmtId="171" showAll="0"/>
    <pivotField numFmtId="171" showAll="0"/>
    <pivotField numFmtId="171" showAll="0"/>
    <pivotField showAll="0"/>
    <pivotField showAll="0"/>
    <pivotField showAll="0"/>
    <pivotField showAll="0"/>
    <pivotField showAll="0"/>
    <pivotField showAll="0"/>
    <pivotField showAll="0"/>
  </pivotFields>
  <rowFields count="2">
    <field x="11"/>
    <field x="4"/>
  </rowFields>
  <rowItems count="20">
    <i>
      <x v="5"/>
    </i>
    <i>
      <x v="17"/>
    </i>
    <i>
      <x v="16"/>
    </i>
    <i>
      <x v="2"/>
    </i>
    <i>
      <x v="14"/>
    </i>
    <i>
      <x v="4"/>
    </i>
    <i>
      <x v="13"/>
    </i>
    <i>
      <x v="18"/>
    </i>
    <i>
      <x v="15"/>
    </i>
    <i>
      <x/>
    </i>
    <i>
      <x v="1"/>
    </i>
    <i>
      <x v="10"/>
    </i>
    <i>
      <x v="8"/>
    </i>
    <i>
      <x v="3"/>
    </i>
    <i>
      <x v="12"/>
    </i>
    <i>
      <x v="9"/>
    </i>
    <i>
      <x v="7"/>
    </i>
    <i>
      <x v="11"/>
    </i>
    <i>
      <x v="6"/>
    </i>
    <i t="grand">
      <x/>
    </i>
  </rowItems>
  <colFields count="2">
    <field x="0"/>
    <field x="-2"/>
  </colFields>
  <colItems count="12">
    <i>
      <x/>
      <x/>
    </i>
    <i r="1" i="1">
      <x v="1"/>
    </i>
    <i>
      <x v="1"/>
      <x/>
    </i>
    <i r="1" i="1">
      <x v="1"/>
    </i>
    <i>
      <x v="2"/>
      <x/>
    </i>
    <i r="1" i="1">
      <x v="1"/>
    </i>
    <i>
      <x v="3"/>
      <x/>
    </i>
    <i r="1" i="1">
      <x v="1"/>
    </i>
    <i>
      <x v="4"/>
      <x/>
    </i>
    <i r="1" i="1">
      <x v="1"/>
    </i>
    <i t="grand">
      <x/>
    </i>
    <i t="grand" i="1">
      <x/>
    </i>
  </colItems>
  <dataFields count="2">
    <dataField name=" S/" fld="20" baseField="10" baseItem="17" numFmtId="172"/>
    <dataField name="%" fld="20" showDataAs="percentOfCol" baseField="10" baseItem="11" numFmtId="10"/>
  </dataFields>
  <formats count="172">
    <format dxfId="1789">
      <pivotArea outline="0" collapsedLevelsAreSubtotals="1" fieldPosition="0"/>
    </format>
    <format dxfId="1788">
      <pivotArea outline="0" fieldPosition="0">
        <references count="1">
          <reference field="4294967294" count="1">
            <x v="1"/>
          </reference>
        </references>
      </pivotArea>
    </format>
    <format dxfId="1787">
      <pivotArea field="11" type="button" dataOnly="0" labelOnly="1" outline="0" axis="axisRow" fieldPosition="0"/>
    </format>
    <format dxfId="1786">
      <pivotArea field="0" dataOnly="0" labelOnly="1" grandCol="1" outline="0" axis="axisCol" fieldPosition="0">
        <references count="1">
          <reference field="4294967294" count="1" selected="0">
            <x v="0"/>
          </reference>
        </references>
      </pivotArea>
    </format>
    <format dxfId="1785">
      <pivotArea field="0" dataOnly="0" labelOnly="1" grandCol="1" outline="0" axis="axisCol" fieldPosition="0">
        <references count="1">
          <reference field="4294967294" count="1" selected="0">
            <x v="1"/>
          </reference>
        </references>
      </pivotArea>
    </format>
    <format dxfId="1784">
      <pivotArea dataOnly="0" labelOnly="1" outline="0" fieldPosition="0">
        <references count="2">
          <reference field="4294967294" count="2">
            <x v="0"/>
            <x v="1"/>
          </reference>
          <reference field="0" count="1" selected="0">
            <x v="0"/>
          </reference>
        </references>
      </pivotArea>
    </format>
    <format dxfId="1783">
      <pivotArea dataOnly="0" labelOnly="1" outline="0" fieldPosition="0">
        <references count="2">
          <reference field="4294967294" count="2">
            <x v="0"/>
            <x v="1"/>
          </reference>
          <reference field="0" count="1" selected="0">
            <x v="1"/>
          </reference>
        </references>
      </pivotArea>
    </format>
    <format dxfId="1782">
      <pivotArea dataOnly="0" labelOnly="1" outline="0" fieldPosition="0">
        <references count="2">
          <reference field="4294967294" count="2">
            <x v="0"/>
            <x v="1"/>
          </reference>
          <reference field="0" count="1" selected="0">
            <x v="2"/>
          </reference>
        </references>
      </pivotArea>
    </format>
    <format dxfId="1781">
      <pivotArea dataOnly="0" labelOnly="1" outline="0" fieldPosition="0">
        <references count="2">
          <reference field="4294967294" count="2">
            <x v="0"/>
            <x v="1"/>
          </reference>
          <reference field="0" count="1" selected="0">
            <x v="3"/>
          </reference>
        </references>
      </pivotArea>
    </format>
    <format dxfId="1780">
      <pivotArea dataOnly="0" labelOnly="1" fieldPosition="0">
        <references count="1">
          <reference field="11" count="0"/>
        </references>
      </pivotArea>
    </format>
    <format dxfId="1779">
      <pivotArea collapsedLevelsAreSubtotals="1" fieldPosition="0">
        <references count="1">
          <reference field="11" count="1">
            <x v="17"/>
          </reference>
        </references>
      </pivotArea>
    </format>
    <format dxfId="1778">
      <pivotArea dataOnly="0" labelOnly="1" fieldPosition="0">
        <references count="1">
          <reference field="11" count="1">
            <x v="17"/>
          </reference>
        </references>
      </pivotArea>
    </format>
    <format dxfId="1777">
      <pivotArea collapsedLevelsAreSubtotals="1" fieldPosition="0">
        <references count="1">
          <reference field="11" count="1">
            <x v="17"/>
          </reference>
        </references>
      </pivotArea>
    </format>
    <format dxfId="1776">
      <pivotArea collapsedLevelsAreSubtotals="1" fieldPosition="0">
        <references count="1">
          <reference field="11" count="1">
            <x v="5"/>
          </reference>
        </references>
      </pivotArea>
    </format>
    <format dxfId="1775">
      <pivotArea collapsedLevelsAreSubtotals="1" fieldPosition="0">
        <references count="1">
          <reference field="11" count="1">
            <x v="16"/>
          </reference>
        </references>
      </pivotArea>
    </format>
    <format dxfId="1774">
      <pivotArea collapsedLevelsAreSubtotals="1" fieldPosition="0">
        <references count="1">
          <reference field="11" count="1">
            <x v="2"/>
          </reference>
        </references>
      </pivotArea>
    </format>
    <format dxfId="1773">
      <pivotArea collapsedLevelsAreSubtotals="1" fieldPosition="0">
        <references count="1">
          <reference field="11" count="1">
            <x v="13"/>
          </reference>
        </references>
      </pivotArea>
    </format>
    <format dxfId="1772">
      <pivotArea collapsedLevelsAreSubtotals="1" fieldPosition="0">
        <references count="1">
          <reference field="11" count="1">
            <x v="14"/>
          </reference>
        </references>
      </pivotArea>
    </format>
    <format dxfId="1771">
      <pivotArea collapsedLevelsAreSubtotals="1" fieldPosition="0">
        <references count="1">
          <reference field="11" count="1">
            <x v="3"/>
          </reference>
        </references>
      </pivotArea>
    </format>
    <format dxfId="1770">
      <pivotArea collapsedLevelsAreSubtotals="1" fieldPosition="0">
        <references count="1">
          <reference field="11" count="1">
            <x v="18"/>
          </reference>
        </references>
      </pivotArea>
    </format>
    <format dxfId="1769">
      <pivotArea collapsedLevelsAreSubtotals="1" fieldPosition="0">
        <references count="1">
          <reference field="11" count="1">
            <x v="15"/>
          </reference>
        </references>
      </pivotArea>
    </format>
    <format dxfId="1768">
      <pivotArea collapsedLevelsAreSubtotals="1" fieldPosition="0">
        <references count="1">
          <reference field="11" count="1">
            <x v="1"/>
          </reference>
        </references>
      </pivotArea>
    </format>
    <format dxfId="1767">
      <pivotArea collapsedLevelsAreSubtotals="1" fieldPosition="0">
        <references count="1">
          <reference field="11" count="1">
            <x v="0"/>
          </reference>
        </references>
      </pivotArea>
    </format>
    <format dxfId="1766">
      <pivotArea collapsedLevelsAreSubtotals="1" fieldPosition="0">
        <references count="1">
          <reference field="11" count="1">
            <x v="10"/>
          </reference>
        </references>
      </pivotArea>
    </format>
    <format dxfId="1765">
      <pivotArea collapsedLevelsAreSubtotals="1" fieldPosition="0">
        <references count="1">
          <reference field="11" count="1">
            <x v="8"/>
          </reference>
        </references>
      </pivotArea>
    </format>
    <format dxfId="1764">
      <pivotArea collapsedLevelsAreSubtotals="1" fieldPosition="0">
        <references count="1">
          <reference field="11" count="1">
            <x v="9"/>
          </reference>
        </references>
      </pivotArea>
    </format>
    <format dxfId="1763">
      <pivotArea collapsedLevelsAreSubtotals="1" fieldPosition="0">
        <references count="1">
          <reference field="11" count="1">
            <x v="12"/>
          </reference>
        </references>
      </pivotArea>
    </format>
    <format dxfId="1762">
      <pivotArea collapsedLevelsAreSubtotals="1" fieldPosition="0">
        <references count="1">
          <reference field="11" count="1">
            <x v="4"/>
          </reference>
        </references>
      </pivotArea>
    </format>
    <format dxfId="1761">
      <pivotArea collapsedLevelsAreSubtotals="1" fieldPosition="0">
        <references count="1">
          <reference field="11" count="1">
            <x v="7"/>
          </reference>
        </references>
      </pivotArea>
    </format>
    <format dxfId="1760">
      <pivotArea collapsedLevelsAreSubtotals="1" fieldPosition="0">
        <references count="1">
          <reference field="11" count="1">
            <x v="11"/>
          </reference>
        </references>
      </pivotArea>
    </format>
    <format dxfId="1759">
      <pivotArea collapsedLevelsAreSubtotals="1" fieldPosition="0">
        <references count="1">
          <reference field="11" count="1">
            <x v="6"/>
          </reference>
        </references>
      </pivotArea>
    </format>
    <format dxfId="1758">
      <pivotArea type="origin" dataOnly="0" labelOnly="1" outline="0" offset="A2" fieldPosition="0"/>
    </format>
    <format dxfId="1757">
      <pivotArea field="11" type="button" dataOnly="0" labelOnly="1" outline="0" axis="axisRow" fieldPosition="0"/>
    </format>
    <format dxfId="1756">
      <pivotArea dataOnly="0" labelOnly="1" fieldPosition="0">
        <references count="1">
          <reference field="0" count="0"/>
        </references>
      </pivotArea>
    </format>
    <format dxfId="1755">
      <pivotArea field="0" dataOnly="0" labelOnly="1" grandCol="1" outline="0" axis="axisCol" fieldPosition="0">
        <references count="1">
          <reference field="4294967294" count="1" selected="0">
            <x v="0"/>
          </reference>
        </references>
      </pivotArea>
    </format>
    <format dxfId="1754">
      <pivotArea field="0" dataOnly="0" labelOnly="1" grandCol="1" outline="0" axis="axisCol" fieldPosition="0">
        <references count="1">
          <reference field="4294967294" count="1" selected="0">
            <x v="1"/>
          </reference>
        </references>
      </pivotArea>
    </format>
    <format dxfId="1753">
      <pivotArea dataOnly="0" labelOnly="1" outline="0" fieldPosition="0">
        <references count="2">
          <reference field="4294967294" count="2">
            <x v="0"/>
            <x v="1"/>
          </reference>
          <reference field="0" count="1" selected="0">
            <x v="0"/>
          </reference>
        </references>
      </pivotArea>
    </format>
    <format dxfId="1752">
      <pivotArea dataOnly="0" labelOnly="1" outline="0" fieldPosition="0">
        <references count="2">
          <reference field="4294967294" count="2">
            <x v="0"/>
            <x v="1"/>
          </reference>
          <reference field="0" count="1" selected="0">
            <x v="1"/>
          </reference>
        </references>
      </pivotArea>
    </format>
    <format dxfId="1751">
      <pivotArea dataOnly="0" labelOnly="1" outline="0" fieldPosition="0">
        <references count="2">
          <reference field="4294967294" count="2">
            <x v="0"/>
            <x v="1"/>
          </reference>
          <reference field="0" count="1" selected="0">
            <x v="2"/>
          </reference>
        </references>
      </pivotArea>
    </format>
    <format dxfId="1750">
      <pivotArea dataOnly="0" labelOnly="1" outline="0" fieldPosition="0">
        <references count="2">
          <reference field="4294967294" count="2">
            <x v="0"/>
            <x v="1"/>
          </reference>
          <reference field="0" count="1" selected="0">
            <x v="3"/>
          </reference>
        </references>
      </pivotArea>
    </format>
    <format dxfId="1749">
      <pivotArea grandRow="1" outline="0" collapsedLevelsAreSubtotals="1" fieldPosition="0"/>
    </format>
    <format dxfId="1748">
      <pivotArea dataOnly="0" labelOnly="1" grandRow="1" outline="0" fieldPosition="0"/>
    </format>
    <format dxfId="1747">
      <pivotArea grandRow="1" outline="0" collapsedLevelsAreSubtotals="1" fieldPosition="0"/>
    </format>
    <format dxfId="1746">
      <pivotArea dataOnly="0" labelOnly="1" grandRow="1" outline="0" fieldPosition="0"/>
    </format>
    <format dxfId="1745">
      <pivotArea grandRow="1" outline="0" collapsedLevelsAreSubtotals="1" fieldPosition="0"/>
    </format>
    <format dxfId="1744">
      <pivotArea dataOnly="0" labelOnly="1" grandRow="1" outline="0" fieldPosition="0"/>
    </format>
    <format dxfId="1743">
      <pivotArea dataOnly="0" labelOnly="1" grandRow="1" outline="0" fieldPosition="0"/>
    </format>
    <format dxfId="1742">
      <pivotArea dataOnly="0" labelOnly="1" fieldPosition="0">
        <references count="1">
          <reference field="11" count="1">
            <x v="3"/>
          </reference>
        </references>
      </pivotArea>
    </format>
    <format dxfId="1741">
      <pivotArea dataOnly="0" labelOnly="1" fieldPosition="0">
        <references count="1">
          <reference field="11" count="0"/>
        </references>
      </pivotArea>
    </format>
    <format dxfId="1740">
      <pivotArea collapsedLevelsAreSubtotals="1" fieldPosition="0">
        <references count="1">
          <reference field="11" count="1">
            <x v="17"/>
          </reference>
        </references>
      </pivotArea>
    </format>
    <format dxfId="1739">
      <pivotArea collapsedLevelsAreSubtotals="1" fieldPosition="0">
        <references count="1">
          <reference field="11" count="1">
            <x v="5"/>
          </reference>
        </references>
      </pivotArea>
    </format>
    <format dxfId="1738">
      <pivotArea collapsedLevelsAreSubtotals="1" fieldPosition="0">
        <references count="1">
          <reference field="11" count="1">
            <x v="16"/>
          </reference>
        </references>
      </pivotArea>
    </format>
    <format dxfId="1737">
      <pivotArea collapsedLevelsAreSubtotals="1" fieldPosition="0">
        <references count="1">
          <reference field="11" count="1">
            <x v="2"/>
          </reference>
        </references>
      </pivotArea>
    </format>
    <format dxfId="1736">
      <pivotArea collapsedLevelsAreSubtotals="1" fieldPosition="0">
        <references count="1">
          <reference field="11" count="1">
            <x v="13"/>
          </reference>
        </references>
      </pivotArea>
    </format>
    <format dxfId="1735">
      <pivotArea collapsedLevelsAreSubtotals="1" fieldPosition="0">
        <references count="1">
          <reference field="11" count="1">
            <x v="14"/>
          </reference>
        </references>
      </pivotArea>
    </format>
    <format dxfId="1734">
      <pivotArea collapsedLevelsAreSubtotals="1" fieldPosition="0">
        <references count="1">
          <reference field="11" count="1">
            <x v="3"/>
          </reference>
        </references>
      </pivotArea>
    </format>
    <format dxfId="1733">
      <pivotArea collapsedLevelsAreSubtotals="1" fieldPosition="0">
        <references count="1">
          <reference field="11" count="1">
            <x v="18"/>
          </reference>
        </references>
      </pivotArea>
    </format>
    <format dxfId="1732">
      <pivotArea collapsedLevelsAreSubtotals="1" fieldPosition="0">
        <references count="1">
          <reference field="11" count="1">
            <x v="15"/>
          </reference>
        </references>
      </pivotArea>
    </format>
    <format dxfId="1731">
      <pivotArea collapsedLevelsAreSubtotals="1" fieldPosition="0">
        <references count="1">
          <reference field="11" count="1">
            <x v="1"/>
          </reference>
        </references>
      </pivotArea>
    </format>
    <format dxfId="1730">
      <pivotArea collapsedLevelsAreSubtotals="1" fieldPosition="0">
        <references count="1">
          <reference field="11" count="1">
            <x v="0"/>
          </reference>
        </references>
      </pivotArea>
    </format>
    <format dxfId="1729">
      <pivotArea collapsedLevelsAreSubtotals="1" fieldPosition="0">
        <references count="1">
          <reference field="11" count="1">
            <x v="10"/>
          </reference>
        </references>
      </pivotArea>
    </format>
    <format dxfId="1728">
      <pivotArea collapsedLevelsAreSubtotals="1" fieldPosition="0">
        <references count="1">
          <reference field="11" count="1">
            <x v="8"/>
          </reference>
        </references>
      </pivotArea>
    </format>
    <format dxfId="1727">
      <pivotArea collapsedLevelsAreSubtotals="1" fieldPosition="0">
        <references count="1">
          <reference field="11" count="1">
            <x v="9"/>
          </reference>
        </references>
      </pivotArea>
    </format>
    <format dxfId="1726">
      <pivotArea collapsedLevelsAreSubtotals="1" fieldPosition="0">
        <references count="1">
          <reference field="11" count="1">
            <x v="12"/>
          </reference>
        </references>
      </pivotArea>
    </format>
    <format dxfId="1725">
      <pivotArea collapsedLevelsAreSubtotals="1" fieldPosition="0">
        <references count="1">
          <reference field="11" count="1">
            <x v="4"/>
          </reference>
        </references>
      </pivotArea>
    </format>
    <format dxfId="1724">
      <pivotArea collapsedLevelsAreSubtotals="1" fieldPosition="0">
        <references count="1">
          <reference field="11" count="1">
            <x v="7"/>
          </reference>
        </references>
      </pivotArea>
    </format>
    <format dxfId="1723">
      <pivotArea collapsedLevelsAreSubtotals="1" fieldPosition="0">
        <references count="1">
          <reference field="11" count="1">
            <x v="11"/>
          </reference>
        </references>
      </pivotArea>
    </format>
    <format dxfId="1722">
      <pivotArea collapsedLevelsAreSubtotals="1" fieldPosition="0">
        <references count="1">
          <reference field="11" count="1">
            <x v="6"/>
          </reference>
        </references>
      </pivotArea>
    </format>
    <format dxfId="1721">
      <pivotArea dataOnly="0" labelOnly="1" fieldPosition="0">
        <references count="1">
          <reference field="11" count="0"/>
        </references>
      </pivotArea>
    </format>
    <format dxfId="1720">
      <pivotArea collapsedLevelsAreSubtotals="1" fieldPosition="0">
        <references count="1">
          <reference field="11" count="1">
            <x v="17"/>
          </reference>
        </references>
      </pivotArea>
    </format>
    <format dxfId="1719">
      <pivotArea collapsedLevelsAreSubtotals="1" fieldPosition="0">
        <references count="1">
          <reference field="11" count="1">
            <x v="5"/>
          </reference>
        </references>
      </pivotArea>
    </format>
    <format dxfId="1718">
      <pivotArea collapsedLevelsAreSubtotals="1" fieldPosition="0">
        <references count="1">
          <reference field="11" count="1">
            <x v="16"/>
          </reference>
        </references>
      </pivotArea>
    </format>
    <format dxfId="1717">
      <pivotArea collapsedLevelsAreSubtotals="1" fieldPosition="0">
        <references count="1">
          <reference field="11" count="1">
            <x v="2"/>
          </reference>
        </references>
      </pivotArea>
    </format>
    <format dxfId="1716">
      <pivotArea collapsedLevelsAreSubtotals="1" fieldPosition="0">
        <references count="1">
          <reference field="11" count="1">
            <x v="13"/>
          </reference>
        </references>
      </pivotArea>
    </format>
    <format dxfId="1715">
      <pivotArea collapsedLevelsAreSubtotals="1" fieldPosition="0">
        <references count="1">
          <reference field="11" count="1">
            <x v="14"/>
          </reference>
        </references>
      </pivotArea>
    </format>
    <format dxfId="1714">
      <pivotArea collapsedLevelsAreSubtotals="1" fieldPosition="0">
        <references count="1">
          <reference field="11" count="1">
            <x v="3"/>
          </reference>
        </references>
      </pivotArea>
    </format>
    <format dxfId="1713">
      <pivotArea collapsedLevelsAreSubtotals="1" fieldPosition="0">
        <references count="1">
          <reference field="11" count="1">
            <x v="18"/>
          </reference>
        </references>
      </pivotArea>
    </format>
    <format dxfId="1712">
      <pivotArea collapsedLevelsAreSubtotals="1" fieldPosition="0">
        <references count="1">
          <reference field="11" count="1">
            <x v="15"/>
          </reference>
        </references>
      </pivotArea>
    </format>
    <format dxfId="1711">
      <pivotArea collapsedLevelsAreSubtotals="1" fieldPosition="0">
        <references count="1">
          <reference field="11" count="1">
            <x v="1"/>
          </reference>
        </references>
      </pivotArea>
    </format>
    <format dxfId="1710">
      <pivotArea collapsedLevelsAreSubtotals="1" fieldPosition="0">
        <references count="1">
          <reference field="11" count="1">
            <x v="0"/>
          </reference>
        </references>
      </pivotArea>
    </format>
    <format dxfId="1709">
      <pivotArea collapsedLevelsAreSubtotals="1" fieldPosition="0">
        <references count="1">
          <reference field="11" count="1">
            <x v="10"/>
          </reference>
        </references>
      </pivotArea>
    </format>
    <format dxfId="1708">
      <pivotArea collapsedLevelsAreSubtotals="1" fieldPosition="0">
        <references count="1">
          <reference field="11" count="1">
            <x v="8"/>
          </reference>
        </references>
      </pivotArea>
    </format>
    <format dxfId="1707">
      <pivotArea collapsedLevelsAreSubtotals="1" fieldPosition="0">
        <references count="1">
          <reference field="11" count="1">
            <x v="9"/>
          </reference>
        </references>
      </pivotArea>
    </format>
    <format dxfId="1706">
      <pivotArea collapsedLevelsAreSubtotals="1" fieldPosition="0">
        <references count="1">
          <reference field="11" count="1">
            <x v="12"/>
          </reference>
        </references>
      </pivotArea>
    </format>
    <format dxfId="1705">
      <pivotArea collapsedLevelsAreSubtotals="1" fieldPosition="0">
        <references count="1">
          <reference field="11" count="1">
            <x v="4"/>
          </reference>
        </references>
      </pivotArea>
    </format>
    <format dxfId="1704">
      <pivotArea collapsedLevelsAreSubtotals="1" fieldPosition="0">
        <references count="1">
          <reference field="11" count="1">
            <x v="7"/>
          </reference>
        </references>
      </pivotArea>
    </format>
    <format dxfId="1703">
      <pivotArea collapsedLevelsAreSubtotals="1" fieldPosition="0">
        <references count="1">
          <reference field="11" count="1">
            <x v="11"/>
          </reference>
        </references>
      </pivotArea>
    </format>
    <format dxfId="1702">
      <pivotArea collapsedLevelsAreSubtotals="1" fieldPosition="0">
        <references count="1">
          <reference field="11" count="1">
            <x v="6"/>
          </reference>
        </references>
      </pivotArea>
    </format>
    <format dxfId="1701">
      <pivotArea dataOnly="0" labelOnly="1" fieldPosition="0">
        <references count="1">
          <reference field="11" count="0"/>
        </references>
      </pivotArea>
    </format>
    <format dxfId="1700">
      <pivotArea collapsedLevelsAreSubtotals="1" fieldPosition="0">
        <references count="3">
          <reference field="4294967294" count="2" selected="0">
            <x v="0"/>
            <x v="1"/>
          </reference>
          <reference field="0" count="3" selected="0">
            <x v="0"/>
            <x v="1"/>
            <x v="2"/>
          </reference>
          <reference field="11" count="1">
            <x v="17"/>
          </reference>
        </references>
      </pivotArea>
    </format>
    <format dxfId="1699">
      <pivotArea collapsedLevelsAreSubtotals="1" fieldPosition="0">
        <references count="3">
          <reference field="4294967294" count="1" selected="0">
            <x v="0"/>
          </reference>
          <reference field="0" count="1" selected="0">
            <x v="3"/>
          </reference>
          <reference field="11" count="1">
            <x v="17"/>
          </reference>
        </references>
      </pivotArea>
    </format>
    <format dxfId="1698">
      <pivotArea collapsedLevelsAreSubtotals="1" fieldPosition="0">
        <references count="3">
          <reference field="4294967294" count="2" selected="0">
            <x v="0"/>
            <x v="1"/>
          </reference>
          <reference field="0" count="3" selected="0">
            <x v="0"/>
            <x v="1"/>
            <x v="2"/>
          </reference>
          <reference field="11" count="1">
            <x v="5"/>
          </reference>
        </references>
      </pivotArea>
    </format>
    <format dxfId="1697">
      <pivotArea collapsedLevelsAreSubtotals="1" fieldPosition="0">
        <references count="3">
          <reference field="4294967294" count="1" selected="0">
            <x v="0"/>
          </reference>
          <reference field="0" count="1" selected="0">
            <x v="3"/>
          </reference>
          <reference field="11" count="1">
            <x v="5"/>
          </reference>
        </references>
      </pivotArea>
    </format>
    <format dxfId="1696">
      <pivotArea collapsedLevelsAreSubtotals="1" fieldPosition="0">
        <references count="3">
          <reference field="4294967294" count="2" selected="0">
            <x v="0"/>
            <x v="1"/>
          </reference>
          <reference field="0" count="3" selected="0">
            <x v="0"/>
            <x v="1"/>
            <x v="2"/>
          </reference>
          <reference field="11" count="1">
            <x v="16"/>
          </reference>
        </references>
      </pivotArea>
    </format>
    <format dxfId="1695">
      <pivotArea collapsedLevelsAreSubtotals="1" fieldPosition="0">
        <references count="3">
          <reference field="4294967294" count="1" selected="0">
            <x v="0"/>
          </reference>
          <reference field="0" count="1" selected="0">
            <x v="3"/>
          </reference>
          <reference field="11" count="1">
            <x v="16"/>
          </reference>
        </references>
      </pivotArea>
    </format>
    <format dxfId="1694">
      <pivotArea collapsedLevelsAreSubtotals="1" fieldPosition="0">
        <references count="3">
          <reference field="4294967294" count="2" selected="0">
            <x v="0"/>
            <x v="1"/>
          </reference>
          <reference field="0" count="3" selected="0">
            <x v="0"/>
            <x v="1"/>
            <x v="2"/>
          </reference>
          <reference field="11" count="1">
            <x v="2"/>
          </reference>
        </references>
      </pivotArea>
    </format>
    <format dxfId="1693">
      <pivotArea collapsedLevelsAreSubtotals="1" fieldPosition="0">
        <references count="3">
          <reference field="4294967294" count="1" selected="0">
            <x v="0"/>
          </reference>
          <reference field="0" count="1" selected="0">
            <x v="3"/>
          </reference>
          <reference field="11" count="1">
            <x v="2"/>
          </reference>
        </references>
      </pivotArea>
    </format>
    <format dxfId="1692">
      <pivotArea collapsedLevelsAreSubtotals="1" fieldPosition="0">
        <references count="3">
          <reference field="4294967294" count="2" selected="0">
            <x v="0"/>
            <x v="1"/>
          </reference>
          <reference field="0" count="3" selected="0">
            <x v="0"/>
            <x v="1"/>
            <x v="2"/>
          </reference>
          <reference field="11" count="1">
            <x v="13"/>
          </reference>
        </references>
      </pivotArea>
    </format>
    <format dxfId="1691">
      <pivotArea collapsedLevelsAreSubtotals="1" fieldPosition="0">
        <references count="3">
          <reference field="4294967294" count="1" selected="0">
            <x v="0"/>
          </reference>
          <reference field="0" count="1" selected="0">
            <x v="3"/>
          </reference>
          <reference field="11" count="1">
            <x v="13"/>
          </reference>
        </references>
      </pivotArea>
    </format>
    <format dxfId="1690">
      <pivotArea collapsedLevelsAreSubtotals="1" fieldPosition="0">
        <references count="3">
          <reference field="4294967294" count="2" selected="0">
            <x v="0"/>
            <x v="1"/>
          </reference>
          <reference field="0" count="3" selected="0">
            <x v="0"/>
            <x v="1"/>
            <x v="2"/>
          </reference>
          <reference field="11" count="1">
            <x v="14"/>
          </reference>
        </references>
      </pivotArea>
    </format>
    <format dxfId="1689">
      <pivotArea collapsedLevelsAreSubtotals="1" fieldPosition="0">
        <references count="3">
          <reference field="4294967294" count="1" selected="0">
            <x v="0"/>
          </reference>
          <reference field="0" count="1" selected="0">
            <x v="3"/>
          </reference>
          <reference field="11" count="1">
            <x v="14"/>
          </reference>
        </references>
      </pivotArea>
    </format>
    <format dxfId="1688">
      <pivotArea collapsedLevelsAreSubtotals="1" fieldPosition="0">
        <references count="3">
          <reference field="4294967294" count="2" selected="0">
            <x v="0"/>
            <x v="1"/>
          </reference>
          <reference field="0" count="3" selected="0">
            <x v="0"/>
            <x v="1"/>
            <x v="2"/>
          </reference>
          <reference field="11" count="1">
            <x v="3"/>
          </reference>
        </references>
      </pivotArea>
    </format>
    <format dxfId="1687">
      <pivotArea collapsedLevelsAreSubtotals="1" fieldPosition="0">
        <references count="3">
          <reference field="4294967294" count="1" selected="0">
            <x v="0"/>
          </reference>
          <reference field="0" count="1" selected="0">
            <x v="3"/>
          </reference>
          <reference field="11" count="1">
            <x v="3"/>
          </reference>
        </references>
      </pivotArea>
    </format>
    <format dxfId="1686">
      <pivotArea collapsedLevelsAreSubtotals="1" fieldPosition="0">
        <references count="3">
          <reference field="4294967294" count="2" selected="0">
            <x v="0"/>
            <x v="1"/>
          </reference>
          <reference field="0" count="3" selected="0">
            <x v="0"/>
            <x v="1"/>
            <x v="2"/>
          </reference>
          <reference field="11" count="1">
            <x v="18"/>
          </reference>
        </references>
      </pivotArea>
    </format>
    <format dxfId="1685">
      <pivotArea collapsedLevelsAreSubtotals="1" fieldPosition="0">
        <references count="3">
          <reference field="4294967294" count="1" selected="0">
            <x v="0"/>
          </reference>
          <reference field="0" count="1" selected="0">
            <x v="3"/>
          </reference>
          <reference field="11" count="1">
            <x v="18"/>
          </reference>
        </references>
      </pivotArea>
    </format>
    <format dxfId="1684">
      <pivotArea collapsedLevelsAreSubtotals="1" fieldPosition="0">
        <references count="3">
          <reference field="4294967294" count="2" selected="0">
            <x v="0"/>
            <x v="1"/>
          </reference>
          <reference field="0" count="3" selected="0">
            <x v="0"/>
            <x v="1"/>
            <x v="2"/>
          </reference>
          <reference field="11" count="1">
            <x v="15"/>
          </reference>
        </references>
      </pivotArea>
    </format>
    <format dxfId="1683">
      <pivotArea collapsedLevelsAreSubtotals="1" fieldPosition="0">
        <references count="3">
          <reference field="4294967294" count="1" selected="0">
            <x v="0"/>
          </reference>
          <reference field="0" count="1" selected="0">
            <x v="3"/>
          </reference>
          <reference field="11" count="1">
            <x v="15"/>
          </reference>
        </references>
      </pivotArea>
    </format>
    <format dxfId="1682">
      <pivotArea collapsedLevelsAreSubtotals="1" fieldPosition="0">
        <references count="3">
          <reference field="4294967294" count="2" selected="0">
            <x v="0"/>
            <x v="1"/>
          </reference>
          <reference field="0" count="3" selected="0">
            <x v="0"/>
            <x v="1"/>
            <x v="2"/>
          </reference>
          <reference field="11" count="1">
            <x v="1"/>
          </reference>
        </references>
      </pivotArea>
    </format>
    <format dxfId="1681">
      <pivotArea collapsedLevelsAreSubtotals="1" fieldPosition="0">
        <references count="3">
          <reference field="4294967294" count="1" selected="0">
            <x v="0"/>
          </reference>
          <reference field="0" count="1" selected="0">
            <x v="3"/>
          </reference>
          <reference field="11" count="1">
            <x v="1"/>
          </reference>
        </references>
      </pivotArea>
    </format>
    <format dxfId="1680">
      <pivotArea collapsedLevelsAreSubtotals="1" fieldPosition="0">
        <references count="3">
          <reference field="4294967294" count="2" selected="0">
            <x v="0"/>
            <x v="1"/>
          </reference>
          <reference field="0" count="3" selected="0">
            <x v="0"/>
            <x v="1"/>
            <x v="2"/>
          </reference>
          <reference field="11" count="1">
            <x v="0"/>
          </reference>
        </references>
      </pivotArea>
    </format>
    <format dxfId="1679">
      <pivotArea collapsedLevelsAreSubtotals="1" fieldPosition="0">
        <references count="3">
          <reference field="4294967294" count="1" selected="0">
            <x v="0"/>
          </reference>
          <reference field="0" count="1" selected="0">
            <x v="3"/>
          </reference>
          <reference field="11" count="1">
            <x v="0"/>
          </reference>
        </references>
      </pivotArea>
    </format>
    <format dxfId="1678">
      <pivotArea collapsedLevelsAreSubtotals="1" fieldPosition="0">
        <references count="3">
          <reference field="4294967294" count="2" selected="0">
            <x v="0"/>
            <x v="1"/>
          </reference>
          <reference field="0" count="3" selected="0">
            <x v="0"/>
            <x v="1"/>
            <x v="2"/>
          </reference>
          <reference field="11" count="1">
            <x v="10"/>
          </reference>
        </references>
      </pivotArea>
    </format>
    <format dxfId="1677">
      <pivotArea collapsedLevelsAreSubtotals="1" fieldPosition="0">
        <references count="3">
          <reference field="4294967294" count="1" selected="0">
            <x v="0"/>
          </reference>
          <reference field="0" count="1" selected="0">
            <x v="3"/>
          </reference>
          <reference field="11" count="1">
            <x v="10"/>
          </reference>
        </references>
      </pivotArea>
    </format>
    <format dxfId="1676">
      <pivotArea collapsedLevelsAreSubtotals="1" fieldPosition="0">
        <references count="3">
          <reference field="4294967294" count="2" selected="0">
            <x v="0"/>
            <x v="1"/>
          </reference>
          <reference field="0" count="3" selected="0">
            <x v="0"/>
            <x v="1"/>
            <x v="2"/>
          </reference>
          <reference field="11" count="1">
            <x v="8"/>
          </reference>
        </references>
      </pivotArea>
    </format>
    <format dxfId="1675">
      <pivotArea collapsedLevelsAreSubtotals="1" fieldPosition="0">
        <references count="3">
          <reference field="4294967294" count="1" selected="0">
            <x v="0"/>
          </reference>
          <reference field="0" count="1" selected="0">
            <x v="3"/>
          </reference>
          <reference field="11" count="1">
            <x v="8"/>
          </reference>
        </references>
      </pivotArea>
    </format>
    <format dxfId="1674">
      <pivotArea collapsedLevelsAreSubtotals="1" fieldPosition="0">
        <references count="3">
          <reference field="4294967294" count="2" selected="0">
            <x v="0"/>
            <x v="1"/>
          </reference>
          <reference field="0" count="3" selected="0">
            <x v="0"/>
            <x v="1"/>
            <x v="2"/>
          </reference>
          <reference field="11" count="1">
            <x v="9"/>
          </reference>
        </references>
      </pivotArea>
    </format>
    <format dxfId="1673">
      <pivotArea collapsedLevelsAreSubtotals="1" fieldPosition="0">
        <references count="3">
          <reference field="4294967294" count="1" selected="0">
            <x v="0"/>
          </reference>
          <reference field="0" count="1" selected="0">
            <x v="3"/>
          </reference>
          <reference field="11" count="1">
            <x v="9"/>
          </reference>
        </references>
      </pivotArea>
    </format>
    <format dxfId="1672">
      <pivotArea collapsedLevelsAreSubtotals="1" fieldPosition="0">
        <references count="3">
          <reference field="4294967294" count="2" selected="0">
            <x v="0"/>
            <x v="1"/>
          </reference>
          <reference field="0" count="3" selected="0">
            <x v="0"/>
            <x v="1"/>
            <x v="2"/>
          </reference>
          <reference field="11" count="1">
            <x v="12"/>
          </reference>
        </references>
      </pivotArea>
    </format>
    <format dxfId="1671">
      <pivotArea collapsedLevelsAreSubtotals="1" fieldPosition="0">
        <references count="3">
          <reference field="4294967294" count="1" selected="0">
            <x v="0"/>
          </reference>
          <reference field="0" count="1" selected="0">
            <x v="3"/>
          </reference>
          <reference field="11" count="1">
            <x v="12"/>
          </reference>
        </references>
      </pivotArea>
    </format>
    <format dxfId="1670">
      <pivotArea collapsedLevelsAreSubtotals="1" fieldPosition="0">
        <references count="3">
          <reference field="4294967294" count="2" selected="0">
            <x v="0"/>
            <x v="1"/>
          </reference>
          <reference field="0" count="3" selected="0">
            <x v="0"/>
            <x v="1"/>
            <x v="2"/>
          </reference>
          <reference field="11" count="1">
            <x v="4"/>
          </reference>
        </references>
      </pivotArea>
    </format>
    <format dxfId="1669">
      <pivotArea collapsedLevelsAreSubtotals="1" fieldPosition="0">
        <references count="3">
          <reference field="4294967294" count="1" selected="0">
            <x v="0"/>
          </reference>
          <reference field="0" count="1" selected="0">
            <x v="3"/>
          </reference>
          <reference field="11" count="1">
            <x v="4"/>
          </reference>
        </references>
      </pivotArea>
    </format>
    <format dxfId="1668">
      <pivotArea collapsedLevelsAreSubtotals="1" fieldPosition="0">
        <references count="3">
          <reference field="4294967294" count="2" selected="0">
            <x v="0"/>
            <x v="1"/>
          </reference>
          <reference field="0" count="3" selected="0">
            <x v="0"/>
            <x v="1"/>
            <x v="2"/>
          </reference>
          <reference field="11" count="1">
            <x v="7"/>
          </reference>
        </references>
      </pivotArea>
    </format>
    <format dxfId="1667">
      <pivotArea collapsedLevelsAreSubtotals="1" fieldPosition="0">
        <references count="3">
          <reference field="4294967294" count="1" selected="0">
            <x v="0"/>
          </reference>
          <reference field="0" count="1" selected="0">
            <x v="3"/>
          </reference>
          <reference field="11" count="1">
            <x v="7"/>
          </reference>
        </references>
      </pivotArea>
    </format>
    <format dxfId="1666">
      <pivotArea collapsedLevelsAreSubtotals="1" fieldPosition="0">
        <references count="3">
          <reference field="4294967294" count="2" selected="0">
            <x v="0"/>
            <x v="1"/>
          </reference>
          <reference field="0" count="3" selected="0">
            <x v="0"/>
            <x v="1"/>
            <x v="2"/>
          </reference>
          <reference field="11" count="1">
            <x v="11"/>
          </reference>
        </references>
      </pivotArea>
    </format>
    <format dxfId="1665">
      <pivotArea collapsedLevelsAreSubtotals="1" fieldPosition="0">
        <references count="3">
          <reference field="4294967294" count="1" selected="0">
            <x v="0"/>
          </reference>
          <reference field="0" count="1" selected="0">
            <x v="3"/>
          </reference>
          <reference field="11" count="1">
            <x v="11"/>
          </reference>
        </references>
      </pivotArea>
    </format>
    <format dxfId="1664">
      <pivotArea collapsedLevelsAreSubtotals="1" fieldPosition="0">
        <references count="3">
          <reference field="4294967294" count="2" selected="0">
            <x v="0"/>
            <x v="1"/>
          </reference>
          <reference field="0" count="3" selected="0">
            <x v="0"/>
            <x v="1"/>
            <x v="2"/>
          </reference>
          <reference field="11" count="1">
            <x v="6"/>
          </reference>
        </references>
      </pivotArea>
    </format>
    <format dxfId="1663">
      <pivotArea collapsedLevelsAreSubtotals="1" fieldPosition="0">
        <references count="3">
          <reference field="4294967294" count="1" selected="0">
            <x v="0"/>
          </reference>
          <reference field="0" count="1" selected="0">
            <x v="3"/>
          </reference>
          <reference field="11" count="1">
            <x v="6"/>
          </reference>
        </references>
      </pivotArea>
    </format>
    <format dxfId="1662">
      <pivotArea collapsedLevelsAreSubtotals="1" fieldPosition="0">
        <references count="3">
          <reference field="4294967294" count="2" selected="0">
            <x v="0"/>
            <x v="1"/>
          </reference>
          <reference field="0" count="3" selected="0">
            <x v="0"/>
            <x v="1"/>
            <x v="2"/>
          </reference>
          <reference field="11" count="1">
            <x v="17"/>
          </reference>
        </references>
      </pivotArea>
    </format>
    <format dxfId="1661">
      <pivotArea collapsedLevelsAreSubtotals="1" fieldPosition="0">
        <references count="3">
          <reference field="4294967294" count="1" selected="0">
            <x v="0"/>
          </reference>
          <reference field="0" count="1" selected="0">
            <x v="3"/>
          </reference>
          <reference field="11" count="1">
            <x v="17"/>
          </reference>
        </references>
      </pivotArea>
    </format>
    <format dxfId="1660">
      <pivotArea collapsedLevelsAreSubtotals="1" fieldPosition="0">
        <references count="3">
          <reference field="4294967294" count="2" selected="0">
            <x v="0"/>
            <x v="1"/>
          </reference>
          <reference field="0" count="3" selected="0">
            <x v="0"/>
            <x v="1"/>
            <x v="2"/>
          </reference>
          <reference field="11" count="1">
            <x v="5"/>
          </reference>
        </references>
      </pivotArea>
    </format>
    <format dxfId="1659">
      <pivotArea collapsedLevelsAreSubtotals="1" fieldPosition="0">
        <references count="3">
          <reference field="4294967294" count="1" selected="0">
            <x v="0"/>
          </reference>
          <reference field="0" count="1" selected="0">
            <x v="3"/>
          </reference>
          <reference field="11" count="1">
            <x v="5"/>
          </reference>
        </references>
      </pivotArea>
    </format>
    <format dxfId="1658">
      <pivotArea collapsedLevelsAreSubtotals="1" fieldPosition="0">
        <references count="3">
          <reference field="4294967294" count="2" selected="0">
            <x v="0"/>
            <x v="1"/>
          </reference>
          <reference field="0" count="3" selected="0">
            <x v="0"/>
            <x v="1"/>
            <x v="2"/>
          </reference>
          <reference field="11" count="1">
            <x v="16"/>
          </reference>
        </references>
      </pivotArea>
    </format>
    <format dxfId="1657">
      <pivotArea collapsedLevelsAreSubtotals="1" fieldPosition="0">
        <references count="3">
          <reference field="4294967294" count="1" selected="0">
            <x v="0"/>
          </reference>
          <reference field="0" count="1" selected="0">
            <x v="3"/>
          </reference>
          <reference field="11" count="1">
            <x v="16"/>
          </reference>
        </references>
      </pivotArea>
    </format>
    <format dxfId="1656">
      <pivotArea collapsedLevelsAreSubtotals="1" fieldPosition="0">
        <references count="3">
          <reference field="4294967294" count="2" selected="0">
            <x v="0"/>
            <x v="1"/>
          </reference>
          <reference field="0" count="3" selected="0">
            <x v="0"/>
            <x v="1"/>
            <x v="2"/>
          </reference>
          <reference field="11" count="1">
            <x v="2"/>
          </reference>
        </references>
      </pivotArea>
    </format>
    <format dxfId="1655">
      <pivotArea collapsedLevelsAreSubtotals="1" fieldPosition="0">
        <references count="3">
          <reference field="4294967294" count="1" selected="0">
            <x v="0"/>
          </reference>
          <reference field="0" count="1" selected="0">
            <x v="3"/>
          </reference>
          <reference field="11" count="1">
            <x v="2"/>
          </reference>
        </references>
      </pivotArea>
    </format>
    <format dxfId="1654">
      <pivotArea collapsedLevelsAreSubtotals="1" fieldPosition="0">
        <references count="3">
          <reference field="4294967294" count="2" selected="0">
            <x v="0"/>
            <x v="1"/>
          </reference>
          <reference field="0" count="3" selected="0">
            <x v="0"/>
            <x v="1"/>
            <x v="2"/>
          </reference>
          <reference field="11" count="1">
            <x v="13"/>
          </reference>
        </references>
      </pivotArea>
    </format>
    <format dxfId="1653">
      <pivotArea collapsedLevelsAreSubtotals="1" fieldPosition="0">
        <references count="3">
          <reference field="4294967294" count="1" selected="0">
            <x v="0"/>
          </reference>
          <reference field="0" count="1" selected="0">
            <x v="3"/>
          </reference>
          <reference field="11" count="1">
            <x v="13"/>
          </reference>
        </references>
      </pivotArea>
    </format>
    <format dxfId="1652">
      <pivotArea collapsedLevelsAreSubtotals="1" fieldPosition="0">
        <references count="3">
          <reference field="4294967294" count="2" selected="0">
            <x v="0"/>
            <x v="1"/>
          </reference>
          <reference field="0" count="3" selected="0">
            <x v="0"/>
            <x v="1"/>
            <x v="2"/>
          </reference>
          <reference field="11" count="1">
            <x v="14"/>
          </reference>
        </references>
      </pivotArea>
    </format>
    <format dxfId="1651">
      <pivotArea collapsedLevelsAreSubtotals="1" fieldPosition="0">
        <references count="3">
          <reference field="4294967294" count="1" selected="0">
            <x v="0"/>
          </reference>
          <reference field="0" count="1" selected="0">
            <x v="3"/>
          </reference>
          <reference field="11" count="1">
            <x v="14"/>
          </reference>
        </references>
      </pivotArea>
    </format>
    <format dxfId="1650">
      <pivotArea collapsedLevelsAreSubtotals="1" fieldPosition="0">
        <references count="3">
          <reference field="4294967294" count="2" selected="0">
            <x v="0"/>
            <x v="1"/>
          </reference>
          <reference field="0" count="3" selected="0">
            <x v="0"/>
            <x v="1"/>
            <x v="2"/>
          </reference>
          <reference field="11" count="1">
            <x v="3"/>
          </reference>
        </references>
      </pivotArea>
    </format>
    <format dxfId="1649">
      <pivotArea collapsedLevelsAreSubtotals="1" fieldPosition="0">
        <references count="3">
          <reference field="4294967294" count="1" selected="0">
            <x v="0"/>
          </reference>
          <reference field="0" count="1" selected="0">
            <x v="3"/>
          </reference>
          <reference field="11" count="1">
            <x v="3"/>
          </reference>
        </references>
      </pivotArea>
    </format>
    <format dxfId="1648">
      <pivotArea collapsedLevelsAreSubtotals="1" fieldPosition="0">
        <references count="3">
          <reference field="4294967294" count="2" selected="0">
            <x v="0"/>
            <x v="1"/>
          </reference>
          <reference field="0" count="3" selected="0">
            <x v="0"/>
            <x v="1"/>
            <x v="2"/>
          </reference>
          <reference field="11" count="1">
            <x v="18"/>
          </reference>
        </references>
      </pivotArea>
    </format>
    <format dxfId="1647">
      <pivotArea collapsedLevelsAreSubtotals="1" fieldPosition="0">
        <references count="3">
          <reference field="4294967294" count="1" selected="0">
            <x v="0"/>
          </reference>
          <reference field="0" count="1" selected="0">
            <x v="3"/>
          </reference>
          <reference field="11" count="1">
            <x v="18"/>
          </reference>
        </references>
      </pivotArea>
    </format>
    <format dxfId="1646">
      <pivotArea collapsedLevelsAreSubtotals="1" fieldPosition="0">
        <references count="3">
          <reference field="4294967294" count="2" selected="0">
            <x v="0"/>
            <x v="1"/>
          </reference>
          <reference field="0" count="3" selected="0">
            <x v="0"/>
            <x v="1"/>
            <x v="2"/>
          </reference>
          <reference field="11" count="1">
            <x v="15"/>
          </reference>
        </references>
      </pivotArea>
    </format>
    <format dxfId="1645">
      <pivotArea collapsedLevelsAreSubtotals="1" fieldPosition="0">
        <references count="3">
          <reference field="4294967294" count="1" selected="0">
            <x v="0"/>
          </reference>
          <reference field="0" count="1" selected="0">
            <x v="3"/>
          </reference>
          <reference field="11" count="1">
            <x v="15"/>
          </reference>
        </references>
      </pivotArea>
    </format>
    <format dxfId="1644">
      <pivotArea collapsedLevelsAreSubtotals="1" fieldPosition="0">
        <references count="3">
          <reference field="4294967294" count="2" selected="0">
            <x v="0"/>
            <x v="1"/>
          </reference>
          <reference field="0" count="3" selected="0">
            <x v="0"/>
            <x v="1"/>
            <x v="2"/>
          </reference>
          <reference field="11" count="1">
            <x v="1"/>
          </reference>
        </references>
      </pivotArea>
    </format>
    <format dxfId="1643">
      <pivotArea collapsedLevelsAreSubtotals="1" fieldPosition="0">
        <references count="3">
          <reference field="4294967294" count="1" selected="0">
            <x v="0"/>
          </reference>
          <reference field="0" count="1" selected="0">
            <x v="3"/>
          </reference>
          <reference field="11" count="1">
            <x v="1"/>
          </reference>
        </references>
      </pivotArea>
    </format>
    <format dxfId="1642">
      <pivotArea collapsedLevelsAreSubtotals="1" fieldPosition="0">
        <references count="3">
          <reference field="4294967294" count="2" selected="0">
            <x v="0"/>
            <x v="1"/>
          </reference>
          <reference field="0" count="3" selected="0">
            <x v="0"/>
            <x v="1"/>
            <x v="2"/>
          </reference>
          <reference field="11" count="1">
            <x v="0"/>
          </reference>
        </references>
      </pivotArea>
    </format>
    <format dxfId="1641">
      <pivotArea collapsedLevelsAreSubtotals="1" fieldPosition="0">
        <references count="3">
          <reference field="4294967294" count="1" selected="0">
            <x v="0"/>
          </reference>
          <reference field="0" count="1" selected="0">
            <x v="3"/>
          </reference>
          <reference field="11" count="1">
            <x v="0"/>
          </reference>
        </references>
      </pivotArea>
    </format>
    <format dxfId="1640">
      <pivotArea collapsedLevelsAreSubtotals="1" fieldPosition="0">
        <references count="3">
          <reference field="4294967294" count="2" selected="0">
            <x v="0"/>
            <x v="1"/>
          </reference>
          <reference field="0" count="3" selected="0">
            <x v="0"/>
            <x v="1"/>
            <x v="2"/>
          </reference>
          <reference field="11" count="1">
            <x v="10"/>
          </reference>
        </references>
      </pivotArea>
    </format>
    <format dxfId="1639">
      <pivotArea collapsedLevelsAreSubtotals="1" fieldPosition="0">
        <references count="3">
          <reference field="4294967294" count="1" selected="0">
            <x v="0"/>
          </reference>
          <reference field="0" count="1" selected="0">
            <x v="3"/>
          </reference>
          <reference field="11" count="1">
            <x v="10"/>
          </reference>
        </references>
      </pivotArea>
    </format>
    <format dxfId="1638">
      <pivotArea collapsedLevelsAreSubtotals="1" fieldPosition="0">
        <references count="3">
          <reference field="4294967294" count="2" selected="0">
            <x v="0"/>
            <x v="1"/>
          </reference>
          <reference field="0" count="3" selected="0">
            <x v="0"/>
            <x v="1"/>
            <x v="2"/>
          </reference>
          <reference field="11" count="1">
            <x v="8"/>
          </reference>
        </references>
      </pivotArea>
    </format>
    <format dxfId="1637">
      <pivotArea collapsedLevelsAreSubtotals="1" fieldPosition="0">
        <references count="3">
          <reference field="4294967294" count="1" selected="0">
            <x v="0"/>
          </reference>
          <reference field="0" count="1" selected="0">
            <x v="3"/>
          </reference>
          <reference field="11" count="1">
            <x v="8"/>
          </reference>
        </references>
      </pivotArea>
    </format>
    <format dxfId="1636">
      <pivotArea collapsedLevelsAreSubtotals="1" fieldPosition="0">
        <references count="3">
          <reference field="4294967294" count="2" selected="0">
            <x v="0"/>
            <x v="1"/>
          </reference>
          <reference field="0" count="3" selected="0">
            <x v="0"/>
            <x v="1"/>
            <x v="2"/>
          </reference>
          <reference field="11" count="1">
            <x v="9"/>
          </reference>
        </references>
      </pivotArea>
    </format>
    <format dxfId="1635">
      <pivotArea collapsedLevelsAreSubtotals="1" fieldPosition="0">
        <references count="3">
          <reference field="4294967294" count="1" selected="0">
            <x v="0"/>
          </reference>
          <reference field="0" count="1" selected="0">
            <x v="3"/>
          </reference>
          <reference field="11" count="1">
            <x v="9"/>
          </reference>
        </references>
      </pivotArea>
    </format>
    <format dxfId="1634">
      <pivotArea collapsedLevelsAreSubtotals="1" fieldPosition="0">
        <references count="3">
          <reference field="4294967294" count="2" selected="0">
            <x v="0"/>
            <x v="1"/>
          </reference>
          <reference field="0" count="3" selected="0">
            <x v="0"/>
            <x v="1"/>
            <x v="2"/>
          </reference>
          <reference field="11" count="1">
            <x v="12"/>
          </reference>
        </references>
      </pivotArea>
    </format>
    <format dxfId="1633">
      <pivotArea collapsedLevelsAreSubtotals="1" fieldPosition="0">
        <references count="3">
          <reference field="4294967294" count="1" selected="0">
            <x v="0"/>
          </reference>
          <reference field="0" count="1" selected="0">
            <x v="3"/>
          </reference>
          <reference field="11" count="1">
            <x v="12"/>
          </reference>
        </references>
      </pivotArea>
    </format>
    <format dxfId="1632">
      <pivotArea collapsedLevelsAreSubtotals="1" fieldPosition="0">
        <references count="3">
          <reference field="4294967294" count="2" selected="0">
            <x v="0"/>
            <x v="1"/>
          </reference>
          <reference field="0" count="3" selected="0">
            <x v="0"/>
            <x v="1"/>
            <x v="2"/>
          </reference>
          <reference field="11" count="1">
            <x v="4"/>
          </reference>
        </references>
      </pivotArea>
    </format>
    <format dxfId="1631">
      <pivotArea collapsedLevelsAreSubtotals="1" fieldPosition="0">
        <references count="3">
          <reference field="4294967294" count="1" selected="0">
            <x v="0"/>
          </reference>
          <reference field="0" count="1" selected="0">
            <x v="3"/>
          </reference>
          <reference field="11" count="1">
            <x v="4"/>
          </reference>
        </references>
      </pivotArea>
    </format>
    <format dxfId="1630">
      <pivotArea collapsedLevelsAreSubtotals="1" fieldPosition="0">
        <references count="3">
          <reference field="4294967294" count="2" selected="0">
            <x v="0"/>
            <x v="1"/>
          </reference>
          <reference field="0" count="3" selected="0">
            <x v="0"/>
            <x v="1"/>
            <x v="2"/>
          </reference>
          <reference field="11" count="1">
            <x v="7"/>
          </reference>
        </references>
      </pivotArea>
    </format>
    <format dxfId="1629">
      <pivotArea collapsedLevelsAreSubtotals="1" fieldPosition="0">
        <references count="3">
          <reference field="4294967294" count="1" selected="0">
            <x v="0"/>
          </reference>
          <reference field="0" count="1" selected="0">
            <x v="3"/>
          </reference>
          <reference field="11" count="1">
            <x v="7"/>
          </reference>
        </references>
      </pivotArea>
    </format>
    <format dxfId="1628">
      <pivotArea collapsedLevelsAreSubtotals="1" fieldPosition="0">
        <references count="3">
          <reference field="4294967294" count="2" selected="0">
            <x v="0"/>
            <x v="1"/>
          </reference>
          <reference field="0" count="3" selected="0">
            <x v="0"/>
            <x v="1"/>
            <x v="2"/>
          </reference>
          <reference field="11" count="1">
            <x v="11"/>
          </reference>
        </references>
      </pivotArea>
    </format>
    <format dxfId="1627">
      <pivotArea collapsedLevelsAreSubtotals="1" fieldPosition="0">
        <references count="3">
          <reference field="4294967294" count="1" selected="0">
            <x v="0"/>
          </reference>
          <reference field="0" count="1" selected="0">
            <x v="3"/>
          </reference>
          <reference field="11" count="1">
            <x v="11"/>
          </reference>
        </references>
      </pivotArea>
    </format>
    <format dxfId="1626">
      <pivotArea collapsedLevelsAreSubtotals="1" fieldPosition="0">
        <references count="3">
          <reference field="4294967294" count="2" selected="0">
            <x v="0"/>
            <x v="1"/>
          </reference>
          <reference field="0" count="3" selected="0">
            <x v="0"/>
            <x v="1"/>
            <x v="2"/>
          </reference>
          <reference field="11" count="1">
            <x v="6"/>
          </reference>
        </references>
      </pivotArea>
    </format>
    <format dxfId="1625">
      <pivotArea collapsedLevelsAreSubtotals="1" fieldPosition="0">
        <references count="3">
          <reference field="4294967294" count="1" selected="0">
            <x v="0"/>
          </reference>
          <reference field="0" count="1" selected="0">
            <x v="3"/>
          </reference>
          <reference field="11" count="1">
            <x v="6"/>
          </reference>
        </references>
      </pivotArea>
    </format>
    <format dxfId="1624">
      <pivotArea field="11" type="button" dataOnly="0" labelOnly="1" outline="0" axis="axisRow" fieldPosition="0"/>
    </format>
    <format dxfId="1623">
      <pivotArea field="0" dataOnly="0" labelOnly="1" grandCol="1" outline="0" axis="axisCol" fieldPosition="0">
        <references count="1">
          <reference field="4294967294" count="1" selected="0">
            <x v="0"/>
          </reference>
        </references>
      </pivotArea>
    </format>
    <format dxfId="1622">
      <pivotArea field="0" dataOnly="0" labelOnly="1" grandCol="1" outline="0" axis="axisCol" fieldPosition="0">
        <references count="1">
          <reference field="4294967294" count="1" selected="0">
            <x v="1"/>
          </reference>
        </references>
      </pivotArea>
    </format>
    <format dxfId="1621">
      <pivotArea dataOnly="0" labelOnly="1" outline="0" fieldPosition="0">
        <references count="2">
          <reference field="4294967294" count="2">
            <x v="0"/>
            <x v="1"/>
          </reference>
          <reference field="0" count="1" selected="0">
            <x v="0"/>
          </reference>
        </references>
      </pivotArea>
    </format>
    <format dxfId="1620">
      <pivotArea dataOnly="0" labelOnly="1" outline="0" fieldPosition="0">
        <references count="2">
          <reference field="4294967294" count="2">
            <x v="0"/>
            <x v="1"/>
          </reference>
          <reference field="0" count="1" selected="0">
            <x v="1"/>
          </reference>
        </references>
      </pivotArea>
    </format>
    <format dxfId="1619">
      <pivotArea dataOnly="0" labelOnly="1" outline="0" fieldPosition="0">
        <references count="2">
          <reference field="4294967294" count="2">
            <x v="0"/>
            <x v="1"/>
          </reference>
          <reference field="0" count="1" selected="0">
            <x v="2"/>
          </reference>
        </references>
      </pivotArea>
    </format>
    <format dxfId="1618">
      <pivotArea dataOnly="0" labelOnly="1" outline="0" fieldPosition="0">
        <references count="2">
          <reference field="4294967294" count="2">
            <x v="0"/>
            <x v="1"/>
          </reference>
          <reference field="0"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a1" displayName="Tabla1" ref="B6:AS308" totalsRowShown="0" headerRowDxfId="407" dataDxfId="406">
  <autoFilter ref="B6:AS308">
    <filterColumn colId="0">
      <filters>
        <filter val="UDT ALTO MAYO"/>
      </filters>
    </filterColumn>
    <filterColumn colId="1">
      <filters>
        <filter val="Intervenciones Transversales X UDT"/>
      </filters>
    </filterColumn>
  </autoFilter>
  <tableColumns count="44">
    <tableColumn id="1" name="UDT" dataDxfId="405"/>
    <tableColumn id="2" name="USA" dataDxfId="404">
      <calculatedColumnFormula>'3.Intervenciones Transv. Region'!$C$6</calculatedColumnFormula>
    </tableColumn>
    <tableColumn id="3" name="TIPO DE APALANCAMIENTO" dataDxfId="403"/>
    <tableColumn id="4" name="N°" dataDxfId="402"/>
    <tableColumn id="5" name="Intervención " dataDxfId="401"/>
    <tableColumn id="6" name="Descripción " dataDxfId="400"/>
    <tableColumn id="7" name="Tipo de Recurso" dataDxfId="399"/>
    <tableColumn id="8" name="Programa / Proyecto" dataDxfId="398"/>
    <tableColumn id="37" name="Proyectos Temáticos" dataDxfId="397"/>
    <tableColumn id="38" name="Descripción del Proyecto Temático" dataDxfId="396"/>
    <tableColumn id="9" name="Componente" dataDxfId="395"/>
    <tableColumn id="10" name="Cod Componete" dataDxfId="394"/>
    <tableColumn id="11" name="Enfoque" dataDxfId="393"/>
    <tableColumn id="12" name="Nombre Cat" dataDxfId="392"/>
    <tableColumn id="13" name="INC" dataDxfId="391"/>
    <tableColumn id="14" name="Indicador " dataDxfId="390"/>
    <tableColumn id="15" name="N° de Referencia para meta" dataDxfId="389"/>
    <tableColumn id="16" name="Meta al 2025" dataDxfId="388"/>
    <tableColumn id="17" name="Meta al 2030" dataDxfId="387"/>
    <tableColumn id="18" name="Precio/Costo Unitario en S/" dataDxfId="386"/>
    <tableColumn id="19" name="Criterio de precio o costo" dataDxfId="385"/>
    <tableColumn id="20" name="Fuente de Información" dataDxfId="384"/>
    <tableColumn id="21" name="2025 Directo" dataDxfId="383"/>
    <tableColumn id="36" name="2025 S/" dataDxfId="382">
      <calculatedColumnFormula>+Tabla1[[#This Row],[2025 Directo]]*(1+$Y$3)</calculatedColumnFormula>
    </tableColumn>
    <tableColumn id="22" name="2030 Directo" dataDxfId="381"/>
    <tableColumn id="39" name="2030 S/" dataDxfId="380">
      <calculatedColumnFormula>+Tabla1[[#This Row],[2030 Directo]]*(1+$Y$3)</calculatedColumnFormula>
    </tableColumn>
    <tableColumn id="23" name="Año 1 Cto Directo" dataDxfId="379"/>
    <tableColumn id="40" name="Año 1" dataDxfId="378">
      <calculatedColumnFormula>+Tabla1[[#This Row],[Año 1 Cto Directo]]*(1+$Y$3)</calculatedColumnFormula>
    </tableColumn>
    <tableColumn id="24" name="Año 2 Cto. Directo" dataDxfId="377"/>
    <tableColumn id="41" name="Año 2" dataDxfId="376">
      <calculatedColumnFormula>+Tabla1[[#This Row],[Año 2 Cto. Directo]]*(1+$Y$3)</calculatedColumnFormula>
    </tableColumn>
    <tableColumn id="25" name="Año 3 Cto. Directo" dataDxfId="375"/>
    <tableColumn id="42" name="Año 3" dataDxfId="374">
      <calculatedColumnFormula>+Tabla1[[#This Row],[Año 3 Cto. Directo]]*(1+$Y$3)</calculatedColumnFormula>
    </tableColumn>
    <tableColumn id="26" name="Año 4 Cto. Directo" dataDxfId="373"/>
    <tableColumn id="43" name="Año 4" dataDxfId="372">
      <calculatedColumnFormula>+Tabla1[[#This Row],[Año 4 Cto. Directo]]*(1+$Y$3)</calculatedColumnFormula>
    </tableColumn>
    <tableColumn id="27" name="Año 5 Cto. Directo" dataDxfId="371"/>
    <tableColumn id="44" name="Año 5" dataDxfId="370">
      <calculatedColumnFormula>+Tabla1[[#This Row],[Año 5 Cto. Directo]]*(1+$Y$3)</calculatedColumnFormula>
    </tableColumn>
    <tableColumn id="28" name="Observación" dataDxfId="369"/>
    <tableColumn id="29" name="Mecanismo de mercado (liberalizar, facilitar o promover)" dataDxfId="368"/>
    <tableColumn id="30" name="Mecanismos de no mercado (intervención directa, organismo público, tercerizar) " dataDxfId="367"/>
    <tableColumn id="31" name="Estimulo (incentivo económico o no económico, desincentivo económico o no económico) " dataDxfId="366"/>
    <tableColumn id="32" name="Otro (subsidio, salvaguarda) " dataDxfId="365"/>
    <tableColumn id="33" name="Posible RE" dataDxfId="364"/>
    <tableColumn id="34" name="Criterio de Priorización" dataDxfId="363"/>
    <tableColumn id="35" name="x" dataDxfId="362">
      <calculatedColumnFormula>COUNTIF(AM7:AP7, "X")</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203" dT="2020-09-13T11:27:01.05" personId="{C500BE96-C62C-4866-99E4-E78D42CBB10C}" id="{BBCDA78C-9BCC-406A-91FB-06E3B52108FD}">
    <text xml:space="preserve">Considerar el comentario de Patty en la celda C65: René mejorar la redacción de la intervención y la descripción de la intervención </text>
  </threadedComment>
  <threadedComment ref="D324" dT="2020-09-13T11:29:21.16" personId="{C500BE96-C62C-4866-99E4-E78D42CBB10C}" id="{F1D0BDC3-001B-4F9B-B4CE-5B0931CAF28A}">
    <text xml:space="preserve">Considerar el comentario de Patty en la celda C65: René mejorar la redacción de la intervención y la descripción de la intervención 
</text>
  </threadedComment>
</ThreadedComments>
</file>

<file path=xl/threadedComments/threadedComment2.xml><?xml version="1.0" encoding="utf-8"?>
<ThreadedComments xmlns="http://schemas.microsoft.com/office/spreadsheetml/2018/threadedcomments" xmlns:x="http://schemas.openxmlformats.org/spreadsheetml/2006/main">
  <threadedComment ref="L43" dT="2020-08-13T19:38:49.13" personId="{88ACEA7F-FCD8-4F83-AE94-27E7E86598BE}" id="{F2C6F22B-BF9F-4A6B-A0ED-CC5B4A5EE12A}">
    <text xml:space="preserve">René, Consuelito tomen en cuenta que poder aplicar el procedimiento implica hacer estudios de suelos al inicio. René checa la RM de estudios de suelos y confirma el nivel apropiado para este tipo de procedimiento. En base a eso estima un costo x ha.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1.xml"/><Relationship Id="rId2" Type="http://schemas.openxmlformats.org/officeDocument/2006/relationships/pivotTable" Target="../pivotTables/pivotTable20.xml"/><Relationship Id="rId1" Type="http://schemas.openxmlformats.org/officeDocument/2006/relationships/pivotTable" Target="../pivotTables/pivotTable19.xml"/><Relationship Id="rId5" Type="http://schemas.openxmlformats.org/officeDocument/2006/relationships/pivotTable" Target="../pivotTables/pivotTable23.xml"/><Relationship Id="rId4"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5" Type="http://schemas.openxmlformats.org/officeDocument/2006/relationships/pivotTable" Target="../pivotTables/pivotTable28.xml"/><Relationship Id="rId4" Type="http://schemas.openxmlformats.org/officeDocument/2006/relationships/pivotTable" Target="../pivotTables/pivotTable2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1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ivotTable" Target="../pivotTables/pivotTable34.xml"/><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ivotTable" Target="../pivotTables/pivotTable36.xml"/><Relationship Id="rId1" Type="http://schemas.openxmlformats.org/officeDocument/2006/relationships/pivotTable" Target="../pivotTables/pivotTable3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3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9.bin"/><Relationship Id="rId1" Type="http://schemas.openxmlformats.org/officeDocument/2006/relationships/hyperlink" Target="http://ofi4.mef.gob.pe/bp/ConsultarPIP/frmConsultarPIP.asp?accion=consultar&amp;txtCodigo=259994" TargetMode="Externa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0.xml.rels><?xml version="1.0" encoding="UTF-8" standalone="yes"?>
<Relationships xmlns="http://schemas.openxmlformats.org/package/2006/relationships"><Relationship Id="rId3" Type="http://schemas.openxmlformats.org/officeDocument/2006/relationships/pivotTable" Target="../pivotTables/pivotTable40.xml"/><Relationship Id="rId2" Type="http://schemas.openxmlformats.org/officeDocument/2006/relationships/pivotTable" Target="../pivotTables/pivotTable39.xml"/><Relationship Id="rId1" Type="http://schemas.openxmlformats.org/officeDocument/2006/relationships/pivotTable" Target="../pivotTables/pivotTable38.xml"/><Relationship Id="rId5" Type="http://schemas.openxmlformats.org/officeDocument/2006/relationships/drawing" Target="../drawings/drawing22.xml"/><Relationship Id="rId4" Type="http://schemas.openxmlformats.org/officeDocument/2006/relationships/pivotTable" Target="../pivotTables/pivotTable41.xml"/></Relationships>
</file>

<file path=xl/worksheets/_rels/sheet41.xml.rels><?xml version="1.0" encoding="UTF-8" standalone="yes"?>
<Relationships xmlns="http://schemas.openxmlformats.org/package/2006/relationships"><Relationship Id="rId8" Type="http://schemas.openxmlformats.org/officeDocument/2006/relationships/drawing" Target="../drawings/drawing23.xml"/><Relationship Id="rId3" Type="http://schemas.openxmlformats.org/officeDocument/2006/relationships/pivotTable" Target="../pivotTables/pivotTable44.xml"/><Relationship Id="rId7" Type="http://schemas.openxmlformats.org/officeDocument/2006/relationships/pivotTable" Target="../pivotTables/pivotTable48.xml"/><Relationship Id="rId2" Type="http://schemas.openxmlformats.org/officeDocument/2006/relationships/pivotTable" Target="../pivotTables/pivotTable43.xml"/><Relationship Id="rId1" Type="http://schemas.openxmlformats.org/officeDocument/2006/relationships/pivotTable" Target="../pivotTables/pivotTable42.xml"/><Relationship Id="rId6" Type="http://schemas.openxmlformats.org/officeDocument/2006/relationships/pivotTable" Target="../pivotTables/pivotTable47.xml"/><Relationship Id="rId5" Type="http://schemas.openxmlformats.org/officeDocument/2006/relationships/pivotTable" Target="../pivotTables/pivotTable46.xml"/><Relationship Id="rId4" Type="http://schemas.openxmlformats.org/officeDocument/2006/relationships/pivotTable" Target="../pivotTables/pivotTable45.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4" tint="-0.499984740745262"/>
  </sheetPr>
  <dimension ref="A58:P189"/>
  <sheetViews>
    <sheetView showGridLines="0" topLeftCell="A136" zoomScale="60" zoomScaleNormal="60" workbookViewId="0">
      <selection activeCell="D192" sqref="D192"/>
    </sheetView>
  </sheetViews>
  <sheetFormatPr baseColWidth="10" defaultColWidth="11.59765625" defaultRowHeight="14.3" x14ac:dyDescent="0.25"/>
  <cols>
    <col min="1" max="1" width="6.296875" style="784" customWidth="1"/>
    <col min="2" max="2" width="31.19921875" style="784" customWidth="1"/>
    <col min="3" max="13" width="11.59765625" style="784"/>
    <col min="14" max="14" width="13.796875" style="784" customWidth="1"/>
    <col min="15" max="16384" width="11.59765625" style="784"/>
  </cols>
  <sheetData>
    <row r="58" ht="23.3" customHeight="1" x14ac:dyDescent="0.25"/>
    <row r="59" ht="26" customHeight="1" x14ac:dyDescent="0.25"/>
    <row r="68" ht="31.95" customHeight="1" x14ac:dyDescent="0.25"/>
    <row r="77" ht="25.15" customHeight="1" x14ac:dyDescent="0.25"/>
    <row r="86" ht="31.1" customHeight="1" x14ac:dyDescent="0.25"/>
    <row r="142" ht="18.7" customHeight="1" x14ac:dyDescent="0.25"/>
    <row r="149" ht="25.15" customHeight="1" x14ac:dyDescent="0.25"/>
    <row r="182" spans="1:16" s="1276" customFormat="1" x14ac:dyDescent="0.25">
      <c r="A182" s="1275"/>
      <c r="B182" s="1275"/>
      <c r="C182" s="1275"/>
      <c r="D182" s="1275"/>
      <c r="E182" s="1275"/>
      <c r="F182" s="1275"/>
      <c r="G182" s="1275"/>
      <c r="H182" s="1275"/>
      <c r="I182" s="1275"/>
      <c r="J182" s="1275"/>
      <c r="K182" s="1275"/>
      <c r="L182" s="1275"/>
      <c r="M182" s="1275"/>
      <c r="N182" s="1275"/>
      <c r="O182" s="1275"/>
      <c r="P182" s="1275"/>
    </row>
    <row r="183" spans="1:16" s="1276" customFormat="1" x14ac:dyDescent="0.25">
      <c r="A183" s="1275"/>
      <c r="B183" s="1275"/>
      <c r="C183" s="1275"/>
      <c r="D183" s="1275"/>
      <c r="E183" s="1275"/>
      <c r="F183" s="1275"/>
      <c r="G183" s="1275"/>
      <c r="H183" s="1275"/>
      <c r="I183" s="1275"/>
      <c r="J183" s="1275"/>
      <c r="K183" s="1275"/>
      <c r="L183" s="1275"/>
      <c r="M183" s="1275"/>
      <c r="N183" s="1275"/>
      <c r="O183" s="1275"/>
      <c r="P183" s="1275"/>
    </row>
    <row r="184" spans="1:16" s="1276" customFormat="1" x14ac:dyDescent="0.25">
      <c r="A184" s="1275"/>
      <c r="B184" s="1275"/>
      <c r="C184" s="1275"/>
      <c r="D184" s="1275"/>
      <c r="E184" s="1275"/>
      <c r="F184" s="1275"/>
      <c r="G184" s="1275"/>
      <c r="H184" s="1275"/>
      <c r="I184" s="1275"/>
      <c r="J184" s="1275"/>
      <c r="K184" s="1275"/>
      <c r="L184" s="1275"/>
      <c r="M184" s="1275"/>
      <c r="N184" s="1275"/>
      <c r="O184" s="1275"/>
      <c r="P184" s="1275"/>
    </row>
    <row r="185" spans="1:16" s="1276" customFormat="1" x14ac:dyDescent="0.25">
      <c r="A185" s="1275"/>
      <c r="B185" s="1275"/>
      <c r="C185" s="1275"/>
      <c r="D185" s="1275"/>
      <c r="E185" s="1275"/>
      <c r="F185" s="1275"/>
      <c r="G185" s="1275"/>
      <c r="H185" s="1275"/>
      <c r="I185" s="1275"/>
      <c r="J185" s="1275"/>
      <c r="K185" s="1275"/>
      <c r="L185" s="1275"/>
      <c r="M185" s="1275"/>
      <c r="N185" s="1275"/>
      <c r="O185" s="1275"/>
      <c r="P185" s="1275"/>
    </row>
    <row r="186" spans="1:16" s="1276" customFormat="1" x14ac:dyDescent="0.25">
      <c r="A186" s="1275"/>
      <c r="B186" s="1275"/>
      <c r="C186" s="1275"/>
      <c r="D186" s="1275"/>
      <c r="E186" s="1275"/>
      <c r="F186" s="1275"/>
      <c r="G186" s="1275"/>
      <c r="H186" s="1275"/>
      <c r="I186" s="1275"/>
      <c r="J186" s="1275"/>
      <c r="K186" s="1275"/>
      <c r="L186" s="1275"/>
      <c r="M186" s="1275"/>
      <c r="N186" s="1275"/>
      <c r="O186" s="1275"/>
      <c r="P186" s="1275"/>
    </row>
    <row r="187" spans="1:16" s="1276" customFormat="1" x14ac:dyDescent="0.25">
      <c r="A187" s="1275"/>
      <c r="B187" s="1275"/>
      <c r="C187" s="1275"/>
      <c r="D187" s="1275"/>
      <c r="E187" s="1275"/>
      <c r="F187" s="1275"/>
      <c r="G187" s="1275"/>
      <c r="H187" s="1275"/>
      <c r="I187" s="1275"/>
      <c r="J187" s="1275"/>
      <c r="K187" s="1275"/>
      <c r="L187" s="1275"/>
      <c r="M187" s="1275"/>
      <c r="N187" s="1275"/>
      <c r="O187" s="1275"/>
      <c r="P187" s="1275"/>
    </row>
    <row r="188" spans="1:16" s="1276" customFormat="1" x14ac:dyDescent="0.25">
      <c r="A188" s="1275"/>
      <c r="B188" s="1275"/>
      <c r="C188" s="1275"/>
      <c r="D188" s="1275"/>
      <c r="E188" s="1275"/>
      <c r="F188" s="1275"/>
      <c r="G188" s="1275"/>
      <c r="H188" s="1275"/>
      <c r="I188" s="1275"/>
      <c r="J188" s="1275"/>
      <c r="K188" s="1275"/>
      <c r="L188" s="1275"/>
      <c r="M188" s="1275"/>
      <c r="N188" s="1275"/>
      <c r="O188" s="1275"/>
      <c r="P188" s="1275"/>
    </row>
    <row r="189" spans="1:16" s="1276" customFormat="1" x14ac:dyDescent="0.25">
      <c r="A189" s="1275"/>
      <c r="B189" s="1275"/>
      <c r="C189" s="1275"/>
      <c r="D189" s="1275"/>
      <c r="E189" s="1275"/>
      <c r="F189" s="1275"/>
      <c r="G189" s="1275"/>
      <c r="H189" s="1275"/>
      <c r="I189" s="1275"/>
      <c r="J189" s="1275"/>
      <c r="K189" s="1275"/>
      <c r="L189" s="1275"/>
      <c r="M189" s="1275"/>
      <c r="N189" s="1275"/>
      <c r="O189" s="1275"/>
      <c r="P189" s="127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00B050"/>
  </sheetPr>
  <dimension ref="A2:M26"/>
  <sheetViews>
    <sheetView workbookViewId="0">
      <selection activeCell="C5" sqref="C5"/>
    </sheetView>
  </sheetViews>
  <sheetFormatPr baseColWidth="10" defaultColWidth="11.59765625" defaultRowHeight="15.65" x14ac:dyDescent="0.25"/>
  <cols>
    <col min="1" max="1" width="45" customWidth="1"/>
    <col min="2" max="2" width="7.296875" customWidth="1"/>
    <col min="3" max="3" width="11.8984375" bestFit="1" customWidth="1"/>
    <col min="4" max="4" width="7.296875" customWidth="1"/>
    <col min="5" max="5" width="11.8984375" bestFit="1" customWidth="1"/>
    <col min="6" max="6" width="7.296875" customWidth="1"/>
    <col min="7" max="7" width="11.8984375" customWidth="1"/>
    <col min="8" max="8" width="7.296875" customWidth="1"/>
    <col min="9" max="9" width="13.3984375" bestFit="1" customWidth="1"/>
    <col min="10" max="10" width="7.296875" customWidth="1"/>
    <col min="11" max="11" width="14.3984375" customWidth="1"/>
    <col min="12" max="12" width="4.09765625" customWidth="1"/>
    <col min="13" max="13" width="13.3984375" bestFit="1" customWidth="1"/>
  </cols>
  <sheetData>
    <row r="2" spans="1:13" s="329" customFormat="1" ht="33.799999999999997" customHeight="1" x14ac:dyDescent="0.25">
      <c r="B2" s="1387" t="s">
        <v>137</v>
      </c>
      <c r="C2" s="1387"/>
      <c r="D2" s="1387" t="s">
        <v>132</v>
      </c>
      <c r="E2" s="1387"/>
      <c r="F2" s="1387" t="s">
        <v>236</v>
      </c>
      <c r="G2" s="1387"/>
      <c r="H2" s="1387" t="s">
        <v>120</v>
      </c>
      <c r="I2" s="1387"/>
      <c r="J2" s="1387" t="s">
        <v>139</v>
      </c>
      <c r="K2" s="1387"/>
      <c r="L2" s="1387" t="s">
        <v>237</v>
      </c>
      <c r="M2" s="1387"/>
    </row>
    <row r="3" spans="1:13" hidden="1" x14ac:dyDescent="0.25">
      <c r="A3" s="825"/>
      <c r="B3" s="193" t="s">
        <v>144</v>
      </c>
      <c r="C3" s="825"/>
      <c r="D3" s="825"/>
      <c r="E3" s="825"/>
      <c r="F3" s="825"/>
      <c r="G3" s="825"/>
      <c r="H3" s="825"/>
      <c r="I3" s="825"/>
      <c r="J3" s="825"/>
      <c r="K3" s="825"/>
      <c r="L3" s="825"/>
      <c r="M3" s="825"/>
    </row>
    <row r="4" spans="1:13" hidden="1" x14ac:dyDescent="0.25">
      <c r="A4" s="825"/>
      <c r="B4" s="825" t="s">
        <v>137</v>
      </c>
      <c r="C4" s="825"/>
      <c r="D4" s="825" t="s">
        <v>132</v>
      </c>
      <c r="E4" s="825"/>
      <c r="F4" s="825" t="s">
        <v>134</v>
      </c>
      <c r="G4" s="825"/>
      <c r="H4" s="825" t="s">
        <v>120</v>
      </c>
      <c r="I4" s="825"/>
      <c r="J4" s="825" t="s">
        <v>139</v>
      </c>
      <c r="K4" s="825"/>
      <c r="L4" s="261" t="s">
        <v>238</v>
      </c>
      <c r="M4" s="261" t="s">
        <v>239</v>
      </c>
    </row>
    <row r="5" spans="1:13" x14ac:dyDescent="0.25">
      <c r="A5" s="193" t="s">
        <v>191</v>
      </c>
      <c r="B5" s="261" t="s">
        <v>240</v>
      </c>
      <c r="C5" s="261" t="s">
        <v>241</v>
      </c>
      <c r="D5" s="261" t="s">
        <v>240</v>
      </c>
      <c r="E5" s="261" t="s">
        <v>241</v>
      </c>
      <c r="F5" s="261" t="s">
        <v>240</v>
      </c>
      <c r="G5" s="261" t="s">
        <v>241</v>
      </c>
      <c r="H5" s="261" t="s">
        <v>240</v>
      </c>
      <c r="I5" s="261" t="s">
        <v>241</v>
      </c>
      <c r="J5" s="825" t="s">
        <v>240</v>
      </c>
      <c r="K5" s="825" t="s">
        <v>241</v>
      </c>
      <c r="L5" s="261"/>
      <c r="M5" s="261"/>
    </row>
    <row r="6" spans="1:13" x14ac:dyDescent="0.25">
      <c r="A6" s="195" t="s">
        <v>218</v>
      </c>
      <c r="B6" s="341">
        <v>8</v>
      </c>
      <c r="C6" s="211">
        <v>135386125</v>
      </c>
      <c r="D6" s="341">
        <v>7</v>
      </c>
      <c r="E6" s="211">
        <v>121899199.99999999</v>
      </c>
      <c r="F6" s="341">
        <v>7</v>
      </c>
      <c r="G6" s="211">
        <v>97535900</v>
      </c>
      <c r="H6" s="341">
        <v>7</v>
      </c>
      <c r="I6" s="211">
        <v>279756540</v>
      </c>
      <c r="J6" s="194"/>
      <c r="K6" s="194"/>
      <c r="L6" s="341">
        <v>29</v>
      </c>
      <c r="M6" s="211">
        <v>634577765</v>
      </c>
    </row>
    <row r="7" spans="1:13" x14ac:dyDescent="0.25">
      <c r="A7" s="195" t="s">
        <v>221</v>
      </c>
      <c r="B7" s="341">
        <v>7</v>
      </c>
      <c r="C7" s="211">
        <v>67605600</v>
      </c>
      <c r="D7" s="341">
        <v>7</v>
      </c>
      <c r="E7" s="211">
        <v>167190118.75000003</v>
      </c>
      <c r="F7" s="341">
        <v>6</v>
      </c>
      <c r="G7" s="211">
        <v>37785307.5</v>
      </c>
      <c r="H7" s="341">
        <v>7</v>
      </c>
      <c r="I7" s="211">
        <v>285912976.25</v>
      </c>
      <c r="J7" s="194"/>
      <c r="K7" s="194"/>
      <c r="L7" s="341">
        <v>27</v>
      </c>
      <c r="M7" s="211">
        <v>558494002.5</v>
      </c>
    </row>
    <row r="8" spans="1:13" x14ac:dyDescent="0.25">
      <c r="A8" s="195" t="s">
        <v>219</v>
      </c>
      <c r="B8" s="341">
        <v>6</v>
      </c>
      <c r="C8" s="211">
        <v>87494900</v>
      </c>
      <c r="D8" s="341">
        <v>7</v>
      </c>
      <c r="E8" s="211">
        <v>95616875</v>
      </c>
      <c r="F8" s="341">
        <v>7</v>
      </c>
      <c r="G8" s="211">
        <v>93772050</v>
      </c>
      <c r="H8" s="341">
        <v>7</v>
      </c>
      <c r="I8" s="211">
        <v>219564850</v>
      </c>
      <c r="J8" s="194"/>
      <c r="K8" s="194"/>
      <c r="L8" s="341">
        <v>27</v>
      </c>
      <c r="M8" s="211">
        <v>496448675</v>
      </c>
    </row>
    <row r="9" spans="1:13" x14ac:dyDescent="0.25">
      <c r="A9" s="195" t="s">
        <v>220</v>
      </c>
      <c r="B9" s="341">
        <v>3</v>
      </c>
      <c r="C9" s="211">
        <v>39247470</v>
      </c>
      <c r="D9" s="341">
        <v>3</v>
      </c>
      <c r="E9" s="211">
        <v>40082470.000000007</v>
      </c>
      <c r="F9" s="341">
        <v>2</v>
      </c>
      <c r="G9" s="211">
        <v>38334990.000000007</v>
      </c>
      <c r="H9" s="341">
        <v>3</v>
      </c>
      <c r="I9" s="211">
        <v>243350694</v>
      </c>
      <c r="J9" s="194"/>
      <c r="K9" s="194"/>
      <c r="L9" s="341">
        <v>11</v>
      </c>
      <c r="M9" s="211">
        <v>361015624</v>
      </c>
    </row>
    <row r="10" spans="1:13" x14ac:dyDescent="0.25">
      <c r="A10" s="195" t="s">
        <v>226</v>
      </c>
      <c r="B10" s="341"/>
      <c r="C10" s="211"/>
      <c r="D10" s="341">
        <v>2</v>
      </c>
      <c r="E10" s="211">
        <v>15500000</v>
      </c>
      <c r="F10" s="341">
        <v>2</v>
      </c>
      <c r="G10" s="211">
        <v>59925000</v>
      </c>
      <c r="H10" s="341">
        <v>2</v>
      </c>
      <c r="I10" s="211">
        <v>86400000</v>
      </c>
      <c r="J10" s="194"/>
      <c r="K10" s="194"/>
      <c r="L10" s="341">
        <v>6</v>
      </c>
      <c r="M10" s="211">
        <v>161825000</v>
      </c>
    </row>
    <row r="11" spans="1:13" x14ac:dyDescent="0.25">
      <c r="A11" s="195" t="s">
        <v>223</v>
      </c>
      <c r="B11" s="341">
        <v>11</v>
      </c>
      <c r="C11" s="211">
        <v>11597202.491287198</v>
      </c>
      <c r="D11" s="341">
        <v>12</v>
      </c>
      <c r="E11" s="211">
        <v>26920434.299442168</v>
      </c>
      <c r="F11" s="341">
        <v>13</v>
      </c>
      <c r="G11" s="211">
        <v>15229033.288277341</v>
      </c>
      <c r="H11" s="341">
        <v>14</v>
      </c>
      <c r="I11" s="211">
        <v>89597803.52283296</v>
      </c>
      <c r="J11" s="194"/>
      <c r="K11" s="194"/>
      <c r="L11" s="341">
        <v>50</v>
      </c>
      <c r="M11" s="211">
        <v>143344473.60183969</v>
      </c>
    </row>
    <row r="12" spans="1:13" x14ac:dyDescent="0.25">
      <c r="A12" s="195" t="s">
        <v>222</v>
      </c>
      <c r="B12" s="341">
        <v>2</v>
      </c>
      <c r="C12" s="211">
        <v>22510500.000000004</v>
      </c>
      <c r="D12" s="341">
        <v>2</v>
      </c>
      <c r="E12" s="211">
        <v>25486800</v>
      </c>
      <c r="F12" s="341">
        <v>1</v>
      </c>
      <c r="G12" s="211">
        <v>21479400</v>
      </c>
      <c r="H12" s="341">
        <v>2</v>
      </c>
      <c r="I12" s="211">
        <v>55437000</v>
      </c>
      <c r="J12" s="194"/>
      <c r="K12" s="194"/>
      <c r="L12" s="341">
        <v>7</v>
      </c>
      <c r="M12" s="211">
        <v>124913700</v>
      </c>
    </row>
    <row r="13" spans="1:13" x14ac:dyDescent="0.25">
      <c r="A13" s="195" t="s">
        <v>115</v>
      </c>
      <c r="B13" s="341"/>
      <c r="C13" s="211"/>
      <c r="D13" s="341"/>
      <c r="E13" s="211"/>
      <c r="F13" s="341"/>
      <c r="G13" s="211"/>
      <c r="H13" s="341"/>
      <c r="I13" s="211"/>
      <c r="J13" s="194">
        <v>39</v>
      </c>
      <c r="K13" s="194">
        <v>123607524.29305695</v>
      </c>
      <c r="L13" s="341">
        <v>39</v>
      </c>
      <c r="M13" s="211">
        <v>123607524.29305695</v>
      </c>
    </row>
    <row r="14" spans="1:13" x14ac:dyDescent="0.25">
      <c r="A14" s="195" t="s">
        <v>225</v>
      </c>
      <c r="B14" s="341">
        <v>4</v>
      </c>
      <c r="C14" s="211">
        <v>47750000</v>
      </c>
      <c r="D14" s="341">
        <v>3</v>
      </c>
      <c r="E14" s="211">
        <v>1500000</v>
      </c>
      <c r="F14" s="341">
        <v>3</v>
      </c>
      <c r="G14" s="211">
        <v>47400000</v>
      </c>
      <c r="H14" s="341">
        <v>3</v>
      </c>
      <c r="I14" s="211">
        <v>5250000</v>
      </c>
      <c r="J14" s="194"/>
      <c r="K14" s="194"/>
      <c r="L14" s="341">
        <v>13</v>
      </c>
      <c r="M14" s="211">
        <v>101900000</v>
      </c>
    </row>
    <row r="15" spans="1:13" x14ac:dyDescent="0.25">
      <c r="A15" s="195" t="s">
        <v>224</v>
      </c>
      <c r="B15" s="341">
        <v>4</v>
      </c>
      <c r="C15" s="211">
        <v>11070608</v>
      </c>
      <c r="D15" s="341">
        <v>6</v>
      </c>
      <c r="E15" s="211">
        <v>12515296</v>
      </c>
      <c r="F15" s="341">
        <v>6</v>
      </c>
      <c r="G15" s="211">
        <v>14256784</v>
      </c>
      <c r="H15" s="341">
        <v>5</v>
      </c>
      <c r="I15" s="211">
        <v>16811712</v>
      </c>
      <c r="J15" s="194"/>
      <c r="K15" s="194"/>
      <c r="L15" s="341">
        <v>21</v>
      </c>
      <c r="M15" s="211">
        <v>54654400</v>
      </c>
    </row>
    <row r="16" spans="1:13" x14ac:dyDescent="0.25">
      <c r="A16" s="195" t="s">
        <v>230</v>
      </c>
      <c r="B16" s="341">
        <v>3</v>
      </c>
      <c r="C16" s="211">
        <v>7200000</v>
      </c>
      <c r="D16" s="341">
        <v>4</v>
      </c>
      <c r="E16" s="211">
        <v>29460000</v>
      </c>
      <c r="F16" s="341">
        <v>3</v>
      </c>
      <c r="G16" s="211">
        <v>4560000</v>
      </c>
      <c r="H16" s="341">
        <v>4</v>
      </c>
      <c r="I16" s="211">
        <v>10872000</v>
      </c>
      <c r="J16" s="194"/>
      <c r="K16" s="194"/>
      <c r="L16" s="341">
        <v>14</v>
      </c>
      <c r="M16" s="211">
        <v>52092000</v>
      </c>
    </row>
    <row r="17" spans="1:13" x14ac:dyDescent="0.25">
      <c r="A17" s="195" t="s">
        <v>228</v>
      </c>
      <c r="B17" s="341">
        <v>4</v>
      </c>
      <c r="C17" s="211">
        <v>26698687.807999998</v>
      </c>
      <c r="D17" s="341">
        <v>2</v>
      </c>
      <c r="E17" s="211">
        <v>3240000</v>
      </c>
      <c r="F17" s="341">
        <v>5</v>
      </c>
      <c r="G17" s="211">
        <v>8646882.2960000001</v>
      </c>
      <c r="H17" s="341">
        <v>2</v>
      </c>
      <c r="I17" s="211">
        <v>4890000</v>
      </c>
      <c r="J17" s="194"/>
      <c r="K17" s="194"/>
      <c r="L17" s="341">
        <v>13</v>
      </c>
      <c r="M17" s="211">
        <v>43475570.103999995</v>
      </c>
    </row>
    <row r="18" spans="1:13" x14ac:dyDescent="0.25">
      <c r="A18" s="195" t="s">
        <v>227</v>
      </c>
      <c r="B18" s="341">
        <v>3</v>
      </c>
      <c r="C18" s="211">
        <v>11030000</v>
      </c>
      <c r="D18" s="341">
        <v>2</v>
      </c>
      <c r="E18" s="211">
        <v>15415000</v>
      </c>
      <c r="F18" s="341">
        <v>1</v>
      </c>
      <c r="G18" s="211">
        <v>4800000</v>
      </c>
      <c r="H18" s="341">
        <v>2</v>
      </c>
      <c r="I18" s="211">
        <v>7905000.0000000009</v>
      </c>
      <c r="J18" s="194"/>
      <c r="K18" s="194"/>
      <c r="L18" s="341">
        <v>8</v>
      </c>
      <c r="M18" s="211">
        <v>39150000</v>
      </c>
    </row>
    <row r="19" spans="1:13" x14ac:dyDescent="0.25">
      <c r="A19" s="195" t="s">
        <v>229</v>
      </c>
      <c r="B19" s="341">
        <v>2</v>
      </c>
      <c r="C19" s="211">
        <v>8000000</v>
      </c>
      <c r="D19" s="341">
        <v>2</v>
      </c>
      <c r="E19" s="211">
        <v>3200000</v>
      </c>
      <c r="F19" s="341">
        <v>2</v>
      </c>
      <c r="G19" s="211">
        <v>2400000</v>
      </c>
      <c r="H19" s="341">
        <v>2</v>
      </c>
      <c r="I19" s="211">
        <v>5400000</v>
      </c>
      <c r="J19" s="194"/>
      <c r="K19" s="194"/>
      <c r="L19" s="341">
        <v>8</v>
      </c>
      <c r="M19" s="211">
        <v>19000000</v>
      </c>
    </row>
    <row r="20" spans="1:13" x14ac:dyDescent="0.25">
      <c r="A20" s="195" t="s">
        <v>232</v>
      </c>
      <c r="B20" s="341">
        <v>3</v>
      </c>
      <c r="C20" s="211">
        <v>1425000</v>
      </c>
      <c r="D20" s="341">
        <v>3</v>
      </c>
      <c r="E20" s="211">
        <v>1400000</v>
      </c>
      <c r="F20" s="341">
        <v>3</v>
      </c>
      <c r="G20" s="211">
        <v>715000</v>
      </c>
      <c r="H20" s="341">
        <v>6</v>
      </c>
      <c r="I20" s="211">
        <v>5630000</v>
      </c>
      <c r="J20" s="194"/>
      <c r="K20" s="194"/>
      <c r="L20" s="341">
        <v>15</v>
      </c>
      <c r="M20" s="211">
        <v>9170000</v>
      </c>
    </row>
    <row r="21" spans="1:13" x14ac:dyDescent="0.25">
      <c r="A21" s="195" t="s">
        <v>231</v>
      </c>
      <c r="B21" s="341">
        <v>1</v>
      </c>
      <c r="C21" s="211">
        <v>600000</v>
      </c>
      <c r="D21" s="341">
        <v>2</v>
      </c>
      <c r="E21" s="211">
        <v>1275000</v>
      </c>
      <c r="F21" s="341">
        <v>2</v>
      </c>
      <c r="G21" s="211">
        <v>1650000</v>
      </c>
      <c r="H21" s="341">
        <v>2</v>
      </c>
      <c r="I21" s="211">
        <v>1650000</v>
      </c>
      <c r="J21" s="194"/>
      <c r="K21" s="194"/>
      <c r="L21" s="341">
        <v>7</v>
      </c>
      <c r="M21" s="211">
        <v>5175000</v>
      </c>
    </row>
    <row r="22" spans="1:13" x14ac:dyDescent="0.25">
      <c r="A22" s="195" t="s">
        <v>242</v>
      </c>
      <c r="B22" s="341"/>
      <c r="C22" s="211"/>
      <c r="D22" s="341">
        <v>1</v>
      </c>
      <c r="E22" s="211">
        <v>2100000</v>
      </c>
      <c r="F22" s="341"/>
      <c r="G22" s="211"/>
      <c r="H22" s="341"/>
      <c r="I22" s="211"/>
      <c r="J22" s="194"/>
      <c r="K22" s="194"/>
      <c r="L22" s="341">
        <v>1</v>
      </c>
      <c r="M22" s="211">
        <v>2100000</v>
      </c>
    </row>
    <row r="23" spans="1:13" x14ac:dyDescent="0.25">
      <c r="A23" s="195" t="s">
        <v>243</v>
      </c>
      <c r="B23" s="341">
        <v>1</v>
      </c>
      <c r="C23" s="211">
        <v>240000</v>
      </c>
      <c r="D23" s="341">
        <v>1</v>
      </c>
      <c r="E23" s="211">
        <v>240000</v>
      </c>
      <c r="F23" s="341">
        <v>1</v>
      </c>
      <c r="G23" s="211">
        <v>90000</v>
      </c>
      <c r="H23" s="341">
        <v>1</v>
      </c>
      <c r="I23" s="211">
        <v>810000</v>
      </c>
      <c r="J23" s="194"/>
      <c r="K23" s="194"/>
      <c r="L23" s="341">
        <v>4</v>
      </c>
      <c r="M23" s="211">
        <v>1380000</v>
      </c>
    </row>
    <row r="24" spans="1:13" x14ac:dyDescent="0.25">
      <c r="A24" s="195" t="s">
        <v>244</v>
      </c>
      <c r="B24" s="341">
        <v>1</v>
      </c>
      <c r="C24" s="211">
        <v>180000</v>
      </c>
      <c r="D24" s="341"/>
      <c r="E24" s="211"/>
      <c r="F24" s="341"/>
      <c r="G24" s="211"/>
      <c r="H24" s="341">
        <v>1</v>
      </c>
      <c r="I24" s="211">
        <v>100000</v>
      </c>
      <c r="J24" s="194"/>
      <c r="K24" s="194"/>
      <c r="L24" s="341">
        <v>2</v>
      </c>
      <c r="M24" s="211">
        <v>280000</v>
      </c>
    </row>
    <row r="25" spans="1:13" x14ac:dyDescent="0.25">
      <c r="A25" s="209" t="s">
        <v>141</v>
      </c>
      <c r="B25" s="341">
        <v>63</v>
      </c>
      <c r="C25" s="211">
        <v>478036093.2992872</v>
      </c>
      <c r="D25" s="341">
        <v>66</v>
      </c>
      <c r="E25" s="211">
        <v>563041194.04944217</v>
      </c>
      <c r="F25" s="341">
        <v>64</v>
      </c>
      <c r="G25" s="211">
        <v>448580347.08427733</v>
      </c>
      <c r="H25" s="341">
        <v>70</v>
      </c>
      <c r="I25" s="211">
        <v>1319338575.7728331</v>
      </c>
      <c r="J25" s="194">
        <v>39</v>
      </c>
      <c r="K25" s="71">
        <v>123607524.29305695</v>
      </c>
      <c r="L25" s="341">
        <v>302</v>
      </c>
      <c r="M25" s="211">
        <v>2932603734.4988966</v>
      </c>
    </row>
    <row r="26" spans="1:13" x14ac:dyDescent="0.25">
      <c r="A26" s="825"/>
      <c r="B26" s="825"/>
      <c r="C26" s="229"/>
      <c r="D26" s="825"/>
      <c r="E26" s="825"/>
      <c r="F26" s="825"/>
      <c r="G26" s="825"/>
      <c r="H26" s="825"/>
      <c r="I26" s="825"/>
      <c r="J26" s="825"/>
      <c r="K26" s="229"/>
      <c r="L26" s="825"/>
      <c r="M26" s="229"/>
    </row>
  </sheetData>
  <mergeCells count="6">
    <mergeCell ref="L2:M2"/>
    <mergeCell ref="B2:C2"/>
    <mergeCell ref="D2:E2"/>
    <mergeCell ref="F2:G2"/>
    <mergeCell ref="H2:I2"/>
    <mergeCell ref="J2:K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B050"/>
  </sheetPr>
  <dimension ref="A3:W117"/>
  <sheetViews>
    <sheetView showGridLines="0" zoomScale="80" zoomScaleNormal="80" workbookViewId="0">
      <selection activeCell="C5" sqref="C5"/>
    </sheetView>
  </sheetViews>
  <sheetFormatPr baseColWidth="10" defaultColWidth="11.59765625" defaultRowHeight="15.65" x14ac:dyDescent="0.25"/>
  <cols>
    <col min="1" max="1" width="47.8984375" bestFit="1" customWidth="1"/>
    <col min="2" max="2" width="21.09765625" bestFit="1" customWidth="1"/>
    <col min="3" max="3" width="8.19921875" hidden="1" customWidth="1"/>
    <col min="4" max="4" width="15.796875" bestFit="1" customWidth="1"/>
    <col min="5" max="5" width="8.19921875" hidden="1" customWidth="1"/>
    <col min="6" max="6" width="20.796875" bestFit="1" customWidth="1"/>
    <col min="7" max="7" width="8.19921875" hidden="1" customWidth="1"/>
    <col min="8" max="8" width="37.3984375" bestFit="1" customWidth="1"/>
    <col min="9" max="9" width="8.19921875" hidden="1" customWidth="1"/>
    <col min="10" max="10" width="11.8984375" bestFit="1" customWidth="1"/>
    <col min="11" max="11" width="8.19921875" hidden="1" customWidth="1"/>
    <col min="12" max="12" width="13.3984375" bestFit="1" customWidth="1"/>
    <col min="13" max="13" width="8.296875" bestFit="1" customWidth="1"/>
  </cols>
  <sheetData>
    <row r="3" spans="1:13" hidden="1" x14ac:dyDescent="0.25">
      <c r="A3" s="825"/>
      <c r="B3" s="193" t="s">
        <v>144</v>
      </c>
      <c r="C3" s="825"/>
      <c r="D3" s="825"/>
      <c r="E3" s="825"/>
      <c r="F3" s="825"/>
      <c r="G3" s="825"/>
      <c r="H3" s="825"/>
      <c r="I3" s="825"/>
      <c r="J3" s="825"/>
      <c r="K3" s="825"/>
      <c r="L3" s="825"/>
      <c r="M3" s="825"/>
    </row>
    <row r="4" spans="1:13" s="219" customFormat="1" ht="15.8" customHeight="1" x14ac:dyDescent="0.25">
      <c r="A4" s="395"/>
      <c r="B4" s="395" t="s">
        <v>137</v>
      </c>
      <c r="C4" s="395"/>
      <c r="D4" s="395" t="s">
        <v>132</v>
      </c>
      <c r="E4" s="395"/>
      <c r="F4" s="395" t="s">
        <v>134</v>
      </c>
      <c r="G4" s="395"/>
      <c r="H4" s="395" t="s">
        <v>120</v>
      </c>
      <c r="I4" s="395"/>
      <c r="J4" s="395" t="s">
        <v>139</v>
      </c>
      <c r="K4" s="395"/>
      <c r="L4" s="699" t="s">
        <v>245</v>
      </c>
      <c r="M4" s="699" t="s">
        <v>246</v>
      </c>
    </row>
    <row r="5" spans="1:13" s="220" customFormat="1" x14ac:dyDescent="0.25">
      <c r="A5" s="699" t="s">
        <v>247</v>
      </c>
      <c r="B5" s="699" t="s">
        <v>248</v>
      </c>
      <c r="C5" s="699" t="s">
        <v>89</v>
      </c>
      <c r="D5" s="699" t="s">
        <v>248</v>
      </c>
      <c r="E5" s="699" t="s">
        <v>89</v>
      </c>
      <c r="F5" s="699" t="s">
        <v>248</v>
      </c>
      <c r="G5" s="699" t="s">
        <v>89</v>
      </c>
      <c r="H5" s="699" t="s">
        <v>248</v>
      </c>
      <c r="I5" s="699" t="s">
        <v>89</v>
      </c>
      <c r="J5" s="825" t="s">
        <v>248</v>
      </c>
      <c r="K5" s="825" t="s">
        <v>89</v>
      </c>
      <c r="L5" s="699"/>
      <c r="M5" s="699"/>
    </row>
    <row r="6" spans="1:13" x14ac:dyDescent="0.25">
      <c r="A6" s="706" t="s">
        <v>218</v>
      </c>
      <c r="B6" s="707">
        <v>135386125</v>
      </c>
      <c r="C6" s="708">
        <v>0.28321318598685374</v>
      </c>
      <c r="D6" s="707">
        <v>121899199.99999999</v>
      </c>
      <c r="E6" s="708">
        <v>0.21650138797712143</v>
      </c>
      <c r="F6" s="707">
        <v>97535900</v>
      </c>
      <c r="G6" s="708">
        <v>0.21743239674669781</v>
      </c>
      <c r="H6" s="707">
        <v>279756540</v>
      </c>
      <c r="I6" s="705">
        <v>0.21204302302471992</v>
      </c>
      <c r="J6" s="704"/>
      <c r="K6" s="705">
        <v>0</v>
      </c>
      <c r="L6" s="704">
        <v>634577765</v>
      </c>
      <c r="M6" s="705">
        <v>0.21638715027703267</v>
      </c>
    </row>
    <row r="7" spans="1:13" x14ac:dyDescent="0.25">
      <c r="A7" s="706" t="s">
        <v>221</v>
      </c>
      <c r="B7" s="707">
        <v>67605600</v>
      </c>
      <c r="C7" s="708">
        <v>0.14142363086729043</v>
      </c>
      <c r="D7" s="707">
        <v>167190118.75000003</v>
      </c>
      <c r="E7" s="708">
        <v>0.29694118390797286</v>
      </c>
      <c r="F7" s="707">
        <v>37785307.5</v>
      </c>
      <c r="G7" s="708">
        <v>8.4233087217485833E-2</v>
      </c>
      <c r="H7" s="707">
        <v>285912976.25</v>
      </c>
      <c r="I7" s="705">
        <v>0.21670932806805857</v>
      </c>
      <c r="J7" s="704"/>
      <c r="K7" s="705">
        <v>0</v>
      </c>
      <c r="L7" s="704">
        <v>558494002.5</v>
      </c>
      <c r="M7" s="705">
        <v>0.19044305097546077</v>
      </c>
    </row>
    <row r="8" spans="1:13" x14ac:dyDescent="0.25">
      <c r="A8" s="706" t="s">
        <v>219</v>
      </c>
      <c r="B8" s="707">
        <v>87494900</v>
      </c>
      <c r="C8" s="708">
        <v>0.18302990344543188</v>
      </c>
      <c r="D8" s="707">
        <v>95616875</v>
      </c>
      <c r="E8" s="708">
        <v>0.1698221657856239</v>
      </c>
      <c r="F8" s="707">
        <v>93772050</v>
      </c>
      <c r="G8" s="708">
        <v>0.20904181516089138</v>
      </c>
      <c r="H8" s="707">
        <v>219564850</v>
      </c>
      <c r="I8" s="705">
        <v>0.16642039733537303</v>
      </c>
      <c r="J8" s="704"/>
      <c r="K8" s="705">
        <v>0</v>
      </c>
      <c r="L8" s="704">
        <v>496448675</v>
      </c>
      <c r="M8" s="705">
        <v>0.16928597244824478</v>
      </c>
    </row>
    <row r="9" spans="1:13" x14ac:dyDescent="0.25">
      <c r="A9" s="706" t="s">
        <v>220</v>
      </c>
      <c r="B9" s="707">
        <v>39247470</v>
      </c>
      <c r="C9" s="708">
        <v>8.2101478424199403E-2</v>
      </c>
      <c r="D9" s="707">
        <v>40082470.000000007</v>
      </c>
      <c r="E9" s="708">
        <v>7.1189231664779862E-2</v>
      </c>
      <c r="F9" s="707">
        <v>38334990.000000007</v>
      </c>
      <c r="G9" s="708">
        <v>8.5458469701522155E-2</v>
      </c>
      <c r="H9" s="707">
        <v>243350694</v>
      </c>
      <c r="I9" s="705">
        <v>0.18444900988167631</v>
      </c>
      <c r="J9" s="704"/>
      <c r="K9" s="705">
        <v>0</v>
      </c>
      <c r="L9" s="704">
        <v>361015624</v>
      </c>
      <c r="M9" s="705">
        <v>0.12310412748679388</v>
      </c>
    </row>
    <row r="10" spans="1:13" x14ac:dyDescent="0.25">
      <c r="A10" s="706" t="s">
        <v>226</v>
      </c>
      <c r="B10" s="707"/>
      <c r="C10" s="708">
        <v>0</v>
      </c>
      <c r="D10" s="707">
        <v>15500000</v>
      </c>
      <c r="E10" s="708">
        <v>2.7529069211655058E-2</v>
      </c>
      <c r="F10" s="707">
        <v>59925000</v>
      </c>
      <c r="G10" s="708">
        <v>0.13358810832776308</v>
      </c>
      <c r="H10" s="707">
        <v>86400000</v>
      </c>
      <c r="I10" s="705">
        <v>6.5487359792681887E-2</v>
      </c>
      <c r="J10" s="704"/>
      <c r="K10" s="705">
        <v>0</v>
      </c>
      <c r="L10" s="704">
        <v>161825000</v>
      </c>
      <c r="M10" s="705">
        <v>5.518133871832212E-2</v>
      </c>
    </row>
    <row r="11" spans="1:13" x14ac:dyDescent="0.25">
      <c r="A11" s="706" t="s">
        <v>223</v>
      </c>
      <c r="B11" s="707">
        <v>11597202.491287198</v>
      </c>
      <c r="C11" s="708">
        <v>2.4260098042484964E-2</v>
      </c>
      <c r="D11" s="707">
        <v>26920434.299442168</v>
      </c>
      <c r="E11" s="708">
        <v>4.7812548324977819E-2</v>
      </c>
      <c r="F11" s="707">
        <v>15229033.288277341</v>
      </c>
      <c r="G11" s="708">
        <v>3.3949399226391376E-2</v>
      </c>
      <c r="H11" s="707">
        <v>89597803.52283296</v>
      </c>
      <c r="I11" s="705">
        <v>6.7911152730715074E-2</v>
      </c>
      <c r="J11" s="704"/>
      <c r="K11" s="705">
        <v>0</v>
      </c>
      <c r="L11" s="704">
        <v>143344473.60183966</v>
      </c>
      <c r="M11" s="705">
        <v>4.8879591850596003E-2</v>
      </c>
    </row>
    <row r="12" spans="1:13" x14ac:dyDescent="0.25">
      <c r="A12" s="706" t="s">
        <v>222</v>
      </c>
      <c r="B12" s="707">
        <v>22510500.000000004</v>
      </c>
      <c r="C12" s="708">
        <v>4.7089540550459455E-2</v>
      </c>
      <c r="D12" s="707">
        <v>25486800</v>
      </c>
      <c r="E12" s="708">
        <v>4.5266314915071625E-2</v>
      </c>
      <c r="F12" s="707">
        <v>21479400</v>
      </c>
      <c r="G12" s="708">
        <v>4.7883060726163607E-2</v>
      </c>
      <c r="H12" s="707">
        <v>55437000</v>
      </c>
      <c r="I12" s="705">
        <v>4.2018782000311408E-2</v>
      </c>
      <c r="J12" s="704"/>
      <c r="K12" s="705">
        <v>0</v>
      </c>
      <c r="L12" s="704">
        <v>124913700</v>
      </c>
      <c r="M12" s="705">
        <v>4.2594810383184759E-2</v>
      </c>
    </row>
    <row r="13" spans="1:13" x14ac:dyDescent="0.25">
      <c r="A13" s="706" t="s">
        <v>115</v>
      </c>
      <c r="B13" s="707"/>
      <c r="C13" s="708">
        <v>0</v>
      </c>
      <c r="D13" s="707"/>
      <c r="E13" s="708">
        <v>0</v>
      </c>
      <c r="F13" s="707"/>
      <c r="G13" s="708">
        <v>0</v>
      </c>
      <c r="H13" s="707"/>
      <c r="I13" s="705">
        <v>0</v>
      </c>
      <c r="J13" s="704">
        <v>123607524.29305695</v>
      </c>
      <c r="K13" s="705">
        <v>1</v>
      </c>
      <c r="L13" s="704">
        <v>123607524.29305695</v>
      </c>
      <c r="M13" s="705">
        <v>4.214941242792155E-2</v>
      </c>
    </row>
    <row r="14" spans="1:13" x14ac:dyDescent="0.25">
      <c r="A14" s="706" t="s">
        <v>225</v>
      </c>
      <c r="B14" s="707">
        <v>47750000</v>
      </c>
      <c r="C14" s="708">
        <v>9.9887855058059069E-2</v>
      </c>
      <c r="D14" s="707">
        <v>1500000</v>
      </c>
      <c r="E14" s="708">
        <v>2.6641034720956509E-3</v>
      </c>
      <c r="F14" s="707">
        <v>47400000</v>
      </c>
      <c r="G14" s="708">
        <v>0.10566668894010797</v>
      </c>
      <c r="H14" s="707">
        <v>5250000</v>
      </c>
      <c r="I14" s="705">
        <v>3.9792666540692115E-3</v>
      </c>
      <c r="J14" s="704"/>
      <c r="K14" s="705">
        <v>0</v>
      </c>
      <c r="L14" s="704">
        <v>101900000</v>
      </c>
      <c r="M14" s="705">
        <v>3.4747278945756369E-2</v>
      </c>
    </row>
    <row r="15" spans="1:13" x14ac:dyDescent="0.25">
      <c r="A15" s="706" t="s">
        <v>224</v>
      </c>
      <c r="B15" s="707">
        <v>11070608</v>
      </c>
      <c r="C15" s="708">
        <v>2.3158519105939041E-2</v>
      </c>
      <c r="D15" s="707">
        <v>12515296</v>
      </c>
      <c r="E15" s="708">
        <v>2.2228029018603206E-2</v>
      </c>
      <c r="F15" s="707">
        <v>14256784</v>
      </c>
      <c r="G15" s="708">
        <v>3.1782007599457977E-2</v>
      </c>
      <c r="H15" s="707">
        <v>16811712</v>
      </c>
      <c r="I15" s="705">
        <v>1.2742530468460042E-2</v>
      </c>
      <c r="J15" s="704"/>
      <c r="K15" s="705">
        <v>0</v>
      </c>
      <c r="L15" s="704">
        <v>54654400</v>
      </c>
      <c r="M15" s="705">
        <v>1.8636817295514689E-2</v>
      </c>
    </row>
    <row r="16" spans="1:13" x14ac:dyDescent="0.25">
      <c r="A16" s="706" t="s">
        <v>230</v>
      </c>
      <c r="B16" s="707">
        <v>7200000</v>
      </c>
      <c r="C16" s="708">
        <v>1.506162421817854E-2</v>
      </c>
      <c r="D16" s="707">
        <v>29460000</v>
      </c>
      <c r="E16" s="708">
        <v>5.232299219195858E-2</v>
      </c>
      <c r="F16" s="707">
        <v>4560000</v>
      </c>
      <c r="G16" s="708">
        <v>1.0165402986643299E-2</v>
      </c>
      <c r="H16" s="707">
        <v>10872000</v>
      </c>
      <c r="I16" s="705">
        <v>8.2404927739124709E-3</v>
      </c>
      <c r="J16" s="704"/>
      <c r="K16" s="705">
        <v>0</v>
      </c>
      <c r="L16" s="704">
        <v>52092000</v>
      </c>
      <c r="M16" s="705">
        <v>1.7763054512682439E-2</v>
      </c>
    </row>
    <row r="17" spans="1:23" x14ac:dyDescent="0.25">
      <c r="A17" s="706" t="s">
        <v>228</v>
      </c>
      <c r="B17" s="707">
        <v>26698687.807999998</v>
      </c>
      <c r="C17" s="708">
        <v>5.5850778178133456E-2</v>
      </c>
      <c r="D17" s="707">
        <v>3240000</v>
      </c>
      <c r="E17" s="708">
        <v>5.754463499726606E-3</v>
      </c>
      <c r="F17" s="707">
        <v>8646882.2960000001</v>
      </c>
      <c r="G17" s="708">
        <v>1.9276105946691109E-2</v>
      </c>
      <c r="H17" s="707">
        <v>4890000</v>
      </c>
      <c r="I17" s="705">
        <v>3.7064026549330372E-3</v>
      </c>
      <c r="J17" s="704"/>
      <c r="K17" s="705">
        <v>0</v>
      </c>
      <c r="L17" s="704">
        <v>43475570.104000002</v>
      </c>
      <c r="M17" s="705">
        <v>1.4824904433066478E-2</v>
      </c>
      <c r="N17" s="825"/>
      <c r="O17" s="825"/>
      <c r="P17" s="825"/>
      <c r="Q17" s="825"/>
      <c r="R17" s="825"/>
      <c r="S17" s="825"/>
      <c r="T17" s="825"/>
      <c r="U17" s="825"/>
      <c r="V17" s="825"/>
      <c r="W17" s="825"/>
    </row>
    <row r="18" spans="1:23" x14ac:dyDescent="0.25">
      <c r="A18" s="706" t="s">
        <v>227</v>
      </c>
      <c r="B18" s="707">
        <v>11030000</v>
      </c>
      <c r="C18" s="708">
        <v>2.3073571545348514E-2</v>
      </c>
      <c r="D18" s="707">
        <v>15415000</v>
      </c>
      <c r="E18" s="708">
        <v>2.7378103348236305E-2</v>
      </c>
      <c r="F18" s="707">
        <v>4800000</v>
      </c>
      <c r="G18" s="708">
        <v>1.0700424196466629E-2</v>
      </c>
      <c r="H18" s="707">
        <v>7905000.0000000009</v>
      </c>
      <c r="I18" s="705">
        <v>5.9916386476984995E-3</v>
      </c>
      <c r="J18" s="704"/>
      <c r="K18" s="705">
        <v>0</v>
      </c>
      <c r="L18" s="704">
        <v>39150000</v>
      </c>
      <c r="M18" s="705">
        <v>1.3349911390837702E-2</v>
      </c>
      <c r="N18" s="825"/>
      <c r="O18" s="825"/>
      <c r="P18" s="825"/>
      <c r="Q18" s="825"/>
      <c r="R18" s="825"/>
      <c r="S18" s="825"/>
      <c r="T18" s="825"/>
      <c r="U18" s="825"/>
      <c r="V18" s="825"/>
      <c r="W18" s="825"/>
    </row>
    <row r="19" spans="1:23" x14ac:dyDescent="0.25">
      <c r="A19" s="706" t="s">
        <v>229</v>
      </c>
      <c r="B19" s="707">
        <v>8000000</v>
      </c>
      <c r="C19" s="708">
        <v>1.6735138020198378E-2</v>
      </c>
      <c r="D19" s="707">
        <v>3200000</v>
      </c>
      <c r="E19" s="708">
        <v>5.6834207404707219E-3</v>
      </c>
      <c r="F19" s="707">
        <v>2400000</v>
      </c>
      <c r="G19" s="708">
        <v>5.3502120982333147E-3</v>
      </c>
      <c r="H19" s="707">
        <v>5400000</v>
      </c>
      <c r="I19" s="705">
        <v>4.092959987042618E-3</v>
      </c>
      <c r="J19" s="704"/>
      <c r="K19" s="705">
        <v>0</v>
      </c>
      <c r="L19" s="704">
        <v>19000000</v>
      </c>
      <c r="M19" s="705">
        <v>6.478884199895691E-3</v>
      </c>
      <c r="N19" s="825"/>
      <c r="O19" s="825"/>
      <c r="P19" s="825"/>
      <c r="Q19" s="825"/>
      <c r="R19" s="825"/>
      <c r="S19" s="825"/>
      <c r="T19" s="825"/>
      <c r="U19" s="825"/>
      <c r="V19" s="825"/>
      <c r="W19" s="825"/>
    </row>
    <row r="20" spans="1:23" x14ac:dyDescent="0.25">
      <c r="A20" s="706" t="s">
        <v>232</v>
      </c>
      <c r="B20" s="707">
        <v>1425000</v>
      </c>
      <c r="C20" s="708">
        <v>2.980946459847836E-3</v>
      </c>
      <c r="D20" s="707">
        <v>1400000</v>
      </c>
      <c r="E20" s="708">
        <v>2.4864965739559409E-3</v>
      </c>
      <c r="F20" s="707">
        <v>715000</v>
      </c>
      <c r="G20" s="708">
        <v>1.5939173542653417E-3</v>
      </c>
      <c r="H20" s="707">
        <v>5630000</v>
      </c>
      <c r="I20" s="705">
        <v>4.2672897642685075E-3</v>
      </c>
      <c r="J20" s="704"/>
      <c r="K20" s="705">
        <v>0</v>
      </c>
      <c r="L20" s="704">
        <v>9170000</v>
      </c>
      <c r="M20" s="705">
        <v>3.1269141112128152E-3</v>
      </c>
      <c r="N20" s="825"/>
      <c r="O20" s="825"/>
      <c r="P20" s="825"/>
      <c r="Q20" s="825"/>
      <c r="R20" s="825"/>
      <c r="S20" s="825"/>
      <c r="T20" s="825"/>
      <c r="U20" s="825"/>
      <c r="V20" s="825"/>
      <c r="W20" s="825"/>
    </row>
    <row r="21" spans="1:23" x14ac:dyDescent="0.25">
      <c r="A21" s="706" t="s">
        <v>231</v>
      </c>
      <c r="B21" s="707">
        <v>600000</v>
      </c>
      <c r="C21" s="708">
        <v>1.2551353515148783E-3</v>
      </c>
      <c r="D21" s="707">
        <v>1275000</v>
      </c>
      <c r="E21" s="708">
        <v>2.2644879512813032E-3</v>
      </c>
      <c r="F21" s="707">
        <v>1650000</v>
      </c>
      <c r="G21" s="708">
        <v>3.6782708175354039E-3</v>
      </c>
      <c r="H21" s="707">
        <v>1650000</v>
      </c>
      <c r="I21" s="705">
        <v>1.2506266627074665E-3</v>
      </c>
      <c r="J21" s="704"/>
      <c r="K21" s="705">
        <v>0</v>
      </c>
      <c r="L21" s="704">
        <v>5175000</v>
      </c>
      <c r="M21" s="705">
        <v>1.7646434597084317E-3</v>
      </c>
      <c r="N21" s="825"/>
      <c r="O21" s="825"/>
      <c r="P21" s="825"/>
      <c r="Q21" s="825"/>
      <c r="R21" s="825"/>
      <c r="S21" s="825"/>
      <c r="T21" s="825"/>
      <c r="U21" s="825"/>
      <c r="V21" s="825"/>
      <c r="W21" s="825"/>
    </row>
    <row r="22" spans="1:23" x14ac:dyDescent="0.25">
      <c r="A22" s="706" t="s">
        <v>242</v>
      </c>
      <c r="B22" s="707"/>
      <c r="C22" s="708">
        <v>0</v>
      </c>
      <c r="D22" s="707">
        <v>2100000</v>
      </c>
      <c r="E22" s="708">
        <v>3.7297448609339111E-3</v>
      </c>
      <c r="F22" s="707"/>
      <c r="G22" s="708">
        <v>0</v>
      </c>
      <c r="H22" s="707"/>
      <c r="I22" s="705">
        <v>0</v>
      </c>
      <c r="J22" s="704"/>
      <c r="K22" s="705">
        <v>0</v>
      </c>
      <c r="L22" s="704">
        <v>2100000</v>
      </c>
      <c r="M22" s="705">
        <v>7.1608720104110273E-4</v>
      </c>
      <c r="N22" s="825"/>
      <c r="O22" s="825"/>
      <c r="P22" s="825"/>
      <c r="Q22" s="825"/>
      <c r="R22" s="825"/>
      <c r="S22" s="825"/>
      <c r="T22" s="825"/>
      <c r="U22" s="825"/>
      <c r="V22" s="825"/>
      <c r="W22" s="825"/>
    </row>
    <row r="23" spans="1:23" x14ac:dyDescent="0.25">
      <c r="A23" s="706" t="s">
        <v>243</v>
      </c>
      <c r="B23" s="707">
        <v>240000</v>
      </c>
      <c r="C23" s="708">
        <v>5.0205414060595129E-4</v>
      </c>
      <c r="D23" s="707">
        <v>240000</v>
      </c>
      <c r="E23" s="708">
        <v>4.2625655553530414E-4</v>
      </c>
      <c r="F23" s="707">
        <v>90000</v>
      </c>
      <c r="G23" s="708">
        <v>2.0063295368374931E-4</v>
      </c>
      <c r="H23" s="707">
        <v>810000</v>
      </c>
      <c r="I23" s="705">
        <v>6.1394399805639267E-4</v>
      </c>
      <c r="J23" s="704"/>
      <c r="K23" s="705">
        <v>0</v>
      </c>
      <c r="L23" s="704">
        <v>1380000</v>
      </c>
      <c r="M23" s="705">
        <v>4.7057158925558181E-4</v>
      </c>
      <c r="N23" s="825"/>
      <c r="O23" s="825"/>
      <c r="P23" s="825"/>
      <c r="Q23" s="825"/>
      <c r="R23" s="825"/>
      <c r="S23" s="825"/>
      <c r="T23" s="825"/>
      <c r="U23" s="825"/>
      <c r="V23" s="825"/>
      <c r="W23" s="825"/>
    </row>
    <row r="24" spans="1:23" x14ac:dyDescent="0.25">
      <c r="A24" s="706" t="s">
        <v>244</v>
      </c>
      <c r="B24" s="707">
        <v>180000</v>
      </c>
      <c r="C24" s="708">
        <v>3.765406054544635E-4</v>
      </c>
      <c r="D24" s="707"/>
      <c r="E24" s="708">
        <v>0</v>
      </c>
      <c r="F24" s="707"/>
      <c r="G24" s="708">
        <v>0</v>
      </c>
      <c r="H24" s="707">
        <v>100000</v>
      </c>
      <c r="I24" s="705">
        <v>7.5795555315604036E-5</v>
      </c>
      <c r="J24" s="704"/>
      <c r="K24" s="705">
        <v>0</v>
      </c>
      <c r="L24" s="704">
        <v>280000</v>
      </c>
      <c r="M24" s="705">
        <v>9.5478293472147025E-5</v>
      </c>
      <c r="N24" s="825"/>
      <c r="O24" s="825"/>
      <c r="P24" s="825"/>
      <c r="Q24" s="825"/>
      <c r="R24" s="825"/>
      <c r="S24" s="825"/>
      <c r="T24" s="825"/>
      <c r="U24" s="825"/>
      <c r="V24" s="825"/>
      <c r="W24" s="825"/>
    </row>
    <row r="25" spans="1:23" x14ac:dyDescent="0.25">
      <c r="A25" s="700" t="s">
        <v>141</v>
      </c>
      <c r="B25" s="697">
        <v>478036093.2992872</v>
      </c>
      <c r="C25" s="698">
        <v>1</v>
      </c>
      <c r="D25" s="697">
        <v>563041194.04944217</v>
      </c>
      <c r="E25" s="698">
        <v>1</v>
      </c>
      <c r="F25" s="697">
        <v>448580347.08427733</v>
      </c>
      <c r="G25" s="698">
        <v>1</v>
      </c>
      <c r="H25" s="697">
        <v>1319338575.7728329</v>
      </c>
      <c r="I25" s="698">
        <v>1</v>
      </c>
      <c r="J25" s="697">
        <v>123607524.29305695</v>
      </c>
      <c r="K25" s="698">
        <v>1</v>
      </c>
      <c r="L25" s="697">
        <v>2932603734.4988966</v>
      </c>
      <c r="M25" s="698">
        <v>1</v>
      </c>
      <c r="N25" s="825"/>
      <c r="O25" s="825"/>
      <c r="P25" s="825"/>
      <c r="Q25" s="825"/>
      <c r="R25" s="825"/>
      <c r="S25" s="825"/>
      <c r="T25" s="825"/>
      <c r="U25" s="825"/>
      <c r="V25" s="825"/>
      <c r="W25" s="825"/>
    </row>
    <row r="26" spans="1:23" x14ac:dyDescent="0.25">
      <c r="A26" s="825"/>
      <c r="B26" s="825"/>
      <c r="C26" s="825"/>
      <c r="D26" s="825"/>
      <c r="E26" s="825"/>
      <c r="F26" s="825"/>
      <c r="G26" s="825"/>
      <c r="H26" s="825"/>
      <c r="I26" s="825"/>
      <c r="J26" s="825"/>
      <c r="K26" s="825"/>
      <c r="L26" s="825"/>
      <c r="M26" s="825"/>
      <c r="N26" s="207"/>
      <c r="O26" s="207"/>
      <c r="P26" s="207"/>
      <c r="Q26" s="207"/>
      <c r="R26" s="207"/>
      <c r="S26" s="207"/>
      <c r="T26" s="207"/>
      <c r="U26" s="207"/>
      <c r="V26" s="207"/>
      <c r="W26" s="207"/>
    </row>
    <row r="27" spans="1:23" x14ac:dyDescent="0.25">
      <c r="A27" s="825"/>
      <c r="B27" s="63"/>
      <c r="C27" s="825"/>
      <c r="D27" s="63"/>
      <c r="E27" s="825"/>
      <c r="F27" s="63"/>
      <c r="G27" s="825"/>
      <c r="H27" s="63"/>
      <c r="I27" s="825"/>
      <c r="J27" s="63"/>
      <c r="K27" s="825"/>
      <c r="L27" s="67"/>
      <c r="M27" s="825"/>
      <c r="N27" s="207"/>
      <c r="O27" s="207"/>
      <c r="P27" s="207"/>
      <c r="Q27" s="207"/>
      <c r="R27" s="207"/>
      <c r="S27" s="207"/>
      <c r="T27" s="207"/>
      <c r="U27" s="207"/>
      <c r="V27" s="207"/>
      <c r="W27" s="207"/>
    </row>
    <row r="28" spans="1:23" x14ac:dyDescent="0.25">
      <c r="A28" s="825"/>
      <c r="B28" s="825"/>
      <c r="C28" s="825"/>
      <c r="D28" s="825"/>
      <c r="E28" s="825"/>
      <c r="F28" s="825"/>
      <c r="G28" s="825"/>
      <c r="H28" s="825"/>
      <c r="I28" s="825"/>
      <c r="J28" s="63"/>
      <c r="K28" s="825"/>
      <c r="L28" s="825"/>
      <c r="M28" s="825"/>
      <c r="N28" s="207"/>
      <c r="O28" s="207"/>
      <c r="P28" s="207"/>
      <c r="Q28" s="207"/>
      <c r="R28" s="207"/>
      <c r="S28" s="207"/>
      <c r="T28" s="207"/>
      <c r="U28" s="207"/>
      <c r="V28" s="207"/>
      <c r="W28" s="207"/>
    </row>
    <row r="29" spans="1:23" ht="15.65" customHeight="1" x14ac:dyDescent="0.25">
      <c r="A29" s="825"/>
      <c r="B29" s="825"/>
      <c r="C29" s="825"/>
      <c r="D29" s="825"/>
      <c r="E29" s="825"/>
      <c r="F29" s="825"/>
      <c r="G29" s="825"/>
      <c r="H29" s="825"/>
      <c r="I29" s="825"/>
      <c r="J29" s="1388" t="s">
        <v>249</v>
      </c>
      <c r="K29" s="825"/>
      <c r="L29" s="825"/>
      <c r="M29" s="825"/>
      <c r="N29" s="207"/>
      <c r="O29" s="207"/>
      <c r="P29" s="207"/>
      <c r="Q29" s="207"/>
      <c r="R29" s="207"/>
      <c r="S29" s="207"/>
      <c r="T29" s="207"/>
      <c r="U29" s="207"/>
      <c r="V29" s="207"/>
      <c r="W29" s="207"/>
    </row>
    <row r="30" spans="1:23" x14ac:dyDescent="0.25">
      <c r="A30" s="825"/>
      <c r="B30" s="825"/>
      <c r="C30" s="825"/>
      <c r="D30" s="825"/>
      <c r="E30" s="825"/>
      <c r="F30" s="825"/>
      <c r="G30" s="825"/>
      <c r="H30" s="825"/>
      <c r="I30" s="825"/>
      <c r="J30" s="1388"/>
      <c r="K30" s="825"/>
      <c r="L30" s="825"/>
      <c r="M30" s="825"/>
      <c r="N30" s="207"/>
      <c r="O30" s="207"/>
      <c r="P30" s="207"/>
      <c r="Q30" s="207"/>
      <c r="R30" s="207"/>
      <c r="S30" s="207"/>
      <c r="T30" s="207"/>
      <c r="U30" s="207"/>
      <c r="V30" s="207"/>
      <c r="W30" s="207"/>
    </row>
    <row r="31" spans="1:23" x14ac:dyDescent="0.25">
      <c r="A31" s="825"/>
      <c r="B31" s="825"/>
      <c r="C31" s="825"/>
      <c r="D31" s="825"/>
      <c r="E31" s="825"/>
      <c r="F31" s="825"/>
      <c r="G31" s="825"/>
      <c r="H31" s="825"/>
      <c r="I31" s="825"/>
      <c r="J31" s="1388"/>
      <c r="K31" s="825"/>
      <c r="L31" s="825"/>
      <c r="M31" s="825"/>
      <c r="N31" s="207"/>
      <c r="O31" s="207"/>
      <c r="P31" s="207"/>
      <c r="Q31" s="207"/>
      <c r="R31" s="207"/>
      <c r="S31" s="207"/>
      <c r="T31" s="207"/>
      <c r="U31" s="207"/>
      <c r="V31" s="207"/>
      <c r="W31" s="207"/>
    </row>
    <row r="32" spans="1:23" x14ac:dyDescent="0.25">
      <c r="A32" s="825"/>
      <c r="B32" s="825"/>
      <c r="C32" s="825"/>
      <c r="D32" s="825"/>
      <c r="E32" s="825"/>
      <c r="F32" s="825"/>
      <c r="G32" s="825"/>
      <c r="H32" s="825"/>
      <c r="I32" s="825"/>
      <c r="J32" s="1388"/>
      <c r="K32" s="825"/>
      <c r="L32" s="825"/>
      <c r="M32" s="825"/>
      <c r="N32" s="207"/>
      <c r="O32" s="207"/>
      <c r="P32" s="207"/>
      <c r="Q32" s="207"/>
      <c r="R32" s="207"/>
      <c r="S32" s="207"/>
      <c r="T32" s="207"/>
      <c r="U32" s="207"/>
      <c r="V32" s="207"/>
      <c r="W32" s="207"/>
    </row>
    <row r="33" spans="10:23" x14ac:dyDescent="0.25">
      <c r="J33" s="1388"/>
      <c r="K33" s="825"/>
      <c r="L33" s="825"/>
      <c r="M33" s="825"/>
      <c r="N33" s="207"/>
      <c r="O33" s="207"/>
      <c r="P33" s="207"/>
      <c r="Q33" s="207"/>
      <c r="R33" s="207"/>
      <c r="S33" s="207"/>
      <c r="T33" s="207"/>
      <c r="U33" s="207"/>
      <c r="V33" s="207"/>
      <c r="W33" s="207"/>
    </row>
    <row r="34" spans="10:23" x14ac:dyDescent="0.25">
      <c r="J34" s="1388"/>
      <c r="K34" s="825"/>
      <c r="L34" s="825"/>
      <c r="M34" s="825"/>
      <c r="N34" s="207"/>
      <c r="O34" s="207"/>
      <c r="P34" s="207"/>
      <c r="Q34" s="207"/>
      <c r="R34" s="207"/>
      <c r="S34" s="207"/>
      <c r="T34" s="207"/>
      <c r="U34" s="207"/>
      <c r="V34" s="207"/>
      <c r="W34" s="207"/>
    </row>
    <row r="35" spans="10:23" x14ac:dyDescent="0.25">
      <c r="J35" s="825"/>
      <c r="K35" s="825"/>
      <c r="L35" s="825"/>
      <c r="M35" s="825"/>
      <c r="N35" s="207"/>
      <c r="O35" s="207"/>
      <c r="P35" s="207"/>
      <c r="Q35" s="207"/>
      <c r="R35" s="207"/>
      <c r="S35" s="207"/>
      <c r="T35" s="207"/>
      <c r="U35" s="207"/>
      <c r="V35" s="207"/>
      <c r="W35" s="207"/>
    </row>
    <row r="36" spans="10:23" x14ac:dyDescent="0.25">
      <c r="J36" s="825"/>
      <c r="K36" s="825"/>
      <c r="L36" s="825"/>
      <c r="M36" s="825"/>
      <c r="N36" s="207"/>
      <c r="O36" s="207"/>
      <c r="P36" s="207"/>
      <c r="Q36" s="207"/>
      <c r="R36" s="207"/>
      <c r="S36" s="207"/>
      <c r="T36" s="207"/>
      <c r="U36" s="207"/>
      <c r="V36" s="207"/>
      <c r="W36" s="207"/>
    </row>
    <row r="37" spans="10:23" x14ac:dyDescent="0.25">
      <c r="J37" s="825"/>
      <c r="K37" s="825"/>
      <c r="L37" s="825"/>
      <c r="M37" s="825"/>
      <c r="N37" s="207"/>
      <c r="O37" s="207"/>
      <c r="P37" s="207"/>
      <c r="Q37" s="207"/>
      <c r="R37" s="207"/>
      <c r="S37" s="207"/>
      <c r="T37" s="207"/>
      <c r="U37" s="207"/>
      <c r="V37" s="207"/>
      <c r="W37" s="207"/>
    </row>
    <row r="38" spans="10:23" x14ac:dyDescent="0.25">
      <c r="J38" s="825"/>
      <c r="K38" s="825"/>
      <c r="L38" s="825"/>
      <c r="M38" s="825"/>
      <c r="N38" s="207"/>
      <c r="O38" s="207"/>
      <c r="P38" s="207"/>
      <c r="Q38" s="207"/>
      <c r="R38" s="207"/>
      <c r="S38" s="207"/>
      <c r="T38" s="207"/>
      <c r="U38" s="207"/>
      <c r="V38" s="207"/>
      <c r="W38" s="207"/>
    </row>
    <row r="39" spans="10:23" x14ac:dyDescent="0.25">
      <c r="J39" s="825"/>
      <c r="K39" s="825"/>
      <c r="L39" s="825"/>
      <c r="M39" s="825"/>
      <c r="N39" s="207"/>
      <c r="O39" s="207"/>
      <c r="P39" s="207"/>
      <c r="Q39" s="207"/>
      <c r="R39" s="207"/>
      <c r="S39" s="207"/>
      <c r="T39" s="207"/>
      <c r="U39" s="207"/>
      <c r="V39" s="207"/>
      <c r="W39" s="207"/>
    </row>
    <row r="40" spans="10:23" x14ac:dyDescent="0.25">
      <c r="J40" s="825"/>
      <c r="K40" s="825"/>
      <c r="L40" s="825"/>
      <c r="M40" s="825"/>
      <c r="N40" s="207"/>
      <c r="O40" s="207"/>
      <c r="P40" s="207"/>
      <c r="Q40" s="207"/>
      <c r="R40" s="207"/>
      <c r="S40" s="207"/>
      <c r="T40" s="207"/>
      <c r="U40" s="207"/>
      <c r="V40" s="207"/>
      <c r="W40" s="207"/>
    </row>
    <row r="41" spans="10:23" x14ac:dyDescent="0.25">
      <c r="J41" s="825"/>
      <c r="K41" s="825"/>
      <c r="L41" s="825"/>
      <c r="M41" s="825"/>
      <c r="N41" s="207"/>
      <c r="O41" s="207"/>
      <c r="P41" s="207"/>
      <c r="Q41" s="207"/>
      <c r="R41" s="207"/>
      <c r="S41" s="207"/>
      <c r="T41" s="207"/>
      <c r="U41" s="207"/>
      <c r="V41" s="207"/>
      <c r="W41" s="207"/>
    </row>
    <row r="42" spans="10:23" x14ac:dyDescent="0.25">
      <c r="J42" s="825"/>
      <c r="K42" s="825"/>
      <c r="L42" s="825"/>
      <c r="M42" s="825"/>
      <c r="N42" s="207"/>
      <c r="O42" s="207"/>
      <c r="P42" s="207"/>
      <c r="Q42" s="207"/>
      <c r="R42" s="207"/>
      <c r="S42" s="207"/>
      <c r="T42" s="207"/>
      <c r="U42" s="207"/>
      <c r="V42" s="207"/>
      <c r="W42" s="207"/>
    </row>
    <row r="43" spans="10:23" x14ac:dyDescent="0.25">
      <c r="J43" s="825"/>
      <c r="K43" s="825"/>
      <c r="L43" s="825"/>
      <c r="M43" s="825"/>
      <c r="N43" s="207"/>
      <c r="O43" s="207"/>
      <c r="P43" s="207"/>
      <c r="Q43" s="207"/>
      <c r="R43" s="207"/>
      <c r="S43" s="207"/>
      <c r="T43" s="207"/>
      <c r="U43" s="207"/>
      <c r="V43" s="207"/>
      <c r="W43" s="207"/>
    </row>
    <row r="44" spans="10:23" x14ac:dyDescent="0.25">
      <c r="J44" s="825"/>
      <c r="K44" s="825"/>
      <c r="L44" s="825"/>
      <c r="M44" s="825"/>
      <c r="N44" s="207"/>
      <c r="O44" s="207"/>
      <c r="P44" s="207"/>
      <c r="Q44" s="207"/>
      <c r="R44" s="207"/>
      <c r="S44" s="207"/>
      <c r="T44" s="207"/>
      <c r="U44" s="207"/>
      <c r="V44" s="207"/>
      <c r="W44" s="207"/>
    </row>
    <row r="45" spans="10:23" x14ac:dyDescent="0.25">
      <c r="J45" s="825"/>
      <c r="K45" s="825"/>
      <c r="L45" s="825"/>
      <c r="M45" s="825"/>
      <c r="N45" s="207"/>
      <c r="O45" s="207"/>
      <c r="P45" s="207"/>
      <c r="Q45" s="207"/>
      <c r="R45" s="207"/>
      <c r="S45" s="207"/>
      <c r="T45" s="207"/>
      <c r="U45" s="207"/>
      <c r="V45" s="207"/>
      <c r="W45" s="207"/>
    </row>
    <row r="46" spans="10:23" x14ac:dyDescent="0.25">
      <c r="J46" s="825"/>
      <c r="K46" s="825"/>
      <c r="L46" s="825"/>
      <c r="M46" s="825"/>
      <c r="N46" s="207"/>
      <c r="O46" s="207"/>
      <c r="P46" s="207"/>
      <c r="Q46" s="207"/>
      <c r="R46" s="207"/>
      <c r="S46" s="207"/>
      <c r="T46" s="207"/>
      <c r="U46" s="207"/>
      <c r="V46" s="207"/>
      <c r="W46" s="207"/>
    </row>
    <row r="47" spans="10:23" x14ac:dyDescent="0.25">
      <c r="J47" s="825"/>
      <c r="K47" s="825"/>
      <c r="L47" s="825"/>
      <c r="M47" s="825"/>
      <c r="N47" s="207"/>
      <c r="O47" s="207"/>
      <c r="P47" s="207"/>
      <c r="Q47" s="207"/>
      <c r="R47" s="207"/>
      <c r="S47" s="207"/>
      <c r="T47" s="207"/>
      <c r="U47" s="207"/>
      <c r="V47" s="207"/>
      <c r="W47" s="207"/>
    </row>
    <row r="48" spans="10:23" x14ac:dyDescent="0.25">
      <c r="J48" s="825"/>
      <c r="K48" s="825"/>
      <c r="L48" s="825"/>
      <c r="M48" s="825"/>
      <c r="N48" s="207"/>
      <c r="O48" s="207"/>
      <c r="P48" s="207"/>
      <c r="Q48" s="207"/>
      <c r="R48" s="207"/>
      <c r="S48" s="207"/>
      <c r="T48" s="207"/>
      <c r="U48" s="207"/>
      <c r="V48" s="207"/>
      <c r="W48" s="207"/>
    </row>
    <row r="49" spans="14:23" x14ac:dyDescent="0.25">
      <c r="N49" s="207"/>
      <c r="O49" s="207"/>
      <c r="P49" s="207"/>
      <c r="Q49" s="207"/>
      <c r="R49" s="207"/>
      <c r="S49" s="207"/>
      <c r="T49" s="207"/>
      <c r="U49" s="207"/>
      <c r="V49" s="207"/>
      <c r="W49" s="207"/>
    </row>
    <row r="50" spans="14:23" x14ac:dyDescent="0.25">
      <c r="N50" s="207"/>
      <c r="O50" s="207"/>
      <c r="P50" s="207"/>
      <c r="Q50" s="207"/>
      <c r="R50" s="207"/>
      <c r="S50" s="207"/>
      <c r="T50" s="207"/>
      <c r="U50" s="207"/>
      <c r="V50" s="207"/>
      <c r="W50" s="207"/>
    </row>
    <row r="51" spans="14:23" x14ac:dyDescent="0.25">
      <c r="N51" s="207"/>
      <c r="O51" s="207"/>
      <c r="P51" s="207"/>
      <c r="Q51" s="207"/>
      <c r="R51" s="207"/>
      <c r="S51" s="207"/>
      <c r="T51" s="207"/>
      <c r="U51" s="207"/>
      <c r="V51" s="207"/>
      <c r="W51" s="207"/>
    </row>
    <row r="52" spans="14:23" x14ac:dyDescent="0.25">
      <c r="N52" s="207"/>
      <c r="O52" s="207"/>
      <c r="P52" s="207"/>
      <c r="Q52" s="207"/>
      <c r="R52" s="207"/>
      <c r="S52" s="207"/>
      <c r="T52" s="207"/>
      <c r="U52" s="207"/>
      <c r="V52" s="207"/>
      <c r="W52" s="207"/>
    </row>
    <row r="53" spans="14:23" x14ac:dyDescent="0.25">
      <c r="N53" s="207"/>
      <c r="O53" s="207"/>
      <c r="P53" s="207"/>
      <c r="Q53" s="207"/>
      <c r="R53" s="207"/>
      <c r="S53" s="207"/>
      <c r="T53" s="207"/>
      <c r="U53" s="207"/>
      <c r="V53" s="207"/>
      <c r="W53" s="207"/>
    </row>
    <row r="54" spans="14:23" x14ac:dyDescent="0.25">
      <c r="N54" s="207"/>
      <c r="O54" s="207"/>
      <c r="P54" s="207"/>
      <c r="Q54" s="207"/>
      <c r="R54" s="207"/>
      <c r="S54" s="207"/>
      <c r="T54" s="207"/>
      <c r="U54" s="207"/>
      <c r="V54" s="207"/>
      <c r="W54" s="207"/>
    </row>
    <row r="55" spans="14:23" x14ac:dyDescent="0.25">
      <c r="N55" s="207"/>
      <c r="O55" s="207"/>
      <c r="P55" s="207"/>
      <c r="Q55" s="207"/>
      <c r="R55" s="207"/>
      <c r="S55" s="207"/>
      <c r="T55" s="207"/>
      <c r="U55" s="207"/>
      <c r="V55" s="207"/>
      <c r="W55" s="207"/>
    </row>
    <row r="56" spans="14:23" x14ac:dyDescent="0.25">
      <c r="N56" s="207"/>
      <c r="O56" s="207"/>
      <c r="P56" s="207"/>
      <c r="Q56" s="207"/>
      <c r="R56" s="207"/>
      <c r="S56" s="207"/>
      <c r="T56" s="207"/>
      <c r="U56" s="207"/>
      <c r="V56" s="207"/>
      <c r="W56" s="207"/>
    </row>
    <row r="57" spans="14:23" x14ac:dyDescent="0.25">
      <c r="N57" s="207"/>
      <c r="O57" s="207"/>
      <c r="P57" s="207"/>
      <c r="Q57" s="207"/>
      <c r="R57" s="207"/>
      <c r="S57" s="207"/>
      <c r="T57" s="207"/>
      <c r="U57" s="207"/>
      <c r="V57" s="207"/>
      <c r="W57" s="207"/>
    </row>
    <row r="58" spans="14:23" x14ac:dyDescent="0.25">
      <c r="N58" s="207"/>
      <c r="O58" s="207"/>
      <c r="P58" s="207"/>
      <c r="Q58" s="207"/>
      <c r="R58" s="207"/>
      <c r="S58" s="207"/>
      <c r="T58" s="207"/>
      <c r="U58" s="207"/>
      <c r="V58" s="207"/>
      <c r="W58" s="207"/>
    </row>
    <row r="59" spans="14:23" x14ac:dyDescent="0.25">
      <c r="N59" s="207"/>
      <c r="O59" s="207"/>
      <c r="P59" s="207"/>
      <c r="Q59" s="207"/>
      <c r="R59" s="207"/>
      <c r="S59" s="207"/>
      <c r="T59" s="207"/>
      <c r="U59" s="207"/>
      <c r="V59" s="207"/>
      <c r="W59" s="207"/>
    </row>
    <row r="60" spans="14:23" x14ac:dyDescent="0.25">
      <c r="N60" s="207"/>
      <c r="O60" s="207"/>
      <c r="P60" s="207"/>
      <c r="Q60" s="207"/>
      <c r="R60" s="207"/>
      <c r="S60" s="207"/>
      <c r="T60" s="207"/>
      <c r="U60" s="207"/>
      <c r="V60" s="207"/>
      <c r="W60" s="207"/>
    </row>
    <row r="61" spans="14:23" x14ac:dyDescent="0.25">
      <c r="N61" s="207"/>
      <c r="O61" s="207"/>
      <c r="P61" s="207"/>
      <c r="Q61" s="207"/>
      <c r="R61" s="207"/>
      <c r="S61" s="207"/>
      <c r="T61" s="207"/>
      <c r="U61" s="207"/>
      <c r="V61" s="207"/>
      <c r="W61" s="207"/>
    </row>
    <row r="62" spans="14:23" x14ac:dyDescent="0.25">
      <c r="N62" s="207"/>
      <c r="O62" s="207"/>
      <c r="P62" s="207"/>
      <c r="Q62" s="207"/>
      <c r="R62" s="207"/>
      <c r="S62" s="207"/>
      <c r="T62" s="207"/>
      <c r="U62" s="207"/>
      <c r="V62" s="207"/>
      <c r="W62" s="207"/>
    </row>
    <row r="63" spans="14:23" x14ac:dyDescent="0.25">
      <c r="N63" s="207"/>
      <c r="O63" s="207"/>
      <c r="P63" s="207"/>
      <c r="Q63" s="207"/>
      <c r="R63" s="207"/>
      <c r="S63" s="207"/>
      <c r="T63" s="207"/>
      <c r="U63" s="207"/>
      <c r="V63" s="207"/>
      <c r="W63" s="207"/>
    </row>
    <row r="64" spans="14:23" x14ac:dyDescent="0.25">
      <c r="N64" s="207"/>
      <c r="O64" s="207"/>
      <c r="P64" s="207"/>
      <c r="Q64" s="207"/>
      <c r="R64" s="207"/>
      <c r="S64" s="207"/>
      <c r="T64" s="207"/>
      <c r="U64" s="207"/>
      <c r="V64" s="207"/>
      <c r="W64" s="207"/>
    </row>
    <row r="65" spans="14:23" x14ac:dyDescent="0.25">
      <c r="N65" s="207"/>
      <c r="O65" s="207"/>
      <c r="P65" s="207"/>
      <c r="Q65" s="207"/>
      <c r="R65" s="207"/>
      <c r="S65" s="207"/>
      <c r="T65" s="207"/>
      <c r="U65" s="207"/>
      <c r="V65" s="207"/>
      <c r="W65" s="207"/>
    </row>
    <row r="66" spans="14:23" x14ac:dyDescent="0.25">
      <c r="N66" s="207"/>
      <c r="O66" s="207"/>
      <c r="P66" s="207"/>
      <c r="Q66" s="207"/>
      <c r="R66" s="207"/>
      <c r="S66" s="207"/>
      <c r="T66" s="207"/>
      <c r="U66" s="207"/>
      <c r="V66" s="207"/>
      <c r="W66" s="207"/>
    </row>
    <row r="67" spans="14:23" x14ac:dyDescent="0.25">
      <c r="N67" s="207"/>
      <c r="O67" s="207"/>
      <c r="P67" s="207"/>
      <c r="Q67" s="207"/>
      <c r="R67" s="207"/>
      <c r="S67" s="207"/>
      <c r="T67" s="207"/>
      <c r="U67" s="207"/>
      <c r="V67" s="207"/>
      <c r="W67" s="207"/>
    </row>
    <row r="68" spans="14:23" x14ac:dyDescent="0.25">
      <c r="N68" s="207"/>
      <c r="O68" s="207"/>
      <c r="P68" s="207"/>
      <c r="Q68" s="207"/>
      <c r="R68" s="207"/>
      <c r="S68" s="207"/>
      <c r="T68" s="207"/>
      <c r="U68" s="207"/>
      <c r="V68" s="207"/>
      <c r="W68" s="207"/>
    </row>
    <row r="69" spans="14:23" x14ac:dyDescent="0.25">
      <c r="N69" s="207"/>
      <c r="O69" s="207"/>
      <c r="P69" s="207"/>
      <c r="Q69" s="207"/>
      <c r="R69" s="207"/>
      <c r="S69" s="207"/>
      <c r="T69" s="207"/>
      <c r="U69" s="207"/>
      <c r="V69" s="207"/>
      <c r="W69" s="207"/>
    </row>
    <row r="70" spans="14:23" x14ac:dyDescent="0.25">
      <c r="N70" s="207"/>
      <c r="O70" s="207"/>
      <c r="P70" s="207"/>
      <c r="Q70" s="207"/>
      <c r="R70" s="207"/>
      <c r="S70" s="207"/>
      <c r="T70" s="207"/>
      <c r="U70" s="207"/>
      <c r="V70" s="207"/>
      <c r="W70" s="207"/>
    </row>
    <row r="71" spans="14:23" x14ac:dyDescent="0.25">
      <c r="N71" s="207"/>
      <c r="O71" s="207"/>
      <c r="P71" s="207"/>
      <c r="Q71" s="207"/>
      <c r="R71" s="207"/>
      <c r="S71" s="207"/>
      <c r="T71" s="207"/>
      <c r="U71" s="207"/>
      <c r="V71" s="207"/>
      <c r="W71" s="207"/>
    </row>
    <row r="72" spans="14:23" x14ac:dyDescent="0.25">
      <c r="N72" s="207"/>
      <c r="O72" s="207"/>
      <c r="P72" s="207"/>
      <c r="Q72" s="207"/>
      <c r="R72" s="207"/>
      <c r="S72" s="207"/>
      <c r="T72" s="207"/>
      <c r="U72" s="207"/>
      <c r="V72" s="207"/>
      <c r="W72" s="207"/>
    </row>
    <row r="73" spans="14:23" x14ac:dyDescent="0.25">
      <c r="N73" s="207"/>
      <c r="O73" s="207"/>
      <c r="P73" s="207"/>
      <c r="Q73" s="207"/>
      <c r="R73" s="207"/>
      <c r="S73" s="207"/>
      <c r="T73" s="207"/>
      <c r="U73" s="207"/>
      <c r="V73" s="207"/>
      <c r="W73" s="207"/>
    </row>
    <row r="74" spans="14:23" x14ac:dyDescent="0.25">
      <c r="N74" s="207"/>
      <c r="O74" s="207"/>
      <c r="P74" s="207"/>
      <c r="Q74" s="207"/>
      <c r="R74" s="207"/>
      <c r="S74" s="207"/>
      <c r="T74" s="207"/>
      <c r="U74" s="207"/>
      <c r="V74" s="207"/>
      <c r="W74" s="207"/>
    </row>
    <row r="75" spans="14:23" x14ac:dyDescent="0.25">
      <c r="N75" s="207"/>
      <c r="O75" s="207"/>
      <c r="P75" s="207"/>
      <c r="Q75" s="207"/>
      <c r="R75" s="207"/>
      <c r="S75" s="207"/>
      <c r="T75" s="207"/>
      <c r="U75" s="207"/>
      <c r="V75" s="207"/>
      <c r="W75" s="207"/>
    </row>
    <row r="76" spans="14:23" x14ac:dyDescent="0.25">
      <c r="N76" s="207"/>
      <c r="O76" s="207"/>
      <c r="P76" s="207"/>
      <c r="Q76" s="207"/>
      <c r="R76" s="207"/>
      <c r="S76" s="207"/>
      <c r="T76" s="207"/>
      <c r="U76" s="207"/>
      <c r="V76" s="207"/>
      <c r="W76" s="207"/>
    </row>
    <row r="77" spans="14:23" x14ac:dyDescent="0.25">
      <c r="N77" s="207"/>
      <c r="O77" s="207"/>
      <c r="P77" s="207"/>
      <c r="Q77" s="207"/>
      <c r="R77" s="207"/>
      <c r="S77" s="207"/>
      <c r="T77" s="207"/>
      <c r="U77" s="207"/>
      <c r="V77" s="207"/>
      <c r="W77" s="207"/>
    </row>
    <row r="78" spans="14:23" x14ac:dyDescent="0.25">
      <c r="N78" s="207"/>
      <c r="O78" s="207"/>
      <c r="P78" s="207"/>
      <c r="Q78" s="207"/>
      <c r="R78" s="207"/>
      <c r="S78" s="207"/>
      <c r="T78" s="207"/>
      <c r="U78" s="207"/>
      <c r="V78" s="207"/>
      <c r="W78" s="207"/>
    </row>
    <row r="79" spans="14:23" x14ac:dyDescent="0.25">
      <c r="N79" s="207"/>
      <c r="O79" s="207"/>
      <c r="P79" s="207"/>
      <c r="Q79" s="207"/>
      <c r="R79" s="207"/>
      <c r="S79" s="207"/>
      <c r="T79" s="207"/>
      <c r="U79" s="207"/>
      <c r="V79" s="207"/>
      <c r="W79" s="207"/>
    </row>
    <row r="80" spans="14:23" x14ac:dyDescent="0.25">
      <c r="N80" s="207"/>
      <c r="O80" s="207"/>
      <c r="P80" s="207"/>
      <c r="Q80" s="207"/>
      <c r="R80" s="207"/>
      <c r="S80" s="207"/>
      <c r="T80" s="207"/>
      <c r="U80" s="207"/>
      <c r="V80" s="207"/>
      <c r="W80" s="207"/>
    </row>
    <row r="81" spans="14:23" x14ac:dyDescent="0.25">
      <c r="N81" s="207"/>
      <c r="O81" s="207"/>
      <c r="P81" s="207"/>
      <c r="Q81" s="207"/>
      <c r="R81" s="207"/>
      <c r="S81" s="207"/>
      <c r="T81" s="207"/>
      <c r="U81" s="207"/>
      <c r="V81" s="207"/>
      <c r="W81" s="207"/>
    </row>
    <row r="82" spans="14:23" x14ac:dyDescent="0.25">
      <c r="N82" s="207"/>
      <c r="O82" s="207"/>
      <c r="P82" s="207"/>
      <c r="Q82" s="207"/>
      <c r="R82" s="207"/>
      <c r="S82" s="207"/>
      <c r="T82" s="207"/>
      <c r="U82" s="207"/>
      <c r="V82" s="207"/>
      <c r="W82" s="207"/>
    </row>
    <row r="83" spans="14:23" x14ac:dyDescent="0.25">
      <c r="N83" s="207"/>
      <c r="O83" s="207"/>
      <c r="P83" s="207"/>
      <c r="Q83" s="207"/>
      <c r="R83" s="207"/>
      <c r="S83" s="207"/>
      <c r="T83" s="207"/>
      <c r="U83" s="207"/>
      <c r="V83" s="207"/>
      <c r="W83" s="207"/>
    </row>
    <row r="84" spans="14:23" x14ac:dyDescent="0.25">
      <c r="N84" s="207"/>
      <c r="O84" s="207"/>
      <c r="P84" s="207"/>
      <c r="Q84" s="207"/>
      <c r="R84" s="207"/>
      <c r="S84" s="207"/>
      <c r="T84" s="207"/>
      <c r="U84" s="207"/>
      <c r="V84" s="207"/>
      <c r="W84" s="207"/>
    </row>
    <row r="85" spans="14:23" x14ac:dyDescent="0.25">
      <c r="N85" s="207"/>
      <c r="O85" s="207"/>
      <c r="P85" s="207"/>
      <c r="Q85" s="207"/>
      <c r="R85" s="207"/>
      <c r="S85" s="207"/>
      <c r="T85" s="207"/>
      <c r="U85" s="207"/>
      <c r="V85" s="207"/>
      <c r="W85" s="207"/>
    </row>
    <row r="86" spans="14:23" x14ac:dyDescent="0.25">
      <c r="N86" s="207"/>
      <c r="O86" s="207"/>
      <c r="P86" s="207"/>
      <c r="Q86" s="207"/>
      <c r="R86" s="207"/>
      <c r="S86" s="207"/>
      <c r="T86" s="207"/>
      <c r="U86" s="207"/>
      <c r="V86" s="207"/>
      <c r="W86" s="207"/>
    </row>
    <row r="87" spans="14:23" x14ac:dyDescent="0.25">
      <c r="N87" s="207"/>
      <c r="O87" s="207"/>
      <c r="P87" s="207"/>
      <c r="Q87" s="207"/>
      <c r="R87" s="207"/>
      <c r="S87" s="207"/>
      <c r="T87" s="207"/>
      <c r="U87" s="207"/>
      <c r="V87" s="207"/>
      <c r="W87" s="207"/>
    </row>
    <row r="88" spans="14:23" x14ac:dyDescent="0.25">
      <c r="N88" s="207"/>
      <c r="O88" s="207"/>
      <c r="P88" s="207"/>
      <c r="Q88" s="207"/>
      <c r="R88" s="207"/>
      <c r="S88" s="207"/>
      <c r="T88" s="207"/>
      <c r="U88" s="207"/>
      <c r="V88" s="207"/>
      <c r="W88" s="207"/>
    </row>
    <row r="89" spans="14:23" x14ac:dyDescent="0.25">
      <c r="N89" s="207"/>
      <c r="O89" s="207"/>
      <c r="P89" s="207"/>
      <c r="Q89" s="207"/>
      <c r="R89" s="207"/>
      <c r="S89" s="207"/>
      <c r="T89" s="207"/>
      <c r="U89" s="207"/>
      <c r="V89" s="207"/>
      <c r="W89" s="207"/>
    </row>
    <row r="90" spans="14:23" x14ac:dyDescent="0.25">
      <c r="N90" s="207"/>
      <c r="O90" s="207"/>
      <c r="P90" s="207"/>
      <c r="Q90" s="207"/>
      <c r="R90" s="207"/>
      <c r="S90" s="207"/>
      <c r="T90" s="207"/>
      <c r="U90" s="207"/>
      <c r="V90" s="207"/>
      <c r="W90" s="207"/>
    </row>
    <row r="91" spans="14:23" x14ac:dyDescent="0.25">
      <c r="N91" s="207"/>
      <c r="O91" s="207"/>
      <c r="P91" s="207"/>
      <c r="Q91" s="207"/>
      <c r="R91" s="207"/>
      <c r="S91" s="207"/>
      <c r="T91" s="207"/>
      <c r="U91" s="207"/>
      <c r="V91" s="207"/>
      <c r="W91" s="207"/>
    </row>
    <row r="92" spans="14:23" x14ac:dyDescent="0.25">
      <c r="N92" s="207"/>
      <c r="O92" s="207"/>
      <c r="P92" s="207"/>
      <c r="Q92" s="207"/>
      <c r="R92" s="207"/>
      <c r="S92" s="207"/>
      <c r="T92" s="207"/>
      <c r="U92" s="207"/>
      <c r="V92" s="207"/>
      <c r="W92" s="207"/>
    </row>
    <row r="93" spans="14:23" x14ac:dyDescent="0.25">
      <c r="N93" s="207"/>
      <c r="O93" s="207"/>
      <c r="P93" s="207"/>
      <c r="Q93" s="207"/>
      <c r="R93" s="207"/>
      <c r="S93" s="207"/>
      <c r="T93" s="207"/>
      <c r="U93" s="207"/>
      <c r="V93" s="207"/>
      <c r="W93" s="207"/>
    </row>
    <row r="94" spans="14:23" x14ac:dyDescent="0.25">
      <c r="N94" s="207"/>
      <c r="O94" s="207"/>
      <c r="P94" s="207"/>
      <c r="Q94" s="207"/>
      <c r="R94" s="207"/>
      <c r="S94" s="207"/>
      <c r="T94" s="207"/>
      <c r="U94" s="207"/>
      <c r="V94" s="207"/>
      <c r="W94" s="207"/>
    </row>
    <row r="95" spans="14:23" x14ac:dyDescent="0.25">
      <c r="N95" s="207"/>
      <c r="O95" s="207"/>
      <c r="P95" s="207"/>
      <c r="Q95" s="207"/>
      <c r="R95" s="207"/>
      <c r="S95" s="207"/>
      <c r="T95" s="207"/>
      <c r="U95" s="207"/>
      <c r="V95" s="207"/>
      <c r="W95" s="207"/>
    </row>
    <row r="96" spans="14:23" x14ac:dyDescent="0.25">
      <c r="N96" s="207"/>
      <c r="O96" s="207"/>
      <c r="P96" s="207"/>
      <c r="Q96" s="207"/>
      <c r="R96" s="207"/>
      <c r="S96" s="207"/>
      <c r="T96" s="207"/>
      <c r="U96" s="207"/>
      <c r="V96" s="207"/>
      <c r="W96" s="207"/>
    </row>
    <row r="97" spans="14:23" x14ac:dyDescent="0.25">
      <c r="N97" s="207"/>
      <c r="O97" s="207"/>
      <c r="P97" s="207"/>
      <c r="Q97" s="207"/>
      <c r="R97" s="207"/>
      <c r="S97" s="207"/>
      <c r="T97" s="207"/>
      <c r="U97" s="207"/>
      <c r="V97" s="207"/>
      <c r="W97" s="207"/>
    </row>
    <row r="98" spans="14:23" x14ac:dyDescent="0.25">
      <c r="N98" s="207"/>
      <c r="O98" s="207"/>
      <c r="P98" s="207"/>
      <c r="Q98" s="207"/>
      <c r="R98" s="207"/>
      <c r="S98" s="207"/>
      <c r="T98" s="207"/>
      <c r="U98" s="207"/>
      <c r="V98" s="207"/>
      <c r="W98" s="207"/>
    </row>
    <row r="99" spans="14:23" x14ac:dyDescent="0.25">
      <c r="N99" s="207"/>
      <c r="O99" s="207"/>
      <c r="P99" s="207"/>
      <c r="Q99" s="207"/>
      <c r="R99" s="207"/>
      <c r="S99" s="207"/>
      <c r="T99" s="207"/>
      <c r="U99" s="207"/>
      <c r="V99" s="207"/>
      <c r="W99" s="207"/>
    </row>
    <row r="100" spans="14:23" x14ac:dyDescent="0.25">
      <c r="N100" s="207"/>
      <c r="O100" s="207"/>
      <c r="P100" s="207"/>
      <c r="Q100" s="207"/>
      <c r="R100" s="207"/>
      <c r="S100" s="207"/>
      <c r="T100" s="207"/>
      <c r="U100" s="207"/>
      <c r="V100" s="207"/>
      <c r="W100" s="207"/>
    </row>
    <row r="101" spans="14:23" x14ac:dyDescent="0.25">
      <c r="N101" s="207"/>
      <c r="O101" s="207"/>
      <c r="P101" s="207"/>
      <c r="Q101" s="207"/>
      <c r="R101" s="207"/>
      <c r="S101" s="207"/>
      <c r="T101" s="207"/>
      <c r="U101" s="207"/>
      <c r="V101" s="207"/>
      <c r="W101" s="207"/>
    </row>
    <row r="102" spans="14:23" x14ac:dyDescent="0.25">
      <c r="N102" s="207"/>
      <c r="O102" s="207"/>
      <c r="P102" s="207"/>
      <c r="Q102" s="207"/>
      <c r="R102" s="207"/>
      <c r="S102" s="207"/>
      <c r="T102" s="207"/>
      <c r="U102" s="207"/>
      <c r="V102" s="207"/>
      <c r="W102" s="207"/>
    </row>
    <row r="103" spans="14:23" x14ac:dyDescent="0.25">
      <c r="N103" s="207"/>
      <c r="O103" s="207"/>
      <c r="P103" s="207"/>
      <c r="Q103" s="207"/>
      <c r="R103" s="207"/>
      <c r="S103" s="207"/>
      <c r="T103" s="207"/>
      <c r="U103" s="207"/>
      <c r="V103" s="207"/>
      <c r="W103" s="207"/>
    </row>
    <row r="104" spans="14:23" x14ac:dyDescent="0.25">
      <c r="N104" s="207"/>
      <c r="O104" s="207"/>
      <c r="P104" s="207"/>
      <c r="Q104" s="207"/>
      <c r="R104" s="207"/>
      <c r="S104" s="207"/>
      <c r="T104" s="207"/>
      <c r="U104" s="207"/>
      <c r="V104" s="207"/>
      <c r="W104" s="207"/>
    </row>
    <row r="105" spans="14:23" x14ac:dyDescent="0.25">
      <c r="N105" s="207"/>
      <c r="O105" s="207"/>
      <c r="P105" s="207"/>
      <c r="Q105" s="207"/>
      <c r="R105" s="207"/>
      <c r="S105" s="207"/>
      <c r="T105" s="207"/>
      <c r="U105" s="207"/>
      <c r="V105" s="207"/>
      <c r="W105" s="207"/>
    </row>
    <row r="106" spans="14:23" x14ac:dyDescent="0.25">
      <c r="N106" s="207"/>
      <c r="O106" s="207"/>
      <c r="P106" s="207"/>
      <c r="Q106" s="207"/>
      <c r="R106" s="207"/>
      <c r="S106" s="207"/>
      <c r="T106" s="207"/>
      <c r="U106" s="207"/>
      <c r="V106" s="207"/>
      <c r="W106" s="207"/>
    </row>
    <row r="107" spans="14:23" x14ac:dyDescent="0.25">
      <c r="N107" s="207"/>
      <c r="O107" s="207"/>
      <c r="P107" s="207"/>
      <c r="Q107" s="207"/>
      <c r="R107" s="207"/>
      <c r="S107" s="207"/>
      <c r="T107" s="207"/>
      <c r="U107" s="207"/>
      <c r="V107" s="207"/>
      <c r="W107" s="207"/>
    </row>
    <row r="108" spans="14:23" x14ac:dyDescent="0.25">
      <c r="N108" s="207"/>
      <c r="O108" s="207"/>
      <c r="P108" s="207"/>
      <c r="Q108" s="207"/>
      <c r="R108" s="207"/>
      <c r="S108" s="207"/>
      <c r="T108" s="207"/>
      <c r="U108" s="207"/>
      <c r="V108" s="207"/>
      <c r="W108" s="207"/>
    </row>
    <row r="109" spans="14:23" x14ac:dyDescent="0.25">
      <c r="N109" s="207"/>
      <c r="O109" s="207"/>
      <c r="P109" s="207"/>
      <c r="Q109" s="207"/>
      <c r="R109" s="207"/>
      <c r="S109" s="207"/>
      <c r="T109" s="207"/>
      <c r="U109" s="207"/>
      <c r="V109" s="207"/>
      <c r="W109" s="207"/>
    </row>
    <row r="110" spans="14:23" x14ac:dyDescent="0.25">
      <c r="N110" s="207"/>
      <c r="O110" s="207"/>
      <c r="P110" s="207"/>
      <c r="Q110" s="207"/>
      <c r="R110" s="207"/>
      <c r="S110" s="207"/>
      <c r="T110" s="207"/>
      <c r="U110" s="207"/>
      <c r="V110" s="207"/>
      <c r="W110" s="207"/>
    </row>
    <row r="111" spans="14:23" x14ac:dyDescent="0.25">
      <c r="N111" s="207"/>
      <c r="O111" s="207"/>
      <c r="P111" s="207"/>
      <c r="Q111" s="207"/>
      <c r="R111" s="207"/>
      <c r="S111" s="207"/>
      <c r="T111" s="207"/>
      <c r="U111" s="207"/>
      <c r="V111" s="207"/>
      <c r="W111" s="207"/>
    </row>
    <row r="112" spans="14:23" x14ac:dyDescent="0.25">
      <c r="N112" s="207"/>
      <c r="O112" s="207"/>
      <c r="P112" s="207"/>
      <c r="Q112" s="207"/>
      <c r="R112" s="207"/>
      <c r="S112" s="207"/>
      <c r="T112" s="207"/>
      <c r="U112" s="207"/>
      <c r="V112" s="207"/>
      <c r="W112" s="207"/>
    </row>
    <row r="113" spans="1:23" x14ac:dyDescent="0.25">
      <c r="A113" s="825"/>
      <c r="B113" s="825"/>
      <c r="C113" s="825"/>
      <c r="D113" s="825"/>
      <c r="E113" s="825"/>
      <c r="F113" s="825"/>
      <c r="G113" s="825"/>
      <c r="H113" s="825"/>
      <c r="I113" s="825"/>
      <c r="J113" s="825"/>
      <c r="K113" s="825"/>
      <c r="L113" s="825"/>
      <c r="M113" s="825"/>
      <c r="N113" s="207"/>
      <c r="O113" s="207"/>
      <c r="P113" s="207"/>
      <c r="Q113" s="207"/>
      <c r="R113" s="207"/>
      <c r="S113" s="207"/>
      <c r="T113" s="207"/>
      <c r="U113" s="207"/>
      <c r="V113" s="207"/>
      <c r="W113" s="207"/>
    </row>
    <row r="114" spans="1:23" x14ac:dyDescent="0.25">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row>
    <row r="115" spans="1:23" x14ac:dyDescent="0.25">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row>
    <row r="116" spans="1:23" x14ac:dyDescent="0.25">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row>
    <row r="117" spans="1:23" x14ac:dyDescent="0.25">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row>
  </sheetData>
  <mergeCells count="1">
    <mergeCell ref="J29:J34"/>
  </mergeCells>
  <conditionalFormatting sqref="A6:A17 A24:A112">
    <cfRule type="expression" dxfId="1797" priority="11">
      <formula>MOD(ROW(),2)=0</formula>
    </cfRule>
    <cfRule type="expression" priority="12">
      <formula>MOD(ROW(),2)=0</formula>
    </cfRule>
  </conditionalFormatting>
  <conditionalFormatting sqref="A114:XFD118 N26:XFD113 A26:A113">
    <cfRule type="expression" priority="10">
      <formula>MOD(ROW(),2)=0</formula>
    </cfRule>
  </conditionalFormatting>
  <conditionalFormatting sqref="A114:XFD117 N26:XFD113 A26:A113">
    <cfRule type="expression" dxfId="1796" priority="9">
      <formula>MOD(ROW(),2)=0</formula>
    </cfRule>
  </conditionalFormatting>
  <conditionalFormatting sqref="A7:A16">
    <cfRule type="expression" dxfId="1795" priority="8">
      <formula>MOD(ROW(),2)=0</formula>
    </cfRule>
  </conditionalFormatting>
  <conditionalFormatting sqref="A18:A23">
    <cfRule type="expression" dxfId="1794" priority="6">
      <formula>MOD(ROW(),2)=0</formula>
    </cfRule>
    <cfRule type="expression" priority="7">
      <formula>MOD(ROW(),2)=0</formula>
    </cfRule>
  </conditionalFormatting>
  <conditionalFormatting sqref="A18:A23">
    <cfRule type="expression" dxfId="1793" priority="5">
      <formula>MOD(ROW(),2)=0</formula>
    </cfRule>
  </conditionalFormatting>
  <conditionalFormatting sqref="A104:XFD112 A6:A103 N6:XFD103">
    <cfRule type="expression" dxfId="1792" priority="2">
      <formula>MOD(ROW(),2)=0</formula>
    </cfRule>
    <cfRule type="expression" dxfId="1791" priority="3">
      <formula>MOD(ROW(),2)=0</formula>
    </cfRule>
  </conditionalFormatting>
  <conditionalFormatting sqref="A6:A24">
    <cfRule type="expression" dxfId="1790" priority="1">
      <formula>MOD(ROW(),$A$7)=0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B050"/>
  </sheetPr>
  <dimension ref="A3:M16"/>
  <sheetViews>
    <sheetView topLeftCell="B1" zoomScale="90" zoomScaleNormal="90" workbookViewId="0">
      <selection activeCell="C5" sqref="C5"/>
    </sheetView>
  </sheetViews>
  <sheetFormatPr baseColWidth="10" defaultColWidth="11.59765625" defaultRowHeight="15.65" x14ac:dyDescent="0.25"/>
  <cols>
    <col min="1" max="1" width="76.796875" bestFit="1" customWidth="1"/>
    <col min="2" max="2" width="22.296875" bestFit="1" customWidth="1"/>
    <col min="3" max="3" width="21.296875" hidden="1" customWidth="1"/>
    <col min="4" max="4" width="15.19921875" bestFit="1" customWidth="1"/>
    <col min="5" max="5" width="21.296875" hidden="1" customWidth="1"/>
    <col min="6" max="6" width="15.19921875" bestFit="1" customWidth="1"/>
    <col min="7" max="7" width="21.296875" hidden="1" customWidth="1"/>
    <col min="8" max="8" width="15.19921875" bestFit="1" customWidth="1"/>
    <col min="9" max="9" width="21.296875" hidden="1" customWidth="1"/>
    <col min="10" max="10" width="15.19921875" bestFit="1" customWidth="1"/>
    <col min="11" max="11" width="21.296875" hidden="1" customWidth="1"/>
    <col min="12" max="12" width="13.3984375" bestFit="1" customWidth="1"/>
    <col min="13" max="13" width="10.3984375" bestFit="1" customWidth="1"/>
  </cols>
  <sheetData>
    <row r="3" spans="1:13" x14ac:dyDescent="0.25">
      <c r="A3" s="825"/>
      <c r="B3" s="193" t="s">
        <v>144</v>
      </c>
      <c r="C3" s="825"/>
      <c r="D3" s="825"/>
      <c r="E3" s="825"/>
      <c r="F3" s="825"/>
      <c r="G3" s="825"/>
      <c r="H3" s="825"/>
      <c r="I3" s="825"/>
      <c r="J3" s="825"/>
      <c r="K3" s="825"/>
      <c r="L3" s="825"/>
      <c r="M3" s="825"/>
    </row>
    <row r="4" spans="1:13" s="287" customFormat="1" ht="62.5" x14ac:dyDescent="0.25">
      <c r="A4" s="825"/>
      <c r="B4" s="214" t="s">
        <v>137</v>
      </c>
      <c r="C4" s="214"/>
      <c r="D4" s="214" t="s">
        <v>132</v>
      </c>
      <c r="E4" s="214"/>
      <c r="F4" s="214" t="s">
        <v>134</v>
      </c>
      <c r="G4" s="214"/>
      <c r="H4" s="214" t="s">
        <v>120</v>
      </c>
      <c r="I4" s="214"/>
      <c r="J4" s="214" t="s">
        <v>139</v>
      </c>
      <c r="K4" s="214"/>
      <c r="L4" s="214" t="s">
        <v>250</v>
      </c>
      <c r="M4" s="214" t="s">
        <v>251</v>
      </c>
    </row>
    <row r="5" spans="1:13" x14ac:dyDescent="0.25">
      <c r="A5" s="338" t="s">
        <v>191</v>
      </c>
      <c r="B5" s="825" t="s">
        <v>234</v>
      </c>
      <c r="C5" s="825" t="s">
        <v>252</v>
      </c>
      <c r="D5" s="825" t="s">
        <v>234</v>
      </c>
      <c r="E5" s="825" t="s">
        <v>252</v>
      </c>
      <c r="F5" s="825" t="s">
        <v>234</v>
      </c>
      <c r="G5" s="825" t="s">
        <v>252</v>
      </c>
      <c r="H5" s="825" t="s">
        <v>234</v>
      </c>
      <c r="I5" s="825" t="s">
        <v>252</v>
      </c>
      <c r="J5" s="825" t="s">
        <v>234</v>
      </c>
      <c r="K5" s="825" t="s">
        <v>252</v>
      </c>
      <c r="L5" s="214"/>
      <c r="M5" s="214"/>
    </row>
    <row r="6" spans="1:13" x14ac:dyDescent="0.25">
      <c r="A6" s="195" t="s">
        <v>194</v>
      </c>
      <c r="B6" s="211">
        <v>96285018</v>
      </c>
      <c r="C6" s="211">
        <v>9</v>
      </c>
      <c r="D6" s="211">
        <v>95061576</v>
      </c>
      <c r="E6" s="211">
        <v>8</v>
      </c>
      <c r="F6" s="211">
        <v>94696774</v>
      </c>
      <c r="G6" s="211">
        <v>7</v>
      </c>
      <c r="H6" s="211">
        <v>364920710</v>
      </c>
      <c r="I6" s="211">
        <v>8</v>
      </c>
      <c r="J6" s="211"/>
      <c r="K6" s="211"/>
      <c r="L6" s="211">
        <v>650964078</v>
      </c>
      <c r="M6" s="211">
        <v>32</v>
      </c>
    </row>
    <row r="7" spans="1:13" x14ac:dyDescent="0.25">
      <c r="A7" s="195" t="s">
        <v>195</v>
      </c>
      <c r="B7" s="211">
        <v>135386125</v>
      </c>
      <c r="C7" s="211">
        <v>8</v>
      </c>
      <c r="D7" s="211">
        <v>121899199.99999999</v>
      </c>
      <c r="E7" s="211">
        <v>7</v>
      </c>
      <c r="F7" s="211">
        <v>97535900</v>
      </c>
      <c r="G7" s="211">
        <v>7</v>
      </c>
      <c r="H7" s="211">
        <v>279756540</v>
      </c>
      <c r="I7" s="211">
        <v>7</v>
      </c>
      <c r="J7" s="211">
        <v>7950000</v>
      </c>
      <c r="K7" s="211">
        <v>3</v>
      </c>
      <c r="L7" s="211">
        <v>642527765</v>
      </c>
      <c r="M7" s="211">
        <v>32</v>
      </c>
    </row>
    <row r="8" spans="1:13" x14ac:dyDescent="0.25">
      <c r="A8" s="426" t="s">
        <v>200</v>
      </c>
      <c r="B8" s="427">
        <v>38320000.000000007</v>
      </c>
      <c r="C8" s="427">
        <v>1</v>
      </c>
      <c r="D8" s="427">
        <v>136480000.00000003</v>
      </c>
      <c r="E8" s="427">
        <v>1</v>
      </c>
      <c r="F8" s="427">
        <v>26240000.000000004</v>
      </c>
      <c r="G8" s="427">
        <v>1</v>
      </c>
      <c r="H8" s="427">
        <v>264120000.00000003</v>
      </c>
      <c r="I8" s="427">
        <v>2</v>
      </c>
      <c r="J8" s="427"/>
      <c r="K8" s="427"/>
      <c r="L8" s="427">
        <v>465160000.00000006</v>
      </c>
      <c r="M8" s="427">
        <v>5</v>
      </c>
    </row>
    <row r="9" spans="1:13" x14ac:dyDescent="0.25">
      <c r="A9" s="195" t="s">
        <v>196</v>
      </c>
      <c r="B9" s="211">
        <v>74633460</v>
      </c>
      <c r="C9" s="211">
        <v>9</v>
      </c>
      <c r="D9" s="211">
        <v>92440865</v>
      </c>
      <c r="E9" s="211">
        <v>9</v>
      </c>
      <c r="F9" s="211">
        <v>73154450</v>
      </c>
      <c r="G9" s="211">
        <v>7</v>
      </c>
      <c r="H9" s="211">
        <v>175110146</v>
      </c>
      <c r="I9" s="211">
        <v>9</v>
      </c>
      <c r="J9" s="211">
        <v>720000</v>
      </c>
      <c r="K9" s="211">
        <v>1</v>
      </c>
      <c r="L9" s="211">
        <v>416058921</v>
      </c>
      <c r="M9" s="211">
        <v>35</v>
      </c>
    </row>
    <row r="10" spans="1:13" x14ac:dyDescent="0.25">
      <c r="A10" s="195" t="s">
        <v>201</v>
      </c>
      <c r="B10" s="211">
        <v>28467875</v>
      </c>
      <c r="C10" s="211">
        <v>3</v>
      </c>
      <c r="D10" s="211">
        <v>37396250</v>
      </c>
      <c r="E10" s="211">
        <v>5</v>
      </c>
      <c r="F10" s="211">
        <v>70403125</v>
      </c>
      <c r="G10" s="211">
        <v>5</v>
      </c>
      <c r="H10" s="211">
        <v>90890000</v>
      </c>
      <c r="I10" s="211">
        <v>5</v>
      </c>
      <c r="J10" s="211">
        <v>3250000</v>
      </c>
      <c r="K10" s="211">
        <v>2</v>
      </c>
      <c r="L10" s="211">
        <v>230407250</v>
      </c>
      <c r="M10" s="211">
        <v>20</v>
      </c>
    </row>
    <row r="11" spans="1:13" x14ac:dyDescent="0.25">
      <c r="A11" s="195" t="s">
        <v>204</v>
      </c>
      <c r="B11" s="211">
        <v>58770872.172146879</v>
      </c>
      <c r="C11" s="211">
        <v>9</v>
      </c>
      <c r="D11" s="211">
        <v>17798893.385296091</v>
      </c>
      <c r="E11" s="211">
        <v>11</v>
      </c>
      <c r="F11" s="211">
        <v>58947650.753453925</v>
      </c>
      <c r="G11" s="211">
        <v>10</v>
      </c>
      <c r="H11" s="211">
        <v>53281660.130710952</v>
      </c>
      <c r="I11" s="211">
        <v>10</v>
      </c>
      <c r="J11" s="211">
        <v>20992447.120000001</v>
      </c>
      <c r="K11" s="211">
        <v>7</v>
      </c>
      <c r="L11" s="211">
        <v>209791523.56160787</v>
      </c>
      <c r="M11" s="211">
        <v>47</v>
      </c>
    </row>
    <row r="12" spans="1:13" x14ac:dyDescent="0.25">
      <c r="A12" s="195" t="s">
        <v>202</v>
      </c>
      <c r="B12" s="211">
        <v>9874055.3191403169</v>
      </c>
      <c r="C12" s="211">
        <v>12</v>
      </c>
      <c r="D12" s="211">
        <v>26439409.664146077</v>
      </c>
      <c r="E12" s="211">
        <v>13</v>
      </c>
      <c r="F12" s="211">
        <v>11880565.034823416</v>
      </c>
      <c r="G12" s="211">
        <v>13</v>
      </c>
      <c r="H12" s="211">
        <v>67947519.642122015</v>
      </c>
      <c r="I12" s="211">
        <v>15</v>
      </c>
      <c r="J12" s="211">
        <v>7305077.1730569415</v>
      </c>
      <c r="K12" s="211">
        <v>17</v>
      </c>
      <c r="L12" s="211">
        <v>123446626.8332888</v>
      </c>
      <c r="M12" s="211">
        <v>70</v>
      </c>
    </row>
    <row r="13" spans="1:13" x14ac:dyDescent="0.25">
      <c r="A13" s="195" t="s">
        <v>197</v>
      </c>
      <c r="B13" s="211">
        <v>27073687.807999998</v>
      </c>
      <c r="C13" s="211">
        <v>5</v>
      </c>
      <c r="D13" s="211">
        <v>3390000</v>
      </c>
      <c r="E13" s="211">
        <v>3</v>
      </c>
      <c r="F13" s="211">
        <v>8796882.2960000001</v>
      </c>
      <c r="G13" s="211">
        <v>6</v>
      </c>
      <c r="H13" s="211">
        <v>5340000</v>
      </c>
      <c r="I13" s="211">
        <v>3</v>
      </c>
      <c r="J13" s="211">
        <v>68530000</v>
      </c>
      <c r="K13" s="211">
        <v>5</v>
      </c>
      <c r="L13" s="211">
        <v>113130570.104</v>
      </c>
      <c r="M13" s="211">
        <v>22</v>
      </c>
    </row>
    <row r="14" spans="1:13" x14ac:dyDescent="0.25">
      <c r="A14" s="195" t="s">
        <v>198</v>
      </c>
      <c r="B14" s="211">
        <v>7200000</v>
      </c>
      <c r="C14" s="211">
        <v>3</v>
      </c>
      <c r="D14" s="211">
        <v>29460000</v>
      </c>
      <c r="E14" s="211">
        <v>4</v>
      </c>
      <c r="F14" s="211">
        <v>4560000</v>
      </c>
      <c r="G14" s="211">
        <v>3</v>
      </c>
      <c r="H14" s="211">
        <v>10872000</v>
      </c>
      <c r="I14" s="211">
        <v>4</v>
      </c>
      <c r="J14" s="211">
        <v>4800000</v>
      </c>
      <c r="K14" s="211">
        <v>1</v>
      </c>
      <c r="L14" s="211">
        <v>56892000</v>
      </c>
      <c r="M14" s="211">
        <v>15</v>
      </c>
    </row>
    <row r="15" spans="1:13" x14ac:dyDescent="0.25">
      <c r="A15" s="195" t="s">
        <v>205</v>
      </c>
      <c r="B15" s="211">
        <v>2025000</v>
      </c>
      <c r="C15" s="211">
        <v>4</v>
      </c>
      <c r="D15" s="211">
        <v>2675000</v>
      </c>
      <c r="E15" s="211">
        <v>5</v>
      </c>
      <c r="F15" s="211">
        <v>2365000</v>
      </c>
      <c r="G15" s="211">
        <v>5</v>
      </c>
      <c r="H15" s="211">
        <v>7100000</v>
      </c>
      <c r="I15" s="211">
        <v>7</v>
      </c>
      <c r="J15" s="211">
        <v>10060000</v>
      </c>
      <c r="K15" s="211">
        <v>3</v>
      </c>
      <c r="L15" s="211">
        <v>24225000</v>
      </c>
      <c r="M15" s="211">
        <v>24</v>
      </c>
    </row>
    <row r="16" spans="1:13" x14ac:dyDescent="0.25">
      <c r="A16" s="209" t="s">
        <v>141</v>
      </c>
      <c r="B16" s="211">
        <v>478036093.29928714</v>
      </c>
      <c r="C16" s="211">
        <v>63</v>
      </c>
      <c r="D16" s="211">
        <v>563041194.04944217</v>
      </c>
      <c r="E16" s="211">
        <v>66</v>
      </c>
      <c r="F16" s="211">
        <v>448580347.08427739</v>
      </c>
      <c r="G16" s="211">
        <v>64</v>
      </c>
      <c r="H16" s="211">
        <v>1319338575.7728329</v>
      </c>
      <c r="I16" s="211">
        <v>70</v>
      </c>
      <c r="J16" s="211">
        <v>123607524.29305695</v>
      </c>
      <c r="K16" s="211">
        <v>39</v>
      </c>
      <c r="L16" s="211">
        <v>2932603734.4988971</v>
      </c>
      <c r="M16" s="211">
        <v>302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B050"/>
  </sheetPr>
  <dimension ref="A1:C10"/>
  <sheetViews>
    <sheetView workbookViewId="0">
      <selection activeCell="C5" sqref="C5"/>
    </sheetView>
  </sheetViews>
  <sheetFormatPr baseColWidth="10" defaultColWidth="11.59765625" defaultRowHeight="15.65" x14ac:dyDescent="0.25"/>
  <cols>
    <col min="1" max="1" width="35.8984375" bestFit="1" customWidth="1"/>
    <col min="2" max="2" width="21.59765625" bestFit="1" customWidth="1"/>
    <col min="3" max="3" width="15.19921875" bestFit="1" customWidth="1"/>
    <col min="4" max="13" width="7.59765625" bestFit="1" customWidth="1"/>
    <col min="14" max="64" width="8.59765625" bestFit="1" customWidth="1"/>
    <col min="65" max="139" width="10" bestFit="1" customWidth="1"/>
    <col min="140" max="186" width="11" bestFit="1" customWidth="1"/>
    <col min="187" max="190" width="12" bestFit="1" customWidth="1"/>
    <col min="191" max="191" width="12.59765625" bestFit="1" customWidth="1"/>
  </cols>
  <sheetData>
    <row r="1" spans="1:3" x14ac:dyDescent="0.25">
      <c r="A1" s="193" t="s">
        <v>253</v>
      </c>
      <c r="B1" s="825" t="s">
        <v>254</v>
      </c>
      <c r="C1" s="825"/>
    </row>
    <row r="3" spans="1:3" x14ac:dyDescent="0.25">
      <c r="A3" s="193" t="s">
        <v>191</v>
      </c>
      <c r="B3" s="825" t="s">
        <v>252</v>
      </c>
      <c r="C3" s="825" t="s">
        <v>234</v>
      </c>
    </row>
    <row r="4" spans="1:3" x14ac:dyDescent="0.25">
      <c r="A4" s="209" t="s">
        <v>137</v>
      </c>
      <c r="B4" s="194">
        <v>39</v>
      </c>
      <c r="C4" s="211">
        <v>409717879.5409413</v>
      </c>
    </row>
    <row r="5" spans="1:3" x14ac:dyDescent="0.25">
      <c r="A5" s="209" t="s">
        <v>132</v>
      </c>
      <c r="B5" s="194">
        <v>36</v>
      </c>
      <c r="C5" s="211">
        <v>368884810.78687197</v>
      </c>
    </row>
    <row r="6" spans="1:3" x14ac:dyDescent="0.25">
      <c r="A6" s="209" t="s">
        <v>134</v>
      </c>
      <c r="B6" s="194">
        <v>31</v>
      </c>
      <c r="C6" s="211">
        <v>287989483.27399755</v>
      </c>
    </row>
    <row r="7" spans="1:3" x14ac:dyDescent="0.25">
      <c r="A7" s="209" t="s">
        <v>120</v>
      </c>
      <c r="B7" s="194">
        <v>38</v>
      </c>
      <c r="C7" s="211">
        <v>947454769.89521003</v>
      </c>
    </row>
    <row r="8" spans="1:3" x14ac:dyDescent="0.25">
      <c r="A8" s="209" t="s">
        <v>139</v>
      </c>
      <c r="B8" s="194">
        <v>8</v>
      </c>
      <c r="C8" s="211">
        <v>87732000</v>
      </c>
    </row>
    <row r="9" spans="1:3" x14ac:dyDescent="0.25">
      <c r="A9" s="209" t="s">
        <v>141</v>
      </c>
      <c r="B9" s="194">
        <v>152</v>
      </c>
      <c r="C9" s="211">
        <v>2101778943.497021</v>
      </c>
    </row>
    <row r="10" spans="1:3" x14ac:dyDescent="0.25">
      <c r="A10" s="825"/>
      <c r="B10" s="825"/>
      <c r="C10" s="22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I264"/>
  <sheetViews>
    <sheetView zoomScale="80" zoomScaleNormal="80" workbookViewId="0">
      <selection activeCell="C5" sqref="C5"/>
    </sheetView>
  </sheetViews>
  <sheetFormatPr baseColWidth="10" defaultColWidth="11.59765625" defaultRowHeight="15.65" x14ac:dyDescent="0.25"/>
  <cols>
    <col min="1" max="1" width="223.796875" style="227" bestFit="1" customWidth="1"/>
    <col min="2" max="2" width="17.59765625" bestFit="1" customWidth="1"/>
    <col min="3" max="3" width="8.796875" bestFit="1" customWidth="1"/>
    <col min="4" max="4" width="9.3984375" bestFit="1" customWidth="1"/>
    <col min="5" max="5" width="16.19921875" bestFit="1" customWidth="1"/>
    <col min="6" max="6" width="16.296875" bestFit="1" customWidth="1"/>
    <col min="7" max="7" width="9.59765625" bestFit="1" customWidth="1"/>
    <col min="8" max="8" width="7.19921875" bestFit="1" customWidth="1"/>
    <col min="9" max="10" width="7.796875" bestFit="1" customWidth="1"/>
  </cols>
  <sheetData>
    <row r="1" spans="1:9" x14ac:dyDescent="0.25">
      <c r="A1" s="687" t="s">
        <v>142</v>
      </c>
      <c r="B1" s="686" t="s">
        <v>150</v>
      </c>
      <c r="C1" s="825"/>
      <c r="D1" s="825"/>
      <c r="E1" s="825"/>
      <c r="F1" s="825"/>
      <c r="G1" s="825"/>
      <c r="H1" s="825"/>
      <c r="I1" s="825"/>
    </row>
    <row r="3" spans="1:9" hidden="1" x14ac:dyDescent="0.25">
      <c r="A3" s="226" t="s">
        <v>252</v>
      </c>
      <c r="B3" s="193" t="s">
        <v>144</v>
      </c>
      <c r="C3" s="825"/>
      <c r="D3" s="825"/>
      <c r="E3" s="825"/>
      <c r="F3" s="825"/>
      <c r="G3" s="825"/>
      <c r="H3" s="825"/>
      <c r="I3" s="825"/>
    </row>
    <row r="4" spans="1:9" ht="31.25" x14ac:dyDescent="0.25">
      <c r="A4" s="688" t="s">
        <v>255</v>
      </c>
      <c r="B4" s="214" t="s">
        <v>256</v>
      </c>
      <c r="C4" s="214" t="s">
        <v>257</v>
      </c>
      <c r="D4" s="214" t="s">
        <v>258</v>
      </c>
      <c r="E4" s="214" t="s">
        <v>259</v>
      </c>
      <c r="F4" s="214" t="s">
        <v>260</v>
      </c>
      <c r="G4" s="214" t="s">
        <v>261</v>
      </c>
      <c r="H4" s="214" t="s">
        <v>262</v>
      </c>
      <c r="I4" s="214" t="s">
        <v>141</v>
      </c>
    </row>
    <row r="5" spans="1:9" x14ac:dyDescent="0.25">
      <c r="A5" s="209" t="s">
        <v>170</v>
      </c>
      <c r="B5" s="194"/>
      <c r="C5" s="194"/>
      <c r="D5" s="194">
        <v>13</v>
      </c>
      <c r="E5" s="194"/>
      <c r="F5" s="194"/>
      <c r="G5" s="194"/>
      <c r="H5" s="194"/>
      <c r="I5" s="194">
        <v>13</v>
      </c>
    </row>
    <row r="6" spans="1:9" x14ac:dyDescent="0.25">
      <c r="A6" s="195" t="s">
        <v>136</v>
      </c>
      <c r="B6" s="194"/>
      <c r="C6" s="194"/>
      <c r="D6" s="194">
        <v>2</v>
      </c>
      <c r="E6" s="194"/>
      <c r="F6" s="194"/>
      <c r="G6" s="194"/>
      <c r="H6" s="194"/>
      <c r="I6" s="194">
        <v>2</v>
      </c>
    </row>
    <row r="7" spans="1:9" x14ac:dyDescent="0.25">
      <c r="A7" s="195" t="s">
        <v>125</v>
      </c>
      <c r="B7" s="194"/>
      <c r="C7" s="194"/>
      <c r="D7" s="194">
        <v>3</v>
      </c>
      <c r="E7" s="194"/>
      <c r="F7" s="194"/>
      <c r="G7" s="194"/>
      <c r="H7" s="194"/>
      <c r="I7" s="194">
        <v>3</v>
      </c>
    </row>
    <row r="8" spans="1:9" x14ac:dyDescent="0.25">
      <c r="A8" s="195" t="s">
        <v>126</v>
      </c>
      <c r="B8" s="194"/>
      <c r="C8" s="194"/>
      <c r="D8" s="194">
        <v>4</v>
      </c>
      <c r="E8" s="194"/>
      <c r="F8" s="194"/>
      <c r="G8" s="194"/>
      <c r="H8" s="194"/>
      <c r="I8" s="194">
        <v>4</v>
      </c>
    </row>
    <row r="9" spans="1:9" x14ac:dyDescent="0.25">
      <c r="A9" s="195" t="s">
        <v>129</v>
      </c>
      <c r="B9" s="194"/>
      <c r="C9" s="194"/>
      <c r="D9" s="194">
        <v>4</v>
      </c>
      <c r="E9" s="194"/>
      <c r="F9" s="194"/>
      <c r="G9" s="194"/>
      <c r="H9" s="194"/>
      <c r="I9" s="194">
        <v>4</v>
      </c>
    </row>
    <row r="10" spans="1:9" x14ac:dyDescent="0.25">
      <c r="A10" s="227" t="s">
        <v>168</v>
      </c>
      <c r="B10" s="194">
        <v>11</v>
      </c>
      <c r="C10" s="194"/>
      <c r="D10" s="194"/>
      <c r="E10" s="194"/>
      <c r="F10" s="194"/>
      <c r="G10" s="194"/>
      <c r="H10" s="194"/>
      <c r="I10" s="194">
        <v>11</v>
      </c>
    </row>
    <row r="11" spans="1:9" x14ac:dyDescent="0.25">
      <c r="A11" s="223" t="s">
        <v>125</v>
      </c>
      <c r="B11" s="194">
        <v>3</v>
      </c>
      <c r="C11" s="194"/>
      <c r="D11" s="194"/>
      <c r="E11" s="194"/>
      <c r="F11" s="194"/>
      <c r="G11" s="194"/>
      <c r="H11" s="194"/>
      <c r="I11" s="194">
        <v>3</v>
      </c>
    </row>
    <row r="12" spans="1:9" x14ac:dyDescent="0.25">
      <c r="A12" s="223" t="s">
        <v>126</v>
      </c>
      <c r="B12" s="194">
        <v>4</v>
      </c>
      <c r="C12" s="194"/>
      <c r="D12" s="194"/>
      <c r="E12" s="194"/>
      <c r="F12" s="194"/>
      <c r="G12" s="194"/>
      <c r="H12" s="194"/>
      <c r="I12" s="194">
        <v>4</v>
      </c>
    </row>
    <row r="13" spans="1:9" x14ac:dyDescent="0.25">
      <c r="A13" s="195" t="s">
        <v>129</v>
      </c>
      <c r="B13" s="194">
        <v>4</v>
      </c>
      <c r="C13" s="194"/>
      <c r="D13" s="194"/>
      <c r="E13" s="194"/>
      <c r="F13" s="194"/>
      <c r="G13" s="194"/>
      <c r="H13" s="194"/>
      <c r="I13" s="194">
        <v>4</v>
      </c>
    </row>
    <row r="14" spans="1:9" x14ac:dyDescent="0.25">
      <c r="A14" s="227" t="s">
        <v>165</v>
      </c>
      <c r="B14" s="194"/>
      <c r="C14" s="194"/>
      <c r="D14" s="194"/>
      <c r="E14" s="194">
        <v>11</v>
      </c>
      <c r="F14" s="194"/>
      <c r="G14" s="194"/>
      <c r="H14" s="194"/>
      <c r="I14" s="194">
        <v>11</v>
      </c>
    </row>
    <row r="15" spans="1:9" x14ac:dyDescent="0.25">
      <c r="A15" s="223" t="s">
        <v>125</v>
      </c>
      <c r="B15" s="194"/>
      <c r="C15" s="194"/>
      <c r="D15" s="194"/>
      <c r="E15" s="194">
        <v>3</v>
      </c>
      <c r="F15" s="194"/>
      <c r="G15" s="194"/>
      <c r="H15" s="194"/>
      <c r="I15" s="194">
        <v>3</v>
      </c>
    </row>
    <row r="16" spans="1:9" x14ac:dyDescent="0.25">
      <c r="A16" s="223" t="s">
        <v>126</v>
      </c>
      <c r="B16" s="194"/>
      <c r="C16" s="194"/>
      <c r="D16" s="194"/>
      <c r="E16" s="194">
        <v>4</v>
      </c>
      <c r="F16" s="194"/>
      <c r="G16" s="194"/>
      <c r="H16" s="194"/>
      <c r="I16" s="194">
        <v>4</v>
      </c>
    </row>
    <row r="17" spans="1:9" x14ac:dyDescent="0.25">
      <c r="A17" s="195" t="s">
        <v>129</v>
      </c>
      <c r="B17" s="194"/>
      <c r="C17" s="194"/>
      <c r="D17" s="194"/>
      <c r="E17" s="194">
        <v>4</v>
      </c>
      <c r="F17" s="194"/>
      <c r="G17" s="194"/>
      <c r="H17" s="194"/>
      <c r="I17" s="194">
        <v>4</v>
      </c>
    </row>
    <row r="18" spans="1:9" x14ac:dyDescent="0.25">
      <c r="A18" s="227" t="s">
        <v>163</v>
      </c>
      <c r="B18" s="194"/>
      <c r="C18" s="194">
        <v>11</v>
      </c>
      <c r="D18" s="194"/>
      <c r="E18" s="194"/>
      <c r="F18" s="194"/>
      <c r="G18" s="194"/>
      <c r="H18" s="194"/>
      <c r="I18" s="194">
        <v>11</v>
      </c>
    </row>
    <row r="19" spans="1:9" x14ac:dyDescent="0.25">
      <c r="A19" s="223" t="s">
        <v>125</v>
      </c>
      <c r="B19" s="194"/>
      <c r="C19" s="194">
        <v>3</v>
      </c>
      <c r="D19" s="194"/>
      <c r="E19" s="194"/>
      <c r="F19" s="194"/>
      <c r="G19" s="194"/>
      <c r="H19" s="194"/>
      <c r="I19" s="194">
        <v>3</v>
      </c>
    </row>
    <row r="20" spans="1:9" x14ac:dyDescent="0.25">
      <c r="A20" s="223" t="s">
        <v>126</v>
      </c>
      <c r="B20" s="194"/>
      <c r="C20" s="194">
        <v>4</v>
      </c>
      <c r="D20" s="194"/>
      <c r="E20" s="194"/>
      <c r="F20" s="194"/>
      <c r="G20" s="194"/>
      <c r="H20" s="194"/>
      <c r="I20" s="194">
        <v>4</v>
      </c>
    </row>
    <row r="21" spans="1:9" x14ac:dyDescent="0.25">
      <c r="A21" s="195" t="s">
        <v>129</v>
      </c>
      <c r="B21" s="194"/>
      <c r="C21" s="194">
        <v>4</v>
      </c>
      <c r="D21" s="194"/>
      <c r="E21" s="194"/>
      <c r="F21" s="194"/>
      <c r="G21" s="194"/>
      <c r="H21" s="194"/>
      <c r="I21" s="194">
        <v>4</v>
      </c>
    </row>
    <row r="22" spans="1:9" x14ac:dyDescent="0.25">
      <c r="A22" s="227" t="s">
        <v>162</v>
      </c>
      <c r="B22" s="194"/>
      <c r="C22" s="194"/>
      <c r="D22" s="194"/>
      <c r="E22" s="194">
        <v>8</v>
      </c>
      <c r="F22" s="194"/>
      <c r="G22" s="194"/>
      <c r="H22" s="194"/>
      <c r="I22" s="194">
        <v>8</v>
      </c>
    </row>
    <row r="23" spans="1:9" x14ac:dyDescent="0.25">
      <c r="A23" s="223" t="s">
        <v>126</v>
      </c>
      <c r="B23" s="194"/>
      <c r="C23" s="194"/>
      <c r="D23" s="194"/>
      <c r="E23" s="194">
        <v>4</v>
      </c>
      <c r="F23" s="194"/>
      <c r="G23" s="194"/>
      <c r="H23" s="194"/>
      <c r="I23" s="194">
        <v>4</v>
      </c>
    </row>
    <row r="24" spans="1:9" x14ac:dyDescent="0.25">
      <c r="A24" s="195" t="s">
        <v>129</v>
      </c>
      <c r="B24" s="194"/>
      <c r="C24" s="194"/>
      <c r="D24" s="194"/>
      <c r="E24" s="194">
        <v>4</v>
      </c>
      <c r="F24" s="194"/>
      <c r="G24" s="194"/>
      <c r="H24" s="194"/>
      <c r="I24" s="194">
        <v>4</v>
      </c>
    </row>
    <row r="25" spans="1:9" x14ac:dyDescent="0.25">
      <c r="A25" s="209" t="s">
        <v>182</v>
      </c>
      <c r="B25" s="194">
        <v>7</v>
      </c>
      <c r="C25" s="194"/>
      <c r="D25" s="194"/>
      <c r="E25" s="194"/>
      <c r="F25" s="194"/>
      <c r="G25" s="194"/>
      <c r="H25" s="194"/>
      <c r="I25" s="194">
        <v>7</v>
      </c>
    </row>
    <row r="26" spans="1:9" x14ac:dyDescent="0.25">
      <c r="A26" s="195" t="s">
        <v>127</v>
      </c>
      <c r="B26" s="194">
        <v>3</v>
      </c>
      <c r="C26" s="194"/>
      <c r="D26" s="194"/>
      <c r="E26" s="194"/>
      <c r="F26" s="194"/>
      <c r="G26" s="194"/>
      <c r="H26" s="194"/>
      <c r="I26" s="194">
        <v>3</v>
      </c>
    </row>
    <row r="27" spans="1:9" x14ac:dyDescent="0.25">
      <c r="A27" s="195" t="s">
        <v>131</v>
      </c>
      <c r="B27" s="194">
        <v>4</v>
      </c>
      <c r="C27" s="194"/>
      <c r="D27" s="194"/>
      <c r="E27" s="194"/>
      <c r="F27" s="194"/>
      <c r="G27" s="194"/>
      <c r="H27" s="194"/>
      <c r="I27" s="194">
        <v>4</v>
      </c>
    </row>
    <row r="28" spans="1:9" x14ac:dyDescent="0.25">
      <c r="A28" s="227" t="s">
        <v>263</v>
      </c>
      <c r="B28" s="194"/>
      <c r="C28" s="194"/>
      <c r="D28" s="194"/>
      <c r="E28" s="194"/>
      <c r="F28" s="194">
        <v>7</v>
      </c>
      <c r="G28" s="194"/>
      <c r="H28" s="194"/>
      <c r="I28" s="194">
        <v>7</v>
      </c>
    </row>
    <row r="29" spans="1:9" x14ac:dyDescent="0.25">
      <c r="A29" s="223" t="s">
        <v>125</v>
      </c>
      <c r="B29" s="194"/>
      <c r="C29" s="194"/>
      <c r="D29" s="194"/>
      <c r="E29" s="194"/>
      <c r="F29" s="194">
        <v>3</v>
      </c>
      <c r="G29" s="194"/>
      <c r="H29" s="194"/>
      <c r="I29" s="194">
        <v>3</v>
      </c>
    </row>
    <row r="30" spans="1:9" x14ac:dyDescent="0.25">
      <c r="A30" s="223" t="s">
        <v>126</v>
      </c>
      <c r="B30" s="194"/>
      <c r="C30" s="194"/>
      <c r="D30" s="194"/>
      <c r="E30" s="194"/>
      <c r="F30" s="194">
        <v>4</v>
      </c>
      <c r="G30" s="194"/>
      <c r="H30" s="194"/>
      <c r="I30" s="194">
        <v>4</v>
      </c>
    </row>
    <row r="31" spans="1:9" x14ac:dyDescent="0.25">
      <c r="A31" s="209" t="s">
        <v>177</v>
      </c>
      <c r="B31" s="194"/>
      <c r="C31" s="194"/>
      <c r="D31" s="194"/>
      <c r="E31" s="194"/>
      <c r="F31" s="194">
        <v>7</v>
      </c>
      <c r="G31" s="194"/>
      <c r="H31" s="194"/>
      <c r="I31" s="194">
        <v>7</v>
      </c>
    </row>
    <row r="32" spans="1:9" x14ac:dyDescent="0.25">
      <c r="A32" s="195" t="s">
        <v>122</v>
      </c>
      <c r="B32" s="194"/>
      <c r="C32" s="194"/>
      <c r="D32" s="194"/>
      <c r="E32" s="194"/>
      <c r="F32" s="194">
        <v>4</v>
      </c>
      <c r="G32" s="194"/>
      <c r="H32" s="194"/>
      <c r="I32" s="194">
        <v>4</v>
      </c>
    </row>
    <row r="33" spans="1:9" x14ac:dyDescent="0.25">
      <c r="A33" s="195" t="s">
        <v>130</v>
      </c>
      <c r="B33" s="194"/>
      <c r="C33" s="194"/>
      <c r="D33" s="194"/>
      <c r="E33" s="194"/>
      <c r="F33" s="194">
        <v>3</v>
      </c>
      <c r="G33" s="194"/>
      <c r="H33" s="194"/>
      <c r="I33" s="194">
        <v>3</v>
      </c>
    </row>
    <row r="34" spans="1:9" x14ac:dyDescent="0.25">
      <c r="A34" s="209" t="s">
        <v>181</v>
      </c>
      <c r="B34" s="194">
        <v>7</v>
      </c>
      <c r="C34" s="194"/>
      <c r="D34" s="194"/>
      <c r="E34" s="194"/>
      <c r="F34" s="194"/>
      <c r="G34" s="194"/>
      <c r="H34" s="194"/>
      <c r="I34" s="194">
        <v>7</v>
      </c>
    </row>
    <row r="35" spans="1:9" x14ac:dyDescent="0.25">
      <c r="A35" s="195" t="s">
        <v>127</v>
      </c>
      <c r="B35" s="194">
        <v>3</v>
      </c>
      <c r="C35" s="194"/>
      <c r="D35" s="194"/>
      <c r="E35" s="194"/>
      <c r="F35" s="194"/>
      <c r="G35" s="194"/>
      <c r="H35" s="194"/>
      <c r="I35" s="194">
        <v>3</v>
      </c>
    </row>
    <row r="36" spans="1:9" x14ac:dyDescent="0.25">
      <c r="A36" s="195" t="s">
        <v>131</v>
      </c>
      <c r="B36" s="194">
        <v>4</v>
      </c>
      <c r="C36" s="194"/>
      <c r="D36" s="194"/>
      <c r="E36" s="194"/>
      <c r="F36" s="194"/>
      <c r="G36" s="194"/>
      <c r="H36" s="194"/>
      <c r="I36" s="194">
        <v>4</v>
      </c>
    </row>
    <row r="37" spans="1:9" x14ac:dyDescent="0.25">
      <c r="A37" s="227" t="s">
        <v>166</v>
      </c>
      <c r="B37" s="194"/>
      <c r="C37" s="194"/>
      <c r="D37" s="194"/>
      <c r="E37" s="194"/>
      <c r="F37" s="194">
        <v>7</v>
      </c>
      <c r="G37" s="194"/>
      <c r="H37" s="194"/>
      <c r="I37" s="194">
        <v>7</v>
      </c>
    </row>
    <row r="38" spans="1:9" x14ac:dyDescent="0.25">
      <c r="A38" s="223" t="s">
        <v>125</v>
      </c>
      <c r="B38" s="194"/>
      <c r="C38" s="194"/>
      <c r="D38" s="194"/>
      <c r="E38" s="194"/>
      <c r="F38" s="194">
        <v>3</v>
      </c>
      <c r="G38" s="194"/>
      <c r="H38" s="194"/>
      <c r="I38" s="194">
        <v>3</v>
      </c>
    </row>
    <row r="39" spans="1:9" x14ac:dyDescent="0.25">
      <c r="A39" s="195" t="s">
        <v>129</v>
      </c>
      <c r="B39" s="194"/>
      <c r="C39" s="194"/>
      <c r="D39" s="194"/>
      <c r="E39" s="194"/>
      <c r="F39" s="194">
        <v>4</v>
      </c>
      <c r="G39" s="194"/>
      <c r="H39" s="194"/>
      <c r="I39" s="194">
        <v>4</v>
      </c>
    </row>
    <row r="40" spans="1:9" x14ac:dyDescent="0.25">
      <c r="A40" s="209" t="s">
        <v>183</v>
      </c>
      <c r="B40" s="194"/>
      <c r="C40" s="194"/>
      <c r="D40" s="194">
        <v>7</v>
      </c>
      <c r="E40" s="194"/>
      <c r="F40" s="194"/>
      <c r="G40" s="194"/>
      <c r="H40" s="194"/>
      <c r="I40" s="194">
        <v>7</v>
      </c>
    </row>
    <row r="41" spans="1:9" x14ac:dyDescent="0.25">
      <c r="A41" s="195" t="s">
        <v>127</v>
      </c>
      <c r="B41" s="194"/>
      <c r="C41" s="194"/>
      <c r="D41" s="194">
        <v>3</v>
      </c>
      <c r="E41" s="194"/>
      <c r="F41" s="194"/>
      <c r="G41" s="194"/>
      <c r="H41" s="194"/>
      <c r="I41" s="194">
        <v>3</v>
      </c>
    </row>
    <row r="42" spans="1:9" x14ac:dyDescent="0.25">
      <c r="A42" s="195" t="s">
        <v>131</v>
      </c>
      <c r="B42" s="194"/>
      <c r="C42" s="194"/>
      <c r="D42" s="194">
        <v>4</v>
      </c>
      <c r="E42" s="194"/>
      <c r="F42" s="194"/>
      <c r="G42" s="194"/>
      <c r="H42" s="194"/>
      <c r="I42" s="194">
        <v>4</v>
      </c>
    </row>
    <row r="43" spans="1:9" x14ac:dyDescent="0.25">
      <c r="A43" s="227" t="s">
        <v>264</v>
      </c>
      <c r="B43" s="194"/>
      <c r="C43" s="194">
        <v>3</v>
      </c>
      <c r="D43" s="194"/>
      <c r="E43" s="194"/>
      <c r="F43" s="194">
        <v>3</v>
      </c>
      <c r="G43" s="194"/>
      <c r="H43" s="194"/>
      <c r="I43" s="194">
        <v>6</v>
      </c>
    </row>
    <row r="44" spans="1:9" x14ac:dyDescent="0.25">
      <c r="A44" s="195" t="s">
        <v>135</v>
      </c>
      <c r="B44" s="194"/>
      <c r="C44" s="194">
        <v>1</v>
      </c>
      <c r="D44" s="194"/>
      <c r="E44" s="194"/>
      <c r="F44" s="194"/>
      <c r="G44" s="194"/>
      <c r="H44" s="194"/>
      <c r="I44" s="194">
        <v>1</v>
      </c>
    </row>
    <row r="45" spans="1:9" x14ac:dyDescent="0.25">
      <c r="A45" s="223" t="s">
        <v>138</v>
      </c>
      <c r="B45" s="194"/>
      <c r="C45" s="194">
        <v>1</v>
      </c>
      <c r="D45" s="194"/>
      <c r="E45" s="194"/>
      <c r="F45" s="194"/>
      <c r="G45" s="194"/>
      <c r="H45" s="194"/>
      <c r="I45" s="194">
        <v>1</v>
      </c>
    </row>
    <row r="46" spans="1:9" x14ac:dyDescent="0.25">
      <c r="A46" s="195" t="s">
        <v>133</v>
      </c>
      <c r="B46" s="194"/>
      <c r="C46" s="194">
        <v>1</v>
      </c>
      <c r="D46" s="194"/>
      <c r="E46" s="194"/>
      <c r="F46" s="194"/>
      <c r="G46" s="194"/>
      <c r="H46" s="194"/>
      <c r="I46" s="194">
        <v>1</v>
      </c>
    </row>
    <row r="47" spans="1:9" x14ac:dyDescent="0.25">
      <c r="A47" s="223" t="s">
        <v>122</v>
      </c>
      <c r="B47" s="194"/>
      <c r="C47" s="194"/>
      <c r="D47" s="194"/>
      <c r="E47" s="194"/>
      <c r="F47" s="194">
        <v>3</v>
      </c>
      <c r="G47" s="194"/>
      <c r="H47" s="194"/>
      <c r="I47" s="194">
        <v>3</v>
      </c>
    </row>
    <row r="48" spans="1:9" x14ac:dyDescent="0.25">
      <c r="A48" s="209" t="s">
        <v>265</v>
      </c>
      <c r="B48" s="194"/>
      <c r="C48" s="194"/>
      <c r="D48" s="194"/>
      <c r="E48" s="194"/>
      <c r="F48" s="194"/>
      <c r="G48" s="194">
        <v>4</v>
      </c>
      <c r="H48" s="194">
        <v>1</v>
      </c>
      <c r="I48" s="194">
        <v>5</v>
      </c>
    </row>
    <row r="49" spans="1:9" x14ac:dyDescent="0.25">
      <c r="A49" s="195" t="s">
        <v>140</v>
      </c>
      <c r="B49" s="194"/>
      <c r="C49" s="194"/>
      <c r="D49" s="194"/>
      <c r="E49" s="194"/>
      <c r="F49" s="194"/>
      <c r="G49" s="194">
        <v>4</v>
      </c>
      <c r="H49" s="194">
        <v>1</v>
      </c>
      <c r="I49" s="194">
        <v>5</v>
      </c>
    </row>
    <row r="50" spans="1:9" x14ac:dyDescent="0.25">
      <c r="A50" s="227" t="s">
        <v>167</v>
      </c>
      <c r="B50" s="194"/>
      <c r="C50" s="194"/>
      <c r="D50" s="194"/>
      <c r="E50" s="194"/>
      <c r="F50" s="194">
        <v>4</v>
      </c>
      <c r="G50" s="194"/>
      <c r="H50" s="194"/>
      <c r="I50" s="194">
        <v>4</v>
      </c>
    </row>
    <row r="51" spans="1:9" x14ac:dyDescent="0.25">
      <c r="A51" s="195" t="s">
        <v>129</v>
      </c>
      <c r="B51" s="194"/>
      <c r="C51" s="194"/>
      <c r="D51" s="194"/>
      <c r="E51" s="194"/>
      <c r="F51" s="194">
        <v>4</v>
      </c>
      <c r="G51" s="194"/>
      <c r="H51" s="194"/>
      <c r="I51" s="194">
        <v>4</v>
      </c>
    </row>
    <row r="52" spans="1:9" x14ac:dyDescent="0.25">
      <c r="A52" s="227" t="s">
        <v>169</v>
      </c>
      <c r="B52" s="194"/>
      <c r="C52" s="194"/>
      <c r="D52" s="194"/>
      <c r="E52" s="194">
        <v>4</v>
      </c>
      <c r="F52" s="194"/>
      <c r="G52" s="194"/>
      <c r="H52" s="194"/>
      <c r="I52" s="194">
        <v>4</v>
      </c>
    </row>
    <row r="53" spans="1:9" x14ac:dyDescent="0.25">
      <c r="A53" s="223" t="s">
        <v>125</v>
      </c>
      <c r="B53" s="194"/>
      <c r="C53" s="194"/>
      <c r="D53" s="194"/>
      <c r="E53" s="194">
        <v>3</v>
      </c>
      <c r="F53" s="194"/>
      <c r="G53" s="194"/>
      <c r="H53" s="194"/>
      <c r="I53" s="194">
        <v>3</v>
      </c>
    </row>
    <row r="54" spans="1:9" x14ac:dyDescent="0.25">
      <c r="A54" s="195" t="s">
        <v>129</v>
      </c>
      <c r="B54" s="194"/>
      <c r="C54" s="194"/>
      <c r="D54" s="194"/>
      <c r="E54" s="194">
        <v>1</v>
      </c>
      <c r="F54" s="194"/>
      <c r="G54" s="194"/>
      <c r="H54" s="194"/>
      <c r="I54" s="194">
        <v>1</v>
      </c>
    </row>
    <row r="55" spans="1:9" x14ac:dyDescent="0.25">
      <c r="A55" s="227" t="s">
        <v>266</v>
      </c>
      <c r="B55" s="194"/>
      <c r="C55" s="194"/>
      <c r="D55" s="194"/>
      <c r="E55" s="194">
        <v>4</v>
      </c>
      <c r="F55" s="194"/>
      <c r="G55" s="194"/>
      <c r="H55" s="194"/>
      <c r="I55" s="194">
        <v>4</v>
      </c>
    </row>
    <row r="56" spans="1:9" x14ac:dyDescent="0.25">
      <c r="A56" s="223" t="s">
        <v>123</v>
      </c>
      <c r="B56" s="194"/>
      <c r="C56" s="194"/>
      <c r="D56" s="194"/>
      <c r="E56" s="194">
        <v>4</v>
      </c>
      <c r="F56" s="194"/>
      <c r="G56" s="194"/>
      <c r="H56" s="194"/>
      <c r="I56" s="194">
        <v>4</v>
      </c>
    </row>
    <row r="57" spans="1:9" x14ac:dyDescent="0.25">
      <c r="A57" s="227" t="s">
        <v>155</v>
      </c>
      <c r="B57" s="194"/>
      <c r="C57" s="194"/>
      <c r="D57" s="194"/>
      <c r="E57" s="194">
        <v>4</v>
      </c>
      <c r="F57" s="194"/>
      <c r="G57" s="194"/>
      <c r="H57" s="194"/>
      <c r="I57" s="194">
        <v>4</v>
      </c>
    </row>
    <row r="58" spans="1:9" x14ac:dyDescent="0.25">
      <c r="A58" s="195" t="s">
        <v>129</v>
      </c>
      <c r="B58" s="194"/>
      <c r="C58" s="194"/>
      <c r="D58" s="194"/>
      <c r="E58" s="194">
        <v>4</v>
      </c>
      <c r="F58" s="194"/>
      <c r="G58" s="194"/>
      <c r="H58" s="194"/>
      <c r="I58" s="194">
        <v>4</v>
      </c>
    </row>
    <row r="59" spans="1:9" x14ac:dyDescent="0.25">
      <c r="A59" s="227" t="s">
        <v>159</v>
      </c>
      <c r="B59" s="194"/>
      <c r="C59" s="194"/>
      <c r="D59" s="194"/>
      <c r="E59" s="194"/>
      <c r="F59" s="194">
        <v>4</v>
      </c>
      <c r="G59" s="194"/>
      <c r="H59" s="194"/>
      <c r="I59" s="194">
        <v>4</v>
      </c>
    </row>
    <row r="60" spans="1:9" x14ac:dyDescent="0.25">
      <c r="A60" s="195" t="s">
        <v>129</v>
      </c>
      <c r="B60" s="194"/>
      <c r="C60" s="194"/>
      <c r="D60" s="194"/>
      <c r="E60" s="194"/>
      <c r="F60" s="194">
        <v>4</v>
      </c>
      <c r="G60" s="194"/>
      <c r="H60" s="194"/>
      <c r="I60" s="194">
        <v>4</v>
      </c>
    </row>
    <row r="61" spans="1:9" x14ac:dyDescent="0.25">
      <c r="A61" s="227" t="s">
        <v>267</v>
      </c>
      <c r="B61" s="194"/>
      <c r="C61" s="194"/>
      <c r="D61" s="194"/>
      <c r="E61" s="194">
        <v>4</v>
      </c>
      <c r="F61" s="194"/>
      <c r="G61" s="194"/>
      <c r="H61" s="194"/>
      <c r="I61" s="194">
        <v>4</v>
      </c>
    </row>
    <row r="62" spans="1:9" x14ac:dyDescent="0.25">
      <c r="A62" s="223" t="s">
        <v>126</v>
      </c>
      <c r="B62" s="194"/>
      <c r="C62" s="194"/>
      <c r="D62" s="194"/>
      <c r="E62" s="194">
        <v>4</v>
      </c>
      <c r="F62" s="194"/>
      <c r="G62" s="194"/>
      <c r="H62" s="194"/>
      <c r="I62" s="194">
        <v>4</v>
      </c>
    </row>
    <row r="63" spans="1:9" x14ac:dyDescent="0.25">
      <c r="A63" s="227" t="s">
        <v>156</v>
      </c>
      <c r="B63" s="194"/>
      <c r="C63" s="194"/>
      <c r="D63" s="194"/>
      <c r="E63" s="194"/>
      <c r="F63" s="194">
        <v>4</v>
      </c>
      <c r="G63" s="194"/>
      <c r="H63" s="194"/>
      <c r="I63" s="194">
        <v>4</v>
      </c>
    </row>
    <row r="64" spans="1:9" x14ac:dyDescent="0.25">
      <c r="A64" s="195" t="s">
        <v>129</v>
      </c>
      <c r="B64" s="194"/>
      <c r="C64" s="194"/>
      <c r="D64" s="194"/>
      <c r="E64" s="194"/>
      <c r="F64" s="194">
        <v>4</v>
      </c>
      <c r="G64" s="194"/>
      <c r="H64" s="194"/>
      <c r="I64" s="194">
        <v>4</v>
      </c>
    </row>
    <row r="65" spans="1:9" x14ac:dyDescent="0.25">
      <c r="A65" s="209" t="s">
        <v>184</v>
      </c>
      <c r="B65" s="194"/>
      <c r="C65" s="194"/>
      <c r="D65" s="194">
        <v>4</v>
      </c>
      <c r="E65" s="194"/>
      <c r="F65" s="194"/>
      <c r="G65" s="194"/>
      <c r="H65" s="194"/>
      <c r="I65" s="194">
        <v>4</v>
      </c>
    </row>
    <row r="66" spans="1:9" x14ac:dyDescent="0.25">
      <c r="A66" s="195" t="s">
        <v>131</v>
      </c>
      <c r="B66" s="194"/>
      <c r="C66" s="194"/>
      <c r="D66" s="194">
        <v>4</v>
      </c>
      <c r="E66" s="194"/>
      <c r="F66" s="194"/>
      <c r="G66" s="194"/>
      <c r="H66" s="194"/>
      <c r="I66" s="194">
        <v>4</v>
      </c>
    </row>
    <row r="67" spans="1:9" x14ac:dyDescent="0.25">
      <c r="A67" s="227" t="s">
        <v>158</v>
      </c>
      <c r="B67" s="194"/>
      <c r="C67" s="194"/>
      <c r="D67" s="194"/>
      <c r="E67" s="194">
        <v>4</v>
      </c>
      <c r="F67" s="194"/>
      <c r="G67" s="194"/>
      <c r="H67" s="194"/>
      <c r="I67" s="194">
        <v>4</v>
      </c>
    </row>
    <row r="68" spans="1:9" x14ac:dyDescent="0.25">
      <c r="A68" s="195" t="s">
        <v>129</v>
      </c>
      <c r="B68" s="194"/>
      <c r="C68" s="194"/>
      <c r="D68" s="194"/>
      <c r="E68" s="194">
        <v>4</v>
      </c>
      <c r="F68" s="194"/>
      <c r="G68" s="194"/>
      <c r="H68" s="194"/>
      <c r="I68" s="194">
        <v>4</v>
      </c>
    </row>
    <row r="69" spans="1:9" x14ac:dyDescent="0.25">
      <c r="A69" s="227" t="s">
        <v>268</v>
      </c>
      <c r="B69" s="194">
        <v>4</v>
      </c>
      <c r="C69" s="194"/>
      <c r="D69" s="194"/>
      <c r="E69" s="194"/>
      <c r="F69" s="194"/>
      <c r="G69" s="194"/>
      <c r="H69" s="194"/>
      <c r="I69" s="194">
        <v>4</v>
      </c>
    </row>
    <row r="70" spans="1:9" x14ac:dyDescent="0.25">
      <c r="A70" s="195" t="s">
        <v>135</v>
      </c>
      <c r="B70" s="194">
        <v>1</v>
      </c>
      <c r="C70" s="194"/>
      <c r="D70" s="194"/>
      <c r="E70" s="194"/>
      <c r="F70" s="194"/>
      <c r="G70" s="194"/>
      <c r="H70" s="194"/>
      <c r="I70" s="194">
        <v>1</v>
      </c>
    </row>
    <row r="71" spans="1:9" x14ac:dyDescent="0.25">
      <c r="A71" s="223" t="s">
        <v>138</v>
      </c>
      <c r="B71" s="194">
        <v>1</v>
      </c>
      <c r="C71" s="194"/>
      <c r="D71" s="194"/>
      <c r="E71" s="194"/>
      <c r="F71" s="194"/>
      <c r="G71" s="194"/>
      <c r="H71" s="194"/>
      <c r="I71" s="194">
        <v>1</v>
      </c>
    </row>
    <row r="72" spans="1:9" x14ac:dyDescent="0.25">
      <c r="A72" s="195" t="s">
        <v>133</v>
      </c>
      <c r="B72" s="194">
        <v>1</v>
      </c>
      <c r="C72" s="194"/>
      <c r="D72" s="194"/>
      <c r="E72" s="194"/>
      <c r="F72" s="194"/>
      <c r="G72" s="194"/>
      <c r="H72" s="194"/>
      <c r="I72" s="194">
        <v>1</v>
      </c>
    </row>
    <row r="73" spans="1:9" x14ac:dyDescent="0.25">
      <c r="A73" s="195" t="s">
        <v>124</v>
      </c>
      <c r="B73" s="194">
        <v>1</v>
      </c>
      <c r="C73" s="194"/>
      <c r="D73" s="194"/>
      <c r="E73" s="194"/>
      <c r="F73" s="194"/>
      <c r="G73" s="194"/>
      <c r="H73" s="194"/>
      <c r="I73" s="194">
        <v>1</v>
      </c>
    </row>
    <row r="74" spans="1:9" x14ac:dyDescent="0.25">
      <c r="A74" s="227" t="s">
        <v>161</v>
      </c>
      <c r="B74" s="194"/>
      <c r="C74" s="194"/>
      <c r="D74" s="194"/>
      <c r="E74" s="194"/>
      <c r="F74" s="194">
        <v>4</v>
      </c>
      <c r="G74" s="194"/>
      <c r="H74" s="194"/>
      <c r="I74" s="194">
        <v>4</v>
      </c>
    </row>
    <row r="75" spans="1:9" x14ac:dyDescent="0.25">
      <c r="A75" s="195" t="s">
        <v>129</v>
      </c>
      <c r="B75" s="194"/>
      <c r="C75" s="194"/>
      <c r="D75" s="194"/>
      <c r="E75" s="194"/>
      <c r="F75" s="194">
        <v>4</v>
      </c>
      <c r="G75" s="194"/>
      <c r="H75" s="194"/>
      <c r="I75" s="194">
        <v>4</v>
      </c>
    </row>
    <row r="76" spans="1:9" x14ac:dyDescent="0.25">
      <c r="A76" s="227" t="s">
        <v>269</v>
      </c>
      <c r="B76" s="194"/>
      <c r="C76" s="194"/>
      <c r="D76" s="194"/>
      <c r="E76" s="194">
        <v>4</v>
      </c>
      <c r="F76" s="194"/>
      <c r="G76" s="194"/>
      <c r="H76" s="194"/>
      <c r="I76" s="194">
        <v>4</v>
      </c>
    </row>
    <row r="77" spans="1:9" x14ac:dyDescent="0.25">
      <c r="A77" s="223" t="s">
        <v>123</v>
      </c>
      <c r="B77" s="194"/>
      <c r="C77" s="194"/>
      <c r="D77" s="194"/>
      <c r="E77" s="194">
        <v>4</v>
      </c>
      <c r="F77" s="194"/>
      <c r="G77" s="194"/>
      <c r="H77" s="194"/>
      <c r="I77" s="194">
        <v>4</v>
      </c>
    </row>
    <row r="78" spans="1:9" x14ac:dyDescent="0.25">
      <c r="A78" s="227" t="s">
        <v>270</v>
      </c>
      <c r="B78" s="194">
        <v>4</v>
      </c>
      <c r="C78" s="194"/>
      <c r="D78" s="194"/>
      <c r="E78" s="194"/>
      <c r="F78" s="194"/>
      <c r="G78" s="194"/>
      <c r="H78" s="194"/>
      <c r="I78" s="194">
        <v>4</v>
      </c>
    </row>
    <row r="79" spans="1:9" x14ac:dyDescent="0.25">
      <c r="A79" s="195" t="s">
        <v>135</v>
      </c>
      <c r="B79" s="194">
        <v>1</v>
      </c>
      <c r="C79" s="194"/>
      <c r="D79" s="194"/>
      <c r="E79" s="194"/>
      <c r="F79" s="194"/>
      <c r="G79" s="194"/>
      <c r="H79" s="194"/>
      <c r="I79" s="194">
        <v>1</v>
      </c>
    </row>
    <row r="80" spans="1:9" x14ac:dyDescent="0.25">
      <c r="A80" s="223" t="s">
        <v>138</v>
      </c>
      <c r="B80" s="194">
        <v>1</v>
      </c>
      <c r="C80" s="194"/>
      <c r="D80" s="194"/>
      <c r="E80" s="194"/>
      <c r="F80" s="194"/>
      <c r="G80" s="194"/>
      <c r="H80" s="194"/>
      <c r="I80" s="194">
        <v>1</v>
      </c>
    </row>
    <row r="81" spans="1:9" x14ac:dyDescent="0.25">
      <c r="A81" s="195" t="s">
        <v>133</v>
      </c>
      <c r="B81" s="194">
        <v>1</v>
      </c>
      <c r="C81" s="194"/>
      <c r="D81" s="194"/>
      <c r="E81" s="194"/>
      <c r="F81" s="194"/>
      <c r="G81" s="194"/>
      <c r="H81" s="194"/>
      <c r="I81" s="194">
        <v>1</v>
      </c>
    </row>
    <row r="82" spans="1:9" x14ac:dyDescent="0.25">
      <c r="A82" s="195" t="s">
        <v>124</v>
      </c>
      <c r="B82" s="194">
        <v>1</v>
      </c>
      <c r="C82" s="194"/>
      <c r="D82" s="194"/>
      <c r="E82" s="194"/>
      <c r="F82" s="194"/>
      <c r="G82" s="194"/>
      <c r="H82" s="194"/>
      <c r="I82" s="194">
        <v>1</v>
      </c>
    </row>
    <row r="83" spans="1:9" x14ac:dyDescent="0.25">
      <c r="A83" s="227" t="s">
        <v>271</v>
      </c>
      <c r="B83" s="194"/>
      <c r="C83" s="194"/>
      <c r="D83" s="194"/>
      <c r="E83" s="194">
        <v>4</v>
      </c>
      <c r="F83" s="194"/>
      <c r="G83" s="194"/>
      <c r="H83" s="194"/>
      <c r="I83" s="194">
        <v>4</v>
      </c>
    </row>
    <row r="84" spans="1:9" x14ac:dyDescent="0.25">
      <c r="A84" s="223" t="s">
        <v>122</v>
      </c>
      <c r="B84" s="194"/>
      <c r="C84" s="194"/>
      <c r="D84" s="194"/>
      <c r="E84" s="194">
        <v>4</v>
      </c>
      <c r="F84" s="194"/>
      <c r="G84" s="194"/>
      <c r="H84" s="194"/>
      <c r="I84" s="194">
        <v>4</v>
      </c>
    </row>
    <row r="85" spans="1:9" x14ac:dyDescent="0.25">
      <c r="A85" s="227" t="s">
        <v>154</v>
      </c>
      <c r="B85" s="194"/>
      <c r="C85" s="194"/>
      <c r="D85" s="194"/>
      <c r="E85" s="194">
        <v>4</v>
      </c>
      <c r="F85" s="194"/>
      <c r="G85" s="194"/>
      <c r="H85" s="194"/>
      <c r="I85" s="194">
        <v>4</v>
      </c>
    </row>
    <row r="86" spans="1:9" x14ac:dyDescent="0.25">
      <c r="A86" s="195" t="s">
        <v>129</v>
      </c>
      <c r="B86" s="194"/>
      <c r="C86" s="194"/>
      <c r="D86" s="194"/>
      <c r="E86" s="194">
        <v>4</v>
      </c>
      <c r="F86" s="194"/>
      <c r="G86" s="194"/>
      <c r="H86" s="194"/>
      <c r="I86" s="194">
        <v>4</v>
      </c>
    </row>
    <row r="87" spans="1:9" x14ac:dyDescent="0.25">
      <c r="A87" s="227" t="s">
        <v>272</v>
      </c>
      <c r="B87" s="194"/>
      <c r="C87" s="194"/>
      <c r="D87" s="194"/>
      <c r="E87" s="194">
        <v>4</v>
      </c>
      <c r="F87" s="194"/>
      <c r="G87" s="194"/>
      <c r="H87" s="194"/>
      <c r="I87" s="194">
        <v>4</v>
      </c>
    </row>
    <row r="88" spans="1:9" x14ac:dyDescent="0.25">
      <c r="A88" s="223" t="s">
        <v>123</v>
      </c>
      <c r="B88" s="194"/>
      <c r="C88" s="194"/>
      <c r="D88" s="194"/>
      <c r="E88" s="194">
        <v>4</v>
      </c>
      <c r="F88" s="194"/>
      <c r="G88" s="194"/>
      <c r="H88" s="194"/>
      <c r="I88" s="194">
        <v>4</v>
      </c>
    </row>
    <row r="89" spans="1:9" x14ac:dyDescent="0.25">
      <c r="A89" s="227" t="s">
        <v>160</v>
      </c>
      <c r="B89" s="194"/>
      <c r="C89" s="194">
        <v>4</v>
      </c>
      <c r="D89" s="194"/>
      <c r="E89" s="194"/>
      <c r="F89" s="194"/>
      <c r="G89" s="194"/>
      <c r="H89" s="194"/>
      <c r="I89" s="194">
        <v>4</v>
      </c>
    </row>
    <row r="90" spans="1:9" x14ac:dyDescent="0.25">
      <c r="A90" s="195" t="s">
        <v>129</v>
      </c>
      <c r="B90" s="194"/>
      <c r="C90" s="194">
        <v>4</v>
      </c>
      <c r="D90" s="194"/>
      <c r="E90" s="194"/>
      <c r="F90" s="194"/>
      <c r="G90" s="194"/>
      <c r="H90" s="194"/>
      <c r="I90" s="194">
        <v>4</v>
      </c>
    </row>
    <row r="91" spans="1:9" x14ac:dyDescent="0.25">
      <c r="A91" s="227" t="s">
        <v>164</v>
      </c>
      <c r="B91" s="194"/>
      <c r="C91" s="194"/>
      <c r="D91" s="194"/>
      <c r="E91" s="194">
        <v>4</v>
      </c>
      <c r="F91" s="194"/>
      <c r="G91" s="194"/>
      <c r="H91" s="194"/>
      <c r="I91" s="194">
        <v>4</v>
      </c>
    </row>
    <row r="92" spans="1:9" x14ac:dyDescent="0.25">
      <c r="A92" s="195" t="s">
        <v>129</v>
      </c>
      <c r="B92" s="194"/>
      <c r="C92" s="194"/>
      <c r="D92" s="194"/>
      <c r="E92" s="194">
        <v>4</v>
      </c>
      <c r="F92" s="194"/>
      <c r="G92" s="194"/>
      <c r="H92" s="194"/>
      <c r="I92" s="194">
        <v>4</v>
      </c>
    </row>
    <row r="93" spans="1:9" x14ac:dyDescent="0.25">
      <c r="A93" s="227" t="s">
        <v>273</v>
      </c>
      <c r="B93" s="194"/>
      <c r="C93" s="194"/>
      <c r="D93" s="194"/>
      <c r="E93" s="194">
        <v>4</v>
      </c>
      <c r="F93" s="194"/>
      <c r="G93" s="194"/>
      <c r="H93" s="194"/>
      <c r="I93" s="194">
        <v>4</v>
      </c>
    </row>
    <row r="94" spans="1:9" x14ac:dyDescent="0.25">
      <c r="A94" s="223" t="s">
        <v>123</v>
      </c>
      <c r="B94" s="194"/>
      <c r="C94" s="194"/>
      <c r="D94" s="194"/>
      <c r="E94" s="194">
        <v>4</v>
      </c>
      <c r="F94" s="194"/>
      <c r="G94" s="194"/>
      <c r="H94" s="194"/>
      <c r="I94" s="194">
        <v>4</v>
      </c>
    </row>
    <row r="95" spans="1:9" x14ac:dyDescent="0.25">
      <c r="A95" s="209" t="s">
        <v>185</v>
      </c>
      <c r="B95" s="194"/>
      <c r="C95" s="194">
        <v>4</v>
      </c>
      <c r="D95" s="194"/>
      <c r="E95" s="194"/>
      <c r="F95" s="194"/>
      <c r="G95" s="194"/>
      <c r="H95" s="194"/>
      <c r="I95" s="194">
        <v>4</v>
      </c>
    </row>
    <row r="96" spans="1:9" x14ac:dyDescent="0.25">
      <c r="A96" s="195" t="s">
        <v>131</v>
      </c>
      <c r="B96" s="194"/>
      <c r="C96" s="194">
        <v>4</v>
      </c>
      <c r="D96" s="194"/>
      <c r="E96" s="194"/>
      <c r="F96" s="194"/>
      <c r="G96" s="194"/>
      <c r="H96" s="194"/>
      <c r="I96" s="194">
        <v>4</v>
      </c>
    </row>
    <row r="97" spans="1:9" x14ac:dyDescent="0.25">
      <c r="A97" s="227" t="s">
        <v>274</v>
      </c>
      <c r="B97" s="194"/>
      <c r="C97" s="194"/>
      <c r="D97" s="194"/>
      <c r="E97" s="194"/>
      <c r="F97" s="194">
        <v>4</v>
      </c>
      <c r="G97" s="194"/>
      <c r="H97" s="194"/>
      <c r="I97" s="194">
        <v>4</v>
      </c>
    </row>
    <row r="98" spans="1:9" x14ac:dyDescent="0.25">
      <c r="A98" s="223" t="s">
        <v>122</v>
      </c>
      <c r="B98" s="194"/>
      <c r="C98" s="194"/>
      <c r="D98" s="194"/>
      <c r="E98" s="194"/>
      <c r="F98" s="194">
        <v>4</v>
      </c>
      <c r="G98" s="194"/>
      <c r="H98" s="194"/>
      <c r="I98" s="194">
        <v>4</v>
      </c>
    </row>
    <row r="99" spans="1:9" x14ac:dyDescent="0.25">
      <c r="A99" s="227" t="s">
        <v>275</v>
      </c>
      <c r="B99" s="194"/>
      <c r="C99" s="194"/>
      <c r="D99" s="194"/>
      <c r="E99" s="194">
        <v>4</v>
      </c>
      <c r="F99" s="194"/>
      <c r="G99" s="194"/>
      <c r="H99" s="194"/>
      <c r="I99" s="194">
        <v>4</v>
      </c>
    </row>
    <row r="100" spans="1:9" x14ac:dyDescent="0.25">
      <c r="A100" s="223" t="s">
        <v>126</v>
      </c>
      <c r="B100" s="194"/>
      <c r="C100" s="194"/>
      <c r="D100" s="194"/>
      <c r="E100" s="194">
        <v>4</v>
      </c>
      <c r="F100" s="194"/>
      <c r="G100" s="194"/>
      <c r="H100" s="194"/>
      <c r="I100" s="194">
        <v>4</v>
      </c>
    </row>
    <row r="101" spans="1:9" x14ac:dyDescent="0.25">
      <c r="A101" s="227" t="s">
        <v>276</v>
      </c>
      <c r="B101" s="194"/>
      <c r="C101" s="194"/>
      <c r="D101" s="194"/>
      <c r="E101" s="194">
        <v>4</v>
      </c>
      <c r="F101" s="194"/>
      <c r="G101" s="194"/>
      <c r="H101" s="194"/>
      <c r="I101" s="194">
        <v>4</v>
      </c>
    </row>
    <row r="102" spans="1:9" x14ac:dyDescent="0.25">
      <c r="A102" s="223" t="s">
        <v>123</v>
      </c>
      <c r="B102" s="194"/>
      <c r="C102" s="194"/>
      <c r="D102" s="194"/>
      <c r="E102" s="194">
        <v>4</v>
      </c>
      <c r="F102" s="194"/>
      <c r="G102" s="194"/>
      <c r="H102" s="194"/>
      <c r="I102" s="194">
        <v>4</v>
      </c>
    </row>
    <row r="103" spans="1:9" x14ac:dyDescent="0.25">
      <c r="A103" s="209" t="s">
        <v>179</v>
      </c>
      <c r="B103" s="194"/>
      <c r="C103" s="194"/>
      <c r="D103" s="194"/>
      <c r="E103" s="194"/>
      <c r="F103" s="194">
        <v>3</v>
      </c>
      <c r="G103" s="194"/>
      <c r="H103" s="194"/>
      <c r="I103" s="194">
        <v>3</v>
      </c>
    </row>
    <row r="104" spans="1:9" x14ac:dyDescent="0.25">
      <c r="A104" s="195" t="s">
        <v>130</v>
      </c>
      <c r="B104" s="194"/>
      <c r="C104" s="194"/>
      <c r="D104" s="194"/>
      <c r="E104" s="194"/>
      <c r="F104" s="194">
        <v>3</v>
      </c>
      <c r="G104" s="194"/>
      <c r="H104" s="194"/>
      <c r="I104" s="194">
        <v>3</v>
      </c>
    </row>
    <row r="105" spans="1:9" x14ac:dyDescent="0.25">
      <c r="A105" s="332" t="s">
        <v>174</v>
      </c>
      <c r="B105" s="194"/>
      <c r="C105" s="194"/>
      <c r="D105" s="194"/>
      <c r="E105" s="194">
        <v>3</v>
      </c>
      <c r="F105" s="194"/>
      <c r="G105" s="194"/>
      <c r="H105" s="194"/>
      <c r="I105" s="194">
        <v>3</v>
      </c>
    </row>
    <row r="106" spans="1:9" x14ac:dyDescent="0.25">
      <c r="A106" s="195" t="s">
        <v>130</v>
      </c>
      <c r="B106" s="194"/>
      <c r="C106" s="194"/>
      <c r="D106" s="194"/>
      <c r="E106" s="194">
        <v>3</v>
      </c>
      <c r="F106" s="194"/>
      <c r="G106" s="194"/>
      <c r="H106" s="194"/>
      <c r="I106" s="194">
        <v>3</v>
      </c>
    </row>
    <row r="107" spans="1:9" x14ac:dyDescent="0.25">
      <c r="A107" s="332" t="s">
        <v>176</v>
      </c>
      <c r="B107" s="194"/>
      <c r="C107" s="194"/>
      <c r="D107" s="194"/>
      <c r="E107" s="194">
        <v>3</v>
      </c>
      <c r="F107" s="194"/>
      <c r="G107" s="194"/>
      <c r="H107" s="194"/>
      <c r="I107" s="194">
        <v>3</v>
      </c>
    </row>
    <row r="108" spans="1:9" x14ac:dyDescent="0.25">
      <c r="A108" s="195" t="s">
        <v>130</v>
      </c>
      <c r="B108" s="194"/>
      <c r="C108" s="194"/>
      <c r="D108" s="194"/>
      <c r="E108" s="194">
        <v>3</v>
      </c>
      <c r="F108" s="194"/>
      <c r="G108" s="194"/>
      <c r="H108" s="194"/>
      <c r="I108" s="194">
        <v>3</v>
      </c>
    </row>
    <row r="109" spans="1:9" x14ac:dyDescent="0.25">
      <c r="A109" s="332" t="s">
        <v>171</v>
      </c>
      <c r="B109" s="194"/>
      <c r="C109" s="194"/>
      <c r="D109" s="194"/>
      <c r="E109" s="194">
        <v>3</v>
      </c>
      <c r="F109" s="194"/>
      <c r="G109" s="194"/>
      <c r="H109" s="194"/>
      <c r="I109" s="194">
        <v>3</v>
      </c>
    </row>
    <row r="110" spans="1:9" x14ac:dyDescent="0.25">
      <c r="A110" s="195" t="s">
        <v>130</v>
      </c>
      <c r="B110" s="194"/>
      <c r="C110" s="194"/>
      <c r="D110" s="194"/>
      <c r="E110" s="194">
        <v>3</v>
      </c>
      <c r="F110" s="194"/>
      <c r="G110" s="194"/>
      <c r="H110" s="194"/>
      <c r="I110" s="194">
        <v>3</v>
      </c>
    </row>
    <row r="111" spans="1:9" x14ac:dyDescent="0.25">
      <c r="A111" s="209" t="s">
        <v>277</v>
      </c>
      <c r="B111" s="194"/>
      <c r="C111" s="194"/>
      <c r="D111" s="194">
        <v>3</v>
      </c>
      <c r="E111" s="194"/>
      <c r="F111" s="194"/>
      <c r="G111" s="194"/>
      <c r="H111" s="194"/>
      <c r="I111" s="194">
        <v>3</v>
      </c>
    </row>
    <row r="112" spans="1:9" x14ac:dyDescent="0.25">
      <c r="A112" s="195" t="s">
        <v>127</v>
      </c>
      <c r="B112" s="194"/>
      <c r="C112" s="194"/>
      <c r="D112" s="194">
        <v>3</v>
      </c>
      <c r="E112" s="194"/>
      <c r="F112" s="194"/>
      <c r="G112" s="194"/>
      <c r="H112" s="194"/>
      <c r="I112" s="194">
        <v>3</v>
      </c>
    </row>
    <row r="113" spans="1:9" x14ac:dyDescent="0.25">
      <c r="A113" s="332" t="s">
        <v>173</v>
      </c>
      <c r="B113" s="194"/>
      <c r="C113" s="194"/>
      <c r="D113" s="194"/>
      <c r="E113" s="194">
        <v>3</v>
      </c>
      <c r="F113" s="194"/>
      <c r="G113" s="194"/>
      <c r="H113" s="194"/>
      <c r="I113" s="194">
        <v>3</v>
      </c>
    </row>
    <row r="114" spans="1:9" x14ac:dyDescent="0.25">
      <c r="A114" s="195" t="s">
        <v>130</v>
      </c>
      <c r="B114" s="194"/>
      <c r="C114" s="194"/>
      <c r="D114" s="194"/>
      <c r="E114" s="194">
        <v>3</v>
      </c>
      <c r="F114" s="194"/>
      <c r="G114" s="194"/>
      <c r="H114" s="194"/>
      <c r="I114" s="194">
        <v>3</v>
      </c>
    </row>
    <row r="115" spans="1:9" x14ac:dyDescent="0.25">
      <c r="A115" s="332" t="s">
        <v>278</v>
      </c>
      <c r="B115" s="194"/>
      <c r="C115" s="194"/>
      <c r="D115" s="194"/>
      <c r="E115" s="194">
        <v>3</v>
      </c>
      <c r="F115" s="194"/>
      <c r="G115" s="194"/>
      <c r="H115" s="194"/>
      <c r="I115" s="194">
        <v>3</v>
      </c>
    </row>
    <row r="116" spans="1:9" x14ac:dyDescent="0.25">
      <c r="A116" s="195" t="s">
        <v>123</v>
      </c>
      <c r="B116" s="194"/>
      <c r="C116" s="194"/>
      <c r="D116" s="194"/>
      <c r="E116" s="194">
        <v>3</v>
      </c>
      <c r="F116" s="194"/>
      <c r="G116" s="194"/>
      <c r="H116" s="194"/>
      <c r="I116" s="194">
        <v>3</v>
      </c>
    </row>
    <row r="117" spans="1:9" x14ac:dyDescent="0.25">
      <c r="A117" s="227" t="s">
        <v>279</v>
      </c>
      <c r="B117" s="194"/>
      <c r="C117" s="194"/>
      <c r="D117" s="194"/>
      <c r="E117" s="194">
        <v>3</v>
      </c>
      <c r="F117" s="194"/>
      <c r="G117" s="194"/>
      <c r="H117" s="194"/>
      <c r="I117" s="194">
        <v>3</v>
      </c>
    </row>
    <row r="118" spans="1:9" x14ac:dyDescent="0.25">
      <c r="A118" s="223" t="s">
        <v>125</v>
      </c>
      <c r="B118" s="194"/>
      <c r="C118" s="194"/>
      <c r="D118" s="194"/>
      <c r="E118" s="194">
        <v>3</v>
      </c>
      <c r="F118" s="194"/>
      <c r="G118" s="194"/>
      <c r="H118" s="194"/>
      <c r="I118" s="194">
        <v>3</v>
      </c>
    </row>
    <row r="119" spans="1:9" x14ac:dyDescent="0.25">
      <c r="A119" s="209" t="s">
        <v>180</v>
      </c>
      <c r="B119" s="194"/>
      <c r="C119" s="194"/>
      <c r="D119" s="194">
        <v>2</v>
      </c>
      <c r="E119" s="194"/>
      <c r="F119" s="194"/>
      <c r="G119" s="194"/>
      <c r="H119" s="194"/>
      <c r="I119" s="194">
        <v>2</v>
      </c>
    </row>
    <row r="120" spans="1:9" x14ac:dyDescent="0.25">
      <c r="A120" s="195" t="s">
        <v>130</v>
      </c>
      <c r="B120" s="194"/>
      <c r="C120" s="194"/>
      <c r="D120" s="194">
        <v>2</v>
      </c>
      <c r="E120" s="194"/>
      <c r="F120" s="194"/>
      <c r="G120" s="194"/>
      <c r="H120" s="194"/>
      <c r="I120" s="194">
        <v>2</v>
      </c>
    </row>
    <row r="121" spans="1:9" x14ac:dyDescent="0.25">
      <c r="A121" s="227" t="s">
        <v>280</v>
      </c>
      <c r="B121" s="194"/>
      <c r="C121" s="194"/>
      <c r="D121" s="194"/>
      <c r="E121" s="194">
        <v>2</v>
      </c>
      <c r="F121" s="194"/>
      <c r="G121" s="194"/>
      <c r="H121" s="194"/>
      <c r="I121" s="194">
        <v>2</v>
      </c>
    </row>
    <row r="122" spans="1:9" x14ac:dyDescent="0.25">
      <c r="A122" s="195" t="s">
        <v>135</v>
      </c>
      <c r="B122" s="194"/>
      <c r="C122" s="194"/>
      <c r="D122" s="194"/>
      <c r="E122" s="194">
        <v>1</v>
      </c>
      <c r="F122" s="194"/>
      <c r="G122" s="194"/>
      <c r="H122" s="194"/>
      <c r="I122" s="194">
        <v>1</v>
      </c>
    </row>
    <row r="123" spans="1:9" x14ac:dyDescent="0.25">
      <c r="A123" s="223" t="s">
        <v>138</v>
      </c>
      <c r="B123" s="194"/>
      <c r="C123" s="194"/>
      <c r="D123" s="194"/>
      <c r="E123" s="194">
        <v>1</v>
      </c>
      <c r="F123" s="194"/>
      <c r="G123" s="194"/>
      <c r="H123" s="194"/>
      <c r="I123" s="194">
        <v>1</v>
      </c>
    </row>
    <row r="124" spans="1:9" x14ac:dyDescent="0.25">
      <c r="A124" s="227" t="s">
        <v>281</v>
      </c>
      <c r="B124" s="194"/>
      <c r="C124" s="194"/>
      <c r="D124" s="194">
        <v>2</v>
      </c>
      <c r="E124" s="194"/>
      <c r="F124" s="194"/>
      <c r="G124" s="194"/>
      <c r="H124" s="194"/>
      <c r="I124" s="194">
        <v>2</v>
      </c>
    </row>
    <row r="125" spans="1:9" x14ac:dyDescent="0.25">
      <c r="A125" s="223" t="s">
        <v>121</v>
      </c>
      <c r="B125" s="194"/>
      <c r="C125" s="194"/>
      <c r="D125" s="194">
        <v>2</v>
      </c>
      <c r="E125" s="194"/>
      <c r="F125" s="194"/>
      <c r="G125" s="194"/>
      <c r="H125" s="194"/>
      <c r="I125" s="194">
        <v>2</v>
      </c>
    </row>
    <row r="126" spans="1:9" x14ac:dyDescent="0.25">
      <c r="A126" s="227" t="s">
        <v>282</v>
      </c>
      <c r="B126" s="194"/>
      <c r="C126" s="194">
        <v>2</v>
      </c>
      <c r="D126" s="194"/>
      <c r="E126" s="194"/>
      <c r="F126" s="194"/>
      <c r="G126" s="194"/>
      <c r="H126" s="194"/>
      <c r="I126" s="194">
        <v>2</v>
      </c>
    </row>
    <row r="127" spans="1:9" x14ac:dyDescent="0.25">
      <c r="A127" s="223" t="s">
        <v>136</v>
      </c>
      <c r="B127" s="194"/>
      <c r="C127" s="194">
        <v>2</v>
      </c>
      <c r="D127" s="194"/>
      <c r="E127" s="194"/>
      <c r="F127" s="194"/>
      <c r="G127" s="194"/>
      <c r="H127" s="194"/>
      <c r="I127" s="194">
        <v>2</v>
      </c>
    </row>
    <row r="128" spans="1:9" x14ac:dyDescent="0.25">
      <c r="A128" s="227" t="s">
        <v>283</v>
      </c>
      <c r="B128" s="194"/>
      <c r="C128" s="194"/>
      <c r="D128" s="194"/>
      <c r="E128" s="194"/>
      <c r="F128" s="194">
        <v>2</v>
      </c>
      <c r="G128" s="194"/>
      <c r="H128" s="194"/>
      <c r="I128" s="194">
        <v>2</v>
      </c>
    </row>
    <row r="129" spans="1:9" x14ac:dyDescent="0.25">
      <c r="A129" s="223" t="s">
        <v>136</v>
      </c>
      <c r="B129" s="194"/>
      <c r="C129" s="194"/>
      <c r="D129" s="194"/>
      <c r="E129" s="194"/>
      <c r="F129" s="194">
        <v>2</v>
      </c>
      <c r="G129" s="194"/>
      <c r="H129" s="194"/>
      <c r="I129" s="194">
        <v>2</v>
      </c>
    </row>
    <row r="130" spans="1:9" x14ac:dyDescent="0.25">
      <c r="A130" s="227" t="s">
        <v>284</v>
      </c>
      <c r="B130" s="194"/>
      <c r="C130" s="194"/>
      <c r="D130" s="194"/>
      <c r="E130" s="194"/>
      <c r="F130" s="194">
        <v>2</v>
      </c>
      <c r="G130" s="194"/>
      <c r="H130" s="194"/>
      <c r="I130" s="194">
        <v>2</v>
      </c>
    </row>
    <row r="131" spans="1:9" x14ac:dyDescent="0.25">
      <c r="A131" s="223" t="s">
        <v>121</v>
      </c>
      <c r="B131" s="194"/>
      <c r="C131" s="194"/>
      <c r="D131" s="194"/>
      <c r="E131" s="194"/>
      <c r="F131" s="194">
        <v>2</v>
      </c>
      <c r="G131" s="194"/>
      <c r="H131" s="194"/>
      <c r="I131" s="194">
        <v>2</v>
      </c>
    </row>
    <row r="132" spans="1:9" x14ac:dyDescent="0.25">
      <c r="A132" s="209" t="s">
        <v>285</v>
      </c>
      <c r="B132" s="194"/>
      <c r="C132" s="194"/>
      <c r="D132" s="194"/>
      <c r="E132" s="194">
        <v>2</v>
      </c>
      <c r="F132" s="194"/>
      <c r="G132" s="194"/>
      <c r="H132" s="194"/>
      <c r="I132" s="194">
        <v>2</v>
      </c>
    </row>
    <row r="133" spans="1:9" x14ac:dyDescent="0.25">
      <c r="A133" s="195" t="s">
        <v>124</v>
      </c>
      <c r="B133" s="194"/>
      <c r="C133" s="194"/>
      <c r="D133" s="194"/>
      <c r="E133" s="194">
        <v>1</v>
      </c>
      <c r="F133" s="194"/>
      <c r="G133" s="194"/>
      <c r="H133" s="194"/>
      <c r="I133" s="194">
        <v>1</v>
      </c>
    </row>
    <row r="134" spans="1:9" x14ac:dyDescent="0.25">
      <c r="A134" s="195" t="s">
        <v>128</v>
      </c>
      <c r="B134" s="194"/>
      <c r="C134" s="194"/>
      <c r="D134" s="194"/>
      <c r="E134" s="194">
        <v>1</v>
      </c>
      <c r="F134" s="194"/>
      <c r="G134" s="194"/>
      <c r="H134" s="194"/>
      <c r="I134" s="194">
        <v>1</v>
      </c>
    </row>
    <row r="135" spans="1:9" x14ac:dyDescent="0.25">
      <c r="A135" s="227" t="s">
        <v>286</v>
      </c>
      <c r="B135" s="194"/>
      <c r="C135" s="194"/>
      <c r="D135" s="194"/>
      <c r="E135" s="194"/>
      <c r="F135" s="194">
        <v>2</v>
      </c>
      <c r="G135" s="194"/>
      <c r="H135" s="194"/>
      <c r="I135" s="194">
        <v>2</v>
      </c>
    </row>
    <row r="136" spans="1:9" x14ac:dyDescent="0.25">
      <c r="A136" s="223" t="s">
        <v>136</v>
      </c>
      <c r="B136" s="194"/>
      <c r="C136" s="194"/>
      <c r="D136" s="194"/>
      <c r="E136" s="194"/>
      <c r="F136" s="194">
        <v>2</v>
      </c>
      <c r="G136" s="194"/>
      <c r="H136" s="194"/>
      <c r="I136" s="194">
        <v>2</v>
      </c>
    </row>
    <row r="137" spans="1:9" x14ac:dyDescent="0.25">
      <c r="A137" s="227" t="s">
        <v>287</v>
      </c>
      <c r="B137" s="194"/>
      <c r="C137" s="194"/>
      <c r="D137" s="194"/>
      <c r="E137" s="194"/>
      <c r="F137" s="194">
        <v>2</v>
      </c>
      <c r="G137" s="194"/>
      <c r="H137" s="194"/>
      <c r="I137" s="194">
        <v>2</v>
      </c>
    </row>
    <row r="138" spans="1:9" x14ac:dyDescent="0.25">
      <c r="A138" s="195" t="s">
        <v>135</v>
      </c>
      <c r="B138" s="194"/>
      <c r="C138" s="194"/>
      <c r="D138" s="194"/>
      <c r="E138" s="194"/>
      <c r="F138" s="194">
        <v>1</v>
      </c>
      <c r="G138" s="194"/>
      <c r="H138" s="194"/>
      <c r="I138" s="194">
        <v>1</v>
      </c>
    </row>
    <row r="139" spans="1:9" x14ac:dyDescent="0.25">
      <c r="A139" s="223" t="s">
        <v>138</v>
      </c>
      <c r="B139" s="194"/>
      <c r="C139" s="194"/>
      <c r="D139" s="194"/>
      <c r="E139" s="194"/>
      <c r="F139" s="194">
        <v>1</v>
      </c>
      <c r="G139" s="194"/>
      <c r="H139" s="194"/>
      <c r="I139" s="194">
        <v>1</v>
      </c>
    </row>
    <row r="140" spans="1:9" x14ac:dyDescent="0.25">
      <c r="A140" s="227" t="s">
        <v>288</v>
      </c>
      <c r="B140" s="194"/>
      <c r="C140" s="194"/>
      <c r="D140" s="194"/>
      <c r="E140" s="194">
        <v>2</v>
      </c>
      <c r="F140" s="194"/>
      <c r="G140" s="194"/>
      <c r="H140" s="194"/>
      <c r="I140" s="194">
        <v>2</v>
      </c>
    </row>
    <row r="141" spans="1:9" x14ac:dyDescent="0.25">
      <c r="A141" s="223" t="s">
        <v>121</v>
      </c>
      <c r="B141" s="194"/>
      <c r="C141" s="194"/>
      <c r="D141" s="194"/>
      <c r="E141" s="194">
        <v>2</v>
      </c>
      <c r="F141" s="194"/>
      <c r="G141" s="194"/>
      <c r="H141" s="194"/>
      <c r="I141" s="194">
        <v>2</v>
      </c>
    </row>
    <row r="142" spans="1:9" x14ac:dyDescent="0.25">
      <c r="A142" s="227" t="s">
        <v>289</v>
      </c>
      <c r="B142" s="194"/>
      <c r="C142" s="194"/>
      <c r="D142" s="194"/>
      <c r="E142" s="194">
        <v>2</v>
      </c>
      <c r="F142" s="194"/>
      <c r="G142" s="194"/>
      <c r="H142" s="194"/>
      <c r="I142" s="194">
        <v>2</v>
      </c>
    </row>
    <row r="143" spans="1:9" x14ac:dyDescent="0.25">
      <c r="A143" s="195" t="s">
        <v>135</v>
      </c>
      <c r="B143" s="194"/>
      <c r="C143" s="194"/>
      <c r="D143" s="194"/>
      <c r="E143" s="194">
        <v>1</v>
      </c>
      <c r="F143" s="194"/>
      <c r="G143" s="194"/>
      <c r="H143" s="194"/>
      <c r="I143" s="194">
        <v>1</v>
      </c>
    </row>
    <row r="144" spans="1:9" x14ac:dyDescent="0.25">
      <c r="A144" s="223" t="s">
        <v>138</v>
      </c>
      <c r="B144" s="194"/>
      <c r="C144" s="194"/>
      <c r="D144" s="194"/>
      <c r="E144" s="194">
        <v>1</v>
      </c>
      <c r="F144" s="194"/>
      <c r="G144" s="194"/>
      <c r="H144" s="194"/>
      <c r="I144" s="194">
        <v>1</v>
      </c>
    </row>
    <row r="145" spans="1:9" x14ac:dyDescent="0.25">
      <c r="A145" s="227" t="s">
        <v>157</v>
      </c>
      <c r="B145" s="194"/>
      <c r="C145" s="194"/>
      <c r="D145" s="194"/>
      <c r="E145" s="194"/>
      <c r="F145" s="194">
        <v>2</v>
      </c>
      <c r="G145" s="194"/>
      <c r="H145" s="194"/>
      <c r="I145" s="194">
        <v>2</v>
      </c>
    </row>
    <row r="146" spans="1:9" x14ac:dyDescent="0.25">
      <c r="A146" s="195" t="s">
        <v>129</v>
      </c>
      <c r="B146" s="194"/>
      <c r="C146" s="194"/>
      <c r="D146" s="194"/>
      <c r="E146" s="194"/>
      <c r="F146" s="194">
        <v>2</v>
      </c>
      <c r="G146" s="194"/>
      <c r="H146" s="194"/>
      <c r="I146" s="194">
        <v>2</v>
      </c>
    </row>
    <row r="147" spans="1:9" x14ac:dyDescent="0.25">
      <c r="A147" s="332" t="s">
        <v>290</v>
      </c>
      <c r="B147" s="194"/>
      <c r="C147" s="194"/>
      <c r="D147" s="194"/>
      <c r="E147" s="194">
        <v>2</v>
      </c>
      <c r="F147" s="194"/>
      <c r="G147" s="194"/>
      <c r="H147" s="194"/>
      <c r="I147" s="194">
        <v>2</v>
      </c>
    </row>
    <row r="148" spans="1:9" x14ac:dyDescent="0.25">
      <c r="A148" s="195" t="s">
        <v>123</v>
      </c>
      <c r="B148" s="194"/>
      <c r="C148" s="194"/>
      <c r="D148" s="194"/>
      <c r="E148" s="194">
        <v>2</v>
      </c>
      <c r="F148" s="194"/>
      <c r="G148" s="194"/>
      <c r="H148" s="194"/>
      <c r="I148" s="194">
        <v>2</v>
      </c>
    </row>
    <row r="149" spans="1:9" x14ac:dyDescent="0.25">
      <c r="A149" s="332" t="s">
        <v>172</v>
      </c>
      <c r="B149" s="194"/>
      <c r="C149" s="194"/>
      <c r="D149" s="194">
        <v>2</v>
      </c>
      <c r="E149" s="194"/>
      <c r="F149" s="194"/>
      <c r="G149" s="194"/>
      <c r="H149" s="194"/>
      <c r="I149" s="194">
        <v>2</v>
      </c>
    </row>
    <row r="150" spans="1:9" x14ac:dyDescent="0.25">
      <c r="A150" s="195" t="s">
        <v>130</v>
      </c>
      <c r="B150" s="194"/>
      <c r="C150" s="194"/>
      <c r="D150" s="194">
        <v>2</v>
      </c>
      <c r="E150" s="194"/>
      <c r="F150" s="194"/>
      <c r="G150" s="194"/>
      <c r="H150" s="194"/>
      <c r="I150" s="194">
        <v>2</v>
      </c>
    </row>
    <row r="151" spans="1:9" x14ac:dyDescent="0.25">
      <c r="A151" s="227" t="s">
        <v>291</v>
      </c>
      <c r="B151" s="194"/>
      <c r="C151" s="194"/>
      <c r="D151" s="194"/>
      <c r="E151" s="194"/>
      <c r="F151" s="194">
        <v>2</v>
      </c>
      <c r="G151" s="194"/>
      <c r="H151" s="194"/>
      <c r="I151" s="194">
        <v>2</v>
      </c>
    </row>
    <row r="152" spans="1:9" x14ac:dyDescent="0.25">
      <c r="A152" s="195" t="s">
        <v>135</v>
      </c>
      <c r="B152" s="194"/>
      <c r="C152" s="194"/>
      <c r="D152" s="194"/>
      <c r="E152" s="194"/>
      <c r="F152" s="194">
        <v>1</v>
      </c>
      <c r="G152" s="194"/>
      <c r="H152" s="194"/>
      <c r="I152" s="194">
        <v>1</v>
      </c>
    </row>
    <row r="153" spans="1:9" x14ac:dyDescent="0.25">
      <c r="A153" s="223" t="s">
        <v>138</v>
      </c>
      <c r="B153" s="194"/>
      <c r="C153" s="194"/>
      <c r="D153" s="194"/>
      <c r="E153" s="194"/>
      <c r="F153" s="194">
        <v>1</v>
      </c>
      <c r="G153" s="194"/>
      <c r="H153" s="194"/>
      <c r="I153" s="194">
        <v>1</v>
      </c>
    </row>
    <row r="154" spans="1:9" x14ac:dyDescent="0.25">
      <c r="A154" s="332" t="s">
        <v>292</v>
      </c>
      <c r="B154" s="194"/>
      <c r="C154" s="194"/>
      <c r="D154" s="194"/>
      <c r="E154" s="194"/>
      <c r="F154" s="194">
        <v>2</v>
      </c>
      <c r="G154" s="194"/>
      <c r="H154" s="194"/>
      <c r="I154" s="194">
        <v>2</v>
      </c>
    </row>
    <row r="155" spans="1:9" x14ac:dyDescent="0.25">
      <c r="A155" s="195" t="s">
        <v>124</v>
      </c>
      <c r="B155" s="194"/>
      <c r="C155" s="194"/>
      <c r="D155" s="194"/>
      <c r="E155" s="194"/>
      <c r="F155" s="194">
        <v>1</v>
      </c>
      <c r="G155" s="194"/>
      <c r="H155" s="194"/>
      <c r="I155" s="194">
        <v>1</v>
      </c>
    </row>
    <row r="156" spans="1:9" x14ac:dyDescent="0.25">
      <c r="A156" s="195" t="s">
        <v>128</v>
      </c>
      <c r="B156" s="194"/>
      <c r="C156" s="194"/>
      <c r="D156" s="194"/>
      <c r="E156" s="194"/>
      <c r="F156" s="194">
        <v>1</v>
      </c>
      <c r="G156" s="194"/>
      <c r="H156" s="194"/>
      <c r="I156" s="194">
        <v>1</v>
      </c>
    </row>
    <row r="157" spans="1:9" x14ac:dyDescent="0.25">
      <c r="A157" s="332" t="s">
        <v>293</v>
      </c>
      <c r="B157" s="194"/>
      <c r="C157" s="194"/>
      <c r="D157" s="194"/>
      <c r="E157" s="194">
        <v>1</v>
      </c>
      <c r="F157" s="194"/>
      <c r="G157" s="194"/>
      <c r="H157" s="194"/>
      <c r="I157" s="194">
        <v>1</v>
      </c>
    </row>
    <row r="158" spans="1:9" x14ac:dyDescent="0.25">
      <c r="A158" s="195" t="s">
        <v>140</v>
      </c>
      <c r="B158" s="194"/>
      <c r="C158" s="194"/>
      <c r="D158" s="194"/>
      <c r="E158" s="194">
        <v>1</v>
      </c>
      <c r="F158" s="194"/>
      <c r="G158" s="194"/>
      <c r="H158" s="194"/>
      <c r="I158" s="194">
        <v>1</v>
      </c>
    </row>
    <row r="159" spans="1:9" x14ac:dyDescent="0.25">
      <c r="A159" s="332" t="s">
        <v>294</v>
      </c>
      <c r="B159" s="194"/>
      <c r="C159" s="194"/>
      <c r="D159" s="194"/>
      <c r="E159" s="194">
        <v>1</v>
      </c>
      <c r="F159" s="194"/>
      <c r="G159" s="194"/>
      <c r="H159" s="194"/>
      <c r="I159" s="194">
        <v>1</v>
      </c>
    </row>
    <row r="160" spans="1:9" x14ac:dyDescent="0.25">
      <c r="A160" s="195" t="s">
        <v>140</v>
      </c>
      <c r="B160" s="194"/>
      <c r="C160" s="194"/>
      <c r="D160" s="194"/>
      <c r="E160" s="194">
        <v>1</v>
      </c>
      <c r="F160" s="194"/>
      <c r="G160" s="194"/>
      <c r="H160" s="194"/>
      <c r="I160" s="194">
        <v>1</v>
      </c>
    </row>
    <row r="161" spans="1:9" x14ac:dyDescent="0.25">
      <c r="A161" s="332" t="s">
        <v>295</v>
      </c>
      <c r="B161" s="194"/>
      <c r="C161" s="194"/>
      <c r="D161" s="194"/>
      <c r="E161" s="194">
        <v>1</v>
      </c>
      <c r="F161" s="194"/>
      <c r="G161" s="194"/>
      <c r="H161" s="194"/>
      <c r="I161" s="194">
        <v>1</v>
      </c>
    </row>
    <row r="162" spans="1:9" x14ac:dyDescent="0.25">
      <c r="A162" s="195" t="s">
        <v>140</v>
      </c>
      <c r="B162" s="194"/>
      <c r="C162" s="194"/>
      <c r="D162" s="194"/>
      <c r="E162" s="194">
        <v>1</v>
      </c>
      <c r="F162" s="194"/>
      <c r="G162" s="194"/>
      <c r="H162" s="194"/>
      <c r="I162" s="194">
        <v>1</v>
      </c>
    </row>
    <row r="163" spans="1:9" x14ac:dyDescent="0.25">
      <c r="A163" s="332" t="s">
        <v>296</v>
      </c>
      <c r="B163" s="194"/>
      <c r="C163" s="194"/>
      <c r="D163" s="194"/>
      <c r="E163" s="194">
        <v>1</v>
      </c>
      <c r="F163" s="194"/>
      <c r="G163" s="194"/>
      <c r="H163" s="194"/>
      <c r="I163" s="194">
        <v>1</v>
      </c>
    </row>
    <row r="164" spans="1:9" x14ac:dyDescent="0.25">
      <c r="A164" s="195" t="s">
        <v>140</v>
      </c>
      <c r="B164" s="194"/>
      <c r="C164" s="194"/>
      <c r="D164" s="194"/>
      <c r="E164" s="194">
        <v>1</v>
      </c>
      <c r="F164" s="194"/>
      <c r="G164" s="194"/>
      <c r="H164" s="194"/>
      <c r="I164" s="194">
        <v>1</v>
      </c>
    </row>
    <row r="165" spans="1:9" x14ac:dyDescent="0.25">
      <c r="A165" s="332" t="s">
        <v>297</v>
      </c>
      <c r="B165" s="194"/>
      <c r="C165" s="194"/>
      <c r="D165" s="194"/>
      <c r="E165" s="194">
        <v>1</v>
      </c>
      <c r="F165" s="194"/>
      <c r="G165" s="194"/>
      <c r="H165" s="194"/>
      <c r="I165" s="194">
        <v>1</v>
      </c>
    </row>
    <row r="166" spans="1:9" x14ac:dyDescent="0.25">
      <c r="A166" s="195" t="s">
        <v>140</v>
      </c>
      <c r="B166" s="194"/>
      <c r="C166" s="194"/>
      <c r="D166" s="194"/>
      <c r="E166" s="194">
        <v>1</v>
      </c>
      <c r="F166" s="194"/>
      <c r="G166" s="194"/>
      <c r="H166" s="194"/>
      <c r="I166" s="194">
        <v>1</v>
      </c>
    </row>
    <row r="167" spans="1:9" x14ac:dyDescent="0.25">
      <c r="A167" s="332" t="s">
        <v>298</v>
      </c>
      <c r="B167" s="194"/>
      <c r="C167" s="194"/>
      <c r="D167" s="194"/>
      <c r="E167" s="194">
        <v>1</v>
      </c>
      <c r="F167" s="194"/>
      <c r="G167" s="194"/>
      <c r="H167" s="194"/>
      <c r="I167" s="194">
        <v>1</v>
      </c>
    </row>
    <row r="168" spans="1:9" x14ac:dyDescent="0.25">
      <c r="A168" s="195" t="s">
        <v>140</v>
      </c>
      <c r="B168" s="194"/>
      <c r="C168" s="194"/>
      <c r="D168" s="194"/>
      <c r="E168" s="194">
        <v>1</v>
      </c>
      <c r="F168" s="194"/>
      <c r="G168" s="194"/>
      <c r="H168" s="194"/>
      <c r="I168" s="194">
        <v>1</v>
      </c>
    </row>
    <row r="169" spans="1:9" x14ac:dyDescent="0.25">
      <c r="A169" s="332" t="s">
        <v>299</v>
      </c>
      <c r="B169" s="194"/>
      <c r="C169" s="194"/>
      <c r="D169" s="194"/>
      <c r="E169" s="194"/>
      <c r="F169" s="194"/>
      <c r="G169" s="194">
        <v>1</v>
      </c>
      <c r="H169" s="194"/>
      <c r="I169" s="194">
        <v>1</v>
      </c>
    </row>
    <row r="170" spans="1:9" x14ac:dyDescent="0.25">
      <c r="A170" s="195" t="s">
        <v>140</v>
      </c>
      <c r="B170" s="194"/>
      <c r="C170" s="194"/>
      <c r="D170" s="194"/>
      <c r="E170" s="194"/>
      <c r="F170" s="194"/>
      <c r="G170" s="194">
        <v>1</v>
      </c>
      <c r="H170" s="194"/>
      <c r="I170" s="194">
        <v>1</v>
      </c>
    </row>
    <row r="171" spans="1:9" x14ac:dyDescent="0.25">
      <c r="A171" s="332" t="s">
        <v>300</v>
      </c>
      <c r="B171" s="194"/>
      <c r="C171" s="194">
        <v>1</v>
      </c>
      <c r="D171" s="194"/>
      <c r="E171" s="194"/>
      <c r="F171" s="194"/>
      <c r="G171" s="194"/>
      <c r="H171" s="194"/>
      <c r="I171" s="194">
        <v>1</v>
      </c>
    </row>
    <row r="172" spans="1:9" x14ac:dyDescent="0.25">
      <c r="A172" s="195" t="s">
        <v>140</v>
      </c>
      <c r="B172" s="194"/>
      <c r="C172" s="194">
        <v>1</v>
      </c>
      <c r="D172" s="194"/>
      <c r="E172" s="194"/>
      <c r="F172" s="194"/>
      <c r="G172" s="194"/>
      <c r="H172" s="194"/>
      <c r="I172" s="194">
        <v>1</v>
      </c>
    </row>
    <row r="173" spans="1:9" x14ac:dyDescent="0.25">
      <c r="A173" s="332" t="s">
        <v>301</v>
      </c>
      <c r="B173" s="194">
        <v>1</v>
      </c>
      <c r="C173" s="194"/>
      <c r="D173" s="194"/>
      <c r="E173" s="194"/>
      <c r="F173" s="194"/>
      <c r="G173" s="194"/>
      <c r="H173" s="194"/>
      <c r="I173" s="194">
        <v>1</v>
      </c>
    </row>
    <row r="174" spans="1:9" x14ac:dyDescent="0.25">
      <c r="A174" s="195" t="s">
        <v>140</v>
      </c>
      <c r="B174" s="194">
        <v>1</v>
      </c>
      <c r="C174" s="194"/>
      <c r="D174" s="194"/>
      <c r="E174" s="194"/>
      <c r="F174" s="194"/>
      <c r="G174" s="194"/>
      <c r="H174" s="194"/>
      <c r="I174" s="194">
        <v>1</v>
      </c>
    </row>
    <row r="175" spans="1:9" x14ac:dyDescent="0.25">
      <c r="A175" s="332" t="s">
        <v>302</v>
      </c>
      <c r="B175" s="194"/>
      <c r="C175" s="194"/>
      <c r="D175" s="194"/>
      <c r="E175" s="194"/>
      <c r="F175" s="194"/>
      <c r="G175" s="194">
        <v>1</v>
      </c>
      <c r="H175" s="194"/>
      <c r="I175" s="194">
        <v>1</v>
      </c>
    </row>
    <row r="176" spans="1:9" x14ac:dyDescent="0.25">
      <c r="A176" s="195" t="s">
        <v>140</v>
      </c>
      <c r="B176" s="194"/>
      <c r="C176" s="194"/>
      <c r="D176" s="194"/>
      <c r="E176" s="194"/>
      <c r="F176" s="194"/>
      <c r="G176" s="194">
        <v>1</v>
      </c>
      <c r="H176" s="194"/>
      <c r="I176" s="194">
        <v>1</v>
      </c>
    </row>
    <row r="177" spans="1:9" x14ac:dyDescent="0.25">
      <c r="A177" s="332" t="s">
        <v>303</v>
      </c>
      <c r="B177" s="194"/>
      <c r="C177" s="194"/>
      <c r="D177" s="194"/>
      <c r="E177" s="194"/>
      <c r="F177" s="194"/>
      <c r="G177" s="194">
        <v>1</v>
      </c>
      <c r="H177" s="194"/>
      <c r="I177" s="194">
        <v>1</v>
      </c>
    </row>
    <row r="178" spans="1:9" x14ac:dyDescent="0.25">
      <c r="A178" s="195" t="s">
        <v>140</v>
      </c>
      <c r="B178" s="194"/>
      <c r="C178" s="194"/>
      <c r="D178" s="194"/>
      <c r="E178" s="194"/>
      <c r="F178" s="194"/>
      <c r="G178" s="194">
        <v>1</v>
      </c>
      <c r="H178" s="194"/>
      <c r="I178" s="194">
        <v>1</v>
      </c>
    </row>
    <row r="179" spans="1:9" x14ac:dyDescent="0.25">
      <c r="A179" s="332" t="s">
        <v>304</v>
      </c>
      <c r="B179" s="194"/>
      <c r="C179" s="194"/>
      <c r="D179" s="194"/>
      <c r="E179" s="194"/>
      <c r="F179" s="194">
        <v>1</v>
      </c>
      <c r="G179" s="194"/>
      <c r="H179" s="194"/>
      <c r="I179" s="194">
        <v>1</v>
      </c>
    </row>
    <row r="180" spans="1:9" x14ac:dyDescent="0.25">
      <c r="A180" s="195" t="s">
        <v>128</v>
      </c>
      <c r="B180" s="194"/>
      <c r="C180" s="194"/>
      <c r="D180" s="194"/>
      <c r="E180" s="194"/>
      <c r="F180" s="194">
        <v>1</v>
      </c>
      <c r="G180" s="194"/>
      <c r="H180" s="194"/>
      <c r="I180" s="194">
        <v>1</v>
      </c>
    </row>
    <row r="181" spans="1:9" ht="31.25" x14ac:dyDescent="0.25">
      <c r="A181" s="331" t="s">
        <v>305</v>
      </c>
      <c r="B181" s="194"/>
      <c r="C181" s="194"/>
      <c r="D181" s="194"/>
      <c r="E181" s="194"/>
      <c r="F181" s="194">
        <v>1</v>
      </c>
      <c r="G181" s="194"/>
      <c r="H181" s="194"/>
      <c r="I181" s="194">
        <v>1</v>
      </c>
    </row>
    <row r="182" spans="1:9" x14ac:dyDescent="0.25">
      <c r="A182" s="195" t="s">
        <v>140</v>
      </c>
      <c r="B182" s="194"/>
      <c r="C182" s="194"/>
      <c r="D182" s="194"/>
      <c r="E182" s="194"/>
      <c r="F182" s="194">
        <v>1</v>
      </c>
      <c r="G182" s="194"/>
      <c r="H182" s="194"/>
      <c r="I182" s="194">
        <v>1</v>
      </c>
    </row>
    <row r="183" spans="1:9" x14ac:dyDescent="0.25">
      <c r="A183" s="332" t="s">
        <v>306</v>
      </c>
      <c r="B183" s="194"/>
      <c r="C183" s="194"/>
      <c r="D183" s="194"/>
      <c r="E183" s="194"/>
      <c r="F183" s="194">
        <v>1</v>
      </c>
      <c r="G183" s="194"/>
      <c r="H183" s="194"/>
      <c r="I183" s="194">
        <v>1</v>
      </c>
    </row>
    <row r="184" spans="1:9" x14ac:dyDescent="0.25">
      <c r="A184" s="195" t="s">
        <v>133</v>
      </c>
      <c r="B184" s="194"/>
      <c r="C184" s="194"/>
      <c r="D184" s="194"/>
      <c r="E184" s="194"/>
      <c r="F184" s="194">
        <v>1</v>
      </c>
      <c r="G184" s="194"/>
      <c r="H184" s="194"/>
      <c r="I184" s="194">
        <v>1</v>
      </c>
    </row>
    <row r="185" spans="1:9" x14ac:dyDescent="0.25">
      <c r="A185" s="332" t="s">
        <v>307</v>
      </c>
      <c r="B185" s="194">
        <v>1</v>
      </c>
      <c r="C185" s="194"/>
      <c r="D185" s="194"/>
      <c r="E185" s="194"/>
      <c r="F185" s="194"/>
      <c r="G185" s="194"/>
      <c r="H185" s="194"/>
      <c r="I185" s="194">
        <v>1</v>
      </c>
    </row>
    <row r="186" spans="1:9" x14ac:dyDescent="0.25">
      <c r="A186" s="195" t="s">
        <v>140</v>
      </c>
      <c r="B186" s="194">
        <v>1</v>
      </c>
      <c r="C186" s="194"/>
      <c r="D186" s="194"/>
      <c r="E186" s="194"/>
      <c r="F186" s="194"/>
      <c r="G186" s="194"/>
      <c r="H186" s="194"/>
      <c r="I186" s="194">
        <v>1</v>
      </c>
    </row>
    <row r="187" spans="1:9" x14ac:dyDescent="0.25">
      <c r="A187" s="332" t="s">
        <v>308</v>
      </c>
      <c r="B187" s="194"/>
      <c r="C187" s="194"/>
      <c r="D187" s="194"/>
      <c r="E187" s="194"/>
      <c r="F187" s="194">
        <v>1</v>
      </c>
      <c r="G187" s="194"/>
      <c r="H187" s="194"/>
      <c r="I187" s="194">
        <v>1</v>
      </c>
    </row>
    <row r="188" spans="1:9" x14ac:dyDescent="0.25">
      <c r="A188" s="195" t="s">
        <v>124</v>
      </c>
      <c r="B188" s="194"/>
      <c r="C188" s="194"/>
      <c r="D188" s="194"/>
      <c r="E188" s="194"/>
      <c r="F188" s="194">
        <v>1</v>
      </c>
      <c r="G188" s="194"/>
      <c r="H188" s="194"/>
      <c r="I188" s="194">
        <v>1</v>
      </c>
    </row>
    <row r="189" spans="1:9" x14ac:dyDescent="0.25">
      <c r="A189" s="209" t="s">
        <v>178</v>
      </c>
      <c r="B189" s="194"/>
      <c r="C189" s="194"/>
      <c r="D189" s="194">
        <v>1</v>
      </c>
      <c r="E189" s="194"/>
      <c r="F189" s="194"/>
      <c r="G189" s="194"/>
      <c r="H189" s="194"/>
      <c r="I189" s="194">
        <v>1</v>
      </c>
    </row>
    <row r="190" spans="1:9" x14ac:dyDescent="0.25">
      <c r="A190" s="195" t="s">
        <v>130</v>
      </c>
      <c r="B190" s="194"/>
      <c r="C190" s="194"/>
      <c r="D190" s="194">
        <v>1</v>
      </c>
      <c r="E190" s="194"/>
      <c r="F190" s="194"/>
      <c r="G190" s="194"/>
      <c r="H190" s="194"/>
      <c r="I190" s="194">
        <v>1</v>
      </c>
    </row>
    <row r="191" spans="1:9" x14ac:dyDescent="0.25">
      <c r="A191" s="332" t="s">
        <v>309</v>
      </c>
      <c r="B191" s="194"/>
      <c r="C191" s="194"/>
      <c r="D191" s="194"/>
      <c r="E191" s="194">
        <v>1</v>
      </c>
      <c r="F191" s="194"/>
      <c r="G191" s="194"/>
      <c r="H191" s="194"/>
      <c r="I191" s="194">
        <v>1</v>
      </c>
    </row>
    <row r="192" spans="1:9" x14ac:dyDescent="0.25">
      <c r="A192" s="195" t="s">
        <v>140</v>
      </c>
      <c r="B192" s="194"/>
      <c r="C192" s="194"/>
      <c r="D192" s="194"/>
      <c r="E192" s="194">
        <v>1</v>
      </c>
      <c r="F192" s="194"/>
      <c r="G192" s="194"/>
      <c r="H192" s="194"/>
      <c r="I192" s="194">
        <v>1</v>
      </c>
    </row>
    <row r="193" spans="1:9" x14ac:dyDescent="0.25">
      <c r="A193" s="209" t="s">
        <v>310</v>
      </c>
      <c r="B193" s="194"/>
      <c r="C193" s="194"/>
      <c r="D193" s="194"/>
      <c r="E193" s="194"/>
      <c r="F193" s="194">
        <v>1</v>
      </c>
      <c r="G193" s="194"/>
      <c r="H193" s="194"/>
      <c r="I193" s="194">
        <v>1</v>
      </c>
    </row>
    <row r="194" spans="1:9" x14ac:dyDescent="0.25">
      <c r="A194" s="195" t="s">
        <v>140</v>
      </c>
      <c r="B194" s="194"/>
      <c r="C194" s="194"/>
      <c r="D194" s="194"/>
      <c r="E194" s="194"/>
      <c r="F194" s="194">
        <v>1</v>
      </c>
      <c r="G194" s="194"/>
      <c r="H194" s="194"/>
      <c r="I194" s="194">
        <v>1</v>
      </c>
    </row>
    <row r="195" spans="1:9" x14ac:dyDescent="0.25">
      <c r="A195" s="227" t="s">
        <v>311</v>
      </c>
      <c r="B195" s="194">
        <v>1</v>
      </c>
      <c r="C195" s="194"/>
      <c r="D195" s="194"/>
      <c r="E195" s="194"/>
      <c r="F195" s="194"/>
      <c r="G195" s="194"/>
      <c r="H195" s="194"/>
      <c r="I195" s="194">
        <v>1</v>
      </c>
    </row>
    <row r="196" spans="1:9" x14ac:dyDescent="0.25">
      <c r="A196" s="223" t="s">
        <v>138</v>
      </c>
      <c r="B196" s="194">
        <v>1</v>
      </c>
      <c r="C196" s="194"/>
      <c r="D196" s="194"/>
      <c r="E196" s="194"/>
      <c r="F196" s="194"/>
      <c r="G196" s="194"/>
      <c r="H196" s="194"/>
      <c r="I196" s="194">
        <v>1</v>
      </c>
    </row>
    <row r="197" spans="1:9" x14ac:dyDescent="0.25">
      <c r="A197" s="332" t="s">
        <v>312</v>
      </c>
      <c r="B197" s="194"/>
      <c r="C197" s="194"/>
      <c r="D197" s="194"/>
      <c r="E197" s="194">
        <v>1</v>
      </c>
      <c r="F197" s="194"/>
      <c r="G197" s="194"/>
      <c r="H197" s="194"/>
      <c r="I197" s="194">
        <v>1</v>
      </c>
    </row>
    <row r="198" spans="1:9" x14ac:dyDescent="0.25">
      <c r="A198" s="195" t="s">
        <v>140</v>
      </c>
      <c r="B198" s="194"/>
      <c r="C198" s="194"/>
      <c r="D198" s="194"/>
      <c r="E198" s="194">
        <v>1</v>
      </c>
      <c r="F198" s="194"/>
      <c r="G198" s="194"/>
      <c r="H198" s="194"/>
      <c r="I198" s="194">
        <v>1</v>
      </c>
    </row>
    <row r="199" spans="1:9" x14ac:dyDescent="0.25">
      <c r="A199" s="209" t="s">
        <v>313</v>
      </c>
      <c r="B199" s="194"/>
      <c r="C199" s="194"/>
      <c r="D199" s="194"/>
      <c r="E199" s="194">
        <v>1</v>
      </c>
      <c r="F199" s="194"/>
      <c r="G199" s="194"/>
      <c r="H199" s="194"/>
      <c r="I199" s="194">
        <v>1</v>
      </c>
    </row>
    <row r="200" spans="1:9" x14ac:dyDescent="0.25">
      <c r="A200" s="195" t="s">
        <v>133</v>
      </c>
      <c r="B200" s="194"/>
      <c r="C200" s="194"/>
      <c r="D200" s="194"/>
      <c r="E200" s="194">
        <v>1</v>
      </c>
      <c r="F200" s="194"/>
      <c r="G200" s="194"/>
      <c r="H200" s="194"/>
      <c r="I200" s="194">
        <v>1</v>
      </c>
    </row>
    <row r="201" spans="1:9" x14ac:dyDescent="0.25">
      <c r="A201" s="332" t="s">
        <v>314</v>
      </c>
      <c r="B201" s="194">
        <v>1</v>
      </c>
      <c r="C201" s="194"/>
      <c r="D201" s="194"/>
      <c r="E201" s="194"/>
      <c r="F201" s="194"/>
      <c r="G201" s="194"/>
      <c r="H201" s="194"/>
      <c r="I201" s="194">
        <v>1</v>
      </c>
    </row>
    <row r="202" spans="1:9" x14ac:dyDescent="0.25">
      <c r="A202" s="195" t="s">
        <v>140</v>
      </c>
      <c r="B202" s="194">
        <v>1</v>
      </c>
      <c r="C202" s="194"/>
      <c r="D202" s="194"/>
      <c r="E202" s="194"/>
      <c r="F202" s="194"/>
      <c r="G202" s="194"/>
      <c r="H202" s="194"/>
      <c r="I202" s="194">
        <v>1</v>
      </c>
    </row>
    <row r="203" spans="1:9" x14ac:dyDescent="0.25">
      <c r="A203" s="332" t="s">
        <v>315</v>
      </c>
      <c r="B203" s="194"/>
      <c r="C203" s="194"/>
      <c r="D203" s="194"/>
      <c r="E203" s="194">
        <v>1</v>
      </c>
      <c r="F203" s="194"/>
      <c r="G203" s="194"/>
      <c r="H203" s="194"/>
      <c r="I203" s="194">
        <v>1</v>
      </c>
    </row>
    <row r="204" spans="1:9" x14ac:dyDescent="0.25">
      <c r="A204" s="195" t="s">
        <v>133</v>
      </c>
      <c r="B204" s="194"/>
      <c r="C204" s="194"/>
      <c r="D204" s="194"/>
      <c r="E204" s="194">
        <v>1</v>
      </c>
      <c r="F204" s="194"/>
      <c r="G204" s="194"/>
      <c r="H204" s="194"/>
      <c r="I204" s="194">
        <v>1</v>
      </c>
    </row>
    <row r="205" spans="1:9" x14ac:dyDescent="0.25">
      <c r="A205" s="332" t="s">
        <v>175</v>
      </c>
      <c r="B205" s="194"/>
      <c r="C205" s="194"/>
      <c r="D205" s="194">
        <v>1</v>
      </c>
      <c r="E205" s="194"/>
      <c r="F205" s="194"/>
      <c r="G205" s="194"/>
      <c r="H205" s="194"/>
      <c r="I205" s="194">
        <v>1</v>
      </c>
    </row>
    <row r="206" spans="1:9" x14ac:dyDescent="0.25">
      <c r="A206" s="195" t="s">
        <v>130</v>
      </c>
      <c r="B206" s="194"/>
      <c r="C206" s="194"/>
      <c r="D206" s="194">
        <v>1</v>
      </c>
      <c r="E206" s="194"/>
      <c r="F206" s="194"/>
      <c r="G206" s="194"/>
      <c r="H206" s="194"/>
      <c r="I206" s="194">
        <v>1</v>
      </c>
    </row>
    <row r="207" spans="1:9" x14ac:dyDescent="0.25">
      <c r="A207" s="209" t="s">
        <v>316</v>
      </c>
      <c r="B207" s="194"/>
      <c r="C207" s="194"/>
      <c r="D207" s="194"/>
      <c r="E207" s="194"/>
      <c r="F207" s="194">
        <v>1</v>
      </c>
      <c r="G207" s="194"/>
      <c r="H207" s="194"/>
      <c r="I207" s="194">
        <v>1</v>
      </c>
    </row>
    <row r="208" spans="1:9" x14ac:dyDescent="0.25">
      <c r="A208" s="195" t="s">
        <v>140</v>
      </c>
      <c r="B208" s="194"/>
      <c r="C208" s="194"/>
      <c r="D208" s="194"/>
      <c r="E208" s="194"/>
      <c r="F208" s="194">
        <v>1</v>
      </c>
      <c r="G208" s="194"/>
      <c r="H208" s="194"/>
      <c r="I208" s="194">
        <v>1</v>
      </c>
    </row>
    <row r="209" spans="1:9" x14ac:dyDescent="0.25">
      <c r="A209" s="332" t="s">
        <v>317</v>
      </c>
      <c r="B209" s="194">
        <v>1</v>
      </c>
      <c r="C209" s="194"/>
      <c r="D209" s="194"/>
      <c r="E209" s="194"/>
      <c r="F209" s="194"/>
      <c r="G209" s="194"/>
      <c r="H209" s="194"/>
      <c r="I209" s="194">
        <v>1</v>
      </c>
    </row>
    <row r="210" spans="1:9" x14ac:dyDescent="0.25">
      <c r="A210" s="195" t="s">
        <v>140</v>
      </c>
      <c r="B210" s="194">
        <v>1</v>
      </c>
      <c r="C210" s="194"/>
      <c r="D210" s="194"/>
      <c r="E210" s="194"/>
      <c r="F210" s="194"/>
      <c r="G210" s="194"/>
      <c r="H210" s="194"/>
      <c r="I210" s="194">
        <v>1</v>
      </c>
    </row>
    <row r="211" spans="1:9" x14ac:dyDescent="0.25">
      <c r="A211" s="209" t="s">
        <v>318</v>
      </c>
      <c r="B211" s="194"/>
      <c r="C211" s="194"/>
      <c r="D211" s="194"/>
      <c r="E211" s="194"/>
      <c r="F211" s="194">
        <v>1</v>
      </c>
      <c r="G211" s="194"/>
      <c r="H211" s="194"/>
      <c r="I211" s="194">
        <v>1</v>
      </c>
    </row>
    <row r="212" spans="1:9" x14ac:dyDescent="0.25">
      <c r="A212" s="195" t="s">
        <v>140</v>
      </c>
      <c r="B212" s="194"/>
      <c r="C212" s="194"/>
      <c r="D212" s="194"/>
      <c r="E212" s="194"/>
      <c r="F212" s="194">
        <v>1</v>
      </c>
      <c r="G212" s="194"/>
      <c r="H212" s="194"/>
      <c r="I212" s="194">
        <v>1</v>
      </c>
    </row>
    <row r="213" spans="1:9" x14ac:dyDescent="0.25">
      <c r="A213" s="332" t="s">
        <v>319</v>
      </c>
      <c r="B213" s="194"/>
      <c r="C213" s="194">
        <v>1</v>
      </c>
      <c r="D213" s="194"/>
      <c r="E213" s="194"/>
      <c r="F213" s="194"/>
      <c r="G213" s="194"/>
      <c r="H213" s="194"/>
      <c r="I213" s="194">
        <v>1</v>
      </c>
    </row>
    <row r="214" spans="1:9" x14ac:dyDescent="0.25">
      <c r="A214" s="195" t="s">
        <v>140</v>
      </c>
      <c r="B214" s="194"/>
      <c r="C214" s="194">
        <v>1</v>
      </c>
      <c r="D214" s="194"/>
      <c r="E214" s="194"/>
      <c r="F214" s="194"/>
      <c r="G214" s="194"/>
      <c r="H214" s="194"/>
      <c r="I214" s="194">
        <v>1</v>
      </c>
    </row>
    <row r="215" spans="1:9" x14ac:dyDescent="0.25">
      <c r="A215" s="227" t="s">
        <v>320</v>
      </c>
      <c r="B215" s="194"/>
      <c r="C215" s="194"/>
      <c r="D215" s="194"/>
      <c r="E215" s="194">
        <v>1</v>
      </c>
      <c r="F215" s="194"/>
      <c r="G215" s="194"/>
      <c r="H215" s="194"/>
      <c r="I215" s="194">
        <v>1</v>
      </c>
    </row>
    <row r="216" spans="1:9" x14ac:dyDescent="0.25">
      <c r="A216" s="223" t="s">
        <v>123</v>
      </c>
      <c r="B216" s="194"/>
      <c r="C216" s="194"/>
      <c r="D216" s="194"/>
      <c r="E216" s="194">
        <v>1</v>
      </c>
      <c r="F216" s="194"/>
      <c r="G216" s="194"/>
      <c r="H216" s="194"/>
      <c r="I216" s="194">
        <v>1</v>
      </c>
    </row>
    <row r="217" spans="1:9" x14ac:dyDescent="0.25">
      <c r="A217" s="332" t="s">
        <v>321</v>
      </c>
      <c r="B217" s="194"/>
      <c r="C217" s="194"/>
      <c r="D217" s="194"/>
      <c r="E217" s="194"/>
      <c r="F217" s="194"/>
      <c r="G217" s="194">
        <v>1</v>
      </c>
      <c r="H217" s="194"/>
      <c r="I217" s="194">
        <v>1</v>
      </c>
    </row>
    <row r="218" spans="1:9" x14ac:dyDescent="0.25">
      <c r="A218" s="195" t="s">
        <v>140</v>
      </c>
      <c r="B218" s="194"/>
      <c r="C218" s="194"/>
      <c r="D218" s="194"/>
      <c r="E218" s="194"/>
      <c r="F218" s="194"/>
      <c r="G218" s="194">
        <v>1</v>
      </c>
      <c r="H218" s="194"/>
      <c r="I218" s="194">
        <v>1</v>
      </c>
    </row>
    <row r="219" spans="1:9" x14ac:dyDescent="0.25">
      <c r="A219" s="332" t="s">
        <v>322</v>
      </c>
      <c r="B219" s="194"/>
      <c r="C219" s="194"/>
      <c r="D219" s="194"/>
      <c r="E219" s="194"/>
      <c r="F219" s="194">
        <v>1</v>
      </c>
      <c r="G219" s="194"/>
      <c r="H219" s="194"/>
      <c r="I219" s="194">
        <v>1</v>
      </c>
    </row>
    <row r="220" spans="1:9" x14ac:dyDescent="0.25">
      <c r="A220" s="195" t="s">
        <v>140</v>
      </c>
      <c r="B220" s="194"/>
      <c r="C220" s="194"/>
      <c r="D220" s="194"/>
      <c r="E220" s="194"/>
      <c r="F220" s="194">
        <v>1</v>
      </c>
      <c r="G220" s="194"/>
      <c r="H220" s="194"/>
      <c r="I220" s="194">
        <v>1</v>
      </c>
    </row>
    <row r="221" spans="1:9" x14ac:dyDescent="0.25">
      <c r="A221" s="332" t="s">
        <v>323</v>
      </c>
      <c r="B221" s="194">
        <v>1</v>
      </c>
      <c r="C221" s="194"/>
      <c r="D221" s="194"/>
      <c r="E221" s="194"/>
      <c r="F221" s="194"/>
      <c r="G221" s="194"/>
      <c r="H221" s="194"/>
      <c r="I221" s="194">
        <v>1</v>
      </c>
    </row>
    <row r="222" spans="1:9" x14ac:dyDescent="0.25">
      <c r="A222" s="195" t="s">
        <v>140</v>
      </c>
      <c r="B222" s="194">
        <v>1</v>
      </c>
      <c r="C222" s="194"/>
      <c r="D222" s="194"/>
      <c r="E222" s="194"/>
      <c r="F222" s="194"/>
      <c r="G222" s="194"/>
      <c r="H222" s="194"/>
      <c r="I222" s="194">
        <v>1</v>
      </c>
    </row>
    <row r="223" spans="1:9" x14ac:dyDescent="0.25">
      <c r="A223" s="332" t="s">
        <v>324</v>
      </c>
      <c r="B223" s="194">
        <v>1</v>
      </c>
      <c r="C223" s="194"/>
      <c r="D223" s="194"/>
      <c r="E223" s="194"/>
      <c r="F223" s="194"/>
      <c r="G223" s="194"/>
      <c r="H223" s="194"/>
      <c r="I223" s="194">
        <v>1</v>
      </c>
    </row>
    <row r="224" spans="1:9" x14ac:dyDescent="0.25">
      <c r="A224" s="195" t="s">
        <v>140</v>
      </c>
      <c r="B224" s="194">
        <v>1</v>
      </c>
      <c r="C224" s="194"/>
      <c r="D224" s="194"/>
      <c r="E224" s="194"/>
      <c r="F224" s="194"/>
      <c r="G224" s="194"/>
      <c r="H224" s="194"/>
      <c r="I224" s="194">
        <v>1</v>
      </c>
    </row>
    <row r="225" spans="1:9" x14ac:dyDescent="0.25">
      <c r="A225" s="209" t="s">
        <v>325</v>
      </c>
      <c r="B225" s="194"/>
      <c r="C225" s="194"/>
      <c r="D225" s="194"/>
      <c r="E225" s="194">
        <v>1</v>
      </c>
      <c r="F225" s="194"/>
      <c r="G225" s="194"/>
      <c r="H225" s="194"/>
      <c r="I225" s="194">
        <v>1</v>
      </c>
    </row>
    <row r="226" spans="1:9" x14ac:dyDescent="0.25">
      <c r="A226" s="195" t="s">
        <v>140</v>
      </c>
      <c r="B226" s="194"/>
      <c r="C226" s="194"/>
      <c r="D226" s="194"/>
      <c r="E226" s="194">
        <v>1</v>
      </c>
      <c r="F226" s="194"/>
      <c r="G226" s="194"/>
      <c r="H226" s="194"/>
      <c r="I226" s="194">
        <v>1</v>
      </c>
    </row>
    <row r="227" spans="1:9" x14ac:dyDescent="0.25">
      <c r="A227" s="227" t="s">
        <v>326</v>
      </c>
      <c r="B227" s="194"/>
      <c r="C227" s="194"/>
      <c r="D227" s="194"/>
      <c r="E227" s="194">
        <v>1</v>
      </c>
      <c r="F227" s="194"/>
      <c r="G227" s="194"/>
      <c r="H227" s="194"/>
      <c r="I227" s="194">
        <v>1</v>
      </c>
    </row>
    <row r="228" spans="1:9" x14ac:dyDescent="0.25">
      <c r="A228" s="223" t="s">
        <v>123</v>
      </c>
      <c r="B228" s="194"/>
      <c r="C228" s="194"/>
      <c r="D228" s="194"/>
      <c r="E228" s="194">
        <v>1</v>
      </c>
      <c r="F228" s="194"/>
      <c r="G228" s="194"/>
      <c r="H228" s="194"/>
      <c r="I228" s="194">
        <v>1</v>
      </c>
    </row>
    <row r="229" spans="1:9" x14ac:dyDescent="0.25">
      <c r="A229" s="332" t="s">
        <v>327</v>
      </c>
      <c r="B229" s="194">
        <v>1</v>
      </c>
      <c r="C229" s="194"/>
      <c r="D229" s="194"/>
      <c r="E229" s="194"/>
      <c r="F229" s="194"/>
      <c r="G229" s="194"/>
      <c r="H229" s="194"/>
      <c r="I229" s="194">
        <v>1</v>
      </c>
    </row>
    <row r="230" spans="1:9" x14ac:dyDescent="0.25">
      <c r="A230" s="195" t="s">
        <v>140</v>
      </c>
      <c r="B230" s="194">
        <v>1</v>
      </c>
      <c r="C230" s="194"/>
      <c r="D230" s="194"/>
      <c r="E230" s="194"/>
      <c r="F230" s="194"/>
      <c r="G230" s="194"/>
      <c r="H230" s="194"/>
      <c r="I230" s="194">
        <v>1</v>
      </c>
    </row>
    <row r="231" spans="1:9" x14ac:dyDescent="0.25">
      <c r="A231" s="332" t="s">
        <v>328</v>
      </c>
      <c r="B231" s="194"/>
      <c r="C231" s="194"/>
      <c r="D231" s="194"/>
      <c r="E231" s="194"/>
      <c r="F231" s="194">
        <v>1</v>
      </c>
      <c r="G231" s="194"/>
      <c r="H231" s="194"/>
      <c r="I231" s="194">
        <v>1</v>
      </c>
    </row>
    <row r="232" spans="1:9" x14ac:dyDescent="0.25">
      <c r="A232" s="195" t="s">
        <v>140</v>
      </c>
      <c r="B232" s="194"/>
      <c r="C232" s="194"/>
      <c r="D232" s="194"/>
      <c r="E232" s="194"/>
      <c r="F232" s="194">
        <v>1</v>
      </c>
      <c r="G232" s="194"/>
      <c r="H232" s="194"/>
      <c r="I232" s="194">
        <v>1</v>
      </c>
    </row>
    <row r="233" spans="1:9" x14ac:dyDescent="0.25">
      <c r="A233" s="209" t="s">
        <v>329</v>
      </c>
      <c r="B233" s="194"/>
      <c r="C233" s="194">
        <v>1</v>
      </c>
      <c r="D233" s="194"/>
      <c r="E233" s="194"/>
      <c r="F233" s="194"/>
      <c r="G233" s="194"/>
      <c r="H233" s="194"/>
      <c r="I233" s="194">
        <v>1</v>
      </c>
    </row>
    <row r="234" spans="1:9" x14ac:dyDescent="0.25">
      <c r="A234" s="195" t="s">
        <v>122</v>
      </c>
      <c r="B234" s="194"/>
      <c r="C234" s="194">
        <v>1</v>
      </c>
      <c r="D234" s="194"/>
      <c r="E234" s="194"/>
      <c r="F234" s="194"/>
      <c r="G234" s="194"/>
      <c r="H234" s="194"/>
      <c r="I234" s="194">
        <v>1</v>
      </c>
    </row>
    <row r="235" spans="1:9" x14ac:dyDescent="0.25">
      <c r="A235" s="332" t="s">
        <v>330</v>
      </c>
      <c r="B235" s="194"/>
      <c r="C235" s="194"/>
      <c r="D235" s="194"/>
      <c r="E235" s="194"/>
      <c r="F235" s="194">
        <v>1</v>
      </c>
      <c r="G235" s="194"/>
      <c r="H235" s="194"/>
      <c r="I235" s="194">
        <v>1</v>
      </c>
    </row>
    <row r="236" spans="1:9" x14ac:dyDescent="0.25">
      <c r="A236" s="195" t="s">
        <v>140</v>
      </c>
      <c r="B236" s="194"/>
      <c r="C236" s="194"/>
      <c r="D236" s="194"/>
      <c r="E236" s="194"/>
      <c r="F236" s="194">
        <v>1</v>
      </c>
      <c r="G236" s="194"/>
      <c r="H236" s="194"/>
      <c r="I236" s="194">
        <v>1</v>
      </c>
    </row>
    <row r="237" spans="1:9" x14ac:dyDescent="0.25">
      <c r="A237" s="332" t="s">
        <v>331</v>
      </c>
      <c r="B237" s="194"/>
      <c r="C237" s="194">
        <v>1</v>
      </c>
      <c r="D237" s="194"/>
      <c r="E237" s="194"/>
      <c r="F237" s="194"/>
      <c r="G237" s="194"/>
      <c r="H237" s="194"/>
      <c r="I237" s="194">
        <v>1</v>
      </c>
    </row>
    <row r="238" spans="1:9" x14ac:dyDescent="0.25">
      <c r="A238" s="195" t="s">
        <v>140</v>
      </c>
      <c r="B238" s="194"/>
      <c r="C238" s="194">
        <v>1</v>
      </c>
      <c r="D238" s="194"/>
      <c r="E238" s="194"/>
      <c r="F238" s="194"/>
      <c r="G238" s="194"/>
      <c r="H238" s="194"/>
      <c r="I238" s="194">
        <v>1</v>
      </c>
    </row>
    <row r="239" spans="1:9" x14ac:dyDescent="0.25">
      <c r="A239" s="332" t="s">
        <v>332</v>
      </c>
      <c r="B239" s="194">
        <v>1</v>
      </c>
      <c r="C239" s="194"/>
      <c r="D239" s="194"/>
      <c r="E239" s="194"/>
      <c r="F239" s="194"/>
      <c r="G239" s="194"/>
      <c r="H239" s="194"/>
      <c r="I239" s="194">
        <v>1</v>
      </c>
    </row>
    <row r="240" spans="1:9" x14ac:dyDescent="0.25">
      <c r="A240" s="195" t="s">
        <v>140</v>
      </c>
      <c r="B240" s="194">
        <v>1</v>
      </c>
      <c r="C240" s="194"/>
      <c r="D240" s="194"/>
      <c r="E240" s="194"/>
      <c r="F240" s="194"/>
      <c r="G240" s="194"/>
      <c r="H240" s="194"/>
      <c r="I240" s="194">
        <v>1</v>
      </c>
    </row>
    <row r="241" spans="1:9" x14ac:dyDescent="0.25">
      <c r="A241" s="332" t="s">
        <v>333</v>
      </c>
      <c r="B241" s="194"/>
      <c r="C241" s="194"/>
      <c r="D241" s="194"/>
      <c r="E241" s="194">
        <v>1</v>
      </c>
      <c r="F241" s="194"/>
      <c r="G241" s="194"/>
      <c r="H241" s="194"/>
      <c r="I241" s="194">
        <v>1</v>
      </c>
    </row>
    <row r="242" spans="1:9" x14ac:dyDescent="0.25">
      <c r="A242" s="195" t="s">
        <v>135</v>
      </c>
      <c r="B242" s="194"/>
      <c r="C242" s="194"/>
      <c r="D242" s="194"/>
      <c r="E242" s="194">
        <v>1</v>
      </c>
      <c r="F242" s="194"/>
      <c r="G242" s="194"/>
      <c r="H242" s="194"/>
      <c r="I242" s="194">
        <v>1</v>
      </c>
    </row>
    <row r="243" spans="1:9" x14ac:dyDescent="0.25">
      <c r="A243" s="332" t="s">
        <v>334</v>
      </c>
      <c r="B243" s="194">
        <v>1</v>
      </c>
      <c r="C243" s="194"/>
      <c r="D243" s="194"/>
      <c r="E243" s="194"/>
      <c r="F243" s="194"/>
      <c r="G243" s="194"/>
      <c r="H243" s="194"/>
      <c r="I243" s="194">
        <v>1</v>
      </c>
    </row>
    <row r="244" spans="1:9" x14ac:dyDescent="0.25">
      <c r="A244" s="195" t="s">
        <v>140</v>
      </c>
      <c r="B244" s="194">
        <v>1</v>
      </c>
      <c r="C244" s="194"/>
      <c r="D244" s="194"/>
      <c r="E244" s="194"/>
      <c r="F244" s="194"/>
      <c r="G244" s="194"/>
      <c r="H244" s="194"/>
      <c r="I244" s="194">
        <v>1</v>
      </c>
    </row>
    <row r="245" spans="1:9" x14ac:dyDescent="0.25">
      <c r="A245" s="332" t="s">
        <v>335</v>
      </c>
      <c r="B245" s="194"/>
      <c r="C245" s="194"/>
      <c r="D245" s="194"/>
      <c r="E245" s="194"/>
      <c r="F245" s="194"/>
      <c r="G245" s="194">
        <v>1</v>
      </c>
      <c r="H245" s="194"/>
      <c r="I245" s="194">
        <v>1</v>
      </c>
    </row>
    <row r="246" spans="1:9" x14ac:dyDescent="0.25">
      <c r="A246" s="195" t="s">
        <v>140</v>
      </c>
      <c r="B246" s="194"/>
      <c r="C246" s="194"/>
      <c r="D246" s="194"/>
      <c r="E246" s="194"/>
      <c r="F246" s="194"/>
      <c r="G246" s="194">
        <v>1</v>
      </c>
      <c r="H246" s="194"/>
      <c r="I246" s="194">
        <v>1</v>
      </c>
    </row>
    <row r="247" spans="1:9" x14ac:dyDescent="0.25">
      <c r="A247" s="332" t="s">
        <v>336</v>
      </c>
      <c r="B247" s="194"/>
      <c r="C247" s="194"/>
      <c r="D247" s="194"/>
      <c r="E247" s="194"/>
      <c r="F247" s="194">
        <v>1</v>
      </c>
      <c r="G247" s="194"/>
      <c r="H247" s="194"/>
      <c r="I247" s="194">
        <v>1</v>
      </c>
    </row>
    <row r="248" spans="1:9" x14ac:dyDescent="0.25">
      <c r="A248" s="195" t="s">
        <v>140</v>
      </c>
      <c r="B248" s="194"/>
      <c r="C248" s="194"/>
      <c r="D248" s="194"/>
      <c r="E248" s="194"/>
      <c r="F248" s="194">
        <v>1</v>
      </c>
      <c r="G248" s="194"/>
      <c r="H248" s="194"/>
      <c r="I248" s="194">
        <v>1</v>
      </c>
    </row>
    <row r="249" spans="1:9" x14ac:dyDescent="0.25">
      <c r="A249" s="332" t="s">
        <v>337</v>
      </c>
      <c r="B249" s="194"/>
      <c r="C249" s="194"/>
      <c r="D249" s="194"/>
      <c r="E249" s="194"/>
      <c r="F249" s="194">
        <v>1</v>
      </c>
      <c r="G249" s="194"/>
      <c r="H249" s="194"/>
      <c r="I249" s="194">
        <v>1</v>
      </c>
    </row>
    <row r="250" spans="1:9" x14ac:dyDescent="0.25">
      <c r="A250" s="195" t="s">
        <v>133</v>
      </c>
      <c r="B250" s="194"/>
      <c r="C250" s="194"/>
      <c r="D250" s="194"/>
      <c r="E250" s="194"/>
      <c r="F250" s="194">
        <v>1</v>
      </c>
      <c r="G250" s="194"/>
      <c r="H250" s="194"/>
      <c r="I250" s="194">
        <v>1</v>
      </c>
    </row>
    <row r="251" spans="1:9" x14ac:dyDescent="0.25">
      <c r="A251" s="227" t="s">
        <v>141</v>
      </c>
      <c r="B251" s="194">
        <v>43</v>
      </c>
      <c r="C251" s="194">
        <v>28</v>
      </c>
      <c r="D251" s="194">
        <v>35</v>
      </c>
      <c r="E251" s="194">
        <v>113</v>
      </c>
      <c r="F251" s="194">
        <v>73</v>
      </c>
      <c r="G251" s="194">
        <v>9</v>
      </c>
      <c r="H251" s="194">
        <v>1</v>
      </c>
      <c r="I251" s="194">
        <v>302</v>
      </c>
    </row>
    <row r="252" spans="1:9" x14ac:dyDescent="0.25">
      <c r="A252" s="825"/>
      <c r="B252" s="825"/>
      <c r="C252" s="825"/>
      <c r="D252" s="825"/>
      <c r="E252" s="825"/>
      <c r="F252" s="825"/>
      <c r="G252" s="825"/>
      <c r="H252" s="825"/>
      <c r="I252" s="825"/>
    </row>
    <row r="253" spans="1:9" x14ac:dyDescent="0.25">
      <c r="A253" s="825"/>
      <c r="B253" s="825"/>
      <c r="C253" s="825"/>
      <c r="D253" s="825"/>
      <c r="E253" s="825"/>
      <c r="F253" s="825"/>
      <c r="G253" s="825"/>
      <c r="H253" s="825"/>
      <c r="I253" s="825"/>
    </row>
    <row r="254" spans="1:9" x14ac:dyDescent="0.25">
      <c r="A254" s="825"/>
      <c r="B254" s="825"/>
      <c r="C254" s="825"/>
      <c r="D254" s="825"/>
      <c r="E254" s="825"/>
      <c r="F254" s="825"/>
      <c r="G254" s="825"/>
      <c r="H254" s="825"/>
      <c r="I254" s="825"/>
    </row>
    <row r="255" spans="1:9" x14ac:dyDescent="0.25">
      <c r="A255" s="825"/>
      <c r="B255" s="825"/>
      <c r="C255" s="825"/>
      <c r="D255" s="825"/>
      <c r="E255" s="825"/>
      <c r="F255" s="825"/>
      <c r="G255" s="825"/>
      <c r="H255" s="825"/>
      <c r="I255" s="825"/>
    </row>
    <row r="256" spans="1:9" x14ac:dyDescent="0.25">
      <c r="A256" s="825"/>
      <c r="B256" s="825"/>
      <c r="C256" s="825"/>
      <c r="D256" s="825"/>
      <c r="E256" s="825"/>
      <c r="F256" s="825"/>
      <c r="G256" s="825"/>
      <c r="H256" s="825"/>
      <c r="I256" s="825"/>
    </row>
    <row r="257" spans="1:1" x14ac:dyDescent="0.25">
      <c r="A257" s="825"/>
    </row>
    <row r="258" spans="1:1" x14ac:dyDescent="0.25">
      <c r="A258" s="825"/>
    </row>
    <row r="259" spans="1:1" x14ac:dyDescent="0.25">
      <c r="A259" s="825"/>
    </row>
    <row r="260" spans="1:1" x14ac:dyDescent="0.25">
      <c r="A260" s="825"/>
    </row>
    <row r="261" spans="1:1" x14ac:dyDescent="0.25">
      <c r="A261" s="825"/>
    </row>
    <row r="262" spans="1:1" x14ac:dyDescent="0.25">
      <c r="A262" s="825"/>
    </row>
    <row r="263" spans="1:1" x14ac:dyDescent="0.25">
      <c r="A263" s="825"/>
    </row>
    <row r="264" spans="1:1" x14ac:dyDescent="0.25">
      <c r="A264" s="82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3:I10"/>
  <sheetViews>
    <sheetView zoomScale="80" zoomScaleNormal="80" workbookViewId="0">
      <selection activeCell="B7" sqref="B7"/>
    </sheetView>
  </sheetViews>
  <sheetFormatPr baseColWidth="10" defaultColWidth="11.59765625" defaultRowHeight="15.65" x14ac:dyDescent="0.25"/>
  <cols>
    <col min="1" max="1" width="35.8984375" style="396" bestFit="1" customWidth="1"/>
    <col min="2" max="2" width="28.3984375" style="396" bestFit="1" customWidth="1"/>
    <col min="3" max="3" width="28.59765625" style="396" bestFit="1" customWidth="1"/>
    <col min="4" max="4" width="17.59765625" style="396" bestFit="1" customWidth="1"/>
    <col min="5" max="5" width="10.19921875" style="396" bestFit="1" customWidth="1"/>
    <col min="6" max="6" width="16.3984375" style="396" bestFit="1" customWidth="1"/>
    <col min="7" max="7" width="10.69921875" style="396" bestFit="1" customWidth="1"/>
    <col min="8" max="8" width="10.19921875" style="396" bestFit="1" customWidth="1"/>
    <col min="9" max="9" width="12.09765625" style="396" bestFit="1" customWidth="1"/>
    <col min="10" max="10" width="28.19921875" style="396" bestFit="1" customWidth="1"/>
    <col min="11" max="12" width="12" style="396" bestFit="1" customWidth="1"/>
    <col min="13" max="13" width="7.69921875" style="396" bestFit="1" customWidth="1"/>
    <col min="14" max="14" width="4.796875" style="396" bestFit="1" customWidth="1"/>
    <col min="15" max="15" width="7.69921875" style="396" bestFit="1" customWidth="1"/>
    <col min="16" max="16" width="12.19921875" style="396" bestFit="1" customWidth="1"/>
    <col min="17" max="17" width="15.09765625" style="396" bestFit="1" customWidth="1"/>
    <col min="18" max="18" width="12" style="396" bestFit="1" customWidth="1"/>
    <col min="19" max="16384" width="11.59765625" style="396"/>
  </cols>
  <sheetData>
    <row r="3" spans="1:9" hidden="1" x14ac:dyDescent="0.25">
      <c r="A3" s="193" t="s">
        <v>252</v>
      </c>
      <c r="B3" s="330" t="s">
        <v>144</v>
      </c>
      <c r="C3" s="825"/>
      <c r="D3" s="825"/>
      <c r="E3" s="825"/>
      <c r="F3" s="825"/>
      <c r="G3" s="825"/>
      <c r="H3" s="825"/>
      <c r="I3" s="825"/>
    </row>
    <row r="4" spans="1:9" s="397" customFormat="1" x14ac:dyDescent="0.25">
      <c r="A4" s="338" t="s">
        <v>142</v>
      </c>
      <c r="B4" s="214" t="s">
        <v>259</v>
      </c>
      <c r="C4" s="214" t="s">
        <v>260</v>
      </c>
      <c r="D4" s="214" t="s">
        <v>256</v>
      </c>
      <c r="E4" s="214" t="s">
        <v>258</v>
      </c>
      <c r="F4" s="214" t="s">
        <v>257</v>
      </c>
      <c r="G4" s="214" t="s">
        <v>261</v>
      </c>
      <c r="H4" s="214" t="s">
        <v>262</v>
      </c>
      <c r="I4" s="214" t="s">
        <v>141</v>
      </c>
    </row>
    <row r="5" spans="1:9" ht="31.25" x14ac:dyDescent="0.25">
      <c r="A5" s="473" t="s">
        <v>120</v>
      </c>
      <c r="B5" s="471">
        <v>28</v>
      </c>
      <c r="C5" s="471">
        <v>18</v>
      </c>
      <c r="D5" s="471">
        <v>9</v>
      </c>
      <c r="E5" s="471">
        <v>10</v>
      </c>
      <c r="F5" s="471">
        <v>5</v>
      </c>
      <c r="G5" s="471"/>
      <c r="H5" s="471"/>
      <c r="I5" s="471">
        <v>70</v>
      </c>
    </row>
    <row r="6" spans="1:9" x14ac:dyDescent="0.25">
      <c r="A6" s="473" t="s">
        <v>132</v>
      </c>
      <c r="B6" s="471">
        <v>27</v>
      </c>
      <c r="C6" s="471">
        <v>14</v>
      </c>
      <c r="D6" s="471">
        <v>9</v>
      </c>
      <c r="E6" s="471">
        <v>9</v>
      </c>
      <c r="F6" s="471">
        <v>7</v>
      </c>
      <c r="G6" s="471"/>
      <c r="H6" s="471"/>
      <c r="I6" s="471">
        <v>66</v>
      </c>
    </row>
    <row r="7" spans="1:9" x14ac:dyDescent="0.25">
      <c r="A7" s="473" t="s">
        <v>134</v>
      </c>
      <c r="B7" s="471">
        <v>25</v>
      </c>
      <c r="C7" s="471">
        <v>16</v>
      </c>
      <c r="D7" s="471">
        <v>8</v>
      </c>
      <c r="E7" s="471">
        <v>9</v>
      </c>
      <c r="F7" s="471">
        <v>6</v>
      </c>
      <c r="G7" s="471"/>
      <c r="H7" s="471"/>
      <c r="I7" s="471">
        <v>64</v>
      </c>
    </row>
    <row r="8" spans="1:9" x14ac:dyDescent="0.25">
      <c r="A8" s="473" t="s">
        <v>137</v>
      </c>
      <c r="B8" s="471">
        <v>24</v>
      </c>
      <c r="C8" s="471">
        <v>17</v>
      </c>
      <c r="D8" s="471">
        <v>8</v>
      </c>
      <c r="E8" s="471">
        <v>7</v>
      </c>
      <c r="F8" s="471">
        <v>7</v>
      </c>
      <c r="G8" s="471"/>
      <c r="H8" s="471"/>
      <c r="I8" s="471">
        <v>63</v>
      </c>
    </row>
    <row r="9" spans="1:9" x14ac:dyDescent="0.25">
      <c r="A9" s="473" t="s">
        <v>139</v>
      </c>
      <c r="B9" s="471">
        <v>9</v>
      </c>
      <c r="C9" s="471">
        <v>8</v>
      </c>
      <c r="D9" s="471">
        <v>9</v>
      </c>
      <c r="E9" s="471"/>
      <c r="F9" s="471">
        <v>3</v>
      </c>
      <c r="G9" s="471">
        <v>9</v>
      </c>
      <c r="H9" s="471">
        <v>1</v>
      </c>
      <c r="I9" s="471">
        <v>39</v>
      </c>
    </row>
    <row r="10" spans="1:9" x14ac:dyDescent="0.25">
      <c r="A10" s="474" t="s">
        <v>141</v>
      </c>
      <c r="B10" s="472">
        <v>113</v>
      </c>
      <c r="C10" s="472">
        <v>73</v>
      </c>
      <c r="D10" s="472">
        <v>43</v>
      </c>
      <c r="E10" s="472">
        <v>35</v>
      </c>
      <c r="F10" s="472">
        <v>28</v>
      </c>
      <c r="G10" s="472">
        <v>9</v>
      </c>
      <c r="H10" s="472">
        <v>1</v>
      </c>
      <c r="I10" s="472">
        <v>302</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3:F20"/>
  <sheetViews>
    <sheetView showGridLines="0" zoomScale="90" zoomScaleNormal="90" workbookViewId="0">
      <selection activeCell="B7" sqref="B7"/>
    </sheetView>
  </sheetViews>
  <sheetFormatPr baseColWidth="10" defaultColWidth="11.59765625" defaultRowHeight="15.65" x14ac:dyDescent="0.25"/>
  <cols>
    <col min="1" max="1" width="26.19921875" style="396" bestFit="1" customWidth="1"/>
    <col min="2" max="2" width="16.19921875" style="396" bestFit="1" customWidth="1"/>
    <col min="3" max="16384" width="11.59765625" style="396"/>
  </cols>
  <sheetData>
    <row r="3" spans="1:6" x14ac:dyDescent="0.25">
      <c r="A3" s="193" t="s">
        <v>142</v>
      </c>
      <c r="B3" s="825" t="s">
        <v>150</v>
      </c>
      <c r="C3" s="399" t="s">
        <v>338</v>
      </c>
      <c r="D3" s="399"/>
      <c r="E3" s="399"/>
      <c r="F3" s="399"/>
    </row>
    <row r="5" spans="1:6" x14ac:dyDescent="0.25">
      <c r="A5" s="193" t="s">
        <v>339</v>
      </c>
      <c r="B5" s="825" t="s">
        <v>340</v>
      </c>
    </row>
    <row r="6" spans="1:6" x14ac:dyDescent="0.25">
      <c r="A6" s="209" t="s">
        <v>256</v>
      </c>
      <c r="B6" s="398">
        <v>43</v>
      </c>
    </row>
    <row r="7" spans="1:6" x14ac:dyDescent="0.25">
      <c r="A7" s="209" t="s">
        <v>261</v>
      </c>
      <c r="B7" s="398">
        <v>9</v>
      </c>
    </row>
    <row r="8" spans="1:6" x14ac:dyDescent="0.25">
      <c r="A8" s="209" t="s">
        <v>257</v>
      </c>
      <c r="B8" s="398">
        <v>28</v>
      </c>
    </row>
    <row r="9" spans="1:6" x14ac:dyDescent="0.25">
      <c r="A9" s="209" t="s">
        <v>258</v>
      </c>
      <c r="B9" s="398">
        <v>35</v>
      </c>
    </row>
    <row r="10" spans="1:6" x14ac:dyDescent="0.25">
      <c r="A10" s="209" t="s">
        <v>260</v>
      </c>
      <c r="B10" s="398">
        <v>73</v>
      </c>
    </row>
    <row r="11" spans="1:6" x14ac:dyDescent="0.25">
      <c r="A11" s="209" t="s">
        <v>259</v>
      </c>
      <c r="B11" s="398">
        <v>113</v>
      </c>
    </row>
    <row r="12" spans="1:6" x14ac:dyDescent="0.25">
      <c r="A12" s="209" t="s">
        <v>262</v>
      </c>
      <c r="B12" s="398">
        <v>1</v>
      </c>
    </row>
    <row r="13" spans="1:6" x14ac:dyDescent="0.25">
      <c r="A13" s="209" t="s">
        <v>141</v>
      </c>
      <c r="B13" s="398">
        <v>302</v>
      </c>
    </row>
    <row r="20" spans="2:2" x14ac:dyDescent="0.25">
      <c r="B20" s="396" t="s">
        <v>341</v>
      </c>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5"/>
  </sheetPr>
  <dimension ref="A3:G264"/>
  <sheetViews>
    <sheetView zoomScale="80" zoomScaleNormal="80" workbookViewId="0">
      <selection activeCell="B7" sqref="B7"/>
    </sheetView>
  </sheetViews>
  <sheetFormatPr baseColWidth="10" defaultColWidth="11.59765625" defaultRowHeight="15.65" x14ac:dyDescent="0.25"/>
  <cols>
    <col min="1" max="1" width="223.796875" style="227" bestFit="1" customWidth="1"/>
    <col min="2" max="2" width="21.09765625" bestFit="1" customWidth="1"/>
    <col min="3" max="3" width="10" bestFit="1" customWidth="1"/>
    <col min="4" max="4" width="10.8984375" bestFit="1" customWidth="1"/>
    <col min="5" max="5" width="22.3984375" bestFit="1" customWidth="1"/>
    <col min="6" max="6" width="8" bestFit="1" customWidth="1"/>
    <col min="7" max="7" width="7.796875" bestFit="1" customWidth="1"/>
  </cols>
  <sheetData>
    <row r="3" spans="1:7" hidden="1" x14ac:dyDescent="0.25">
      <c r="A3" s="226" t="s">
        <v>252</v>
      </c>
      <c r="B3" s="193" t="s">
        <v>144</v>
      </c>
      <c r="C3" s="825"/>
      <c r="D3" s="825"/>
      <c r="E3" s="825"/>
      <c r="F3" s="825"/>
      <c r="G3" s="825"/>
    </row>
    <row r="4" spans="1:7" s="328" customFormat="1" ht="31.25" x14ac:dyDescent="0.25">
      <c r="A4" s="330" t="s">
        <v>342</v>
      </c>
      <c r="B4" s="214" t="s">
        <v>137</v>
      </c>
      <c r="C4" s="214" t="s">
        <v>132</v>
      </c>
      <c r="D4" s="214" t="s">
        <v>134</v>
      </c>
      <c r="E4" s="214" t="s">
        <v>120</v>
      </c>
      <c r="F4" s="214" t="s">
        <v>139</v>
      </c>
      <c r="G4" s="214" t="s">
        <v>141</v>
      </c>
    </row>
    <row r="5" spans="1:7" x14ac:dyDescent="0.25">
      <c r="A5" s="209" t="s">
        <v>170</v>
      </c>
      <c r="B5" s="194">
        <v>4</v>
      </c>
      <c r="C5" s="194">
        <v>3</v>
      </c>
      <c r="D5" s="194">
        <v>3</v>
      </c>
      <c r="E5" s="194">
        <v>3</v>
      </c>
      <c r="F5" s="194"/>
      <c r="G5" s="194">
        <v>13</v>
      </c>
    </row>
    <row r="6" spans="1:7" x14ac:dyDescent="0.25">
      <c r="A6" s="195" t="s">
        <v>136</v>
      </c>
      <c r="B6" s="194">
        <v>1</v>
      </c>
      <c r="C6" s="194"/>
      <c r="D6" s="194">
        <v>1</v>
      </c>
      <c r="E6" s="194"/>
      <c r="F6" s="194"/>
      <c r="G6" s="194">
        <v>2</v>
      </c>
    </row>
    <row r="7" spans="1:7" x14ac:dyDescent="0.25">
      <c r="A7" s="195" t="s">
        <v>125</v>
      </c>
      <c r="B7" s="194">
        <v>1</v>
      </c>
      <c r="C7" s="194">
        <v>1</v>
      </c>
      <c r="D7" s="194"/>
      <c r="E7" s="194">
        <v>1</v>
      </c>
      <c r="F7" s="194"/>
      <c r="G7" s="194">
        <v>3</v>
      </c>
    </row>
    <row r="8" spans="1:7" x14ac:dyDescent="0.25">
      <c r="A8" s="195" t="s">
        <v>126</v>
      </c>
      <c r="B8" s="194">
        <v>1</v>
      </c>
      <c r="C8" s="194">
        <v>1</v>
      </c>
      <c r="D8" s="194">
        <v>1</v>
      </c>
      <c r="E8" s="194">
        <v>1</v>
      </c>
      <c r="F8" s="194"/>
      <c r="G8" s="194">
        <v>4</v>
      </c>
    </row>
    <row r="9" spans="1:7" x14ac:dyDescent="0.25">
      <c r="A9" s="195" t="s">
        <v>129</v>
      </c>
      <c r="B9" s="194">
        <v>1</v>
      </c>
      <c r="C9" s="194">
        <v>1</v>
      </c>
      <c r="D9" s="194">
        <v>1</v>
      </c>
      <c r="E9" s="194">
        <v>1</v>
      </c>
      <c r="F9" s="194"/>
      <c r="G9" s="194">
        <v>4</v>
      </c>
    </row>
    <row r="10" spans="1:7" x14ac:dyDescent="0.25">
      <c r="A10" s="227" t="s">
        <v>168</v>
      </c>
      <c r="B10" s="194">
        <v>3</v>
      </c>
      <c r="C10" s="194">
        <v>3</v>
      </c>
      <c r="D10" s="194">
        <v>2</v>
      </c>
      <c r="E10" s="194">
        <v>3</v>
      </c>
      <c r="F10" s="194"/>
      <c r="G10" s="194">
        <v>11</v>
      </c>
    </row>
    <row r="11" spans="1:7" x14ac:dyDescent="0.25">
      <c r="A11" s="223" t="s">
        <v>125</v>
      </c>
      <c r="B11" s="194">
        <v>1</v>
      </c>
      <c r="C11" s="194">
        <v>1</v>
      </c>
      <c r="D11" s="194"/>
      <c r="E11" s="194">
        <v>1</v>
      </c>
      <c r="F11" s="194"/>
      <c r="G11" s="194">
        <v>3</v>
      </c>
    </row>
    <row r="12" spans="1:7" x14ac:dyDescent="0.25">
      <c r="A12" s="223" t="s">
        <v>126</v>
      </c>
      <c r="B12" s="194">
        <v>1</v>
      </c>
      <c r="C12" s="194">
        <v>1</v>
      </c>
      <c r="D12" s="194">
        <v>1</v>
      </c>
      <c r="E12" s="194">
        <v>1</v>
      </c>
      <c r="F12" s="194"/>
      <c r="G12" s="194">
        <v>4</v>
      </c>
    </row>
    <row r="13" spans="1:7" x14ac:dyDescent="0.25">
      <c r="A13" s="195" t="s">
        <v>129</v>
      </c>
      <c r="B13" s="194">
        <v>1</v>
      </c>
      <c r="C13" s="194">
        <v>1</v>
      </c>
      <c r="D13" s="194">
        <v>1</v>
      </c>
      <c r="E13" s="194">
        <v>1</v>
      </c>
      <c r="F13" s="194"/>
      <c r="G13" s="194">
        <v>4</v>
      </c>
    </row>
    <row r="14" spans="1:7" x14ac:dyDescent="0.25">
      <c r="A14" s="227" t="s">
        <v>165</v>
      </c>
      <c r="B14" s="194">
        <v>3</v>
      </c>
      <c r="C14" s="194">
        <v>3</v>
      </c>
      <c r="D14" s="194">
        <v>2</v>
      </c>
      <c r="E14" s="194">
        <v>3</v>
      </c>
      <c r="F14" s="194"/>
      <c r="G14" s="194">
        <v>11</v>
      </c>
    </row>
    <row r="15" spans="1:7" x14ac:dyDescent="0.25">
      <c r="A15" s="223" t="s">
        <v>125</v>
      </c>
      <c r="B15" s="194">
        <v>1</v>
      </c>
      <c r="C15" s="194">
        <v>1</v>
      </c>
      <c r="D15" s="194"/>
      <c r="E15" s="194">
        <v>1</v>
      </c>
      <c r="F15" s="194"/>
      <c r="G15" s="194">
        <v>3</v>
      </c>
    </row>
    <row r="16" spans="1:7" x14ac:dyDescent="0.25">
      <c r="A16" s="223" t="s">
        <v>126</v>
      </c>
      <c r="B16" s="194">
        <v>1</v>
      </c>
      <c r="C16" s="194">
        <v>1</v>
      </c>
      <c r="D16" s="194">
        <v>1</v>
      </c>
      <c r="E16" s="194">
        <v>1</v>
      </c>
      <c r="F16" s="194"/>
      <c r="G16" s="194">
        <v>4</v>
      </c>
    </row>
    <row r="17" spans="1:7" x14ac:dyDescent="0.25">
      <c r="A17" s="195" t="s">
        <v>129</v>
      </c>
      <c r="B17" s="194">
        <v>1</v>
      </c>
      <c r="C17" s="194">
        <v>1</v>
      </c>
      <c r="D17" s="194">
        <v>1</v>
      </c>
      <c r="E17" s="194">
        <v>1</v>
      </c>
      <c r="F17" s="194"/>
      <c r="G17" s="194">
        <v>4</v>
      </c>
    </row>
    <row r="18" spans="1:7" x14ac:dyDescent="0.25">
      <c r="A18" s="227" t="s">
        <v>163</v>
      </c>
      <c r="B18" s="194">
        <v>3</v>
      </c>
      <c r="C18" s="194">
        <v>3</v>
      </c>
      <c r="D18" s="194">
        <v>2</v>
      </c>
      <c r="E18" s="194">
        <v>3</v>
      </c>
      <c r="F18" s="194"/>
      <c r="G18" s="194">
        <v>11</v>
      </c>
    </row>
    <row r="19" spans="1:7" x14ac:dyDescent="0.25">
      <c r="A19" s="223" t="s">
        <v>125</v>
      </c>
      <c r="B19" s="194">
        <v>1</v>
      </c>
      <c r="C19" s="194">
        <v>1</v>
      </c>
      <c r="D19" s="194"/>
      <c r="E19" s="194">
        <v>1</v>
      </c>
      <c r="F19" s="194"/>
      <c r="G19" s="194">
        <v>3</v>
      </c>
    </row>
    <row r="20" spans="1:7" x14ac:dyDescent="0.25">
      <c r="A20" s="223" t="s">
        <v>126</v>
      </c>
      <c r="B20" s="194">
        <v>1</v>
      </c>
      <c r="C20" s="194">
        <v>1</v>
      </c>
      <c r="D20" s="194">
        <v>1</v>
      </c>
      <c r="E20" s="194">
        <v>1</v>
      </c>
      <c r="F20" s="194"/>
      <c r="G20" s="194">
        <v>4</v>
      </c>
    </row>
    <row r="21" spans="1:7" x14ac:dyDescent="0.25">
      <c r="A21" s="195" t="s">
        <v>129</v>
      </c>
      <c r="B21" s="194">
        <v>1</v>
      </c>
      <c r="C21" s="194">
        <v>1</v>
      </c>
      <c r="D21" s="194">
        <v>1</v>
      </c>
      <c r="E21" s="194">
        <v>1</v>
      </c>
      <c r="F21" s="194"/>
      <c r="G21" s="194">
        <v>4</v>
      </c>
    </row>
    <row r="22" spans="1:7" x14ac:dyDescent="0.25">
      <c r="A22" s="227" t="s">
        <v>162</v>
      </c>
      <c r="B22" s="194">
        <v>2</v>
      </c>
      <c r="C22" s="194">
        <v>2</v>
      </c>
      <c r="D22" s="194">
        <v>2</v>
      </c>
      <c r="E22" s="194">
        <v>2</v>
      </c>
      <c r="F22" s="194"/>
      <c r="G22" s="194">
        <v>8</v>
      </c>
    </row>
    <row r="23" spans="1:7" x14ac:dyDescent="0.25">
      <c r="A23" s="223" t="s">
        <v>126</v>
      </c>
      <c r="B23" s="194">
        <v>1</v>
      </c>
      <c r="C23" s="194">
        <v>1</v>
      </c>
      <c r="D23" s="194">
        <v>1</v>
      </c>
      <c r="E23" s="194">
        <v>1</v>
      </c>
      <c r="F23" s="194"/>
      <c r="G23" s="194">
        <v>4</v>
      </c>
    </row>
    <row r="24" spans="1:7" x14ac:dyDescent="0.25">
      <c r="A24" s="195" t="s">
        <v>129</v>
      </c>
      <c r="B24" s="194">
        <v>1</v>
      </c>
      <c r="C24" s="194">
        <v>1</v>
      </c>
      <c r="D24" s="194">
        <v>1</v>
      </c>
      <c r="E24" s="194">
        <v>1</v>
      </c>
      <c r="F24" s="194"/>
      <c r="G24" s="194">
        <v>4</v>
      </c>
    </row>
    <row r="25" spans="1:7" x14ac:dyDescent="0.25">
      <c r="A25" s="209" t="s">
        <v>182</v>
      </c>
      <c r="B25" s="194">
        <v>1</v>
      </c>
      <c r="C25" s="194">
        <v>2</v>
      </c>
      <c r="D25" s="194">
        <v>2</v>
      </c>
      <c r="E25" s="194">
        <v>2</v>
      </c>
      <c r="F25" s="194"/>
      <c r="G25" s="194">
        <v>7</v>
      </c>
    </row>
    <row r="26" spans="1:7" x14ac:dyDescent="0.25">
      <c r="A26" s="195" t="s">
        <v>127</v>
      </c>
      <c r="B26" s="194"/>
      <c r="C26" s="194">
        <v>1</v>
      </c>
      <c r="D26" s="194">
        <v>1</v>
      </c>
      <c r="E26" s="194">
        <v>1</v>
      </c>
      <c r="F26" s="194"/>
      <c r="G26" s="194">
        <v>3</v>
      </c>
    </row>
    <row r="27" spans="1:7" x14ac:dyDescent="0.25">
      <c r="A27" s="195" t="s">
        <v>131</v>
      </c>
      <c r="B27" s="194">
        <v>1</v>
      </c>
      <c r="C27" s="194">
        <v>1</v>
      </c>
      <c r="D27" s="194">
        <v>1</v>
      </c>
      <c r="E27" s="194">
        <v>1</v>
      </c>
      <c r="F27" s="194"/>
      <c r="G27" s="194">
        <v>4</v>
      </c>
    </row>
    <row r="28" spans="1:7" x14ac:dyDescent="0.25">
      <c r="A28" s="227" t="s">
        <v>263</v>
      </c>
      <c r="B28" s="194">
        <v>2</v>
      </c>
      <c r="C28" s="194">
        <v>2</v>
      </c>
      <c r="D28" s="194">
        <v>1</v>
      </c>
      <c r="E28" s="194">
        <v>2</v>
      </c>
      <c r="F28" s="194"/>
      <c r="G28" s="194">
        <v>7</v>
      </c>
    </row>
    <row r="29" spans="1:7" x14ac:dyDescent="0.25">
      <c r="A29" s="223" t="s">
        <v>125</v>
      </c>
      <c r="B29" s="194">
        <v>1</v>
      </c>
      <c r="C29" s="194">
        <v>1</v>
      </c>
      <c r="D29" s="194"/>
      <c r="E29" s="194">
        <v>1</v>
      </c>
      <c r="F29" s="194"/>
      <c r="G29" s="194">
        <v>3</v>
      </c>
    </row>
    <row r="30" spans="1:7" x14ac:dyDescent="0.25">
      <c r="A30" s="223" t="s">
        <v>126</v>
      </c>
      <c r="B30" s="194">
        <v>1</v>
      </c>
      <c r="C30" s="194">
        <v>1</v>
      </c>
      <c r="D30" s="194">
        <v>1</v>
      </c>
      <c r="E30" s="194">
        <v>1</v>
      </c>
      <c r="F30" s="194"/>
      <c r="G30" s="194">
        <v>4</v>
      </c>
    </row>
    <row r="31" spans="1:7" x14ac:dyDescent="0.25">
      <c r="A31" s="209" t="s">
        <v>177</v>
      </c>
      <c r="B31" s="194">
        <v>1</v>
      </c>
      <c r="C31" s="194">
        <v>2</v>
      </c>
      <c r="D31" s="194">
        <v>2</v>
      </c>
      <c r="E31" s="194">
        <v>2</v>
      </c>
      <c r="F31" s="194"/>
      <c r="G31" s="194">
        <v>7</v>
      </c>
    </row>
    <row r="32" spans="1:7" x14ac:dyDescent="0.25">
      <c r="A32" s="195" t="s">
        <v>122</v>
      </c>
      <c r="B32" s="194">
        <v>1</v>
      </c>
      <c r="C32" s="194">
        <v>1</v>
      </c>
      <c r="D32" s="194">
        <v>1</v>
      </c>
      <c r="E32" s="194">
        <v>1</v>
      </c>
      <c r="F32" s="194"/>
      <c r="G32" s="194">
        <v>4</v>
      </c>
    </row>
    <row r="33" spans="1:7" x14ac:dyDescent="0.25">
      <c r="A33" s="195" t="s">
        <v>130</v>
      </c>
      <c r="B33" s="194"/>
      <c r="C33" s="194">
        <v>1</v>
      </c>
      <c r="D33" s="194">
        <v>1</v>
      </c>
      <c r="E33" s="194">
        <v>1</v>
      </c>
      <c r="F33" s="194"/>
      <c r="G33" s="194">
        <v>3</v>
      </c>
    </row>
    <row r="34" spans="1:7" x14ac:dyDescent="0.25">
      <c r="A34" s="209" t="s">
        <v>181</v>
      </c>
      <c r="B34" s="194">
        <v>1</v>
      </c>
      <c r="C34" s="194">
        <v>2</v>
      </c>
      <c r="D34" s="194">
        <v>2</v>
      </c>
      <c r="E34" s="194">
        <v>2</v>
      </c>
      <c r="F34" s="194"/>
      <c r="G34" s="194">
        <v>7</v>
      </c>
    </row>
    <row r="35" spans="1:7" x14ac:dyDescent="0.25">
      <c r="A35" s="195" t="s">
        <v>127</v>
      </c>
      <c r="B35" s="194"/>
      <c r="C35" s="194">
        <v>1</v>
      </c>
      <c r="D35" s="194">
        <v>1</v>
      </c>
      <c r="E35" s="194">
        <v>1</v>
      </c>
      <c r="F35" s="194"/>
      <c r="G35" s="194">
        <v>3</v>
      </c>
    </row>
    <row r="36" spans="1:7" x14ac:dyDescent="0.25">
      <c r="A36" s="195" t="s">
        <v>131</v>
      </c>
      <c r="B36" s="194">
        <v>1</v>
      </c>
      <c r="C36" s="194">
        <v>1</v>
      </c>
      <c r="D36" s="194">
        <v>1</v>
      </c>
      <c r="E36" s="194">
        <v>1</v>
      </c>
      <c r="F36" s="194"/>
      <c r="G36" s="194">
        <v>4</v>
      </c>
    </row>
    <row r="37" spans="1:7" x14ac:dyDescent="0.25">
      <c r="A37" s="227" t="s">
        <v>166</v>
      </c>
      <c r="B37" s="194">
        <v>2</v>
      </c>
      <c r="C37" s="194">
        <v>2</v>
      </c>
      <c r="D37" s="194">
        <v>1</v>
      </c>
      <c r="E37" s="194">
        <v>2</v>
      </c>
      <c r="F37" s="194"/>
      <c r="G37" s="194">
        <v>7</v>
      </c>
    </row>
    <row r="38" spans="1:7" x14ac:dyDescent="0.25">
      <c r="A38" s="223" t="s">
        <v>125</v>
      </c>
      <c r="B38" s="194">
        <v>1</v>
      </c>
      <c r="C38" s="194">
        <v>1</v>
      </c>
      <c r="D38" s="194"/>
      <c r="E38" s="194">
        <v>1</v>
      </c>
      <c r="F38" s="194"/>
      <c r="G38" s="194">
        <v>3</v>
      </c>
    </row>
    <row r="39" spans="1:7" x14ac:dyDescent="0.25">
      <c r="A39" s="195" t="s">
        <v>129</v>
      </c>
      <c r="B39" s="194">
        <v>1</v>
      </c>
      <c r="C39" s="194">
        <v>1</v>
      </c>
      <c r="D39" s="194">
        <v>1</v>
      </c>
      <c r="E39" s="194">
        <v>1</v>
      </c>
      <c r="F39" s="194"/>
      <c r="G39" s="194">
        <v>4</v>
      </c>
    </row>
    <row r="40" spans="1:7" x14ac:dyDescent="0.25">
      <c r="A40" s="209" t="s">
        <v>183</v>
      </c>
      <c r="B40" s="194">
        <v>1</v>
      </c>
      <c r="C40" s="194">
        <v>2</v>
      </c>
      <c r="D40" s="194">
        <v>2</v>
      </c>
      <c r="E40" s="194">
        <v>2</v>
      </c>
      <c r="F40" s="194"/>
      <c r="G40" s="194">
        <v>7</v>
      </c>
    </row>
    <row r="41" spans="1:7" x14ac:dyDescent="0.25">
      <c r="A41" s="195" t="s">
        <v>127</v>
      </c>
      <c r="B41" s="194"/>
      <c r="C41" s="194">
        <v>1</v>
      </c>
      <c r="D41" s="194">
        <v>1</v>
      </c>
      <c r="E41" s="194">
        <v>1</v>
      </c>
      <c r="F41" s="194"/>
      <c r="G41" s="194">
        <v>3</v>
      </c>
    </row>
    <row r="42" spans="1:7" x14ac:dyDescent="0.25">
      <c r="A42" s="195" t="s">
        <v>131</v>
      </c>
      <c r="B42" s="194">
        <v>1</v>
      </c>
      <c r="C42" s="194">
        <v>1</v>
      </c>
      <c r="D42" s="194">
        <v>1</v>
      </c>
      <c r="E42" s="194">
        <v>1</v>
      </c>
      <c r="F42" s="194"/>
      <c r="G42" s="194">
        <v>4</v>
      </c>
    </row>
    <row r="43" spans="1:7" x14ac:dyDescent="0.25">
      <c r="A43" s="227" t="s">
        <v>264</v>
      </c>
      <c r="B43" s="194">
        <v>2</v>
      </c>
      <c r="C43" s="194">
        <v>1</v>
      </c>
      <c r="D43" s="194">
        <v>2</v>
      </c>
      <c r="E43" s="194">
        <v>1</v>
      </c>
      <c r="F43" s="194"/>
      <c r="G43" s="194">
        <v>6</v>
      </c>
    </row>
    <row r="44" spans="1:7" x14ac:dyDescent="0.25">
      <c r="A44" s="223" t="s">
        <v>135</v>
      </c>
      <c r="B44" s="194"/>
      <c r="C44" s="194"/>
      <c r="D44" s="194">
        <v>1</v>
      </c>
      <c r="E44" s="194"/>
      <c r="F44" s="194"/>
      <c r="G44" s="194">
        <v>1</v>
      </c>
    </row>
    <row r="45" spans="1:7" x14ac:dyDescent="0.25">
      <c r="A45" s="223" t="s">
        <v>138</v>
      </c>
      <c r="B45" s="194">
        <v>1</v>
      </c>
      <c r="C45" s="194"/>
      <c r="D45" s="194"/>
      <c r="E45" s="194"/>
      <c r="F45" s="194"/>
      <c r="G45" s="194">
        <v>1</v>
      </c>
    </row>
    <row r="46" spans="1:7" x14ac:dyDescent="0.25">
      <c r="A46" s="223" t="s">
        <v>133</v>
      </c>
      <c r="B46" s="194"/>
      <c r="C46" s="194">
        <v>1</v>
      </c>
      <c r="D46" s="194"/>
      <c r="E46" s="194"/>
      <c r="F46" s="194"/>
      <c r="G46" s="194">
        <v>1</v>
      </c>
    </row>
    <row r="47" spans="1:7" x14ac:dyDescent="0.25">
      <c r="A47" s="223" t="s">
        <v>122</v>
      </c>
      <c r="B47" s="194">
        <v>1</v>
      </c>
      <c r="C47" s="194"/>
      <c r="D47" s="194">
        <v>1</v>
      </c>
      <c r="E47" s="194">
        <v>1</v>
      </c>
      <c r="F47" s="194"/>
      <c r="G47" s="194">
        <v>3</v>
      </c>
    </row>
    <row r="48" spans="1:7" x14ac:dyDescent="0.25">
      <c r="A48" s="209" t="s">
        <v>265</v>
      </c>
      <c r="B48" s="194"/>
      <c r="C48" s="194"/>
      <c r="D48" s="194"/>
      <c r="E48" s="194"/>
      <c r="F48" s="194">
        <v>5</v>
      </c>
      <c r="G48" s="194">
        <v>5</v>
      </c>
    </row>
    <row r="49" spans="1:7" x14ac:dyDescent="0.25">
      <c r="A49" s="195" t="s">
        <v>140</v>
      </c>
      <c r="B49" s="194"/>
      <c r="C49" s="194"/>
      <c r="D49" s="194"/>
      <c r="E49" s="194"/>
      <c r="F49" s="194">
        <v>5</v>
      </c>
      <c r="G49" s="194">
        <v>5</v>
      </c>
    </row>
    <row r="50" spans="1:7" x14ac:dyDescent="0.25">
      <c r="A50" s="227" t="s">
        <v>167</v>
      </c>
      <c r="B50" s="194">
        <v>1</v>
      </c>
      <c r="C50" s="194">
        <v>1</v>
      </c>
      <c r="D50" s="194">
        <v>1</v>
      </c>
      <c r="E50" s="194">
        <v>1</v>
      </c>
      <c r="F50" s="194"/>
      <c r="G50" s="194">
        <v>4</v>
      </c>
    </row>
    <row r="51" spans="1:7" x14ac:dyDescent="0.25">
      <c r="A51" s="195" t="s">
        <v>129</v>
      </c>
      <c r="B51" s="194">
        <v>1</v>
      </c>
      <c r="C51" s="194">
        <v>1</v>
      </c>
      <c r="D51" s="194">
        <v>1</v>
      </c>
      <c r="E51" s="194">
        <v>1</v>
      </c>
      <c r="F51" s="194"/>
      <c r="G51" s="194">
        <v>4</v>
      </c>
    </row>
    <row r="52" spans="1:7" x14ac:dyDescent="0.25">
      <c r="A52" s="227" t="s">
        <v>169</v>
      </c>
      <c r="B52" s="194">
        <v>1</v>
      </c>
      <c r="C52" s="194">
        <v>1</v>
      </c>
      <c r="D52" s="194">
        <v>1</v>
      </c>
      <c r="E52" s="194">
        <v>1</v>
      </c>
      <c r="F52" s="194"/>
      <c r="G52" s="194">
        <v>4</v>
      </c>
    </row>
    <row r="53" spans="1:7" x14ac:dyDescent="0.25">
      <c r="A53" s="223" t="s">
        <v>125</v>
      </c>
      <c r="B53" s="194">
        <v>1</v>
      </c>
      <c r="C53" s="194">
        <v>1</v>
      </c>
      <c r="D53" s="194"/>
      <c r="E53" s="194">
        <v>1</v>
      </c>
      <c r="F53" s="194"/>
      <c r="G53" s="194">
        <v>3</v>
      </c>
    </row>
    <row r="54" spans="1:7" x14ac:dyDescent="0.25">
      <c r="A54" s="195" t="s">
        <v>129</v>
      </c>
      <c r="B54" s="194"/>
      <c r="C54" s="194"/>
      <c r="D54" s="194">
        <v>1</v>
      </c>
      <c r="E54" s="194"/>
      <c r="F54" s="194"/>
      <c r="G54" s="194">
        <v>1</v>
      </c>
    </row>
    <row r="55" spans="1:7" x14ac:dyDescent="0.25">
      <c r="A55" s="227" t="s">
        <v>266</v>
      </c>
      <c r="B55" s="194">
        <v>1</v>
      </c>
      <c r="C55" s="194">
        <v>1</v>
      </c>
      <c r="D55" s="194">
        <v>1</v>
      </c>
      <c r="E55" s="194">
        <v>1</v>
      </c>
      <c r="F55" s="194"/>
      <c r="G55" s="194">
        <v>4</v>
      </c>
    </row>
    <row r="56" spans="1:7" x14ac:dyDescent="0.25">
      <c r="A56" s="223" t="s">
        <v>123</v>
      </c>
      <c r="B56" s="194">
        <v>1</v>
      </c>
      <c r="C56" s="194">
        <v>1</v>
      </c>
      <c r="D56" s="194">
        <v>1</v>
      </c>
      <c r="E56" s="194">
        <v>1</v>
      </c>
      <c r="F56" s="194"/>
      <c r="G56" s="194">
        <v>4</v>
      </c>
    </row>
    <row r="57" spans="1:7" x14ac:dyDescent="0.25">
      <c r="A57" s="227" t="s">
        <v>155</v>
      </c>
      <c r="B57" s="194">
        <v>1</v>
      </c>
      <c r="C57" s="194">
        <v>1</v>
      </c>
      <c r="D57" s="194">
        <v>1</v>
      </c>
      <c r="E57" s="194">
        <v>1</v>
      </c>
      <c r="F57" s="194"/>
      <c r="G57" s="194">
        <v>4</v>
      </c>
    </row>
    <row r="58" spans="1:7" x14ac:dyDescent="0.25">
      <c r="A58" s="195" t="s">
        <v>129</v>
      </c>
      <c r="B58" s="194">
        <v>1</v>
      </c>
      <c r="C58" s="194">
        <v>1</v>
      </c>
      <c r="D58" s="194">
        <v>1</v>
      </c>
      <c r="E58" s="194">
        <v>1</v>
      </c>
      <c r="F58" s="194"/>
      <c r="G58" s="194">
        <v>4</v>
      </c>
    </row>
    <row r="59" spans="1:7" x14ac:dyDescent="0.25">
      <c r="A59" s="227" t="s">
        <v>159</v>
      </c>
      <c r="B59" s="194">
        <v>1</v>
      </c>
      <c r="C59" s="194">
        <v>1</v>
      </c>
      <c r="D59" s="194">
        <v>1</v>
      </c>
      <c r="E59" s="194">
        <v>1</v>
      </c>
      <c r="F59" s="194"/>
      <c r="G59" s="194">
        <v>4</v>
      </c>
    </row>
    <row r="60" spans="1:7" x14ac:dyDescent="0.25">
      <c r="A60" s="195" t="s">
        <v>129</v>
      </c>
      <c r="B60" s="194">
        <v>1</v>
      </c>
      <c r="C60" s="194">
        <v>1</v>
      </c>
      <c r="D60" s="194">
        <v>1</v>
      </c>
      <c r="E60" s="194">
        <v>1</v>
      </c>
      <c r="F60" s="194"/>
      <c r="G60" s="194">
        <v>4</v>
      </c>
    </row>
    <row r="61" spans="1:7" x14ac:dyDescent="0.25">
      <c r="A61" s="227" t="s">
        <v>267</v>
      </c>
      <c r="B61" s="194">
        <v>1</v>
      </c>
      <c r="C61" s="194">
        <v>1</v>
      </c>
      <c r="D61" s="194">
        <v>1</v>
      </c>
      <c r="E61" s="194">
        <v>1</v>
      </c>
      <c r="F61" s="194"/>
      <c r="G61" s="194">
        <v>4</v>
      </c>
    </row>
    <row r="62" spans="1:7" x14ac:dyDescent="0.25">
      <c r="A62" s="223" t="s">
        <v>126</v>
      </c>
      <c r="B62" s="194">
        <v>1</v>
      </c>
      <c r="C62" s="194">
        <v>1</v>
      </c>
      <c r="D62" s="194">
        <v>1</v>
      </c>
      <c r="E62" s="194">
        <v>1</v>
      </c>
      <c r="F62" s="194"/>
      <c r="G62" s="194">
        <v>4</v>
      </c>
    </row>
    <row r="63" spans="1:7" x14ac:dyDescent="0.25">
      <c r="A63" s="227" t="s">
        <v>156</v>
      </c>
      <c r="B63" s="194">
        <v>1</v>
      </c>
      <c r="C63" s="194">
        <v>1</v>
      </c>
      <c r="D63" s="194">
        <v>1</v>
      </c>
      <c r="E63" s="194">
        <v>1</v>
      </c>
      <c r="F63" s="194"/>
      <c r="G63" s="194">
        <v>4</v>
      </c>
    </row>
    <row r="64" spans="1:7" x14ac:dyDescent="0.25">
      <c r="A64" s="195" t="s">
        <v>129</v>
      </c>
      <c r="B64" s="194">
        <v>1</v>
      </c>
      <c r="C64" s="194">
        <v>1</v>
      </c>
      <c r="D64" s="194">
        <v>1</v>
      </c>
      <c r="E64" s="194">
        <v>1</v>
      </c>
      <c r="F64" s="194"/>
      <c r="G64" s="194">
        <v>4</v>
      </c>
    </row>
    <row r="65" spans="1:7" x14ac:dyDescent="0.25">
      <c r="A65" s="209" t="s">
        <v>184</v>
      </c>
      <c r="B65" s="194">
        <v>1</v>
      </c>
      <c r="C65" s="194">
        <v>1</v>
      </c>
      <c r="D65" s="194">
        <v>1</v>
      </c>
      <c r="E65" s="194">
        <v>1</v>
      </c>
      <c r="F65" s="194"/>
      <c r="G65" s="194">
        <v>4</v>
      </c>
    </row>
    <row r="66" spans="1:7" x14ac:dyDescent="0.25">
      <c r="A66" s="195" t="s">
        <v>131</v>
      </c>
      <c r="B66" s="194">
        <v>1</v>
      </c>
      <c r="C66" s="194">
        <v>1</v>
      </c>
      <c r="D66" s="194">
        <v>1</v>
      </c>
      <c r="E66" s="194">
        <v>1</v>
      </c>
      <c r="F66" s="194"/>
      <c r="G66" s="194">
        <v>4</v>
      </c>
    </row>
    <row r="67" spans="1:7" x14ac:dyDescent="0.25">
      <c r="A67" s="227" t="s">
        <v>158</v>
      </c>
      <c r="B67" s="194">
        <v>1</v>
      </c>
      <c r="C67" s="194">
        <v>1</v>
      </c>
      <c r="D67" s="194">
        <v>1</v>
      </c>
      <c r="E67" s="194">
        <v>1</v>
      </c>
      <c r="F67" s="194"/>
      <c r="G67" s="194">
        <v>4</v>
      </c>
    </row>
    <row r="68" spans="1:7" x14ac:dyDescent="0.25">
      <c r="A68" s="195" t="s">
        <v>129</v>
      </c>
      <c r="B68" s="194">
        <v>1</v>
      </c>
      <c r="C68" s="194">
        <v>1</v>
      </c>
      <c r="D68" s="194">
        <v>1</v>
      </c>
      <c r="E68" s="194">
        <v>1</v>
      </c>
      <c r="F68" s="194"/>
      <c r="G68" s="194">
        <v>4</v>
      </c>
    </row>
    <row r="69" spans="1:7" x14ac:dyDescent="0.25">
      <c r="A69" s="227" t="s">
        <v>268</v>
      </c>
      <c r="B69" s="194">
        <v>1</v>
      </c>
      <c r="C69" s="194">
        <v>1</v>
      </c>
      <c r="D69" s="194">
        <v>1</v>
      </c>
      <c r="E69" s="194">
        <v>1</v>
      </c>
      <c r="F69" s="194"/>
      <c r="G69" s="194">
        <v>4</v>
      </c>
    </row>
    <row r="70" spans="1:7" x14ac:dyDescent="0.25">
      <c r="A70" s="223" t="s">
        <v>135</v>
      </c>
      <c r="B70" s="194"/>
      <c r="C70" s="194"/>
      <c r="D70" s="194">
        <v>1</v>
      </c>
      <c r="E70" s="194"/>
      <c r="F70" s="194"/>
      <c r="G70" s="194">
        <v>1</v>
      </c>
    </row>
    <row r="71" spans="1:7" x14ac:dyDescent="0.25">
      <c r="A71" s="223" t="s">
        <v>138</v>
      </c>
      <c r="B71" s="194">
        <v>1</v>
      </c>
      <c r="C71" s="194"/>
      <c r="D71" s="194"/>
      <c r="E71" s="194"/>
      <c r="F71" s="194"/>
      <c r="G71" s="194">
        <v>1</v>
      </c>
    </row>
    <row r="72" spans="1:7" x14ac:dyDescent="0.25">
      <c r="A72" s="223" t="s">
        <v>133</v>
      </c>
      <c r="B72" s="194"/>
      <c r="C72" s="194">
        <v>1</v>
      </c>
      <c r="D72" s="194"/>
      <c r="E72" s="194"/>
      <c r="F72" s="194"/>
      <c r="G72" s="194">
        <v>1</v>
      </c>
    </row>
    <row r="73" spans="1:7" x14ac:dyDescent="0.25">
      <c r="A73" s="223" t="s">
        <v>124</v>
      </c>
      <c r="B73" s="194"/>
      <c r="C73" s="194"/>
      <c r="D73" s="194"/>
      <c r="E73" s="194">
        <v>1</v>
      </c>
      <c r="F73" s="194"/>
      <c r="G73" s="194">
        <v>1</v>
      </c>
    </row>
    <row r="74" spans="1:7" x14ac:dyDescent="0.25">
      <c r="A74" s="227" t="s">
        <v>161</v>
      </c>
      <c r="B74" s="194">
        <v>1</v>
      </c>
      <c r="C74" s="194">
        <v>1</v>
      </c>
      <c r="D74" s="194">
        <v>1</v>
      </c>
      <c r="E74" s="194">
        <v>1</v>
      </c>
      <c r="F74" s="194"/>
      <c r="G74" s="194">
        <v>4</v>
      </c>
    </row>
    <row r="75" spans="1:7" x14ac:dyDescent="0.25">
      <c r="A75" s="195" t="s">
        <v>129</v>
      </c>
      <c r="B75" s="194">
        <v>1</v>
      </c>
      <c r="C75" s="194">
        <v>1</v>
      </c>
      <c r="D75" s="194">
        <v>1</v>
      </c>
      <c r="E75" s="194">
        <v>1</v>
      </c>
      <c r="F75" s="194"/>
      <c r="G75" s="194">
        <v>4</v>
      </c>
    </row>
    <row r="76" spans="1:7" x14ac:dyDescent="0.25">
      <c r="A76" s="227" t="s">
        <v>269</v>
      </c>
      <c r="B76" s="194">
        <v>1</v>
      </c>
      <c r="C76" s="194">
        <v>1</v>
      </c>
      <c r="D76" s="194">
        <v>1</v>
      </c>
      <c r="E76" s="194">
        <v>1</v>
      </c>
      <c r="F76" s="194"/>
      <c r="G76" s="194">
        <v>4</v>
      </c>
    </row>
    <row r="77" spans="1:7" x14ac:dyDescent="0.25">
      <c r="A77" s="223" t="s">
        <v>123</v>
      </c>
      <c r="B77" s="194">
        <v>1</v>
      </c>
      <c r="C77" s="194">
        <v>1</v>
      </c>
      <c r="D77" s="194">
        <v>1</v>
      </c>
      <c r="E77" s="194">
        <v>1</v>
      </c>
      <c r="F77" s="194"/>
      <c r="G77" s="194">
        <v>4</v>
      </c>
    </row>
    <row r="78" spans="1:7" x14ac:dyDescent="0.25">
      <c r="A78" s="227" t="s">
        <v>270</v>
      </c>
      <c r="B78" s="194">
        <v>1</v>
      </c>
      <c r="C78" s="194">
        <v>1</v>
      </c>
      <c r="D78" s="194">
        <v>1</v>
      </c>
      <c r="E78" s="194">
        <v>1</v>
      </c>
      <c r="F78" s="194"/>
      <c r="G78" s="194">
        <v>4</v>
      </c>
    </row>
    <row r="79" spans="1:7" x14ac:dyDescent="0.25">
      <c r="A79" s="223" t="s">
        <v>135</v>
      </c>
      <c r="B79" s="194"/>
      <c r="C79" s="194"/>
      <c r="D79" s="194">
        <v>1</v>
      </c>
      <c r="E79" s="194"/>
      <c r="F79" s="194"/>
      <c r="G79" s="194">
        <v>1</v>
      </c>
    </row>
    <row r="80" spans="1:7" x14ac:dyDescent="0.25">
      <c r="A80" s="223" t="s">
        <v>138</v>
      </c>
      <c r="B80" s="194">
        <v>1</v>
      </c>
      <c r="C80" s="194"/>
      <c r="D80" s="194"/>
      <c r="E80" s="194"/>
      <c r="F80" s="194"/>
      <c r="G80" s="194">
        <v>1</v>
      </c>
    </row>
    <row r="81" spans="1:7" x14ac:dyDescent="0.25">
      <c r="A81" s="223" t="s">
        <v>133</v>
      </c>
      <c r="B81" s="194"/>
      <c r="C81" s="194">
        <v>1</v>
      </c>
      <c r="D81" s="194"/>
      <c r="E81" s="194"/>
      <c r="F81" s="194"/>
      <c r="G81" s="194">
        <v>1</v>
      </c>
    </row>
    <row r="82" spans="1:7" x14ac:dyDescent="0.25">
      <c r="A82" s="223" t="s">
        <v>124</v>
      </c>
      <c r="B82" s="194"/>
      <c r="C82" s="194"/>
      <c r="D82" s="194"/>
      <c r="E82" s="194">
        <v>1</v>
      </c>
      <c r="F82" s="194"/>
      <c r="G82" s="194">
        <v>1</v>
      </c>
    </row>
    <row r="83" spans="1:7" x14ac:dyDescent="0.25">
      <c r="A83" s="227" t="s">
        <v>271</v>
      </c>
      <c r="B83" s="194">
        <v>1</v>
      </c>
      <c r="C83" s="194">
        <v>1</v>
      </c>
      <c r="D83" s="194">
        <v>1</v>
      </c>
      <c r="E83" s="194">
        <v>1</v>
      </c>
      <c r="F83" s="194"/>
      <c r="G83" s="194">
        <v>4</v>
      </c>
    </row>
    <row r="84" spans="1:7" x14ac:dyDescent="0.25">
      <c r="A84" s="223" t="s">
        <v>122</v>
      </c>
      <c r="B84" s="194">
        <v>1</v>
      </c>
      <c r="C84" s="194">
        <v>1</v>
      </c>
      <c r="D84" s="194">
        <v>1</v>
      </c>
      <c r="E84" s="194">
        <v>1</v>
      </c>
      <c r="F84" s="194"/>
      <c r="G84" s="194">
        <v>4</v>
      </c>
    </row>
    <row r="85" spans="1:7" x14ac:dyDescent="0.25">
      <c r="A85" s="227" t="s">
        <v>154</v>
      </c>
      <c r="B85" s="194">
        <v>1</v>
      </c>
      <c r="C85" s="194">
        <v>1</v>
      </c>
      <c r="D85" s="194">
        <v>1</v>
      </c>
      <c r="E85" s="194">
        <v>1</v>
      </c>
      <c r="F85" s="194"/>
      <c r="G85" s="194">
        <v>4</v>
      </c>
    </row>
    <row r="86" spans="1:7" x14ac:dyDescent="0.25">
      <c r="A86" s="195" t="s">
        <v>129</v>
      </c>
      <c r="B86" s="194">
        <v>1</v>
      </c>
      <c r="C86" s="194">
        <v>1</v>
      </c>
      <c r="D86" s="194">
        <v>1</v>
      </c>
      <c r="E86" s="194">
        <v>1</v>
      </c>
      <c r="F86" s="194"/>
      <c r="G86" s="194">
        <v>4</v>
      </c>
    </row>
    <row r="87" spans="1:7" x14ac:dyDescent="0.25">
      <c r="A87" s="227" t="s">
        <v>272</v>
      </c>
      <c r="B87" s="194">
        <v>1</v>
      </c>
      <c r="C87" s="194">
        <v>1</v>
      </c>
      <c r="D87" s="194">
        <v>1</v>
      </c>
      <c r="E87" s="194">
        <v>1</v>
      </c>
      <c r="F87" s="194"/>
      <c r="G87" s="194">
        <v>4</v>
      </c>
    </row>
    <row r="88" spans="1:7" x14ac:dyDescent="0.25">
      <c r="A88" s="223" t="s">
        <v>123</v>
      </c>
      <c r="B88" s="194">
        <v>1</v>
      </c>
      <c r="C88" s="194">
        <v>1</v>
      </c>
      <c r="D88" s="194">
        <v>1</v>
      </c>
      <c r="E88" s="194">
        <v>1</v>
      </c>
      <c r="F88" s="194"/>
      <c r="G88" s="194">
        <v>4</v>
      </c>
    </row>
    <row r="89" spans="1:7" x14ac:dyDescent="0.25">
      <c r="A89" s="227" t="s">
        <v>160</v>
      </c>
      <c r="B89" s="194">
        <v>1</v>
      </c>
      <c r="C89" s="194">
        <v>1</v>
      </c>
      <c r="D89" s="194">
        <v>1</v>
      </c>
      <c r="E89" s="194">
        <v>1</v>
      </c>
      <c r="F89" s="194"/>
      <c r="G89" s="194">
        <v>4</v>
      </c>
    </row>
    <row r="90" spans="1:7" x14ac:dyDescent="0.25">
      <c r="A90" s="195" t="s">
        <v>129</v>
      </c>
      <c r="B90" s="194">
        <v>1</v>
      </c>
      <c r="C90" s="194">
        <v>1</v>
      </c>
      <c r="D90" s="194">
        <v>1</v>
      </c>
      <c r="E90" s="194">
        <v>1</v>
      </c>
      <c r="F90" s="194"/>
      <c r="G90" s="194">
        <v>4</v>
      </c>
    </row>
    <row r="91" spans="1:7" x14ac:dyDescent="0.25">
      <c r="A91" s="227" t="s">
        <v>164</v>
      </c>
      <c r="B91" s="194">
        <v>1</v>
      </c>
      <c r="C91" s="194">
        <v>1</v>
      </c>
      <c r="D91" s="194">
        <v>1</v>
      </c>
      <c r="E91" s="194">
        <v>1</v>
      </c>
      <c r="F91" s="194"/>
      <c r="G91" s="194">
        <v>4</v>
      </c>
    </row>
    <row r="92" spans="1:7" x14ac:dyDescent="0.25">
      <c r="A92" s="195" t="s">
        <v>129</v>
      </c>
      <c r="B92" s="194">
        <v>1</v>
      </c>
      <c r="C92" s="194">
        <v>1</v>
      </c>
      <c r="D92" s="194">
        <v>1</v>
      </c>
      <c r="E92" s="194">
        <v>1</v>
      </c>
      <c r="F92" s="194"/>
      <c r="G92" s="194">
        <v>4</v>
      </c>
    </row>
    <row r="93" spans="1:7" x14ac:dyDescent="0.25">
      <c r="A93" s="227" t="s">
        <v>273</v>
      </c>
      <c r="B93" s="194">
        <v>1</v>
      </c>
      <c r="C93" s="194">
        <v>1</v>
      </c>
      <c r="D93" s="194">
        <v>1</v>
      </c>
      <c r="E93" s="194">
        <v>1</v>
      </c>
      <c r="F93" s="194"/>
      <c r="G93" s="194">
        <v>4</v>
      </c>
    </row>
    <row r="94" spans="1:7" x14ac:dyDescent="0.25">
      <c r="A94" s="223" t="s">
        <v>123</v>
      </c>
      <c r="B94" s="194">
        <v>1</v>
      </c>
      <c r="C94" s="194">
        <v>1</v>
      </c>
      <c r="D94" s="194">
        <v>1</v>
      </c>
      <c r="E94" s="194">
        <v>1</v>
      </c>
      <c r="F94" s="194"/>
      <c r="G94" s="194">
        <v>4</v>
      </c>
    </row>
    <row r="95" spans="1:7" x14ac:dyDescent="0.25">
      <c r="A95" s="209" t="s">
        <v>185</v>
      </c>
      <c r="B95" s="194">
        <v>1</v>
      </c>
      <c r="C95" s="194">
        <v>1</v>
      </c>
      <c r="D95" s="194">
        <v>1</v>
      </c>
      <c r="E95" s="194">
        <v>1</v>
      </c>
      <c r="F95" s="194"/>
      <c r="G95" s="194">
        <v>4</v>
      </c>
    </row>
    <row r="96" spans="1:7" x14ac:dyDescent="0.25">
      <c r="A96" s="195" t="s">
        <v>131</v>
      </c>
      <c r="B96" s="194">
        <v>1</v>
      </c>
      <c r="C96" s="194">
        <v>1</v>
      </c>
      <c r="D96" s="194">
        <v>1</v>
      </c>
      <c r="E96" s="194">
        <v>1</v>
      </c>
      <c r="F96" s="194"/>
      <c r="G96" s="194">
        <v>4</v>
      </c>
    </row>
    <row r="97" spans="1:7" x14ac:dyDescent="0.25">
      <c r="A97" s="227" t="s">
        <v>274</v>
      </c>
      <c r="B97" s="194">
        <v>1</v>
      </c>
      <c r="C97" s="194">
        <v>1</v>
      </c>
      <c r="D97" s="194">
        <v>1</v>
      </c>
      <c r="E97" s="194">
        <v>1</v>
      </c>
      <c r="F97" s="194"/>
      <c r="G97" s="194">
        <v>4</v>
      </c>
    </row>
    <row r="98" spans="1:7" x14ac:dyDescent="0.25">
      <c r="A98" s="223" t="s">
        <v>122</v>
      </c>
      <c r="B98" s="194">
        <v>1</v>
      </c>
      <c r="C98" s="194">
        <v>1</v>
      </c>
      <c r="D98" s="194">
        <v>1</v>
      </c>
      <c r="E98" s="194">
        <v>1</v>
      </c>
      <c r="F98" s="194"/>
      <c r="G98" s="194">
        <v>4</v>
      </c>
    </row>
    <row r="99" spans="1:7" x14ac:dyDescent="0.25">
      <c r="A99" s="227" t="s">
        <v>275</v>
      </c>
      <c r="B99" s="194">
        <v>1</v>
      </c>
      <c r="C99" s="194">
        <v>1</v>
      </c>
      <c r="D99" s="194">
        <v>1</v>
      </c>
      <c r="E99" s="194">
        <v>1</v>
      </c>
      <c r="F99" s="194"/>
      <c r="G99" s="194">
        <v>4</v>
      </c>
    </row>
    <row r="100" spans="1:7" x14ac:dyDescent="0.25">
      <c r="A100" s="223" t="s">
        <v>126</v>
      </c>
      <c r="B100" s="194">
        <v>1</v>
      </c>
      <c r="C100" s="194">
        <v>1</v>
      </c>
      <c r="D100" s="194">
        <v>1</v>
      </c>
      <c r="E100" s="194">
        <v>1</v>
      </c>
      <c r="F100" s="194"/>
      <c r="G100" s="194">
        <v>4</v>
      </c>
    </row>
    <row r="101" spans="1:7" x14ac:dyDescent="0.25">
      <c r="A101" s="227" t="s">
        <v>276</v>
      </c>
      <c r="B101" s="194">
        <v>1</v>
      </c>
      <c r="C101" s="194">
        <v>1</v>
      </c>
      <c r="D101" s="194">
        <v>1</v>
      </c>
      <c r="E101" s="194">
        <v>1</v>
      </c>
      <c r="F101" s="194"/>
      <c r="G101" s="194">
        <v>4</v>
      </c>
    </row>
    <row r="102" spans="1:7" x14ac:dyDescent="0.25">
      <c r="A102" s="223" t="s">
        <v>123</v>
      </c>
      <c r="B102" s="194">
        <v>1</v>
      </c>
      <c r="C102" s="194">
        <v>1</v>
      </c>
      <c r="D102" s="194">
        <v>1</v>
      </c>
      <c r="E102" s="194">
        <v>1</v>
      </c>
      <c r="F102" s="194"/>
      <c r="G102" s="194">
        <v>4</v>
      </c>
    </row>
    <row r="103" spans="1:7" x14ac:dyDescent="0.25">
      <c r="A103" s="209" t="s">
        <v>179</v>
      </c>
      <c r="B103" s="194"/>
      <c r="C103" s="194">
        <v>1</v>
      </c>
      <c r="D103" s="194">
        <v>1</v>
      </c>
      <c r="E103" s="194">
        <v>1</v>
      </c>
      <c r="F103" s="194"/>
      <c r="G103" s="194">
        <v>3</v>
      </c>
    </row>
    <row r="104" spans="1:7" x14ac:dyDescent="0.25">
      <c r="A104" s="195" t="s">
        <v>130</v>
      </c>
      <c r="B104" s="194"/>
      <c r="C104" s="194">
        <v>1</v>
      </c>
      <c r="D104" s="194">
        <v>1</v>
      </c>
      <c r="E104" s="194">
        <v>1</v>
      </c>
      <c r="F104" s="194"/>
      <c r="G104" s="194">
        <v>3</v>
      </c>
    </row>
    <row r="105" spans="1:7" x14ac:dyDescent="0.25">
      <c r="A105" s="227" t="s">
        <v>174</v>
      </c>
      <c r="B105" s="194"/>
      <c r="C105" s="194">
        <v>1</v>
      </c>
      <c r="D105" s="194">
        <v>1</v>
      </c>
      <c r="E105" s="194">
        <v>1</v>
      </c>
      <c r="F105" s="194"/>
      <c r="G105" s="194">
        <v>3</v>
      </c>
    </row>
    <row r="106" spans="1:7" x14ac:dyDescent="0.25">
      <c r="A106" s="195" t="s">
        <v>130</v>
      </c>
      <c r="B106" s="194"/>
      <c r="C106" s="194">
        <v>1</v>
      </c>
      <c r="D106" s="194">
        <v>1</v>
      </c>
      <c r="E106" s="194">
        <v>1</v>
      </c>
      <c r="F106" s="194"/>
      <c r="G106" s="194">
        <v>3</v>
      </c>
    </row>
    <row r="107" spans="1:7" x14ac:dyDescent="0.25">
      <c r="A107" s="227" t="s">
        <v>176</v>
      </c>
      <c r="B107" s="194"/>
      <c r="C107" s="194">
        <v>1</v>
      </c>
      <c r="D107" s="194">
        <v>1</v>
      </c>
      <c r="E107" s="194">
        <v>1</v>
      </c>
      <c r="F107" s="194"/>
      <c r="G107" s="194">
        <v>3</v>
      </c>
    </row>
    <row r="108" spans="1:7" x14ac:dyDescent="0.25">
      <c r="A108" s="195" t="s">
        <v>130</v>
      </c>
      <c r="B108" s="194"/>
      <c r="C108" s="194">
        <v>1</v>
      </c>
      <c r="D108" s="194">
        <v>1</v>
      </c>
      <c r="E108" s="194">
        <v>1</v>
      </c>
      <c r="F108" s="194"/>
      <c r="G108" s="194">
        <v>3</v>
      </c>
    </row>
    <row r="109" spans="1:7" x14ac:dyDescent="0.25">
      <c r="A109" s="227" t="s">
        <v>171</v>
      </c>
      <c r="B109" s="194"/>
      <c r="C109" s="194">
        <v>1</v>
      </c>
      <c r="D109" s="194">
        <v>1</v>
      </c>
      <c r="E109" s="194">
        <v>1</v>
      </c>
      <c r="F109" s="194"/>
      <c r="G109" s="194">
        <v>3</v>
      </c>
    </row>
    <row r="110" spans="1:7" x14ac:dyDescent="0.25">
      <c r="A110" s="195" t="s">
        <v>130</v>
      </c>
      <c r="B110" s="194"/>
      <c r="C110" s="194">
        <v>1</v>
      </c>
      <c r="D110" s="194">
        <v>1</v>
      </c>
      <c r="E110" s="194">
        <v>1</v>
      </c>
      <c r="F110" s="194"/>
      <c r="G110" s="194">
        <v>3</v>
      </c>
    </row>
    <row r="111" spans="1:7" x14ac:dyDescent="0.25">
      <c r="A111" s="209" t="s">
        <v>277</v>
      </c>
      <c r="B111" s="194"/>
      <c r="C111" s="194">
        <v>1</v>
      </c>
      <c r="D111" s="194">
        <v>1</v>
      </c>
      <c r="E111" s="194">
        <v>1</v>
      </c>
      <c r="F111" s="194"/>
      <c r="G111" s="194">
        <v>3</v>
      </c>
    </row>
    <row r="112" spans="1:7" x14ac:dyDescent="0.25">
      <c r="A112" s="195" t="s">
        <v>127</v>
      </c>
      <c r="B112" s="194"/>
      <c r="C112" s="194">
        <v>1</v>
      </c>
      <c r="D112" s="194">
        <v>1</v>
      </c>
      <c r="E112" s="194">
        <v>1</v>
      </c>
      <c r="F112" s="194"/>
      <c r="G112" s="194">
        <v>3</v>
      </c>
    </row>
    <row r="113" spans="1:7" x14ac:dyDescent="0.25">
      <c r="A113" s="227" t="s">
        <v>173</v>
      </c>
      <c r="B113" s="194"/>
      <c r="C113" s="194">
        <v>1</v>
      </c>
      <c r="D113" s="194">
        <v>1</v>
      </c>
      <c r="E113" s="194">
        <v>1</v>
      </c>
      <c r="F113" s="194"/>
      <c r="G113" s="194">
        <v>3</v>
      </c>
    </row>
    <row r="114" spans="1:7" x14ac:dyDescent="0.25">
      <c r="A114" s="195" t="s">
        <v>130</v>
      </c>
      <c r="B114" s="194"/>
      <c r="C114" s="194">
        <v>1</v>
      </c>
      <c r="D114" s="194">
        <v>1</v>
      </c>
      <c r="E114" s="194">
        <v>1</v>
      </c>
      <c r="F114" s="194"/>
      <c r="G114" s="194">
        <v>3</v>
      </c>
    </row>
    <row r="115" spans="1:7" x14ac:dyDescent="0.25">
      <c r="A115" s="227" t="s">
        <v>278</v>
      </c>
      <c r="B115" s="194"/>
      <c r="C115" s="194">
        <v>1</v>
      </c>
      <c r="D115" s="194">
        <v>1</v>
      </c>
      <c r="E115" s="194">
        <v>1</v>
      </c>
      <c r="F115" s="194"/>
      <c r="G115" s="194">
        <v>3</v>
      </c>
    </row>
    <row r="116" spans="1:7" x14ac:dyDescent="0.25">
      <c r="A116" s="223" t="s">
        <v>123</v>
      </c>
      <c r="B116" s="194"/>
      <c r="C116" s="194">
        <v>1</v>
      </c>
      <c r="D116" s="194">
        <v>1</v>
      </c>
      <c r="E116" s="194">
        <v>1</v>
      </c>
      <c r="F116" s="194"/>
      <c r="G116" s="194">
        <v>3</v>
      </c>
    </row>
    <row r="117" spans="1:7" x14ac:dyDescent="0.25">
      <c r="A117" s="227" t="s">
        <v>279</v>
      </c>
      <c r="B117" s="194">
        <v>1</v>
      </c>
      <c r="C117" s="194">
        <v>1</v>
      </c>
      <c r="D117" s="194"/>
      <c r="E117" s="194">
        <v>1</v>
      </c>
      <c r="F117" s="194"/>
      <c r="G117" s="194">
        <v>3</v>
      </c>
    </row>
    <row r="118" spans="1:7" x14ac:dyDescent="0.25">
      <c r="A118" s="223" t="s">
        <v>125</v>
      </c>
      <c r="B118" s="194">
        <v>1</v>
      </c>
      <c r="C118" s="194">
        <v>1</v>
      </c>
      <c r="D118" s="194"/>
      <c r="E118" s="194">
        <v>1</v>
      </c>
      <c r="F118" s="194"/>
      <c r="G118" s="194">
        <v>3</v>
      </c>
    </row>
    <row r="119" spans="1:7" x14ac:dyDescent="0.25">
      <c r="A119" s="209" t="s">
        <v>180</v>
      </c>
      <c r="B119" s="194"/>
      <c r="C119" s="194">
        <v>1</v>
      </c>
      <c r="D119" s="194">
        <v>1</v>
      </c>
      <c r="E119" s="194"/>
      <c r="F119" s="194"/>
      <c r="G119" s="194">
        <v>2</v>
      </c>
    </row>
    <row r="120" spans="1:7" x14ac:dyDescent="0.25">
      <c r="A120" s="195" t="s">
        <v>130</v>
      </c>
      <c r="B120" s="194"/>
      <c r="C120" s="194">
        <v>1</v>
      </c>
      <c r="D120" s="194">
        <v>1</v>
      </c>
      <c r="E120" s="194"/>
      <c r="F120" s="194"/>
      <c r="G120" s="194">
        <v>2</v>
      </c>
    </row>
    <row r="121" spans="1:7" x14ac:dyDescent="0.25">
      <c r="A121" s="227" t="s">
        <v>280</v>
      </c>
      <c r="B121" s="194">
        <v>1</v>
      </c>
      <c r="C121" s="194"/>
      <c r="D121" s="194">
        <v>1</v>
      </c>
      <c r="E121" s="194"/>
      <c r="F121" s="194"/>
      <c r="G121" s="194">
        <v>2</v>
      </c>
    </row>
    <row r="122" spans="1:7" x14ac:dyDescent="0.25">
      <c r="A122" s="223" t="s">
        <v>135</v>
      </c>
      <c r="B122" s="194"/>
      <c r="C122" s="194"/>
      <c r="D122" s="194">
        <v>1</v>
      </c>
      <c r="E122" s="194"/>
      <c r="F122" s="194"/>
      <c r="G122" s="194">
        <v>1</v>
      </c>
    </row>
    <row r="123" spans="1:7" x14ac:dyDescent="0.25">
      <c r="A123" s="223" t="s">
        <v>138</v>
      </c>
      <c r="B123" s="194">
        <v>1</v>
      </c>
      <c r="C123" s="194"/>
      <c r="D123" s="194"/>
      <c r="E123" s="194"/>
      <c r="F123" s="194"/>
      <c r="G123" s="194">
        <v>1</v>
      </c>
    </row>
    <row r="124" spans="1:7" x14ac:dyDescent="0.25">
      <c r="A124" s="227" t="s">
        <v>281</v>
      </c>
      <c r="B124" s="194">
        <v>1</v>
      </c>
      <c r="C124" s="194"/>
      <c r="D124" s="194"/>
      <c r="E124" s="194">
        <v>1</v>
      </c>
      <c r="F124" s="194"/>
      <c r="G124" s="194">
        <v>2</v>
      </c>
    </row>
    <row r="125" spans="1:7" x14ac:dyDescent="0.25">
      <c r="A125" s="223" t="s">
        <v>121</v>
      </c>
      <c r="B125" s="194">
        <v>1</v>
      </c>
      <c r="C125" s="194"/>
      <c r="D125" s="194"/>
      <c r="E125" s="194">
        <v>1</v>
      </c>
      <c r="F125" s="194"/>
      <c r="G125" s="194">
        <v>2</v>
      </c>
    </row>
    <row r="126" spans="1:7" x14ac:dyDescent="0.25">
      <c r="A126" s="227" t="s">
        <v>282</v>
      </c>
      <c r="B126" s="194">
        <v>1</v>
      </c>
      <c r="C126" s="194"/>
      <c r="D126" s="194">
        <v>1</v>
      </c>
      <c r="E126" s="194"/>
      <c r="F126" s="194"/>
      <c r="G126" s="194">
        <v>2</v>
      </c>
    </row>
    <row r="127" spans="1:7" x14ac:dyDescent="0.25">
      <c r="A127" s="223" t="s">
        <v>136</v>
      </c>
      <c r="B127" s="194">
        <v>1</v>
      </c>
      <c r="C127" s="194"/>
      <c r="D127" s="194">
        <v>1</v>
      </c>
      <c r="E127" s="194"/>
      <c r="F127" s="194"/>
      <c r="G127" s="194">
        <v>2</v>
      </c>
    </row>
    <row r="128" spans="1:7" x14ac:dyDescent="0.25">
      <c r="A128" s="227" t="s">
        <v>283</v>
      </c>
      <c r="B128" s="194">
        <v>1</v>
      </c>
      <c r="C128" s="194"/>
      <c r="D128" s="194">
        <v>1</v>
      </c>
      <c r="E128" s="194"/>
      <c r="F128" s="194"/>
      <c r="G128" s="194">
        <v>2</v>
      </c>
    </row>
    <row r="129" spans="1:7" x14ac:dyDescent="0.25">
      <c r="A129" s="223" t="s">
        <v>136</v>
      </c>
      <c r="B129" s="194">
        <v>1</v>
      </c>
      <c r="C129" s="194"/>
      <c r="D129" s="194">
        <v>1</v>
      </c>
      <c r="E129" s="194"/>
      <c r="F129" s="194"/>
      <c r="G129" s="194">
        <v>2</v>
      </c>
    </row>
    <row r="130" spans="1:7" x14ac:dyDescent="0.25">
      <c r="A130" s="227" t="s">
        <v>284</v>
      </c>
      <c r="B130" s="194">
        <v>1</v>
      </c>
      <c r="C130" s="194"/>
      <c r="D130" s="194"/>
      <c r="E130" s="194">
        <v>1</v>
      </c>
      <c r="F130" s="194"/>
      <c r="G130" s="194">
        <v>2</v>
      </c>
    </row>
    <row r="131" spans="1:7" x14ac:dyDescent="0.25">
      <c r="A131" s="223" t="s">
        <v>121</v>
      </c>
      <c r="B131" s="194">
        <v>1</v>
      </c>
      <c r="C131" s="194"/>
      <c r="D131" s="194"/>
      <c r="E131" s="194">
        <v>1</v>
      </c>
      <c r="F131" s="194"/>
      <c r="G131" s="194">
        <v>2</v>
      </c>
    </row>
    <row r="132" spans="1:7" x14ac:dyDescent="0.25">
      <c r="A132" s="209" t="s">
        <v>285</v>
      </c>
      <c r="B132" s="194"/>
      <c r="C132" s="194"/>
      <c r="D132" s="194"/>
      <c r="E132" s="194">
        <v>2</v>
      </c>
      <c r="F132" s="194"/>
      <c r="G132" s="194">
        <v>2</v>
      </c>
    </row>
    <row r="133" spans="1:7" x14ac:dyDescent="0.25">
      <c r="A133" s="195" t="s">
        <v>124</v>
      </c>
      <c r="B133" s="194"/>
      <c r="C133" s="194"/>
      <c r="D133" s="194"/>
      <c r="E133" s="194">
        <v>1</v>
      </c>
      <c r="F133" s="194"/>
      <c r="G133" s="194">
        <v>1</v>
      </c>
    </row>
    <row r="134" spans="1:7" x14ac:dyDescent="0.25">
      <c r="A134" s="195" t="s">
        <v>128</v>
      </c>
      <c r="B134" s="194"/>
      <c r="C134" s="194"/>
      <c r="D134" s="194"/>
      <c r="E134" s="194">
        <v>1</v>
      </c>
      <c r="F134" s="194"/>
      <c r="G134" s="194">
        <v>1</v>
      </c>
    </row>
    <row r="135" spans="1:7" x14ac:dyDescent="0.25">
      <c r="A135" s="227" t="s">
        <v>286</v>
      </c>
      <c r="B135" s="194">
        <v>1</v>
      </c>
      <c r="C135" s="194"/>
      <c r="D135" s="194">
        <v>1</v>
      </c>
      <c r="E135" s="194"/>
      <c r="F135" s="194"/>
      <c r="G135" s="194">
        <v>2</v>
      </c>
    </row>
    <row r="136" spans="1:7" x14ac:dyDescent="0.25">
      <c r="A136" s="223" t="s">
        <v>136</v>
      </c>
      <c r="B136" s="194">
        <v>1</v>
      </c>
      <c r="C136" s="194"/>
      <c r="D136" s="194">
        <v>1</v>
      </c>
      <c r="E136" s="194"/>
      <c r="F136" s="194"/>
      <c r="G136" s="194">
        <v>2</v>
      </c>
    </row>
    <row r="137" spans="1:7" x14ac:dyDescent="0.25">
      <c r="A137" s="227" t="s">
        <v>287</v>
      </c>
      <c r="B137" s="194">
        <v>1</v>
      </c>
      <c r="C137" s="194"/>
      <c r="D137" s="194">
        <v>1</v>
      </c>
      <c r="E137" s="194"/>
      <c r="F137" s="194"/>
      <c r="G137" s="194">
        <v>2</v>
      </c>
    </row>
    <row r="138" spans="1:7" x14ac:dyDescent="0.25">
      <c r="A138" s="223" t="s">
        <v>135</v>
      </c>
      <c r="B138" s="194"/>
      <c r="C138" s="194"/>
      <c r="D138" s="194">
        <v>1</v>
      </c>
      <c r="E138" s="194"/>
      <c r="F138" s="194"/>
      <c r="G138" s="194">
        <v>1</v>
      </c>
    </row>
    <row r="139" spans="1:7" x14ac:dyDescent="0.25">
      <c r="A139" s="223" t="s">
        <v>138</v>
      </c>
      <c r="B139" s="194">
        <v>1</v>
      </c>
      <c r="C139" s="194"/>
      <c r="D139" s="194"/>
      <c r="E139" s="194"/>
      <c r="F139" s="194"/>
      <c r="G139" s="194">
        <v>1</v>
      </c>
    </row>
    <row r="140" spans="1:7" x14ac:dyDescent="0.25">
      <c r="A140" s="227" t="s">
        <v>288</v>
      </c>
      <c r="B140" s="194">
        <v>1</v>
      </c>
      <c r="C140" s="194"/>
      <c r="D140" s="194"/>
      <c r="E140" s="194">
        <v>1</v>
      </c>
      <c r="F140" s="194"/>
      <c r="G140" s="194">
        <v>2</v>
      </c>
    </row>
    <row r="141" spans="1:7" x14ac:dyDescent="0.25">
      <c r="A141" s="223" t="s">
        <v>121</v>
      </c>
      <c r="B141" s="194">
        <v>1</v>
      </c>
      <c r="C141" s="194"/>
      <c r="D141" s="194"/>
      <c r="E141" s="194">
        <v>1</v>
      </c>
      <c r="F141" s="194"/>
      <c r="G141" s="194">
        <v>2</v>
      </c>
    </row>
    <row r="142" spans="1:7" x14ac:dyDescent="0.25">
      <c r="A142" s="227" t="s">
        <v>289</v>
      </c>
      <c r="B142" s="194">
        <v>1</v>
      </c>
      <c r="C142" s="194"/>
      <c r="D142" s="194">
        <v>1</v>
      </c>
      <c r="E142" s="194"/>
      <c r="F142" s="194"/>
      <c r="G142" s="194">
        <v>2</v>
      </c>
    </row>
    <row r="143" spans="1:7" x14ac:dyDescent="0.25">
      <c r="A143" s="223" t="s">
        <v>135</v>
      </c>
      <c r="B143" s="194"/>
      <c r="C143" s="194"/>
      <c r="D143" s="194">
        <v>1</v>
      </c>
      <c r="E143" s="194"/>
      <c r="F143" s="194"/>
      <c r="G143" s="194">
        <v>1</v>
      </c>
    </row>
    <row r="144" spans="1:7" x14ac:dyDescent="0.25">
      <c r="A144" s="223" t="s">
        <v>138</v>
      </c>
      <c r="B144" s="194">
        <v>1</v>
      </c>
      <c r="C144" s="194"/>
      <c r="D144" s="194"/>
      <c r="E144" s="194"/>
      <c r="F144" s="194"/>
      <c r="G144" s="194">
        <v>1</v>
      </c>
    </row>
    <row r="145" spans="1:7" x14ac:dyDescent="0.25">
      <c r="A145" s="227" t="s">
        <v>157</v>
      </c>
      <c r="B145" s="194">
        <v>1</v>
      </c>
      <c r="C145" s="194"/>
      <c r="D145" s="194">
        <v>1</v>
      </c>
      <c r="E145" s="194"/>
      <c r="F145" s="194"/>
      <c r="G145" s="194">
        <v>2</v>
      </c>
    </row>
    <row r="146" spans="1:7" x14ac:dyDescent="0.25">
      <c r="A146" s="195" t="s">
        <v>129</v>
      </c>
      <c r="B146" s="194">
        <v>1</v>
      </c>
      <c r="C146" s="194"/>
      <c r="D146" s="194">
        <v>1</v>
      </c>
      <c r="E146" s="194"/>
      <c r="F146" s="194"/>
      <c r="G146" s="194">
        <v>2</v>
      </c>
    </row>
    <row r="147" spans="1:7" x14ac:dyDescent="0.25">
      <c r="A147" s="227" t="s">
        <v>290</v>
      </c>
      <c r="B147" s="194"/>
      <c r="C147" s="194">
        <v>1</v>
      </c>
      <c r="D147" s="194"/>
      <c r="E147" s="194">
        <v>1</v>
      </c>
      <c r="F147" s="194"/>
      <c r="G147" s="194">
        <v>2</v>
      </c>
    </row>
    <row r="148" spans="1:7" x14ac:dyDescent="0.25">
      <c r="A148" s="223" t="s">
        <v>123</v>
      </c>
      <c r="B148" s="194"/>
      <c r="C148" s="194">
        <v>1</v>
      </c>
      <c r="D148" s="194"/>
      <c r="E148" s="194">
        <v>1</v>
      </c>
      <c r="F148" s="194"/>
      <c r="G148" s="194">
        <v>2</v>
      </c>
    </row>
    <row r="149" spans="1:7" x14ac:dyDescent="0.25">
      <c r="A149" s="227" t="s">
        <v>172</v>
      </c>
      <c r="B149" s="194"/>
      <c r="C149" s="194"/>
      <c r="D149" s="194">
        <v>1</v>
      </c>
      <c r="E149" s="194">
        <v>1</v>
      </c>
      <c r="F149" s="194"/>
      <c r="G149" s="194">
        <v>2</v>
      </c>
    </row>
    <row r="150" spans="1:7" x14ac:dyDescent="0.25">
      <c r="A150" s="195" t="s">
        <v>130</v>
      </c>
      <c r="B150" s="194"/>
      <c r="C150" s="194"/>
      <c r="D150" s="194">
        <v>1</v>
      </c>
      <c r="E150" s="194">
        <v>1</v>
      </c>
      <c r="F150" s="194"/>
      <c r="G150" s="194">
        <v>2</v>
      </c>
    </row>
    <row r="151" spans="1:7" x14ac:dyDescent="0.25">
      <c r="A151" s="227" t="s">
        <v>291</v>
      </c>
      <c r="B151" s="194">
        <v>1</v>
      </c>
      <c r="C151" s="194"/>
      <c r="D151" s="194">
        <v>1</v>
      </c>
      <c r="E151" s="194"/>
      <c r="F151" s="194"/>
      <c r="G151" s="194">
        <v>2</v>
      </c>
    </row>
    <row r="152" spans="1:7" x14ac:dyDescent="0.25">
      <c r="A152" s="223" t="s">
        <v>135</v>
      </c>
      <c r="B152" s="194"/>
      <c r="C152" s="194"/>
      <c r="D152" s="194">
        <v>1</v>
      </c>
      <c r="E152" s="194"/>
      <c r="F152" s="194"/>
      <c r="G152" s="194">
        <v>1</v>
      </c>
    </row>
    <row r="153" spans="1:7" x14ac:dyDescent="0.25">
      <c r="A153" s="223" t="s">
        <v>138</v>
      </c>
      <c r="B153" s="194">
        <v>1</v>
      </c>
      <c r="C153" s="194"/>
      <c r="D153" s="194"/>
      <c r="E153" s="194"/>
      <c r="F153" s="194"/>
      <c r="G153" s="194">
        <v>1</v>
      </c>
    </row>
    <row r="154" spans="1:7" x14ac:dyDescent="0.25">
      <c r="A154" s="227" t="s">
        <v>292</v>
      </c>
      <c r="B154" s="194"/>
      <c r="C154" s="194"/>
      <c r="D154" s="194"/>
      <c r="E154" s="194">
        <v>2</v>
      </c>
      <c r="F154" s="194"/>
      <c r="G154" s="194">
        <v>2</v>
      </c>
    </row>
    <row r="155" spans="1:7" x14ac:dyDescent="0.25">
      <c r="A155" s="223" t="s">
        <v>124</v>
      </c>
      <c r="B155" s="194"/>
      <c r="C155" s="194"/>
      <c r="D155" s="194"/>
      <c r="E155" s="194">
        <v>1</v>
      </c>
      <c r="F155" s="194"/>
      <c r="G155" s="194">
        <v>1</v>
      </c>
    </row>
    <row r="156" spans="1:7" x14ac:dyDescent="0.25">
      <c r="A156" s="223" t="s">
        <v>128</v>
      </c>
      <c r="B156" s="194"/>
      <c r="C156" s="194"/>
      <c r="D156" s="194"/>
      <c r="E156" s="194">
        <v>1</v>
      </c>
      <c r="F156" s="194"/>
      <c r="G156" s="194">
        <v>1</v>
      </c>
    </row>
    <row r="157" spans="1:7" x14ac:dyDescent="0.25">
      <c r="A157" s="227" t="s">
        <v>293</v>
      </c>
      <c r="B157" s="194"/>
      <c r="C157" s="194"/>
      <c r="D157" s="194"/>
      <c r="E157" s="194"/>
      <c r="F157" s="194">
        <v>1</v>
      </c>
      <c r="G157" s="194">
        <v>1</v>
      </c>
    </row>
    <row r="158" spans="1:7" x14ac:dyDescent="0.25">
      <c r="A158" s="223" t="s">
        <v>140</v>
      </c>
      <c r="B158" s="194"/>
      <c r="C158" s="194"/>
      <c r="D158" s="194"/>
      <c r="E158" s="194"/>
      <c r="F158" s="194">
        <v>1</v>
      </c>
      <c r="G158" s="194">
        <v>1</v>
      </c>
    </row>
    <row r="159" spans="1:7" x14ac:dyDescent="0.25">
      <c r="A159" s="227" t="s">
        <v>294</v>
      </c>
      <c r="B159" s="194"/>
      <c r="C159" s="194"/>
      <c r="D159" s="194"/>
      <c r="E159" s="194"/>
      <c r="F159" s="194">
        <v>1</v>
      </c>
      <c r="G159" s="194">
        <v>1</v>
      </c>
    </row>
    <row r="160" spans="1:7" x14ac:dyDescent="0.25">
      <c r="A160" s="223" t="s">
        <v>140</v>
      </c>
      <c r="B160" s="194"/>
      <c r="C160" s="194"/>
      <c r="D160" s="194"/>
      <c r="E160" s="194"/>
      <c r="F160" s="194">
        <v>1</v>
      </c>
      <c r="G160" s="194">
        <v>1</v>
      </c>
    </row>
    <row r="161" spans="1:7" x14ac:dyDescent="0.25">
      <c r="A161" s="227" t="s">
        <v>295</v>
      </c>
      <c r="B161" s="194"/>
      <c r="C161" s="194"/>
      <c r="D161" s="194"/>
      <c r="E161" s="194"/>
      <c r="F161" s="194">
        <v>1</v>
      </c>
      <c r="G161" s="194">
        <v>1</v>
      </c>
    </row>
    <row r="162" spans="1:7" x14ac:dyDescent="0.25">
      <c r="A162" s="223" t="s">
        <v>140</v>
      </c>
      <c r="B162" s="194"/>
      <c r="C162" s="194"/>
      <c r="D162" s="194"/>
      <c r="E162" s="194"/>
      <c r="F162" s="194">
        <v>1</v>
      </c>
      <c r="G162" s="194">
        <v>1</v>
      </c>
    </row>
    <row r="163" spans="1:7" x14ac:dyDescent="0.25">
      <c r="A163" s="227" t="s">
        <v>296</v>
      </c>
      <c r="B163" s="194"/>
      <c r="C163" s="194"/>
      <c r="D163" s="194"/>
      <c r="E163" s="194"/>
      <c r="F163" s="194">
        <v>1</v>
      </c>
      <c r="G163" s="194">
        <v>1</v>
      </c>
    </row>
    <row r="164" spans="1:7" x14ac:dyDescent="0.25">
      <c r="A164" s="223" t="s">
        <v>140</v>
      </c>
      <c r="B164" s="194"/>
      <c r="C164" s="194"/>
      <c r="D164" s="194"/>
      <c r="E164" s="194"/>
      <c r="F164" s="194">
        <v>1</v>
      </c>
      <c r="G164" s="194">
        <v>1</v>
      </c>
    </row>
    <row r="165" spans="1:7" x14ac:dyDescent="0.25">
      <c r="A165" s="227" t="s">
        <v>297</v>
      </c>
      <c r="B165" s="194"/>
      <c r="C165" s="194"/>
      <c r="D165" s="194"/>
      <c r="E165" s="194"/>
      <c r="F165" s="194">
        <v>1</v>
      </c>
      <c r="G165" s="194">
        <v>1</v>
      </c>
    </row>
    <row r="166" spans="1:7" x14ac:dyDescent="0.25">
      <c r="A166" s="223" t="s">
        <v>140</v>
      </c>
      <c r="B166" s="194"/>
      <c r="C166" s="194"/>
      <c r="D166" s="194"/>
      <c r="E166" s="194"/>
      <c r="F166" s="194">
        <v>1</v>
      </c>
      <c r="G166" s="194">
        <v>1</v>
      </c>
    </row>
    <row r="167" spans="1:7" x14ac:dyDescent="0.25">
      <c r="A167" s="227" t="s">
        <v>298</v>
      </c>
      <c r="B167" s="194"/>
      <c r="C167" s="194"/>
      <c r="D167" s="194"/>
      <c r="E167" s="194"/>
      <c r="F167" s="194">
        <v>1</v>
      </c>
      <c r="G167" s="194">
        <v>1</v>
      </c>
    </row>
    <row r="168" spans="1:7" x14ac:dyDescent="0.25">
      <c r="A168" s="223" t="s">
        <v>140</v>
      </c>
      <c r="B168" s="194"/>
      <c r="C168" s="194"/>
      <c r="D168" s="194"/>
      <c r="E168" s="194"/>
      <c r="F168" s="194">
        <v>1</v>
      </c>
      <c r="G168" s="194">
        <v>1</v>
      </c>
    </row>
    <row r="169" spans="1:7" x14ac:dyDescent="0.25">
      <c r="A169" s="227" t="s">
        <v>299</v>
      </c>
      <c r="B169" s="194"/>
      <c r="C169" s="194"/>
      <c r="D169" s="194"/>
      <c r="E169" s="194"/>
      <c r="F169" s="194">
        <v>1</v>
      </c>
      <c r="G169" s="194">
        <v>1</v>
      </c>
    </row>
    <row r="170" spans="1:7" x14ac:dyDescent="0.25">
      <c r="A170" s="223" t="s">
        <v>140</v>
      </c>
      <c r="B170" s="194"/>
      <c r="C170" s="194"/>
      <c r="D170" s="194"/>
      <c r="E170" s="194"/>
      <c r="F170" s="194">
        <v>1</v>
      </c>
      <c r="G170" s="194">
        <v>1</v>
      </c>
    </row>
    <row r="171" spans="1:7" x14ac:dyDescent="0.25">
      <c r="A171" s="227" t="s">
        <v>300</v>
      </c>
      <c r="B171" s="194"/>
      <c r="C171" s="194"/>
      <c r="D171" s="194"/>
      <c r="E171" s="194"/>
      <c r="F171" s="194">
        <v>1</v>
      </c>
      <c r="G171" s="194">
        <v>1</v>
      </c>
    </row>
    <row r="172" spans="1:7" x14ac:dyDescent="0.25">
      <c r="A172" s="223" t="s">
        <v>140</v>
      </c>
      <c r="B172" s="194"/>
      <c r="C172" s="194"/>
      <c r="D172" s="194"/>
      <c r="E172" s="194"/>
      <c r="F172" s="194">
        <v>1</v>
      </c>
      <c r="G172" s="194">
        <v>1</v>
      </c>
    </row>
    <row r="173" spans="1:7" x14ac:dyDescent="0.25">
      <c r="A173" s="227" t="s">
        <v>301</v>
      </c>
      <c r="B173" s="194"/>
      <c r="C173" s="194"/>
      <c r="D173" s="194"/>
      <c r="E173" s="194"/>
      <c r="F173" s="194">
        <v>1</v>
      </c>
      <c r="G173" s="194">
        <v>1</v>
      </c>
    </row>
    <row r="174" spans="1:7" x14ac:dyDescent="0.25">
      <c r="A174" s="223" t="s">
        <v>140</v>
      </c>
      <c r="B174" s="194"/>
      <c r="C174" s="194"/>
      <c r="D174" s="194"/>
      <c r="E174" s="194"/>
      <c r="F174" s="194">
        <v>1</v>
      </c>
      <c r="G174" s="194">
        <v>1</v>
      </c>
    </row>
    <row r="175" spans="1:7" x14ac:dyDescent="0.25">
      <c r="A175" s="227" t="s">
        <v>302</v>
      </c>
      <c r="B175" s="194"/>
      <c r="C175" s="194"/>
      <c r="D175" s="194"/>
      <c r="E175" s="194"/>
      <c r="F175" s="194">
        <v>1</v>
      </c>
      <c r="G175" s="194">
        <v>1</v>
      </c>
    </row>
    <row r="176" spans="1:7" x14ac:dyDescent="0.25">
      <c r="A176" s="223" t="s">
        <v>140</v>
      </c>
      <c r="B176" s="194"/>
      <c r="C176" s="194"/>
      <c r="D176" s="194"/>
      <c r="E176" s="194"/>
      <c r="F176" s="194">
        <v>1</v>
      </c>
      <c r="G176" s="194">
        <v>1</v>
      </c>
    </row>
    <row r="177" spans="1:7" x14ac:dyDescent="0.25">
      <c r="A177" s="227" t="s">
        <v>303</v>
      </c>
      <c r="B177" s="194"/>
      <c r="C177" s="194"/>
      <c r="D177" s="194"/>
      <c r="E177" s="194"/>
      <c r="F177" s="194">
        <v>1</v>
      </c>
      <c r="G177" s="194">
        <v>1</v>
      </c>
    </row>
    <row r="178" spans="1:7" x14ac:dyDescent="0.25">
      <c r="A178" s="223" t="s">
        <v>140</v>
      </c>
      <c r="B178" s="194"/>
      <c r="C178" s="194"/>
      <c r="D178" s="194"/>
      <c r="E178" s="194"/>
      <c r="F178" s="194">
        <v>1</v>
      </c>
      <c r="G178" s="194">
        <v>1</v>
      </c>
    </row>
    <row r="179" spans="1:7" x14ac:dyDescent="0.25">
      <c r="A179" s="227" t="s">
        <v>304</v>
      </c>
      <c r="B179" s="194"/>
      <c r="C179" s="194"/>
      <c r="D179" s="194"/>
      <c r="E179" s="194">
        <v>1</v>
      </c>
      <c r="F179" s="194"/>
      <c r="G179" s="194">
        <v>1</v>
      </c>
    </row>
    <row r="180" spans="1:7" x14ac:dyDescent="0.25">
      <c r="A180" s="223" t="s">
        <v>128</v>
      </c>
      <c r="B180" s="194"/>
      <c r="C180" s="194"/>
      <c r="D180" s="194"/>
      <c r="E180" s="194">
        <v>1</v>
      </c>
      <c r="F180" s="194"/>
      <c r="G180" s="194">
        <v>1</v>
      </c>
    </row>
    <row r="181" spans="1:7" ht="31.25" x14ac:dyDescent="0.25">
      <c r="A181" s="213" t="s">
        <v>305</v>
      </c>
      <c r="B181" s="194"/>
      <c r="C181" s="194"/>
      <c r="D181" s="194"/>
      <c r="E181" s="194"/>
      <c r="F181" s="194">
        <v>1</v>
      </c>
      <c r="G181" s="194">
        <v>1</v>
      </c>
    </row>
    <row r="182" spans="1:7" x14ac:dyDescent="0.25">
      <c r="A182" s="223" t="s">
        <v>140</v>
      </c>
      <c r="B182" s="194"/>
      <c r="C182" s="194"/>
      <c r="D182" s="194"/>
      <c r="E182" s="194"/>
      <c r="F182" s="194">
        <v>1</v>
      </c>
      <c r="G182" s="194">
        <v>1</v>
      </c>
    </row>
    <row r="183" spans="1:7" x14ac:dyDescent="0.25">
      <c r="A183" s="227" t="s">
        <v>306</v>
      </c>
      <c r="B183" s="194"/>
      <c r="C183" s="194">
        <v>1</v>
      </c>
      <c r="D183" s="194"/>
      <c r="E183" s="194"/>
      <c r="F183" s="194"/>
      <c r="G183" s="194">
        <v>1</v>
      </c>
    </row>
    <row r="184" spans="1:7" x14ac:dyDescent="0.25">
      <c r="A184" s="223" t="s">
        <v>133</v>
      </c>
      <c r="B184" s="194"/>
      <c r="C184" s="194">
        <v>1</v>
      </c>
      <c r="D184" s="194"/>
      <c r="E184" s="194"/>
      <c r="F184" s="194"/>
      <c r="G184" s="194">
        <v>1</v>
      </c>
    </row>
    <row r="185" spans="1:7" x14ac:dyDescent="0.25">
      <c r="A185" s="227" t="s">
        <v>307</v>
      </c>
      <c r="B185" s="194"/>
      <c r="C185" s="194"/>
      <c r="D185" s="194"/>
      <c r="E185" s="194"/>
      <c r="F185" s="194">
        <v>1</v>
      </c>
      <c r="G185" s="194">
        <v>1</v>
      </c>
    </row>
    <row r="186" spans="1:7" x14ac:dyDescent="0.25">
      <c r="A186" s="223" t="s">
        <v>140</v>
      </c>
      <c r="B186" s="194"/>
      <c r="C186" s="194"/>
      <c r="D186" s="194"/>
      <c r="E186" s="194"/>
      <c r="F186" s="194">
        <v>1</v>
      </c>
      <c r="G186" s="194">
        <v>1</v>
      </c>
    </row>
    <row r="187" spans="1:7" x14ac:dyDescent="0.25">
      <c r="A187" s="227" t="s">
        <v>308</v>
      </c>
      <c r="B187" s="194"/>
      <c r="C187" s="194"/>
      <c r="D187" s="194"/>
      <c r="E187" s="194">
        <v>1</v>
      </c>
      <c r="F187" s="194"/>
      <c r="G187" s="194">
        <v>1</v>
      </c>
    </row>
    <row r="188" spans="1:7" x14ac:dyDescent="0.25">
      <c r="A188" s="223" t="s">
        <v>124</v>
      </c>
      <c r="B188" s="194"/>
      <c r="C188" s="194"/>
      <c r="D188" s="194"/>
      <c r="E188" s="194">
        <v>1</v>
      </c>
      <c r="F188" s="194"/>
      <c r="G188" s="194">
        <v>1</v>
      </c>
    </row>
    <row r="189" spans="1:7" x14ac:dyDescent="0.25">
      <c r="A189" s="209" t="s">
        <v>178</v>
      </c>
      <c r="B189" s="194"/>
      <c r="C189" s="194">
        <v>1</v>
      </c>
      <c r="D189" s="194"/>
      <c r="E189" s="194"/>
      <c r="F189" s="194"/>
      <c r="G189" s="194">
        <v>1</v>
      </c>
    </row>
    <row r="190" spans="1:7" x14ac:dyDescent="0.25">
      <c r="A190" s="195" t="s">
        <v>130</v>
      </c>
      <c r="B190" s="194"/>
      <c r="C190" s="194">
        <v>1</v>
      </c>
      <c r="D190" s="194"/>
      <c r="E190" s="194"/>
      <c r="F190" s="194"/>
      <c r="G190" s="194">
        <v>1</v>
      </c>
    </row>
    <row r="191" spans="1:7" x14ac:dyDescent="0.25">
      <c r="A191" s="227" t="s">
        <v>309</v>
      </c>
      <c r="B191" s="194"/>
      <c r="C191" s="194"/>
      <c r="D191" s="194"/>
      <c r="E191" s="194"/>
      <c r="F191" s="194">
        <v>1</v>
      </c>
      <c r="G191" s="194">
        <v>1</v>
      </c>
    </row>
    <row r="192" spans="1:7" x14ac:dyDescent="0.25">
      <c r="A192" s="223" t="s">
        <v>140</v>
      </c>
      <c r="B192" s="194"/>
      <c r="C192" s="194"/>
      <c r="D192" s="194"/>
      <c r="E192" s="194"/>
      <c r="F192" s="194">
        <v>1</v>
      </c>
      <c r="G192" s="194">
        <v>1</v>
      </c>
    </row>
    <row r="193" spans="1:7" x14ac:dyDescent="0.25">
      <c r="A193" s="209" t="s">
        <v>310</v>
      </c>
      <c r="B193" s="194"/>
      <c r="C193" s="194"/>
      <c r="D193" s="194"/>
      <c r="E193" s="194"/>
      <c r="F193" s="194">
        <v>1</v>
      </c>
      <c r="G193" s="194">
        <v>1</v>
      </c>
    </row>
    <row r="194" spans="1:7" x14ac:dyDescent="0.25">
      <c r="A194" s="195" t="s">
        <v>140</v>
      </c>
      <c r="B194" s="194"/>
      <c r="C194" s="194"/>
      <c r="D194" s="194"/>
      <c r="E194" s="194"/>
      <c r="F194" s="194">
        <v>1</v>
      </c>
      <c r="G194" s="194">
        <v>1</v>
      </c>
    </row>
    <row r="195" spans="1:7" x14ac:dyDescent="0.25">
      <c r="A195" s="227" t="s">
        <v>311</v>
      </c>
      <c r="B195" s="194">
        <v>1</v>
      </c>
      <c r="C195" s="194"/>
      <c r="D195" s="194"/>
      <c r="E195" s="194"/>
      <c r="F195" s="194"/>
      <c r="G195" s="194">
        <v>1</v>
      </c>
    </row>
    <row r="196" spans="1:7" x14ac:dyDescent="0.25">
      <c r="A196" s="223" t="s">
        <v>138</v>
      </c>
      <c r="B196" s="194">
        <v>1</v>
      </c>
      <c r="C196" s="194"/>
      <c r="D196" s="194"/>
      <c r="E196" s="194"/>
      <c r="F196" s="194"/>
      <c r="G196" s="194">
        <v>1</v>
      </c>
    </row>
    <row r="197" spans="1:7" x14ac:dyDescent="0.25">
      <c r="A197" s="227" t="s">
        <v>312</v>
      </c>
      <c r="B197" s="194"/>
      <c r="C197" s="194"/>
      <c r="D197" s="194"/>
      <c r="E197" s="194"/>
      <c r="F197" s="194">
        <v>1</v>
      </c>
      <c r="G197" s="194">
        <v>1</v>
      </c>
    </row>
    <row r="198" spans="1:7" x14ac:dyDescent="0.25">
      <c r="A198" s="223" t="s">
        <v>140</v>
      </c>
      <c r="B198" s="194"/>
      <c r="C198" s="194"/>
      <c r="D198" s="194"/>
      <c r="E198" s="194"/>
      <c r="F198" s="194">
        <v>1</v>
      </c>
      <c r="G198" s="194">
        <v>1</v>
      </c>
    </row>
    <row r="199" spans="1:7" x14ac:dyDescent="0.25">
      <c r="A199" s="209" t="s">
        <v>313</v>
      </c>
      <c r="B199" s="194"/>
      <c r="C199" s="194">
        <v>1</v>
      </c>
      <c r="D199" s="194"/>
      <c r="E199" s="194"/>
      <c r="F199" s="194"/>
      <c r="G199" s="194">
        <v>1</v>
      </c>
    </row>
    <row r="200" spans="1:7" x14ac:dyDescent="0.25">
      <c r="A200" s="195" t="s">
        <v>133</v>
      </c>
      <c r="B200" s="194"/>
      <c r="C200" s="194">
        <v>1</v>
      </c>
      <c r="D200" s="194"/>
      <c r="E200" s="194"/>
      <c r="F200" s="194"/>
      <c r="G200" s="194">
        <v>1</v>
      </c>
    </row>
    <row r="201" spans="1:7" x14ac:dyDescent="0.25">
      <c r="A201" s="227" t="s">
        <v>314</v>
      </c>
      <c r="B201" s="194"/>
      <c r="C201" s="194"/>
      <c r="D201" s="194"/>
      <c r="E201" s="194"/>
      <c r="F201" s="194">
        <v>1</v>
      </c>
      <c r="G201" s="194">
        <v>1</v>
      </c>
    </row>
    <row r="202" spans="1:7" x14ac:dyDescent="0.25">
      <c r="A202" s="223" t="s">
        <v>140</v>
      </c>
      <c r="B202" s="194"/>
      <c r="C202" s="194"/>
      <c r="D202" s="194"/>
      <c r="E202" s="194"/>
      <c r="F202" s="194">
        <v>1</v>
      </c>
      <c r="G202" s="194">
        <v>1</v>
      </c>
    </row>
    <row r="203" spans="1:7" x14ac:dyDescent="0.25">
      <c r="A203" s="227" t="s">
        <v>315</v>
      </c>
      <c r="B203" s="194"/>
      <c r="C203" s="194">
        <v>1</v>
      </c>
      <c r="D203" s="194"/>
      <c r="E203" s="194"/>
      <c r="F203" s="194"/>
      <c r="G203" s="194">
        <v>1</v>
      </c>
    </row>
    <row r="204" spans="1:7" x14ac:dyDescent="0.25">
      <c r="A204" s="223" t="s">
        <v>133</v>
      </c>
      <c r="B204" s="194"/>
      <c r="C204" s="194">
        <v>1</v>
      </c>
      <c r="D204" s="194"/>
      <c r="E204" s="194"/>
      <c r="F204" s="194"/>
      <c r="G204" s="194">
        <v>1</v>
      </c>
    </row>
    <row r="205" spans="1:7" x14ac:dyDescent="0.25">
      <c r="A205" s="227" t="s">
        <v>175</v>
      </c>
      <c r="B205" s="194"/>
      <c r="C205" s="194"/>
      <c r="D205" s="194"/>
      <c r="E205" s="194">
        <v>1</v>
      </c>
      <c r="F205" s="194"/>
      <c r="G205" s="194">
        <v>1</v>
      </c>
    </row>
    <row r="206" spans="1:7" x14ac:dyDescent="0.25">
      <c r="A206" s="195" t="s">
        <v>130</v>
      </c>
      <c r="B206" s="194"/>
      <c r="C206" s="194"/>
      <c r="D206" s="194"/>
      <c r="E206" s="194">
        <v>1</v>
      </c>
      <c r="F206" s="194"/>
      <c r="G206" s="194">
        <v>1</v>
      </c>
    </row>
    <row r="207" spans="1:7" x14ac:dyDescent="0.25">
      <c r="A207" s="209" t="s">
        <v>316</v>
      </c>
      <c r="B207" s="194"/>
      <c r="C207" s="194"/>
      <c r="D207" s="194"/>
      <c r="E207" s="194"/>
      <c r="F207" s="194">
        <v>1</v>
      </c>
      <c r="G207" s="194">
        <v>1</v>
      </c>
    </row>
    <row r="208" spans="1:7" x14ac:dyDescent="0.25">
      <c r="A208" s="195" t="s">
        <v>140</v>
      </c>
      <c r="B208" s="194"/>
      <c r="C208" s="194"/>
      <c r="D208" s="194"/>
      <c r="E208" s="194"/>
      <c r="F208" s="194">
        <v>1</v>
      </c>
      <c r="G208" s="194">
        <v>1</v>
      </c>
    </row>
    <row r="209" spans="1:7" x14ac:dyDescent="0.25">
      <c r="A209" s="227" t="s">
        <v>317</v>
      </c>
      <c r="B209" s="194"/>
      <c r="C209" s="194"/>
      <c r="D209" s="194"/>
      <c r="E209" s="194"/>
      <c r="F209" s="194">
        <v>1</v>
      </c>
      <c r="G209" s="194">
        <v>1</v>
      </c>
    </row>
    <row r="210" spans="1:7" x14ac:dyDescent="0.25">
      <c r="A210" s="223" t="s">
        <v>140</v>
      </c>
      <c r="B210" s="194"/>
      <c r="C210" s="194"/>
      <c r="D210" s="194"/>
      <c r="E210" s="194"/>
      <c r="F210" s="194">
        <v>1</v>
      </c>
      <c r="G210" s="194">
        <v>1</v>
      </c>
    </row>
    <row r="211" spans="1:7" x14ac:dyDescent="0.25">
      <c r="A211" s="209" t="s">
        <v>318</v>
      </c>
      <c r="B211" s="194"/>
      <c r="C211" s="194"/>
      <c r="D211" s="194"/>
      <c r="E211" s="194"/>
      <c r="F211" s="194">
        <v>1</v>
      </c>
      <c r="G211" s="194">
        <v>1</v>
      </c>
    </row>
    <row r="212" spans="1:7" x14ac:dyDescent="0.25">
      <c r="A212" s="195" t="s">
        <v>140</v>
      </c>
      <c r="B212" s="194"/>
      <c r="C212" s="194"/>
      <c r="D212" s="194"/>
      <c r="E212" s="194"/>
      <c r="F212" s="194">
        <v>1</v>
      </c>
      <c r="G212" s="194">
        <v>1</v>
      </c>
    </row>
    <row r="213" spans="1:7" x14ac:dyDescent="0.25">
      <c r="A213" s="227" t="s">
        <v>319</v>
      </c>
      <c r="B213" s="194"/>
      <c r="C213" s="194"/>
      <c r="D213" s="194"/>
      <c r="E213" s="194"/>
      <c r="F213" s="194">
        <v>1</v>
      </c>
      <c r="G213" s="194">
        <v>1</v>
      </c>
    </row>
    <row r="214" spans="1:7" x14ac:dyDescent="0.25">
      <c r="A214" s="223" t="s">
        <v>140</v>
      </c>
      <c r="B214" s="194"/>
      <c r="C214" s="194"/>
      <c r="D214" s="194"/>
      <c r="E214" s="194"/>
      <c r="F214" s="194">
        <v>1</v>
      </c>
      <c r="G214" s="194">
        <v>1</v>
      </c>
    </row>
    <row r="215" spans="1:7" x14ac:dyDescent="0.25">
      <c r="A215" s="227" t="s">
        <v>320</v>
      </c>
      <c r="B215" s="194">
        <v>1</v>
      </c>
      <c r="C215" s="194"/>
      <c r="D215" s="194"/>
      <c r="E215" s="194"/>
      <c r="F215" s="194"/>
      <c r="G215" s="194">
        <v>1</v>
      </c>
    </row>
    <row r="216" spans="1:7" x14ac:dyDescent="0.25">
      <c r="A216" s="223" t="s">
        <v>123</v>
      </c>
      <c r="B216" s="194">
        <v>1</v>
      </c>
      <c r="C216" s="194"/>
      <c r="D216" s="194"/>
      <c r="E216" s="194"/>
      <c r="F216" s="194"/>
      <c r="G216" s="194">
        <v>1</v>
      </c>
    </row>
    <row r="217" spans="1:7" x14ac:dyDescent="0.25">
      <c r="A217" s="227" t="s">
        <v>321</v>
      </c>
      <c r="B217" s="194"/>
      <c r="C217" s="194"/>
      <c r="D217" s="194"/>
      <c r="E217" s="194"/>
      <c r="F217" s="194">
        <v>1</v>
      </c>
      <c r="G217" s="194">
        <v>1</v>
      </c>
    </row>
    <row r="218" spans="1:7" x14ac:dyDescent="0.25">
      <c r="A218" s="223" t="s">
        <v>140</v>
      </c>
      <c r="B218" s="194"/>
      <c r="C218" s="194"/>
      <c r="D218" s="194"/>
      <c r="E218" s="194"/>
      <c r="F218" s="194">
        <v>1</v>
      </c>
      <c r="G218" s="194">
        <v>1</v>
      </c>
    </row>
    <row r="219" spans="1:7" x14ac:dyDescent="0.25">
      <c r="A219" s="227" t="s">
        <v>322</v>
      </c>
      <c r="B219" s="194"/>
      <c r="C219" s="194"/>
      <c r="D219" s="194"/>
      <c r="E219" s="194"/>
      <c r="F219" s="194">
        <v>1</v>
      </c>
      <c r="G219" s="194">
        <v>1</v>
      </c>
    </row>
    <row r="220" spans="1:7" x14ac:dyDescent="0.25">
      <c r="A220" s="223" t="s">
        <v>140</v>
      </c>
      <c r="B220" s="194"/>
      <c r="C220" s="194"/>
      <c r="D220" s="194"/>
      <c r="E220" s="194"/>
      <c r="F220" s="194">
        <v>1</v>
      </c>
      <c r="G220" s="194">
        <v>1</v>
      </c>
    </row>
    <row r="221" spans="1:7" x14ac:dyDescent="0.25">
      <c r="A221" s="227" t="s">
        <v>323</v>
      </c>
      <c r="B221" s="194"/>
      <c r="C221" s="194"/>
      <c r="D221" s="194"/>
      <c r="E221" s="194"/>
      <c r="F221" s="194">
        <v>1</v>
      </c>
      <c r="G221" s="194">
        <v>1</v>
      </c>
    </row>
    <row r="222" spans="1:7" x14ac:dyDescent="0.25">
      <c r="A222" s="223" t="s">
        <v>140</v>
      </c>
      <c r="B222" s="194"/>
      <c r="C222" s="194"/>
      <c r="D222" s="194"/>
      <c r="E222" s="194"/>
      <c r="F222" s="194">
        <v>1</v>
      </c>
      <c r="G222" s="194">
        <v>1</v>
      </c>
    </row>
    <row r="223" spans="1:7" x14ac:dyDescent="0.25">
      <c r="A223" s="227" t="s">
        <v>324</v>
      </c>
      <c r="B223" s="194"/>
      <c r="C223" s="194"/>
      <c r="D223" s="194"/>
      <c r="E223" s="194"/>
      <c r="F223" s="194">
        <v>1</v>
      </c>
      <c r="G223" s="194">
        <v>1</v>
      </c>
    </row>
    <row r="224" spans="1:7" x14ac:dyDescent="0.25">
      <c r="A224" s="223" t="s">
        <v>140</v>
      </c>
      <c r="B224" s="194"/>
      <c r="C224" s="194"/>
      <c r="D224" s="194"/>
      <c r="E224" s="194"/>
      <c r="F224" s="194">
        <v>1</v>
      </c>
      <c r="G224" s="194">
        <v>1</v>
      </c>
    </row>
    <row r="225" spans="1:7" x14ac:dyDescent="0.25">
      <c r="A225" s="209" t="s">
        <v>325</v>
      </c>
      <c r="B225" s="194"/>
      <c r="C225" s="194"/>
      <c r="D225" s="194"/>
      <c r="E225" s="194"/>
      <c r="F225" s="194">
        <v>1</v>
      </c>
      <c r="G225" s="194">
        <v>1</v>
      </c>
    </row>
    <row r="226" spans="1:7" x14ac:dyDescent="0.25">
      <c r="A226" s="195" t="s">
        <v>140</v>
      </c>
      <c r="B226" s="194"/>
      <c r="C226" s="194"/>
      <c r="D226" s="194"/>
      <c r="E226" s="194"/>
      <c r="F226" s="194">
        <v>1</v>
      </c>
      <c r="G226" s="194">
        <v>1</v>
      </c>
    </row>
    <row r="227" spans="1:7" x14ac:dyDescent="0.25">
      <c r="A227" s="227" t="s">
        <v>326</v>
      </c>
      <c r="B227" s="194">
        <v>1</v>
      </c>
      <c r="C227" s="194"/>
      <c r="D227" s="194"/>
      <c r="E227" s="194"/>
      <c r="F227" s="194"/>
      <c r="G227" s="194">
        <v>1</v>
      </c>
    </row>
    <row r="228" spans="1:7" x14ac:dyDescent="0.25">
      <c r="A228" s="223" t="s">
        <v>123</v>
      </c>
      <c r="B228" s="194">
        <v>1</v>
      </c>
      <c r="C228" s="194"/>
      <c r="D228" s="194"/>
      <c r="E228" s="194"/>
      <c r="F228" s="194"/>
      <c r="G228" s="194">
        <v>1</v>
      </c>
    </row>
    <row r="229" spans="1:7" x14ac:dyDescent="0.25">
      <c r="A229" s="227" t="s">
        <v>327</v>
      </c>
      <c r="B229" s="194"/>
      <c r="C229" s="194"/>
      <c r="D229" s="194"/>
      <c r="E229" s="194"/>
      <c r="F229" s="194">
        <v>1</v>
      </c>
      <c r="G229" s="194">
        <v>1</v>
      </c>
    </row>
    <row r="230" spans="1:7" x14ac:dyDescent="0.25">
      <c r="A230" s="223" t="s">
        <v>140</v>
      </c>
      <c r="B230" s="194"/>
      <c r="C230" s="194"/>
      <c r="D230" s="194"/>
      <c r="E230" s="194"/>
      <c r="F230" s="194">
        <v>1</v>
      </c>
      <c r="G230" s="194">
        <v>1</v>
      </c>
    </row>
    <row r="231" spans="1:7" x14ac:dyDescent="0.25">
      <c r="A231" s="227" t="s">
        <v>328</v>
      </c>
      <c r="B231" s="194"/>
      <c r="C231" s="194"/>
      <c r="D231" s="194"/>
      <c r="E231" s="194"/>
      <c r="F231" s="194">
        <v>1</v>
      </c>
      <c r="G231" s="194">
        <v>1</v>
      </c>
    </row>
    <row r="232" spans="1:7" x14ac:dyDescent="0.25">
      <c r="A232" s="223" t="s">
        <v>140</v>
      </c>
      <c r="B232" s="194"/>
      <c r="C232" s="194"/>
      <c r="D232" s="194"/>
      <c r="E232" s="194"/>
      <c r="F232" s="194">
        <v>1</v>
      </c>
      <c r="G232" s="194">
        <v>1</v>
      </c>
    </row>
    <row r="233" spans="1:7" x14ac:dyDescent="0.25">
      <c r="A233" s="209" t="s">
        <v>329</v>
      </c>
      <c r="B233" s="194"/>
      <c r="C233" s="194">
        <v>1</v>
      </c>
      <c r="D233" s="194"/>
      <c r="E233" s="194"/>
      <c r="F233" s="194"/>
      <c r="G233" s="194">
        <v>1</v>
      </c>
    </row>
    <row r="234" spans="1:7" x14ac:dyDescent="0.25">
      <c r="A234" s="195" t="s">
        <v>122</v>
      </c>
      <c r="B234" s="194"/>
      <c r="C234" s="194">
        <v>1</v>
      </c>
      <c r="D234" s="194"/>
      <c r="E234" s="194"/>
      <c r="F234" s="194"/>
      <c r="G234" s="194">
        <v>1</v>
      </c>
    </row>
    <row r="235" spans="1:7" x14ac:dyDescent="0.25">
      <c r="A235" s="227" t="s">
        <v>330</v>
      </c>
      <c r="B235" s="194"/>
      <c r="C235" s="194"/>
      <c r="D235" s="194"/>
      <c r="E235" s="194"/>
      <c r="F235" s="194">
        <v>1</v>
      </c>
      <c r="G235" s="194">
        <v>1</v>
      </c>
    </row>
    <row r="236" spans="1:7" x14ac:dyDescent="0.25">
      <c r="A236" s="223" t="s">
        <v>140</v>
      </c>
      <c r="B236" s="194"/>
      <c r="C236" s="194"/>
      <c r="D236" s="194"/>
      <c r="E236" s="194"/>
      <c r="F236" s="194">
        <v>1</v>
      </c>
      <c r="G236" s="194">
        <v>1</v>
      </c>
    </row>
    <row r="237" spans="1:7" x14ac:dyDescent="0.25">
      <c r="A237" s="227" t="s">
        <v>331</v>
      </c>
      <c r="B237" s="194"/>
      <c r="C237" s="194"/>
      <c r="D237" s="194"/>
      <c r="E237" s="194"/>
      <c r="F237" s="194">
        <v>1</v>
      </c>
      <c r="G237" s="194">
        <v>1</v>
      </c>
    </row>
    <row r="238" spans="1:7" x14ac:dyDescent="0.25">
      <c r="A238" s="223" t="s">
        <v>140</v>
      </c>
      <c r="B238" s="194"/>
      <c r="C238" s="194"/>
      <c r="D238" s="194"/>
      <c r="E238" s="194"/>
      <c r="F238" s="194">
        <v>1</v>
      </c>
      <c r="G238" s="194">
        <v>1</v>
      </c>
    </row>
    <row r="239" spans="1:7" x14ac:dyDescent="0.25">
      <c r="A239" s="227" t="s">
        <v>332</v>
      </c>
      <c r="B239" s="194"/>
      <c r="C239" s="194"/>
      <c r="D239" s="194"/>
      <c r="E239" s="194"/>
      <c r="F239" s="194">
        <v>1</v>
      </c>
      <c r="G239" s="194">
        <v>1</v>
      </c>
    </row>
    <row r="240" spans="1:7" x14ac:dyDescent="0.25">
      <c r="A240" s="223" t="s">
        <v>140</v>
      </c>
      <c r="B240" s="194"/>
      <c r="C240" s="194"/>
      <c r="D240" s="194"/>
      <c r="E240" s="194"/>
      <c r="F240" s="194">
        <v>1</v>
      </c>
      <c r="G240" s="194">
        <v>1</v>
      </c>
    </row>
    <row r="241" spans="1:7" x14ac:dyDescent="0.25">
      <c r="A241" s="227" t="s">
        <v>333</v>
      </c>
      <c r="B241" s="194"/>
      <c r="C241" s="194"/>
      <c r="D241" s="194">
        <v>1</v>
      </c>
      <c r="E241" s="194"/>
      <c r="F241" s="194"/>
      <c r="G241" s="194">
        <v>1</v>
      </c>
    </row>
    <row r="242" spans="1:7" x14ac:dyDescent="0.25">
      <c r="A242" s="223" t="s">
        <v>135</v>
      </c>
      <c r="B242" s="194"/>
      <c r="C242" s="194"/>
      <c r="D242" s="194">
        <v>1</v>
      </c>
      <c r="E242" s="194"/>
      <c r="F242" s="194"/>
      <c r="G242" s="194">
        <v>1</v>
      </c>
    </row>
    <row r="243" spans="1:7" x14ac:dyDescent="0.25">
      <c r="A243" s="227" t="s">
        <v>334</v>
      </c>
      <c r="B243" s="194"/>
      <c r="C243" s="194"/>
      <c r="D243" s="194"/>
      <c r="E243" s="194"/>
      <c r="F243" s="194">
        <v>1</v>
      </c>
      <c r="G243" s="194">
        <v>1</v>
      </c>
    </row>
    <row r="244" spans="1:7" x14ac:dyDescent="0.25">
      <c r="A244" s="223" t="s">
        <v>140</v>
      </c>
      <c r="B244" s="194"/>
      <c r="C244" s="194"/>
      <c r="D244" s="194"/>
      <c r="E244" s="194"/>
      <c r="F244" s="194">
        <v>1</v>
      </c>
      <c r="G244" s="194">
        <v>1</v>
      </c>
    </row>
    <row r="245" spans="1:7" x14ac:dyDescent="0.25">
      <c r="A245" s="227" t="s">
        <v>335</v>
      </c>
      <c r="B245" s="194"/>
      <c r="C245" s="194"/>
      <c r="D245" s="194"/>
      <c r="E245" s="194"/>
      <c r="F245" s="194">
        <v>1</v>
      </c>
      <c r="G245" s="194">
        <v>1</v>
      </c>
    </row>
    <row r="246" spans="1:7" x14ac:dyDescent="0.25">
      <c r="A246" s="223" t="s">
        <v>140</v>
      </c>
      <c r="B246" s="194"/>
      <c r="C246" s="194"/>
      <c r="D246" s="194"/>
      <c r="E246" s="194"/>
      <c r="F246" s="194">
        <v>1</v>
      </c>
      <c r="G246" s="194">
        <v>1</v>
      </c>
    </row>
    <row r="247" spans="1:7" x14ac:dyDescent="0.25">
      <c r="A247" s="227" t="s">
        <v>336</v>
      </c>
      <c r="B247" s="194"/>
      <c r="C247" s="194"/>
      <c r="D247" s="194"/>
      <c r="E247" s="194"/>
      <c r="F247" s="194">
        <v>1</v>
      </c>
      <c r="G247" s="194">
        <v>1</v>
      </c>
    </row>
    <row r="248" spans="1:7" x14ac:dyDescent="0.25">
      <c r="A248" s="223" t="s">
        <v>140</v>
      </c>
      <c r="B248" s="194"/>
      <c r="C248" s="194"/>
      <c r="D248" s="194"/>
      <c r="E248" s="194"/>
      <c r="F248" s="194">
        <v>1</v>
      </c>
      <c r="G248" s="194">
        <v>1</v>
      </c>
    </row>
    <row r="249" spans="1:7" x14ac:dyDescent="0.25">
      <c r="A249" s="227" t="s">
        <v>337</v>
      </c>
      <c r="B249" s="194"/>
      <c r="C249" s="194">
        <v>1</v>
      </c>
      <c r="D249" s="194"/>
      <c r="E249" s="194"/>
      <c r="F249" s="194"/>
      <c r="G249" s="194">
        <v>1</v>
      </c>
    </row>
    <row r="250" spans="1:7" x14ac:dyDescent="0.25">
      <c r="A250" s="223" t="s">
        <v>133</v>
      </c>
      <c r="B250" s="194"/>
      <c r="C250" s="194">
        <v>1</v>
      </c>
      <c r="D250" s="194"/>
      <c r="E250" s="194"/>
      <c r="F250" s="194"/>
      <c r="G250" s="194">
        <v>1</v>
      </c>
    </row>
    <row r="251" spans="1:7" x14ac:dyDescent="0.25">
      <c r="A251" s="227" t="s">
        <v>141</v>
      </c>
      <c r="B251" s="194">
        <v>63</v>
      </c>
      <c r="C251" s="194">
        <v>66</v>
      </c>
      <c r="D251" s="194">
        <v>64</v>
      </c>
      <c r="E251" s="194">
        <v>70</v>
      </c>
      <c r="F251" s="194">
        <v>39</v>
      </c>
      <c r="G251" s="194">
        <v>302</v>
      </c>
    </row>
    <row r="252" spans="1:7" x14ac:dyDescent="0.25">
      <c r="A252" s="825"/>
      <c r="B252" s="825"/>
      <c r="C252" s="825"/>
      <c r="D252" s="825"/>
      <c r="E252" s="825"/>
      <c r="F252" s="825"/>
      <c r="G252" s="825"/>
    </row>
    <row r="253" spans="1:7" x14ac:dyDescent="0.25">
      <c r="A253" s="825"/>
      <c r="B253" s="825"/>
      <c r="C253" s="825"/>
      <c r="D253" s="825"/>
      <c r="E253" s="825"/>
      <c r="F253" s="825"/>
      <c r="G253" s="825"/>
    </row>
    <row r="254" spans="1:7" x14ac:dyDescent="0.25">
      <c r="A254" s="825"/>
      <c r="B254" s="825"/>
      <c r="C254" s="825"/>
      <c r="D254" s="825"/>
      <c r="E254" s="825"/>
      <c r="F254" s="825"/>
      <c r="G254" s="825"/>
    </row>
    <row r="255" spans="1:7" x14ac:dyDescent="0.25">
      <c r="A255" s="825"/>
      <c r="B255" s="825"/>
      <c r="C255" s="825"/>
      <c r="D255" s="825"/>
      <c r="E255" s="825"/>
      <c r="F255" s="825"/>
      <c r="G255" s="825"/>
    </row>
    <row r="256" spans="1:7" x14ac:dyDescent="0.25">
      <c r="A256" s="825"/>
      <c r="B256" s="825"/>
      <c r="C256" s="825"/>
      <c r="D256" s="825"/>
      <c r="E256" s="825"/>
      <c r="F256" s="825"/>
      <c r="G256" s="825"/>
    </row>
    <row r="257" spans="1:1" x14ac:dyDescent="0.25">
      <c r="A257" s="825"/>
    </row>
    <row r="258" spans="1:1" x14ac:dyDescent="0.25">
      <c r="A258" s="825"/>
    </row>
    <row r="259" spans="1:1" x14ac:dyDescent="0.25">
      <c r="A259" s="825"/>
    </row>
    <row r="260" spans="1:1" x14ac:dyDescent="0.25">
      <c r="A260" s="825"/>
    </row>
    <row r="261" spans="1:1" x14ac:dyDescent="0.25">
      <c r="A261" s="825"/>
    </row>
    <row r="262" spans="1:1" x14ac:dyDescent="0.25">
      <c r="A262" s="825"/>
    </row>
    <row r="263" spans="1:1" x14ac:dyDescent="0.25">
      <c r="A263" s="825"/>
    </row>
    <row r="264" spans="1:1" x14ac:dyDescent="0.25">
      <c r="A264" s="82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5"/>
  </sheetPr>
  <dimension ref="A3:G233"/>
  <sheetViews>
    <sheetView showGridLines="0" zoomScale="80" zoomScaleNormal="80" workbookViewId="0">
      <selection activeCell="B7" sqref="B7"/>
    </sheetView>
  </sheetViews>
  <sheetFormatPr baseColWidth="10" defaultColWidth="11.59765625" defaultRowHeight="15.65" x14ac:dyDescent="0.25"/>
  <cols>
    <col min="1" max="1" width="211.3984375" style="329" bestFit="1" customWidth="1"/>
    <col min="2" max="2" width="14" style="213" bestFit="1" customWidth="1"/>
    <col min="3" max="3" width="10" style="213" bestFit="1" customWidth="1"/>
    <col min="4" max="4" width="10.8984375" style="213" bestFit="1" customWidth="1"/>
    <col min="5" max="5" width="22.3984375" style="213" bestFit="1" customWidth="1"/>
    <col min="6" max="6" width="8" style="213" bestFit="1" customWidth="1"/>
    <col min="7" max="7" width="12" style="213" bestFit="1" customWidth="1"/>
  </cols>
  <sheetData>
    <row r="3" spans="1:7" ht="31.25" hidden="1" x14ac:dyDescent="0.25">
      <c r="A3" s="394" t="s">
        <v>343</v>
      </c>
      <c r="B3" s="212" t="s">
        <v>144</v>
      </c>
    </row>
    <row r="4" spans="1:7" ht="31.25" x14ac:dyDescent="0.25">
      <c r="A4" s="394" t="s">
        <v>344</v>
      </c>
      <c r="B4" s="213" t="s">
        <v>137</v>
      </c>
      <c r="C4" s="213" t="s">
        <v>132</v>
      </c>
      <c r="D4" s="213" t="s">
        <v>134</v>
      </c>
      <c r="E4" s="213" t="s">
        <v>120</v>
      </c>
      <c r="F4" s="213" t="s">
        <v>139</v>
      </c>
      <c r="G4" s="329" t="s">
        <v>141</v>
      </c>
    </row>
    <row r="5" spans="1:7" x14ac:dyDescent="0.25">
      <c r="A5" s="329" t="s">
        <v>135</v>
      </c>
      <c r="B5" s="228"/>
      <c r="C5" s="228"/>
      <c r="D5" s="228">
        <v>8</v>
      </c>
      <c r="E5" s="228"/>
      <c r="F5" s="228"/>
      <c r="G5" s="228">
        <v>8</v>
      </c>
    </row>
    <row r="6" spans="1:7" x14ac:dyDescent="0.25">
      <c r="A6" s="329" t="s">
        <v>201</v>
      </c>
      <c r="B6" s="228"/>
      <c r="C6" s="228"/>
      <c r="D6" s="228">
        <v>1</v>
      </c>
      <c r="E6" s="228"/>
      <c r="F6" s="228"/>
      <c r="G6" s="228">
        <v>1</v>
      </c>
    </row>
    <row r="7" spans="1:7" x14ac:dyDescent="0.25">
      <c r="A7" s="329" t="s">
        <v>280</v>
      </c>
      <c r="B7" s="228"/>
      <c r="C7" s="228"/>
      <c r="D7" s="228">
        <v>1</v>
      </c>
      <c r="E7" s="228"/>
      <c r="F7" s="228"/>
      <c r="G7" s="228">
        <v>1</v>
      </c>
    </row>
    <row r="8" spans="1:7" x14ac:dyDescent="0.25">
      <c r="A8" s="329" t="s">
        <v>205</v>
      </c>
      <c r="B8" s="228"/>
      <c r="C8" s="228"/>
      <c r="D8" s="228">
        <v>2</v>
      </c>
      <c r="E8" s="228"/>
      <c r="F8" s="228"/>
      <c r="G8" s="228">
        <v>2</v>
      </c>
    </row>
    <row r="9" spans="1:7" x14ac:dyDescent="0.25">
      <c r="A9" s="329" t="s">
        <v>291</v>
      </c>
      <c r="B9" s="228"/>
      <c r="C9" s="228"/>
      <c r="D9" s="228">
        <v>1</v>
      </c>
      <c r="E9" s="228"/>
      <c r="F9" s="228"/>
      <c r="G9" s="228">
        <v>1</v>
      </c>
    </row>
    <row r="10" spans="1:7" x14ac:dyDescent="0.25">
      <c r="A10" s="329" t="s">
        <v>287</v>
      </c>
      <c r="B10" s="228"/>
      <c r="C10" s="228"/>
      <c r="D10" s="228">
        <v>1</v>
      </c>
      <c r="E10" s="228"/>
      <c r="F10" s="228"/>
      <c r="G10" s="228">
        <v>1</v>
      </c>
    </row>
    <row r="11" spans="1:7" x14ac:dyDescent="0.25">
      <c r="A11" s="195" t="s">
        <v>195</v>
      </c>
      <c r="B11" s="228"/>
      <c r="C11" s="228"/>
      <c r="D11" s="228">
        <v>1</v>
      </c>
      <c r="E11" s="228"/>
      <c r="F11" s="228"/>
      <c r="G11" s="228">
        <v>1</v>
      </c>
    </row>
    <row r="12" spans="1:7" x14ac:dyDescent="0.25">
      <c r="A12" s="195" t="s">
        <v>264</v>
      </c>
      <c r="B12" s="228"/>
      <c r="C12" s="228"/>
      <c r="D12" s="228">
        <v>1</v>
      </c>
      <c r="E12" s="228"/>
      <c r="F12" s="228"/>
      <c r="G12" s="228">
        <v>1</v>
      </c>
    </row>
    <row r="13" spans="1:7" x14ac:dyDescent="0.25">
      <c r="A13" s="195" t="s">
        <v>204</v>
      </c>
      <c r="B13" s="228"/>
      <c r="C13" s="228"/>
      <c r="D13" s="228">
        <v>4</v>
      </c>
      <c r="E13" s="228"/>
      <c r="F13" s="228"/>
      <c r="G13" s="228">
        <v>4</v>
      </c>
    </row>
    <row r="14" spans="1:7" x14ac:dyDescent="0.25">
      <c r="A14" s="195" t="s">
        <v>333</v>
      </c>
      <c r="B14" s="228"/>
      <c r="C14" s="228"/>
      <c r="D14" s="228">
        <v>1</v>
      </c>
      <c r="E14" s="228"/>
      <c r="F14" s="228"/>
      <c r="G14" s="228">
        <v>1</v>
      </c>
    </row>
    <row r="15" spans="1:7" x14ac:dyDescent="0.25">
      <c r="A15" s="195" t="s">
        <v>289</v>
      </c>
      <c r="B15" s="228"/>
      <c r="C15" s="228"/>
      <c r="D15" s="228">
        <v>1</v>
      </c>
      <c r="E15" s="228"/>
      <c r="F15" s="228"/>
      <c r="G15" s="228">
        <v>1</v>
      </c>
    </row>
    <row r="16" spans="1:7" x14ac:dyDescent="0.25">
      <c r="A16" s="195" t="s">
        <v>270</v>
      </c>
      <c r="B16" s="228"/>
      <c r="C16" s="228"/>
      <c r="D16" s="228">
        <v>1</v>
      </c>
      <c r="E16" s="228"/>
      <c r="F16" s="228"/>
      <c r="G16" s="228">
        <v>1</v>
      </c>
    </row>
    <row r="17" spans="1:7" x14ac:dyDescent="0.25">
      <c r="A17" s="195" t="s">
        <v>268</v>
      </c>
      <c r="B17" s="228"/>
      <c r="C17" s="228"/>
      <c r="D17" s="228">
        <v>1</v>
      </c>
      <c r="E17" s="228"/>
      <c r="F17" s="228"/>
      <c r="G17" s="228">
        <v>1</v>
      </c>
    </row>
    <row r="18" spans="1:7" x14ac:dyDescent="0.25">
      <c r="A18" s="329" t="s">
        <v>138</v>
      </c>
      <c r="B18" s="228">
        <v>8</v>
      </c>
      <c r="C18" s="228"/>
      <c r="D18" s="228"/>
      <c r="E18" s="228"/>
      <c r="F18" s="228"/>
      <c r="G18" s="228">
        <v>8</v>
      </c>
    </row>
    <row r="19" spans="1:7" x14ac:dyDescent="0.25">
      <c r="A19" s="329" t="s">
        <v>201</v>
      </c>
      <c r="B19" s="228">
        <v>1</v>
      </c>
      <c r="C19" s="228"/>
      <c r="D19" s="228"/>
      <c r="E19" s="228"/>
      <c r="F19" s="228"/>
      <c r="G19" s="228">
        <v>1</v>
      </c>
    </row>
    <row r="20" spans="1:7" x14ac:dyDescent="0.25">
      <c r="A20" s="329" t="s">
        <v>280</v>
      </c>
      <c r="B20" s="228">
        <v>1</v>
      </c>
      <c r="C20" s="228"/>
      <c r="D20" s="228"/>
      <c r="E20" s="228"/>
      <c r="F20" s="228"/>
      <c r="G20" s="228">
        <v>1</v>
      </c>
    </row>
    <row r="21" spans="1:7" x14ac:dyDescent="0.25">
      <c r="A21" s="329" t="s">
        <v>205</v>
      </c>
      <c r="B21" s="228">
        <v>2</v>
      </c>
      <c r="C21" s="228"/>
      <c r="D21" s="228"/>
      <c r="E21" s="228"/>
      <c r="F21" s="228"/>
      <c r="G21" s="228">
        <v>2</v>
      </c>
    </row>
    <row r="22" spans="1:7" x14ac:dyDescent="0.25">
      <c r="A22" s="329" t="s">
        <v>291</v>
      </c>
      <c r="B22" s="228">
        <v>1</v>
      </c>
      <c r="C22" s="228"/>
      <c r="D22" s="228"/>
      <c r="E22" s="228"/>
      <c r="F22" s="228"/>
      <c r="G22" s="228">
        <v>1</v>
      </c>
    </row>
    <row r="23" spans="1:7" x14ac:dyDescent="0.25">
      <c r="A23" s="329" t="s">
        <v>287</v>
      </c>
      <c r="B23" s="228">
        <v>1</v>
      </c>
      <c r="C23" s="228"/>
      <c r="D23" s="228"/>
      <c r="E23" s="228"/>
      <c r="F23" s="228"/>
      <c r="G23" s="228">
        <v>1</v>
      </c>
    </row>
    <row r="24" spans="1:7" x14ac:dyDescent="0.25">
      <c r="A24" s="329" t="s">
        <v>202</v>
      </c>
      <c r="B24" s="228">
        <v>1</v>
      </c>
      <c r="C24" s="228"/>
      <c r="D24" s="228"/>
      <c r="E24" s="228"/>
      <c r="F24" s="228"/>
      <c r="G24" s="228">
        <v>1</v>
      </c>
    </row>
    <row r="25" spans="1:7" x14ac:dyDescent="0.25">
      <c r="A25" s="329" t="s">
        <v>311</v>
      </c>
      <c r="B25" s="228">
        <v>1</v>
      </c>
      <c r="C25" s="228"/>
      <c r="D25" s="228"/>
      <c r="E25" s="228"/>
      <c r="F25" s="228"/>
      <c r="G25" s="228">
        <v>1</v>
      </c>
    </row>
    <row r="26" spans="1:7" x14ac:dyDescent="0.25">
      <c r="A26" s="195" t="s">
        <v>195</v>
      </c>
      <c r="B26" s="228">
        <v>1</v>
      </c>
      <c r="C26" s="228"/>
      <c r="D26" s="228"/>
      <c r="E26" s="228"/>
      <c r="F26" s="228"/>
      <c r="G26" s="228">
        <v>1</v>
      </c>
    </row>
    <row r="27" spans="1:7" x14ac:dyDescent="0.25">
      <c r="A27" s="195" t="s">
        <v>264</v>
      </c>
      <c r="B27" s="228">
        <v>1</v>
      </c>
      <c r="C27" s="228"/>
      <c r="D27" s="228"/>
      <c r="E27" s="228"/>
      <c r="F27" s="228"/>
      <c r="G27" s="228">
        <v>1</v>
      </c>
    </row>
    <row r="28" spans="1:7" x14ac:dyDescent="0.25">
      <c r="A28" s="195" t="s">
        <v>204</v>
      </c>
      <c r="B28" s="228">
        <v>3</v>
      </c>
      <c r="C28" s="228"/>
      <c r="D28" s="228"/>
      <c r="E28" s="228"/>
      <c r="F28" s="228"/>
      <c r="G28" s="228">
        <v>3</v>
      </c>
    </row>
    <row r="29" spans="1:7" x14ac:dyDescent="0.25">
      <c r="A29" s="195" t="s">
        <v>289</v>
      </c>
      <c r="B29" s="228">
        <v>1</v>
      </c>
      <c r="C29" s="228"/>
      <c r="D29" s="228"/>
      <c r="E29" s="228"/>
      <c r="F29" s="228"/>
      <c r="G29" s="228">
        <v>1</v>
      </c>
    </row>
    <row r="30" spans="1:7" x14ac:dyDescent="0.25">
      <c r="A30" s="195" t="s">
        <v>270</v>
      </c>
      <c r="B30" s="228">
        <v>1</v>
      </c>
      <c r="C30" s="228"/>
      <c r="D30" s="228"/>
      <c r="E30" s="228"/>
      <c r="F30" s="228"/>
      <c r="G30" s="228">
        <v>1</v>
      </c>
    </row>
    <row r="31" spans="1:7" x14ac:dyDescent="0.25">
      <c r="A31" s="195" t="s">
        <v>268</v>
      </c>
      <c r="B31" s="228">
        <v>1</v>
      </c>
      <c r="C31" s="228"/>
      <c r="D31" s="228"/>
      <c r="E31" s="228"/>
      <c r="F31" s="228"/>
      <c r="G31" s="228">
        <v>1</v>
      </c>
    </row>
    <row r="32" spans="1:7" x14ac:dyDescent="0.25">
      <c r="A32" s="329" t="s">
        <v>133</v>
      </c>
      <c r="B32" s="228"/>
      <c r="C32" s="228">
        <v>7</v>
      </c>
      <c r="D32" s="228"/>
      <c r="E32" s="228"/>
      <c r="F32" s="228"/>
      <c r="G32" s="228">
        <v>7</v>
      </c>
    </row>
    <row r="33" spans="1:7" x14ac:dyDescent="0.25">
      <c r="A33" s="329" t="s">
        <v>201</v>
      </c>
      <c r="B33" s="228"/>
      <c r="C33" s="228">
        <v>1</v>
      </c>
      <c r="D33" s="228"/>
      <c r="E33" s="228"/>
      <c r="F33" s="228"/>
      <c r="G33" s="228">
        <v>1</v>
      </c>
    </row>
    <row r="34" spans="1:7" x14ac:dyDescent="0.25">
      <c r="A34" s="195" t="s">
        <v>313</v>
      </c>
      <c r="B34" s="228"/>
      <c r="C34" s="228">
        <v>1</v>
      </c>
      <c r="D34" s="228"/>
      <c r="E34" s="228"/>
      <c r="F34" s="228"/>
      <c r="G34" s="228">
        <v>1</v>
      </c>
    </row>
    <row r="35" spans="1:7" x14ac:dyDescent="0.25">
      <c r="A35" s="329" t="s">
        <v>205</v>
      </c>
      <c r="B35" s="228"/>
      <c r="C35" s="228">
        <v>2</v>
      </c>
      <c r="D35" s="228"/>
      <c r="E35" s="228"/>
      <c r="F35" s="228"/>
      <c r="G35" s="228">
        <v>2</v>
      </c>
    </row>
    <row r="36" spans="1:7" x14ac:dyDescent="0.25">
      <c r="A36" s="329" t="s">
        <v>306</v>
      </c>
      <c r="B36" s="228"/>
      <c r="C36" s="228">
        <v>1</v>
      </c>
      <c r="D36" s="228"/>
      <c r="E36" s="228"/>
      <c r="F36" s="228"/>
      <c r="G36" s="228">
        <v>1</v>
      </c>
    </row>
    <row r="37" spans="1:7" x14ac:dyDescent="0.25">
      <c r="A37" s="329" t="s">
        <v>337</v>
      </c>
      <c r="B37" s="228"/>
      <c r="C37" s="228">
        <v>1</v>
      </c>
      <c r="D37" s="228"/>
      <c r="E37" s="228"/>
      <c r="F37" s="228"/>
      <c r="G37" s="228">
        <v>1</v>
      </c>
    </row>
    <row r="38" spans="1:7" x14ac:dyDescent="0.25">
      <c r="A38" s="195" t="s">
        <v>195</v>
      </c>
      <c r="B38" s="228"/>
      <c r="C38" s="228">
        <v>1</v>
      </c>
      <c r="D38" s="228"/>
      <c r="E38" s="228"/>
      <c r="F38" s="228"/>
      <c r="G38" s="228">
        <v>1</v>
      </c>
    </row>
    <row r="39" spans="1:7" x14ac:dyDescent="0.25">
      <c r="A39" s="195" t="s">
        <v>264</v>
      </c>
      <c r="B39" s="228"/>
      <c r="C39" s="228">
        <v>1</v>
      </c>
      <c r="D39" s="228"/>
      <c r="E39" s="228"/>
      <c r="F39" s="228"/>
      <c r="G39" s="228">
        <v>1</v>
      </c>
    </row>
    <row r="40" spans="1:7" x14ac:dyDescent="0.25">
      <c r="A40" s="195" t="s">
        <v>204</v>
      </c>
      <c r="B40" s="228"/>
      <c r="C40" s="228">
        <v>3</v>
      </c>
      <c r="D40" s="228"/>
      <c r="E40" s="228"/>
      <c r="F40" s="228"/>
      <c r="G40" s="228">
        <v>3</v>
      </c>
    </row>
    <row r="41" spans="1:7" x14ac:dyDescent="0.25">
      <c r="A41" s="195" t="s">
        <v>315</v>
      </c>
      <c r="B41" s="228"/>
      <c r="C41" s="228">
        <v>1</v>
      </c>
      <c r="D41" s="228"/>
      <c r="E41" s="228"/>
      <c r="F41" s="228"/>
      <c r="G41" s="228">
        <v>1</v>
      </c>
    </row>
    <row r="42" spans="1:7" x14ac:dyDescent="0.25">
      <c r="A42" s="195" t="s">
        <v>270</v>
      </c>
      <c r="B42" s="228"/>
      <c r="C42" s="228">
        <v>1</v>
      </c>
      <c r="D42" s="228"/>
      <c r="E42" s="228"/>
      <c r="F42" s="228"/>
      <c r="G42" s="228">
        <v>1</v>
      </c>
    </row>
    <row r="43" spans="1:7" x14ac:dyDescent="0.25">
      <c r="A43" s="195" t="s">
        <v>268</v>
      </c>
      <c r="B43" s="228"/>
      <c r="C43" s="228">
        <v>1</v>
      </c>
      <c r="D43" s="228"/>
      <c r="E43" s="228"/>
      <c r="F43" s="228"/>
      <c r="G43" s="228">
        <v>1</v>
      </c>
    </row>
    <row r="44" spans="1:7" x14ac:dyDescent="0.25">
      <c r="A44" s="329" t="s">
        <v>121</v>
      </c>
      <c r="B44" s="228">
        <v>3</v>
      </c>
      <c r="C44" s="228"/>
      <c r="D44" s="228"/>
      <c r="E44" s="228">
        <v>3</v>
      </c>
      <c r="F44" s="228"/>
      <c r="G44" s="228">
        <v>6</v>
      </c>
    </row>
    <row r="45" spans="1:7" x14ac:dyDescent="0.25">
      <c r="A45" s="329" t="s">
        <v>202</v>
      </c>
      <c r="B45" s="228">
        <v>2</v>
      </c>
      <c r="C45" s="228"/>
      <c r="D45" s="228"/>
      <c r="E45" s="228">
        <v>2</v>
      </c>
      <c r="F45" s="228"/>
      <c r="G45" s="228">
        <v>4</v>
      </c>
    </row>
    <row r="46" spans="1:7" x14ac:dyDescent="0.25">
      <c r="A46" s="329" t="s">
        <v>288</v>
      </c>
      <c r="B46" s="228">
        <v>1</v>
      </c>
      <c r="C46" s="228"/>
      <c r="D46" s="228"/>
      <c r="E46" s="228">
        <v>1</v>
      </c>
      <c r="F46" s="228"/>
      <c r="G46" s="228">
        <v>2</v>
      </c>
    </row>
    <row r="47" spans="1:7" x14ac:dyDescent="0.25">
      <c r="A47" s="329" t="s">
        <v>281</v>
      </c>
      <c r="B47" s="228">
        <v>1</v>
      </c>
      <c r="C47" s="228"/>
      <c r="D47" s="228"/>
      <c r="E47" s="228">
        <v>1</v>
      </c>
      <c r="F47" s="228"/>
      <c r="G47" s="228">
        <v>2</v>
      </c>
    </row>
    <row r="48" spans="1:7" x14ac:dyDescent="0.25">
      <c r="A48" s="195" t="s">
        <v>195</v>
      </c>
      <c r="B48" s="228">
        <v>1</v>
      </c>
      <c r="C48" s="228"/>
      <c r="D48" s="228"/>
      <c r="E48" s="228">
        <v>1</v>
      </c>
      <c r="F48" s="228"/>
      <c r="G48" s="228">
        <v>2</v>
      </c>
    </row>
    <row r="49" spans="1:7" x14ac:dyDescent="0.25">
      <c r="A49" s="195" t="s">
        <v>284</v>
      </c>
      <c r="B49" s="228">
        <v>1</v>
      </c>
      <c r="C49" s="228"/>
      <c r="D49" s="228"/>
      <c r="E49" s="228">
        <v>1</v>
      </c>
      <c r="F49" s="228"/>
      <c r="G49" s="228">
        <v>2</v>
      </c>
    </row>
    <row r="50" spans="1:7" x14ac:dyDescent="0.25">
      <c r="A50" s="329" t="s">
        <v>122</v>
      </c>
      <c r="B50" s="228">
        <v>4</v>
      </c>
      <c r="C50" s="228">
        <v>4</v>
      </c>
      <c r="D50" s="228">
        <v>4</v>
      </c>
      <c r="E50" s="228">
        <v>4</v>
      </c>
      <c r="F50" s="228"/>
      <c r="G50" s="228">
        <v>16</v>
      </c>
    </row>
    <row r="51" spans="1:7" x14ac:dyDescent="0.25">
      <c r="A51" s="329" t="s">
        <v>205</v>
      </c>
      <c r="B51" s="228">
        <v>2</v>
      </c>
      <c r="C51" s="228">
        <v>2</v>
      </c>
      <c r="D51" s="228">
        <v>2</v>
      </c>
      <c r="E51" s="228">
        <v>2</v>
      </c>
      <c r="F51" s="228"/>
      <c r="G51" s="228">
        <v>8</v>
      </c>
    </row>
    <row r="52" spans="1:7" x14ac:dyDescent="0.25">
      <c r="A52" s="329" t="s">
        <v>274</v>
      </c>
      <c r="B52" s="228">
        <v>1</v>
      </c>
      <c r="C52" s="228">
        <v>1</v>
      </c>
      <c r="D52" s="228">
        <v>1</v>
      </c>
      <c r="E52" s="228">
        <v>1</v>
      </c>
      <c r="F52" s="228"/>
      <c r="G52" s="228">
        <v>4</v>
      </c>
    </row>
    <row r="53" spans="1:7" x14ac:dyDescent="0.25">
      <c r="A53" s="825" t="s">
        <v>177</v>
      </c>
      <c r="B53" s="228">
        <v>1</v>
      </c>
      <c r="C53" s="228">
        <v>1</v>
      </c>
      <c r="D53" s="228">
        <v>1</v>
      </c>
      <c r="E53" s="228">
        <v>1</v>
      </c>
      <c r="F53" s="228"/>
      <c r="G53" s="228">
        <v>4</v>
      </c>
    </row>
    <row r="54" spans="1:7" x14ac:dyDescent="0.25">
      <c r="A54" s="195" t="s">
        <v>195</v>
      </c>
      <c r="B54" s="228">
        <v>1</v>
      </c>
      <c r="C54" s="228">
        <v>1</v>
      </c>
      <c r="D54" s="228">
        <v>1</v>
      </c>
      <c r="E54" s="228">
        <v>1</v>
      </c>
      <c r="F54" s="228"/>
      <c r="G54" s="228">
        <v>4</v>
      </c>
    </row>
    <row r="55" spans="1:7" x14ac:dyDescent="0.25">
      <c r="A55" s="195" t="s">
        <v>264</v>
      </c>
      <c r="B55" s="228">
        <v>1</v>
      </c>
      <c r="C55" s="228"/>
      <c r="D55" s="228">
        <v>1</v>
      </c>
      <c r="E55" s="228">
        <v>1</v>
      </c>
      <c r="F55" s="228"/>
      <c r="G55" s="228">
        <v>3</v>
      </c>
    </row>
    <row r="56" spans="1:7" x14ac:dyDescent="0.25">
      <c r="A56" s="195" t="s">
        <v>329</v>
      </c>
      <c r="B56" s="228"/>
      <c r="C56" s="228">
        <v>1</v>
      </c>
      <c r="D56" s="228"/>
      <c r="E56" s="228"/>
      <c r="F56" s="228"/>
      <c r="G56" s="228">
        <v>1</v>
      </c>
    </row>
    <row r="57" spans="1:7" x14ac:dyDescent="0.25">
      <c r="A57" s="195" t="s">
        <v>204</v>
      </c>
      <c r="B57" s="228">
        <v>1</v>
      </c>
      <c r="C57" s="228">
        <v>1</v>
      </c>
      <c r="D57" s="228">
        <v>1</v>
      </c>
      <c r="E57" s="228">
        <v>1</v>
      </c>
      <c r="F57" s="228"/>
      <c r="G57" s="228">
        <v>4</v>
      </c>
    </row>
    <row r="58" spans="1:7" x14ac:dyDescent="0.25">
      <c r="A58" s="195" t="s">
        <v>271</v>
      </c>
      <c r="B58" s="228">
        <v>1</v>
      </c>
      <c r="C58" s="228">
        <v>1</v>
      </c>
      <c r="D58" s="228">
        <v>1</v>
      </c>
      <c r="E58" s="228">
        <v>1</v>
      </c>
      <c r="F58" s="228"/>
      <c r="G58" s="228">
        <v>4</v>
      </c>
    </row>
    <row r="59" spans="1:7" x14ac:dyDescent="0.25">
      <c r="A59" s="329" t="s">
        <v>136</v>
      </c>
      <c r="B59" s="228">
        <v>4</v>
      </c>
      <c r="C59" s="228"/>
      <c r="D59" s="228">
        <v>4</v>
      </c>
      <c r="E59" s="228"/>
      <c r="F59" s="228"/>
      <c r="G59" s="228">
        <v>8</v>
      </c>
    </row>
    <row r="60" spans="1:7" x14ac:dyDescent="0.25">
      <c r="A60" s="329" t="s">
        <v>197</v>
      </c>
      <c r="B60" s="228">
        <v>2</v>
      </c>
      <c r="C60" s="228"/>
      <c r="D60" s="228">
        <v>2</v>
      </c>
      <c r="E60" s="228"/>
      <c r="F60" s="228"/>
      <c r="G60" s="228">
        <v>4</v>
      </c>
    </row>
    <row r="61" spans="1:7" x14ac:dyDescent="0.25">
      <c r="A61" s="329" t="s">
        <v>286</v>
      </c>
      <c r="B61" s="228">
        <v>1</v>
      </c>
      <c r="C61" s="228"/>
      <c r="D61" s="228">
        <v>1</v>
      </c>
      <c r="E61" s="228"/>
      <c r="F61" s="228"/>
      <c r="G61" s="228">
        <v>2</v>
      </c>
    </row>
    <row r="62" spans="1:7" x14ac:dyDescent="0.25">
      <c r="A62" s="329" t="s">
        <v>283</v>
      </c>
      <c r="B62" s="228">
        <v>1</v>
      </c>
      <c r="C62" s="228"/>
      <c r="D62" s="228">
        <v>1</v>
      </c>
      <c r="E62" s="228"/>
      <c r="F62" s="228"/>
      <c r="G62" s="228">
        <v>2</v>
      </c>
    </row>
    <row r="63" spans="1:7" x14ac:dyDescent="0.25">
      <c r="A63" s="825" t="s">
        <v>202</v>
      </c>
      <c r="B63" s="228">
        <v>1</v>
      </c>
      <c r="C63" s="228"/>
      <c r="D63" s="228">
        <v>1</v>
      </c>
      <c r="E63" s="228"/>
      <c r="F63" s="228"/>
      <c r="G63" s="228">
        <v>2</v>
      </c>
    </row>
    <row r="64" spans="1:7" x14ac:dyDescent="0.25">
      <c r="A64" s="825" t="s">
        <v>170</v>
      </c>
      <c r="B64" s="228">
        <v>1</v>
      </c>
      <c r="C64" s="228"/>
      <c r="D64" s="228">
        <v>1</v>
      </c>
      <c r="E64" s="228"/>
      <c r="F64" s="228"/>
      <c r="G64" s="228">
        <v>2</v>
      </c>
    </row>
    <row r="65" spans="1:7" x14ac:dyDescent="0.25">
      <c r="A65" s="195" t="s">
        <v>195</v>
      </c>
      <c r="B65" s="228">
        <v>1</v>
      </c>
      <c r="C65" s="228"/>
      <c r="D65" s="228">
        <v>1</v>
      </c>
      <c r="E65" s="228"/>
      <c r="F65" s="228"/>
      <c r="G65" s="228">
        <v>2</v>
      </c>
    </row>
    <row r="66" spans="1:7" x14ac:dyDescent="0.25">
      <c r="A66" s="195" t="s">
        <v>282</v>
      </c>
      <c r="B66" s="228">
        <v>1</v>
      </c>
      <c r="C66" s="228"/>
      <c r="D66" s="228">
        <v>1</v>
      </c>
      <c r="E66" s="228"/>
      <c r="F66" s="228"/>
      <c r="G66" s="228">
        <v>2</v>
      </c>
    </row>
    <row r="67" spans="1:7" x14ac:dyDescent="0.25">
      <c r="A67" s="329" t="s">
        <v>124</v>
      </c>
      <c r="B67" s="228"/>
      <c r="C67" s="228"/>
      <c r="D67" s="228"/>
      <c r="E67" s="228">
        <v>5</v>
      </c>
      <c r="F67" s="228"/>
      <c r="G67" s="228">
        <v>5</v>
      </c>
    </row>
    <row r="68" spans="1:7" x14ac:dyDescent="0.25">
      <c r="A68" s="329" t="s">
        <v>201</v>
      </c>
      <c r="B68" s="228"/>
      <c r="C68" s="228"/>
      <c r="D68" s="228"/>
      <c r="E68" s="228">
        <v>1</v>
      </c>
      <c r="F68" s="228"/>
      <c r="G68" s="228">
        <v>1</v>
      </c>
    </row>
    <row r="69" spans="1:7" x14ac:dyDescent="0.25">
      <c r="A69" s="195" t="s">
        <v>285</v>
      </c>
      <c r="B69" s="228"/>
      <c r="C69" s="228"/>
      <c r="D69" s="228"/>
      <c r="E69" s="228">
        <v>1</v>
      </c>
      <c r="F69" s="228"/>
      <c r="G69" s="228">
        <v>1</v>
      </c>
    </row>
    <row r="70" spans="1:7" x14ac:dyDescent="0.25">
      <c r="A70" s="329" t="s">
        <v>205</v>
      </c>
      <c r="B70" s="228"/>
      <c r="C70" s="228"/>
      <c r="D70" s="228"/>
      <c r="E70" s="228">
        <v>2</v>
      </c>
      <c r="F70" s="228"/>
      <c r="G70" s="228">
        <v>2</v>
      </c>
    </row>
    <row r="71" spans="1:7" x14ac:dyDescent="0.25">
      <c r="A71" s="329" t="s">
        <v>292</v>
      </c>
      <c r="B71" s="228"/>
      <c r="C71" s="228"/>
      <c r="D71" s="228"/>
      <c r="E71" s="228">
        <v>1</v>
      </c>
      <c r="F71" s="228"/>
      <c r="G71" s="228">
        <v>1</v>
      </c>
    </row>
    <row r="72" spans="1:7" x14ac:dyDescent="0.25">
      <c r="A72" s="329" t="s">
        <v>308</v>
      </c>
      <c r="B72" s="228"/>
      <c r="C72" s="228"/>
      <c r="D72" s="228"/>
      <c r="E72" s="228">
        <v>1</v>
      </c>
      <c r="F72" s="228"/>
      <c r="G72" s="228">
        <v>1</v>
      </c>
    </row>
    <row r="73" spans="1:7" x14ac:dyDescent="0.25">
      <c r="A73" s="195" t="s">
        <v>204</v>
      </c>
      <c r="B73" s="228"/>
      <c r="C73" s="228"/>
      <c r="D73" s="228"/>
      <c r="E73" s="228">
        <v>2</v>
      </c>
      <c r="F73" s="228"/>
      <c r="G73" s="228">
        <v>2</v>
      </c>
    </row>
    <row r="74" spans="1:7" x14ac:dyDescent="0.25">
      <c r="A74" s="195" t="s">
        <v>270</v>
      </c>
      <c r="B74" s="228"/>
      <c r="C74" s="228"/>
      <c r="D74" s="228"/>
      <c r="E74" s="228">
        <v>1</v>
      </c>
      <c r="F74" s="228"/>
      <c r="G74" s="228">
        <v>1</v>
      </c>
    </row>
    <row r="75" spans="1:7" x14ac:dyDescent="0.25">
      <c r="A75" s="195" t="s">
        <v>268</v>
      </c>
      <c r="B75" s="228"/>
      <c r="C75" s="228"/>
      <c r="D75" s="228"/>
      <c r="E75" s="228">
        <v>1</v>
      </c>
      <c r="F75" s="228"/>
      <c r="G75" s="228">
        <v>1</v>
      </c>
    </row>
    <row r="76" spans="1:7" x14ac:dyDescent="0.25">
      <c r="A76" s="329" t="s">
        <v>125</v>
      </c>
      <c r="B76" s="228">
        <v>8</v>
      </c>
      <c r="C76" s="228">
        <v>8</v>
      </c>
      <c r="D76" s="228"/>
      <c r="E76" s="228">
        <v>8</v>
      </c>
      <c r="F76" s="228"/>
      <c r="G76" s="228">
        <v>24</v>
      </c>
    </row>
    <row r="77" spans="1:7" x14ac:dyDescent="0.25">
      <c r="A77" s="329" t="s">
        <v>198</v>
      </c>
      <c r="B77" s="228">
        <v>1</v>
      </c>
      <c r="C77" s="228">
        <v>1</v>
      </c>
      <c r="D77" s="228"/>
      <c r="E77" s="228">
        <v>1</v>
      </c>
      <c r="F77" s="228"/>
      <c r="G77" s="228">
        <v>3</v>
      </c>
    </row>
    <row r="78" spans="1:7" x14ac:dyDescent="0.25">
      <c r="A78" s="329" t="s">
        <v>165</v>
      </c>
      <c r="B78" s="228">
        <v>1</v>
      </c>
      <c r="C78" s="228">
        <v>1</v>
      </c>
      <c r="D78" s="228"/>
      <c r="E78" s="228">
        <v>1</v>
      </c>
      <c r="F78" s="228"/>
      <c r="G78" s="228">
        <v>3</v>
      </c>
    </row>
    <row r="79" spans="1:7" x14ac:dyDescent="0.25">
      <c r="A79" s="329" t="s">
        <v>196</v>
      </c>
      <c r="B79" s="228">
        <v>3</v>
      </c>
      <c r="C79" s="228">
        <v>3</v>
      </c>
      <c r="D79" s="228"/>
      <c r="E79" s="228">
        <v>3</v>
      </c>
      <c r="F79" s="228"/>
      <c r="G79" s="228">
        <v>9</v>
      </c>
    </row>
    <row r="80" spans="1:7" x14ac:dyDescent="0.25">
      <c r="A80" s="329" t="s">
        <v>263</v>
      </c>
      <c r="B80" s="228">
        <v>1</v>
      </c>
      <c r="C80" s="228">
        <v>1</v>
      </c>
      <c r="D80" s="228"/>
      <c r="E80" s="228">
        <v>1</v>
      </c>
      <c r="F80" s="228"/>
      <c r="G80" s="228">
        <v>3</v>
      </c>
    </row>
    <row r="81" spans="1:7" x14ac:dyDescent="0.25">
      <c r="A81" s="329" t="s">
        <v>166</v>
      </c>
      <c r="B81" s="228">
        <v>1</v>
      </c>
      <c r="C81" s="228">
        <v>1</v>
      </c>
      <c r="D81" s="228"/>
      <c r="E81" s="228">
        <v>1</v>
      </c>
      <c r="F81" s="228"/>
      <c r="G81" s="228">
        <v>3</v>
      </c>
    </row>
    <row r="82" spans="1:7" x14ac:dyDescent="0.25">
      <c r="A82" s="329" t="s">
        <v>169</v>
      </c>
      <c r="B82" s="228">
        <v>1</v>
      </c>
      <c r="C82" s="228">
        <v>1</v>
      </c>
      <c r="D82" s="228"/>
      <c r="E82" s="228">
        <v>1</v>
      </c>
      <c r="F82" s="228"/>
      <c r="G82" s="228">
        <v>3</v>
      </c>
    </row>
    <row r="83" spans="1:7" x14ac:dyDescent="0.25">
      <c r="A83" s="329" t="s">
        <v>194</v>
      </c>
      <c r="B83" s="228">
        <v>1</v>
      </c>
      <c r="C83" s="228">
        <v>1</v>
      </c>
      <c r="D83" s="228"/>
      <c r="E83" s="228">
        <v>1</v>
      </c>
      <c r="F83" s="228"/>
      <c r="G83" s="228">
        <v>3</v>
      </c>
    </row>
    <row r="84" spans="1:7" x14ac:dyDescent="0.25">
      <c r="A84" s="329" t="s">
        <v>279</v>
      </c>
      <c r="B84" s="228">
        <v>1</v>
      </c>
      <c r="C84" s="228">
        <v>1</v>
      </c>
      <c r="D84" s="228"/>
      <c r="E84" s="228">
        <v>1</v>
      </c>
      <c r="F84" s="228"/>
      <c r="G84" s="228">
        <v>3</v>
      </c>
    </row>
    <row r="85" spans="1:7" x14ac:dyDescent="0.25">
      <c r="A85" s="825" t="s">
        <v>202</v>
      </c>
      <c r="B85" s="228">
        <v>1</v>
      </c>
      <c r="C85" s="228">
        <v>1</v>
      </c>
      <c r="D85" s="228"/>
      <c r="E85" s="228">
        <v>1</v>
      </c>
      <c r="F85" s="228"/>
      <c r="G85" s="228">
        <v>3</v>
      </c>
    </row>
    <row r="86" spans="1:7" x14ac:dyDescent="0.25">
      <c r="A86" s="825" t="s">
        <v>170</v>
      </c>
      <c r="B86" s="228">
        <v>1</v>
      </c>
      <c r="C86" s="228">
        <v>1</v>
      </c>
      <c r="D86" s="228"/>
      <c r="E86" s="228">
        <v>1</v>
      </c>
      <c r="F86" s="228"/>
      <c r="G86" s="228">
        <v>3</v>
      </c>
    </row>
    <row r="87" spans="1:7" x14ac:dyDescent="0.25">
      <c r="A87" s="195" t="s">
        <v>195</v>
      </c>
      <c r="B87" s="228">
        <v>1</v>
      </c>
      <c r="C87" s="228">
        <v>1</v>
      </c>
      <c r="D87" s="228"/>
      <c r="E87" s="228">
        <v>1</v>
      </c>
      <c r="F87" s="228"/>
      <c r="G87" s="228">
        <v>3</v>
      </c>
    </row>
    <row r="88" spans="1:7" x14ac:dyDescent="0.25">
      <c r="A88" s="195" t="s">
        <v>163</v>
      </c>
      <c r="B88" s="228">
        <v>1</v>
      </c>
      <c r="C88" s="228">
        <v>1</v>
      </c>
      <c r="D88" s="228"/>
      <c r="E88" s="228">
        <v>1</v>
      </c>
      <c r="F88" s="228"/>
      <c r="G88" s="228">
        <v>3</v>
      </c>
    </row>
    <row r="89" spans="1:7" x14ac:dyDescent="0.25">
      <c r="A89" s="195" t="s">
        <v>204</v>
      </c>
      <c r="B89" s="228">
        <v>1</v>
      </c>
      <c r="C89" s="228">
        <v>1</v>
      </c>
      <c r="D89" s="228"/>
      <c r="E89" s="228">
        <v>1</v>
      </c>
      <c r="F89" s="228"/>
      <c r="G89" s="228">
        <v>3</v>
      </c>
    </row>
    <row r="90" spans="1:7" x14ac:dyDescent="0.25">
      <c r="A90" s="195" t="s">
        <v>168</v>
      </c>
      <c r="B90" s="228">
        <v>1</v>
      </c>
      <c r="C90" s="228">
        <v>1</v>
      </c>
      <c r="D90" s="228"/>
      <c r="E90" s="228">
        <v>1</v>
      </c>
      <c r="F90" s="228"/>
      <c r="G90" s="228">
        <v>3</v>
      </c>
    </row>
    <row r="91" spans="1:7" x14ac:dyDescent="0.25">
      <c r="A91" s="329" t="s">
        <v>126</v>
      </c>
      <c r="B91" s="228">
        <v>8</v>
      </c>
      <c r="C91" s="228">
        <v>8</v>
      </c>
      <c r="D91" s="228">
        <v>8</v>
      </c>
      <c r="E91" s="228">
        <v>8</v>
      </c>
      <c r="F91" s="228"/>
      <c r="G91" s="228">
        <v>32</v>
      </c>
    </row>
    <row r="92" spans="1:7" x14ac:dyDescent="0.25">
      <c r="A92" s="329" t="s">
        <v>198</v>
      </c>
      <c r="B92" s="228">
        <v>1</v>
      </c>
      <c r="C92" s="228">
        <v>1</v>
      </c>
      <c r="D92" s="228">
        <v>1</v>
      </c>
      <c r="E92" s="228">
        <v>1</v>
      </c>
      <c r="F92" s="228"/>
      <c r="G92" s="228">
        <v>4</v>
      </c>
    </row>
    <row r="93" spans="1:7" x14ac:dyDescent="0.25">
      <c r="A93" s="329" t="s">
        <v>165</v>
      </c>
      <c r="B93" s="228">
        <v>1</v>
      </c>
      <c r="C93" s="228">
        <v>1</v>
      </c>
      <c r="D93" s="228">
        <v>1</v>
      </c>
      <c r="E93" s="228">
        <v>1</v>
      </c>
      <c r="F93" s="228"/>
      <c r="G93" s="228">
        <v>4</v>
      </c>
    </row>
    <row r="94" spans="1:7" x14ac:dyDescent="0.25">
      <c r="A94" s="329" t="s">
        <v>196</v>
      </c>
      <c r="B94" s="228">
        <v>2</v>
      </c>
      <c r="C94" s="228">
        <v>2</v>
      </c>
      <c r="D94" s="228">
        <v>2</v>
      </c>
      <c r="E94" s="228">
        <v>2</v>
      </c>
      <c r="F94" s="228"/>
      <c r="G94" s="228">
        <v>8</v>
      </c>
    </row>
    <row r="95" spans="1:7" x14ac:dyDescent="0.25">
      <c r="A95" s="329" t="s">
        <v>263</v>
      </c>
      <c r="B95" s="228">
        <v>1</v>
      </c>
      <c r="C95" s="228">
        <v>1</v>
      </c>
      <c r="D95" s="228">
        <v>1</v>
      </c>
      <c r="E95" s="228">
        <v>1</v>
      </c>
      <c r="F95" s="228"/>
      <c r="G95" s="228">
        <v>4</v>
      </c>
    </row>
    <row r="96" spans="1:7" x14ac:dyDescent="0.25">
      <c r="A96" s="329" t="s">
        <v>275</v>
      </c>
      <c r="B96" s="228">
        <v>1</v>
      </c>
      <c r="C96" s="228">
        <v>1</v>
      </c>
      <c r="D96" s="228">
        <v>1</v>
      </c>
      <c r="E96" s="228">
        <v>1</v>
      </c>
      <c r="F96" s="228"/>
      <c r="G96" s="228">
        <v>4</v>
      </c>
    </row>
    <row r="97" spans="1:7" x14ac:dyDescent="0.25">
      <c r="A97" s="329" t="s">
        <v>194</v>
      </c>
      <c r="B97" s="228">
        <v>2</v>
      </c>
      <c r="C97" s="228">
        <v>2</v>
      </c>
      <c r="D97" s="228">
        <v>2</v>
      </c>
      <c r="E97" s="228">
        <v>2</v>
      </c>
      <c r="F97" s="228"/>
      <c r="G97" s="228">
        <v>8</v>
      </c>
    </row>
    <row r="98" spans="1:7" x14ac:dyDescent="0.25">
      <c r="A98" s="329" t="s">
        <v>267</v>
      </c>
      <c r="B98" s="228">
        <v>1</v>
      </c>
      <c r="C98" s="228">
        <v>1</v>
      </c>
      <c r="D98" s="228">
        <v>1</v>
      </c>
      <c r="E98" s="228">
        <v>1</v>
      </c>
      <c r="F98" s="228"/>
      <c r="G98" s="228">
        <v>4</v>
      </c>
    </row>
    <row r="99" spans="1:7" x14ac:dyDescent="0.25">
      <c r="A99" s="329" t="s">
        <v>162</v>
      </c>
      <c r="B99" s="228">
        <v>1</v>
      </c>
      <c r="C99" s="228">
        <v>1</v>
      </c>
      <c r="D99" s="228">
        <v>1</v>
      </c>
      <c r="E99" s="228">
        <v>1</v>
      </c>
      <c r="F99" s="228"/>
      <c r="G99" s="228">
        <v>4</v>
      </c>
    </row>
    <row r="100" spans="1:7" x14ac:dyDescent="0.25">
      <c r="A100" s="825" t="s">
        <v>202</v>
      </c>
      <c r="B100" s="228">
        <v>1</v>
      </c>
      <c r="C100" s="228">
        <v>1</v>
      </c>
      <c r="D100" s="228">
        <v>1</v>
      </c>
      <c r="E100" s="228">
        <v>1</v>
      </c>
      <c r="F100" s="228"/>
      <c r="G100" s="228">
        <v>4</v>
      </c>
    </row>
    <row r="101" spans="1:7" x14ac:dyDescent="0.25">
      <c r="A101" s="825" t="s">
        <v>170</v>
      </c>
      <c r="B101" s="228">
        <v>1</v>
      </c>
      <c r="C101" s="228">
        <v>1</v>
      </c>
      <c r="D101" s="228">
        <v>1</v>
      </c>
      <c r="E101" s="228">
        <v>1</v>
      </c>
      <c r="F101" s="228"/>
      <c r="G101" s="228">
        <v>4</v>
      </c>
    </row>
    <row r="102" spans="1:7" x14ac:dyDescent="0.25">
      <c r="A102" s="195" t="s">
        <v>195</v>
      </c>
      <c r="B102" s="228">
        <v>1</v>
      </c>
      <c r="C102" s="228">
        <v>1</v>
      </c>
      <c r="D102" s="228">
        <v>1</v>
      </c>
      <c r="E102" s="228">
        <v>1</v>
      </c>
      <c r="F102" s="228"/>
      <c r="G102" s="228">
        <v>4</v>
      </c>
    </row>
    <row r="103" spans="1:7" x14ac:dyDescent="0.25">
      <c r="A103" s="195" t="s">
        <v>163</v>
      </c>
      <c r="B103" s="228">
        <v>1</v>
      </c>
      <c r="C103" s="228">
        <v>1</v>
      </c>
      <c r="D103" s="228">
        <v>1</v>
      </c>
      <c r="E103" s="228">
        <v>1</v>
      </c>
      <c r="F103" s="228"/>
      <c r="G103" s="228">
        <v>4</v>
      </c>
    </row>
    <row r="104" spans="1:7" x14ac:dyDescent="0.25">
      <c r="A104" s="195" t="s">
        <v>204</v>
      </c>
      <c r="B104" s="228">
        <v>1</v>
      </c>
      <c r="C104" s="228">
        <v>1</v>
      </c>
      <c r="D104" s="228">
        <v>1</v>
      </c>
      <c r="E104" s="228">
        <v>1</v>
      </c>
      <c r="F104" s="228"/>
      <c r="G104" s="228">
        <v>4</v>
      </c>
    </row>
    <row r="105" spans="1:7" x14ac:dyDescent="0.25">
      <c r="A105" s="195" t="s">
        <v>168</v>
      </c>
      <c r="B105" s="228">
        <v>1</v>
      </c>
      <c r="C105" s="228">
        <v>1</v>
      </c>
      <c r="D105" s="228">
        <v>1</v>
      </c>
      <c r="E105" s="228">
        <v>1</v>
      </c>
      <c r="F105" s="228"/>
      <c r="G105" s="228">
        <v>4</v>
      </c>
    </row>
    <row r="106" spans="1:7" x14ac:dyDescent="0.25">
      <c r="A106" s="329" t="s">
        <v>127</v>
      </c>
      <c r="B106" s="228"/>
      <c r="C106" s="228">
        <v>4</v>
      </c>
      <c r="D106" s="228">
        <v>4</v>
      </c>
      <c r="E106" s="228">
        <v>4</v>
      </c>
      <c r="F106" s="228"/>
      <c r="G106" s="228">
        <v>12</v>
      </c>
    </row>
    <row r="107" spans="1:7" x14ac:dyDescent="0.25">
      <c r="A107" s="329" t="s">
        <v>202</v>
      </c>
      <c r="B107" s="228"/>
      <c r="C107" s="228">
        <v>4</v>
      </c>
      <c r="D107" s="228">
        <v>4</v>
      </c>
      <c r="E107" s="228">
        <v>4</v>
      </c>
      <c r="F107" s="228"/>
      <c r="G107" s="228">
        <v>12</v>
      </c>
    </row>
    <row r="108" spans="1:7" x14ac:dyDescent="0.25">
      <c r="A108" s="825" t="s">
        <v>277</v>
      </c>
      <c r="B108" s="228"/>
      <c r="C108" s="228">
        <v>1</v>
      </c>
      <c r="D108" s="228">
        <v>1</v>
      </c>
      <c r="E108" s="228">
        <v>1</v>
      </c>
      <c r="F108" s="228"/>
      <c r="G108" s="228">
        <v>3</v>
      </c>
    </row>
    <row r="109" spans="1:7" x14ac:dyDescent="0.25">
      <c r="A109" s="825" t="s">
        <v>181</v>
      </c>
      <c r="B109" s="228"/>
      <c r="C109" s="228">
        <v>1</v>
      </c>
      <c r="D109" s="228">
        <v>1</v>
      </c>
      <c r="E109" s="228">
        <v>1</v>
      </c>
      <c r="F109" s="228"/>
      <c r="G109" s="228">
        <v>3</v>
      </c>
    </row>
    <row r="110" spans="1:7" x14ac:dyDescent="0.25">
      <c r="A110" s="825" t="s">
        <v>182</v>
      </c>
      <c r="B110" s="228"/>
      <c r="C110" s="228">
        <v>1</v>
      </c>
      <c r="D110" s="228">
        <v>1</v>
      </c>
      <c r="E110" s="228">
        <v>1</v>
      </c>
      <c r="F110" s="228"/>
      <c r="G110" s="228">
        <v>3</v>
      </c>
    </row>
    <row r="111" spans="1:7" x14ac:dyDescent="0.25">
      <c r="A111" s="825" t="s">
        <v>183</v>
      </c>
      <c r="B111" s="228"/>
      <c r="C111" s="228">
        <v>1</v>
      </c>
      <c r="D111" s="228">
        <v>1</v>
      </c>
      <c r="E111" s="228">
        <v>1</v>
      </c>
      <c r="F111" s="228"/>
      <c r="G111" s="228">
        <v>3</v>
      </c>
    </row>
    <row r="112" spans="1:7" x14ac:dyDescent="0.25">
      <c r="A112" s="329" t="s">
        <v>123</v>
      </c>
      <c r="B112" s="228">
        <v>7</v>
      </c>
      <c r="C112" s="228">
        <v>7</v>
      </c>
      <c r="D112" s="228">
        <v>6</v>
      </c>
      <c r="E112" s="228">
        <v>7</v>
      </c>
      <c r="F112" s="228"/>
      <c r="G112" s="228">
        <v>27</v>
      </c>
    </row>
    <row r="113" spans="1:7" x14ac:dyDescent="0.25">
      <c r="A113" s="329" t="s">
        <v>200</v>
      </c>
      <c r="B113" s="228">
        <v>1</v>
      </c>
      <c r="C113" s="228">
        <v>1</v>
      </c>
      <c r="D113" s="228">
        <v>1</v>
      </c>
      <c r="E113" s="228">
        <v>2</v>
      </c>
      <c r="F113" s="228"/>
      <c r="G113" s="228">
        <v>5</v>
      </c>
    </row>
    <row r="114" spans="1:7" x14ac:dyDescent="0.25">
      <c r="A114" s="329" t="s">
        <v>273</v>
      </c>
      <c r="B114" s="228"/>
      <c r="C114" s="228"/>
      <c r="D114" s="228"/>
      <c r="E114" s="228">
        <v>1</v>
      </c>
      <c r="F114" s="228"/>
      <c r="G114" s="228">
        <v>1</v>
      </c>
    </row>
    <row r="115" spans="1:7" x14ac:dyDescent="0.25">
      <c r="A115" s="329" t="s">
        <v>276</v>
      </c>
      <c r="B115" s="228">
        <v>1</v>
      </c>
      <c r="C115" s="228">
        <v>1</v>
      </c>
      <c r="D115" s="228">
        <v>1</v>
      </c>
      <c r="E115" s="228">
        <v>1</v>
      </c>
      <c r="F115" s="228"/>
      <c r="G115" s="228">
        <v>4</v>
      </c>
    </row>
    <row r="116" spans="1:7" x14ac:dyDescent="0.25">
      <c r="A116" s="195" t="s">
        <v>201</v>
      </c>
      <c r="B116" s="228">
        <v>2</v>
      </c>
      <c r="C116" s="228">
        <v>2</v>
      </c>
      <c r="D116" s="228">
        <v>2</v>
      </c>
      <c r="E116" s="228">
        <v>1</v>
      </c>
      <c r="F116" s="228"/>
      <c r="G116" s="228">
        <v>7</v>
      </c>
    </row>
    <row r="117" spans="1:7" x14ac:dyDescent="0.25">
      <c r="A117" s="195" t="s">
        <v>273</v>
      </c>
      <c r="B117" s="228">
        <v>1</v>
      </c>
      <c r="C117" s="228">
        <v>1</v>
      </c>
      <c r="D117" s="228">
        <v>1</v>
      </c>
      <c r="E117" s="228"/>
      <c r="F117" s="228"/>
      <c r="G117" s="228">
        <v>3</v>
      </c>
    </row>
    <row r="118" spans="1:7" x14ac:dyDescent="0.25">
      <c r="A118" s="195" t="s">
        <v>272</v>
      </c>
      <c r="B118" s="228">
        <v>1</v>
      </c>
      <c r="C118" s="228">
        <v>1</v>
      </c>
      <c r="D118" s="228">
        <v>1</v>
      </c>
      <c r="E118" s="228">
        <v>1</v>
      </c>
      <c r="F118" s="228"/>
      <c r="G118" s="228">
        <v>4</v>
      </c>
    </row>
    <row r="119" spans="1:7" x14ac:dyDescent="0.25">
      <c r="A119" s="195" t="s">
        <v>194</v>
      </c>
      <c r="B119" s="228">
        <v>1</v>
      </c>
      <c r="C119" s="228"/>
      <c r="D119" s="228"/>
      <c r="E119" s="228"/>
      <c r="F119" s="228"/>
      <c r="G119" s="228">
        <v>1</v>
      </c>
    </row>
    <row r="120" spans="1:7" x14ac:dyDescent="0.25">
      <c r="A120" s="195" t="s">
        <v>320</v>
      </c>
      <c r="B120" s="228">
        <v>1</v>
      </c>
      <c r="C120" s="228"/>
      <c r="D120" s="228"/>
      <c r="E120" s="228"/>
      <c r="F120" s="228"/>
      <c r="G120" s="228">
        <v>1</v>
      </c>
    </row>
    <row r="121" spans="1:7" x14ac:dyDescent="0.25">
      <c r="A121" s="195" t="s">
        <v>197</v>
      </c>
      <c r="B121" s="228">
        <v>1</v>
      </c>
      <c r="C121" s="228">
        <v>1</v>
      </c>
      <c r="D121" s="228">
        <v>1</v>
      </c>
      <c r="E121" s="228">
        <v>1</v>
      </c>
      <c r="F121" s="228"/>
      <c r="G121" s="228">
        <v>4</v>
      </c>
    </row>
    <row r="122" spans="1:7" x14ac:dyDescent="0.25">
      <c r="A122" s="195" t="s">
        <v>266</v>
      </c>
      <c r="B122" s="228">
        <v>1</v>
      </c>
      <c r="C122" s="228">
        <v>1</v>
      </c>
      <c r="D122" s="228">
        <v>1</v>
      </c>
      <c r="E122" s="228">
        <v>1</v>
      </c>
      <c r="F122" s="228"/>
      <c r="G122" s="228">
        <v>4</v>
      </c>
    </row>
    <row r="123" spans="1:7" x14ac:dyDescent="0.25">
      <c r="A123" s="195" t="s">
        <v>202</v>
      </c>
      <c r="B123" s="228">
        <v>1</v>
      </c>
      <c r="C123" s="228">
        <v>1</v>
      </c>
      <c r="D123" s="228">
        <v>1</v>
      </c>
      <c r="E123" s="228">
        <v>1</v>
      </c>
      <c r="F123" s="228"/>
      <c r="G123" s="228">
        <v>4</v>
      </c>
    </row>
    <row r="124" spans="1:7" x14ac:dyDescent="0.25">
      <c r="A124" s="195" t="s">
        <v>326</v>
      </c>
      <c r="B124" s="228">
        <v>1</v>
      </c>
      <c r="C124" s="228"/>
      <c r="D124" s="228"/>
      <c r="E124" s="228"/>
      <c r="F124" s="228"/>
      <c r="G124" s="228">
        <v>1</v>
      </c>
    </row>
    <row r="125" spans="1:7" x14ac:dyDescent="0.25">
      <c r="A125" s="195" t="s">
        <v>278</v>
      </c>
      <c r="B125" s="228"/>
      <c r="C125" s="228">
        <v>1</v>
      </c>
      <c r="D125" s="228">
        <v>1</v>
      </c>
      <c r="E125" s="228">
        <v>1</v>
      </c>
      <c r="F125" s="228"/>
      <c r="G125" s="228">
        <v>3</v>
      </c>
    </row>
    <row r="126" spans="1:7" x14ac:dyDescent="0.25">
      <c r="A126" s="195" t="s">
        <v>204</v>
      </c>
      <c r="B126" s="228">
        <v>1</v>
      </c>
      <c r="C126" s="228">
        <v>2</v>
      </c>
      <c r="D126" s="228">
        <v>1</v>
      </c>
      <c r="E126" s="228">
        <v>2</v>
      </c>
      <c r="F126" s="228"/>
      <c r="G126" s="228">
        <v>6</v>
      </c>
    </row>
    <row r="127" spans="1:7" x14ac:dyDescent="0.25">
      <c r="A127" s="195" t="s">
        <v>290</v>
      </c>
      <c r="B127" s="228"/>
      <c r="C127" s="228">
        <v>1</v>
      </c>
      <c r="D127" s="228"/>
      <c r="E127" s="228">
        <v>1</v>
      </c>
      <c r="F127" s="228"/>
      <c r="G127" s="228">
        <v>2</v>
      </c>
    </row>
    <row r="128" spans="1:7" x14ac:dyDescent="0.25">
      <c r="A128" s="195" t="s">
        <v>269</v>
      </c>
      <c r="B128" s="228">
        <v>1</v>
      </c>
      <c r="C128" s="228">
        <v>1</v>
      </c>
      <c r="D128" s="228">
        <v>1</v>
      </c>
      <c r="E128" s="228">
        <v>1</v>
      </c>
      <c r="F128" s="228"/>
      <c r="G128" s="228">
        <v>4</v>
      </c>
    </row>
    <row r="129" spans="1:7" x14ac:dyDescent="0.25">
      <c r="A129" s="329" t="s">
        <v>140</v>
      </c>
      <c r="B129" s="228"/>
      <c r="C129" s="228"/>
      <c r="D129" s="228"/>
      <c r="E129" s="228"/>
      <c r="F129" s="228">
        <v>39</v>
      </c>
      <c r="G129" s="228">
        <v>39</v>
      </c>
    </row>
    <row r="130" spans="1:7" x14ac:dyDescent="0.25">
      <c r="A130" s="195" t="s">
        <v>201</v>
      </c>
      <c r="B130" s="228"/>
      <c r="C130" s="228"/>
      <c r="D130" s="228"/>
      <c r="E130" s="228"/>
      <c r="F130" s="228">
        <v>2</v>
      </c>
      <c r="G130" s="228">
        <v>2</v>
      </c>
    </row>
    <row r="131" spans="1:7" x14ac:dyDescent="0.25">
      <c r="A131" s="195" t="s">
        <v>293</v>
      </c>
      <c r="B131" s="228"/>
      <c r="C131" s="228"/>
      <c r="D131" s="228"/>
      <c r="E131" s="228"/>
      <c r="F131" s="228">
        <v>1</v>
      </c>
      <c r="G131" s="228">
        <v>1</v>
      </c>
    </row>
    <row r="132" spans="1:7" x14ac:dyDescent="0.25">
      <c r="A132" s="195" t="s">
        <v>309</v>
      </c>
      <c r="B132" s="228"/>
      <c r="C132" s="228"/>
      <c r="D132" s="228"/>
      <c r="E132" s="228"/>
      <c r="F132" s="228">
        <v>1</v>
      </c>
      <c r="G132" s="228">
        <v>1</v>
      </c>
    </row>
    <row r="133" spans="1:7" x14ac:dyDescent="0.25">
      <c r="A133" s="195" t="s">
        <v>205</v>
      </c>
      <c r="B133" s="228"/>
      <c r="C133" s="228"/>
      <c r="D133" s="228"/>
      <c r="E133" s="228"/>
      <c r="F133" s="228">
        <v>3</v>
      </c>
      <c r="G133" s="228">
        <v>3</v>
      </c>
    </row>
    <row r="134" spans="1:7" x14ac:dyDescent="0.25">
      <c r="A134" s="195" t="s">
        <v>328</v>
      </c>
      <c r="B134" s="228"/>
      <c r="C134" s="228"/>
      <c r="D134" s="228"/>
      <c r="E134" s="228"/>
      <c r="F134" s="228">
        <v>1</v>
      </c>
      <c r="G134" s="228">
        <v>1</v>
      </c>
    </row>
    <row r="135" spans="1:7" s="392" customFormat="1" x14ac:dyDescent="0.25">
      <c r="A135" s="195" t="s">
        <v>305</v>
      </c>
      <c r="B135" s="228"/>
      <c r="C135" s="228"/>
      <c r="D135" s="228"/>
      <c r="E135" s="228"/>
      <c r="F135" s="228">
        <v>1</v>
      </c>
      <c r="G135" s="228">
        <v>1</v>
      </c>
    </row>
    <row r="136" spans="1:7" x14ac:dyDescent="0.25">
      <c r="A136" s="195" t="s">
        <v>316</v>
      </c>
      <c r="B136" s="228"/>
      <c r="C136" s="228"/>
      <c r="D136" s="228"/>
      <c r="E136" s="228"/>
      <c r="F136" s="228">
        <v>1</v>
      </c>
      <c r="G136" s="228">
        <v>1</v>
      </c>
    </row>
    <row r="137" spans="1:7" x14ac:dyDescent="0.25">
      <c r="A137" s="195" t="s">
        <v>198</v>
      </c>
      <c r="B137" s="228"/>
      <c r="C137" s="228"/>
      <c r="D137" s="228"/>
      <c r="E137" s="228"/>
      <c r="F137" s="228">
        <v>1</v>
      </c>
      <c r="G137" s="228">
        <v>1</v>
      </c>
    </row>
    <row r="138" spans="1:7" x14ac:dyDescent="0.25">
      <c r="A138" s="195" t="s">
        <v>295</v>
      </c>
      <c r="B138" s="228"/>
      <c r="C138" s="228"/>
      <c r="D138" s="228"/>
      <c r="E138" s="228"/>
      <c r="F138" s="228">
        <v>1</v>
      </c>
      <c r="G138" s="228">
        <v>1</v>
      </c>
    </row>
    <row r="139" spans="1:7" x14ac:dyDescent="0.25">
      <c r="A139" s="195" t="s">
        <v>196</v>
      </c>
      <c r="B139" s="228"/>
      <c r="C139" s="228"/>
      <c r="D139" s="228"/>
      <c r="E139" s="228"/>
      <c r="F139" s="228">
        <v>1</v>
      </c>
      <c r="G139" s="228">
        <v>1</v>
      </c>
    </row>
    <row r="140" spans="1:7" x14ac:dyDescent="0.25">
      <c r="A140" s="195" t="s">
        <v>294</v>
      </c>
      <c r="B140" s="228"/>
      <c r="C140" s="228"/>
      <c r="D140" s="228"/>
      <c r="E140" s="228"/>
      <c r="F140" s="228">
        <v>1</v>
      </c>
      <c r="G140" s="228">
        <v>1</v>
      </c>
    </row>
    <row r="141" spans="1:7" x14ac:dyDescent="0.25">
      <c r="A141" s="195" t="s">
        <v>197</v>
      </c>
      <c r="B141" s="228"/>
      <c r="C141" s="228"/>
      <c r="D141" s="228"/>
      <c r="E141" s="228"/>
      <c r="F141" s="228">
        <v>5</v>
      </c>
      <c r="G141" s="228">
        <v>5</v>
      </c>
    </row>
    <row r="142" spans="1:7" x14ac:dyDescent="0.25">
      <c r="A142" s="195" t="s">
        <v>312</v>
      </c>
      <c r="B142" s="228"/>
      <c r="C142" s="228"/>
      <c r="D142" s="228"/>
      <c r="E142" s="228"/>
      <c r="F142" s="228">
        <v>1</v>
      </c>
      <c r="G142" s="228">
        <v>1</v>
      </c>
    </row>
    <row r="143" spans="1:7" x14ac:dyDescent="0.25">
      <c r="A143" s="195" t="s">
        <v>298</v>
      </c>
      <c r="B143" s="228"/>
      <c r="C143" s="228"/>
      <c r="D143" s="228"/>
      <c r="E143" s="228"/>
      <c r="F143" s="228">
        <v>1</v>
      </c>
      <c r="G143" s="228">
        <v>1</v>
      </c>
    </row>
    <row r="144" spans="1:7" x14ac:dyDescent="0.25">
      <c r="A144" s="195" t="s">
        <v>336</v>
      </c>
      <c r="B144" s="228"/>
      <c r="C144" s="228"/>
      <c r="D144" s="228"/>
      <c r="E144" s="228"/>
      <c r="F144" s="228">
        <v>1</v>
      </c>
      <c r="G144" s="228">
        <v>1</v>
      </c>
    </row>
    <row r="145" spans="1:7" x14ac:dyDescent="0.25">
      <c r="A145" s="195" t="s">
        <v>322</v>
      </c>
      <c r="B145" s="228"/>
      <c r="C145" s="228"/>
      <c r="D145" s="228"/>
      <c r="E145" s="228"/>
      <c r="F145" s="228">
        <v>1</v>
      </c>
      <c r="G145" s="228">
        <v>1</v>
      </c>
    </row>
    <row r="146" spans="1:7" x14ac:dyDescent="0.25">
      <c r="A146" s="195" t="s">
        <v>318</v>
      </c>
      <c r="B146" s="228"/>
      <c r="C146" s="228"/>
      <c r="D146" s="228"/>
      <c r="E146" s="228"/>
      <c r="F146" s="228">
        <v>1</v>
      </c>
      <c r="G146" s="228">
        <v>1</v>
      </c>
    </row>
    <row r="147" spans="1:7" x14ac:dyDescent="0.25">
      <c r="A147" s="195" t="s">
        <v>202</v>
      </c>
      <c r="B147" s="228"/>
      <c r="C147" s="228"/>
      <c r="D147" s="228"/>
      <c r="E147" s="228"/>
      <c r="F147" s="228">
        <v>17</v>
      </c>
      <c r="G147" s="228">
        <v>17</v>
      </c>
    </row>
    <row r="148" spans="1:7" x14ac:dyDescent="0.25">
      <c r="A148" s="195" t="s">
        <v>327</v>
      </c>
      <c r="B148" s="228"/>
      <c r="C148" s="228"/>
      <c r="D148" s="228"/>
      <c r="E148" s="228"/>
      <c r="F148" s="228">
        <v>1</v>
      </c>
      <c r="G148" s="228">
        <v>1</v>
      </c>
    </row>
    <row r="149" spans="1:7" x14ac:dyDescent="0.25">
      <c r="A149" s="195" t="s">
        <v>299</v>
      </c>
      <c r="B149" s="228"/>
      <c r="C149" s="228"/>
      <c r="D149" s="228"/>
      <c r="E149" s="228"/>
      <c r="F149" s="228">
        <v>1</v>
      </c>
      <c r="G149" s="228">
        <v>1</v>
      </c>
    </row>
    <row r="150" spans="1:7" x14ac:dyDescent="0.25">
      <c r="A150" s="195" t="s">
        <v>303</v>
      </c>
      <c r="B150" s="228"/>
      <c r="C150" s="228"/>
      <c r="D150" s="228"/>
      <c r="E150" s="228"/>
      <c r="F150" s="228">
        <v>1</v>
      </c>
      <c r="G150" s="228">
        <v>1</v>
      </c>
    </row>
    <row r="151" spans="1:7" x14ac:dyDescent="0.25">
      <c r="A151" s="195" t="s">
        <v>335</v>
      </c>
      <c r="B151" s="228"/>
      <c r="C151" s="228"/>
      <c r="D151" s="228"/>
      <c r="E151" s="228"/>
      <c r="F151" s="228">
        <v>1</v>
      </c>
      <c r="G151" s="228">
        <v>1</v>
      </c>
    </row>
    <row r="152" spans="1:7" x14ac:dyDescent="0.25">
      <c r="A152" s="195" t="s">
        <v>321</v>
      </c>
      <c r="B152" s="228"/>
      <c r="C152" s="228"/>
      <c r="D152" s="228"/>
      <c r="E152" s="228"/>
      <c r="F152" s="228">
        <v>1</v>
      </c>
      <c r="G152" s="228">
        <v>1</v>
      </c>
    </row>
    <row r="153" spans="1:7" x14ac:dyDescent="0.25">
      <c r="A153" s="195" t="s">
        <v>302</v>
      </c>
      <c r="B153" s="228"/>
      <c r="C153" s="228"/>
      <c r="D153" s="228"/>
      <c r="E153" s="228"/>
      <c r="F153" s="228">
        <v>1</v>
      </c>
      <c r="G153" s="228">
        <v>1</v>
      </c>
    </row>
    <row r="154" spans="1:7" x14ac:dyDescent="0.25">
      <c r="A154" s="195" t="s">
        <v>301</v>
      </c>
      <c r="B154" s="228"/>
      <c r="C154" s="228"/>
      <c r="D154" s="228"/>
      <c r="E154" s="228"/>
      <c r="F154" s="228">
        <v>1</v>
      </c>
      <c r="G154" s="228">
        <v>1</v>
      </c>
    </row>
    <row r="155" spans="1:7" x14ac:dyDescent="0.25">
      <c r="A155" s="195" t="s">
        <v>314</v>
      </c>
      <c r="B155" s="228"/>
      <c r="C155" s="228"/>
      <c r="D155" s="228"/>
      <c r="E155" s="228"/>
      <c r="F155" s="228">
        <v>1</v>
      </c>
      <c r="G155" s="228">
        <v>1</v>
      </c>
    </row>
    <row r="156" spans="1:7" x14ac:dyDescent="0.25">
      <c r="A156" s="195" t="s">
        <v>317</v>
      </c>
      <c r="B156" s="228"/>
      <c r="C156" s="228"/>
      <c r="D156" s="228"/>
      <c r="E156" s="228"/>
      <c r="F156" s="228">
        <v>1</v>
      </c>
      <c r="G156" s="228">
        <v>1</v>
      </c>
    </row>
    <row r="157" spans="1:7" x14ac:dyDescent="0.25">
      <c r="A157" s="195" t="s">
        <v>307</v>
      </c>
      <c r="B157" s="228"/>
      <c r="C157" s="228"/>
      <c r="D157" s="228"/>
      <c r="E157" s="228"/>
      <c r="F157" s="228">
        <v>1</v>
      </c>
      <c r="G157" s="228">
        <v>1</v>
      </c>
    </row>
    <row r="158" spans="1:7" x14ac:dyDescent="0.25">
      <c r="A158" s="195" t="s">
        <v>323</v>
      </c>
      <c r="B158" s="228"/>
      <c r="C158" s="228"/>
      <c r="D158" s="228"/>
      <c r="E158" s="228"/>
      <c r="F158" s="228">
        <v>1</v>
      </c>
      <c r="G158" s="228">
        <v>1</v>
      </c>
    </row>
    <row r="159" spans="1:7" x14ac:dyDescent="0.25">
      <c r="A159" s="195" t="s">
        <v>332</v>
      </c>
      <c r="B159" s="228"/>
      <c r="C159" s="228"/>
      <c r="D159" s="228"/>
      <c r="E159" s="228"/>
      <c r="F159" s="228">
        <v>1</v>
      </c>
      <c r="G159" s="228">
        <v>1</v>
      </c>
    </row>
    <row r="160" spans="1:7" x14ac:dyDescent="0.25">
      <c r="A160" s="195" t="s">
        <v>265</v>
      </c>
      <c r="B160" s="228"/>
      <c r="C160" s="228"/>
      <c r="D160" s="228"/>
      <c r="E160" s="228"/>
      <c r="F160" s="228">
        <v>5</v>
      </c>
      <c r="G160" s="228">
        <v>5</v>
      </c>
    </row>
    <row r="161" spans="1:7" x14ac:dyDescent="0.25">
      <c r="A161" s="195" t="s">
        <v>195</v>
      </c>
      <c r="B161" s="228"/>
      <c r="C161" s="228"/>
      <c r="D161" s="228"/>
      <c r="E161" s="228"/>
      <c r="F161" s="228">
        <v>3</v>
      </c>
      <c r="G161" s="228">
        <v>3</v>
      </c>
    </row>
    <row r="162" spans="1:7" x14ac:dyDescent="0.25">
      <c r="A162" s="195" t="s">
        <v>319</v>
      </c>
      <c r="B162" s="228"/>
      <c r="C162" s="228"/>
      <c r="D162" s="228"/>
      <c r="E162" s="228"/>
      <c r="F162" s="228">
        <v>1</v>
      </c>
      <c r="G162" s="228">
        <v>1</v>
      </c>
    </row>
    <row r="163" spans="1:7" x14ac:dyDescent="0.25">
      <c r="A163" s="195" t="s">
        <v>330</v>
      </c>
      <c r="B163" s="228"/>
      <c r="C163" s="228"/>
      <c r="D163" s="228"/>
      <c r="E163" s="228"/>
      <c r="F163" s="228">
        <v>1</v>
      </c>
      <c r="G163" s="228">
        <v>1</v>
      </c>
    </row>
    <row r="164" spans="1:7" x14ac:dyDescent="0.25">
      <c r="A164" s="195" t="s">
        <v>300</v>
      </c>
      <c r="B164" s="228"/>
      <c r="C164" s="228"/>
      <c r="D164" s="228"/>
      <c r="E164" s="228"/>
      <c r="F164" s="228">
        <v>1</v>
      </c>
      <c r="G164" s="228">
        <v>1</v>
      </c>
    </row>
    <row r="165" spans="1:7" x14ac:dyDescent="0.25">
      <c r="A165" s="195" t="s">
        <v>204</v>
      </c>
      <c r="B165" s="228"/>
      <c r="C165" s="228"/>
      <c r="D165" s="228"/>
      <c r="E165" s="228"/>
      <c r="F165" s="228">
        <v>7</v>
      </c>
      <c r="G165" s="228">
        <v>7</v>
      </c>
    </row>
    <row r="166" spans="1:7" x14ac:dyDescent="0.25">
      <c r="A166" s="195" t="s">
        <v>331</v>
      </c>
      <c r="B166" s="228"/>
      <c r="C166" s="228"/>
      <c r="D166" s="228"/>
      <c r="E166" s="228"/>
      <c r="F166" s="228">
        <v>1</v>
      </c>
      <c r="G166" s="228">
        <v>1</v>
      </c>
    </row>
    <row r="167" spans="1:7" x14ac:dyDescent="0.25">
      <c r="A167" s="195" t="s">
        <v>297</v>
      </c>
      <c r="B167" s="228"/>
      <c r="C167" s="228"/>
      <c r="D167" s="228"/>
      <c r="E167" s="228"/>
      <c r="F167" s="228">
        <v>1</v>
      </c>
      <c r="G167" s="228">
        <v>1</v>
      </c>
    </row>
    <row r="168" spans="1:7" x14ac:dyDescent="0.25">
      <c r="A168" s="195" t="s">
        <v>296</v>
      </c>
      <c r="B168" s="228"/>
      <c r="C168" s="228"/>
      <c r="D168" s="228"/>
      <c r="E168" s="228"/>
      <c r="F168" s="228">
        <v>1</v>
      </c>
      <c r="G168" s="228">
        <v>1</v>
      </c>
    </row>
    <row r="169" spans="1:7" x14ac:dyDescent="0.25">
      <c r="A169" s="195" t="s">
        <v>324</v>
      </c>
      <c r="B169" s="228"/>
      <c r="C169" s="228"/>
      <c r="D169" s="228"/>
      <c r="E169" s="228"/>
      <c r="F169" s="228">
        <v>1</v>
      </c>
      <c r="G169" s="228">
        <v>1</v>
      </c>
    </row>
    <row r="170" spans="1:7" x14ac:dyDescent="0.25">
      <c r="A170" s="195" t="s">
        <v>334</v>
      </c>
      <c r="B170" s="228"/>
      <c r="C170" s="228"/>
      <c r="D170" s="228"/>
      <c r="E170" s="228"/>
      <c r="F170" s="228">
        <v>1</v>
      </c>
      <c r="G170" s="228">
        <v>1</v>
      </c>
    </row>
    <row r="171" spans="1:7" x14ac:dyDescent="0.25">
      <c r="A171" s="195" t="s">
        <v>325</v>
      </c>
      <c r="B171" s="228"/>
      <c r="C171" s="228"/>
      <c r="D171" s="228"/>
      <c r="E171" s="228"/>
      <c r="F171" s="228">
        <v>1</v>
      </c>
      <c r="G171" s="228">
        <v>1</v>
      </c>
    </row>
    <row r="172" spans="1:7" x14ac:dyDescent="0.25">
      <c r="A172" s="195" t="s">
        <v>310</v>
      </c>
      <c r="B172" s="228"/>
      <c r="C172" s="228"/>
      <c r="D172" s="228"/>
      <c r="E172" s="228"/>
      <c r="F172" s="228">
        <v>1</v>
      </c>
      <c r="G172" s="228">
        <v>1</v>
      </c>
    </row>
    <row r="173" spans="1:7" x14ac:dyDescent="0.25">
      <c r="A173" s="329" t="s">
        <v>128</v>
      </c>
      <c r="B173" s="228"/>
      <c r="C173" s="228"/>
      <c r="D173" s="228"/>
      <c r="E173" s="228">
        <v>3</v>
      </c>
      <c r="F173" s="228"/>
      <c r="G173" s="228">
        <v>3</v>
      </c>
    </row>
    <row r="174" spans="1:7" x14ac:dyDescent="0.25">
      <c r="A174" s="195" t="s">
        <v>201</v>
      </c>
      <c r="B174" s="228"/>
      <c r="C174" s="228"/>
      <c r="D174" s="228"/>
      <c r="E174" s="228">
        <v>1</v>
      </c>
      <c r="F174" s="228"/>
      <c r="G174" s="228">
        <v>1</v>
      </c>
    </row>
    <row r="175" spans="1:7" x14ac:dyDescent="0.25">
      <c r="A175" s="195" t="s">
        <v>285</v>
      </c>
      <c r="B175" s="228"/>
      <c r="C175" s="228"/>
      <c r="D175" s="228"/>
      <c r="E175" s="228">
        <v>1</v>
      </c>
      <c r="F175" s="228"/>
      <c r="G175" s="228">
        <v>1</v>
      </c>
    </row>
    <row r="176" spans="1:7" x14ac:dyDescent="0.25">
      <c r="A176" s="329" t="s">
        <v>205</v>
      </c>
      <c r="B176" s="228"/>
      <c r="C176" s="228"/>
      <c r="D176" s="228"/>
      <c r="E176" s="228">
        <v>2</v>
      </c>
      <c r="F176" s="228"/>
      <c r="G176" s="228">
        <v>2</v>
      </c>
    </row>
    <row r="177" spans="1:7" x14ac:dyDescent="0.25">
      <c r="A177" s="329" t="s">
        <v>292</v>
      </c>
      <c r="B177" s="228"/>
      <c r="C177" s="228"/>
      <c r="D177" s="228"/>
      <c r="E177" s="228">
        <v>1</v>
      </c>
      <c r="F177" s="228"/>
      <c r="G177" s="228">
        <v>1</v>
      </c>
    </row>
    <row r="178" spans="1:7" x14ac:dyDescent="0.25">
      <c r="A178" s="329" t="s">
        <v>304</v>
      </c>
      <c r="B178" s="228"/>
      <c r="C178" s="228"/>
      <c r="D178" s="228"/>
      <c r="E178" s="228">
        <v>1</v>
      </c>
      <c r="F178" s="228"/>
      <c r="G178" s="228">
        <v>1</v>
      </c>
    </row>
    <row r="179" spans="1:7" x14ac:dyDescent="0.25">
      <c r="A179" s="329" t="s">
        <v>129</v>
      </c>
      <c r="B179" s="228">
        <v>16</v>
      </c>
      <c r="C179" s="228">
        <v>15</v>
      </c>
      <c r="D179" s="228">
        <v>17</v>
      </c>
      <c r="E179" s="228">
        <v>15</v>
      </c>
      <c r="F179" s="228"/>
      <c r="G179" s="228">
        <v>63</v>
      </c>
    </row>
    <row r="180" spans="1:7" x14ac:dyDescent="0.25">
      <c r="A180" s="825" t="s">
        <v>198</v>
      </c>
      <c r="B180" s="228">
        <v>1</v>
      </c>
      <c r="C180" s="228">
        <v>1</v>
      </c>
      <c r="D180" s="228">
        <v>1</v>
      </c>
      <c r="E180" s="228">
        <v>1</v>
      </c>
      <c r="F180" s="228"/>
      <c r="G180" s="228">
        <v>4</v>
      </c>
    </row>
    <row r="181" spans="1:7" x14ac:dyDescent="0.25">
      <c r="A181" s="825" t="s">
        <v>165</v>
      </c>
      <c r="B181" s="228">
        <v>1</v>
      </c>
      <c r="C181" s="228">
        <v>1</v>
      </c>
      <c r="D181" s="228">
        <v>1</v>
      </c>
      <c r="E181" s="228">
        <v>1</v>
      </c>
      <c r="F181" s="228"/>
      <c r="G181" s="228">
        <v>4</v>
      </c>
    </row>
    <row r="182" spans="1:7" x14ac:dyDescent="0.25">
      <c r="A182" s="825" t="s">
        <v>196</v>
      </c>
      <c r="B182" s="228">
        <v>4</v>
      </c>
      <c r="C182" s="228">
        <v>4</v>
      </c>
      <c r="D182" s="228">
        <v>5</v>
      </c>
      <c r="E182" s="228">
        <v>4</v>
      </c>
      <c r="F182" s="228"/>
      <c r="G182" s="228">
        <v>17</v>
      </c>
    </row>
    <row r="183" spans="1:7" x14ac:dyDescent="0.25">
      <c r="A183" s="825" t="s">
        <v>155</v>
      </c>
      <c r="B183" s="228">
        <v>1</v>
      </c>
      <c r="C183" s="228">
        <v>1</v>
      </c>
      <c r="D183" s="228">
        <v>1</v>
      </c>
      <c r="E183" s="228">
        <v>1</v>
      </c>
      <c r="F183" s="228"/>
      <c r="G183" s="228">
        <v>4</v>
      </c>
    </row>
    <row r="184" spans="1:7" x14ac:dyDescent="0.25">
      <c r="A184" s="825" t="s">
        <v>161</v>
      </c>
      <c r="B184" s="228">
        <v>1</v>
      </c>
      <c r="C184" s="228">
        <v>1</v>
      </c>
      <c r="D184" s="228">
        <v>1</v>
      </c>
      <c r="E184" s="228">
        <v>1</v>
      </c>
      <c r="F184" s="228"/>
      <c r="G184" s="228">
        <v>4</v>
      </c>
    </row>
    <row r="185" spans="1:7" x14ac:dyDescent="0.25">
      <c r="A185" s="825" t="s">
        <v>166</v>
      </c>
      <c r="B185" s="228">
        <v>1</v>
      </c>
      <c r="C185" s="228">
        <v>1</v>
      </c>
      <c r="D185" s="228">
        <v>1</v>
      </c>
      <c r="E185" s="228">
        <v>1</v>
      </c>
      <c r="F185" s="228"/>
      <c r="G185" s="228">
        <v>4</v>
      </c>
    </row>
    <row r="186" spans="1:7" x14ac:dyDescent="0.25">
      <c r="A186" s="825" t="s">
        <v>167</v>
      </c>
      <c r="B186" s="228">
        <v>1</v>
      </c>
      <c r="C186" s="228">
        <v>1</v>
      </c>
      <c r="D186" s="228">
        <v>1</v>
      </c>
      <c r="E186" s="228">
        <v>1</v>
      </c>
      <c r="F186" s="228"/>
      <c r="G186" s="228">
        <v>4</v>
      </c>
    </row>
    <row r="187" spans="1:7" x14ac:dyDescent="0.25">
      <c r="A187" s="825" t="s">
        <v>169</v>
      </c>
      <c r="B187" s="228"/>
      <c r="C187" s="228"/>
      <c r="D187" s="228">
        <v>1</v>
      </c>
      <c r="E187" s="228"/>
      <c r="F187" s="228"/>
      <c r="G187" s="228">
        <v>1</v>
      </c>
    </row>
    <row r="188" spans="1:7" x14ac:dyDescent="0.25">
      <c r="A188" s="825" t="s">
        <v>194</v>
      </c>
      <c r="B188" s="228">
        <v>5</v>
      </c>
      <c r="C188" s="228">
        <v>5</v>
      </c>
      <c r="D188" s="228">
        <v>5</v>
      </c>
      <c r="E188" s="228">
        <v>5</v>
      </c>
      <c r="F188" s="228"/>
      <c r="G188" s="228">
        <v>20</v>
      </c>
    </row>
    <row r="189" spans="1:7" x14ac:dyDescent="0.25">
      <c r="A189" s="825" t="s">
        <v>154</v>
      </c>
      <c r="B189" s="228">
        <v>1</v>
      </c>
      <c r="C189" s="228">
        <v>1</v>
      </c>
      <c r="D189" s="228">
        <v>1</v>
      </c>
      <c r="E189" s="228">
        <v>1</v>
      </c>
      <c r="F189" s="228"/>
      <c r="G189" s="228">
        <v>4</v>
      </c>
    </row>
    <row r="190" spans="1:7" x14ac:dyDescent="0.25">
      <c r="A190" s="825" t="s">
        <v>158</v>
      </c>
      <c r="B190" s="228">
        <v>1</v>
      </c>
      <c r="C190" s="228">
        <v>1</v>
      </c>
      <c r="D190" s="228">
        <v>1</v>
      </c>
      <c r="E190" s="228">
        <v>1</v>
      </c>
      <c r="F190" s="228"/>
      <c r="G190" s="228">
        <v>4</v>
      </c>
    </row>
    <row r="191" spans="1:7" x14ac:dyDescent="0.25">
      <c r="A191" s="825" t="s">
        <v>159</v>
      </c>
      <c r="B191" s="228">
        <v>1</v>
      </c>
      <c r="C191" s="228">
        <v>1</v>
      </c>
      <c r="D191" s="228">
        <v>1</v>
      </c>
      <c r="E191" s="228">
        <v>1</v>
      </c>
      <c r="F191" s="228"/>
      <c r="G191" s="228">
        <v>4</v>
      </c>
    </row>
    <row r="192" spans="1:7" x14ac:dyDescent="0.25">
      <c r="A192" s="825" t="s">
        <v>162</v>
      </c>
      <c r="B192" s="228">
        <v>1</v>
      </c>
      <c r="C192" s="228">
        <v>1</v>
      </c>
      <c r="D192" s="228">
        <v>1</v>
      </c>
      <c r="E192" s="228">
        <v>1</v>
      </c>
      <c r="F192" s="228"/>
      <c r="G192" s="228">
        <v>4</v>
      </c>
    </row>
    <row r="193" spans="1:7" x14ac:dyDescent="0.25">
      <c r="A193" s="825" t="s">
        <v>164</v>
      </c>
      <c r="B193" s="228">
        <v>1</v>
      </c>
      <c r="C193" s="228">
        <v>1</v>
      </c>
      <c r="D193" s="228">
        <v>1</v>
      </c>
      <c r="E193" s="228">
        <v>1</v>
      </c>
      <c r="F193" s="228"/>
      <c r="G193" s="228">
        <v>4</v>
      </c>
    </row>
    <row r="194" spans="1:7" x14ac:dyDescent="0.25">
      <c r="A194" s="825" t="s">
        <v>197</v>
      </c>
      <c r="B194" s="228">
        <v>2</v>
      </c>
      <c r="C194" s="228">
        <v>1</v>
      </c>
      <c r="D194" s="228">
        <v>2</v>
      </c>
      <c r="E194" s="228">
        <v>1</v>
      </c>
      <c r="F194" s="228"/>
      <c r="G194" s="228">
        <v>6</v>
      </c>
    </row>
    <row r="195" spans="1:7" x14ac:dyDescent="0.25">
      <c r="A195" s="825" t="s">
        <v>156</v>
      </c>
      <c r="B195" s="228">
        <v>1</v>
      </c>
      <c r="C195" s="228">
        <v>1</v>
      </c>
      <c r="D195" s="228">
        <v>1</v>
      </c>
      <c r="E195" s="228">
        <v>1</v>
      </c>
      <c r="F195" s="228"/>
      <c r="G195" s="228">
        <v>4</v>
      </c>
    </row>
    <row r="196" spans="1:7" x14ac:dyDescent="0.25">
      <c r="A196" s="825" t="s">
        <v>157</v>
      </c>
      <c r="B196" s="228">
        <v>1</v>
      </c>
      <c r="C196" s="228"/>
      <c r="D196" s="228">
        <v>1</v>
      </c>
      <c r="E196" s="228"/>
      <c r="F196" s="228"/>
      <c r="G196" s="228">
        <v>2</v>
      </c>
    </row>
    <row r="197" spans="1:7" x14ac:dyDescent="0.25">
      <c r="A197" s="825" t="s">
        <v>202</v>
      </c>
      <c r="B197" s="228">
        <v>1</v>
      </c>
      <c r="C197" s="228">
        <v>1</v>
      </c>
      <c r="D197" s="228">
        <v>1</v>
      </c>
      <c r="E197" s="228">
        <v>1</v>
      </c>
      <c r="F197" s="228"/>
      <c r="G197" s="228">
        <v>4</v>
      </c>
    </row>
    <row r="198" spans="1:7" x14ac:dyDescent="0.25">
      <c r="A198" s="825" t="s">
        <v>170</v>
      </c>
      <c r="B198" s="228">
        <v>1</v>
      </c>
      <c r="C198" s="228">
        <v>1</v>
      </c>
      <c r="D198" s="228">
        <v>1</v>
      </c>
      <c r="E198" s="228">
        <v>1</v>
      </c>
      <c r="F198" s="228"/>
      <c r="G198" s="228">
        <v>4</v>
      </c>
    </row>
    <row r="199" spans="1:7" x14ac:dyDescent="0.25">
      <c r="A199" s="195" t="s">
        <v>195</v>
      </c>
      <c r="B199" s="228">
        <v>2</v>
      </c>
      <c r="C199" s="228">
        <v>2</v>
      </c>
      <c r="D199" s="228">
        <v>2</v>
      </c>
      <c r="E199" s="228">
        <v>2</v>
      </c>
      <c r="F199" s="228"/>
      <c r="G199" s="228">
        <v>8</v>
      </c>
    </row>
    <row r="200" spans="1:7" x14ac:dyDescent="0.25">
      <c r="A200" s="195" t="s">
        <v>160</v>
      </c>
      <c r="B200" s="228">
        <v>1</v>
      </c>
      <c r="C200" s="228">
        <v>1</v>
      </c>
      <c r="D200" s="228">
        <v>1</v>
      </c>
      <c r="E200" s="228">
        <v>1</v>
      </c>
      <c r="F200" s="228"/>
      <c r="G200" s="228">
        <v>4</v>
      </c>
    </row>
    <row r="201" spans="1:7" x14ac:dyDescent="0.25">
      <c r="A201" s="195" t="s">
        <v>163</v>
      </c>
      <c r="B201" s="228">
        <v>1</v>
      </c>
      <c r="C201" s="228">
        <v>1</v>
      </c>
      <c r="D201" s="228">
        <v>1</v>
      </c>
      <c r="E201" s="228">
        <v>1</v>
      </c>
      <c r="F201" s="228"/>
      <c r="G201" s="228">
        <v>4</v>
      </c>
    </row>
    <row r="202" spans="1:7" x14ac:dyDescent="0.25">
      <c r="A202" s="195" t="s">
        <v>204</v>
      </c>
      <c r="B202" s="228">
        <v>1</v>
      </c>
      <c r="C202" s="228">
        <v>1</v>
      </c>
      <c r="D202" s="228">
        <v>1</v>
      </c>
      <c r="E202" s="228">
        <v>1</v>
      </c>
      <c r="F202" s="228"/>
      <c r="G202" s="228">
        <v>4</v>
      </c>
    </row>
    <row r="203" spans="1:7" x14ac:dyDescent="0.25">
      <c r="A203" s="195" t="s">
        <v>168</v>
      </c>
      <c r="B203" s="228">
        <v>1</v>
      </c>
      <c r="C203" s="228">
        <v>1</v>
      </c>
      <c r="D203" s="228">
        <v>1</v>
      </c>
      <c r="E203" s="228">
        <v>1</v>
      </c>
      <c r="F203" s="228"/>
      <c r="G203" s="228">
        <v>4</v>
      </c>
    </row>
    <row r="204" spans="1:7" x14ac:dyDescent="0.25">
      <c r="A204" s="329" t="s">
        <v>130</v>
      </c>
      <c r="B204" s="228"/>
      <c r="C204" s="228">
        <v>8</v>
      </c>
      <c r="D204" s="228">
        <v>8</v>
      </c>
      <c r="E204" s="228">
        <v>8</v>
      </c>
      <c r="F204" s="228"/>
      <c r="G204" s="228">
        <v>24</v>
      </c>
    </row>
    <row r="205" spans="1:7" x14ac:dyDescent="0.25">
      <c r="A205" s="825" t="s">
        <v>201</v>
      </c>
      <c r="B205" s="228"/>
      <c r="C205" s="228">
        <v>2</v>
      </c>
      <c r="D205" s="228">
        <v>2</v>
      </c>
      <c r="E205" s="228">
        <v>2</v>
      </c>
      <c r="F205" s="228"/>
      <c r="G205" s="228">
        <v>6</v>
      </c>
    </row>
    <row r="206" spans="1:7" x14ac:dyDescent="0.25">
      <c r="A206" s="825" t="s">
        <v>173</v>
      </c>
      <c r="B206" s="228"/>
      <c r="C206" s="228">
        <v>1</v>
      </c>
      <c r="D206" s="228">
        <v>1</v>
      </c>
      <c r="E206" s="228">
        <v>1</v>
      </c>
      <c r="F206" s="228"/>
      <c r="G206" s="228">
        <v>3</v>
      </c>
    </row>
    <row r="207" spans="1:7" x14ac:dyDescent="0.25">
      <c r="A207" s="825" t="s">
        <v>176</v>
      </c>
      <c r="B207" s="228"/>
      <c r="C207" s="228">
        <v>1</v>
      </c>
      <c r="D207" s="228">
        <v>1</v>
      </c>
      <c r="E207" s="228">
        <v>1</v>
      </c>
      <c r="F207" s="228"/>
      <c r="G207" s="228">
        <v>3</v>
      </c>
    </row>
    <row r="208" spans="1:7" x14ac:dyDescent="0.25">
      <c r="A208" s="825" t="s">
        <v>205</v>
      </c>
      <c r="B208" s="228"/>
      <c r="C208" s="228">
        <v>1</v>
      </c>
      <c r="D208" s="228">
        <v>1</v>
      </c>
      <c r="E208" s="228">
        <v>1</v>
      </c>
      <c r="F208" s="228"/>
      <c r="G208" s="228">
        <v>3</v>
      </c>
    </row>
    <row r="209" spans="1:7" x14ac:dyDescent="0.25">
      <c r="A209" s="825" t="s">
        <v>177</v>
      </c>
      <c r="B209" s="228"/>
      <c r="C209" s="228">
        <v>1</v>
      </c>
      <c r="D209" s="228">
        <v>1</v>
      </c>
      <c r="E209" s="228">
        <v>1</v>
      </c>
      <c r="F209" s="228"/>
      <c r="G209" s="228">
        <v>3</v>
      </c>
    </row>
    <row r="210" spans="1:7" x14ac:dyDescent="0.25">
      <c r="A210" s="825" t="s">
        <v>198</v>
      </c>
      <c r="B210" s="228"/>
      <c r="C210" s="228">
        <v>1</v>
      </c>
      <c r="D210" s="228">
        <v>1</v>
      </c>
      <c r="E210" s="228">
        <v>1</v>
      </c>
      <c r="F210" s="228"/>
      <c r="G210" s="228">
        <v>3</v>
      </c>
    </row>
    <row r="211" spans="1:7" x14ac:dyDescent="0.25">
      <c r="A211" s="825" t="s">
        <v>174</v>
      </c>
      <c r="B211" s="228"/>
      <c r="C211" s="228">
        <v>1</v>
      </c>
      <c r="D211" s="228">
        <v>1</v>
      </c>
      <c r="E211" s="228">
        <v>1</v>
      </c>
      <c r="F211" s="228"/>
      <c r="G211" s="228">
        <v>3</v>
      </c>
    </row>
    <row r="212" spans="1:7" x14ac:dyDescent="0.25">
      <c r="A212" s="825" t="s">
        <v>197</v>
      </c>
      <c r="B212" s="228"/>
      <c r="C212" s="228">
        <v>1</v>
      </c>
      <c r="D212" s="228">
        <v>1</v>
      </c>
      <c r="E212" s="228">
        <v>1</v>
      </c>
      <c r="F212" s="228"/>
      <c r="G212" s="228">
        <v>3</v>
      </c>
    </row>
    <row r="213" spans="1:7" x14ac:dyDescent="0.25">
      <c r="A213" s="195" t="s">
        <v>179</v>
      </c>
      <c r="B213" s="228"/>
      <c r="C213" s="228">
        <v>1</v>
      </c>
      <c r="D213" s="228">
        <v>1</v>
      </c>
      <c r="E213" s="228">
        <v>1</v>
      </c>
      <c r="F213" s="228"/>
      <c r="G213" s="228">
        <v>3</v>
      </c>
    </row>
    <row r="214" spans="1:7" x14ac:dyDescent="0.25">
      <c r="A214" s="825" t="s">
        <v>202</v>
      </c>
      <c r="B214" s="228"/>
      <c r="C214" s="228">
        <v>1</v>
      </c>
      <c r="D214" s="228">
        <v>1</v>
      </c>
      <c r="E214" s="228">
        <v>1</v>
      </c>
      <c r="F214" s="228"/>
      <c r="G214" s="228">
        <v>3</v>
      </c>
    </row>
    <row r="215" spans="1:7" x14ac:dyDescent="0.25">
      <c r="A215" s="825" t="s">
        <v>172</v>
      </c>
      <c r="B215" s="228"/>
      <c r="C215" s="228"/>
      <c r="D215" s="228">
        <v>1</v>
      </c>
      <c r="E215" s="228">
        <v>1</v>
      </c>
      <c r="F215" s="228"/>
      <c r="G215" s="228">
        <v>2</v>
      </c>
    </row>
    <row r="216" spans="1:7" x14ac:dyDescent="0.25">
      <c r="A216" s="195" t="s">
        <v>178</v>
      </c>
      <c r="B216" s="228"/>
      <c r="C216" s="228">
        <v>1</v>
      </c>
      <c r="D216" s="228"/>
      <c r="E216" s="228"/>
      <c r="F216" s="228"/>
      <c r="G216" s="228">
        <v>1</v>
      </c>
    </row>
    <row r="217" spans="1:7" x14ac:dyDescent="0.25">
      <c r="A217" s="195" t="s">
        <v>195</v>
      </c>
      <c r="B217" s="228"/>
      <c r="C217" s="228">
        <v>1</v>
      </c>
      <c r="D217" s="228">
        <v>1</v>
      </c>
      <c r="E217" s="228">
        <v>1</v>
      </c>
      <c r="F217" s="228"/>
      <c r="G217" s="228">
        <v>3</v>
      </c>
    </row>
    <row r="218" spans="1:7" x14ac:dyDescent="0.25">
      <c r="A218" s="195" t="s">
        <v>175</v>
      </c>
      <c r="B218" s="228"/>
      <c r="C218" s="228"/>
      <c r="D218" s="228"/>
      <c r="E218" s="228">
        <v>1</v>
      </c>
      <c r="F218" s="228"/>
      <c r="G218" s="228">
        <v>1</v>
      </c>
    </row>
    <row r="219" spans="1:7" x14ac:dyDescent="0.25">
      <c r="A219" s="195" t="s">
        <v>180</v>
      </c>
      <c r="B219" s="228"/>
      <c r="C219" s="228">
        <v>1</v>
      </c>
      <c r="D219" s="228">
        <v>1</v>
      </c>
      <c r="E219" s="228"/>
      <c r="F219" s="228"/>
      <c r="G219" s="228">
        <v>2</v>
      </c>
    </row>
    <row r="220" spans="1:7" x14ac:dyDescent="0.25">
      <c r="A220" s="195" t="s">
        <v>204</v>
      </c>
      <c r="B220" s="228"/>
      <c r="C220" s="228">
        <v>1</v>
      </c>
      <c r="D220" s="228">
        <v>1</v>
      </c>
      <c r="E220" s="228">
        <v>1</v>
      </c>
      <c r="F220" s="228"/>
      <c r="G220" s="228">
        <v>3</v>
      </c>
    </row>
    <row r="221" spans="1:7" x14ac:dyDescent="0.25">
      <c r="A221" s="195" t="s">
        <v>171</v>
      </c>
      <c r="B221" s="228"/>
      <c r="C221" s="228">
        <v>1</v>
      </c>
      <c r="D221" s="228">
        <v>1</v>
      </c>
      <c r="E221" s="228">
        <v>1</v>
      </c>
      <c r="F221" s="228"/>
      <c r="G221" s="228">
        <v>3</v>
      </c>
    </row>
    <row r="222" spans="1:7" x14ac:dyDescent="0.25">
      <c r="A222" s="329" t="s">
        <v>131</v>
      </c>
      <c r="B222" s="228">
        <v>5</v>
      </c>
      <c r="C222" s="228">
        <v>5</v>
      </c>
      <c r="D222" s="228">
        <v>5</v>
      </c>
      <c r="E222" s="228">
        <v>5</v>
      </c>
      <c r="F222" s="228"/>
      <c r="G222" s="228">
        <v>20</v>
      </c>
    </row>
    <row r="223" spans="1:7" x14ac:dyDescent="0.25">
      <c r="A223" s="825" t="s">
        <v>202</v>
      </c>
      <c r="B223" s="228">
        <v>4</v>
      </c>
      <c r="C223" s="228">
        <v>4</v>
      </c>
      <c r="D223" s="228">
        <v>4</v>
      </c>
      <c r="E223" s="228">
        <v>4</v>
      </c>
      <c r="F223" s="228"/>
      <c r="G223" s="228">
        <v>16</v>
      </c>
    </row>
    <row r="224" spans="1:7" x14ac:dyDescent="0.25">
      <c r="A224" s="825" t="s">
        <v>181</v>
      </c>
      <c r="B224" s="228">
        <v>1</v>
      </c>
      <c r="C224" s="228">
        <v>1</v>
      </c>
      <c r="D224" s="228">
        <v>1</v>
      </c>
      <c r="E224" s="228">
        <v>1</v>
      </c>
      <c r="F224" s="228"/>
      <c r="G224" s="228">
        <v>4</v>
      </c>
    </row>
    <row r="225" spans="1:7" x14ac:dyDescent="0.25">
      <c r="A225" s="825" t="s">
        <v>182</v>
      </c>
      <c r="B225" s="228">
        <v>1</v>
      </c>
      <c r="C225" s="228">
        <v>1</v>
      </c>
      <c r="D225" s="228">
        <v>1</v>
      </c>
      <c r="E225" s="228">
        <v>1</v>
      </c>
      <c r="F225" s="228"/>
      <c r="G225" s="228">
        <v>4</v>
      </c>
    </row>
    <row r="226" spans="1:7" x14ac:dyDescent="0.25">
      <c r="A226" s="825" t="s">
        <v>183</v>
      </c>
      <c r="B226" s="228">
        <v>1</v>
      </c>
      <c r="C226" s="228">
        <v>1</v>
      </c>
      <c r="D226" s="228">
        <v>1</v>
      </c>
      <c r="E226" s="228">
        <v>1</v>
      </c>
      <c r="F226" s="228"/>
      <c r="G226" s="228">
        <v>4</v>
      </c>
    </row>
    <row r="227" spans="1:7" x14ac:dyDescent="0.25">
      <c r="A227" s="825" t="s">
        <v>184</v>
      </c>
      <c r="B227" s="228">
        <v>1</v>
      </c>
      <c r="C227" s="228">
        <v>1</v>
      </c>
      <c r="D227" s="228">
        <v>1</v>
      </c>
      <c r="E227" s="228">
        <v>1</v>
      </c>
      <c r="F227" s="228"/>
      <c r="G227" s="228">
        <v>4</v>
      </c>
    </row>
    <row r="228" spans="1:7" x14ac:dyDescent="0.25">
      <c r="A228" s="195" t="s">
        <v>204</v>
      </c>
      <c r="B228" s="228">
        <v>1</v>
      </c>
      <c r="C228" s="228">
        <v>1</v>
      </c>
      <c r="D228" s="228">
        <v>1</v>
      </c>
      <c r="E228" s="228">
        <v>1</v>
      </c>
      <c r="F228" s="228"/>
      <c r="G228" s="228">
        <v>4</v>
      </c>
    </row>
    <row r="229" spans="1:7" x14ac:dyDescent="0.25">
      <c r="A229" s="195" t="s">
        <v>185</v>
      </c>
      <c r="B229" s="228">
        <v>1</v>
      </c>
      <c r="C229" s="228">
        <v>1</v>
      </c>
      <c r="D229" s="228">
        <v>1</v>
      </c>
      <c r="E229" s="228">
        <v>1</v>
      </c>
      <c r="F229" s="228"/>
      <c r="G229" s="228">
        <v>4</v>
      </c>
    </row>
    <row r="230" spans="1:7" x14ac:dyDescent="0.25">
      <c r="A230" s="329" t="s">
        <v>141</v>
      </c>
      <c r="B230" s="228">
        <v>63</v>
      </c>
      <c r="C230" s="228">
        <v>66</v>
      </c>
      <c r="D230" s="228">
        <v>64</v>
      </c>
      <c r="E230" s="228">
        <v>70</v>
      </c>
      <c r="F230" s="228">
        <v>39</v>
      </c>
      <c r="G230" s="228">
        <v>302</v>
      </c>
    </row>
    <row r="231" spans="1:7" x14ac:dyDescent="0.25">
      <c r="A231" s="825"/>
      <c r="B231" s="825"/>
      <c r="C231" s="825"/>
      <c r="D231" s="825"/>
      <c r="E231" s="825"/>
      <c r="F231" s="825"/>
      <c r="G231" s="825"/>
    </row>
    <row r="232" spans="1:7" x14ac:dyDescent="0.25">
      <c r="A232" s="825"/>
      <c r="B232" s="825"/>
      <c r="C232" s="825"/>
      <c r="D232" s="825"/>
      <c r="E232" s="825"/>
      <c r="F232" s="825"/>
      <c r="G232" s="825"/>
    </row>
    <row r="233" spans="1:7" x14ac:dyDescent="0.25">
      <c r="A233" s="825"/>
      <c r="B233" s="825"/>
      <c r="C233" s="825"/>
      <c r="D233" s="825"/>
      <c r="E233" s="825"/>
      <c r="F233" s="825"/>
      <c r="G233" s="82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50"/>
  </sheetPr>
  <dimension ref="A3:J53"/>
  <sheetViews>
    <sheetView topLeftCell="A28" zoomScale="70" zoomScaleNormal="70" workbookViewId="0">
      <selection activeCell="B7" sqref="B7"/>
    </sheetView>
  </sheetViews>
  <sheetFormatPr baseColWidth="10" defaultColWidth="11.59765625" defaultRowHeight="15.65" x14ac:dyDescent="0.25"/>
  <cols>
    <col min="1" max="1" width="69.59765625" style="213" bestFit="1" customWidth="1"/>
    <col min="2" max="6" width="11.8984375" bestFit="1" customWidth="1"/>
    <col min="7" max="7" width="15.19921875" bestFit="1" customWidth="1"/>
    <col min="8" max="8" width="16.09765625" bestFit="1" customWidth="1"/>
    <col min="9" max="9" width="15.8984375" style="387" bestFit="1" customWidth="1"/>
    <col min="10" max="10" width="11.59765625" style="387"/>
  </cols>
  <sheetData>
    <row r="3" spans="1:10" s="261" customFormat="1" x14ac:dyDescent="0.25">
      <c r="A3" s="330" t="s">
        <v>345</v>
      </c>
      <c r="B3" s="261" t="s">
        <v>211</v>
      </c>
      <c r="C3" s="261" t="s">
        <v>212</v>
      </c>
      <c r="D3" s="261" t="s">
        <v>213</v>
      </c>
      <c r="E3" s="261" t="s">
        <v>214</v>
      </c>
      <c r="F3" s="261" t="s">
        <v>215</v>
      </c>
      <c r="G3" s="261" t="s">
        <v>234</v>
      </c>
      <c r="I3" s="393"/>
      <c r="J3" s="393"/>
    </row>
    <row r="4" spans="1:10" x14ac:dyDescent="0.25">
      <c r="A4" s="223" t="s">
        <v>137</v>
      </c>
      <c r="B4" s="211">
        <v>96724795.024280831</v>
      </c>
      <c r="C4" s="211">
        <v>94832038.538780987</v>
      </c>
      <c r="D4" s="211">
        <v>95129529.225428075</v>
      </c>
      <c r="E4" s="211">
        <v>95892310.59872219</v>
      </c>
      <c r="F4" s="211">
        <v>95457419.912075117</v>
      </c>
      <c r="G4" s="211">
        <v>478036093.29928708</v>
      </c>
      <c r="H4" s="386">
        <f>SUM(B4:F4)</f>
        <v>478036093.29928726</v>
      </c>
      <c r="I4" s="388" t="e">
        <f>+GETPIVOTDATA("Suma de 2025 S/",$A$3,"UDT","REGION")-H4</f>
        <v>#REF!</v>
      </c>
    </row>
    <row r="5" spans="1:10" ht="31.25" x14ac:dyDescent="0.25">
      <c r="A5" s="223" t="s">
        <v>129</v>
      </c>
      <c r="B5" s="211">
        <v>58603983.751004666</v>
      </c>
      <c r="C5" s="211">
        <v>58952653.545707002</v>
      </c>
      <c r="D5" s="211">
        <v>59301323.340409338</v>
      </c>
      <c r="E5" s="211">
        <v>59998662.929814011</v>
      </c>
      <c r="F5" s="211">
        <v>59649993.135111675</v>
      </c>
      <c r="G5" s="211">
        <v>296506616.70204663</v>
      </c>
      <c r="H5" s="229">
        <f t="shared" ref="H5:H48" si="0">SUM(B5:F5)</f>
        <v>296506616.70204669</v>
      </c>
      <c r="I5" s="389" t="e">
        <f>+GETPIVOTDATA("Suma de 2025 S/",$A$3,"UDT","REGION","USA","Intervenciones Transversales X Región")-H5</f>
        <v>#REF!</v>
      </c>
      <c r="J5" s="390" t="s">
        <v>346</v>
      </c>
    </row>
    <row r="6" spans="1:10" x14ac:dyDescent="0.25">
      <c r="A6" s="223" t="s">
        <v>123</v>
      </c>
      <c r="B6" s="211">
        <v>13521120.000000002</v>
      </c>
      <c r="C6" s="211">
        <v>13521120.000000002</v>
      </c>
      <c r="D6" s="211">
        <v>13521120.000000002</v>
      </c>
      <c r="E6" s="211">
        <v>13521120.000000002</v>
      </c>
      <c r="F6" s="211">
        <v>13521120.000000002</v>
      </c>
      <c r="G6" s="211">
        <v>67605600</v>
      </c>
      <c r="H6" s="386">
        <f t="shared" si="0"/>
        <v>67605600.000000015</v>
      </c>
      <c r="I6" s="388">
        <f>+GETPIVOTDATA("Suma de 2025 S/",$A$3,"UDT","UDT ALTO HUALLAGA ")-H6</f>
        <v>410430493.29928708</v>
      </c>
    </row>
    <row r="7" spans="1:10" x14ac:dyDescent="0.25">
      <c r="A7" s="223" t="s">
        <v>138</v>
      </c>
      <c r="B7" s="211">
        <v>11513000</v>
      </c>
      <c r="C7" s="211">
        <v>11413000</v>
      </c>
      <c r="D7" s="211">
        <v>11413000</v>
      </c>
      <c r="E7" s="211">
        <v>11413000</v>
      </c>
      <c r="F7" s="211">
        <v>11413000</v>
      </c>
      <c r="G7" s="211">
        <v>57165000</v>
      </c>
      <c r="H7" s="229">
        <f t="shared" si="0"/>
        <v>57165000</v>
      </c>
      <c r="I7" s="388">
        <f>+GETPIVOTDATA("Suma de 2025 S/",$A$3,"UDT","UDT ALTO HUALLAGA ","USA","Predios de agricultura familiar con producción destinada al autoconsumo y productos de exportación, con título o sin título de propiedad.")-H7</f>
        <v>239341616.70204663</v>
      </c>
    </row>
    <row r="8" spans="1:10" x14ac:dyDescent="0.25">
      <c r="A8" s="223" t="s">
        <v>136</v>
      </c>
      <c r="B8" s="211">
        <v>5636382.6525878506</v>
      </c>
      <c r="C8" s="211">
        <v>5694638.9788817763</v>
      </c>
      <c r="D8" s="211">
        <v>5532495.3051757021</v>
      </c>
      <c r="E8" s="211">
        <v>5649007.9577635527</v>
      </c>
      <c r="F8" s="211">
        <v>5590751.6314696278</v>
      </c>
      <c r="G8" s="211">
        <v>28103276.525878508</v>
      </c>
      <c r="H8" s="229">
        <f t="shared" si="0"/>
        <v>28103276.525878511</v>
      </c>
      <c r="I8" s="388">
        <f>+GETPIVOTDATA("Suma de 2025 S/",$A$3,"UDT","UDT ALTO HUALLAGA ","USA","Intervenciones Transversales x UDT")-H8</f>
        <v>39502323.474121489</v>
      </c>
    </row>
    <row r="9" spans="1:10" x14ac:dyDescent="0.25">
      <c r="A9" s="223" t="s">
        <v>126</v>
      </c>
      <c r="B9" s="211">
        <v>3115309.5814068448</v>
      </c>
      <c r="C9" s="211">
        <v>3138474.8721102667</v>
      </c>
      <c r="D9" s="211">
        <v>3161640.1628136891</v>
      </c>
      <c r="E9" s="211">
        <v>3207970.7442205334</v>
      </c>
      <c r="F9" s="211">
        <v>3184805.453517111</v>
      </c>
      <c r="G9" s="211">
        <v>15808200.814068444</v>
      </c>
      <c r="H9" s="229">
        <f t="shared" si="0"/>
        <v>15808200.814068446</v>
      </c>
      <c r="I9" s="388">
        <f>+GETPIVOTDATA("Suma de 2025 S/",$A$3,"UDT","UDT ALTO HUALLAGA ","USA","Área de Conservación Regional Bosque Shunte y Mishollo")-H9</f>
        <v>41356799.185931556</v>
      </c>
    </row>
    <row r="10" spans="1:10" x14ac:dyDescent="0.25">
      <c r="A10" s="223" t="s">
        <v>125</v>
      </c>
      <c r="B10" s="211">
        <v>1373003.5498947622</v>
      </c>
      <c r="C10" s="211">
        <v>1302802.8248421436</v>
      </c>
      <c r="D10" s="211">
        <v>1382602.0997895247</v>
      </c>
      <c r="E10" s="211">
        <v>1317200.6496842871</v>
      </c>
      <c r="F10" s="211">
        <v>1312401.3747369058</v>
      </c>
      <c r="G10" s="211">
        <v>6688010.4989476232</v>
      </c>
      <c r="H10" s="229">
        <f t="shared" si="0"/>
        <v>6688010.4989476232</v>
      </c>
      <c r="I10" s="388">
        <f>+GETPIVOTDATA("Suma de 2025 S/",$A$3,"UDT","UDT ALTO HUALLAGA ","USA","Empresas comercializadoras de palma y sus derivados.")-H10</f>
        <v>21415266.026930884</v>
      </c>
    </row>
    <row r="11" spans="1:10" x14ac:dyDescent="0.25">
      <c r="A11" s="223" t="s">
        <v>122</v>
      </c>
      <c r="B11" s="211">
        <v>546000</v>
      </c>
      <c r="C11" s="211">
        <v>546000</v>
      </c>
      <c r="D11" s="211">
        <v>546000</v>
      </c>
      <c r="E11" s="211">
        <v>546000</v>
      </c>
      <c r="F11" s="211">
        <v>546000</v>
      </c>
      <c r="G11" s="211">
        <v>2730000</v>
      </c>
      <c r="H11" s="229">
        <f t="shared" si="0"/>
        <v>2730000</v>
      </c>
      <c r="I11" s="388">
        <f>+GETPIVOTDATA("Suma de 2025 S/",$A$3,"UDT","UDT ALTO HUALLAGA ","USA","Predios privados para ganadería de leche y carne")-H11</f>
        <v>13078200.814068444</v>
      </c>
    </row>
    <row r="12" spans="1:10" x14ac:dyDescent="0.25">
      <c r="A12" s="223" t="s">
        <v>131</v>
      </c>
      <c r="B12" s="211">
        <v>2235995.4893866875</v>
      </c>
      <c r="C12" s="211">
        <v>83348.317239807671</v>
      </c>
      <c r="D12" s="211">
        <v>91348.317239807671</v>
      </c>
      <c r="E12" s="211">
        <v>59348.317239807671</v>
      </c>
      <c r="F12" s="211">
        <v>59348.317239807671</v>
      </c>
      <c r="G12" s="211">
        <v>2529388.7583459183</v>
      </c>
      <c r="H12" s="229">
        <f t="shared" si="0"/>
        <v>2529388.7583459173</v>
      </c>
      <c r="I12" s="388">
        <f>+GETPIVOTDATA("Suma de 2025 S/",$A$3,"UDT","UDT ALTO HUALLAGA ","USA","Predios privados dedicados a la producción comercial (arroz) ")-H12</f>
        <v>4158621.7406017059</v>
      </c>
    </row>
    <row r="13" spans="1:10" x14ac:dyDescent="0.25">
      <c r="A13" s="223" t="s">
        <v>121</v>
      </c>
      <c r="B13" s="211">
        <v>180000</v>
      </c>
      <c r="C13" s="211">
        <v>180000</v>
      </c>
      <c r="D13" s="211">
        <v>180000</v>
      </c>
      <c r="E13" s="211">
        <v>180000</v>
      </c>
      <c r="F13" s="211">
        <v>180000</v>
      </c>
      <c r="G13" s="211">
        <v>900000</v>
      </c>
      <c r="H13" s="229">
        <f t="shared" si="0"/>
        <v>900000</v>
      </c>
      <c r="I13" s="388">
        <f>+GETPIVOTDATA("Suma de 2025 S/",$A$3,"UDT","UDT ALTO HUALLAGA ","USA","Tierras sin categoría territorial asignada")-H13</f>
        <v>1629388.7583459183</v>
      </c>
    </row>
    <row r="14" spans="1:10" x14ac:dyDescent="0.25">
      <c r="A14" s="223" t="s">
        <v>132</v>
      </c>
      <c r="B14" s="211">
        <v>112900928.41443813</v>
      </c>
      <c r="C14" s="211">
        <v>111001618.83098565</v>
      </c>
      <c r="D14" s="211">
        <v>112096833.88282923</v>
      </c>
      <c r="E14" s="211">
        <v>114084763.98651645</v>
      </c>
      <c r="F14" s="211">
        <v>112957048.93467283</v>
      </c>
      <c r="G14" s="211">
        <v>563041194.04944217</v>
      </c>
      <c r="H14" s="229">
        <f t="shared" si="0"/>
        <v>563041194.04944229</v>
      </c>
      <c r="I14" s="388">
        <f>+GETPIVOTDATA("Suma de 2025 S/",$A$3,"UDT","UDT ALTO HUALLAGA ","USA","Concesiones para conservación y ecoturismo ")-H14</f>
        <v>-560311194.04944229</v>
      </c>
    </row>
    <row r="15" spans="1:10" ht="31.25" x14ac:dyDescent="0.25">
      <c r="A15" s="223" t="s">
        <v>129</v>
      </c>
      <c r="B15" s="211">
        <v>57226423.108262584</v>
      </c>
      <c r="C15" s="211">
        <v>58246955.062393889</v>
      </c>
      <c r="D15" s="211">
        <v>59267487.016525179</v>
      </c>
      <c r="E15" s="211">
        <v>61308550.924787775</v>
      </c>
      <c r="F15" s="211">
        <v>60288018.970656469</v>
      </c>
      <c r="G15" s="211">
        <v>296337435.08262587</v>
      </c>
      <c r="H15" s="229">
        <f t="shared" si="0"/>
        <v>296337435.08262587</v>
      </c>
      <c r="I15" s="388">
        <f>+GETPIVOTDATA("Suma de 2025 S/",$A$3,"UDT","UDT ALTO HUALLAGA ","USA","Concesiones Forestales Maderables ")-H15</f>
        <v>-295437435.08262587</v>
      </c>
    </row>
    <row r="16" spans="1:10" x14ac:dyDescent="0.25">
      <c r="A16" s="223" t="s">
        <v>123</v>
      </c>
      <c r="B16" s="211">
        <v>33438023.750000007</v>
      </c>
      <c r="C16" s="211">
        <v>33438023.750000007</v>
      </c>
      <c r="D16" s="211">
        <v>33438023.750000007</v>
      </c>
      <c r="E16" s="211">
        <v>33438023.750000007</v>
      </c>
      <c r="F16" s="211">
        <v>33438023.750000007</v>
      </c>
      <c r="G16" s="211">
        <v>167190118.75000003</v>
      </c>
      <c r="H16" s="386">
        <f t="shared" si="0"/>
        <v>167190118.75000003</v>
      </c>
      <c r="I16" s="388">
        <f>+GETPIVOTDATA("Suma de 2025 S/",$A$3,"UDT","UDT ALTO MAYO")-H16</f>
        <v>395851075.29944217</v>
      </c>
    </row>
    <row r="17" spans="1:10" x14ac:dyDescent="0.25">
      <c r="A17" s="223" t="s">
        <v>130</v>
      </c>
      <c r="B17" s="211">
        <v>6044800</v>
      </c>
      <c r="C17" s="211">
        <v>6044800</v>
      </c>
      <c r="D17" s="211">
        <v>6044800</v>
      </c>
      <c r="E17" s="211">
        <v>6044800</v>
      </c>
      <c r="F17" s="211">
        <v>6044800</v>
      </c>
      <c r="G17" s="211">
        <v>30224000</v>
      </c>
      <c r="H17" s="229">
        <f t="shared" si="0"/>
        <v>30224000</v>
      </c>
      <c r="I17" s="388">
        <f>+GETPIVOTDATA("Suma de 2025 S/",$A$3,"UDT","UDT ALTO MAYO","USA","Predios de agricultura familiar con producción destinada al autoconsumo y productos de exportación, con título o sin título de propiedad.")-H17</f>
        <v>266113435.08262587</v>
      </c>
    </row>
    <row r="18" spans="1:10" x14ac:dyDescent="0.25">
      <c r="A18" s="223" t="s">
        <v>126</v>
      </c>
      <c r="B18" s="211">
        <v>5660052.8592694364</v>
      </c>
      <c r="C18" s="211">
        <v>5703945.2889041547</v>
      </c>
      <c r="D18" s="211">
        <v>5747837.7185388729</v>
      </c>
      <c r="E18" s="211">
        <v>5835622.5778083103</v>
      </c>
      <c r="F18" s="211">
        <v>5791730.1481735911</v>
      </c>
      <c r="G18" s="211">
        <v>28739188.592694364</v>
      </c>
      <c r="H18" s="229">
        <f t="shared" si="0"/>
        <v>28739188.592694364</v>
      </c>
      <c r="I18" s="388">
        <f>+GETPIVOTDATA("Suma de 2025 S/",$A$3,"UDT","UDT ALTO MAYO","USA","Intervenciones Transversales x UDT")-H18</f>
        <v>138450930.15730566</v>
      </c>
    </row>
    <row r="19" spans="1:10" x14ac:dyDescent="0.25">
      <c r="A19" s="223" t="s">
        <v>125</v>
      </c>
      <c r="B19" s="211">
        <v>4792782.3361551743</v>
      </c>
      <c r="C19" s="211">
        <v>4668573.0042327615</v>
      </c>
      <c r="D19" s="211">
        <v>4919363.6723103486</v>
      </c>
      <c r="E19" s="211">
        <v>4858445.008465522</v>
      </c>
      <c r="F19" s="211">
        <v>4795154.3403879348</v>
      </c>
      <c r="G19" s="211">
        <v>24034318.361551739</v>
      </c>
      <c r="H19" s="229">
        <f t="shared" si="0"/>
        <v>24034318.361551739</v>
      </c>
      <c r="I19" s="388">
        <f>+GETPIVOTDATA("Suma de 2025 S/",$A$3,"UDT","UDT ALTO MAYO","USA","Territorios de comunidades nativas")-H19</f>
        <v>6189681.6384482607</v>
      </c>
    </row>
    <row r="20" spans="1:10" x14ac:dyDescent="0.25">
      <c r="A20" s="223" t="s">
        <v>133</v>
      </c>
      <c r="B20" s="211">
        <v>1934000</v>
      </c>
      <c r="C20" s="211">
        <v>1934000</v>
      </c>
      <c r="D20" s="211">
        <v>1934000</v>
      </c>
      <c r="E20" s="211">
        <v>1934000</v>
      </c>
      <c r="F20" s="211">
        <v>1934000</v>
      </c>
      <c r="G20" s="211">
        <v>9670000</v>
      </c>
      <c r="H20" s="229">
        <f t="shared" si="0"/>
        <v>9670000</v>
      </c>
      <c r="I20" s="388">
        <f>+GETPIVOTDATA("Suma de 2025 S/",$A$3,"UDT","UDT ALTO MAYO","USA","Predios privados para ganadería de leche y carne")-H20</f>
        <v>19069188.592694364</v>
      </c>
    </row>
    <row r="21" spans="1:10" x14ac:dyDescent="0.25">
      <c r="A21" s="223" t="s">
        <v>131</v>
      </c>
      <c r="B21" s="211">
        <v>2883872.9341774723</v>
      </c>
      <c r="C21" s="211">
        <v>54848.298881380157</v>
      </c>
      <c r="D21" s="211">
        <v>59848.298881380157</v>
      </c>
      <c r="E21" s="211">
        <v>39848.298881380157</v>
      </c>
      <c r="F21" s="211">
        <v>39848.298881380157</v>
      </c>
      <c r="G21" s="211">
        <v>3078266.1297029927</v>
      </c>
      <c r="H21" s="229">
        <f t="shared" si="0"/>
        <v>3078266.1297029937</v>
      </c>
      <c r="I21" s="388">
        <f>+GETPIVOTDATA("Suma de 2025 S/",$A$3,"UDT","UDT ALTO MAYO","USA","Predios privados dedicados a la producción comercial (arroz) ")-H21</f>
        <v>20956052.231848747</v>
      </c>
    </row>
    <row r="22" spans="1:10" x14ac:dyDescent="0.25">
      <c r="A22" s="223" t="s">
        <v>122</v>
      </c>
      <c r="B22" s="211">
        <v>640000</v>
      </c>
      <c r="C22" s="211">
        <v>640000</v>
      </c>
      <c r="D22" s="211">
        <v>400000</v>
      </c>
      <c r="E22" s="211">
        <v>400000</v>
      </c>
      <c r="F22" s="211">
        <v>400000</v>
      </c>
      <c r="G22" s="211">
        <v>2480000</v>
      </c>
      <c r="H22" s="229">
        <f t="shared" si="0"/>
        <v>2480000</v>
      </c>
      <c r="I22" s="388">
        <f>+GETPIVOTDATA("Suma de 2025 S/",$A$3,"UDT","UDT ALTO MAYO","USA","ZOCRES")-H22</f>
        <v>-1192132.8671328302</v>
      </c>
    </row>
    <row r="23" spans="1:10" x14ac:dyDescent="0.25">
      <c r="A23" s="223" t="s">
        <v>127</v>
      </c>
      <c r="B23" s="211">
        <v>280973.42657343397</v>
      </c>
      <c r="C23" s="211">
        <v>270473.42657343397</v>
      </c>
      <c r="D23" s="211">
        <v>285473.42657343397</v>
      </c>
      <c r="E23" s="211">
        <v>225473.42657343397</v>
      </c>
      <c r="F23" s="211">
        <v>225473.42657343397</v>
      </c>
      <c r="G23" s="211">
        <v>1287867.1328671698</v>
      </c>
      <c r="H23" s="229">
        <f t="shared" si="0"/>
        <v>1287867.1328671698</v>
      </c>
      <c r="I23" s="388">
        <f>+GETPIVOTDATA("Suma de 2025 S/",$A$3,"UDT","UDT ALTO MAYO","USA","Bosque de Protección Alto Mayo")-H23</f>
        <v>8382132.8671328304</v>
      </c>
    </row>
    <row r="24" spans="1:10" x14ac:dyDescent="0.25">
      <c r="A24" s="223" t="s">
        <v>134</v>
      </c>
      <c r="B24" s="211">
        <v>92043940.67065005</v>
      </c>
      <c r="C24" s="211">
        <v>89487844.091680408</v>
      </c>
      <c r="D24" s="211">
        <v>91026815.766164675</v>
      </c>
      <c r="E24" s="211">
        <v>88185559.115133241</v>
      </c>
      <c r="F24" s="211">
        <v>87836187.440648973</v>
      </c>
      <c r="G24" s="211">
        <v>448580347.08427739</v>
      </c>
      <c r="H24" s="229">
        <f t="shared" si="0"/>
        <v>448580347.08427733</v>
      </c>
      <c r="I24" s="388">
        <f>+GETPIVOTDATA("Suma de 2025 S/",$A$3,"UDT","UDT ALTO MAYO","USA","Tierras sin categoría territorial asignada")-H24</f>
        <v>-445502080.95457435</v>
      </c>
    </row>
    <row r="25" spans="1:10" ht="31.25" x14ac:dyDescent="0.25">
      <c r="A25" s="223" t="s">
        <v>129</v>
      </c>
      <c r="B25" s="211">
        <v>51457751.357131071</v>
      </c>
      <c r="C25" s="211">
        <v>51774177.906096607</v>
      </c>
      <c r="D25" s="211">
        <v>52090604.455062144</v>
      </c>
      <c r="E25" s="211">
        <v>52723457.552993216</v>
      </c>
      <c r="F25" s="211">
        <v>52407031.00402768</v>
      </c>
      <c r="G25" s="211">
        <v>260453022.2753107</v>
      </c>
      <c r="H25" s="229">
        <f t="shared" si="0"/>
        <v>260453022.2753107</v>
      </c>
      <c r="I25" s="388">
        <f>+GETPIVOTDATA("Suma de 2025 S/",$A$3,"UDT","UDT ALTO MAYO","USA","Concesiones para conservación y ecoturismo ")-H25</f>
        <v>-257973022.2753107</v>
      </c>
    </row>
    <row r="26" spans="1:10" x14ac:dyDescent="0.25">
      <c r="A26" s="209" t="s">
        <v>130</v>
      </c>
      <c r="B26" s="211">
        <v>13873400</v>
      </c>
      <c r="C26" s="211">
        <v>13873400</v>
      </c>
      <c r="D26" s="211">
        <v>13873400</v>
      </c>
      <c r="E26" s="211">
        <v>13873400</v>
      </c>
      <c r="F26" s="211">
        <v>13873400</v>
      </c>
      <c r="G26" s="211">
        <v>69367000</v>
      </c>
      <c r="H26" s="386">
        <f t="shared" si="0"/>
        <v>69367000</v>
      </c>
      <c r="I26" s="388">
        <f>+GETPIVOTDATA("Suma de 2025 S/",$A$3,"UDT","UDT BAJO HUALLAGA")-H26</f>
        <v>379213347.08427739</v>
      </c>
      <c r="J26" s="391"/>
    </row>
    <row r="27" spans="1:10" x14ac:dyDescent="0.25">
      <c r="A27" s="223" t="s">
        <v>135</v>
      </c>
      <c r="B27" s="211">
        <v>10397000</v>
      </c>
      <c r="C27" s="211">
        <v>10397000</v>
      </c>
      <c r="D27" s="211">
        <v>10397000</v>
      </c>
      <c r="E27" s="211">
        <v>10397000</v>
      </c>
      <c r="F27" s="211">
        <v>10397000</v>
      </c>
      <c r="G27" s="211">
        <v>51985000</v>
      </c>
      <c r="H27" s="229">
        <f t="shared" si="0"/>
        <v>51985000</v>
      </c>
      <c r="I27" s="388">
        <f>+GETPIVOTDATA("Suma de 2025 S/",$A$3,"UDT","UDT BAJO HUALLAGA","USA","Predios de agricultura familiar con producción destinada al autoconsumo y productos de exportación, con título o sin título de propiedad.")-H27</f>
        <v>208468022.2753107</v>
      </c>
    </row>
    <row r="28" spans="1:10" x14ac:dyDescent="0.25">
      <c r="A28" s="223" t="s">
        <v>123</v>
      </c>
      <c r="B28" s="211">
        <v>7557061.5000000009</v>
      </c>
      <c r="C28" s="211">
        <v>8257061.5000000009</v>
      </c>
      <c r="D28" s="211">
        <v>9657061.5</v>
      </c>
      <c r="E28" s="211">
        <v>6157061.5000000009</v>
      </c>
      <c r="F28" s="211">
        <v>6157061.5000000009</v>
      </c>
      <c r="G28" s="211">
        <v>37785307.5</v>
      </c>
      <c r="H28" s="229">
        <f t="shared" si="0"/>
        <v>37785307.5</v>
      </c>
      <c r="I28" s="388" t="e">
        <f>+GETPIVOTDATA("Suma de 2025 S/",$A$3,"UDT","UDT BAJO HUALLAGA","USA","Territorio de comunidades nativas")-H28</f>
        <v>#REF!</v>
      </c>
    </row>
    <row r="29" spans="1:10" x14ac:dyDescent="0.25">
      <c r="A29" s="223" t="s">
        <v>126</v>
      </c>
      <c r="B29" s="211">
        <v>2658892.5794686847</v>
      </c>
      <c r="C29" s="211">
        <v>2671889.8692030273</v>
      </c>
      <c r="D29" s="211">
        <v>2684887.1589373695</v>
      </c>
      <c r="E29" s="211">
        <v>2710881.7384060542</v>
      </c>
      <c r="F29" s="211">
        <v>2697884.4486717116</v>
      </c>
      <c r="G29" s="211">
        <v>13424435.794686846</v>
      </c>
      <c r="H29" s="229">
        <f t="shared" si="0"/>
        <v>13424435.794686846</v>
      </c>
      <c r="I29" s="388">
        <f>+GETPIVOTDATA("Suma de 2025 S/",$A$3,"UDT","UDT BAJO HUALLAGA","USA","ACR Cordillera Escalera ")-H29</f>
        <v>38560564.205313154</v>
      </c>
    </row>
    <row r="30" spans="1:10" x14ac:dyDescent="0.25">
      <c r="A30" s="223" t="s">
        <v>136</v>
      </c>
      <c r="B30" s="211">
        <v>1738140.671568803</v>
      </c>
      <c r="C30" s="211">
        <v>1758088.5073532045</v>
      </c>
      <c r="D30" s="211">
        <v>1557636.343137606</v>
      </c>
      <c r="E30" s="211">
        <v>1597532.0147064091</v>
      </c>
      <c r="F30" s="211">
        <v>1577584.1789220076</v>
      </c>
      <c r="G30" s="211">
        <v>8228981.7156880293</v>
      </c>
      <c r="H30" s="229">
        <f t="shared" si="0"/>
        <v>8228981.7156880302</v>
      </c>
      <c r="I30" s="389">
        <f>+GETPIVOTDATA("Suma de 2025 S/",$A$3,"UDT","UDT BAJO HUALLAGA","USA","Intervenciones Transversales x UDT")-H30</f>
        <v>29556325.784311969</v>
      </c>
      <c r="J30" s="390" t="s">
        <v>346</v>
      </c>
    </row>
    <row r="31" spans="1:10" x14ac:dyDescent="0.25">
      <c r="A31" s="223" t="s">
        <v>131</v>
      </c>
      <c r="B31" s="211">
        <v>3756824.4402282936</v>
      </c>
      <c r="C31" s="211">
        <v>157356.18677436834</v>
      </c>
      <c r="D31" s="211">
        <v>159356.18677436834</v>
      </c>
      <c r="E31" s="211">
        <v>151356.18677436834</v>
      </c>
      <c r="F31" s="211">
        <v>151356.18677436834</v>
      </c>
      <c r="G31" s="211">
        <v>4376249.1873257672</v>
      </c>
      <c r="H31" s="229">
        <f t="shared" si="0"/>
        <v>4376249.1873257672</v>
      </c>
      <c r="I31" s="388">
        <f>+GETPIVOTDATA("Suma de 2025 S/",$A$3,"UDT","UDT BAJO HUALLAGA","USA","Predios privados para ganadería de leche y carne")-H31</f>
        <v>9048186.6073610783</v>
      </c>
    </row>
    <row r="32" spans="1:10" x14ac:dyDescent="0.25">
      <c r="A32" s="223" t="s">
        <v>122</v>
      </c>
      <c r="B32" s="211">
        <v>446000</v>
      </c>
      <c r="C32" s="211">
        <v>446000</v>
      </c>
      <c r="D32" s="211">
        <v>446000</v>
      </c>
      <c r="E32" s="211">
        <v>446000</v>
      </c>
      <c r="F32" s="211">
        <v>446000</v>
      </c>
      <c r="G32" s="211">
        <v>2230000</v>
      </c>
      <c r="H32" s="229">
        <f t="shared" si="0"/>
        <v>2230000</v>
      </c>
      <c r="I32" s="388">
        <f>+GETPIVOTDATA("Suma de 2025 S/",$A$3,"UDT","UDT BAJO HUALLAGA","USA","Tierras sin categoría territorial asignada")-H32</f>
        <v>2146249.1873257672</v>
      </c>
    </row>
    <row r="33" spans="1:10" x14ac:dyDescent="0.25">
      <c r="A33" s="223" t="s">
        <v>127</v>
      </c>
      <c r="B33" s="211">
        <v>158870.12225319972</v>
      </c>
      <c r="C33" s="211">
        <v>152870.12225319972</v>
      </c>
      <c r="D33" s="211">
        <v>160870.12225319972</v>
      </c>
      <c r="E33" s="211">
        <v>128870.12225319975</v>
      </c>
      <c r="F33" s="211">
        <v>128870.12225319975</v>
      </c>
      <c r="G33" s="211">
        <v>730350.61126599868</v>
      </c>
      <c r="H33" s="229">
        <f t="shared" si="0"/>
        <v>730350.6112659988</v>
      </c>
      <c r="I33" s="388">
        <f>+GETPIVOTDATA("Suma de 2025 S/",$A$3,"UDT","UDT BAJO HUALLAGA","USA","Empresas comercializadoras de palma y sus derivados.")-H33</f>
        <v>7498631.104422031</v>
      </c>
    </row>
    <row r="34" spans="1:10" x14ac:dyDescent="0.25">
      <c r="A34" s="223" t="s">
        <v>120</v>
      </c>
      <c r="B34" s="211">
        <v>274675149.49461436</v>
      </c>
      <c r="C34" s="211">
        <v>255704912.9961639</v>
      </c>
      <c r="D34" s="211">
        <v>259604089.62842441</v>
      </c>
      <c r="E34" s="211">
        <v>266118322.39294538</v>
      </c>
      <c r="F34" s="211">
        <v>263236101.26068491</v>
      </c>
      <c r="G34" s="211">
        <v>1319338575.7728329</v>
      </c>
      <c r="H34" s="229">
        <f t="shared" si="0"/>
        <v>1319338575.7728329</v>
      </c>
      <c r="I34" s="389">
        <f>+GETPIVOTDATA("Suma de 2025 S/",$A$3,"UDT","UDT BAJO HUALLAGA","USA","ZOCRES")-H34</f>
        <v>-1318608225.161567</v>
      </c>
      <c r="J34" s="390" t="s">
        <v>346</v>
      </c>
    </row>
    <row r="35" spans="1:10" ht="31.25" x14ac:dyDescent="0.25">
      <c r="A35" s="223" t="s">
        <v>129</v>
      </c>
      <c r="B35" s="211">
        <v>158749759.27891666</v>
      </c>
      <c r="C35" s="211">
        <v>160181862.718375</v>
      </c>
      <c r="D35" s="211">
        <v>162248934.15783334</v>
      </c>
      <c r="E35" s="211">
        <v>165762884.03674996</v>
      </c>
      <c r="F35" s="211">
        <v>162381230.59729165</v>
      </c>
      <c r="G35" s="211">
        <v>809324670.78916657</v>
      </c>
      <c r="H35" s="229">
        <f t="shared" si="0"/>
        <v>809324670.78916669</v>
      </c>
      <c r="I35" s="388">
        <f>+GETPIVOTDATA("Suma de 2025 S/",$A$3,"UDT","UDT BAJO HUALLAGA","USA","Concesiones para conservación y ecoturismo ")-H35</f>
        <v>-807094670.78916669</v>
      </c>
    </row>
    <row r="36" spans="1:10" x14ac:dyDescent="0.25">
      <c r="A36" s="223" t="s">
        <v>123</v>
      </c>
      <c r="B36" s="211">
        <v>57182595.250000007</v>
      </c>
      <c r="C36" s="211">
        <v>57182595.250000007</v>
      </c>
      <c r="D36" s="211">
        <v>57182595.250000007</v>
      </c>
      <c r="E36" s="211">
        <v>57182595.250000007</v>
      </c>
      <c r="F36" s="211">
        <v>57182595.250000007</v>
      </c>
      <c r="G36" s="211">
        <v>285912976.25</v>
      </c>
      <c r="H36" s="386">
        <f t="shared" si="0"/>
        <v>285912976.25000006</v>
      </c>
      <c r="I36" s="388">
        <f>+GETPIVOTDATA("Suma de 2025 S/",$A$3,"UDT","UDT HUALLAGA CENTRAL Y BAJO MAYO")-H36</f>
        <v>1033425599.5228329</v>
      </c>
    </row>
    <row r="37" spans="1:10" x14ac:dyDescent="0.25">
      <c r="A37" s="223" t="s">
        <v>130</v>
      </c>
      <c r="B37" s="211">
        <v>19409430</v>
      </c>
      <c r="C37" s="211">
        <v>19409430</v>
      </c>
      <c r="D37" s="211">
        <v>19409430</v>
      </c>
      <c r="E37" s="211">
        <v>19409430</v>
      </c>
      <c r="F37" s="211">
        <v>19409430</v>
      </c>
      <c r="G37" s="211">
        <v>97047150</v>
      </c>
      <c r="H37" s="229">
        <f t="shared" si="0"/>
        <v>97047150</v>
      </c>
      <c r="I37" s="388">
        <f>+GETPIVOTDATA("Suma de 2025 S/",$A$3,"UDT","UDT HUALLAGA CENTRAL Y BAJO MAYO","USA","Predios de agricultura familiar con producción destinada al autoconsumo y productos de exportación, con título o sin título de propiedad.")-GETPIVOTDATA("Suma de 2025 S/",$A$3,"UDT","UDT HUALLAGA CENTRAL Y BAJO MAYO","USA","Predios de agricultura familiar con producción destinada al autoconsumo y productos de exportación, con título o sin título de propiedad.")</f>
        <v>0</v>
      </c>
    </row>
    <row r="38" spans="1:10" x14ac:dyDescent="0.25">
      <c r="A38" s="223" t="s">
        <v>126</v>
      </c>
      <c r="B38" s="211">
        <v>8577128.553240357</v>
      </c>
      <c r="C38" s="211">
        <v>9253110.3298605345</v>
      </c>
      <c r="D38" s="211">
        <v>9902378.3564807139</v>
      </c>
      <c r="E38" s="211">
        <v>11993565.659721071</v>
      </c>
      <c r="F38" s="211">
        <v>11700552.633100893</v>
      </c>
      <c r="G38" s="211">
        <v>51426735.532403573</v>
      </c>
      <c r="H38" s="229">
        <f t="shared" si="0"/>
        <v>51426735.532403573</v>
      </c>
      <c r="I38" s="388">
        <f>+GETPIVOTDATA("Suma de 2025 S/",$A$3,"UDT","UDT HUALLAGA CENTRAL Y BAJO MAYO","USA","Intervenciones Transversales x UDT")-H38</f>
        <v>234486240.71759641</v>
      </c>
    </row>
    <row r="39" spans="1:10" x14ac:dyDescent="0.25">
      <c r="A39" s="223" t="s">
        <v>125</v>
      </c>
      <c r="B39" s="211">
        <v>4992898.1323639899</v>
      </c>
      <c r="C39" s="211">
        <v>5941360.2985459846</v>
      </c>
      <c r="D39" s="211">
        <v>7109197.4647279801</v>
      </c>
      <c r="E39" s="211">
        <v>8186293.0470919702</v>
      </c>
      <c r="F39" s="211">
        <v>8978738.3809099756</v>
      </c>
      <c r="G39" s="211">
        <v>35208487.323639899</v>
      </c>
      <c r="H39" s="229">
        <f t="shared" si="0"/>
        <v>35208487.323639899</v>
      </c>
      <c r="I39" s="388">
        <f>+GETPIVOTDATA("Suma de 2025 S/",$A$3,"UDT","UDT HUALLAGA CENTRAL Y BAJO MAYO","USA","Territorios de comunidades nativas")-H39</f>
        <v>61838662.676360101</v>
      </c>
    </row>
    <row r="40" spans="1:10" x14ac:dyDescent="0.25">
      <c r="A40" s="223" t="s">
        <v>131</v>
      </c>
      <c r="B40" s="211">
        <v>22488016.583843399</v>
      </c>
      <c r="C40" s="211">
        <v>410232.70313244802</v>
      </c>
      <c r="D40" s="211">
        <v>420232.70313244802</v>
      </c>
      <c r="E40" s="211">
        <v>380232.70313244802</v>
      </c>
      <c r="F40" s="211">
        <v>380232.70313244802</v>
      </c>
      <c r="G40" s="211">
        <v>24078947.396373194</v>
      </c>
      <c r="H40" s="229">
        <f t="shared" si="0"/>
        <v>24078947.396373186</v>
      </c>
      <c r="I40" s="388">
        <f>+GETPIVOTDATA("Suma de 2025 S/",$A$3,"UDT","UDT HUALLAGA CENTRAL Y BAJO MAYO","USA","Predios privados para ganadería de leche y carne")-H40</f>
        <v>27347788.136030387</v>
      </c>
    </row>
    <row r="41" spans="1:10" x14ac:dyDescent="0.25">
      <c r="A41" s="223" t="s">
        <v>124</v>
      </c>
      <c r="B41" s="211">
        <v>1728000</v>
      </c>
      <c r="C41" s="211">
        <v>1728000</v>
      </c>
      <c r="D41" s="211">
        <v>1728000</v>
      </c>
      <c r="E41" s="211">
        <v>1728000</v>
      </c>
      <c r="F41" s="211">
        <v>1728000</v>
      </c>
      <c r="G41" s="211">
        <v>8640000</v>
      </c>
      <c r="H41" s="229">
        <f t="shared" si="0"/>
        <v>8640000</v>
      </c>
      <c r="I41" s="388">
        <f>+GETPIVOTDATA("Suma de 2025 S/",$A$3,"UDT","UDT HUALLAGA CENTRAL Y BAJO MAYO","USA","Tierras sin categoría territorial asignada")-H41</f>
        <v>15438947.396373194</v>
      </c>
    </row>
    <row r="42" spans="1:10" x14ac:dyDescent="0.25">
      <c r="A42" s="223" t="s">
        <v>122</v>
      </c>
      <c r="B42" s="211">
        <v>886000</v>
      </c>
      <c r="C42" s="211">
        <v>886000</v>
      </c>
      <c r="D42" s="211">
        <v>886000</v>
      </c>
      <c r="E42" s="211">
        <v>886000</v>
      </c>
      <c r="F42" s="211">
        <v>886000</v>
      </c>
      <c r="G42" s="211">
        <v>4430000</v>
      </c>
      <c r="H42" s="229">
        <f t="shared" si="0"/>
        <v>4430000</v>
      </c>
      <c r="I42" s="388">
        <f>+GETPIVOTDATA("Suma de 2025 S/",$A$3,"UDT","UDT HUALLAGA CENTRAL Y BAJO MAYO","USA","Predios privados dedicados a la producción comercial (arroz) ")-H42</f>
        <v>30778487.323639899</v>
      </c>
    </row>
    <row r="43" spans="1:10" x14ac:dyDescent="0.25">
      <c r="A43" s="223" t="s">
        <v>128</v>
      </c>
      <c r="B43" s="211">
        <v>360000</v>
      </c>
      <c r="C43" s="211">
        <v>360000</v>
      </c>
      <c r="D43" s="211">
        <v>360000</v>
      </c>
      <c r="E43" s="211">
        <v>360000</v>
      </c>
      <c r="F43" s="211">
        <v>360000</v>
      </c>
      <c r="G43" s="211">
        <v>1800000</v>
      </c>
      <c r="H43" s="229">
        <f t="shared" si="0"/>
        <v>1800000</v>
      </c>
      <c r="I43" s="388">
        <f>+GETPIVOTDATA("Suma de 2025 S/",$A$3,"UDT","UDT HUALLAGA CENTRAL Y BAJO MAYO","USA","Parque Nacional Cordillera Azul")-H43</f>
        <v>6840000</v>
      </c>
    </row>
    <row r="44" spans="1:10" x14ac:dyDescent="0.25">
      <c r="A44" s="223" t="s">
        <v>121</v>
      </c>
      <c r="B44" s="211">
        <v>224000</v>
      </c>
      <c r="C44" s="211">
        <v>278000</v>
      </c>
      <c r="D44" s="211">
        <v>278000</v>
      </c>
      <c r="E44" s="211">
        <v>170000</v>
      </c>
      <c r="F44" s="211">
        <v>170000</v>
      </c>
      <c r="G44" s="211">
        <v>1120000</v>
      </c>
      <c r="H44" s="229">
        <f t="shared" si="0"/>
        <v>1120000</v>
      </c>
      <c r="I44" s="388">
        <f>+GETPIVOTDATA("Suma de 2025 S/",$A$3,"UDT","UDT HUALLAGA CENTRAL Y BAJO MAYO","USA","Concesiones para conservación y ecoturismo ")-H44</f>
        <v>3310000</v>
      </c>
    </row>
    <row r="45" spans="1:10" x14ac:dyDescent="0.25">
      <c r="A45" s="223" t="s">
        <v>127</v>
      </c>
      <c r="B45" s="211">
        <v>77321.696249943445</v>
      </c>
      <c r="C45" s="211">
        <v>74321.696249943445</v>
      </c>
      <c r="D45" s="211">
        <v>79321.696249943445</v>
      </c>
      <c r="E45" s="211">
        <v>59321.696249943445</v>
      </c>
      <c r="F45" s="211">
        <v>59321.696249943445</v>
      </c>
      <c r="G45" s="211">
        <v>349608.48124971718</v>
      </c>
      <c r="H45" s="229">
        <f t="shared" si="0"/>
        <v>349608.48124971724</v>
      </c>
      <c r="I45" s="388">
        <f>+GETPIVOTDATA("Suma de 2025 S/",$A$3,"UDT","UDT HUALLAGA CENTRAL Y BAJO MAYO","USA","ZOCRES")-H45</f>
        <v>0</v>
      </c>
    </row>
    <row r="46" spans="1:10" x14ac:dyDescent="0.25">
      <c r="A46" s="223" t="s">
        <v>139</v>
      </c>
      <c r="B46" s="211">
        <v>27441404.85861139</v>
      </c>
      <c r="C46" s="211">
        <v>25169404.85861139</v>
      </c>
      <c r="D46" s="211">
        <v>25138904.85861139</v>
      </c>
      <c r="E46" s="211">
        <v>22938904.85861139</v>
      </c>
      <c r="F46" s="211">
        <v>22878904.85861139</v>
      </c>
      <c r="G46" s="211">
        <v>123607524.29305695</v>
      </c>
      <c r="H46" s="229">
        <f t="shared" si="0"/>
        <v>123567524.29305695</v>
      </c>
      <c r="I46" s="388">
        <f>+GETPIVOTDATA("Suma de 2025 S/",$A$3,"UDT","UDT HUALLAGA CENTRAL Y BAJO MAYO","USA","Parque Nacional del Río Abiseo")-H46</f>
        <v>-121767524.29305695</v>
      </c>
    </row>
    <row r="47" spans="1:10" x14ac:dyDescent="0.25">
      <c r="A47" s="195" t="s">
        <v>140</v>
      </c>
      <c r="B47" s="211">
        <v>27441404.85861139</v>
      </c>
      <c r="C47" s="211">
        <v>25169404.85861139</v>
      </c>
      <c r="D47" s="211">
        <v>25138904.85861139</v>
      </c>
      <c r="E47" s="211">
        <v>22938904.85861139</v>
      </c>
      <c r="F47" s="211">
        <v>22878904.85861139</v>
      </c>
      <c r="G47" s="211">
        <v>123607524.29305695</v>
      </c>
      <c r="H47" s="229">
        <f t="shared" si="0"/>
        <v>123567524.29305695</v>
      </c>
      <c r="I47" s="388">
        <f>+GETPIVOTDATA("Suma de 2025 S/",$A$3,"UDT","UDT HUALLAGA CENTRAL Y BAJO MAYO","USA","Concesiones Forestales Maderables ")-H47</f>
        <v>-122447524.29305695</v>
      </c>
    </row>
    <row r="48" spans="1:10" x14ac:dyDescent="0.25">
      <c r="A48" s="223" t="s">
        <v>141</v>
      </c>
      <c r="B48" s="211">
        <v>603786218.46259463</v>
      </c>
      <c r="C48" s="211">
        <v>576195819.31622219</v>
      </c>
      <c r="D48" s="211">
        <v>582996173.36145771</v>
      </c>
      <c r="E48" s="211">
        <v>587219860.9519285</v>
      </c>
      <c r="F48" s="211">
        <v>582365662.4066931</v>
      </c>
      <c r="G48" s="211">
        <v>2932603734.4988966</v>
      </c>
      <c r="H48" s="386">
        <f t="shared" si="0"/>
        <v>2932563734.4988961</v>
      </c>
      <c r="I48" s="388">
        <f>+GETPIVOTDATA("Suma de 2025 S/",$A$3)-H48</f>
        <v>40000.000000476837</v>
      </c>
    </row>
    <row r="51" spans="2:8" x14ac:dyDescent="0.25">
      <c r="B51" s="229"/>
      <c r="C51" s="229"/>
      <c r="D51" s="229"/>
      <c r="E51" s="229"/>
      <c r="F51" s="229"/>
      <c r="G51" s="229"/>
      <c r="H51" s="229"/>
    </row>
    <row r="53" spans="2:8" x14ac:dyDescent="0.25">
      <c r="B53" s="825"/>
      <c r="C53" s="825"/>
      <c r="D53" s="825"/>
      <c r="E53" s="825"/>
      <c r="F53" s="825"/>
      <c r="G53" s="71"/>
      <c r="H53" s="82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6600"/>
    <pageSetUpPr fitToPage="1"/>
  </sheetPr>
  <dimension ref="A1:AB996"/>
  <sheetViews>
    <sheetView showGridLines="0" zoomScale="130" zoomScaleNormal="130" workbookViewId="0">
      <pane ySplit="4" topLeftCell="A54" activePane="bottomLeft" state="frozen"/>
      <selection pane="bottomLeft" activeCell="E33" sqref="E33"/>
    </sheetView>
  </sheetViews>
  <sheetFormatPr baseColWidth="10" defaultColWidth="11.19921875" defaultRowHeight="14.95" customHeight="1" x14ac:dyDescent="0.15"/>
  <cols>
    <col min="1" max="1" width="3" style="80" customWidth="1"/>
    <col min="2" max="3" width="8.296875" style="80" customWidth="1"/>
    <col min="4" max="4" width="10.19921875" style="80" customWidth="1"/>
    <col min="5" max="5" width="20.8984375" style="80" customWidth="1"/>
    <col min="6" max="6" width="16.69921875" style="80" customWidth="1"/>
    <col min="7" max="7" width="7.8984375" style="80" customWidth="1"/>
    <col min="8" max="8" width="33.3984375" style="80" hidden="1" customWidth="1"/>
    <col min="9" max="9" width="9.8984375" style="80" hidden="1" customWidth="1"/>
    <col min="10" max="10" width="9" style="80" customWidth="1"/>
    <col min="11" max="12" width="9.09765625" style="80" customWidth="1"/>
    <col min="13" max="13" width="8.59765625" style="80" customWidth="1"/>
    <col min="14" max="14" width="7.59765625" style="80" customWidth="1"/>
    <col min="15" max="15" width="9.09765625" style="80" customWidth="1"/>
    <col min="16" max="16" width="9.8984375" style="80" customWidth="1"/>
    <col min="17" max="17" width="9.3984375" style="80" customWidth="1"/>
    <col min="18" max="18" width="10.3984375" style="80" customWidth="1"/>
    <col min="19" max="19" width="8.8984375" style="80" customWidth="1"/>
    <col min="20" max="20" width="8.69921875" style="80" customWidth="1"/>
    <col min="21" max="21" width="8.8984375" style="80" customWidth="1"/>
    <col min="22" max="22" width="10.3984375" style="80" customWidth="1"/>
    <col min="23" max="23" width="9.296875" style="80" customWidth="1"/>
    <col min="24" max="25" width="10.3984375" style="80" customWidth="1"/>
    <col min="26" max="26" width="7.796875" style="80" customWidth="1"/>
    <col min="27" max="28" width="10.796875" style="80" customWidth="1"/>
    <col min="29" max="16384" width="11.19921875" style="80"/>
  </cols>
  <sheetData>
    <row r="1" spans="1:28" ht="35" customHeight="1" x14ac:dyDescent="0.15"/>
    <row r="2" spans="1:28" ht="14.45" customHeight="1" x14ac:dyDescent="0.25">
      <c r="A2" s="79"/>
      <c r="B2" s="1380" t="s">
        <v>0</v>
      </c>
      <c r="C2" s="1381"/>
      <c r="D2" s="1381"/>
      <c r="E2" s="1381"/>
      <c r="F2" s="1381"/>
      <c r="G2" s="1381"/>
      <c r="H2" s="1381"/>
      <c r="I2" s="1381"/>
      <c r="J2" s="1381"/>
      <c r="K2" s="1381"/>
      <c r="L2" s="1381"/>
      <c r="M2" s="1381"/>
      <c r="N2" s="1381"/>
      <c r="O2" s="1381"/>
      <c r="P2" s="1381"/>
      <c r="Q2" s="1381"/>
      <c r="R2" s="1381"/>
      <c r="S2" s="1381"/>
      <c r="T2" s="1381"/>
      <c r="U2" s="1381"/>
      <c r="V2" s="1381"/>
      <c r="W2" s="1381"/>
      <c r="X2" s="1381"/>
      <c r="Y2" s="1381"/>
      <c r="Z2" s="1381"/>
      <c r="AA2" s="79"/>
      <c r="AB2" s="79"/>
    </row>
    <row r="3" spans="1:28" ht="25.5" customHeight="1" x14ac:dyDescent="0.15">
      <c r="A3" s="79"/>
      <c r="B3" s="1372" t="s">
        <v>1</v>
      </c>
      <c r="C3" s="1372" t="s">
        <v>2</v>
      </c>
      <c r="D3" s="1372" t="s">
        <v>3</v>
      </c>
      <c r="E3" s="1372" t="s">
        <v>4</v>
      </c>
      <c r="F3" s="1372" t="s">
        <v>5</v>
      </c>
      <c r="G3" s="1372" t="s">
        <v>6</v>
      </c>
      <c r="H3" s="1372" t="s">
        <v>7</v>
      </c>
      <c r="I3" s="1372" t="s">
        <v>8</v>
      </c>
      <c r="J3" s="1372" t="s">
        <v>9</v>
      </c>
      <c r="K3" s="1368"/>
      <c r="L3" s="1368"/>
      <c r="M3" s="1368"/>
      <c r="N3" s="821" t="s">
        <v>10</v>
      </c>
      <c r="O3" s="1372" t="s">
        <v>11</v>
      </c>
      <c r="P3" s="1368"/>
      <c r="Q3" s="1368"/>
      <c r="R3" s="1368"/>
      <c r="S3" s="1368"/>
      <c r="T3" s="1368"/>
      <c r="U3" s="1368"/>
      <c r="V3" s="1368"/>
      <c r="W3" s="1368"/>
      <c r="X3" s="1368"/>
      <c r="Y3" s="1368"/>
      <c r="Z3" s="1368"/>
      <c r="AA3" s="79"/>
      <c r="AB3" s="79"/>
    </row>
    <row r="4" spans="1:28" ht="33.799999999999997" customHeight="1" x14ac:dyDescent="0.15">
      <c r="A4" s="79"/>
      <c r="B4" s="1368"/>
      <c r="C4" s="1368"/>
      <c r="D4" s="1368"/>
      <c r="E4" s="1368"/>
      <c r="F4" s="1368"/>
      <c r="G4" s="1368"/>
      <c r="H4" s="1368"/>
      <c r="I4" s="1368"/>
      <c r="J4" s="821">
        <v>2014</v>
      </c>
      <c r="K4" s="821">
        <v>2015</v>
      </c>
      <c r="L4" s="821">
        <v>2016</v>
      </c>
      <c r="M4" s="821">
        <v>2017</v>
      </c>
      <c r="N4" s="821">
        <v>2018</v>
      </c>
      <c r="O4" s="821">
        <v>2019</v>
      </c>
      <c r="P4" s="821">
        <v>2020</v>
      </c>
      <c r="Q4" s="821">
        <v>2021</v>
      </c>
      <c r="R4" s="821">
        <v>2022</v>
      </c>
      <c r="S4" s="821">
        <v>2023</v>
      </c>
      <c r="T4" s="821">
        <v>2024</v>
      </c>
      <c r="U4" s="821">
        <v>2025</v>
      </c>
      <c r="V4" s="821">
        <v>2026</v>
      </c>
      <c r="W4" s="821">
        <v>2027</v>
      </c>
      <c r="X4" s="821">
        <v>2028</v>
      </c>
      <c r="Y4" s="821">
        <v>2029</v>
      </c>
      <c r="Z4" s="821">
        <v>2030</v>
      </c>
      <c r="AA4" s="79"/>
      <c r="AB4" s="79"/>
    </row>
    <row r="5" spans="1:28" ht="35.35" customHeight="1" x14ac:dyDescent="0.15">
      <c r="A5" s="79"/>
      <c r="B5" s="1367" t="s">
        <v>12</v>
      </c>
      <c r="C5" s="1369" t="s">
        <v>13</v>
      </c>
      <c r="D5" s="1369" t="s">
        <v>14</v>
      </c>
      <c r="E5" s="1356" t="s">
        <v>2748</v>
      </c>
      <c r="F5" s="157" t="s">
        <v>15</v>
      </c>
      <c r="G5" s="157" t="s">
        <v>16</v>
      </c>
      <c r="H5" s="157" t="s">
        <v>17</v>
      </c>
      <c r="I5" s="157" t="s">
        <v>15</v>
      </c>
      <c r="J5" s="132">
        <v>3.8</v>
      </c>
      <c r="K5" s="132">
        <v>4.0999999999999996</v>
      </c>
      <c r="L5" s="132">
        <v>3.9</v>
      </c>
      <c r="M5" s="132">
        <v>4</v>
      </c>
      <c r="N5" s="132">
        <v>4.3</v>
      </c>
      <c r="O5" s="132">
        <v>3.9</v>
      </c>
      <c r="P5" s="132">
        <f t="shared" ref="P5:T5" si="0">+(O5*$O$6)+O5</f>
        <v>3.9779999999999998</v>
      </c>
      <c r="Q5" s="132">
        <f t="shared" si="0"/>
        <v>4.0575599999999996</v>
      </c>
      <c r="R5" s="132">
        <f t="shared" si="0"/>
        <v>4.1387111999999995</v>
      </c>
      <c r="S5" s="132">
        <f t="shared" si="0"/>
        <v>4.221485423999999</v>
      </c>
      <c r="T5" s="132">
        <f t="shared" si="0"/>
        <v>4.3059151324799991</v>
      </c>
      <c r="U5" s="132">
        <f t="shared" ref="U5:Z5" si="1">+(T5*$U$6)+T5</f>
        <v>4.4566221621167994</v>
      </c>
      <c r="V5" s="132">
        <f t="shared" si="1"/>
        <v>4.6126039377908876</v>
      </c>
      <c r="W5" s="132">
        <f t="shared" si="1"/>
        <v>4.7740450756135688</v>
      </c>
      <c r="X5" s="132">
        <f t="shared" si="1"/>
        <v>4.9411366532600436</v>
      </c>
      <c r="Y5" s="132">
        <f t="shared" si="1"/>
        <v>5.1140764361241455</v>
      </c>
      <c r="Z5" s="132">
        <f t="shared" si="1"/>
        <v>5.2930691113884905</v>
      </c>
      <c r="AA5" s="79"/>
      <c r="AB5" s="79"/>
    </row>
    <row r="6" spans="1:28" ht="8.85" hidden="1" x14ac:dyDescent="0.15">
      <c r="A6" s="79"/>
      <c r="B6" s="1368"/>
      <c r="C6" s="1368"/>
      <c r="D6" s="1368"/>
      <c r="E6" s="822"/>
      <c r="F6" s="130"/>
      <c r="G6" s="130"/>
      <c r="H6" s="130"/>
      <c r="I6" s="130"/>
      <c r="J6" s="131"/>
      <c r="K6" s="131"/>
      <c r="L6" s="131"/>
      <c r="M6" s="131"/>
      <c r="N6" s="133"/>
      <c r="O6" s="134">
        <v>0.02</v>
      </c>
      <c r="P6" s="135"/>
      <c r="Q6" s="135"/>
      <c r="R6" s="135"/>
      <c r="S6" s="135"/>
      <c r="T6" s="135"/>
      <c r="U6" s="136">
        <v>3.5000000000000003E-2</v>
      </c>
      <c r="V6" s="132"/>
      <c r="W6" s="132"/>
      <c r="X6" s="132"/>
      <c r="Y6" s="132"/>
      <c r="Z6" s="137"/>
      <c r="AA6" s="79"/>
      <c r="AB6" s="79"/>
    </row>
    <row r="7" spans="1:28" ht="36" customHeight="1" x14ac:dyDescent="0.15">
      <c r="A7" s="79"/>
      <c r="B7" s="1368"/>
      <c r="C7" s="1368"/>
      <c r="D7" s="1368"/>
      <c r="E7" s="1356" t="s">
        <v>2736</v>
      </c>
      <c r="F7" s="130" t="s">
        <v>18</v>
      </c>
      <c r="G7" s="130" t="s">
        <v>16</v>
      </c>
      <c r="H7" s="130" t="s">
        <v>19</v>
      </c>
      <c r="I7" s="130" t="s">
        <v>20</v>
      </c>
      <c r="J7" s="138">
        <v>161.5</v>
      </c>
      <c r="K7" s="138">
        <v>83.7</v>
      </c>
      <c r="L7" s="138">
        <v>71.900000000000006</v>
      </c>
      <c r="M7" s="138">
        <v>95.8</v>
      </c>
      <c r="N7" s="138">
        <v>106</v>
      </c>
      <c r="O7" s="138">
        <v>105.6</v>
      </c>
      <c r="P7" s="138">
        <v>131</v>
      </c>
      <c r="Q7" s="138">
        <f>+(P7*P8)+P7</f>
        <v>134.93</v>
      </c>
      <c r="R7" s="138">
        <f>+(Q7*P8)+Q7</f>
        <v>138.97790000000001</v>
      </c>
      <c r="S7" s="138">
        <f>+(R7*P8)+R7</f>
        <v>143.14723700000002</v>
      </c>
      <c r="T7" s="138">
        <f>+(S7*P8)+S7</f>
        <v>147.44165411000003</v>
      </c>
      <c r="U7" s="139">
        <f>+(T7*P8)+T7</f>
        <v>151.86490373330003</v>
      </c>
      <c r="V7" s="139">
        <f>+(U7*U8)+P7</f>
        <v>131</v>
      </c>
      <c r="W7" s="139">
        <f t="shared" ref="W7" si="2">+(V7*V8)+V7</f>
        <v>134.93</v>
      </c>
      <c r="X7" s="139">
        <f>+(W7*V8)+W7</f>
        <v>138.97790000000001</v>
      </c>
      <c r="Y7" s="139">
        <f>+(X7*V8)+X7</f>
        <v>143.14723700000002</v>
      </c>
      <c r="Z7" s="139">
        <f>+(Y7*V8)+Y7</f>
        <v>147.44165411000003</v>
      </c>
      <c r="AA7" s="79"/>
      <c r="AB7" s="79"/>
    </row>
    <row r="8" spans="1:28" ht="8.85" hidden="1" x14ac:dyDescent="0.15">
      <c r="A8" s="79"/>
      <c r="B8" s="1368"/>
      <c r="C8" s="1368"/>
      <c r="D8" s="1368"/>
      <c r="E8" s="1356"/>
      <c r="F8" s="130"/>
      <c r="G8" s="130"/>
      <c r="H8" s="130"/>
      <c r="I8" s="130"/>
      <c r="J8" s="130"/>
      <c r="K8" s="130"/>
      <c r="L8" s="130"/>
      <c r="M8" s="140"/>
      <c r="N8" s="140"/>
      <c r="O8" s="134"/>
      <c r="P8" s="1342">
        <v>0.03</v>
      </c>
      <c r="Q8" s="135"/>
      <c r="R8" s="135"/>
      <c r="S8" s="135"/>
      <c r="T8" s="135"/>
      <c r="U8" s="137"/>
      <c r="V8" s="136">
        <v>0.03</v>
      </c>
      <c r="W8" s="137"/>
      <c r="X8" s="137"/>
      <c r="Y8" s="137"/>
      <c r="Z8" s="137"/>
      <c r="AA8" s="79"/>
      <c r="AB8" s="79"/>
    </row>
    <row r="9" spans="1:28" ht="25.5" customHeight="1" x14ac:dyDescent="0.15">
      <c r="A9" s="79"/>
      <c r="B9" s="1368"/>
      <c r="C9" s="1368"/>
      <c r="D9" s="1368"/>
      <c r="E9" s="1356" t="s">
        <v>21</v>
      </c>
      <c r="F9" s="130" t="s">
        <v>22</v>
      </c>
      <c r="G9" s="130" t="s">
        <v>16</v>
      </c>
      <c r="H9" s="130" t="s">
        <v>23</v>
      </c>
      <c r="I9" s="130" t="s">
        <v>24</v>
      </c>
      <c r="J9" s="141">
        <v>1317722</v>
      </c>
      <c r="K9" s="141">
        <v>1430568</v>
      </c>
      <c r="L9" s="141">
        <v>1473860</v>
      </c>
      <c r="M9" s="141">
        <v>1620453</v>
      </c>
      <c r="N9" s="141">
        <v>1634725</v>
      </c>
      <c r="O9" s="141">
        <f t="shared" ref="O9:U9" si="3">+(N9*$O$10)+N9</f>
        <v>1683766.75</v>
      </c>
      <c r="P9" s="141">
        <f t="shared" si="3"/>
        <v>1734279.7524999999</v>
      </c>
      <c r="Q9" s="141">
        <f t="shared" si="3"/>
        <v>1786308.1450749999</v>
      </c>
      <c r="R9" s="141">
        <f t="shared" si="3"/>
        <v>1839897.3894272498</v>
      </c>
      <c r="S9" s="141">
        <f t="shared" si="3"/>
        <v>1895094.3111100672</v>
      </c>
      <c r="T9" s="141">
        <f t="shared" si="3"/>
        <v>1951947.1404433693</v>
      </c>
      <c r="U9" s="142">
        <f t="shared" si="3"/>
        <v>2010505.5546566704</v>
      </c>
      <c r="V9" s="142">
        <f t="shared" ref="V9:Z9" si="4">+(U9*$V$10)+U9</f>
        <v>2080873.2490696539</v>
      </c>
      <c r="W9" s="142">
        <f t="shared" si="4"/>
        <v>2153703.8127870918</v>
      </c>
      <c r="X9" s="142">
        <f t="shared" si="4"/>
        <v>2229083.4462346402</v>
      </c>
      <c r="Y9" s="142">
        <f t="shared" si="4"/>
        <v>2307101.3668528525</v>
      </c>
      <c r="Z9" s="142">
        <f t="shared" si="4"/>
        <v>2387849.9146927022</v>
      </c>
      <c r="AA9" s="79"/>
      <c r="AB9" s="79"/>
    </row>
    <row r="10" spans="1:28" ht="8.85" hidden="1" x14ac:dyDescent="0.15">
      <c r="A10" s="79"/>
      <c r="B10" s="1368"/>
      <c r="C10" s="1368"/>
      <c r="D10" s="1368"/>
      <c r="E10" s="1356"/>
      <c r="F10" s="130"/>
      <c r="G10" s="130"/>
      <c r="H10" s="130"/>
      <c r="I10" s="130"/>
      <c r="J10" s="143"/>
      <c r="K10" s="143"/>
      <c r="L10" s="143"/>
      <c r="M10" s="324"/>
      <c r="N10" s="144"/>
      <c r="O10" s="134">
        <v>0.03</v>
      </c>
      <c r="P10" s="135"/>
      <c r="Q10" s="135"/>
      <c r="R10" s="135"/>
      <c r="S10" s="135"/>
      <c r="T10" s="135"/>
      <c r="U10" s="137"/>
      <c r="V10" s="136">
        <v>3.5000000000000003E-2</v>
      </c>
      <c r="W10" s="137"/>
      <c r="X10" s="137"/>
      <c r="Y10" s="137"/>
      <c r="Z10" s="137"/>
      <c r="AA10" s="79"/>
      <c r="AB10" s="79"/>
    </row>
    <row r="11" spans="1:28" ht="23.95" customHeight="1" x14ac:dyDescent="0.15">
      <c r="A11" s="79"/>
      <c r="B11" s="1368"/>
      <c r="C11" s="1368"/>
      <c r="D11" s="1368"/>
      <c r="E11" s="1356" t="s">
        <v>25</v>
      </c>
      <c r="F11" s="130" t="s">
        <v>26</v>
      </c>
      <c r="G11" s="130" t="s">
        <v>16</v>
      </c>
      <c r="H11" s="130" t="s">
        <v>23</v>
      </c>
      <c r="I11" s="130" t="s">
        <v>24</v>
      </c>
      <c r="J11" s="141">
        <v>4575</v>
      </c>
      <c r="K11" s="138">
        <v>2754</v>
      </c>
      <c r="L11" s="138">
        <v>4110</v>
      </c>
      <c r="M11" s="138">
        <v>3883</v>
      </c>
      <c r="N11" s="138">
        <v>3966</v>
      </c>
      <c r="O11" s="138">
        <f t="shared" ref="O11:U11" si="5">+(N11*$O$12)+N11</f>
        <v>4045.32</v>
      </c>
      <c r="P11" s="138">
        <f t="shared" si="5"/>
        <v>4126.2264000000005</v>
      </c>
      <c r="Q11" s="138">
        <f t="shared" si="5"/>
        <v>4208.7509280000004</v>
      </c>
      <c r="R11" s="138">
        <f t="shared" si="5"/>
        <v>4292.9259465600007</v>
      </c>
      <c r="S11" s="138">
        <f t="shared" si="5"/>
        <v>4378.7844654912005</v>
      </c>
      <c r="T11" s="138">
        <f t="shared" si="5"/>
        <v>4466.3601548010247</v>
      </c>
      <c r="U11" s="139">
        <f t="shared" si="5"/>
        <v>4555.6873578970453</v>
      </c>
      <c r="V11" s="139">
        <f t="shared" ref="V11:Z11" si="6">+(U11*$V$12)+U11</f>
        <v>4692.3579786339569</v>
      </c>
      <c r="W11" s="139">
        <f t="shared" si="6"/>
        <v>4833.1287179929759</v>
      </c>
      <c r="X11" s="139">
        <f t="shared" si="6"/>
        <v>4978.1225795327655</v>
      </c>
      <c r="Y11" s="139">
        <f t="shared" si="6"/>
        <v>5127.4662569187485</v>
      </c>
      <c r="Z11" s="139">
        <f t="shared" si="6"/>
        <v>5281.2902446263106</v>
      </c>
      <c r="AA11" s="79"/>
      <c r="AB11" s="79"/>
    </row>
    <row r="12" spans="1:28" ht="8.85" hidden="1" x14ac:dyDescent="0.15">
      <c r="A12" s="79"/>
      <c r="B12" s="1368"/>
      <c r="C12" s="1368"/>
      <c r="D12" s="1368"/>
      <c r="E12" s="1356"/>
      <c r="F12" s="130"/>
      <c r="G12" s="130"/>
      <c r="H12" s="130"/>
      <c r="I12" s="130"/>
      <c r="J12" s="143"/>
      <c r="K12" s="143"/>
      <c r="L12" s="143"/>
      <c r="M12" s="143"/>
      <c r="N12" s="145"/>
      <c r="O12" s="134">
        <v>0.02</v>
      </c>
      <c r="P12" s="135"/>
      <c r="Q12" s="135"/>
      <c r="R12" s="135"/>
      <c r="S12" s="135"/>
      <c r="T12" s="135"/>
      <c r="U12" s="137"/>
      <c r="V12" s="136">
        <v>0.03</v>
      </c>
      <c r="W12" s="137"/>
      <c r="X12" s="137"/>
      <c r="Y12" s="137"/>
      <c r="Z12" s="137"/>
      <c r="AA12" s="79"/>
      <c r="AB12" s="79"/>
    </row>
    <row r="13" spans="1:28" ht="36" customHeight="1" x14ac:dyDescent="0.15">
      <c r="A13" s="79"/>
      <c r="B13" s="1368"/>
      <c r="C13" s="1368"/>
      <c r="D13" s="1368"/>
      <c r="E13" s="1356" t="s">
        <v>2737</v>
      </c>
      <c r="F13" s="130" t="s">
        <v>27</v>
      </c>
      <c r="G13" s="130" t="s">
        <v>28</v>
      </c>
      <c r="H13" s="130" t="s">
        <v>29</v>
      </c>
      <c r="I13" s="130" t="s">
        <v>30</v>
      </c>
      <c r="J13" s="141">
        <v>13.75</v>
      </c>
      <c r="K13" s="141">
        <v>15.7</v>
      </c>
      <c r="L13" s="141">
        <v>16</v>
      </c>
      <c r="M13" s="141">
        <v>16.399999999999999</v>
      </c>
      <c r="N13" s="141">
        <v>19</v>
      </c>
      <c r="O13" s="138">
        <v>30</v>
      </c>
      <c r="P13" s="138">
        <v>45</v>
      </c>
      <c r="Q13" s="138">
        <v>50</v>
      </c>
      <c r="R13" s="138">
        <v>60</v>
      </c>
      <c r="S13" s="138">
        <v>64</v>
      </c>
      <c r="T13" s="138">
        <v>68</v>
      </c>
      <c r="U13" s="138">
        <v>70</v>
      </c>
      <c r="V13" s="138">
        <v>72</v>
      </c>
      <c r="W13" s="138">
        <v>74</v>
      </c>
      <c r="X13" s="138">
        <v>76</v>
      </c>
      <c r="Y13" s="138">
        <v>78</v>
      </c>
      <c r="Z13" s="138">
        <v>80</v>
      </c>
      <c r="AA13" s="79"/>
      <c r="AB13" s="79"/>
    </row>
    <row r="14" spans="1:28" ht="27.7" customHeight="1" x14ac:dyDescent="0.15">
      <c r="A14" s="79"/>
      <c r="B14" s="1368"/>
      <c r="C14" s="1368"/>
      <c r="D14" s="1368"/>
      <c r="E14" s="1356" t="s">
        <v>31</v>
      </c>
      <c r="F14" s="146" t="s">
        <v>32</v>
      </c>
      <c r="G14" s="146" t="s">
        <v>28</v>
      </c>
      <c r="H14" s="130" t="s">
        <v>29</v>
      </c>
      <c r="I14" s="130" t="s">
        <v>33</v>
      </c>
      <c r="J14" s="147">
        <f t="shared" ref="J14:N14" si="7">930/1000</f>
        <v>0.93</v>
      </c>
      <c r="K14" s="147">
        <f t="shared" si="7"/>
        <v>0.93</v>
      </c>
      <c r="L14" s="147">
        <f t="shared" si="7"/>
        <v>0.93</v>
      </c>
      <c r="M14" s="147">
        <f t="shared" si="7"/>
        <v>0.93</v>
      </c>
      <c r="N14" s="148">
        <f t="shared" si="7"/>
        <v>0.93</v>
      </c>
      <c r="O14" s="138">
        <f t="shared" ref="O14:U14" ca="1" si="8">+(N14*$O$14)+N14</f>
        <v>1.03695</v>
      </c>
      <c r="P14" s="138">
        <f t="shared" ca="1" si="8"/>
        <v>1.15619925</v>
      </c>
      <c r="Q14" s="138">
        <f t="shared" ca="1" si="8"/>
        <v>1.2891621637499999</v>
      </c>
      <c r="R14" s="138">
        <f t="shared" ca="1" si="8"/>
        <v>1.43741581258125</v>
      </c>
      <c r="S14" s="138">
        <f t="shared" ca="1" si="8"/>
        <v>1.6027186310280936</v>
      </c>
      <c r="T14" s="138">
        <f t="shared" ca="1" si="8"/>
        <v>1.7870312735963245</v>
      </c>
      <c r="U14" s="139">
        <f t="shared" ca="1" si="8"/>
        <v>1.9925398700599017</v>
      </c>
      <c r="V14" s="139">
        <f t="shared" ref="V14:Z14" ca="1" si="9">+(U14*$V$14)+U14</f>
        <v>2.0921668635628969</v>
      </c>
      <c r="W14" s="139">
        <f t="shared" ca="1" si="9"/>
        <v>2.1967752067410418</v>
      </c>
      <c r="X14" s="139">
        <f t="shared" ca="1" si="9"/>
        <v>2.3066139670780936</v>
      </c>
      <c r="Y14" s="139">
        <f t="shared" ca="1" si="9"/>
        <v>2.4219446654319983</v>
      </c>
      <c r="Z14" s="139">
        <f t="shared" ca="1" si="9"/>
        <v>2.5430418987035983</v>
      </c>
      <c r="AA14" s="79"/>
      <c r="AB14" s="79"/>
    </row>
    <row r="15" spans="1:28" ht="12.1" hidden="1" customHeight="1" x14ac:dyDescent="0.15">
      <c r="A15" s="79"/>
      <c r="B15" s="1368"/>
      <c r="C15" s="1368"/>
      <c r="D15" s="1368"/>
      <c r="E15" s="1356"/>
      <c r="F15" s="130"/>
      <c r="G15" s="130"/>
      <c r="H15" s="130"/>
      <c r="I15" s="130"/>
      <c r="J15" s="130"/>
      <c r="K15" s="130"/>
      <c r="L15" s="130"/>
      <c r="M15" s="130"/>
      <c r="N15" s="130"/>
      <c r="O15" s="134">
        <v>0.115</v>
      </c>
      <c r="P15" s="135"/>
      <c r="Q15" s="135"/>
      <c r="R15" s="135"/>
      <c r="S15" s="135"/>
      <c r="T15" s="135"/>
      <c r="U15" s="137"/>
      <c r="V15" s="136">
        <v>0.05</v>
      </c>
      <c r="W15" s="137"/>
      <c r="X15" s="137"/>
      <c r="Y15" s="137"/>
      <c r="Z15" s="137"/>
      <c r="AA15" s="79"/>
      <c r="AB15" s="79"/>
    </row>
    <row r="16" spans="1:28" ht="27" customHeight="1" x14ac:dyDescent="0.15">
      <c r="A16" s="79"/>
      <c r="B16" s="1368"/>
      <c r="C16" s="1368"/>
      <c r="D16" s="1368"/>
      <c r="E16" s="1356" t="s">
        <v>2738</v>
      </c>
      <c r="F16" s="146" t="s">
        <v>34</v>
      </c>
      <c r="G16" s="146" t="s">
        <v>28</v>
      </c>
      <c r="H16" s="130" t="s">
        <v>29</v>
      </c>
      <c r="I16" s="130" t="s">
        <v>35</v>
      </c>
      <c r="J16" s="130">
        <f t="shared" ref="J16:N16" si="10">2210/1000</f>
        <v>2.21</v>
      </c>
      <c r="K16" s="130">
        <f t="shared" si="10"/>
        <v>2.21</v>
      </c>
      <c r="L16" s="130">
        <f t="shared" si="10"/>
        <v>2.21</v>
      </c>
      <c r="M16" s="130">
        <f t="shared" si="10"/>
        <v>2.21</v>
      </c>
      <c r="N16" s="130">
        <f t="shared" si="10"/>
        <v>2.21</v>
      </c>
      <c r="O16" s="138">
        <f t="shared" ref="O16:U16" ca="1" si="11">+(N16*$O$16)+N16</f>
        <v>2.5768599999999999</v>
      </c>
      <c r="P16" s="138">
        <f t="shared" ca="1" si="11"/>
        <v>3.0046187600000001</v>
      </c>
      <c r="Q16" s="138">
        <f t="shared" ca="1" si="11"/>
        <v>3.5033854741599999</v>
      </c>
      <c r="R16" s="138">
        <f t="shared" ca="1" si="11"/>
        <v>4.0849474628705602</v>
      </c>
      <c r="S16" s="138">
        <f t="shared" ca="1" si="11"/>
        <v>4.763048741707073</v>
      </c>
      <c r="T16" s="138">
        <f t="shared" ca="1" si="11"/>
        <v>5.5537148328304475</v>
      </c>
      <c r="U16" s="139">
        <f t="shared" ca="1" si="11"/>
        <v>6.475631495080302</v>
      </c>
      <c r="V16" s="139">
        <f t="shared" ref="V16:Z16" ca="1" si="12">+(U16*$V$16)+U16</f>
        <v>6.7670349123589153</v>
      </c>
      <c r="W16" s="139">
        <f t="shared" ca="1" si="12"/>
        <v>7.0715514834150666</v>
      </c>
      <c r="X16" s="139">
        <f t="shared" ca="1" si="12"/>
        <v>7.3897713001687446</v>
      </c>
      <c r="Y16" s="139">
        <f t="shared" ca="1" si="12"/>
        <v>7.7223110086763382</v>
      </c>
      <c r="Z16" s="142">
        <f t="shared" ca="1" si="12"/>
        <v>8.0698150040667738</v>
      </c>
      <c r="AA16" s="79"/>
      <c r="AB16" s="79"/>
    </row>
    <row r="17" spans="1:28" ht="16.5" hidden="1" customHeight="1" x14ac:dyDescent="0.15">
      <c r="A17" s="79"/>
      <c r="B17" s="1368"/>
      <c r="C17" s="1368"/>
      <c r="D17" s="1368"/>
      <c r="E17" s="1356"/>
      <c r="F17" s="130"/>
      <c r="G17" s="130"/>
      <c r="H17" s="130"/>
      <c r="I17" s="130"/>
      <c r="J17" s="130"/>
      <c r="K17" s="130"/>
      <c r="L17" s="130"/>
      <c r="M17" s="130"/>
      <c r="N17" s="130"/>
      <c r="O17" s="134">
        <v>0.16600000000000001</v>
      </c>
      <c r="P17" s="135"/>
      <c r="Q17" s="135"/>
      <c r="R17" s="135"/>
      <c r="S17" s="135"/>
      <c r="T17" s="135"/>
      <c r="U17" s="137"/>
      <c r="V17" s="136">
        <v>4.4999999999999998E-2</v>
      </c>
      <c r="W17" s="137"/>
      <c r="X17" s="137"/>
      <c r="Y17" s="137"/>
      <c r="Z17" s="137"/>
      <c r="AA17" s="79"/>
      <c r="AB17" s="79"/>
    </row>
    <row r="18" spans="1:28" ht="23.95" customHeight="1" x14ac:dyDescent="0.15">
      <c r="A18" s="79"/>
      <c r="B18" s="1368"/>
      <c r="C18" s="1368"/>
      <c r="D18" s="1368"/>
      <c r="E18" s="1356" t="s">
        <v>36</v>
      </c>
      <c r="F18" s="146" t="s">
        <v>37</v>
      </c>
      <c r="G18" s="146" t="s">
        <v>28</v>
      </c>
      <c r="H18" s="130" t="s">
        <v>29</v>
      </c>
      <c r="I18" s="130" t="s">
        <v>33</v>
      </c>
      <c r="J18" s="130">
        <v>6.8</v>
      </c>
      <c r="K18" s="130">
        <v>7.1</v>
      </c>
      <c r="L18" s="130">
        <v>6.9</v>
      </c>
      <c r="M18" s="130">
        <v>6.9</v>
      </c>
      <c r="N18" s="138">
        <v>5.5</v>
      </c>
      <c r="O18" s="138">
        <f t="shared" ref="O18:U18" si="13">+(N18*$O$19)+N18</f>
        <v>5.72</v>
      </c>
      <c r="P18" s="138">
        <f t="shared" si="13"/>
        <v>5.9487999999999994</v>
      </c>
      <c r="Q18" s="138">
        <f t="shared" si="13"/>
        <v>6.1867519999999994</v>
      </c>
      <c r="R18" s="138">
        <f t="shared" si="13"/>
        <v>6.4342220799999996</v>
      </c>
      <c r="S18" s="138">
        <f t="shared" si="13"/>
        <v>6.6915909631999995</v>
      </c>
      <c r="T18" s="138">
        <f t="shared" si="13"/>
        <v>6.9592546017279995</v>
      </c>
      <c r="U18" s="139">
        <f t="shared" si="13"/>
        <v>7.2376247857971192</v>
      </c>
      <c r="V18" s="139">
        <f t="shared" ref="V18:Z18" si="14">+(U18*$V$19)+U18</f>
        <v>7.7442585208029175</v>
      </c>
      <c r="W18" s="139">
        <f t="shared" si="14"/>
        <v>8.2863566172591216</v>
      </c>
      <c r="X18" s="139">
        <f t="shared" si="14"/>
        <v>8.8664015804672598</v>
      </c>
      <c r="Y18" s="139">
        <f t="shared" si="14"/>
        <v>9.4870496910999673</v>
      </c>
      <c r="Z18" s="142">
        <f t="shared" si="14"/>
        <v>10.151143169476965</v>
      </c>
      <c r="AA18" s="79"/>
      <c r="AB18" s="79"/>
    </row>
    <row r="19" spans="1:28" ht="14.3" hidden="1" customHeight="1" x14ac:dyDescent="0.15">
      <c r="A19" s="79"/>
      <c r="B19" s="1368"/>
      <c r="C19" s="1368"/>
      <c r="D19" s="1368"/>
      <c r="E19" s="1356"/>
      <c r="F19" s="130"/>
      <c r="G19" s="130"/>
      <c r="H19" s="130"/>
      <c r="I19" s="130"/>
      <c r="J19" s="130"/>
      <c r="K19" s="130"/>
      <c r="L19" s="130"/>
      <c r="M19" s="130"/>
      <c r="N19" s="130"/>
      <c r="O19" s="134">
        <v>0.04</v>
      </c>
      <c r="P19" s="135"/>
      <c r="Q19" s="135"/>
      <c r="R19" s="135"/>
      <c r="S19" s="135"/>
      <c r="T19" s="135"/>
      <c r="U19" s="137"/>
      <c r="V19" s="136">
        <v>7.0000000000000007E-2</v>
      </c>
      <c r="W19" s="137"/>
      <c r="X19" s="137"/>
      <c r="Y19" s="137"/>
      <c r="Z19" s="137"/>
      <c r="AA19" s="79"/>
      <c r="AB19" s="79"/>
    </row>
    <row r="20" spans="1:28" ht="27.7" customHeight="1" x14ac:dyDescent="0.15">
      <c r="A20" s="79"/>
      <c r="B20" s="1368"/>
      <c r="C20" s="1368"/>
      <c r="D20" s="1368"/>
      <c r="E20" s="1356" t="s">
        <v>2753</v>
      </c>
      <c r="F20" s="146" t="s">
        <v>38</v>
      </c>
      <c r="G20" s="146" t="s">
        <v>28</v>
      </c>
      <c r="H20" s="130" t="s">
        <v>29</v>
      </c>
      <c r="I20" s="130" t="s">
        <v>33</v>
      </c>
      <c r="J20" s="130">
        <v>18.600000000000001</v>
      </c>
      <c r="K20" s="130">
        <v>17.899999999999999</v>
      </c>
      <c r="L20" s="130">
        <v>17.100000000000001</v>
      </c>
      <c r="M20" s="130">
        <v>13.5</v>
      </c>
      <c r="N20" s="130">
        <v>16.7</v>
      </c>
      <c r="O20" s="138">
        <f t="shared" ref="O20:U20" si="15">+(N20*$O$21)+N20</f>
        <v>17.033999999999999</v>
      </c>
      <c r="P20" s="138">
        <f t="shared" si="15"/>
        <v>17.374679999999998</v>
      </c>
      <c r="Q20" s="138">
        <f t="shared" si="15"/>
        <v>17.722173599999998</v>
      </c>
      <c r="R20" s="138">
        <f t="shared" si="15"/>
        <v>18.076617071999998</v>
      </c>
      <c r="S20" s="138">
        <f t="shared" si="15"/>
        <v>18.438149413439998</v>
      </c>
      <c r="T20" s="138">
        <f t="shared" si="15"/>
        <v>18.806912401708797</v>
      </c>
      <c r="U20" s="139">
        <f t="shared" si="15"/>
        <v>19.183050649742974</v>
      </c>
      <c r="V20" s="139">
        <f t="shared" ref="V20:Z20" si="16">+(U20*$V$21)+U20</f>
        <v>19.374881156240402</v>
      </c>
      <c r="W20" s="139">
        <f t="shared" si="16"/>
        <v>19.568629967802806</v>
      </c>
      <c r="X20" s="139">
        <f t="shared" si="16"/>
        <v>19.764316267480833</v>
      </c>
      <c r="Y20" s="139">
        <f t="shared" si="16"/>
        <v>19.961959430155641</v>
      </c>
      <c r="Z20" s="142">
        <f t="shared" si="16"/>
        <v>20.161579024457197</v>
      </c>
      <c r="AA20" s="79"/>
      <c r="AB20" s="79"/>
    </row>
    <row r="21" spans="1:28" ht="14.95" hidden="1" customHeight="1" x14ac:dyDescent="0.15">
      <c r="A21" s="79"/>
      <c r="B21" s="1368"/>
      <c r="C21" s="1368"/>
      <c r="D21" s="1368"/>
      <c r="E21" s="1356"/>
      <c r="F21" s="130"/>
      <c r="G21" s="130"/>
      <c r="H21" s="130"/>
      <c r="I21" s="130"/>
      <c r="J21" s="130"/>
      <c r="K21" s="130"/>
      <c r="L21" s="130"/>
      <c r="M21" s="130"/>
      <c r="N21" s="130"/>
      <c r="O21" s="134">
        <v>0.02</v>
      </c>
      <c r="P21" s="135"/>
      <c r="Q21" s="135"/>
      <c r="R21" s="135"/>
      <c r="S21" s="135"/>
      <c r="T21" s="135"/>
      <c r="U21" s="137"/>
      <c r="V21" s="136">
        <v>0.01</v>
      </c>
      <c r="W21" s="137"/>
      <c r="X21" s="137"/>
      <c r="Y21" s="137"/>
      <c r="Z21" s="137"/>
      <c r="AA21" s="79"/>
      <c r="AB21" s="79"/>
    </row>
    <row r="22" spans="1:28" ht="27" customHeight="1" x14ac:dyDescent="0.15">
      <c r="A22" s="79"/>
      <c r="B22" s="1368"/>
      <c r="C22" s="1368"/>
      <c r="D22" s="1368"/>
      <c r="E22" s="1356" t="s">
        <v>2754</v>
      </c>
      <c r="F22" s="146" t="s">
        <v>39</v>
      </c>
      <c r="G22" s="146" t="s">
        <v>28</v>
      </c>
      <c r="H22" s="130" t="s">
        <v>29</v>
      </c>
      <c r="I22" s="130" t="s">
        <v>33</v>
      </c>
      <c r="J22" s="130">
        <v>13.23</v>
      </c>
      <c r="K22" s="130">
        <v>12.69</v>
      </c>
      <c r="L22" s="130">
        <v>12.76</v>
      </c>
      <c r="M22" s="130">
        <v>12.89</v>
      </c>
      <c r="N22" s="130">
        <v>12.85</v>
      </c>
      <c r="O22" s="138">
        <f t="shared" ref="O22:U22" si="17">+(N22*$O$23)+N22</f>
        <v>12.9785</v>
      </c>
      <c r="P22" s="138">
        <f t="shared" si="17"/>
        <v>13.108285</v>
      </c>
      <c r="Q22" s="138">
        <f t="shared" si="17"/>
        <v>13.239367850000001</v>
      </c>
      <c r="R22" s="138">
        <f t="shared" si="17"/>
        <v>13.3717615285</v>
      </c>
      <c r="S22" s="138">
        <f t="shared" si="17"/>
        <v>13.505479143785001</v>
      </c>
      <c r="T22" s="138">
        <f t="shared" si="17"/>
        <v>13.640533935222852</v>
      </c>
      <c r="U22" s="139">
        <f t="shared" si="17"/>
        <v>13.77693927457508</v>
      </c>
      <c r="V22" s="139">
        <f t="shared" ref="V22:Z22" si="18">+(U22*$V$23)+U22</f>
        <v>14.052478060066582</v>
      </c>
      <c r="W22" s="139">
        <f t="shared" si="18"/>
        <v>14.333527621267914</v>
      </c>
      <c r="X22" s="139">
        <f t="shared" si="18"/>
        <v>14.620198173693272</v>
      </c>
      <c r="Y22" s="139">
        <f t="shared" si="18"/>
        <v>14.912602137167138</v>
      </c>
      <c r="Z22" s="142">
        <f t="shared" si="18"/>
        <v>15.210854179910481</v>
      </c>
      <c r="AA22" s="79"/>
      <c r="AB22" s="79"/>
    </row>
    <row r="23" spans="1:28" ht="15.8" hidden="1" customHeight="1" x14ac:dyDescent="0.15">
      <c r="A23" s="79"/>
      <c r="B23" s="1368"/>
      <c r="C23" s="1368"/>
      <c r="D23" s="1368"/>
      <c r="E23" s="1356"/>
      <c r="F23" s="146" t="s">
        <v>39</v>
      </c>
      <c r="G23" s="146"/>
      <c r="H23" s="130" t="s">
        <v>29</v>
      </c>
      <c r="I23" s="130"/>
      <c r="J23" s="130"/>
      <c r="K23" s="130"/>
      <c r="L23" s="130"/>
      <c r="M23" s="130"/>
      <c r="N23" s="130"/>
      <c r="O23" s="134">
        <v>0.01</v>
      </c>
      <c r="P23" s="135"/>
      <c r="Q23" s="135"/>
      <c r="R23" s="135"/>
      <c r="S23" s="135"/>
      <c r="T23" s="135"/>
      <c r="U23" s="137"/>
      <c r="V23" s="136">
        <v>0.02</v>
      </c>
      <c r="W23" s="137"/>
      <c r="X23" s="137"/>
      <c r="Y23" s="137"/>
      <c r="Z23" s="137"/>
      <c r="AA23" s="79"/>
      <c r="AB23" s="79"/>
    </row>
    <row r="24" spans="1:28" ht="27.7" customHeight="1" x14ac:dyDescent="0.15">
      <c r="A24" s="79"/>
      <c r="B24" s="1368"/>
      <c r="C24" s="1368"/>
      <c r="D24" s="1368"/>
      <c r="E24" s="1356" t="s">
        <v>2749</v>
      </c>
      <c r="F24" s="146" t="s">
        <v>2750</v>
      </c>
      <c r="G24" s="146" t="s">
        <v>28</v>
      </c>
      <c r="H24" s="130" t="s">
        <v>29</v>
      </c>
      <c r="I24" s="130" t="s">
        <v>40</v>
      </c>
      <c r="J24" s="130"/>
      <c r="K24" s="130"/>
      <c r="L24" s="130"/>
      <c r="M24" s="130"/>
      <c r="N24" s="141">
        <v>13</v>
      </c>
      <c r="O24" s="141">
        <v>17</v>
      </c>
      <c r="P24" s="141">
        <v>26</v>
      </c>
      <c r="Q24" s="141">
        <v>30</v>
      </c>
      <c r="R24" s="141">
        <v>31</v>
      </c>
      <c r="S24" s="141">
        <v>32</v>
      </c>
      <c r="T24" s="141">
        <v>33</v>
      </c>
      <c r="U24" s="142">
        <v>34</v>
      </c>
      <c r="V24" s="142">
        <v>35</v>
      </c>
      <c r="W24" s="142">
        <v>36</v>
      </c>
      <c r="X24" s="142">
        <v>37</v>
      </c>
      <c r="Y24" s="142">
        <v>38</v>
      </c>
      <c r="Z24" s="142">
        <v>40</v>
      </c>
      <c r="AA24" s="79"/>
      <c r="AB24" s="79"/>
    </row>
    <row r="25" spans="1:28" ht="27.7" customHeight="1" x14ac:dyDescent="0.15">
      <c r="A25" s="79"/>
      <c r="B25" s="1368"/>
      <c r="C25" s="1368"/>
      <c r="D25" s="1368"/>
      <c r="E25" s="1356" t="s">
        <v>41</v>
      </c>
      <c r="F25" s="146" t="s">
        <v>42</v>
      </c>
      <c r="G25" s="146" t="s">
        <v>28</v>
      </c>
      <c r="H25" s="130" t="s">
        <v>29</v>
      </c>
      <c r="I25" s="130" t="s">
        <v>33</v>
      </c>
      <c r="J25" s="130"/>
      <c r="K25" s="130"/>
      <c r="L25" s="130"/>
      <c r="M25" s="130"/>
      <c r="N25" s="130">
        <v>10</v>
      </c>
      <c r="O25" s="138">
        <f t="shared" ref="O25:U25" si="19">+(N25*$O$26)+N25</f>
        <v>10.5</v>
      </c>
      <c r="P25" s="138">
        <f t="shared" si="19"/>
        <v>11.025</v>
      </c>
      <c r="Q25" s="138">
        <f t="shared" si="19"/>
        <v>11.57625</v>
      </c>
      <c r="R25" s="138">
        <f t="shared" si="19"/>
        <v>12.1550625</v>
      </c>
      <c r="S25" s="138">
        <f t="shared" si="19"/>
        <v>12.762815625</v>
      </c>
      <c r="T25" s="138">
        <f t="shared" si="19"/>
        <v>13.40095640625</v>
      </c>
      <c r="U25" s="139">
        <f t="shared" si="19"/>
        <v>14.071004226562501</v>
      </c>
      <c r="V25" s="139">
        <f t="shared" ref="V25:Z25" si="20">+(U25*$V$26)+U25</f>
        <v>15.126329543554688</v>
      </c>
      <c r="W25" s="139">
        <f t="shared" si="20"/>
        <v>16.26080425932129</v>
      </c>
      <c r="X25" s="139">
        <f t="shared" si="20"/>
        <v>17.480364578770388</v>
      </c>
      <c r="Y25" s="139">
        <f t="shared" si="20"/>
        <v>18.791391922178168</v>
      </c>
      <c r="Z25" s="142">
        <f t="shared" si="20"/>
        <v>20.20074631634153</v>
      </c>
      <c r="AA25" s="79"/>
      <c r="AB25" s="79"/>
    </row>
    <row r="26" spans="1:28" ht="14.95" hidden="1" customHeight="1" x14ac:dyDescent="0.15">
      <c r="A26" s="79"/>
      <c r="B26" s="1368"/>
      <c r="C26" s="1368"/>
      <c r="D26" s="1368"/>
      <c r="E26" s="1356"/>
      <c r="F26" s="130"/>
      <c r="G26" s="130"/>
      <c r="H26" s="130"/>
      <c r="I26" s="130"/>
      <c r="J26" s="130"/>
      <c r="K26" s="130"/>
      <c r="L26" s="130"/>
      <c r="M26" s="130"/>
      <c r="N26" s="130"/>
      <c r="O26" s="134">
        <v>0.05</v>
      </c>
      <c r="P26" s="135"/>
      <c r="Q26" s="135"/>
      <c r="R26" s="135"/>
      <c r="S26" s="135"/>
      <c r="T26" s="135"/>
      <c r="U26" s="137"/>
      <c r="V26" s="136">
        <v>7.4999999999999997E-2</v>
      </c>
      <c r="W26" s="137"/>
      <c r="X26" s="137"/>
      <c r="Y26" s="137"/>
      <c r="Z26" s="137"/>
      <c r="AA26" s="79"/>
      <c r="AB26" s="79"/>
    </row>
    <row r="27" spans="1:28" ht="29.25" customHeight="1" x14ac:dyDescent="0.15">
      <c r="A27" s="79"/>
      <c r="B27" s="1368"/>
      <c r="C27" s="1368"/>
      <c r="D27" s="1368"/>
      <c r="E27" s="1356" t="s">
        <v>43</v>
      </c>
      <c r="F27" s="146" t="s">
        <v>44</v>
      </c>
      <c r="G27" s="146" t="s">
        <v>28</v>
      </c>
      <c r="H27" s="130" t="s">
        <v>29</v>
      </c>
      <c r="I27" s="130" t="s">
        <v>45</v>
      </c>
      <c r="J27" s="130">
        <v>5.01</v>
      </c>
      <c r="K27" s="130">
        <v>4.96</v>
      </c>
      <c r="L27" s="130">
        <v>4.95</v>
      </c>
      <c r="M27" s="130">
        <v>4.79</v>
      </c>
      <c r="N27" s="130">
        <v>4.97</v>
      </c>
      <c r="O27" s="138">
        <f t="shared" ref="O27:U27" si="21">+(N27*$O$28)+N27</f>
        <v>5.4918499999999995</v>
      </c>
      <c r="P27" s="138">
        <f t="shared" si="21"/>
        <v>6.0684942499999996</v>
      </c>
      <c r="Q27" s="138">
        <f t="shared" si="21"/>
        <v>6.7056861462499997</v>
      </c>
      <c r="R27" s="138">
        <f t="shared" si="21"/>
        <v>7.40978319160625</v>
      </c>
      <c r="S27" s="138">
        <f t="shared" si="21"/>
        <v>8.1878104267249068</v>
      </c>
      <c r="T27" s="138">
        <f t="shared" si="21"/>
        <v>9.0475305215310229</v>
      </c>
      <c r="U27" s="139">
        <f t="shared" si="21"/>
        <v>9.9975212262917807</v>
      </c>
      <c r="V27" s="139">
        <f t="shared" ref="V27:Z27" si="22">+(U27*$V$28)+U27</f>
        <v>11.497149410235547</v>
      </c>
      <c r="W27" s="139">
        <f t="shared" si="22"/>
        <v>13.221721821770879</v>
      </c>
      <c r="X27" s="139">
        <f t="shared" si="22"/>
        <v>15.204980095036511</v>
      </c>
      <c r="Y27" s="139">
        <f t="shared" si="22"/>
        <v>17.485727109291986</v>
      </c>
      <c r="Z27" s="142">
        <f t="shared" si="22"/>
        <v>20.108586175685783</v>
      </c>
      <c r="AA27" s="79"/>
      <c r="AB27" s="79"/>
    </row>
    <row r="28" spans="1:28" ht="20.25" hidden="1" customHeight="1" x14ac:dyDescent="0.15">
      <c r="A28" s="79"/>
      <c r="B28" s="1368"/>
      <c r="C28" s="1368"/>
      <c r="D28" s="1368"/>
      <c r="E28" s="1356"/>
      <c r="F28" s="130"/>
      <c r="G28" s="130"/>
      <c r="H28" s="130"/>
      <c r="I28" s="130"/>
      <c r="J28" s="130"/>
      <c r="K28" s="130"/>
      <c r="L28" s="130"/>
      <c r="M28" s="130"/>
      <c r="N28" s="130"/>
      <c r="O28" s="134">
        <v>0.105</v>
      </c>
      <c r="P28" s="135"/>
      <c r="Q28" s="135"/>
      <c r="R28" s="135"/>
      <c r="S28" s="135"/>
      <c r="T28" s="135"/>
      <c r="U28" s="137"/>
      <c r="V28" s="136">
        <v>0.15</v>
      </c>
      <c r="W28" s="137"/>
      <c r="X28" s="137"/>
      <c r="Y28" s="137"/>
      <c r="Z28" s="137"/>
      <c r="AA28" s="79"/>
      <c r="AB28" s="79"/>
    </row>
    <row r="29" spans="1:28" ht="30.1" customHeight="1" x14ac:dyDescent="0.15">
      <c r="A29" s="79"/>
      <c r="B29" s="1368"/>
      <c r="C29" s="1368"/>
      <c r="D29" s="1368"/>
      <c r="E29" s="1356" t="s">
        <v>46</v>
      </c>
      <c r="F29" s="146" t="s">
        <v>47</v>
      </c>
      <c r="G29" s="146" t="s">
        <v>28</v>
      </c>
      <c r="H29" s="130" t="s">
        <v>29</v>
      </c>
      <c r="I29" s="130" t="s">
        <v>48</v>
      </c>
      <c r="J29" s="138">
        <v>100</v>
      </c>
      <c r="K29" s="138">
        <v>120</v>
      </c>
      <c r="L29" s="138">
        <v>125</v>
      </c>
      <c r="M29" s="138">
        <v>135</v>
      </c>
      <c r="N29" s="138">
        <v>150</v>
      </c>
      <c r="O29" s="138">
        <f t="shared" ref="O29:U29" si="23">+(N29*$O$30)+N29</f>
        <v>157.5</v>
      </c>
      <c r="P29" s="138">
        <f t="shared" si="23"/>
        <v>165.375</v>
      </c>
      <c r="Q29" s="138">
        <f t="shared" si="23"/>
        <v>173.64375000000001</v>
      </c>
      <c r="R29" s="138">
        <f t="shared" si="23"/>
        <v>182.32593750000001</v>
      </c>
      <c r="S29" s="138">
        <f t="shared" si="23"/>
        <v>191.442234375</v>
      </c>
      <c r="T29" s="138">
        <f t="shared" si="23"/>
        <v>201.01434609374999</v>
      </c>
      <c r="U29" s="139">
        <f t="shared" si="23"/>
        <v>211.0650633984375</v>
      </c>
      <c r="V29" s="139">
        <f t="shared" ref="V29:Z29" si="24">+(U29*$V$30)+U29</f>
        <v>226.47281302652343</v>
      </c>
      <c r="W29" s="139">
        <f t="shared" si="24"/>
        <v>243.00532837745965</v>
      </c>
      <c r="X29" s="139">
        <f t="shared" si="24"/>
        <v>260.74471734901419</v>
      </c>
      <c r="Y29" s="139">
        <f t="shared" si="24"/>
        <v>279.77908171549223</v>
      </c>
      <c r="Z29" s="142">
        <f t="shared" si="24"/>
        <v>300.20295468072317</v>
      </c>
      <c r="AA29" s="79"/>
      <c r="AB29" s="79"/>
    </row>
    <row r="30" spans="1:28" ht="16.5" hidden="1" customHeight="1" x14ac:dyDescent="0.15">
      <c r="A30" s="79"/>
      <c r="B30" s="1368"/>
      <c r="C30" s="1368"/>
      <c r="D30" s="1368"/>
      <c r="E30" s="1356"/>
      <c r="F30" s="130"/>
      <c r="G30" s="130"/>
      <c r="H30" s="130"/>
      <c r="I30" s="130"/>
      <c r="J30" s="130"/>
      <c r="K30" s="130"/>
      <c r="L30" s="130"/>
      <c r="M30" s="130"/>
      <c r="N30" s="130"/>
      <c r="O30" s="134">
        <v>0.05</v>
      </c>
      <c r="P30" s="135"/>
      <c r="Q30" s="135"/>
      <c r="R30" s="135"/>
      <c r="S30" s="135"/>
      <c r="T30" s="135"/>
      <c r="U30" s="137"/>
      <c r="V30" s="136">
        <v>7.2999999999999995E-2</v>
      </c>
      <c r="W30" s="137"/>
      <c r="X30" s="137"/>
      <c r="Y30" s="137"/>
      <c r="Z30" s="137"/>
      <c r="AA30" s="79"/>
      <c r="AB30" s="79"/>
    </row>
    <row r="31" spans="1:28" ht="45.7" customHeight="1" x14ac:dyDescent="0.15">
      <c r="A31" s="79"/>
      <c r="B31" s="1368"/>
      <c r="C31" s="1368"/>
      <c r="D31" s="1368"/>
      <c r="E31" s="1356" t="s">
        <v>2739</v>
      </c>
      <c r="F31" s="130" t="s">
        <v>49</v>
      </c>
      <c r="G31" s="130" t="s">
        <v>28</v>
      </c>
      <c r="H31" s="130" t="s">
        <v>50</v>
      </c>
      <c r="I31" s="130" t="s">
        <v>51</v>
      </c>
      <c r="J31" s="130">
        <v>1010707</v>
      </c>
      <c r="K31" s="130">
        <v>1115553</v>
      </c>
      <c r="L31" s="130">
        <v>1217043</v>
      </c>
      <c r="M31" s="147">
        <v>1273032</v>
      </c>
      <c r="N31" s="147">
        <v>1292896</v>
      </c>
      <c r="O31" s="138">
        <v>1290187</v>
      </c>
      <c r="P31" s="138">
        <v>566332</v>
      </c>
      <c r="Q31" s="138">
        <f t="shared" ref="Q31:Z31" ca="1" si="25">+(P31*$Q$31)+P31</f>
        <v>622965.19999999995</v>
      </c>
      <c r="R31" s="138">
        <f t="shared" ca="1" si="25"/>
        <v>685261.72</v>
      </c>
      <c r="S31" s="138">
        <f t="shared" ca="1" si="25"/>
        <v>753787.89199999999</v>
      </c>
      <c r="T31" s="138">
        <f t="shared" ca="1" si="25"/>
        <v>829166.68119999999</v>
      </c>
      <c r="U31" s="139">
        <f t="shared" ca="1" si="25"/>
        <v>912083.34932000004</v>
      </c>
      <c r="V31" s="139">
        <f t="shared" ca="1" si="25"/>
        <v>1003291.6842520001</v>
      </c>
      <c r="W31" s="139">
        <f t="shared" ca="1" si="25"/>
        <v>1103620.8526772</v>
      </c>
      <c r="X31" s="139">
        <f t="shared" ca="1" si="25"/>
        <v>1213982.93794492</v>
      </c>
      <c r="Y31" s="139">
        <f t="shared" ca="1" si="25"/>
        <v>1335381.2317394121</v>
      </c>
      <c r="Z31" s="142">
        <f t="shared" ca="1" si="25"/>
        <v>1468919.3549133532</v>
      </c>
      <c r="AA31" s="79"/>
      <c r="AB31" s="79"/>
    </row>
    <row r="32" spans="1:28" s="1349" customFormat="1" ht="8.85" hidden="1" x14ac:dyDescent="0.15">
      <c r="A32" s="1343"/>
      <c r="B32" s="1368"/>
      <c r="C32" s="1368"/>
      <c r="D32" s="1368"/>
      <c r="E32" s="1357"/>
      <c r="F32" s="1344"/>
      <c r="G32" s="1344"/>
      <c r="H32" s="1344"/>
      <c r="I32" s="1344"/>
      <c r="J32" s="1345">
        <v>7.0400000000000004E-2</v>
      </c>
      <c r="K32" s="1345">
        <v>0.1037</v>
      </c>
      <c r="L32" s="1345">
        <v>9.0999999999999998E-2</v>
      </c>
      <c r="M32" s="1345">
        <v>4.5999999999999999E-2</v>
      </c>
      <c r="N32" s="1345">
        <v>1.5599999999999999E-2</v>
      </c>
      <c r="O32" s="1346">
        <v>-2.0999999999999999E-3</v>
      </c>
      <c r="P32" s="1345">
        <v>-0.56100000000000005</v>
      </c>
      <c r="Q32" s="1345">
        <v>0.1</v>
      </c>
      <c r="R32" s="1345"/>
      <c r="S32" s="1345"/>
      <c r="T32" s="1345"/>
      <c r="U32" s="1347"/>
      <c r="V32" s="1348"/>
      <c r="W32" s="1347"/>
      <c r="X32" s="1347"/>
      <c r="Y32" s="1347"/>
      <c r="Z32" s="1347"/>
      <c r="AA32" s="1343"/>
      <c r="AB32" s="1343"/>
    </row>
    <row r="33" spans="1:28" ht="29.25" customHeight="1" x14ac:dyDescent="0.15">
      <c r="A33" s="79"/>
      <c r="B33" s="1368"/>
      <c r="C33" s="1368"/>
      <c r="D33" s="1368"/>
      <c r="E33" s="1356" t="s">
        <v>52</v>
      </c>
      <c r="F33" s="130" t="s">
        <v>53</v>
      </c>
      <c r="G33" s="130" t="s">
        <v>28</v>
      </c>
      <c r="H33" s="130" t="s">
        <v>54</v>
      </c>
      <c r="I33" s="130" t="s">
        <v>55</v>
      </c>
      <c r="J33" s="130"/>
      <c r="K33" s="130"/>
      <c r="L33" s="130"/>
      <c r="M33" s="147"/>
      <c r="N33" s="147">
        <v>250000</v>
      </c>
      <c r="O33" s="138">
        <f t="shared" ref="O33:U33" si="26">+(N33*$O$34)+N33</f>
        <v>324585.5</v>
      </c>
      <c r="P33" s="138">
        <f t="shared" si="26"/>
        <v>421422.987241</v>
      </c>
      <c r="Q33" s="138">
        <f t="shared" si="26"/>
        <v>547151.16410045442</v>
      </c>
      <c r="R33" s="138">
        <f t="shared" si="26"/>
        <v>710389.33670051221</v>
      </c>
      <c r="S33" s="138">
        <f t="shared" si="26"/>
        <v>922328.31219041639</v>
      </c>
      <c r="T33" s="138">
        <f t="shared" si="26"/>
        <v>1197497.5855059295</v>
      </c>
      <c r="U33" s="139">
        <f t="shared" si="26"/>
        <v>1554761.4101609397</v>
      </c>
      <c r="V33" s="139">
        <f t="shared" ref="V33:Z33" si="27">+(U33*$V$34)+U33</f>
        <v>2255958.8061435237</v>
      </c>
      <c r="W33" s="139">
        <f t="shared" si="27"/>
        <v>3273396.2277142527</v>
      </c>
      <c r="X33" s="139">
        <f t="shared" si="27"/>
        <v>4749697.9264133805</v>
      </c>
      <c r="Y33" s="139">
        <f t="shared" si="27"/>
        <v>6891811.6912258156</v>
      </c>
      <c r="Z33" s="142">
        <f t="shared" si="27"/>
        <v>10000018.763968658</v>
      </c>
      <c r="AA33" s="79"/>
      <c r="AB33" s="79"/>
    </row>
    <row r="34" spans="1:28" ht="22.6" hidden="1" customHeight="1" x14ac:dyDescent="0.15">
      <c r="A34" s="79"/>
      <c r="B34" s="1368"/>
      <c r="C34" s="822"/>
      <c r="D34" s="822"/>
      <c r="E34" s="1356"/>
      <c r="F34" s="130"/>
      <c r="G34" s="130"/>
      <c r="H34" s="130"/>
      <c r="I34" s="130"/>
      <c r="J34" s="130"/>
      <c r="K34" s="130"/>
      <c r="L34" s="130"/>
      <c r="M34" s="147"/>
      <c r="N34" s="147"/>
      <c r="O34" s="134">
        <v>0.298342</v>
      </c>
      <c r="P34" s="138"/>
      <c r="Q34" s="138"/>
      <c r="R34" s="138"/>
      <c r="S34" s="138"/>
      <c r="T34" s="138"/>
      <c r="U34" s="139"/>
      <c r="V34" s="136">
        <v>0.45100000000000001</v>
      </c>
      <c r="W34" s="139"/>
      <c r="X34" s="139"/>
      <c r="Y34" s="139"/>
      <c r="Z34" s="139"/>
      <c r="AA34" s="79"/>
      <c r="AB34" s="79"/>
    </row>
    <row r="35" spans="1:28" ht="22.6" customHeight="1" x14ac:dyDescent="0.15">
      <c r="A35" s="79"/>
      <c r="B35" s="1368"/>
      <c r="C35" s="1376" t="s">
        <v>56</v>
      </c>
      <c r="D35" s="1376" t="s">
        <v>57</v>
      </c>
      <c r="E35" s="1358" t="s">
        <v>58</v>
      </c>
      <c r="F35" s="157" t="s">
        <v>59</v>
      </c>
      <c r="G35" s="157" t="s">
        <v>60</v>
      </c>
      <c r="H35" s="157" t="s">
        <v>61</v>
      </c>
      <c r="I35" s="157" t="s">
        <v>62</v>
      </c>
      <c r="J35" s="157"/>
      <c r="K35" s="157"/>
      <c r="L35" s="157"/>
      <c r="M35" s="157"/>
      <c r="N35" s="1290">
        <v>0.86699999999999999</v>
      </c>
      <c r="O35" s="1291">
        <v>0.8</v>
      </c>
      <c r="P35" s="1291">
        <v>0.75</v>
      </c>
      <c r="Q35" s="1291">
        <f t="shared" ref="Q35:Z35" si="28">+P35-Q47</f>
        <v>0.63749999999999996</v>
      </c>
      <c r="R35" s="1291">
        <f t="shared" si="28"/>
        <v>0.541875</v>
      </c>
      <c r="S35" s="1291">
        <f t="shared" si="28"/>
        <v>0.46059375000000002</v>
      </c>
      <c r="T35" s="1291">
        <f t="shared" si="28"/>
        <v>0.3915046875</v>
      </c>
      <c r="U35" s="1291">
        <f t="shared" si="28"/>
        <v>0.33277898437499998</v>
      </c>
      <c r="V35" s="1291">
        <f t="shared" si="28"/>
        <v>0.28286213671874999</v>
      </c>
      <c r="W35" s="1291">
        <f t="shared" si="28"/>
        <v>0.24043281621093748</v>
      </c>
      <c r="X35" s="1291">
        <f t="shared" si="28"/>
        <v>0.20436789377929687</v>
      </c>
      <c r="Y35" s="1291">
        <f t="shared" si="28"/>
        <v>0.17371270971240235</v>
      </c>
      <c r="Z35" s="1291">
        <f t="shared" si="28"/>
        <v>0.14765580325554201</v>
      </c>
      <c r="AA35" s="79"/>
      <c r="AB35" s="79"/>
    </row>
    <row r="36" spans="1:28" ht="27" customHeight="1" x14ac:dyDescent="0.15">
      <c r="A36" s="79"/>
      <c r="B36" s="1368"/>
      <c r="C36" s="1377"/>
      <c r="D36" s="1377"/>
      <c r="E36" s="1358" t="s">
        <v>63</v>
      </c>
      <c r="F36" s="157" t="s">
        <v>64</v>
      </c>
      <c r="G36" s="157" t="s">
        <v>60</v>
      </c>
      <c r="H36" s="157" t="s">
        <v>65</v>
      </c>
      <c r="I36" s="157" t="s">
        <v>66</v>
      </c>
      <c r="J36" s="139">
        <v>26399.7</v>
      </c>
      <c r="K36" s="139">
        <v>22100.940000000002</v>
      </c>
      <c r="L36" s="139">
        <v>20588.580000000002</v>
      </c>
      <c r="M36" s="139">
        <v>12501.09</v>
      </c>
      <c r="N36" s="139">
        <v>21375.759999999991</v>
      </c>
      <c r="O36" s="139">
        <f t="shared" ref="O36:Z36" si="29">+N36-O37</f>
        <v>19238.183999999994</v>
      </c>
      <c r="P36" s="139">
        <f t="shared" si="29"/>
        <v>17314.365599999994</v>
      </c>
      <c r="Q36" s="139">
        <f t="shared" si="29"/>
        <v>15582.929039999994</v>
      </c>
      <c r="R36" s="139">
        <f t="shared" si="29"/>
        <v>14024.636135999994</v>
      </c>
      <c r="S36" s="139">
        <f t="shared" si="29"/>
        <v>12622.172522399995</v>
      </c>
      <c r="T36" s="139">
        <f t="shared" si="29"/>
        <v>11359.955270159995</v>
      </c>
      <c r="U36" s="139">
        <f t="shared" si="29"/>
        <v>10223.959743143996</v>
      </c>
      <c r="V36" s="139">
        <f t="shared" si="29"/>
        <v>8792.6053791038357</v>
      </c>
      <c r="W36" s="139">
        <f t="shared" si="29"/>
        <v>7561.6406260292988</v>
      </c>
      <c r="X36" s="139">
        <f t="shared" si="29"/>
        <v>6503.0109383851968</v>
      </c>
      <c r="Y36" s="139">
        <f t="shared" si="29"/>
        <v>5592.589407011269</v>
      </c>
      <c r="Z36" s="139">
        <f t="shared" si="29"/>
        <v>4809.6268900296909</v>
      </c>
      <c r="AA36" s="79"/>
      <c r="AB36" s="79"/>
    </row>
    <row r="37" spans="1:28" ht="12.75" hidden="1" customHeight="1" x14ac:dyDescent="0.15">
      <c r="A37" s="79"/>
      <c r="B37" s="1368"/>
      <c r="C37" s="1377"/>
      <c r="D37" s="1377"/>
      <c r="E37" s="1358"/>
      <c r="F37" s="157"/>
      <c r="G37" s="157"/>
      <c r="H37" s="157"/>
      <c r="I37" s="157"/>
      <c r="J37" s="139"/>
      <c r="K37" s="139"/>
      <c r="L37" s="139"/>
      <c r="M37" s="139"/>
      <c r="N37" s="139"/>
      <c r="O37" s="150">
        <f>+(N36*$O$38)</f>
        <v>2137.5759999999991</v>
      </c>
      <c r="P37" s="150">
        <f t="shared" ref="P37:U37" si="30">+O36*$O$38</f>
        <v>1923.8183999999994</v>
      </c>
      <c r="Q37" s="150">
        <f t="shared" si="30"/>
        <v>1731.4365599999994</v>
      </c>
      <c r="R37" s="150">
        <f t="shared" si="30"/>
        <v>1558.2929039999995</v>
      </c>
      <c r="S37" s="150">
        <f t="shared" si="30"/>
        <v>1402.4636135999995</v>
      </c>
      <c r="T37" s="150">
        <f t="shared" si="30"/>
        <v>1262.2172522399997</v>
      </c>
      <c r="U37" s="150">
        <f t="shared" si="30"/>
        <v>1135.9955270159996</v>
      </c>
      <c r="V37" s="150">
        <f t="shared" ref="V37:Z37" si="31">+U36*$V$38</f>
        <v>1431.3543640401597</v>
      </c>
      <c r="W37" s="150">
        <f t="shared" si="31"/>
        <v>1230.9647530745372</v>
      </c>
      <c r="X37" s="150">
        <f t="shared" si="31"/>
        <v>1058.629687644102</v>
      </c>
      <c r="Y37" s="150">
        <f t="shared" si="31"/>
        <v>910.42153137392768</v>
      </c>
      <c r="Z37" s="150">
        <f t="shared" si="31"/>
        <v>782.96251698157778</v>
      </c>
      <c r="AA37" s="79"/>
      <c r="AB37" s="79"/>
    </row>
    <row r="38" spans="1:28" ht="14.3" hidden="1" customHeight="1" x14ac:dyDescent="0.15">
      <c r="A38" s="79"/>
      <c r="B38" s="1368"/>
      <c r="C38" s="1377"/>
      <c r="D38" s="1377"/>
      <c r="E38" s="1358"/>
      <c r="F38" s="157"/>
      <c r="G38" s="157"/>
      <c r="H38" s="157"/>
      <c r="I38" s="157"/>
      <c r="J38" s="157"/>
      <c r="K38" s="157"/>
      <c r="L38" s="157"/>
      <c r="M38" s="1292"/>
      <c r="N38" s="157"/>
      <c r="O38" s="154">
        <v>0.1</v>
      </c>
      <c r="P38" s="153"/>
      <c r="Q38" s="153"/>
      <c r="R38" s="153"/>
      <c r="S38" s="153"/>
      <c r="T38" s="153"/>
      <c r="U38" s="153"/>
      <c r="V38" s="154">
        <v>0.14000000000000001</v>
      </c>
      <c r="W38" s="153"/>
      <c r="X38" s="153"/>
      <c r="Y38" s="153"/>
      <c r="Z38" s="153"/>
      <c r="AA38" s="79"/>
      <c r="AB38" s="79"/>
    </row>
    <row r="39" spans="1:28" ht="28.55" customHeight="1" x14ac:dyDescent="0.15">
      <c r="A39" s="79"/>
      <c r="B39" s="1368"/>
      <c r="C39" s="1377"/>
      <c r="D39" s="1377"/>
      <c r="E39" s="1358" t="s">
        <v>67</v>
      </c>
      <c r="F39" s="157" t="s">
        <v>68</v>
      </c>
      <c r="G39" s="157" t="s">
        <v>28</v>
      </c>
      <c r="H39" s="157" t="s">
        <v>69</v>
      </c>
      <c r="I39" s="157" t="s">
        <v>66</v>
      </c>
      <c r="J39" s="157"/>
      <c r="K39" s="157"/>
      <c r="L39" s="157"/>
      <c r="M39" s="157"/>
      <c r="N39" s="139"/>
      <c r="O39" s="150"/>
      <c r="P39" s="139"/>
      <c r="Q39" s="139">
        <f t="shared" ref="Q39:Z39" si="32">299566*0.1</f>
        <v>29956.600000000002</v>
      </c>
      <c r="R39" s="139">
        <f t="shared" si="32"/>
        <v>29956.600000000002</v>
      </c>
      <c r="S39" s="139">
        <f t="shared" si="32"/>
        <v>29956.600000000002</v>
      </c>
      <c r="T39" s="139">
        <f t="shared" si="32"/>
        <v>29956.600000000002</v>
      </c>
      <c r="U39" s="139">
        <f t="shared" si="32"/>
        <v>29956.600000000002</v>
      </c>
      <c r="V39" s="139">
        <f t="shared" si="32"/>
        <v>29956.600000000002</v>
      </c>
      <c r="W39" s="139">
        <f t="shared" si="32"/>
        <v>29956.600000000002</v>
      </c>
      <c r="X39" s="139">
        <f t="shared" si="32"/>
        <v>29956.600000000002</v>
      </c>
      <c r="Y39" s="139">
        <f t="shared" si="32"/>
        <v>29956.600000000002</v>
      </c>
      <c r="Z39" s="139">
        <f t="shared" si="32"/>
        <v>29956.600000000002</v>
      </c>
      <c r="AA39" s="79"/>
      <c r="AB39" s="83"/>
    </row>
    <row r="40" spans="1:28" ht="32.950000000000003" customHeight="1" x14ac:dyDescent="0.15">
      <c r="A40" s="79"/>
      <c r="B40" s="1368"/>
      <c r="C40" s="1377"/>
      <c r="D40" s="1377"/>
      <c r="E40" s="1370" t="s">
        <v>70</v>
      </c>
      <c r="F40" s="130" t="s">
        <v>71</v>
      </c>
      <c r="G40" s="130" t="s">
        <v>28</v>
      </c>
      <c r="H40" s="130" t="s">
        <v>69</v>
      </c>
      <c r="I40" s="130" t="s">
        <v>66</v>
      </c>
      <c r="J40" s="130"/>
      <c r="K40" s="130"/>
      <c r="L40" s="130"/>
      <c r="M40" s="130"/>
      <c r="N40" s="138">
        <v>601748.56909999996</v>
      </c>
      <c r="O40" s="138">
        <v>18150</v>
      </c>
      <c r="P40" s="138">
        <v>18150</v>
      </c>
      <c r="Q40" s="138">
        <v>18150</v>
      </c>
      <c r="R40" s="138">
        <v>18150</v>
      </c>
      <c r="S40" s="138">
        <v>18150</v>
      </c>
      <c r="T40" s="138">
        <v>18150</v>
      </c>
      <c r="U40" s="139">
        <v>18150</v>
      </c>
      <c r="V40" s="139">
        <v>18150</v>
      </c>
      <c r="W40" s="139">
        <v>18150</v>
      </c>
      <c r="X40" s="139">
        <v>18150</v>
      </c>
      <c r="Y40" s="139">
        <v>18150</v>
      </c>
      <c r="Z40" s="139">
        <v>18150</v>
      </c>
      <c r="AA40" s="79"/>
      <c r="AB40" s="83"/>
    </row>
    <row r="41" spans="1:28" ht="28.55" customHeight="1" x14ac:dyDescent="0.15">
      <c r="A41" s="79"/>
      <c r="B41" s="1368"/>
      <c r="C41" s="1377"/>
      <c r="D41" s="1377"/>
      <c r="E41" s="1371"/>
      <c r="F41" s="866" t="s">
        <v>72</v>
      </c>
      <c r="G41" s="866" t="s">
        <v>28</v>
      </c>
      <c r="H41" s="866" t="s">
        <v>73</v>
      </c>
      <c r="I41" s="866" t="s">
        <v>74</v>
      </c>
      <c r="J41" s="866"/>
      <c r="K41" s="866"/>
      <c r="L41" s="866"/>
      <c r="M41" s="866"/>
      <c r="N41" s="155">
        <v>76.36</v>
      </c>
      <c r="O41" s="155">
        <f t="shared" ref="O41:Z41" si="33">+N41*$N$42+N41</f>
        <v>77.887199999999993</v>
      </c>
      <c r="P41" s="155">
        <f t="shared" si="33"/>
        <v>79.444943999999992</v>
      </c>
      <c r="Q41" s="155">
        <f t="shared" si="33"/>
        <v>81.033842879999995</v>
      </c>
      <c r="R41" s="155">
        <f t="shared" si="33"/>
        <v>82.654519737599998</v>
      </c>
      <c r="S41" s="155">
        <f t="shared" si="33"/>
        <v>84.307610132351996</v>
      </c>
      <c r="T41" s="155">
        <f t="shared" si="33"/>
        <v>85.993762334999033</v>
      </c>
      <c r="U41" s="139">
        <f t="shared" si="33"/>
        <v>87.713637581699018</v>
      </c>
      <c r="V41" s="139">
        <f t="shared" si="33"/>
        <v>89.467910333332995</v>
      </c>
      <c r="W41" s="139">
        <f t="shared" si="33"/>
        <v>91.257268539999657</v>
      </c>
      <c r="X41" s="139">
        <f t="shared" si="33"/>
        <v>93.082413910799644</v>
      </c>
      <c r="Y41" s="139">
        <f t="shared" si="33"/>
        <v>94.944062189015639</v>
      </c>
      <c r="Z41" s="139">
        <f t="shared" si="33"/>
        <v>96.842943432795948</v>
      </c>
      <c r="AA41" s="79"/>
      <c r="AB41" s="79"/>
    </row>
    <row r="42" spans="1:28" ht="15.8" hidden="1" customHeight="1" x14ac:dyDescent="0.15">
      <c r="A42" s="79"/>
      <c r="B42" s="1368"/>
      <c r="C42" s="1377"/>
      <c r="D42" s="1377"/>
      <c r="E42" s="1371"/>
      <c r="F42" s="130"/>
      <c r="G42" s="130"/>
      <c r="H42" s="130"/>
      <c r="I42" s="130"/>
      <c r="J42" s="130"/>
      <c r="K42" s="130"/>
      <c r="L42" s="130"/>
      <c r="M42" s="130"/>
      <c r="N42" s="134">
        <v>0.02</v>
      </c>
      <c r="O42" s="133"/>
      <c r="P42" s="135"/>
      <c r="Q42" s="135"/>
      <c r="R42" s="135"/>
      <c r="S42" s="135"/>
      <c r="T42" s="135"/>
      <c r="U42" s="137"/>
      <c r="V42" s="137"/>
      <c r="W42" s="137"/>
      <c r="X42" s="137"/>
      <c r="Y42" s="137"/>
      <c r="Z42" s="137"/>
      <c r="AA42" s="79"/>
      <c r="AB42" s="79"/>
    </row>
    <row r="43" spans="1:28" ht="70.5" customHeight="1" x14ac:dyDescent="0.15">
      <c r="A43" s="79"/>
      <c r="B43" s="1368"/>
      <c r="C43" s="1377"/>
      <c r="D43" s="1377"/>
      <c r="E43" s="1371"/>
      <c r="F43" s="130" t="s">
        <v>75</v>
      </c>
      <c r="G43" s="130" t="s">
        <v>28</v>
      </c>
      <c r="H43" s="130" t="s">
        <v>76</v>
      </c>
      <c r="I43" s="130" t="s">
        <v>77</v>
      </c>
      <c r="J43" s="130"/>
      <c r="K43" s="130"/>
      <c r="L43" s="130"/>
      <c r="M43" s="141">
        <v>45.454545454545453</v>
      </c>
      <c r="N43" s="156">
        <v>0</v>
      </c>
      <c r="O43" s="141">
        <v>621882</v>
      </c>
      <c r="P43" s="141">
        <f>+$O$43*0.035</f>
        <v>21765.870000000003</v>
      </c>
      <c r="Q43" s="141">
        <f t="shared" ref="Q43:R43" si="34">+$O$43*0.033</f>
        <v>20522.106</v>
      </c>
      <c r="R43" s="141">
        <f t="shared" si="34"/>
        <v>20522.106</v>
      </c>
      <c r="S43" s="141">
        <f>+$O$43*0.035</f>
        <v>21765.870000000003</v>
      </c>
      <c r="T43" s="141">
        <f t="shared" ref="T43:Y43" si="35">+$O$43*0.032</f>
        <v>19900.224000000002</v>
      </c>
      <c r="U43" s="142">
        <f t="shared" si="35"/>
        <v>19900.224000000002</v>
      </c>
      <c r="V43" s="142">
        <f t="shared" si="35"/>
        <v>19900.224000000002</v>
      </c>
      <c r="W43" s="142">
        <f t="shared" si="35"/>
        <v>19900.224000000002</v>
      </c>
      <c r="X43" s="142">
        <f t="shared" si="35"/>
        <v>19900.224000000002</v>
      </c>
      <c r="Y43" s="142">
        <f t="shared" si="35"/>
        <v>19900.224000000002</v>
      </c>
      <c r="Z43" s="142">
        <f>+Y43</f>
        <v>19900.224000000002</v>
      </c>
      <c r="AA43" s="79"/>
      <c r="AB43" s="85"/>
    </row>
    <row r="44" spans="1:28" ht="43.5" customHeight="1" x14ac:dyDescent="0.15">
      <c r="A44" s="79"/>
      <c r="B44" s="1368"/>
      <c r="C44" s="1377"/>
      <c r="D44" s="1377"/>
      <c r="E44" s="1371"/>
      <c r="F44" s="130" t="s">
        <v>78</v>
      </c>
      <c r="G44" s="130" t="s">
        <v>28</v>
      </c>
      <c r="H44" s="130" t="s">
        <v>69</v>
      </c>
      <c r="I44" s="130" t="s">
        <v>66</v>
      </c>
      <c r="J44" s="130"/>
      <c r="K44" s="130"/>
      <c r="L44" s="130"/>
      <c r="M44" s="130"/>
      <c r="N44" s="138">
        <v>0</v>
      </c>
      <c r="O44" s="138">
        <v>1250</v>
      </c>
      <c r="P44" s="138">
        <v>1250</v>
      </c>
      <c r="Q44" s="138">
        <v>1250</v>
      </c>
      <c r="R44" s="138">
        <v>1250</v>
      </c>
      <c r="S44" s="138">
        <v>1250</v>
      </c>
      <c r="T44" s="138">
        <v>1250</v>
      </c>
      <c r="U44" s="139">
        <v>1250</v>
      </c>
      <c r="V44" s="139">
        <v>1250</v>
      </c>
      <c r="W44" s="139">
        <v>1250</v>
      </c>
      <c r="X44" s="139">
        <v>1250</v>
      </c>
      <c r="Y44" s="139">
        <v>1250</v>
      </c>
      <c r="Z44" s="139">
        <v>1250</v>
      </c>
      <c r="AA44" s="79"/>
      <c r="AB44" s="79"/>
    </row>
    <row r="45" spans="1:28" ht="40.6" customHeight="1" x14ac:dyDescent="0.15">
      <c r="A45" s="79"/>
      <c r="B45" s="1368"/>
      <c r="C45" s="1377"/>
      <c r="D45" s="1377"/>
      <c r="E45" s="1358" t="s">
        <v>79</v>
      </c>
      <c r="F45" s="130" t="s">
        <v>80</v>
      </c>
      <c r="G45" s="130" t="s">
        <v>60</v>
      </c>
      <c r="H45" s="130" t="s">
        <v>81</v>
      </c>
      <c r="I45" s="130" t="s">
        <v>82</v>
      </c>
      <c r="J45" s="130"/>
      <c r="K45" s="130"/>
      <c r="L45" s="130"/>
      <c r="M45" s="130"/>
      <c r="N45" s="130">
        <v>6</v>
      </c>
      <c r="O45" s="130"/>
      <c r="P45" s="130"/>
      <c r="Q45" s="130">
        <v>2</v>
      </c>
      <c r="R45" s="130">
        <v>2</v>
      </c>
      <c r="S45" s="130">
        <v>2</v>
      </c>
      <c r="T45" s="130">
        <v>2</v>
      </c>
      <c r="U45" s="157">
        <v>2</v>
      </c>
      <c r="V45" s="157">
        <v>2</v>
      </c>
      <c r="W45" s="157">
        <v>3</v>
      </c>
      <c r="X45" s="157">
        <v>3</v>
      </c>
      <c r="Y45" s="157">
        <v>3</v>
      </c>
      <c r="Z45" s="157">
        <v>3</v>
      </c>
      <c r="AA45" s="79"/>
      <c r="AB45" s="79"/>
    </row>
    <row r="46" spans="1:28" ht="26.35" hidden="1" customHeight="1" x14ac:dyDescent="0.15">
      <c r="A46" s="79"/>
      <c r="B46" s="1368"/>
      <c r="C46" s="1377"/>
      <c r="D46" s="1377"/>
      <c r="E46" s="1358"/>
      <c r="F46" s="130"/>
      <c r="G46" s="130"/>
      <c r="H46" s="130"/>
      <c r="I46" s="130"/>
      <c r="J46" s="130"/>
      <c r="K46" s="130"/>
      <c r="L46" s="130"/>
      <c r="M46" s="130"/>
      <c r="N46" s="130"/>
      <c r="O46" s="158"/>
      <c r="P46" s="158"/>
      <c r="Q46" s="158"/>
      <c r="R46" s="158"/>
      <c r="S46" s="158"/>
      <c r="T46" s="158"/>
      <c r="U46" s="159"/>
      <c r="V46" s="159"/>
      <c r="W46" s="159"/>
      <c r="X46" s="159"/>
      <c r="Y46" s="159"/>
      <c r="Z46" s="160"/>
      <c r="AA46" s="79"/>
      <c r="AB46" s="79"/>
    </row>
    <row r="47" spans="1:28" ht="14.95" hidden="1" customHeight="1" x14ac:dyDescent="0.15">
      <c r="A47" s="79"/>
      <c r="B47" s="1368"/>
      <c r="C47" s="823"/>
      <c r="D47" s="823"/>
      <c r="E47" s="1358"/>
      <c r="F47" s="130"/>
      <c r="G47" s="130"/>
      <c r="H47" s="130"/>
      <c r="I47" s="130"/>
      <c r="J47" s="130"/>
      <c r="K47" s="130"/>
      <c r="L47" s="130"/>
      <c r="M47" s="130"/>
      <c r="N47" s="161"/>
      <c r="O47" s="149"/>
      <c r="P47" s="149"/>
      <c r="Q47" s="149">
        <f>+(P35*$Q$48)</f>
        <v>0.11249999999999999</v>
      </c>
      <c r="R47" s="149">
        <f>+(Q35*$Q$48)</f>
        <v>9.5624999999999988E-2</v>
      </c>
      <c r="S47" s="149">
        <f>+(R35*$Q$48)</f>
        <v>8.1281249999999999E-2</v>
      </c>
      <c r="T47" s="149">
        <f>+(S35*$Q$48)</f>
        <v>6.9089062500000006E-2</v>
      </c>
      <c r="U47" s="150">
        <f>+(T35*$Q$48)</f>
        <v>5.8725703125000001E-2</v>
      </c>
      <c r="V47" s="150">
        <f>+(U35*$V$48)</f>
        <v>4.9916847656249992E-2</v>
      </c>
      <c r="W47" s="150">
        <f>+(V35*$V$48)</f>
        <v>4.24293205078125E-2</v>
      </c>
      <c r="X47" s="150">
        <f>+(W35*$V$48)</f>
        <v>3.6064922431640618E-2</v>
      </c>
      <c r="Y47" s="150">
        <f>+(X35*$V$48)</f>
        <v>3.065518406689453E-2</v>
      </c>
      <c r="Z47" s="150">
        <f>+(Y35*$V$48)</f>
        <v>2.6056906456860353E-2</v>
      </c>
      <c r="AA47" s="79"/>
      <c r="AB47" s="79"/>
    </row>
    <row r="48" spans="1:28" ht="18.7" hidden="1" customHeight="1" x14ac:dyDescent="0.15">
      <c r="A48" s="79"/>
      <c r="B48" s="1368"/>
      <c r="C48" s="823"/>
      <c r="D48" s="823"/>
      <c r="E48" s="1358"/>
      <c r="F48" s="130"/>
      <c r="G48" s="130"/>
      <c r="H48" s="130"/>
      <c r="I48" s="130"/>
      <c r="J48" s="130"/>
      <c r="K48" s="130"/>
      <c r="L48" s="130"/>
      <c r="M48" s="130"/>
      <c r="N48" s="161"/>
      <c r="O48" s="162"/>
      <c r="P48" s="162"/>
      <c r="Q48" s="151">
        <v>0.15</v>
      </c>
      <c r="R48" s="162"/>
      <c r="S48" s="162"/>
      <c r="T48" s="162"/>
      <c r="U48" s="163"/>
      <c r="V48" s="154">
        <v>0.15</v>
      </c>
      <c r="W48" s="163"/>
      <c r="X48" s="163"/>
      <c r="Y48" s="163"/>
      <c r="Z48" s="163"/>
      <c r="AA48" s="79"/>
      <c r="AB48" s="79"/>
    </row>
    <row r="49" spans="1:28" ht="33.65" customHeight="1" x14ac:dyDescent="0.15">
      <c r="A49" s="79"/>
      <c r="B49" s="1368"/>
      <c r="C49" s="1373" t="s">
        <v>83</v>
      </c>
      <c r="D49" s="1373" t="s">
        <v>84</v>
      </c>
      <c r="E49" s="1359" t="s">
        <v>85</v>
      </c>
      <c r="F49" s="157" t="s">
        <v>86</v>
      </c>
      <c r="G49" s="157" t="s">
        <v>16</v>
      </c>
      <c r="H49" s="157"/>
      <c r="I49" s="157"/>
      <c r="J49" s="1293"/>
      <c r="K49" s="1293"/>
      <c r="L49" s="1293"/>
      <c r="M49" s="1293">
        <v>0.46800000000000003</v>
      </c>
      <c r="N49" s="1293"/>
      <c r="O49" s="1293">
        <v>0.48320000000000002</v>
      </c>
      <c r="P49" s="1293">
        <f>+(O49*$O$50)+O49</f>
        <v>0.49286400000000002</v>
      </c>
      <c r="Q49" s="1293">
        <f>+(P49*$O$50)+P49</f>
        <v>0.50272128000000005</v>
      </c>
      <c r="R49" s="1293">
        <f>+(Q49*$O$50)+Q49</f>
        <v>0.51277570560000008</v>
      </c>
      <c r="S49" s="1293">
        <f>+(R49*$O$50)+R49</f>
        <v>0.52303121971200006</v>
      </c>
      <c r="T49" s="1293">
        <f>+(S49*$O$50)+S49</f>
        <v>0.53349184410624007</v>
      </c>
      <c r="U49" s="1293">
        <f>+(T49*$U$50)+T49</f>
        <v>0.5494965994294273</v>
      </c>
      <c r="V49" s="1293">
        <f>+(U49*$O$50)+U49</f>
        <v>0.56048653141801585</v>
      </c>
      <c r="W49" s="1293">
        <f>+(V49*$O$50)+V49</f>
        <v>0.57169626204637614</v>
      </c>
      <c r="X49" s="1293">
        <f>+(W49*$O$50)+W49</f>
        <v>0.5831301872873037</v>
      </c>
      <c r="Y49" s="1293">
        <f>+(X49*$O$50)+X49</f>
        <v>0.59479279103304983</v>
      </c>
      <c r="Z49" s="1293">
        <f>+(Y49*$O$50)+Y49</f>
        <v>0.60668864685371082</v>
      </c>
      <c r="AA49" s="79"/>
      <c r="AB49" s="79"/>
    </row>
    <row r="50" spans="1:28" ht="11.05" hidden="1" customHeight="1" x14ac:dyDescent="0.15">
      <c r="A50" s="79"/>
      <c r="B50" s="1368"/>
      <c r="C50" s="1374"/>
      <c r="D50" s="1374"/>
      <c r="E50" s="1359"/>
      <c r="F50" s="157"/>
      <c r="G50" s="157"/>
      <c r="H50" s="157"/>
      <c r="I50" s="157"/>
      <c r="J50" s="1293"/>
      <c r="K50" s="1293"/>
      <c r="L50" s="1293"/>
      <c r="M50" s="1293"/>
      <c r="N50" s="1293"/>
      <c r="O50" s="136">
        <v>0.02</v>
      </c>
      <c r="P50" s="139"/>
      <c r="Q50" s="139"/>
      <c r="R50" s="139"/>
      <c r="S50" s="139"/>
      <c r="T50" s="139"/>
      <c r="U50" s="136">
        <v>0.03</v>
      </c>
      <c r="V50" s="1294"/>
      <c r="W50" s="139"/>
      <c r="X50" s="139"/>
      <c r="Y50" s="139"/>
      <c r="Z50" s="139"/>
      <c r="AA50" s="79"/>
      <c r="AB50" s="79"/>
    </row>
    <row r="51" spans="1:28" ht="39.1" customHeight="1" x14ac:dyDescent="0.15">
      <c r="A51" s="79"/>
      <c r="B51" s="1368"/>
      <c r="C51" s="1374"/>
      <c r="D51" s="1374"/>
      <c r="E51" s="1359" t="s">
        <v>2740</v>
      </c>
      <c r="F51" s="157" t="s">
        <v>87</v>
      </c>
      <c r="G51" s="157" t="s">
        <v>16</v>
      </c>
      <c r="H51" s="157" t="s">
        <v>88</v>
      </c>
      <c r="I51" s="157" t="s">
        <v>89</v>
      </c>
      <c r="J51" s="1295">
        <v>16</v>
      </c>
      <c r="K51" s="1295">
        <v>16.3</v>
      </c>
      <c r="L51" s="139">
        <v>12.1</v>
      </c>
      <c r="M51" s="139">
        <v>12.1</v>
      </c>
      <c r="N51" s="139">
        <v>10.54</v>
      </c>
      <c r="O51" s="139">
        <f t="shared" ref="O51:Z51" ca="1" si="36">+N51-O52</f>
        <v>9.3278999999999996</v>
      </c>
      <c r="P51" s="139">
        <f ca="1">+O51-P52</f>
        <v>8.2551914999999987</v>
      </c>
      <c r="Q51" s="139">
        <f t="shared" ca="1" si="36"/>
        <v>7.3058444774999991</v>
      </c>
      <c r="R51" s="139">
        <f t="shared" ca="1" si="36"/>
        <v>6.4656723625874992</v>
      </c>
      <c r="S51" s="139">
        <f t="shared" ca="1" si="36"/>
        <v>5.7221200408899371</v>
      </c>
      <c r="T51" s="139">
        <f t="shared" ca="1" si="36"/>
        <v>5.0640762361875939</v>
      </c>
      <c r="U51" s="139">
        <f t="shared" ca="1" si="36"/>
        <v>4.4817074690260208</v>
      </c>
      <c r="V51" s="139">
        <f t="shared" ca="1" si="36"/>
        <v>3.9214940353977683</v>
      </c>
      <c r="W51" s="139">
        <f ca="1">+V51-W52</f>
        <v>3.4313072809730474</v>
      </c>
      <c r="X51" s="139">
        <f t="shared" ca="1" si="36"/>
        <v>3.0023938708514164</v>
      </c>
      <c r="Y51" s="139">
        <f t="shared" ca="1" si="36"/>
        <v>2.6270946369949892</v>
      </c>
      <c r="Z51" s="139">
        <f t="shared" ca="1" si="36"/>
        <v>2.2987078073706155</v>
      </c>
      <c r="AA51" s="79"/>
      <c r="AB51" s="79"/>
    </row>
    <row r="52" spans="1:28" ht="15.8" hidden="1" customHeight="1" x14ac:dyDescent="0.15">
      <c r="A52" s="79"/>
      <c r="B52" s="1368"/>
      <c r="C52" s="1374"/>
      <c r="D52" s="1374"/>
      <c r="E52" s="1359"/>
      <c r="F52" s="133"/>
      <c r="G52" s="133"/>
      <c r="H52" s="130"/>
      <c r="I52" s="130"/>
      <c r="J52" s="324"/>
      <c r="K52" s="324"/>
      <c r="L52" s="138"/>
      <c r="M52" s="138"/>
      <c r="N52" s="138"/>
      <c r="O52" s="149">
        <f t="shared" ref="O52:U52" ca="1" si="37">+(N51*$O$52)</f>
        <v>1.2121</v>
      </c>
      <c r="P52" s="149">
        <f t="shared" ca="1" si="37"/>
        <v>1.0727085000000001</v>
      </c>
      <c r="Q52" s="149">
        <f t="shared" ca="1" si="37"/>
        <v>0.94934702249999992</v>
      </c>
      <c r="R52" s="149">
        <f t="shared" ca="1" si="37"/>
        <v>0.84017211491249988</v>
      </c>
      <c r="S52" s="149">
        <f t="shared" ca="1" si="37"/>
        <v>0.74355232169756247</v>
      </c>
      <c r="T52" s="149">
        <f t="shared" ca="1" si="37"/>
        <v>0.6580438047023428</v>
      </c>
      <c r="U52" s="150">
        <f t="shared" ca="1" si="37"/>
        <v>0.58236876716157338</v>
      </c>
      <c r="V52" s="150">
        <f t="shared" ref="V52:Z52" ca="1" si="38">+U51*$V$52</f>
        <v>0.5602134336282526</v>
      </c>
      <c r="W52" s="150">
        <f ca="1">+V51*$V$52</f>
        <v>0.49018675442472104</v>
      </c>
      <c r="X52" s="150">
        <f t="shared" ca="1" si="38"/>
        <v>0.42891341012163092</v>
      </c>
      <c r="Y52" s="150">
        <f t="shared" ca="1" si="38"/>
        <v>0.37529923385642705</v>
      </c>
      <c r="Z52" s="150">
        <f t="shared" ca="1" si="38"/>
        <v>0.32838682962437366</v>
      </c>
      <c r="AA52" s="79"/>
      <c r="AB52" s="79"/>
    </row>
    <row r="53" spans="1:28" ht="8.85" hidden="1" x14ac:dyDescent="0.15">
      <c r="A53" s="79"/>
      <c r="B53" s="1368"/>
      <c r="C53" s="1374"/>
      <c r="D53" s="1374"/>
      <c r="E53" s="1359"/>
      <c r="F53" s="130"/>
      <c r="G53" s="130"/>
      <c r="H53" s="130"/>
      <c r="I53" s="130"/>
      <c r="J53" s="324"/>
      <c r="K53" s="324"/>
      <c r="L53" s="138"/>
      <c r="M53" s="138"/>
      <c r="N53" s="138"/>
      <c r="O53" s="151">
        <v>0.115</v>
      </c>
      <c r="P53" s="152"/>
      <c r="Q53" s="152"/>
      <c r="R53" s="152"/>
      <c r="S53" s="152"/>
      <c r="T53" s="152"/>
      <c r="U53" s="153"/>
      <c r="V53" s="154">
        <v>0.125</v>
      </c>
      <c r="W53" s="153"/>
      <c r="X53" s="153"/>
      <c r="Y53" s="153"/>
      <c r="Z53" s="153"/>
      <c r="AA53" s="79"/>
      <c r="AB53" s="79"/>
    </row>
    <row r="54" spans="1:28" ht="17.7" x14ac:dyDescent="0.15">
      <c r="A54" s="79"/>
      <c r="B54" s="1368"/>
      <c r="C54" s="1374"/>
      <c r="D54" s="1374"/>
      <c r="E54" s="1359" t="s">
        <v>2741</v>
      </c>
      <c r="F54" s="130" t="s">
        <v>90</v>
      </c>
      <c r="G54" s="130" t="s">
        <v>16</v>
      </c>
      <c r="H54" s="130" t="s">
        <v>88</v>
      </c>
      <c r="I54" s="130" t="s">
        <v>89</v>
      </c>
      <c r="J54" s="324">
        <v>47.6</v>
      </c>
      <c r="K54" s="324">
        <v>44.7</v>
      </c>
      <c r="L54" s="138">
        <v>48.3</v>
      </c>
      <c r="M54" s="138">
        <v>50.7</v>
      </c>
      <c r="N54" s="138">
        <v>50.1</v>
      </c>
      <c r="O54" s="138">
        <v>49.1</v>
      </c>
      <c r="P54" s="138">
        <f t="shared" ref="P54:Z54" ca="1" si="39">+O54-P55</f>
        <v>45.810299999999998</v>
      </c>
      <c r="Q54" s="138">
        <f t="shared" ca="1" si="39"/>
        <v>42.741009899999995</v>
      </c>
      <c r="R54" s="138">
        <f t="shared" ca="1" si="39"/>
        <v>39.877362236699994</v>
      </c>
      <c r="S54" s="138">
        <f t="shared" ca="1" si="39"/>
        <v>37.205578966841095</v>
      </c>
      <c r="T54" s="138">
        <f t="shared" ca="1" si="39"/>
        <v>34.712805176062744</v>
      </c>
      <c r="U54" s="139">
        <f t="shared" ca="1" si="39"/>
        <v>32.387047229266543</v>
      </c>
      <c r="V54" s="139">
        <f t="shared" ca="1" si="39"/>
        <v>28.662536797900891</v>
      </c>
      <c r="W54" s="139">
        <f ca="1">+V54-W55</f>
        <v>25.366345066142287</v>
      </c>
      <c r="X54" s="139">
        <f t="shared" ca="1" si="39"/>
        <v>22.449215383535925</v>
      </c>
      <c r="Y54" s="139">
        <f t="shared" ca="1" si="39"/>
        <v>19.867555614429293</v>
      </c>
      <c r="Z54" s="142">
        <f t="shared" ca="1" si="39"/>
        <v>17.582786718769924</v>
      </c>
      <c r="AA54" s="79"/>
      <c r="AB54" s="79"/>
    </row>
    <row r="55" spans="1:28" ht="15.8" hidden="1" customHeight="1" x14ac:dyDescent="0.15">
      <c r="A55" s="79"/>
      <c r="B55" s="1368"/>
      <c r="C55" s="1374"/>
      <c r="D55" s="1374"/>
      <c r="E55" s="1359"/>
      <c r="F55" s="130"/>
      <c r="G55" s="130"/>
      <c r="H55" s="130"/>
      <c r="I55" s="130"/>
      <c r="J55" s="324"/>
      <c r="K55" s="324"/>
      <c r="L55" s="138"/>
      <c r="M55" s="138"/>
      <c r="N55" s="138"/>
      <c r="O55" s="149"/>
      <c r="P55" s="149">
        <f t="shared" ref="P55:U55" ca="1" si="40">+(O54*$P$55)</f>
        <v>3.2897000000000003</v>
      </c>
      <c r="Q55" s="149">
        <f t="shared" ca="1" si="40"/>
        <v>3.0692900999999999</v>
      </c>
      <c r="R55" s="149">
        <f t="shared" ca="1" si="40"/>
        <v>2.8636476632999996</v>
      </c>
      <c r="S55" s="149">
        <f t="shared" ca="1" si="40"/>
        <v>2.6717832698588997</v>
      </c>
      <c r="T55" s="149">
        <f t="shared" ca="1" si="40"/>
        <v>2.4927737907783536</v>
      </c>
      <c r="U55" s="150">
        <f t="shared" ca="1" si="40"/>
        <v>2.325757946796204</v>
      </c>
      <c r="V55" s="150">
        <f t="shared" ref="V55:Z55" ca="1" si="41">+U54*$V$55</f>
        <v>3.7245104313656525</v>
      </c>
      <c r="W55" s="150">
        <f t="shared" ca="1" si="41"/>
        <v>3.2961917317586025</v>
      </c>
      <c r="X55" s="150">
        <f t="shared" ca="1" si="41"/>
        <v>2.9171296826063631</v>
      </c>
      <c r="Y55" s="150">
        <f t="shared" ca="1" si="41"/>
        <v>2.5816597691066314</v>
      </c>
      <c r="Z55" s="150">
        <f t="shared" ca="1" si="41"/>
        <v>2.2847688956593686</v>
      </c>
      <c r="AA55" s="79"/>
      <c r="AB55" s="79"/>
    </row>
    <row r="56" spans="1:28" ht="9" hidden="1" customHeight="1" x14ac:dyDescent="0.15">
      <c r="A56" s="79"/>
      <c r="B56" s="1368"/>
      <c r="C56" s="1374"/>
      <c r="D56" s="1374"/>
      <c r="E56" s="1359"/>
      <c r="F56" s="130"/>
      <c r="G56" s="130"/>
      <c r="H56" s="130"/>
      <c r="I56" s="130"/>
      <c r="J56" s="324"/>
      <c r="K56" s="324"/>
      <c r="L56" s="138"/>
      <c r="M56" s="138"/>
      <c r="N56" s="138"/>
      <c r="O56" s="164"/>
      <c r="P56" s="151">
        <v>6.7000000000000004E-2</v>
      </c>
      <c r="Q56" s="152"/>
      <c r="R56" s="152"/>
      <c r="S56" s="152"/>
      <c r="T56" s="152"/>
      <c r="U56" s="153"/>
      <c r="V56" s="154">
        <v>0.115</v>
      </c>
      <c r="W56" s="153"/>
      <c r="X56" s="153"/>
      <c r="Y56" s="153"/>
      <c r="Z56" s="153"/>
      <c r="AA56" s="79"/>
      <c r="AB56" s="79"/>
    </row>
    <row r="57" spans="1:28" ht="34.5" customHeight="1" x14ac:dyDescent="0.15">
      <c r="A57" s="79"/>
      <c r="B57" s="1368"/>
      <c r="C57" s="1374"/>
      <c r="D57" s="1374"/>
      <c r="E57" s="1378" t="s">
        <v>2746</v>
      </c>
      <c r="F57" s="130" t="s">
        <v>2742</v>
      </c>
      <c r="G57" s="130" t="s">
        <v>16</v>
      </c>
      <c r="H57" s="130" t="s">
        <v>91</v>
      </c>
      <c r="I57" s="130" t="s">
        <v>89</v>
      </c>
      <c r="J57" s="324">
        <v>91.8</v>
      </c>
      <c r="K57" s="324">
        <v>92.4</v>
      </c>
      <c r="L57" s="148">
        <v>94.6</v>
      </c>
      <c r="M57" s="148">
        <v>93.100000000000009</v>
      </c>
      <c r="N57" s="148">
        <v>93.4</v>
      </c>
      <c r="O57" s="148">
        <v>93.2</v>
      </c>
      <c r="P57" s="148">
        <v>93.2</v>
      </c>
      <c r="Q57" s="148">
        <v>93.4</v>
      </c>
      <c r="R57" s="148">
        <v>93.6</v>
      </c>
      <c r="S57" s="148">
        <v>93.8</v>
      </c>
      <c r="T57" s="148">
        <v>94</v>
      </c>
      <c r="U57" s="165">
        <v>94.2</v>
      </c>
      <c r="V57" s="165">
        <v>94.4</v>
      </c>
      <c r="W57" s="165">
        <v>94.600000000000009</v>
      </c>
      <c r="X57" s="165">
        <v>94.800000000000011</v>
      </c>
      <c r="Y57" s="165">
        <v>95.000000000000014</v>
      </c>
      <c r="Z57" s="166">
        <v>95.200000000000017</v>
      </c>
      <c r="AA57" s="79"/>
      <c r="AB57" s="79"/>
    </row>
    <row r="58" spans="1:28" ht="32.950000000000003" customHeight="1" x14ac:dyDescent="0.15">
      <c r="A58" s="79"/>
      <c r="B58" s="1368"/>
      <c r="C58" s="1374"/>
      <c r="D58" s="1374"/>
      <c r="E58" s="1379"/>
      <c r="F58" s="130" t="s">
        <v>2743</v>
      </c>
      <c r="G58" s="130" t="s">
        <v>16</v>
      </c>
      <c r="H58" s="130"/>
      <c r="I58" s="130"/>
      <c r="J58" s="324">
        <v>58.1</v>
      </c>
      <c r="K58" s="324">
        <v>65.31</v>
      </c>
      <c r="L58" s="148">
        <v>74.099999999999994</v>
      </c>
      <c r="M58" s="148">
        <v>73.099999999999994</v>
      </c>
      <c r="N58" s="148">
        <v>75.7</v>
      </c>
      <c r="O58" s="148">
        <v>76.3</v>
      </c>
      <c r="P58" s="148">
        <v>76.3</v>
      </c>
      <c r="Q58" s="148">
        <v>77</v>
      </c>
      <c r="R58" s="148">
        <v>77.7</v>
      </c>
      <c r="S58" s="148">
        <v>78.400000000000006</v>
      </c>
      <c r="T58" s="148">
        <v>79.099999999999994</v>
      </c>
      <c r="U58" s="165">
        <v>79.3</v>
      </c>
      <c r="V58" s="165">
        <v>79.5</v>
      </c>
      <c r="W58" s="165">
        <v>79.7</v>
      </c>
      <c r="X58" s="165">
        <v>79.900000000000006</v>
      </c>
      <c r="Y58" s="165">
        <v>80.100000000000009</v>
      </c>
      <c r="Z58" s="170">
        <v>80.300000000000011</v>
      </c>
      <c r="AA58" s="79"/>
      <c r="AB58" s="79"/>
    </row>
    <row r="59" spans="1:28" ht="42.8" customHeight="1" x14ac:dyDescent="0.15">
      <c r="A59" s="79"/>
      <c r="B59" s="1368"/>
      <c r="C59" s="1374"/>
      <c r="D59" s="1374"/>
      <c r="E59" s="1378" t="s">
        <v>2747</v>
      </c>
      <c r="F59" s="130" t="s">
        <v>2744</v>
      </c>
      <c r="G59" s="130" t="s">
        <v>16</v>
      </c>
      <c r="H59" s="130" t="s">
        <v>91</v>
      </c>
      <c r="I59" s="130" t="s">
        <v>89</v>
      </c>
      <c r="J59" s="324">
        <v>61.3</v>
      </c>
      <c r="K59" s="324">
        <v>67.97999999999999</v>
      </c>
      <c r="L59" s="148">
        <v>66</v>
      </c>
      <c r="M59" s="148">
        <v>69.199999999999989</v>
      </c>
      <c r="N59" s="148">
        <v>70.099999999999994</v>
      </c>
      <c r="O59" s="148">
        <v>71.900000000000006</v>
      </c>
      <c r="P59" s="148">
        <v>71.900000000000006</v>
      </c>
      <c r="Q59" s="148">
        <v>72.7</v>
      </c>
      <c r="R59" s="148">
        <v>73.5</v>
      </c>
      <c r="S59" s="148">
        <v>74.3</v>
      </c>
      <c r="T59" s="148">
        <v>75.099999999999994</v>
      </c>
      <c r="U59" s="165">
        <v>75.899999999999991</v>
      </c>
      <c r="V59" s="165">
        <v>76.699999999999989</v>
      </c>
      <c r="W59" s="165">
        <v>77.499999999999986</v>
      </c>
      <c r="X59" s="165">
        <v>78.299999999999983</v>
      </c>
      <c r="Y59" s="165">
        <v>79.09999999999998</v>
      </c>
      <c r="Z59" s="166">
        <v>80.09999999999998</v>
      </c>
      <c r="AA59" s="79"/>
      <c r="AB59" s="79"/>
    </row>
    <row r="60" spans="1:28" ht="39.75" customHeight="1" x14ac:dyDescent="0.15">
      <c r="A60" s="79"/>
      <c r="B60" s="1368"/>
      <c r="C60" s="1374"/>
      <c r="D60" s="1374"/>
      <c r="E60" s="1379"/>
      <c r="F60" s="866" t="s">
        <v>2745</v>
      </c>
      <c r="G60" s="866" t="s">
        <v>16</v>
      </c>
      <c r="H60" s="866"/>
      <c r="I60" s="866"/>
      <c r="J60" s="866">
        <v>13.7</v>
      </c>
      <c r="K60" s="866">
        <v>17.57</v>
      </c>
      <c r="L60" s="866">
        <v>14.299999999999999</v>
      </c>
      <c r="M60" s="866">
        <v>12.2</v>
      </c>
      <c r="N60" s="1340">
        <v>19.8</v>
      </c>
      <c r="O60" s="1340">
        <v>19.2</v>
      </c>
      <c r="P60" s="148">
        <v>19.2</v>
      </c>
      <c r="Q60" s="135">
        <v>19.600000000000001</v>
      </c>
      <c r="R60" s="135">
        <v>20</v>
      </c>
      <c r="S60" s="135">
        <v>23</v>
      </c>
      <c r="T60" s="135">
        <v>26</v>
      </c>
      <c r="U60" s="137">
        <v>29</v>
      </c>
      <c r="V60" s="136">
        <v>32</v>
      </c>
      <c r="W60" s="137">
        <v>35</v>
      </c>
      <c r="X60" s="137">
        <v>38</v>
      </c>
      <c r="Y60" s="137">
        <v>41</v>
      </c>
      <c r="Z60" s="170">
        <v>44.8</v>
      </c>
      <c r="AA60" s="79"/>
      <c r="AB60" s="79"/>
    </row>
    <row r="61" spans="1:28" ht="32.950000000000003" customHeight="1" x14ac:dyDescent="0.15">
      <c r="A61" s="79"/>
      <c r="B61" s="1368"/>
      <c r="C61" s="1374"/>
      <c r="D61" s="1374"/>
      <c r="E61" s="1359" t="s">
        <v>92</v>
      </c>
      <c r="F61" s="130" t="s">
        <v>93</v>
      </c>
      <c r="G61" s="130" t="s">
        <v>16</v>
      </c>
      <c r="H61" s="130" t="s">
        <v>94</v>
      </c>
      <c r="I61" s="130" t="s">
        <v>89</v>
      </c>
      <c r="J61" s="866"/>
      <c r="K61" s="866"/>
      <c r="L61" s="148">
        <v>91.46</v>
      </c>
      <c r="M61" s="148">
        <v>93.92</v>
      </c>
      <c r="N61" s="148">
        <v>94.83</v>
      </c>
      <c r="O61" s="148">
        <f t="shared" ref="O61:U61" si="42">+(N61*$O$62)+N61</f>
        <v>95.304149999999993</v>
      </c>
      <c r="P61" s="148">
        <f t="shared" si="42"/>
        <v>95.780670749999999</v>
      </c>
      <c r="Q61" s="148">
        <f t="shared" si="42"/>
        <v>96.259574103749998</v>
      </c>
      <c r="R61" s="148">
        <f t="shared" si="42"/>
        <v>96.740871974268742</v>
      </c>
      <c r="S61" s="148">
        <f t="shared" si="42"/>
        <v>97.224576334140082</v>
      </c>
      <c r="T61" s="148">
        <f t="shared" si="42"/>
        <v>97.710699215810777</v>
      </c>
      <c r="U61" s="165">
        <f t="shared" si="42"/>
        <v>98.199252711889827</v>
      </c>
      <c r="V61" s="165">
        <f t="shared" ref="V61:Z61" si="43">+(U61*$V$62)+U61</f>
        <v>98.395651217313613</v>
      </c>
      <c r="W61" s="165">
        <f t="shared" si="43"/>
        <v>98.592442519748246</v>
      </c>
      <c r="X61" s="165">
        <f t="shared" si="43"/>
        <v>98.789627404787737</v>
      </c>
      <c r="Y61" s="165">
        <f t="shared" si="43"/>
        <v>98.987206659597319</v>
      </c>
      <c r="Z61" s="166">
        <f t="shared" si="43"/>
        <v>99.185181072916521</v>
      </c>
      <c r="AA61" s="79"/>
      <c r="AB61" s="79"/>
    </row>
    <row r="62" spans="1:28" ht="18.7" hidden="1" customHeight="1" x14ac:dyDescent="0.15">
      <c r="A62" s="79"/>
      <c r="B62" s="1368"/>
      <c r="C62" s="1374"/>
      <c r="D62" s="1374"/>
      <c r="E62" s="1359"/>
      <c r="F62" s="866"/>
      <c r="G62" s="866"/>
      <c r="H62" s="866"/>
      <c r="I62" s="866"/>
      <c r="J62" s="866"/>
      <c r="K62" s="866"/>
      <c r="L62" s="866"/>
      <c r="M62" s="866"/>
      <c r="N62" s="866"/>
      <c r="O62" s="151">
        <v>5.0000000000000001E-3</v>
      </c>
      <c r="P62" s="167"/>
      <c r="Q62" s="152"/>
      <c r="R62" s="152"/>
      <c r="S62" s="152"/>
      <c r="T62" s="152"/>
      <c r="U62" s="153"/>
      <c r="V62" s="154">
        <v>2E-3</v>
      </c>
      <c r="W62" s="153"/>
      <c r="X62" s="153"/>
      <c r="Y62" s="153"/>
      <c r="Z62" s="168"/>
      <c r="AA62" s="79"/>
      <c r="AB62" s="79"/>
    </row>
    <row r="63" spans="1:28" ht="32.950000000000003" customHeight="1" x14ac:dyDescent="0.15">
      <c r="A63" s="79"/>
      <c r="B63" s="1368"/>
      <c r="C63" s="1374"/>
      <c r="D63" s="1374"/>
      <c r="E63" s="1360" t="s">
        <v>2751</v>
      </c>
      <c r="F63" s="1350" t="s">
        <v>95</v>
      </c>
      <c r="G63" s="1350" t="s">
        <v>16</v>
      </c>
      <c r="H63" s="130" t="s">
        <v>94</v>
      </c>
      <c r="I63" s="130" t="s">
        <v>89</v>
      </c>
      <c r="J63" s="1350"/>
      <c r="K63" s="1350">
        <v>38.49</v>
      </c>
      <c r="L63" s="1350">
        <v>20.77</v>
      </c>
      <c r="M63" s="1350">
        <v>27.59</v>
      </c>
      <c r="N63" s="1350">
        <v>27.59</v>
      </c>
      <c r="O63" s="148">
        <f t="shared" ref="O63:U63" ca="1" si="44">+(N63*$O$63)+N63</f>
        <v>28.6936</v>
      </c>
      <c r="P63" s="1351">
        <f t="shared" ca="1" si="44"/>
        <v>29.841343999999999</v>
      </c>
      <c r="Q63" s="1351">
        <f t="shared" ca="1" si="44"/>
        <v>31.03499776</v>
      </c>
      <c r="R63" s="1351">
        <f t="shared" ca="1" si="44"/>
        <v>32.276397670400002</v>
      </c>
      <c r="S63" s="1351">
        <f t="shared" ca="1" si="44"/>
        <v>33.567453577216</v>
      </c>
      <c r="T63" s="1351">
        <f t="shared" ca="1" si="44"/>
        <v>34.91015172030464</v>
      </c>
      <c r="U63" s="1351">
        <f t="shared" ca="1" si="44"/>
        <v>36.306557789116823</v>
      </c>
      <c r="V63" s="1351">
        <f ca="1">+(U63*$V$63)+U63</f>
        <v>39.029549623300582</v>
      </c>
      <c r="W63" s="1351">
        <f t="shared" ref="W63:Z63" ca="1" si="45">+(V63*$V$63)+V63</f>
        <v>41.956765845048125</v>
      </c>
      <c r="X63" s="1351">
        <f t="shared" ca="1" si="45"/>
        <v>45.103523283426732</v>
      </c>
      <c r="Y63" s="1351">
        <f t="shared" ca="1" si="45"/>
        <v>48.486287529683736</v>
      </c>
      <c r="Z63" s="1351">
        <f t="shared" ca="1" si="45"/>
        <v>52.122759094410014</v>
      </c>
      <c r="AA63" s="79"/>
      <c r="AB63" s="79"/>
    </row>
    <row r="64" spans="1:28" ht="14.3" hidden="1" customHeight="1" x14ac:dyDescent="0.15">
      <c r="A64" s="79"/>
      <c r="B64" s="1368"/>
      <c r="C64" s="1374"/>
      <c r="D64" s="1374"/>
      <c r="E64" s="1360"/>
      <c r="F64" s="1350"/>
      <c r="G64" s="1350"/>
      <c r="H64" s="1350"/>
      <c r="I64" s="1350"/>
      <c r="J64" s="1350"/>
      <c r="K64" s="1350"/>
      <c r="L64" s="1350"/>
      <c r="M64" s="1350"/>
      <c r="N64" s="1350"/>
      <c r="O64" s="169">
        <v>0.04</v>
      </c>
      <c r="P64" s="1351"/>
      <c r="Q64" s="1352"/>
      <c r="R64" s="135"/>
      <c r="S64" s="135"/>
      <c r="T64" s="135"/>
      <c r="U64" s="1353"/>
      <c r="V64" s="1354">
        <v>7.4999999999999997E-2</v>
      </c>
      <c r="W64" s="1353"/>
      <c r="X64" s="1353"/>
      <c r="Y64" s="1353"/>
      <c r="Z64" s="1355"/>
      <c r="AA64" s="79"/>
      <c r="AB64" s="79"/>
    </row>
    <row r="65" spans="1:28" ht="35.35" x14ac:dyDescent="0.15">
      <c r="A65" s="79"/>
      <c r="B65" s="1368"/>
      <c r="C65" s="1374"/>
      <c r="D65" s="1374"/>
      <c r="E65" s="1360" t="s">
        <v>2752</v>
      </c>
      <c r="F65" s="1350" t="s">
        <v>96</v>
      </c>
      <c r="G65" s="1350" t="s">
        <v>16</v>
      </c>
      <c r="H65" s="130" t="s">
        <v>94</v>
      </c>
      <c r="I65" s="130" t="s">
        <v>89</v>
      </c>
      <c r="J65" s="1350"/>
      <c r="K65" s="1350">
        <v>30.88</v>
      </c>
      <c r="L65" s="1350">
        <v>16.04</v>
      </c>
      <c r="M65" s="1350"/>
      <c r="N65" s="1350">
        <v>19.98</v>
      </c>
      <c r="O65" s="148">
        <f t="shared" ref="O65:U65" ca="1" si="46">+(N65*$O$65)+N65</f>
        <v>20.5794</v>
      </c>
      <c r="P65" s="1351">
        <f t="shared" ca="1" si="46"/>
        <v>21.196781999999999</v>
      </c>
      <c r="Q65" s="1351">
        <f t="shared" ca="1" si="46"/>
        <v>21.83268546</v>
      </c>
      <c r="R65" s="1351">
        <f t="shared" ca="1" si="46"/>
        <v>22.487666023799999</v>
      </c>
      <c r="S65" s="1351">
        <f t="shared" ca="1" si="46"/>
        <v>23.162296004513998</v>
      </c>
      <c r="T65" s="1351">
        <f t="shared" ca="1" si="46"/>
        <v>23.857164884649418</v>
      </c>
      <c r="U65" s="1351">
        <f t="shared" ca="1" si="46"/>
        <v>24.572879831188899</v>
      </c>
      <c r="V65" s="1351">
        <f ca="1">+(U65*$V$65)+U65</f>
        <v>26.833584775658277</v>
      </c>
      <c r="W65" s="1351">
        <f t="shared" ref="W65:Z65" ca="1" si="47">+(V65*$V$65)+V65</f>
        <v>29.302274575018838</v>
      </c>
      <c r="X65" s="1351">
        <f t="shared" ca="1" si="47"/>
        <v>31.998083835920571</v>
      </c>
      <c r="Y65" s="1351">
        <f t="shared" ca="1" si="47"/>
        <v>34.941907548825263</v>
      </c>
      <c r="Z65" s="1351">
        <f t="shared" ca="1" si="47"/>
        <v>38.156563043317185</v>
      </c>
      <c r="AA65" s="79"/>
      <c r="AB65" s="79"/>
    </row>
    <row r="66" spans="1:28" ht="15.8" hidden="1" customHeight="1" x14ac:dyDescent="0.15">
      <c r="A66" s="79"/>
      <c r="B66" s="1368"/>
      <c r="C66" s="1374"/>
      <c r="D66" s="1374"/>
      <c r="E66" s="1359"/>
      <c r="F66" s="866"/>
      <c r="G66" s="866"/>
      <c r="H66" s="866"/>
      <c r="I66" s="866"/>
      <c r="J66" s="866"/>
      <c r="K66" s="866"/>
      <c r="L66" s="866"/>
      <c r="M66" s="866"/>
      <c r="N66" s="866"/>
      <c r="O66" s="151">
        <v>7.0000000000000007E-2</v>
      </c>
      <c r="P66" s="167"/>
      <c r="Q66" s="152"/>
      <c r="R66" s="152"/>
      <c r="S66" s="152"/>
      <c r="T66" s="152"/>
      <c r="U66" s="153"/>
      <c r="V66" s="154">
        <v>9.1999999999999998E-2</v>
      </c>
      <c r="W66" s="153"/>
      <c r="X66" s="153"/>
      <c r="Y66" s="153"/>
      <c r="Z66" s="168"/>
      <c r="AA66" s="79"/>
      <c r="AB66" s="79"/>
    </row>
    <row r="67" spans="1:28" ht="36" customHeight="1" x14ac:dyDescent="0.15">
      <c r="A67" s="79"/>
      <c r="B67" s="1368"/>
      <c r="C67" s="1374"/>
      <c r="D67" s="1374"/>
      <c r="E67" s="1359" t="s">
        <v>97</v>
      </c>
      <c r="F67" s="866" t="s">
        <v>98</v>
      </c>
      <c r="G67" s="866" t="s">
        <v>28</v>
      </c>
      <c r="H67" s="130" t="s">
        <v>94</v>
      </c>
      <c r="I67" s="130" t="s">
        <v>89</v>
      </c>
      <c r="J67" s="866"/>
      <c r="K67" s="866"/>
      <c r="L67" s="866">
        <v>20.5</v>
      </c>
      <c r="M67" s="866">
        <v>23.1</v>
      </c>
      <c r="N67" s="866">
        <v>23</v>
      </c>
      <c r="O67" s="148">
        <f t="shared" ref="O67:U67" si="48">+(N67*$O$68)+N67</f>
        <v>24.15</v>
      </c>
      <c r="P67" s="148">
        <f t="shared" si="48"/>
        <v>25.357499999999998</v>
      </c>
      <c r="Q67" s="148">
        <f t="shared" si="48"/>
        <v>26.625374999999998</v>
      </c>
      <c r="R67" s="148">
        <f t="shared" si="48"/>
        <v>27.956643749999998</v>
      </c>
      <c r="S67" s="148">
        <f t="shared" si="48"/>
        <v>29.354475937499998</v>
      </c>
      <c r="T67" s="148">
        <f t="shared" si="48"/>
        <v>30.822199734374998</v>
      </c>
      <c r="U67" s="165">
        <f t="shared" si="48"/>
        <v>32.363309721093749</v>
      </c>
      <c r="V67" s="165">
        <f t="shared" ref="V67:Z67" si="49">+(U67*$V$68)+U67</f>
        <v>33.81965865854297</v>
      </c>
      <c r="W67" s="165">
        <f t="shared" si="49"/>
        <v>35.341543298177406</v>
      </c>
      <c r="X67" s="165">
        <f t="shared" si="49"/>
        <v>36.931912746595387</v>
      </c>
      <c r="Y67" s="165">
        <f t="shared" si="49"/>
        <v>38.593848820192179</v>
      </c>
      <c r="Z67" s="166">
        <f t="shared" si="49"/>
        <v>40.330572017100828</v>
      </c>
      <c r="AA67" s="79"/>
      <c r="AB67" s="79"/>
    </row>
    <row r="68" spans="1:28" ht="15.8" hidden="1" customHeight="1" x14ac:dyDescent="0.15">
      <c r="A68" s="79"/>
      <c r="B68" s="1368"/>
      <c r="C68" s="1374"/>
      <c r="D68" s="1374"/>
      <c r="E68" s="1359"/>
      <c r="F68" s="866"/>
      <c r="G68" s="866"/>
      <c r="H68" s="866"/>
      <c r="I68" s="866"/>
      <c r="J68" s="866"/>
      <c r="K68" s="866"/>
      <c r="L68" s="866"/>
      <c r="M68" s="866"/>
      <c r="N68" s="866"/>
      <c r="O68" s="151">
        <v>0.05</v>
      </c>
      <c r="P68" s="167"/>
      <c r="Q68" s="152"/>
      <c r="R68" s="152"/>
      <c r="S68" s="152"/>
      <c r="T68" s="152"/>
      <c r="U68" s="153"/>
      <c r="V68" s="154">
        <v>4.4999999999999998E-2</v>
      </c>
      <c r="W68" s="153"/>
      <c r="X68" s="153"/>
      <c r="Y68" s="153"/>
      <c r="Z68" s="168"/>
      <c r="AA68" s="79"/>
      <c r="AB68" s="79"/>
    </row>
    <row r="69" spans="1:28" ht="31.6" customHeight="1" x14ac:dyDescent="0.15">
      <c r="A69" s="79"/>
      <c r="B69" s="1368"/>
      <c r="C69" s="1374"/>
      <c r="D69" s="1374"/>
      <c r="E69" s="1359" t="s">
        <v>99</v>
      </c>
      <c r="F69" s="866" t="s">
        <v>100</v>
      </c>
      <c r="G69" s="866" t="s">
        <v>16</v>
      </c>
      <c r="H69" s="130" t="s">
        <v>94</v>
      </c>
      <c r="I69" s="130" t="s">
        <v>89</v>
      </c>
      <c r="J69" s="866"/>
      <c r="K69" s="866"/>
      <c r="L69" s="866">
        <v>23.3</v>
      </c>
      <c r="M69" s="866">
        <v>24.92</v>
      </c>
      <c r="N69" s="866">
        <v>23.11</v>
      </c>
      <c r="O69" s="148">
        <f t="shared" ref="O69:U69" si="50">+(N69*$O$70)+N69</f>
        <v>24.450379999999999</v>
      </c>
      <c r="P69" s="148">
        <f t="shared" si="50"/>
        <v>25.868502039999999</v>
      </c>
      <c r="Q69" s="148">
        <f t="shared" si="50"/>
        <v>27.368875158319998</v>
      </c>
      <c r="R69" s="148">
        <f t="shared" si="50"/>
        <v>28.956269917502556</v>
      </c>
      <c r="S69" s="148">
        <f t="shared" si="50"/>
        <v>30.635733572717704</v>
      </c>
      <c r="T69" s="148">
        <f t="shared" si="50"/>
        <v>32.412606119935333</v>
      </c>
      <c r="U69" s="165">
        <f t="shared" si="50"/>
        <v>34.292537274891579</v>
      </c>
      <c r="V69" s="165">
        <f t="shared" ref="V69:Z69" si="51">+(U69*$V$70)+U69</f>
        <v>37.035940256882903</v>
      </c>
      <c r="W69" s="165">
        <f t="shared" si="51"/>
        <v>39.998815477433538</v>
      </c>
      <c r="X69" s="165">
        <f t="shared" si="51"/>
        <v>43.19872071562822</v>
      </c>
      <c r="Y69" s="165">
        <f t="shared" si="51"/>
        <v>46.654618372878474</v>
      </c>
      <c r="Z69" s="166">
        <f t="shared" si="51"/>
        <v>50.386987842708749</v>
      </c>
      <c r="AA69" s="79"/>
      <c r="AB69" s="79"/>
    </row>
    <row r="70" spans="1:28" ht="15.8" hidden="1" customHeight="1" x14ac:dyDescent="0.15">
      <c r="A70" s="79"/>
      <c r="B70" s="1368"/>
      <c r="C70" s="1374"/>
      <c r="D70" s="1374"/>
      <c r="E70" s="127"/>
      <c r="F70" s="866"/>
      <c r="G70" s="866"/>
      <c r="H70" s="866"/>
      <c r="I70" s="866"/>
      <c r="J70" s="866"/>
      <c r="K70" s="866"/>
      <c r="L70" s="866"/>
      <c r="M70" s="866"/>
      <c r="N70" s="866"/>
      <c r="O70" s="169">
        <v>5.8000000000000003E-2</v>
      </c>
      <c r="P70" s="148"/>
      <c r="Q70" s="135"/>
      <c r="R70" s="135"/>
      <c r="S70" s="135"/>
      <c r="T70" s="135"/>
      <c r="U70" s="137"/>
      <c r="V70" s="136">
        <v>0.08</v>
      </c>
      <c r="W70" s="137"/>
      <c r="X70" s="137"/>
      <c r="Y70" s="137"/>
      <c r="Z70" s="170"/>
      <c r="AA70" s="79"/>
      <c r="AB70" s="79"/>
    </row>
    <row r="71" spans="1:28" ht="47.25" customHeight="1" x14ac:dyDescent="0.15">
      <c r="A71" s="79"/>
      <c r="B71" s="1368"/>
      <c r="C71" s="1375"/>
      <c r="D71" s="1375"/>
      <c r="E71" s="1359" t="s">
        <v>101</v>
      </c>
      <c r="F71" s="866" t="s">
        <v>102</v>
      </c>
      <c r="G71" s="866" t="s">
        <v>16</v>
      </c>
      <c r="H71" s="130" t="s">
        <v>103</v>
      </c>
      <c r="I71" s="130" t="s">
        <v>89</v>
      </c>
      <c r="J71" s="866">
        <v>72.400000000000006</v>
      </c>
      <c r="K71" s="866">
        <v>70.81</v>
      </c>
      <c r="L71" s="866">
        <v>68.2</v>
      </c>
      <c r="M71" s="866">
        <v>65.400000000000006</v>
      </c>
      <c r="N71" s="866">
        <v>63.2</v>
      </c>
      <c r="O71" s="148">
        <v>61.2</v>
      </c>
      <c r="P71" s="138">
        <f t="shared" ref="P71:Z71" si="52">+O71-P72</f>
        <v>57.528000000000006</v>
      </c>
      <c r="Q71" s="138">
        <f t="shared" si="52"/>
        <v>54.076320000000003</v>
      </c>
      <c r="R71" s="138">
        <f t="shared" si="52"/>
        <v>50.831740800000006</v>
      </c>
      <c r="S71" s="138">
        <f t="shared" si="52"/>
        <v>47.781836352000006</v>
      </c>
      <c r="T71" s="138">
        <f t="shared" si="52"/>
        <v>44.914926170880008</v>
      </c>
      <c r="U71" s="139">
        <f t="shared" si="52"/>
        <v>42.220030600627211</v>
      </c>
      <c r="V71" s="139">
        <f t="shared" si="52"/>
        <v>37.998027540564493</v>
      </c>
      <c r="W71" s="139">
        <f t="shared" si="52"/>
        <v>34.198224786508042</v>
      </c>
      <c r="X71" s="139">
        <f t="shared" si="52"/>
        <v>30.778402307857238</v>
      </c>
      <c r="Y71" s="139">
        <f t="shared" si="52"/>
        <v>27.700562077071513</v>
      </c>
      <c r="Z71" s="142">
        <f t="shared" si="52"/>
        <v>24.93050586936436</v>
      </c>
      <c r="AA71" s="79"/>
      <c r="AB71" s="79"/>
    </row>
    <row r="72" spans="1:28" ht="12.75" hidden="1" customHeight="1" x14ac:dyDescent="0.15">
      <c r="A72" s="79"/>
      <c r="B72" s="357"/>
      <c r="C72" s="357"/>
      <c r="D72" s="128"/>
      <c r="E72" s="128"/>
      <c r="F72" s="357"/>
      <c r="G72" s="357"/>
      <c r="H72" s="357"/>
      <c r="I72" s="357"/>
      <c r="J72" s="357"/>
      <c r="K72" s="357"/>
      <c r="L72" s="357"/>
      <c r="M72" s="357"/>
      <c r="N72" s="357"/>
      <c r="O72" s="357"/>
      <c r="P72" s="129">
        <f t="shared" ref="P72:U72" si="53">+(O71*$P$73)</f>
        <v>3.6720000000000002</v>
      </c>
      <c r="Q72" s="129">
        <f t="shared" si="53"/>
        <v>3.4516800000000001</v>
      </c>
      <c r="R72" s="129">
        <f t="shared" si="53"/>
        <v>3.2445792</v>
      </c>
      <c r="S72" s="129">
        <f t="shared" si="53"/>
        <v>3.0499044480000004</v>
      </c>
      <c r="T72" s="129">
        <f t="shared" si="53"/>
        <v>2.8669101811200002</v>
      </c>
      <c r="U72" s="129">
        <f t="shared" si="53"/>
        <v>2.6948955702528004</v>
      </c>
      <c r="V72" s="129">
        <f t="shared" ref="V72:Z72" si="54">+U71*$V$73</f>
        <v>4.222003060062721</v>
      </c>
      <c r="W72" s="129">
        <f t="shared" si="54"/>
        <v>3.7998027540564494</v>
      </c>
      <c r="X72" s="129">
        <f t="shared" si="54"/>
        <v>3.4198224786508042</v>
      </c>
      <c r="Y72" s="129">
        <f t="shared" si="54"/>
        <v>3.077840230785724</v>
      </c>
      <c r="Z72" s="129">
        <f t="shared" si="54"/>
        <v>2.7700562077071513</v>
      </c>
      <c r="AA72" s="79"/>
      <c r="AB72" s="79"/>
    </row>
    <row r="73" spans="1:28" ht="12.75" hidden="1" customHeight="1" x14ac:dyDescent="0.15">
      <c r="A73" s="79"/>
      <c r="B73" s="89"/>
      <c r="C73" s="89"/>
      <c r="D73" s="90"/>
      <c r="E73" s="90"/>
      <c r="F73" s="89"/>
      <c r="G73" s="89"/>
      <c r="H73" s="89"/>
      <c r="I73" s="89"/>
      <c r="J73" s="89"/>
      <c r="K73" s="89"/>
      <c r="L73" s="89"/>
      <c r="M73" s="89"/>
      <c r="N73" s="89"/>
      <c r="O73" s="89"/>
      <c r="P73" s="86">
        <v>0.06</v>
      </c>
      <c r="Q73" s="81"/>
      <c r="R73" s="81"/>
      <c r="S73" s="81"/>
      <c r="T73" s="81"/>
      <c r="U73" s="91"/>
      <c r="V73" s="86">
        <v>0.1</v>
      </c>
      <c r="W73" s="81"/>
      <c r="X73" s="81"/>
      <c r="Y73" s="81"/>
      <c r="Z73" s="91"/>
      <c r="AA73" s="79"/>
      <c r="AB73" s="79"/>
    </row>
    <row r="74" spans="1:28" ht="12.75" customHeight="1" x14ac:dyDescent="0.15">
      <c r="A74" s="79"/>
      <c r="B74" s="89"/>
      <c r="C74" s="89"/>
      <c r="D74" s="90"/>
      <c r="E74" s="90"/>
      <c r="F74" s="89"/>
      <c r="G74" s="89"/>
      <c r="H74" s="89"/>
      <c r="I74" s="89"/>
      <c r="J74" s="89"/>
      <c r="K74" s="89"/>
      <c r="L74" s="89"/>
      <c r="M74" s="89"/>
      <c r="N74" s="89"/>
      <c r="O74" s="89"/>
      <c r="P74" s="89"/>
      <c r="Q74" s="89"/>
      <c r="R74" s="89"/>
      <c r="S74" s="89"/>
      <c r="T74" s="89"/>
      <c r="U74" s="89"/>
      <c r="V74" s="89"/>
      <c r="W74" s="89"/>
      <c r="X74" s="89"/>
      <c r="Y74" s="89"/>
      <c r="Z74" s="89"/>
      <c r="AA74" s="79"/>
      <c r="AB74" s="79"/>
    </row>
    <row r="75" spans="1:28" ht="12.75" customHeight="1" x14ac:dyDescent="0.15">
      <c r="A75" s="79"/>
      <c r="B75" s="89"/>
      <c r="C75" s="89"/>
      <c r="D75" s="90"/>
      <c r="E75" s="90"/>
      <c r="F75" s="89"/>
      <c r="G75" s="89"/>
      <c r="H75" s="89"/>
      <c r="I75" s="89"/>
      <c r="J75" s="89"/>
      <c r="K75" s="89"/>
      <c r="L75" s="89"/>
      <c r="M75" s="89"/>
      <c r="N75" s="89"/>
      <c r="O75" s="89"/>
      <c r="P75" s="89"/>
      <c r="Q75" s="89"/>
      <c r="R75" s="89"/>
      <c r="S75" s="89"/>
      <c r="T75" s="89"/>
      <c r="U75" s="89"/>
      <c r="V75" s="89"/>
      <c r="W75" s="89"/>
      <c r="X75" s="89"/>
      <c r="Y75" s="89"/>
      <c r="Z75" s="89"/>
      <c r="AA75" s="79"/>
      <c r="AB75" s="79"/>
    </row>
    <row r="76" spans="1:28" ht="12.75" customHeight="1" x14ac:dyDescent="0.15">
      <c r="A76" s="79"/>
      <c r="B76" s="89"/>
      <c r="C76" s="89"/>
      <c r="D76" s="90"/>
      <c r="E76" s="90"/>
      <c r="F76" s="89"/>
      <c r="G76" s="89"/>
      <c r="H76" s="89"/>
      <c r="I76" s="89"/>
      <c r="J76" s="89"/>
      <c r="K76" s="89"/>
      <c r="L76" s="89"/>
      <c r="M76" s="89"/>
      <c r="N76" s="89"/>
      <c r="O76" s="89"/>
      <c r="P76" s="89"/>
      <c r="Q76" s="89"/>
      <c r="R76" s="89"/>
      <c r="S76" s="89"/>
      <c r="T76" s="89"/>
      <c r="U76" s="89"/>
      <c r="V76" s="89"/>
      <c r="W76" s="89"/>
      <c r="X76" s="89"/>
      <c r="Y76" s="89"/>
      <c r="Z76" s="89"/>
      <c r="AA76" s="79"/>
      <c r="AB76" s="79"/>
    </row>
    <row r="77" spans="1:28" ht="12.75" customHeight="1" x14ac:dyDescent="0.15">
      <c r="A77" s="79"/>
      <c r="B77" s="79"/>
      <c r="C77" s="79"/>
      <c r="D77" s="90"/>
      <c r="E77" s="90"/>
      <c r="F77" s="89"/>
      <c r="G77" s="89"/>
      <c r="H77" s="89"/>
      <c r="I77" s="89"/>
      <c r="J77" s="89"/>
      <c r="K77" s="89"/>
      <c r="L77" s="89"/>
      <c r="M77" s="89"/>
      <c r="N77" s="89"/>
      <c r="O77" s="89"/>
      <c r="P77" s="89"/>
      <c r="Q77" s="89"/>
      <c r="R77" s="89"/>
      <c r="S77" s="89"/>
      <c r="T77" s="89"/>
      <c r="U77" s="89"/>
      <c r="V77" s="89"/>
      <c r="W77" s="89"/>
      <c r="X77" s="89"/>
      <c r="Y77" s="89"/>
      <c r="Z77" s="89"/>
      <c r="AA77" s="79"/>
      <c r="AB77" s="79"/>
    </row>
    <row r="78" spans="1:28" ht="12.75" customHeight="1" x14ac:dyDescent="0.15">
      <c r="A78" s="79"/>
      <c r="B78" s="79"/>
      <c r="C78" s="79"/>
      <c r="D78" s="90"/>
      <c r="E78" s="90"/>
      <c r="F78" s="89"/>
      <c r="G78" s="89"/>
      <c r="H78" s="89"/>
      <c r="I78" s="89"/>
      <c r="J78" s="89"/>
      <c r="K78" s="89"/>
      <c r="L78" s="89"/>
      <c r="M78" s="89"/>
      <c r="N78" s="89"/>
      <c r="O78" s="89"/>
      <c r="P78" s="89"/>
      <c r="Q78" s="89"/>
      <c r="R78" s="89"/>
      <c r="S78" s="89"/>
      <c r="T78" s="89"/>
      <c r="U78" s="89"/>
      <c r="V78" s="89"/>
      <c r="W78" s="89"/>
      <c r="X78" s="89"/>
      <c r="Y78" s="89"/>
      <c r="Z78" s="89"/>
      <c r="AA78" s="79"/>
      <c r="AB78" s="79"/>
    </row>
    <row r="79" spans="1:28" ht="12.75" customHeight="1" x14ac:dyDescent="0.15">
      <c r="A79" s="79"/>
      <c r="B79" s="79"/>
      <c r="C79" s="79"/>
      <c r="D79" s="90"/>
      <c r="E79" s="90"/>
      <c r="F79" s="89"/>
      <c r="G79" s="89"/>
      <c r="H79" s="89"/>
      <c r="I79" s="89"/>
      <c r="J79" s="89"/>
      <c r="K79" s="89"/>
      <c r="L79" s="89"/>
      <c r="M79" s="89"/>
      <c r="N79" s="89"/>
      <c r="O79" s="89"/>
      <c r="P79" s="89"/>
      <c r="Q79" s="89"/>
      <c r="R79" s="89"/>
      <c r="S79" s="89"/>
      <c r="T79" s="89"/>
      <c r="U79" s="89"/>
      <c r="V79" s="89"/>
      <c r="W79" s="89"/>
      <c r="X79" s="89"/>
      <c r="Y79" s="89"/>
      <c r="Z79" s="89"/>
      <c r="AA79" s="79"/>
      <c r="AB79" s="79"/>
    </row>
    <row r="80" spans="1:28" ht="12.75" customHeight="1" x14ac:dyDescent="0.15">
      <c r="A80" s="79"/>
      <c r="B80" s="79"/>
      <c r="C80" s="79"/>
      <c r="D80" s="90"/>
      <c r="E80" s="90"/>
      <c r="F80" s="89"/>
      <c r="G80" s="89"/>
      <c r="H80" s="89"/>
      <c r="I80" s="89"/>
      <c r="J80" s="89"/>
      <c r="K80" s="89"/>
      <c r="L80" s="89"/>
      <c r="M80" s="89"/>
      <c r="N80" s="89"/>
      <c r="O80" s="89"/>
      <c r="P80" s="89"/>
      <c r="Q80" s="89"/>
      <c r="R80" s="89"/>
      <c r="S80" s="89"/>
      <c r="T80" s="89"/>
      <c r="U80" s="89"/>
      <c r="V80" s="89"/>
      <c r="W80" s="89"/>
      <c r="X80" s="89"/>
      <c r="Y80" s="89"/>
      <c r="Z80" s="89"/>
      <c r="AA80" s="79"/>
      <c r="AB80" s="79"/>
    </row>
    <row r="81" spans="1:28" ht="12.75" customHeight="1" x14ac:dyDescent="0.15">
      <c r="A81" s="79"/>
      <c r="B81" s="79"/>
      <c r="C81" s="79"/>
      <c r="E81" s="90"/>
      <c r="F81" s="89"/>
      <c r="G81" s="89"/>
      <c r="H81" s="89"/>
      <c r="I81" s="89"/>
      <c r="J81" s="89"/>
      <c r="K81" s="89"/>
      <c r="L81" s="89"/>
      <c r="M81" s="89"/>
      <c r="N81" s="89"/>
      <c r="O81" s="89"/>
      <c r="P81" s="89"/>
      <c r="Q81" s="89"/>
      <c r="R81" s="89"/>
      <c r="S81" s="89"/>
      <c r="T81" s="89"/>
      <c r="U81" s="89"/>
      <c r="V81" s="89"/>
      <c r="W81" s="89"/>
      <c r="X81" s="89"/>
      <c r="Y81" s="89"/>
      <c r="Z81" s="89"/>
      <c r="AA81" s="79"/>
      <c r="AB81" s="79"/>
    </row>
    <row r="82" spans="1:28" ht="15.8" customHeight="1" x14ac:dyDescent="0.15">
      <c r="A82" s="79"/>
      <c r="B82" s="79"/>
      <c r="C82" s="79"/>
      <c r="E82" s="92"/>
      <c r="F82" s="89"/>
      <c r="G82" s="89"/>
      <c r="H82" s="89"/>
      <c r="I82" s="89"/>
      <c r="J82" s="89"/>
      <c r="K82" s="89"/>
      <c r="L82" s="89"/>
      <c r="M82" s="89"/>
      <c r="N82" s="89"/>
      <c r="O82" s="89"/>
      <c r="P82" s="89"/>
      <c r="Q82" s="89"/>
      <c r="R82" s="89"/>
      <c r="S82" s="89"/>
      <c r="T82" s="89"/>
      <c r="U82" s="89"/>
      <c r="V82" s="89"/>
      <c r="W82" s="89"/>
      <c r="X82" s="89"/>
      <c r="Y82" s="89"/>
      <c r="Z82" s="89"/>
      <c r="AA82" s="79"/>
      <c r="AB82" s="79"/>
    </row>
    <row r="83" spans="1:28" ht="12.75" customHeight="1" x14ac:dyDescent="0.15">
      <c r="A83" s="79"/>
      <c r="B83" s="89"/>
      <c r="C83" s="89"/>
      <c r="E83" s="90"/>
      <c r="F83" s="89"/>
      <c r="G83" s="89"/>
      <c r="H83" s="89"/>
      <c r="I83" s="89"/>
      <c r="J83" s="89"/>
      <c r="K83" s="89"/>
      <c r="L83" s="89"/>
      <c r="M83" s="89"/>
      <c r="N83" s="89"/>
      <c r="O83" s="89"/>
      <c r="P83" s="89"/>
      <c r="Q83" s="89"/>
      <c r="R83" s="89"/>
      <c r="S83" s="89"/>
      <c r="T83" s="89"/>
      <c r="U83" s="89"/>
      <c r="V83" s="89"/>
      <c r="W83" s="89"/>
      <c r="X83" s="89"/>
      <c r="Y83" s="89"/>
      <c r="Z83" s="89"/>
      <c r="AA83" s="79"/>
      <c r="AB83" s="79"/>
    </row>
    <row r="84" spans="1:28" ht="12.75" customHeight="1" x14ac:dyDescent="0.15">
      <c r="A84" s="79"/>
      <c r="B84" s="89"/>
      <c r="C84" s="89"/>
      <c r="D84" s="90"/>
      <c r="E84" s="90"/>
      <c r="F84" s="89"/>
      <c r="G84" s="89"/>
      <c r="H84" s="89"/>
      <c r="I84" s="89"/>
      <c r="J84" s="89"/>
      <c r="K84" s="89"/>
      <c r="L84" s="89"/>
      <c r="M84" s="89"/>
      <c r="N84" s="89"/>
      <c r="O84" s="89"/>
      <c r="P84" s="89"/>
      <c r="Q84" s="89"/>
      <c r="R84" s="89"/>
      <c r="S84" s="89"/>
      <c r="T84" s="89"/>
      <c r="U84" s="89"/>
      <c r="V84" s="89"/>
      <c r="W84" s="89"/>
      <c r="X84" s="89"/>
      <c r="Y84" s="89"/>
      <c r="Z84" s="89"/>
      <c r="AA84" s="79"/>
      <c r="AB84" s="79"/>
    </row>
    <row r="85" spans="1:28" ht="12.75" customHeight="1" x14ac:dyDescent="0.15">
      <c r="A85" s="79"/>
      <c r="B85" s="89"/>
      <c r="C85" s="89"/>
      <c r="D85" s="90"/>
      <c r="E85" s="90"/>
      <c r="F85" s="89"/>
      <c r="G85" s="89"/>
      <c r="H85" s="89"/>
      <c r="I85" s="89"/>
      <c r="J85" s="89"/>
      <c r="K85" s="89"/>
      <c r="L85" s="89"/>
      <c r="M85" s="89"/>
      <c r="N85" s="89"/>
      <c r="O85" s="89"/>
      <c r="P85" s="89"/>
      <c r="Q85" s="89"/>
      <c r="R85" s="89"/>
      <c r="S85" s="89"/>
      <c r="T85" s="89"/>
      <c r="U85" s="89"/>
      <c r="V85" s="89"/>
      <c r="W85" s="89"/>
      <c r="X85" s="89"/>
      <c r="Y85" s="89"/>
      <c r="Z85" s="89"/>
      <c r="AA85" s="79"/>
      <c r="AB85" s="79"/>
    </row>
    <row r="86" spans="1:28" ht="12.75" customHeight="1" x14ac:dyDescent="0.15">
      <c r="A86" s="79"/>
      <c r="B86" s="89"/>
      <c r="C86" s="89"/>
      <c r="D86" s="90"/>
      <c r="E86" s="90"/>
      <c r="F86" s="89"/>
      <c r="G86" s="89"/>
      <c r="H86" s="89"/>
      <c r="I86" s="89"/>
      <c r="J86" s="89"/>
      <c r="K86" s="89"/>
      <c r="L86" s="89"/>
      <c r="M86" s="89"/>
      <c r="N86" s="89"/>
      <c r="O86" s="89"/>
      <c r="P86" s="89"/>
      <c r="Q86" s="89"/>
      <c r="R86" s="89"/>
      <c r="S86" s="89"/>
      <c r="T86" s="89"/>
      <c r="U86" s="89"/>
      <c r="V86" s="89"/>
      <c r="W86" s="89"/>
      <c r="X86" s="89"/>
      <c r="Y86" s="89"/>
      <c r="Z86" s="89"/>
      <c r="AA86" s="79"/>
      <c r="AB86" s="79"/>
    </row>
    <row r="87" spans="1:28" ht="12.75" customHeight="1" x14ac:dyDescent="0.15">
      <c r="A87" s="79"/>
      <c r="B87" s="89"/>
      <c r="C87" s="89"/>
      <c r="D87" s="90"/>
      <c r="E87" s="90"/>
      <c r="F87" s="89"/>
      <c r="G87" s="89"/>
      <c r="H87" s="89"/>
      <c r="I87" s="89"/>
      <c r="J87" s="89"/>
      <c r="K87" s="89"/>
      <c r="L87" s="89"/>
      <c r="M87" s="89"/>
      <c r="N87" s="89"/>
      <c r="O87" s="89"/>
      <c r="P87" s="89"/>
      <c r="Q87" s="89"/>
      <c r="R87" s="89"/>
      <c r="S87" s="89"/>
      <c r="T87" s="89"/>
      <c r="U87" s="89"/>
      <c r="V87" s="89"/>
      <c r="W87" s="89"/>
      <c r="X87" s="89"/>
      <c r="Y87" s="89"/>
      <c r="Z87" s="89"/>
      <c r="AA87" s="79"/>
      <c r="AB87" s="79"/>
    </row>
    <row r="88" spans="1:28" ht="12.75" customHeight="1" x14ac:dyDescent="0.15">
      <c r="A88" s="79"/>
      <c r="B88" s="89"/>
      <c r="C88" s="89"/>
      <c r="D88" s="90"/>
      <c r="E88" s="90"/>
      <c r="F88" s="89"/>
      <c r="G88" s="89"/>
      <c r="H88" s="89"/>
      <c r="I88" s="89"/>
      <c r="J88" s="89"/>
      <c r="K88" s="89"/>
      <c r="L88" s="89"/>
      <c r="M88" s="89"/>
      <c r="N88" s="89"/>
      <c r="O88" s="89"/>
      <c r="P88" s="89"/>
      <c r="Q88" s="89"/>
      <c r="R88" s="89"/>
      <c r="S88" s="89"/>
      <c r="T88" s="89"/>
      <c r="U88" s="89"/>
      <c r="V88" s="89"/>
      <c r="W88" s="89"/>
      <c r="X88" s="89"/>
      <c r="Y88" s="89"/>
      <c r="Z88" s="89"/>
      <c r="AA88" s="79"/>
      <c r="AB88" s="79"/>
    </row>
    <row r="89" spans="1:28" ht="12.75" customHeight="1" x14ac:dyDescent="0.15">
      <c r="A89" s="79"/>
      <c r="B89" s="89"/>
      <c r="C89" s="89"/>
      <c r="D89" s="90"/>
      <c r="E89" s="90"/>
      <c r="F89" s="89"/>
      <c r="G89" s="89"/>
      <c r="H89" s="89"/>
      <c r="I89" s="89"/>
      <c r="J89" s="89"/>
      <c r="K89" s="89"/>
      <c r="L89" s="89"/>
      <c r="M89" s="89"/>
      <c r="N89" s="89"/>
      <c r="O89" s="89"/>
      <c r="P89" s="89"/>
      <c r="Q89" s="89"/>
      <c r="R89" s="89"/>
      <c r="S89" s="89"/>
      <c r="T89" s="89"/>
      <c r="U89" s="89"/>
      <c r="V89" s="89"/>
      <c r="W89" s="89"/>
      <c r="X89" s="89"/>
      <c r="Y89" s="89"/>
      <c r="Z89" s="89"/>
      <c r="AA89" s="79"/>
      <c r="AB89" s="79"/>
    </row>
    <row r="90" spans="1:28" ht="12.75" customHeight="1" x14ac:dyDescent="0.15">
      <c r="A90" s="79"/>
      <c r="B90" s="89"/>
      <c r="C90" s="89"/>
      <c r="D90" s="90"/>
      <c r="E90" s="90"/>
      <c r="F90" s="89"/>
      <c r="G90" s="89"/>
      <c r="H90" s="89"/>
      <c r="I90" s="89"/>
      <c r="J90" s="89"/>
      <c r="K90" s="89"/>
      <c r="L90" s="89"/>
      <c r="M90" s="89"/>
      <c r="N90" s="89"/>
      <c r="O90" s="89"/>
      <c r="P90" s="89"/>
      <c r="Q90" s="89"/>
      <c r="R90" s="89"/>
      <c r="S90" s="89"/>
      <c r="T90" s="89"/>
      <c r="U90" s="89"/>
      <c r="V90" s="89"/>
      <c r="W90" s="89"/>
      <c r="X90" s="89"/>
      <c r="Y90" s="89"/>
      <c r="Z90" s="89"/>
      <c r="AA90" s="79"/>
      <c r="AB90" s="79"/>
    </row>
    <row r="91" spans="1:28" ht="12.75" customHeight="1" x14ac:dyDescent="0.15">
      <c r="A91" s="79"/>
      <c r="B91" s="89"/>
      <c r="C91" s="89"/>
      <c r="D91" s="90"/>
      <c r="E91" s="90"/>
      <c r="F91" s="89"/>
      <c r="G91" s="89"/>
      <c r="H91" s="89"/>
      <c r="I91" s="89"/>
      <c r="J91" s="89"/>
      <c r="K91" s="89"/>
      <c r="L91" s="89"/>
      <c r="M91" s="89"/>
      <c r="N91" s="89"/>
      <c r="O91" s="89"/>
      <c r="P91" s="89"/>
      <c r="Q91" s="89"/>
      <c r="R91" s="89"/>
      <c r="S91" s="89"/>
      <c r="T91" s="89"/>
      <c r="U91" s="89"/>
      <c r="V91" s="89"/>
      <c r="W91" s="89"/>
      <c r="X91" s="89"/>
      <c r="Y91" s="89"/>
      <c r="Z91" s="89"/>
      <c r="AA91" s="79"/>
      <c r="AB91" s="79"/>
    </row>
    <row r="92" spans="1:28" ht="12.75" customHeight="1" x14ac:dyDescent="0.15">
      <c r="A92" s="79"/>
      <c r="B92" s="89"/>
      <c r="C92" s="89"/>
      <c r="D92" s="90"/>
      <c r="E92" s="90"/>
      <c r="F92" s="89"/>
      <c r="G92" s="89"/>
      <c r="H92" s="89"/>
      <c r="I92" s="89"/>
      <c r="J92" s="89"/>
      <c r="K92" s="89"/>
      <c r="L92" s="89"/>
      <c r="M92" s="89"/>
      <c r="N92" s="89"/>
      <c r="O92" s="89"/>
      <c r="P92" s="89"/>
      <c r="Q92" s="89"/>
      <c r="R92" s="89"/>
      <c r="S92" s="89"/>
      <c r="T92" s="89"/>
      <c r="U92" s="89"/>
      <c r="V92" s="89"/>
      <c r="W92" s="89"/>
      <c r="X92" s="89"/>
      <c r="Y92" s="89"/>
      <c r="Z92" s="89"/>
      <c r="AA92" s="79"/>
      <c r="AB92" s="79"/>
    </row>
    <row r="93" spans="1:28" ht="12.75" customHeight="1" x14ac:dyDescent="0.15">
      <c r="A93" s="79"/>
      <c r="B93" s="89"/>
      <c r="C93" s="89"/>
      <c r="D93" s="90"/>
      <c r="E93" s="90"/>
      <c r="F93" s="89"/>
      <c r="G93" s="89"/>
      <c r="H93" s="89"/>
      <c r="I93" s="89"/>
      <c r="J93" s="89"/>
      <c r="K93" s="89"/>
      <c r="L93" s="89"/>
      <c r="M93" s="89"/>
      <c r="N93" s="89"/>
      <c r="O93" s="89"/>
      <c r="P93" s="89"/>
      <c r="Q93" s="89"/>
      <c r="R93" s="89"/>
      <c r="S93" s="89"/>
      <c r="T93" s="89"/>
      <c r="U93" s="89"/>
      <c r="V93" s="89"/>
      <c r="W93" s="89"/>
      <c r="X93" s="89"/>
      <c r="Y93" s="89"/>
      <c r="Z93" s="89"/>
      <c r="AA93" s="79"/>
      <c r="AB93" s="79"/>
    </row>
    <row r="94" spans="1:28" ht="12.75" customHeight="1" x14ac:dyDescent="0.15">
      <c r="A94" s="79"/>
      <c r="B94" s="89"/>
      <c r="C94" s="89"/>
      <c r="D94" s="90"/>
      <c r="E94" s="90"/>
      <c r="F94" s="89"/>
      <c r="G94" s="89"/>
      <c r="H94" s="89"/>
      <c r="I94" s="89"/>
      <c r="J94" s="89"/>
      <c r="K94" s="89"/>
      <c r="L94" s="89"/>
      <c r="M94" s="89"/>
      <c r="N94" s="89"/>
      <c r="O94" s="89"/>
      <c r="P94" s="89"/>
      <c r="Q94" s="89"/>
      <c r="R94" s="89"/>
      <c r="S94" s="89"/>
      <c r="T94" s="89"/>
      <c r="U94" s="89"/>
      <c r="V94" s="89"/>
      <c r="W94" s="89"/>
      <c r="X94" s="89"/>
      <c r="Y94" s="89"/>
      <c r="Z94" s="89"/>
      <c r="AA94" s="79"/>
      <c r="AB94" s="79"/>
    </row>
    <row r="95" spans="1:28" ht="12.75" customHeight="1" x14ac:dyDescent="0.15">
      <c r="A95" s="79"/>
      <c r="B95" s="89"/>
      <c r="C95" s="89"/>
      <c r="D95" s="90"/>
      <c r="E95" s="90"/>
      <c r="F95" s="89"/>
      <c r="G95" s="89"/>
      <c r="H95" s="89"/>
      <c r="I95" s="89"/>
      <c r="J95" s="89"/>
      <c r="K95" s="89"/>
      <c r="L95" s="89"/>
      <c r="M95" s="89"/>
      <c r="N95" s="89"/>
      <c r="O95" s="89"/>
      <c r="P95" s="89"/>
      <c r="Q95" s="89"/>
      <c r="R95" s="89"/>
      <c r="S95" s="89"/>
      <c r="T95" s="89"/>
      <c r="U95" s="89"/>
      <c r="V95" s="89"/>
      <c r="W95" s="89"/>
      <c r="X95" s="89"/>
      <c r="Y95" s="89"/>
      <c r="Z95" s="89"/>
      <c r="AA95" s="79"/>
      <c r="AB95" s="79"/>
    </row>
    <row r="96" spans="1:28" ht="12.75" customHeight="1" x14ac:dyDescent="0.15">
      <c r="A96" s="79"/>
      <c r="B96" s="89"/>
      <c r="C96" s="89"/>
      <c r="D96" s="90"/>
      <c r="E96" s="90"/>
      <c r="F96" s="89"/>
      <c r="G96" s="89"/>
      <c r="H96" s="89"/>
      <c r="I96" s="89"/>
      <c r="J96" s="89"/>
      <c r="K96" s="89"/>
      <c r="L96" s="89"/>
      <c r="M96" s="89"/>
      <c r="N96" s="89"/>
      <c r="O96" s="89"/>
      <c r="P96" s="89"/>
      <c r="Q96" s="89"/>
      <c r="R96" s="89"/>
      <c r="S96" s="89"/>
      <c r="T96" s="89"/>
      <c r="U96" s="89"/>
      <c r="V96" s="89"/>
      <c r="W96" s="89"/>
      <c r="X96" s="89"/>
      <c r="Y96" s="89"/>
      <c r="Z96" s="89"/>
      <c r="AA96" s="79"/>
      <c r="AB96" s="79"/>
    </row>
    <row r="97" spans="1:28" ht="12.75" customHeight="1" x14ac:dyDescent="0.15">
      <c r="A97" s="79"/>
      <c r="B97" s="89"/>
      <c r="C97" s="89"/>
      <c r="D97" s="90"/>
      <c r="E97" s="90"/>
      <c r="F97" s="89"/>
      <c r="G97" s="89"/>
      <c r="H97" s="89"/>
      <c r="I97" s="89"/>
      <c r="J97" s="89"/>
      <c r="K97" s="89"/>
      <c r="L97" s="89"/>
      <c r="M97" s="89"/>
      <c r="N97" s="89"/>
      <c r="O97" s="89"/>
      <c r="P97" s="89"/>
      <c r="Q97" s="89"/>
      <c r="R97" s="89"/>
      <c r="S97" s="89"/>
      <c r="T97" s="89"/>
      <c r="U97" s="89"/>
      <c r="V97" s="89"/>
      <c r="W97" s="89"/>
      <c r="X97" s="89"/>
      <c r="Y97" s="89"/>
      <c r="Z97" s="89"/>
      <c r="AA97" s="79"/>
      <c r="AB97" s="79"/>
    </row>
    <row r="98" spans="1:28" ht="12.75" customHeight="1" x14ac:dyDescent="0.15">
      <c r="A98" s="79"/>
      <c r="B98" s="89"/>
      <c r="C98" s="89"/>
      <c r="D98" s="90"/>
      <c r="E98" s="90"/>
      <c r="F98" s="89"/>
      <c r="G98" s="89"/>
      <c r="H98" s="89"/>
      <c r="I98" s="89"/>
      <c r="J98" s="89"/>
      <c r="K98" s="89"/>
      <c r="L98" s="89"/>
      <c r="M98" s="89"/>
      <c r="N98" s="89"/>
      <c r="O98" s="89"/>
      <c r="P98" s="89"/>
      <c r="Q98" s="89"/>
      <c r="R98" s="89"/>
      <c r="S98" s="89"/>
      <c r="T98" s="89"/>
      <c r="U98" s="89"/>
      <c r="V98" s="89"/>
      <c r="W98" s="89"/>
      <c r="X98" s="89"/>
      <c r="Y98" s="89"/>
      <c r="Z98" s="89"/>
      <c r="AA98" s="79"/>
      <c r="AB98" s="79"/>
    </row>
    <row r="99" spans="1:28" ht="12.75" customHeight="1" x14ac:dyDescent="0.15">
      <c r="A99" s="79"/>
      <c r="B99" s="89"/>
      <c r="C99" s="89"/>
      <c r="D99" s="90"/>
      <c r="E99" s="90"/>
      <c r="F99" s="89"/>
      <c r="G99" s="89"/>
      <c r="H99" s="89"/>
      <c r="I99" s="89"/>
      <c r="J99" s="89"/>
      <c r="K99" s="89"/>
      <c r="L99" s="89"/>
      <c r="M99" s="89"/>
      <c r="N99" s="89"/>
      <c r="O99" s="89"/>
      <c r="P99" s="89"/>
      <c r="Q99" s="89"/>
      <c r="R99" s="89"/>
      <c r="S99" s="89"/>
      <c r="T99" s="89"/>
      <c r="U99" s="89"/>
      <c r="V99" s="89"/>
      <c r="W99" s="89"/>
      <c r="X99" s="89"/>
      <c r="Y99" s="89"/>
      <c r="Z99" s="89"/>
      <c r="AA99" s="79"/>
      <c r="AB99" s="79"/>
    </row>
    <row r="100" spans="1:28" ht="12.75" customHeight="1" x14ac:dyDescent="0.15">
      <c r="A100" s="79"/>
      <c r="B100" s="89"/>
      <c r="C100" s="89"/>
      <c r="D100" s="90"/>
      <c r="E100" s="90"/>
      <c r="F100" s="89"/>
      <c r="G100" s="89"/>
      <c r="H100" s="89"/>
      <c r="I100" s="89"/>
      <c r="J100" s="89"/>
      <c r="K100" s="89"/>
      <c r="L100" s="89"/>
      <c r="M100" s="89"/>
      <c r="N100" s="89"/>
      <c r="O100" s="89"/>
      <c r="P100" s="89"/>
      <c r="Q100" s="89"/>
      <c r="R100" s="89"/>
      <c r="S100" s="89"/>
      <c r="T100" s="89"/>
      <c r="U100" s="89"/>
      <c r="V100" s="89"/>
      <c r="W100" s="89"/>
      <c r="X100" s="89"/>
      <c r="Y100" s="89"/>
      <c r="Z100" s="89"/>
      <c r="AA100" s="79"/>
      <c r="AB100" s="79"/>
    </row>
    <row r="101" spans="1:28" ht="12.75" customHeight="1" x14ac:dyDescent="0.15">
      <c r="A101" s="79"/>
      <c r="B101" s="89"/>
      <c r="C101" s="89"/>
      <c r="D101" s="90"/>
      <c r="E101" s="90"/>
      <c r="F101" s="89"/>
      <c r="G101" s="89"/>
      <c r="H101" s="89"/>
      <c r="I101" s="89"/>
      <c r="J101" s="89"/>
      <c r="K101" s="89"/>
      <c r="L101" s="89"/>
      <c r="M101" s="89"/>
      <c r="N101" s="89"/>
      <c r="O101" s="89"/>
      <c r="P101" s="89"/>
      <c r="Q101" s="89"/>
      <c r="R101" s="89"/>
      <c r="S101" s="89"/>
      <c r="T101" s="89"/>
      <c r="U101" s="89"/>
      <c r="V101" s="89"/>
      <c r="W101" s="89"/>
      <c r="X101" s="89"/>
      <c r="Y101" s="89"/>
      <c r="Z101" s="89"/>
      <c r="AA101" s="79"/>
      <c r="AB101" s="79"/>
    </row>
    <row r="102" spans="1:28" ht="12.75" customHeight="1" x14ac:dyDescent="0.15">
      <c r="A102" s="79"/>
      <c r="B102" s="89"/>
      <c r="C102" s="89"/>
      <c r="D102" s="90"/>
      <c r="E102" s="90"/>
      <c r="F102" s="89"/>
      <c r="G102" s="89"/>
      <c r="H102" s="89"/>
      <c r="I102" s="89"/>
      <c r="J102" s="89"/>
      <c r="K102" s="89"/>
      <c r="L102" s="89"/>
      <c r="M102" s="89"/>
      <c r="N102" s="89"/>
      <c r="O102" s="89"/>
      <c r="P102" s="89"/>
      <c r="Q102" s="89"/>
      <c r="R102" s="89"/>
      <c r="S102" s="89"/>
      <c r="T102" s="89"/>
      <c r="U102" s="89"/>
      <c r="V102" s="89"/>
      <c r="W102" s="89"/>
      <c r="X102" s="89"/>
      <c r="Y102" s="89"/>
      <c r="Z102" s="89"/>
      <c r="AA102" s="79"/>
      <c r="AB102" s="79"/>
    </row>
    <row r="103" spans="1:28" ht="12.75" customHeight="1" x14ac:dyDescent="0.15">
      <c r="A103" s="79"/>
      <c r="B103" s="89"/>
      <c r="C103" s="89"/>
      <c r="D103" s="90"/>
      <c r="E103" s="90"/>
      <c r="F103" s="89"/>
      <c r="G103" s="89"/>
      <c r="H103" s="89"/>
      <c r="I103" s="89"/>
      <c r="J103" s="89"/>
      <c r="K103" s="89"/>
      <c r="L103" s="89"/>
      <c r="M103" s="89"/>
      <c r="N103" s="89"/>
      <c r="O103" s="89"/>
      <c r="P103" s="89"/>
      <c r="Q103" s="89"/>
      <c r="R103" s="89"/>
      <c r="S103" s="89"/>
      <c r="T103" s="89"/>
      <c r="U103" s="89"/>
      <c r="V103" s="89"/>
      <c r="W103" s="89"/>
      <c r="X103" s="89"/>
      <c r="Y103" s="89"/>
      <c r="Z103" s="89"/>
      <c r="AA103" s="79"/>
      <c r="AB103" s="79"/>
    </row>
    <row r="104" spans="1:28" ht="12.75" customHeight="1" x14ac:dyDescent="0.15">
      <c r="A104" s="79"/>
      <c r="B104" s="89"/>
      <c r="C104" s="89"/>
      <c r="D104" s="90"/>
      <c r="E104" s="90"/>
      <c r="F104" s="89"/>
      <c r="G104" s="89"/>
      <c r="H104" s="89"/>
      <c r="I104" s="89"/>
      <c r="J104" s="89"/>
      <c r="K104" s="89"/>
      <c r="L104" s="89"/>
      <c r="M104" s="89"/>
      <c r="N104" s="89"/>
      <c r="O104" s="89"/>
      <c r="P104" s="89"/>
      <c r="Q104" s="89"/>
      <c r="R104" s="89"/>
      <c r="S104" s="89"/>
      <c r="T104" s="89"/>
      <c r="U104" s="89"/>
      <c r="V104" s="89"/>
      <c r="W104" s="89"/>
      <c r="X104" s="89"/>
      <c r="Y104" s="89"/>
      <c r="Z104" s="89"/>
      <c r="AA104" s="79"/>
      <c r="AB104" s="79"/>
    </row>
    <row r="105" spans="1:28" ht="12.75" customHeight="1" x14ac:dyDescent="0.15">
      <c r="A105" s="79"/>
      <c r="B105" s="89"/>
      <c r="C105" s="89"/>
      <c r="D105" s="90"/>
      <c r="E105" s="90"/>
      <c r="F105" s="89"/>
      <c r="G105" s="89"/>
      <c r="H105" s="89"/>
      <c r="I105" s="89"/>
      <c r="J105" s="89"/>
      <c r="K105" s="89"/>
      <c r="L105" s="89"/>
      <c r="M105" s="89"/>
      <c r="N105" s="89"/>
      <c r="O105" s="89"/>
      <c r="P105" s="89"/>
      <c r="Q105" s="89"/>
      <c r="R105" s="89"/>
      <c r="S105" s="89"/>
      <c r="T105" s="89"/>
      <c r="U105" s="89"/>
      <c r="V105" s="89"/>
      <c r="W105" s="89"/>
      <c r="X105" s="89"/>
      <c r="Y105" s="89"/>
      <c r="Z105" s="89"/>
      <c r="AA105" s="79"/>
      <c r="AB105" s="79"/>
    </row>
    <row r="106" spans="1:28" ht="12.75" customHeight="1" x14ac:dyDescent="0.15">
      <c r="A106" s="79"/>
      <c r="B106" s="89"/>
      <c r="C106" s="89"/>
      <c r="D106" s="90"/>
      <c r="E106" s="90"/>
      <c r="F106" s="89"/>
      <c r="G106" s="89"/>
      <c r="H106" s="89"/>
      <c r="I106" s="89"/>
      <c r="J106" s="89"/>
      <c r="K106" s="89"/>
      <c r="L106" s="89"/>
      <c r="M106" s="89"/>
      <c r="N106" s="89"/>
      <c r="O106" s="89"/>
      <c r="P106" s="89"/>
      <c r="Q106" s="89"/>
      <c r="R106" s="89"/>
      <c r="S106" s="89"/>
      <c r="T106" s="89"/>
      <c r="U106" s="89"/>
      <c r="V106" s="89"/>
      <c r="W106" s="89"/>
      <c r="X106" s="89"/>
      <c r="Y106" s="89"/>
      <c r="Z106" s="89"/>
      <c r="AA106" s="79"/>
      <c r="AB106" s="79"/>
    </row>
    <row r="107" spans="1:28" ht="12.75" customHeight="1" x14ac:dyDescent="0.15">
      <c r="A107" s="79"/>
      <c r="B107" s="89"/>
      <c r="C107" s="89"/>
      <c r="D107" s="90"/>
      <c r="E107" s="90"/>
      <c r="F107" s="89"/>
      <c r="G107" s="89"/>
      <c r="H107" s="89"/>
      <c r="I107" s="89"/>
      <c r="J107" s="89"/>
      <c r="K107" s="89"/>
      <c r="L107" s="89"/>
      <c r="M107" s="89"/>
      <c r="N107" s="89"/>
      <c r="O107" s="89"/>
      <c r="P107" s="89"/>
      <c r="Q107" s="89"/>
      <c r="R107" s="89"/>
      <c r="S107" s="89"/>
      <c r="T107" s="89"/>
      <c r="U107" s="89"/>
      <c r="V107" s="89"/>
      <c r="W107" s="89"/>
      <c r="X107" s="89"/>
      <c r="Y107" s="89"/>
      <c r="Z107" s="89"/>
      <c r="AA107" s="79"/>
      <c r="AB107" s="79"/>
    </row>
    <row r="108" spans="1:28" ht="12.75" customHeight="1" x14ac:dyDescent="0.15">
      <c r="A108" s="79"/>
      <c r="B108" s="89"/>
      <c r="C108" s="89"/>
      <c r="D108" s="90"/>
      <c r="E108" s="90"/>
      <c r="F108" s="89"/>
      <c r="G108" s="89"/>
      <c r="H108" s="89"/>
      <c r="I108" s="89"/>
      <c r="J108" s="89"/>
      <c r="K108" s="89"/>
      <c r="L108" s="89"/>
      <c r="M108" s="89"/>
      <c r="N108" s="89"/>
      <c r="O108" s="89"/>
      <c r="P108" s="89"/>
      <c r="Q108" s="89"/>
      <c r="R108" s="89"/>
      <c r="S108" s="89"/>
      <c r="T108" s="89"/>
      <c r="U108" s="89"/>
      <c r="V108" s="89"/>
      <c r="W108" s="89"/>
      <c r="X108" s="89"/>
      <c r="Y108" s="89"/>
      <c r="Z108" s="89"/>
      <c r="AA108" s="79"/>
      <c r="AB108" s="79"/>
    </row>
    <row r="109" spans="1:28" ht="12.75" customHeight="1" x14ac:dyDescent="0.15">
      <c r="A109" s="79"/>
      <c r="B109" s="89"/>
      <c r="C109" s="89"/>
      <c r="D109" s="90"/>
      <c r="E109" s="90"/>
      <c r="F109" s="89"/>
      <c r="G109" s="89"/>
      <c r="H109" s="89"/>
      <c r="I109" s="89"/>
      <c r="J109" s="89"/>
      <c r="K109" s="89"/>
      <c r="L109" s="89"/>
      <c r="M109" s="89"/>
      <c r="N109" s="89"/>
      <c r="O109" s="89"/>
      <c r="P109" s="89"/>
      <c r="Q109" s="89"/>
      <c r="R109" s="89"/>
      <c r="S109" s="89"/>
      <c r="T109" s="89"/>
      <c r="U109" s="89"/>
      <c r="V109" s="89"/>
      <c r="W109" s="89"/>
      <c r="X109" s="89"/>
      <c r="Y109" s="89"/>
      <c r="Z109" s="89"/>
      <c r="AA109" s="79"/>
      <c r="AB109" s="79"/>
    </row>
    <row r="110" spans="1:28" ht="12.75" customHeight="1" x14ac:dyDescent="0.15">
      <c r="A110" s="79"/>
      <c r="B110" s="89"/>
      <c r="C110" s="89"/>
      <c r="D110" s="90"/>
      <c r="E110" s="90"/>
      <c r="F110" s="89"/>
      <c r="G110" s="89"/>
      <c r="H110" s="89"/>
      <c r="I110" s="89"/>
      <c r="J110" s="89"/>
      <c r="K110" s="89"/>
      <c r="L110" s="89"/>
      <c r="M110" s="89"/>
      <c r="N110" s="89"/>
      <c r="O110" s="89"/>
      <c r="P110" s="89"/>
      <c r="Q110" s="89"/>
      <c r="R110" s="89"/>
      <c r="S110" s="89"/>
      <c r="T110" s="89"/>
      <c r="U110" s="89"/>
      <c r="V110" s="89"/>
      <c r="W110" s="89"/>
      <c r="X110" s="89"/>
      <c r="Y110" s="89"/>
      <c r="Z110" s="89"/>
      <c r="AA110" s="79"/>
      <c r="AB110" s="79"/>
    </row>
    <row r="111" spans="1:28" ht="12.75" customHeight="1" x14ac:dyDescent="0.15">
      <c r="A111" s="79"/>
      <c r="B111" s="89"/>
      <c r="C111" s="89"/>
      <c r="D111" s="90"/>
      <c r="E111" s="90"/>
      <c r="F111" s="89"/>
      <c r="G111" s="89"/>
      <c r="H111" s="89"/>
      <c r="I111" s="89"/>
      <c r="J111" s="89"/>
      <c r="K111" s="89"/>
      <c r="L111" s="89"/>
      <c r="M111" s="89"/>
      <c r="N111" s="89"/>
      <c r="O111" s="89"/>
      <c r="P111" s="89"/>
      <c r="Q111" s="89"/>
      <c r="R111" s="89"/>
      <c r="S111" s="89"/>
      <c r="T111" s="89"/>
      <c r="U111" s="89"/>
      <c r="V111" s="89"/>
      <c r="W111" s="89"/>
      <c r="X111" s="89"/>
      <c r="Y111" s="89"/>
      <c r="Z111" s="89"/>
      <c r="AA111" s="79"/>
      <c r="AB111" s="79"/>
    </row>
    <row r="112" spans="1:28" ht="12.75" customHeight="1" x14ac:dyDescent="0.15">
      <c r="A112" s="79"/>
      <c r="B112" s="89"/>
      <c r="C112" s="89"/>
      <c r="D112" s="90"/>
      <c r="E112" s="90"/>
      <c r="F112" s="89"/>
      <c r="G112" s="89"/>
      <c r="H112" s="89"/>
      <c r="I112" s="89"/>
      <c r="J112" s="89"/>
      <c r="K112" s="89"/>
      <c r="L112" s="89"/>
      <c r="M112" s="89"/>
      <c r="N112" s="89"/>
      <c r="O112" s="89"/>
      <c r="P112" s="89"/>
      <c r="Q112" s="89"/>
      <c r="R112" s="89"/>
      <c r="S112" s="89"/>
      <c r="T112" s="89"/>
      <c r="U112" s="89"/>
      <c r="V112" s="89"/>
      <c r="W112" s="89"/>
      <c r="X112" s="89"/>
      <c r="Y112" s="89"/>
      <c r="Z112" s="89"/>
      <c r="AA112" s="79"/>
      <c r="AB112" s="79"/>
    </row>
    <row r="113" spans="1:28" ht="12.75" customHeight="1" x14ac:dyDescent="0.15">
      <c r="A113" s="79"/>
      <c r="B113" s="89"/>
      <c r="C113" s="89"/>
      <c r="D113" s="90"/>
      <c r="E113" s="90"/>
      <c r="F113" s="89"/>
      <c r="G113" s="89"/>
      <c r="H113" s="89"/>
      <c r="I113" s="89"/>
      <c r="J113" s="89"/>
      <c r="K113" s="89"/>
      <c r="L113" s="89"/>
      <c r="M113" s="89"/>
      <c r="N113" s="89"/>
      <c r="O113" s="89"/>
      <c r="P113" s="89"/>
      <c r="Q113" s="89"/>
      <c r="R113" s="89"/>
      <c r="S113" s="89"/>
      <c r="T113" s="89"/>
      <c r="U113" s="89"/>
      <c r="V113" s="89"/>
      <c r="W113" s="89"/>
      <c r="X113" s="89"/>
      <c r="Y113" s="89"/>
      <c r="Z113" s="89"/>
      <c r="AA113" s="79"/>
      <c r="AB113" s="79"/>
    </row>
    <row r="114" spans="1:28" ht="12.75" customHeight="1" x14ac:dyDescent="0.15">
      <c r="A114" s="79"/>
      <c r="B114" s="89"/>
      <c r="C114" s="89"/>
      <c r="D114" s="90"/>
      <c r="E114" s="90"/>
      <c r="F114" s="89"/>
      <c r="G114" s="89"/>
      <c r="H114" s="89"/>
      <c r="I114" s="89"/>
      <c r="J114" s="89"/>
      <c r="K114" s="89"/>
      <c r="L114" s="89"/>
      <c r="M114" s="89"/>
      <c r="N114" s="89"/>
      <c r="O114" s="89"/>
      <c r="P114" s="89"/>
      <c r="Q114" s="89"/>
      <c r="R114" s="89"/>
      <c r="S114" s="89"/>
      <c r="T114" s="89"/>
      <c r="U114" s="89"/>
      <c r="V114" s="89"/>
      <c r="W114" s="89"/>
      <c r="X114" s="89"/>
      <c r="Y114" s="89"/>
      <c r="Z114" s="89"/>
      <c r="AA114" s="79"/>
      <c r="AB114" s="79"/>
    </row>
    <row r="115" spans="1:28" ht="12.75" customHeight="1" x14ac:dyDescent="0.15">
      <c r="A115" s="79"/>
      <c r="B115" s="89"/>
      <c r="C115" s="89"/>
      <c r="D115" s="90"/>
      <c r="E115" s="90"/>
      <c r="F115" s="89"/>
      <c r="G115" s="89"/>
      <c r="H115" s="89"/>
      <c r="I115" s="89"/>
      <c r="J115" s="89"/>
      <c r="K115" s="89"/>
      <c r="L115" s="89"/>
      <c r="M115" s="89"/>
      <c r="N115" s="89"/>
      <c r="O115" s="89"/>
      <c r="P115" s="89"/>
      <c r="Q115" s="89"/>
      <c r="R115" s="89"/>
      <c r="S115" s="89"/>
      <c r="T115" s="89"/>
      <c r="U115" s="89"/>
      <c r="V115" s="89"/>
      <c r="W115" s="89"/>
      <c r="X115" s="89"/>
      <c r="Y115" s="89"/>
      <c r="Z115" s="89"/>
      <c r="AA115" s="79"/>
      <c r="AB115" s="79"/>
    </row>
    <row r="116" spans="1:28" ht="12.75" customHeight="1" x14ac:dyDescent="0.15">
      <c r="A116" s="79"/>
      <c r="B116" s="89"/>
      <c r="C116" s="89"/>
      <c r="D116" s="90"/>
      <c r="E116" s="90"/>
      <c r="F116" s="89"/>
      <c r="G116" s="89"/>
      <c r="H116" s="89"/>
      <c r="I116" s="89"/>
      <c r="J116" s="89"/>
      <c r="K116" s="89"/>
      <c r="L116" s="89"/>
      <c r="M116" s="89"/>
      <c r="N116" s="89"/>
      <c r="O116" s="89"/>
      <c r="P116" s="89"/>
      <c r="Q116" s="89"/>
      <c r="R116" s="89"/>
      <c r="S116" s="89"/>
      <c r="T116" s="89"/>
      <c r="U116" s="89"/>
      <c r="V116" s="89"/>
      <c r="W116" s="89"/>
      <c r="X116" s="89"/>
      <c r="Y116" s="89"/>
      <c r="Z116" s="89"/>
      <c r="AA116" s="79"/>
      <c r="AB116" s="79"/>
    </row>
    <row r="117" spans="1:28" ht="12.75" customHeight="1" x14ac:dyDescent="0.15">
      <c r="A117" s="79"/>
      <c r="B117" s="89"/>
      <c r="C117" s="89"/>
      <c r="D117" s="90"/>
      <c r="E117" s="90"/>
      <c r="F117" s="89"/>
      <c r="G117" s="89"/>
      <c r="H117" s="89"/>
      <c r="I117" s="89"/>
      <c r="J117" s="89"/>
      <c r="K117" s="89"/>
      <c r="L117" s="89"/>
      <c r="M117" s="89"/>
      <c r="N117" s="89"/>
      <c r="O117" s="89"/>
      <c r="P117" s="89"/>
      <c r="Q117" s="89"/>
      <c r="R117" s="89"/>
      <c r="S117" s="89"/>
      <c r="T117" s="89"/>
      <c r="U117" s="89"/>
      <c r="V117" s="89"/>
      <c r="W117" s="89"/>
      <c r="X117" s="89"/>
      <c r="Y117" s="89"/>
      <c r="Z117" s="89"/>
      <c r="AA117" s="79"/>
      <c r="AB117" s="79"/>
    </row>
    <row r="118" spans="1:28" ht="12.75" customHeight="1" x14ac:dyDescent="0.15">
      <c r="A118" s="79"/>
      <c r="B118" s="89"/>
      <c r="C118" s="89"/>
      <c r="D118" s="90"/>
      <c r="E118" s="90"/>
      <c r="F118" s="89"/>
      <c r="G118" s="89"/>
      <c r="H118" s="89"/>
      <c r="I118" s="89"/>
      <c r="J118" s="89"/>
      <c r="K118" s="89"/>
      <c r="L118" s="89"/>
      <c r="M118" s="89"/>
      <c r="N118" s="89"/>
      <c r="O118" s="89"/>
      <c r="P118" s="89"/>
      <c r="Q118" s="89"/>
      <c r="R118" s="89"/>
      <c r="S118" s="89"/>
      <c r="T118" s="89"/>
      <c r="U118" s="89"/>
      <c r="V118" s="89"/>
      <c r="W118" s="89"/>
      <c r="X118" s="89"/>
      <c r="Y118" s="89"/>
      <c r="Z118" s="89"/>
      <c r="AA118" s="79"/>
      <c r="AB118" s="79"/>
    </row>
    <row r="119" spans="1:28" ht="12.75" customHeight="1" x14ac:dyDescent="0.15">
      <c r="A119" s="79"/>
      <c r="B119" s="89"/>
      <c r="C119" s="89"/>
      <c r="D119" s="90"/>
      <c r="E119" s="90"/>
      <c r="F119" s="89"/>
      <c r="G119" s="89"/>
      <c r="H119" s="89"/>
      <c r="I119" s="89"/>
      <c r="J119" s="89"/>
      <c r="K119" s="89"/>
      <c r="L119" s="89"/>
      <c r="M119" s="89"/>
      <c r="N119" s="89"/>
      <c r="O119" s="89"/>
      <c r="P119" s="89"/>
      <c r="Q119" s="89"/>
      <c r="R119" s="89"/>
      <c r="S119" s="89"/>
      <c r="T119" s="89"/>
      <c r="U119" s="89"/>
      <c r="V119" s="89"/>
      <c r="W119" s="89"/>
      <c r="X119" s="89"/>
      <c r="Y119" s="89"/>
      <c r="Z119" s="89"/>
      <c r="AA119" s="79"/>
      <c r="AB119" s="79"/>
    </row>
    <row r="120" spans="1:28" ht="12.75" customHeight="1" x14ac:dyDescent="0.15">
      <c r="A120" s="79"/>
      <c r="B120" s="89"/>
      <c r="C120" s="89"/>
      <c r="D120" s="90"/>
      <c r="E120" s="90"/>
      <c r="F120" s="89"/>
      <c r="G120" s="89"/>
      <c r="H120" s="89"/>
      <c r="I120" s="89"/>
      <c r="J120" s="89"/>
      <c r="K120" s="89"/>
      <c r="L120" s="89"/>
      <c r="M120" s="89"/>
      <c r="N120" s="89"/>
      <c r="O120" s="89"/>
      <c r="P120" s="89"/>
      <c r="Q120" s="89"/>
      <c r="R120" s="89"/>
      <c r="S120" s="89"/>
      <c r="T120" s="89"/>
      <c r="U120" s="89"/>
      <c r="V120" s="89"/>
      <c r="W120" s="89"/>
      <c r="X120" s="89"/>
      <c r="Y120" s="89"/>
      <c r="Z120" s="89"/>
      <c r="AA120" s="79"/>
      <c r="AB120" s="79"/>
    </row>
    <row r="121" spans="1:28" ht="12.75" customHeight="1" x14ac:dyDescent="0.15">
      <c r="A121" s="79"/>
      <c r="B121" s="89"/>
      <c r="C121" s="89"/>
      <c r="D121" s="90"/>
      <c r="E121" s="90"/>
      <c r="F121" s="89"/>
      <c r="G121" s="89"/>
      <c r="H121" s="89"/>
      <c r="I121" s="89"/>
      <c r="J121" s="89"/>
      <c r="K121" s="89"/>
      <c r="L121" s="89"/>
      <c r="M121" s="89"/>
      <c r="N121" s="89"/>
      <c r="O121" s="89"/>
      <c r="P121" s="89"/>
      <c r="Q121" s="89"/>
      <c r="R121" s="89"/>
      <c r="S121" s="89"/>
      <c r="T121" s="89"/>
      <c r="U121" s="89"/>
      <c r="V121" s="89"/>
      <c r="W121" s="89"/>
      <c r="X121" s="89"/>
      <c r="Y121" s="89"/>
      <c r="Z121" s="89"/>
      <c r="AA121" s="79"/>
      <c r="AB121" s="79"/>
    </row>
    <row r="122" spans="1:28" ht="12.75" customHeight="1" x14ac:dyDescent="0.15">
      <c r="A122" s="79"/>
      <c r="B122" s="89"/>
      <c r="C122" s="89"/>
      <c r="D122" s="90"/>
      <c r="E122" s="90"/>
      <c r="F122" s="89"/>
      <c r="G122" s="89"/>
      <c r="H122" s="89"/>
      <c r="I122" s="89"/>
      <c r="J122" s="89"/>
      <c r="K122" s="89"/>
      <c r="L122" s="89"/>
      <c r="M122" s="89"/>
      <c r="N122" s="89"/>
      <c r="O122" s="89"/>
      <c r="P122" s="89"/>
      <c r="Q122" s="89"/>
      <c r="R122" s="89"/>
      <c r="S122" s="89"/>
      <c r="T122" s="89"/>
      <c r="U122" s="89"/>
      <c r="V122" s="89"/>
      <c r="W122" s="89"/>
      <c r="X122" s="89"/>
      <c r="Y122" s="89"/>
      <c r="Z122" s="89"/>
      <c r="AA122" s="79"/>
      <c r="AB122" s="79"/>
    </row>
    <row r="123" spans="1:28" ht="12.75" customHeight="1" x14ac:dyDescent="0.15">
      <c r="A123" s="79"/>
      <c r="B123" s="89"/>
      <c r="C123" s="89"/>
      <c r="D123" s="90"/>
      <c r="E123" s="90"/>
      <c r="F123" s="89"/>
      <c r="G123" s="89"/>
      <c r="H123" s="89"/>
      <c r="I123" s="89"/>
      <c r="J123" s="89"/>
      <c r="K123" s="89"/>
      <c r="L123" s="89"/>
      <c r="M123" s="89"/>
      <c r="N123" s="89"/>
      <c r="O123" s="89"/>
      <c r="P123" s="89"/>
      <c r="Q123" s="89"/>
      <c r="R123" s="89"/>
      <c r="S123" s="89"/>
      <c r="T123" s="89"/>
      <c r="U123" s="89"/>
      <c r="V123" s="89"/>
      <c r="W123" s="89"/>
      <c r="X123" s="89"/>
      <c r="Y123" s="89"/>
      <c r="Z123" s="89"/>
      <c r="AA123" s="79"/>
      <c r="AB123" s="79"/>
    </row>
    <row r="124" spans="1:28" ht="12.75" customHeight="1" x14ac:dyDescent="0.15">
      <c r="A124" s="79"/>
      <c r="B124" s="89"/>
      <c r="C124" s="89"/>
      <c r="D124" s="90"/>
      <c r="E124" s="90"/>
      <c r="F124" s="89"/>
      <c r="G124" s="89"/>
      <c r="H124" s="89"/>
      <c r="I124" s="89"/>
      <c r="J124" s="89"/>
      <c r="K124" s="89"/>
      <c r="L124" s="89"/>
      <c r="M124" s="89"/>
      <c r="N124" s="89"/>
      <c r="O124" s="89"/>
      <c r="P124" s="89"/>
      <c r="Q124" s="89"/>
      <c r="R124" s="89"/>
      <c r="S124" s="89"/>
      <c r="T124" s="89"/>
      <c r="U124" s="89"/>
      <c r="V124" s="89"/>
      <c r="W124" s="89"/>
      <c r="X124" s="89"/>
      <c r="Y124" s="89"/>
      <c r="Z124" s="89"/>
      <c r="AA124" s="79"/>
      <c r="AB124" s="79"/>
    </row>
    <row r="125" spans="1:28" ht="12.75" customHeight="1" x14ac:dyDescent="0.15">
      <c r="A125" s="79"/>
      <c r="B125" s="89"/>
      <c r="C125" s="89"/>
      <c r="D125" s="90"/>
      <c r="E125" s="90"/>
      <c r="F125" s="89"/>
      <c r="G125" s="89"/>
      <c r="H125" s="89"/>
      <c r="I125" s="89"/>
      <c r="J125" s="89"/>
      <c r="K125" s="89"/>
      <c r="L125" s="89"/>
      <c r="M125" s="89"/>
      <c r="N125" s="89"/>
      <c r="O125" s="89"/>
      <c r="P125" s="89"/>
      <c r="Q125" s="89"/>
      <c r="R125" s="89"/>
      <c r="S125" s="89"/>
      <c r="T125" s="89"/>
      <c r="U125" s="89"/>
      <c r="V125" s="89"/>
      <c r="W125" s="89"/>
      <c r="X125" s="89"/>
      <c r="Y125" s="89"/>
      <c r="Z125" s="89"/>
      <c r="AA125" s="79"/>
      <c r="AB125" s="79"/>
    </row>
    <row r="126" spans="1:28" ht="12.75" customHeight="1" x14ac:dyDescent="0.15">
      <c r="A126" s="79"/>
      <c r="B126" s="89"/>
      <c r="C126" s="89"/>
      <c r="D126" s="90"/>
      <c r="E126" s="90"/>
      <c r="F126" s="89"/>
      <c r="G126" s="89"/>
      <c r="H126" s="89"/>
      <c r="I126" s="89"/>
      <c r="J126" s="89"/>
      <c r="K126" s="89"/>
      <c r="L126" s="89"/>
      <c r="M126" s="89"/>
      <c r="N126" s="89"/>
      <c r="O126" s="89"/>
      <c r="P126" s="89"/>
      <c r="Q126" s="89"/>
      <c r="R126" s="89"/>
      <c r="S126" s="89"/>
      <c r="T126" s="89"/>
      <c r="U126" s="89"/>
      <c r="V126" s="89"/>
      <c r="W126" s="89"/>
      <c r="X126" s="89"/>
      <c r="Y126" s="89"/>
      <c r="Z126" s="89"/>
      <c r="AA126" s="79"/>
      <c r="AB126" s="79"/>
    </row>
    <row r="127" spans="1:28" ht="12.75" customHeight="1" x14ac:dyDescent="0.15">
      <c r="A127" s="79"/>
      <c r="B127" s="89"/>
      <c r="C127" s="89"/>
      <c r="D127" s="90"/>
      <c r="E127" s="90"/>
      <c r="F127" s="89"/>
      <c r="G127" s="89"/>
      <c r="H127" s="89"/>
      <c r="I127" s="89"/>
      <c r="J127" s="89"/>
      <c r="K127" s="89"/>
      <c r="L127" s="89"/>
      <c r="M127" s="89"/>
      <c r="N127" s="89"/>
      <c r="O127" s="89"/>
      <c r="P127" s="89"/>
      <c r="Q127" s="89"/>
      <c r="R127" s="89"/>
      <c r="S127" s="89"/>
      <c r="T127" s="89"/>
      <c r="U127" s="89"/>
      <c r="V127" s="89"/>
      <c r="W127" s="89"/>
      <c r="X127" s="89"/>
      <c r="Y127" s="89"/>
      <c r="Z127" s="89"/>
      <c r="AA127" s="79"/>
      <c r="AB127" s="79"/>
    </row>
    <row r="128" spans="1:28" ht="12.75" customHeight="1" x14ac:dyDescent="0.15">
      <c r="A128" s="79"/>
      <c r="B128" s="89"/>
      <c r="C128" s="89"/>
      <c r="D128" s="90"/>
      <c r="E128" s="90"/>
      <c r="F128" s="89"/>
      <c r="G128" s="89"/>
      <c r="H128" s="89"/>
      <c r="I128" s="89"/>
      <c r="J128" s="89"/>
      <c r="K128" s="89"/>
      <c r="L128" s="89"/>
      <c r="M128" s="89"/>
      <c r="N128" s="89"/>
      <c r="O128" s="89"/>
      <c r="P128" s="89"/>
      <c r="Q128" s="89"/>
      <c r="R128" s="89"/>
      <c r="S128" s="89"/>
      <c r="T128" s="89"/>
      <c r="U128" s="89"/>
      <c r="V128" s="89"/>
      <c r="W128" s="89"/>
      <c r="X128" s="89"/>
      <c r="Y128" s="89"/>
      <c r="Z128" s="89"/>
      <c r="AA128" s="79"/>
      <c r="AB128" s="79"/>
    </row>
    <row r="129" spans="1:28" ht="12.75" customHeight="1" x14ac:dyDescent="0.15">
      <c r="A129" s="79"/>
      <c r="B129" s="89"/>
      <c r="C129" s="89"/>
      <c r="D129" s="90"/>
      <c r="E129" s="90"/>
      <c r="F129" s="89"/>
      <c r="G129" s="89"/>
      <c r="H129" s="89"/>
      <c r="I129" s="89"/>
      <c r="J129" s="89"/>
      <c r="K129" s="89"/>
      <c r="L129" s="89"/>
      <c r="M129" s="89"/>
      <c r="N129" s="89"/>
      <c r="O129" s="89"/>
      <c r="P129" s="89"/>
      <c r="Q129" s="89"/>
      <c r="R129" s="89"/>
      <c r="S129" s="89"/>
      <c r="T129" s="89"/>
      <c r="U129" s="89"/>
      <c r="V129" s="89"/>
      <c r="W129" s="89"/>
      <c r="X129" s="89"/>
      <c r="Y129" s="89"/>
      <c r="Z129" s="89"/>
      <c r="AA129" s="79"/>
      <c r="AB129" s="79"/>
    </row>
    <row r="130" spans="1:28" ht="12.75" customHeight="1" x14ac:dyDescent="0.15">
      <c r="A130" s="79"/>
      <c r="B130" s="89"/>
      <c r="C130" s="89"/>
      <c r="D130" s="90"/>
      <c r="E130" s="90"/>
      <c r="F130" s="89"/>
      <c r="G130" s="89"/>
      <c r="H130" s="89"/>
      <c r="I130" s="89"/>
      <c r="J130" s="89"/>
      <c r="K130" s="89"/>
      <c r="L130" s="89"/>
      <c r="M130" s="89"/>
      <c r="N130" s="89"/>
      <c r="O130" s="89"/>
      <c r="P130" s="89"/>
      <c r="Q130" s="89"/>
      <c r="R130" s="89"/>
      <c r="S130" s="89"/>
      <c r="T130" s="89"/>
      <c r="U130" s="89"/>
      <c r="V130" s="89"/>
      <c r="W130" s="89"/>
      <c r="X130" s="89"/>
      <c r="Y130" s="89"/>
      <c r="Z130" s="89"/>
      <c r="AA130" s="79"/>
      <c r="AB130" s="79"/>
    </row>
    <row r="131" spans="1:28" ht="12.75" customHeight="1" x14ac:dyDescent="0.15">
      <c r="A131" s="79"/>
      <c r="B131" s="89"/>
      <c r="C131" s="89"/>
      <c r="D131" s="90"/>
      <c r="E131" s="90"/>
      <c r="F131" s="89"/>
      <c r="G131" s="89"/>
      <c r="H131" s="89"/>
      <c r="I131" s="89"/>
      <c r="J131" s="89"/>
      <c r="K131" s="89"/>
      <c r="L131" s="89"/>
      <c r="M131" s="89"/>
      <c r="N131" s="89"/>
      <c r="O131" s="89"/>
      <c r="P131" s="89"/>
      <c r="Q131" s="89"/>
      <c r="R131" s="89"/>
      <c r="S131" s="89"/>
      <c r="T131" s="89"/>
      <c r="U131" s="89"/>
      <c r="V131" s="89"/>
      <c r="W131" s="89"/>
      <c r="X131" s="89"/>
      <c r="Y131" s="89"/>
      <c r="Z131" s="89"/>
      <c r="AA131" s="79"/>
      <c r="AB131" s="79"/>
    </row>
    <row r="132" spans="1:28" ht="12.75" customHeight="1" x14ac:dyDescent="0.15">
      <c r="A132" s="79"/>
      <c r="B132" s="89"/>
      <c r="C132" s="89"/>
      <c r="D132" s="90"/>
      <c r="E132" s="90"/>
      <c r="F132" s="89"/>
      <c r="G132" s="89"/>
      <c r="H132" s="89"/>
      <c r="I132" s="89"/>
      <c r="J132" s="89"/>
      <c r="K132" s="89"/>
      <c r="L132" s="89"/>
      <c r="M132" s="89"/>
      <c r="N132" s="89"/>
      <c r="O132" s="89"/>
      <c r="P132" s="89"/>
      <c r="Q132" s="89"/>
      <c r="R132" s="89"/>
      <c r="S132" s="89"/>
      <c r="T132" s="89"/>
      <c r="U132" s="89"/>
      <c r="V132" s="89"/>
      <c r="W132" s="89"/>
      <c r="X132" s="89"/>
      <c r="Y132" s="89"/>
      <c r="Z132" s="89"/>
      <c r="AA132" s="79"/>
      <c r="AB132" s="79"/>
    </row>
    <row r="133" spans="1:28" ht="12.75" customHeight="1" x14ac:dyDescent="0.15">
      <c r="A133" s="79"/>
      <c r="B133" s="89"/>
      <c r="C133" s="89"/>
      <c r="D133" s="90"/>
      <c r="E133" s="90"/>
      <c r="F133" s="89"/>
      <c r="G133" s="89"/>
      <c r="H133" s="89"/>
      <c r="I133" s="89"/>
      <c r="J133" s="89"/>
      <c r="K133" s="89"/>
      <c r="L133" s="89"/>
      <c r="M133" s="89"/>
      <c r="N133" s="89"/>
      <c r="O133" s="89"/>
      <c r="P133" s="89"/>
      <c r="Q133" s="89"/>
      <c r="R133" s="89"/>
      <c r="S133" s="89"/>
      <c r="T133" s="89"/>
      <c r="U133" s="89"/>
      <c r="V133" s="89"/>
      <c r="W133" s="89"/>
      <c r="X133" s="89"/>
      <c r="Y133" s="89"/>
      <c r="Z133" s="89"/>
      <c r="AA133" s="79"/>
      <c r="AB133" s="79"/>
    </row>
    <row r="134" spans="1:28" ht="12.75" customHeight="1" x14ac:dyDescent="0.15">
      <c r="A134" s="79"/>
      <c r="B134" s="89"/>
      <c r="C134" s="89"/>
      <c r="D134" s="90"/>
      <c r="E134" s="90"/>
      <c r="F134" s="89"/>
      <c r="G134" s="89"/>
      <c r="H134" s="89"/>
      <c r="I134" s="89"/>
      <c r="J134" s="89"/>
      <c r="K134" s="89"/>
      <c r="L134" s="89"/>
      <c r="M134" s="89"/>
      <c r="N134" s="89"/>
      <c r="O134" s="89"/>
      <c r="P134" s="89"/>
      <c r="Q134" s="89"/>
      <c r="R134" s="89"/>
      <c r="S134" s="89"/>
      <c r="T134" s="89"/>
      <c r="U134" s="89"/>
      <c r="V134" s="89"/>
      <c r="W134" s="89"/>
      <c r="X134" s="89"/>
      <c r="Y134" s="89"/>
      <c r="Z134" s="89"/>
      <c r="AA134" s="79"/>
      <c r="AB134" s="79"/>
    </row>
    <row r="135" spans="1:28" ht="12.75" customHeight="1" x14ac:dyDescent="0.15">
      <c r="A135" s="79"/>
      <c r="B135" s="89"/>
      <c r="C135" s="89"/>
      <c r="D135" s="90"/>
      <c r="E135" s="90"/>
      <c r="F135" s="89"/>
      <c r="G135" s="89"/>
      <c r="H135" s="89"/>
      <c r="I135" s="89"/>
      <c r="J135" s="89"/>
      <c r="K135" s="89"/>
      <c r="L135" s="89"/>
      <c r="M135" s="89"/>
      <c r="N135" s="89"/>
      <c r="O135" s="89"/>
      <c r="P135" s="89"/>
      <c r="Q135" s="89"/>
      <c r="R135" s="89"/>
      <c r="S135" s="89"/>
      <c r="T135" s="89"/>
      <c r="U135" s="89"/>
      <c r="V135" s="89"/>
      <c r="W135" s="89"/>
      <c r="X135" s="89"/>
      <c r="Y135" s="89"/>
      <c r="Z135" s="89"/>
      <c r="AA135" s="79"/>
      <c r="AB135" s="79"/>
    </row>
    <row r="136" spans="1:28" ht="12.75" customHeight="1" x14ac:dyDescent="0.15">
      <c r="A136" s="79"/>
      <c r="B136" s="89"/>
      <c r="C136" s="89"/>
      <c r="D136" s="90"/>
      <c r="E136" s="90"/>
      <c r="F136" s="89"/>
      <c r="G136" s="89"/>
      <c r="H136" s="89"/>
      <c r="I136" s="89"/>
      <c r="J136" s="89"/>
      <c r="K136" s="89"/>
      <c r="L136" s="89"/>
      <c r="M136" s="89"/>
      <c r="N136" s="89"/>
      <c r="O136" s="89"/>
      <c r="P136" s="89"/>
      <c r="Q136" s="89"/>
      <c r="R136" s="89"/>
      <c r="S136" s="89"/>
      <c r="T136" s="89"/>
      <c r="U136" s="89"/>
      <c r="V136" s="89"/>
      <c r="W136" s="89"/>
      <c r="X136" s="89"/>
      <c r="Y136" s="89"/>
      <c r="Z136" s="89"/>
      <c r="AA136" s="79"/>
      <c r="AB136" s="79"/>
    </row>
    <row r="137" spans="1:28" ht="12.75" customHeight="1" x14ac:dyDescent="0.15">
      <c r="A137" s="79"/>
      <c r="B137" s="89"/>
      <c r="C137" s="89"/>
      <c r="D137" s="90"/>
      <c r="E137" s="90"/>
      <c r="F137" s="89"/>
      <c r="G137" s="89"/>
      <c r="H137" s="89"/>
      <c r="I137" s="89"/>
      <c r="J137" s="89"/>
      <c r="K137" s="89"/>
      <c r="L137" s="89"/>
      <c r="M137" s="89"/>
      <c r="N137" s="89"/>
      <c r="O137" s="89"/>
      <c r="P137" s="89"/>
      <c r="Q137" s="89"/>
      <c r="R137" s="89"/>
      <c r="S137" s="89"/>
      <c r="T137" s="89"/>
      <c r="U137" s="89"/>
      <c r="V137" s="89"/>
      <c r="W137" s="89"/>
      <c r="X137" s="89"/>
      <c r="Y137" s="89"/>
      <c r="Z137" s="89"/>
      <c r="AA137" s="79"/>
      <c r="AB137" s="79"/>
    </row>
    <row r="138" spans="1:28" ht="12.75" customHeight="1" x14ac:dyDescent="0.15">
      <c r="A138" s="79"/>
      <c r="B138" s="89"/>
      <c r="C138" s="89"/>
      <c r="D138" s="90"/>
      <c r="E138" s="90"/>
      <c r="F138" s="89"/>
      <c r="G138" s="89"/>
      <c r="H138" s="89"/>
      <c r="I138" s="89"/>
      <c r="J138" s="89"/>
      <c r="K138" s="89"/>
      <c r="L138" s="89"/>
      <c r="M138" s="89"/>
      <c r="N138" s="89"/>
      <c r="O138" s="89"/>
      <c r="P138" s="89"/>
      <c r="Q138" s="89"/>
      <c r="R138" s="89"/>
      <c r="S138" s="89"/>
      <c r="T138" s="89"/>
      <c r="U138" s="89"/>
      <c r="V138" s="89"/>
      <c r="W138" s="89"/>
      <c r="X138" s="89"/>
      <c r="Y138" s="89"/>
      <c r="Z138" s="89"/>
      <c r="AA138" s="79"/>
      <c r="AB138" s="79"/>
    </row>
    <row r="139" spans="1:28" ht="12.75" customHeight="1" x14ac:dyDescent="0.15">
      <c r="A139" s="79"/>
      <c r="B139" s="89"/>
      <c r="C139" s="89"/>
      <c r="D139" s="90"/>
      <c r="E139" s="90"/>
      <c r="F139" s="89"/>
      <c r="G139" s="89"/>
      <c r="H139" s="89"/>
      <c r="I139" s="89"/>
      <c r="J139" s="89"/>
      <c r="K139" s="89"/>
      <c r="L139" s="89"/>
      <c r="M139" s="89"/>
      <c r="N139" s="89"/>
      <c r="O139" s="89"/>
      <c r="P139" s="89"/>
      <c r="Q139" s="89"/>
      <c r="R139" s="89"/>
      <c r="S139" s="89"/>
      <c r="T139" s="89"/>
      <c r="U139" s="89"/>
      <c r="V139" s="89"/>
      <c r="W139" s="89"/>
      <c r="X139" s="89"/>
      <c r="Y139" s="89"/>
      <c r="Z139" s="89"/>
      <c r="AA139" s="79"/>
      <c r="AB139" s="79"/>
    </row>
    <row r="140" spans="1:28" ht="12.75" customHeight="1" x14ac:dyDescent="0.15">
      <c r="A140" s="79"/>
      <c r="B140" s="89"/>
      <c r="C140" s="89"/>
      <c r="D140" s="90"/>
      <c r="E140" s="90"/>
      <c r="F140" s="89"/>
      <c r="G140" s="89"/>
      <c r="H140" s="89"/>
      <c r="I140" s="89"/>
      <c r="J140" s="89"/>
      <c r="K140" s="89"/>
      <c r="L140" s="89"/>
      <c r="M140" s="89"/>
      <c r="N140" s="89"/>
      <c r="O140" s="89"/>
      <c r="P140" s="89"/>
      <c r="Q140" s="89"/>
      <c r="R140" s="89"/>
      <c r="S140" s="89"/>
      <c r="T140" s="89"/>
      <c r="U140" s="89"/>
      <c r="V140" s="89"/>
      <c r="W140" s="89"/>
      <c r="X140" s="89"/>
      <c r="Y140" s="89"/>
      <c r="Z140" s="89"/>
      <c r="AA140" s="79"/>
      <c r="AB140" s="79"/>
    </row>
    <row r="141" spans="1:28" ht="12.75" customHeight="1" x14ac:dyDescent="0.15">
      <c r="A141" s="79"/>
      <c r="B141" s="89"/>
      <c r="C141" s="89"/>
      <c r="D141" s="90"/>
      <c r="E141" s="90"/>
      <c r="F141" s="89"/>
      <c r="G141" s="89"/>
      <c r="H141" s="89"/>
      <c r="I141" s="89"/>
      <c r="J141" s="89"/>
      <c r="K141" s="89"/>
      <c r="L141" s="89"/>
      <c r="M141" s="89"/>
      <c r="N141" s="89"/>
      <c r="O141" s="89"/>
      <c r="P141" s="89"/>
      <c r="Q141" s="89"/>
      <c r="R141" s="89"/>
      <c r="S141" s="89"/>
      <c r="T141" s="89"/>
      <c r="U141" s="89"/>
      <c r="V141" s="89"/>
      <c r="W141" s="89"/>
      <c r="X141" s="89"/>
      <c r="Y141" s="89"/>
      <c r="Z141" s="89"/>
      <c r="AA141" s="79"/>
      <c r="AB141" s="79"/>
    </row>
    <row r="142" spans="1:28" ht="12.75" customHeight="1" x14ac:dyDescent="0.15">
      <c r="A142" s="79"/>
      <c r="B142" s="89"/>
      <c r="C142" s="89"/>
      <c r="D142" s="90"/>
      <c r="E142" s="90"/>
      <c r="F142" s="89"/>
      <c r="G142" s="89"/>
      <c r="H142" s="89"/>
      <c r="I142" s="89"/>
      <c r="J142" s="89"/>
      <c r="K142" s="89"/>
      <c r="L142" s="89"/>
      <c r="M142" s="89"/>
      <c r="N142" s="89"/>
      <c r="O142" s="89"/>
      <c r="P142" s="89"/>
      <c r="Q142" s="89"/>
      <c r="R142" s="89"/>
      <c r="S142" s="89"/>
      <c r="T142" s="89"/>
      <c r="U142" s="89"/>
      <c r="V142" s="89"/>
      <c r="W142" s="89"/>
      <c r="X142" s="89"/>
      <c r="Y142" s="89"/>
      <c r="Z142" s="89"/>
      <c r="AA142" s="79"/>
      <c r="AB142" s="79"/>
    </row>
    <row r="143" spans="1:28" ht="12.75" customHeight="1" x14ac:dyDescent="0.15">
      <c r="A143" s="79"/>
      <c r="B143" s="89"/>
      <c r="C143" s="89"/>
      <c r="D143" s="90"/>
      <c r="E143" s="90"/>
      <c r="F143" s="89"/>
      <c r="G143" s="89"/>
      <c r="H143" s="89"/>
      <c r="I143" s="89"/>
      <c r="J143" s="89"/>
      <c r="K143" s="89"/>
      <c r="L143" s="89"/>
      <c r="M143" s="89"/>
      <c r="N143" s="89"/>
      <c r="O143" s="89"/>
      <c r="P143" s="89"/>
      <c r="Q143" s="89"/>
      <c r="R143" s="89"/>
      <c r="S143" s="89"/>
      <c r="T143" s="89"/>
      <c r="U143" s="89"/>
      <c r="V143" s="89"/>
      <c r="W143" s="89"/>
      <c r="X143" s="89"/>
      <c r="Y143" s="89"/>
      <c r="Z143" s="89"/>
      <c r="AA143" s="79"/>
      <c r="AB143" s="79"/>
    </row>
    <row r="144" spans="1:28" ht="12.75" customHeight="1" x14ac:dyDescent="0.15">
      <c r="A144" s="79"/>
      <c r="B144" s="89"/>
      <c r="C144" s="89"/>
      <c r="D144" s="90"/>
      <c r="E144" s="90"/>
      <c r="F144" s="89"/>
      <c r="G144" s="89"/>
      <c r="H144" s="89"/>
      <c r="I144" s="89"/>
      <c r="J144" s="89"/>
      <c r="K144" s="89"/>
      <c r="L144" s="89"/>
      <c r="M144" s="89"/>
      <c r="N144" s="89"/>
      <c r="O144" s="89"/>
      <c r="P144" s="89"/>
      <c r="Q144" s="89"/>
      <c r="R144" s="89"/>
      <c r="S144" s="89"/>
      <c r="T144" s="89"/>
      <c r="U144" s="89"/>
      <c r="V144" s="89"/>
      <c r="W144" s="89"/>
      <c r="X144" s="89"/>
      <c r="Y144" s="89"/>
      <c r="Z144" s="89"/>
      <c r="AA144" s="79"/>
      <c r="AB144" s="79"/>
    </row>
    <row r="145" spans="1:28" ht="12.75" customHeight="1" x14ac:dyDescent="0.15">
      <c r="A145" s="79"/>
      <c r="B145" s="89"/>
      <c r="C145" s="89"/>
      <c r="D145" s="90"/>
      <c r="E145" s="90"/>
      <c r="F145" s="89"/>
      <c r="G145" s="89"/>
      <c r="H145" s="89"/>
      <c r="I145" s="89"/>
      <c r="J145" s="89"/>
      <c r="K145" s="89"/>
      <c r="L145" s="89"/>
      <c r="M145" s="89"/>
      <c r="N145" s="89"/>
      <c r="O145" s="89"/>
      <c r="P145" s="89"/>
      <c r="Q145" s="89"/>
      <c r="R145" s="89"/>
      <c r="S145" s="89"/>
      <c r="T145" s="89"/>
      <c r="U145" s="89"/>
      <c r="V145" s="89"/>
      <c r="W145" s="89"/>
      <c r="X145" s="89"/>
      <c r="Y145" s="89"/>
      <c r="Z145" s="89"/>
      <c r="AA145" s="79"/>
      <c r="AB145" s="79"/>
    </row>
    <row r="146" spans="1:28" ht="12.75" customHeight="1" x14ac:dyDescent="0.15">
      <c r="A146" s="79"/>
      <c r="B146" s="89"/>
      <c r="C146" s="89"/>
      <c r="D146" s="90"/>
      <c r="E146" s="90"/>
      <c r="F146" s="89"/>
      <c r="G146" s="89"/>
      <c r="H146" s="89"/>
      <c r="I146" s="89"/>
      <c r="J146" s="89"/>
      <c r="K146" s="89"/>
      <c r="L146" s="89"/>
      <c r="M146" s="89"/>
      <c r="N146" s="89"/>
      <c r="O146" s="89"/>
      <c r="P146" s="89"/>
      <c r="Q146" s="89"/>
      <c r="R146" s="89"/>
      <c r="S146" s="89"/>
      <c r="T146" s="89"/>
      <c r="U146" s="89"/>
      <c r="V146" s="89"/>
      <c r="W146" s="89"/>
      <c r="X146" s="89"/>
      <c r="Y146" s="89"/>
      <c r="Z146" s="89"/>
      <c r="AA146" s="79"/>
      <c r="AB146" s="79"/>
    </row>
    <row r="147" spans="1:28" ht="12.75" customHeight="1" x14ac:dyDescent="0.15">
      <c r="A147" s="79"/>
      <c r="B147" s="89"/>
      <c r="C147" s="89"/>
      <c r="D147" s="90"/>
      <c r="E147" s="90"/>
      <c r="F147" s="89"/>
      <c r="G147" s="89"/>
      <c r="H147" s="89"/>
      <c r="I147" s="89"/>
      <c r="J147" s="89"/>
      <c r="K147" s="89"/>
      <c r="L147" s="89"/>
      <c r="M147" s="89"/>
      <c r="N147" s="89"/>
      <c r="O147" s="89"/>
      <c r="P147" s="89"/>
      <c r="Q147" s="89"/>
      <c r="R147" s="89"/>
      <c r="S147" s="89"/>
      <c r="T147" s="89"/>
      <c r="U147" s="89"/>
      <c r="V147" s="89"/>
      <c r="W147" s="89"/>
      <c r="X147" s="89"/>
      <c r="Y147" s="89"/>
      <c r="Z147" s="89"/>
      <c r="AA147" s="79"/>
      <c r="AB147" s="79"/>
    </row>
    <row r="148" spans="1:28" ht="12.75" customHeight="1" x14ac:dyDescent="0.15">
      <c r="A148" s="79"/>
      <c r="B148" s="89"/>
      <c r="C148" s="89"/>
      <c r="D148" s="90"/>
      <c r="E148" s="90"/>
      <c r="F148" s="89"/>
      <c r="G148" s="89"/>
      <c r="H148" s="89"/>
      <c r="I148" s="89"/>
      <c r="J148" s="89"/>
      <c r="K148" s="89"/>
      <c r="L148" s="89"/>
      <c r="M148" s="89"/>
      <c r="N148" s="89"/>
      <c r="O148" s="89"/>
      <c r="P148" s="89"/>
      <c r="Q148" s="89"/>
      <c r="R148" s="89"/>
      <c r="S148" s="89"/>
      <c r="T148" s="89"/>
      <c r="U148" s="89"/>
      <c r="V148" s="89"/>
      <c r="W148" s="89"/>
      <c r="X148" s="89"/>
      <c r="Y148" s="89"/>
      <c r="Z148" s="89"/>
      <c r="AA148" s="79"/>
      <c r="AB148" s="79"/>
    </row>
    <row r="149" spans="1:28" ht="12.75" customHeight="1" x14ac:dyDescent="0.15">
      <c r="A149" s="79"/>
      <c r="B149" s="89"/>
      <c r="C149" s="89"/>
      <c r="D149" s="90"/>
      <c r="E149" s="90"/>
      <c r="F149" s="89"/>
      <c r="G149" s="89"/>
      <c r="H149" s="89"/>
      <c r="I149" s="89"/>
      <c r="J149" s="89"/>
      <c r="K149" s="89"/>
      <c r="L149" s="89"/>
      <c r="M149" s="89"/>
      <c r="N149" s="89"/>
      <c r="O149" s="89"/>
      <c r="P149" s="89"/>
      <c r="Q149" s="89"/>
      <c r="R149" s="89"/>
      <c r="S149" s="89"/>
      <c r="T149" s="89"/>
      <c r="U149" s="89"/>
      <c r="V149" s="89"/>
      <c r="W149" s="89"/>
      <c r="X149" s="89"/>
      <c r="Y149" s="89"/>
      <c r="Z149" s="89"/>
      <c r="AA149" s="79"/>
      <c r="AB149" s="79"/>
    </row>
    <row r="150" spans="1:28" ht="12.75" customHeight="1" x14ac:dyDescent="0.15">
      <c r="A150" s="79"/>
      <c r="B150" s="89"/>
      <c r="C150" s="89"/>
      <c r="D150" s="90"/>
      <c r="E150" s="90"/>
      <c r="F150" s="89"/>
      <c r="G150" s="89"/>
      <c r="H150" s="89"/>
      <c r="I150" s="89"/>
      <c r="J150" s="89"/>
      <c r="K150" s="89"/>
      <c r="L150" s="89"/>
      <c r="M150" s="89"/>
      <c r="N150" s="89"/>
      <c r="O150" s="89"/>
      <c r="P150" s="89"/>
      <c r="Q150" s="89"/>
      <c r="R150" s="89"/>
      <c r="S150" s="89"/>
      <c r="T150" s="89"/>
      <c r="U150" s="89"/>
      <c r="V150" s="89"/>
      <c r="W150" s="89"/>
      <c r="X150" s="89"/>
      <c r="Y150" s="89"/>
      <c r="Z150" s="89"/>
      <c r="AA150" s="79"/>
      <c r="AB150" s="79"/>
    </row>
    <row r="151" spans="1:28" ht="12.75" customHeight="1" x14ac:dyDescent="0.15">
      <c r="A151" s="79"/>
      <c r="B151" s="89"/>
      <c r="C151" s="89"/>
      <c r="D151" s="90"/>
      <c r="E151" s="90"/>
      <c r="F151" s="89"/>
      <c r="G151" s="89"/>
      <c r="H151" s="89"/>
      <c r="I151" s="89"/>
      <c r="J151" s="89"/>
      <c r="K151" s="89"/>
      <c r="L151" s="89"/>
      <c r="M151" s="89"/>
      <c r="N151" s="89"/>
      <c r="O151" s="89"/>
      <c r="P151" s="89"/>
      <c r="Q151" s="89"/>
      <c r="R151" s="89"/>
      <c r="S151" s="89"/>
      <c r="T151" s="89"/>
      <c r="U151" s="89"/>
      <c r="V151" s="89"/>
      <c r="W151" s="89"/>
      <c r="X151" s="89"/>
      <c r="Y151" s="89"/>
      <c r="Z151" s="89"/>
      <c r="AA151" s="79"/>
      <c r="AB151" s="79"/>
    </row>
    <row r="152" spans="1:28" ht="12.75" customHeight="1" x14ac:dyDescent="0.15">
      <c r="A152" s="79"/>
      <c r="B152" s="89"/>
      <c r="C152" s="89"/>
      <c r="D152" s="90"/>
      <c r="E152" s="90"/>
      <c r="F152" s="89"/>
      <c r="G152" s="89"/>
      <c r="H152" s="89"/>
      <c r="I152" s="89"/>
      <c r="J152" s="89"/>
      <c r="K152" s="89"/>
      <c r="L152" s="89"/>
      <c r="M152" s="89"/>
      <c r="N152" s="89"/>
      <c r="O152" s="89"/>
      <c r="P152" s="89"/>
      <c r="Q152" s="89"/>
      <c r="R152" s="89"/>
      <c r="S152" s="89"/>
      <c r="T152" s="89"/>
      <c r="U152" s="89"/>
      <c r="V152" s="89"/>
      <c r="W152" s="89"/>
      <c r="X152" s="89"/>
      <c r="Y152" s="89"/>
      <c r="Z152" s="89"/>
      <c r="AA152" s="79"/>
      <c r="AB152" s="79"/>
    </row>
    <row r="153" spans="1:28" ht="12.75" customHeight="1" x14ac:dyDescent="0.15">
      <c r="A153" s="79"/>
      <c r="B153" s="89"/>
      <c r="C153" s="89"/>
      <c r="D153" s="90"/>
      <c r="E153" s="90"/>
      <c r="F153" s="89"/>
      <c r="G153" s="89"/>
      <c r="H153" s="89"/>
      <c r="I153" s="89"/>
      <c r="J153" s="89"/>
      <c r="K153" s="89"/>
      <c r="L153" s="89"/>
      <c r="M153" s="89"/>
      <c r="N153" s="89"/>
      <c r="O153" s="89"/>
      <c r="P153" s="89"/>
      <c r="Q153" s="89"/>
      <c r="R153" s="89"/>
      <c r="S153" s="89"/>
      <c r="T153" s="89"/>
      <c r="U153" s="89"/>
      <c r="V153" s="89"/>
      <c r="W153" s="89"/>
      <c r="X153" s="89"/>
      <c r="Y153" s="89"/>
      <c r="Z153" s="89"/>
      <c r="AA153" s="79"/>
      <c r="AB153" s="79"/>
    </row>
    <row r="154" spans="1:28" ht="12.75" customHeight="1" x14ac:dyDescent="0.15">
      <c r="A154" s="79"/>
      <c r="B154" s="89"/>
      <c r="C154" s="89"/>
      <c r="D154" s="90"/>
      <c r="E154" s="90"/>
      <c r="F154" s="89"/>
      <c r="G154" s="89"/>
      <c r="H154" s="89"/>
      <c r="I154" s="89"/>
      <c r="J154" s="89"/>
      <c r="K154" s="89"/>
      <c r="L154" s="89"/>
      <c r="M154" s="89"/>
      <c r="N154" s="89"/>
      <c r="O154" s="89"/>
      <c r="P154" s="89"/>
      <c r="Q154" s="89"/>
      <c r="R154" s="89"/>
      <c r="S154" s="89"/>
      <c r="T154" s="89"/>
      <c r="U154" s="89"/>
      <c r="V154" s="89"/>
      <c r="W154" s="89"/>
      <c r="X154" s="89"/>
      <c r="Y154" s="89"/>
      <c r="Z154" s="89"/>
      <c r="AA154" s="79"/>
      <c r="AB154" s="79"/>
    </row>
    <row r="155" spans="1:28" ht="12.75" customHeight="1" x14ac:dyDescent="0.15">
      <c r="A155" s="79"/>
      <c r="B155" s="89"/>
      <c r="C155" s="89"/>
      <c r="D155" s="90"/>
      <c r="E155" s="90"/>
      <c r="F155" s="89"/>
      <c r="G155" s="89"/>
      <c r="H155" s="89"/>
      <c r="I155" s="89"/>
      <c r="J155" s="89"/>
      <c r="K155" s="89"/>
      <c r="L155" s="89"/>
      <c r="M155" s="89"/>
      <c r="N155" s="89"/>
      <c r="O155" s="89"/>
      <c r="P155" s="89"/>
      <c r="Q155" s="89"/>
      <c r="R155" s="89"/>
      <c r="S155" s="89"/>
      <c r="T155" s="89"/>
      <c r="U155" s="89"/>
      <c r="V155" s="89"/>
      <c r="W155" s="89"/>
      <c r="X155" s="89"/>
      <c r="Y155" s="89"/>
      <c r="Z155" s="89"/>
      <c r="AA155" s="79"/>
      <c r="AB155" s="79"/>
    </row>
    <row r="156" spans="1:28" ht="12.75" customHeight="1" x14ac:dyDescent="0.15">
      <c r="A156" s="79"/>
      <c r="B156" s="89"/>
      <c r="C156" s="89"/>
      <c r="D156" s="90"/>
      <c r="E156" s="90"/>
      <c r="F156" s="89"/>
      <c r="G156" s="89"/>
      <c r="H156" s="89"/>
      <c r="I156" s="89"/>
      <c r="J156" s="89"/>
      <c r="K156" s="89"/>
      <c r="L156" s="89"/>
      <c r="M156" s="89"/>
      <c r="N156" s="89"/>
      <c r="O156" s="89"/>
      <c r="P156" s="89"/>
      <c r="Q156" s="89"/>
      <c r="R156" s="89"/>
      <c r="S156" s="89"/>
      <c r="T156" s="89"/>
      <c r="U156" s="89"/>
      <c r="V156" s="89"/>
      <c r="W156" s="89"/>
      <c r="X156" s="89"/>
      <c r="Y156" s="89"/>
      <c r="Z156" s="89"/>
      <c r="AA156" s="79"/>
      <c r="AB156" s="79"/>
    </row>
    <row r="157" spans="1:28" ht="12.75" customHeight="1" x14ac:dyDescent="0.15">
      <c r="A157" s="79"/>
      <c r="B157" s="89"/>
      <c r="C157" s="89"/>
      <c r="D157" s="90"/>
      <c r="E157" s="90"/>
      <c r="F157" s="89"/>
      <c r="G157" s="89"/>
      <c r="H157" s="89"/>
      <c r="I157" s="89"/>
      <c r="J157" s="89"/>
      <c r="K157" s="89"/>
      <c r="L157" s="89"/>
      <c r="M157" s="89"/>
      <c r="N157" s="89"/>
      <c r="O157" s="89"/>
      <c r="P157" s="89"/>
      <c r="Q157" s="89"/>
      <c r="R157" s="89"/>
      <c r="S157" s="89"/>
      <c r="T157" s="89"/>
      <c r="U157" s="89"/>
      <c r="V157" s="89"/>
      <c r="W157" s="89"/>
      <c r="X157" s="89"/>
      <c r="Y157" s="89"/>
      <c r="Z157" s="89"/>
      <c r="AA157" s="79"/>
      <c r="AB157" s="79"/>
    </row>
    <row r="158" spans="1:28" ht="12.75" customHeight="1" x14ac:dyDescent="0.15">
      <c r="A158" s="79"/>
      <c r="B158" s="89"/>
      <c r="C158" s="89"/>
      <c r="D158" s="90"/>
      <c r="E158" s="90"/>
      <c r="F158" s="89"/>
      <c r="G158" s="89"/>
      <c r="H158" s="89"/>
      <c r="I158" s="89"/>
      <c r="J158" s="89"/>
      <c r="K158" s="89"/>
      <c r="L158" s="89"/>
      <c r="M158" s="89"/>
      <c r="N158" s="89"/>
      <c r="O158" s="89"/>
      <c r="P158" s="89"/>
      <c r="Q158" s="89"/>
      <c r="R158" s="89"/>
      <c r="S158" s="89"/>
      <c r="T158" s="89"/>
      <c r="U158" s="89"/>
      <c r="V158" s="89"/>
      <c r="W158" s="89"/>
      <c r="X158" s="89"/>
      <c r="Y158" s="89"/>
      <c r="Z158" s="89"/>
      <c r="AA158" s="79"/>
      <c r="AB158" s="79"/>
    </row>
    <row r="159" spans="1:28" ht="12.75" customHeight="1" x14ac:dyDescent="0.15">
      <c r="A159" s="79"/>
      <c r="B159" s="89"/>
      <c r="C159" s="89"/>
      <c r="D159" s="90"/>
      <c r="E159" s="90"/>
      <c r="F159" s="89"/>
      <c r="G159" s="89"/>
      <c r="H159" s="89"/>
      <c r="I159" s="89"/>
      <c r="J159" s="89"/>
      <c r="K159" s="89"/>
      <c r="L159" s="89"/>
      <c r="M159" s="89"/>
      <c r="N159" s="89"/>
      <c r="O159" s="89"/>
      <c r="P159" s="89"/>
      <c r="Q159" s="89"/>
      <c r="R159" s="89"/>
      <c r="S159" s="89"/>
      <c r="T159" s="89"/>
      <c r="U159" s="89"/>
      <c r="V159" s="89"/>
      <c r="W159" s="89"/>
      <c r="X159" s="89"/>
      <c r="Y159" s="89"/>
      <c r="Z159" s="89"/>
      <c r="AA159" s="79"/>
      <c r="AB159" s="79"/>
    </row>
    <row r="160" spans="1:28" ht="12.75" customHeight="1" x14ac:dyDescent="0.15">
      <c r="A160" s="79"/>
      <c r="B160" s="89"/>
      <c r="C160" s="89"/>
      <c r="D160" s="90"/>
      <c r="E160" s="90"/>
      <c r="F160" s="89"/>
      <c r="G160" s="89"/>
      <c r="H160" s="89"/>
      <c r="I160" s="89"/>
      <c r="J160" s="89"/>
      <c r="K160" s="89"/>
      <c r="L160" s="89"/>
      <c r="M160" s="89"/>
      <c r="N160" s="89"/>
      <c r="O160" s="89"/>
      <c r="P160" s="89"/>
      <c r="Q160" s="89"/>
      <c r="R160" s="89"/>
      <c r="S160" s="89"/>
      <c r="T160" s="89"/>
      <c r="U160" s="89"/>
      <c r="V160" s="89"/>
      <c r="W160" s="89"/>
      <c r="X160" s="89"/>
      <c r="Y160" s="89"/>
      <c r="Z160" s="89"/>
      <c r="AA160" s="79"/>
      <c r="AB160" s="79"/>
    </row>
    <row r="161" spans="1:28" ht="12.75" customHeight="1" x14ac:dyDescent="0.15">
      <c r="A161" s="79"/>
      <c r="B161" s="89"/>
      <c r="C161" s="89"/>
      <c r="D161" s="90"/>
      <c r="E161" s="90"/>
      <c r="F161" s="89"/>
      <c r="G161" s="89"/>
      <c r="H161" s="89"/>
      <c r="I161" s="89"/>
      <c r="J161" s="89"/>
      <c r="K161" s="89"/>
      <c r="L161" s="89"/>
      <c r="M161" s="89"/>
      <c r="N161" s="89"/>
      <c r="O161" s="89"/>
      <c r="P161" s="89"/>
      <c r="Q161" s="89"/>
      <c r="R161" s="89"/>
      <c r="S161" s="89"/>
      <c r="T161" s="89"/>
      <c r="U161" s="89"/>
      <c r="V161" s="89"/>
      <c r="W161" s="89"/>
      <c r="X161" s="89"/>
      <c r="Y161" s="89"/>
      <c r="Z161" s="89"/>
      <c r="AA161" s="79"/>
      <c r="AB161" s="79"/>
    </row>
    <row r="162" spans="1:28" ht="12.75" customHeight="1" x14ac:dyDescent="0.15">
      <c r="A162" s="79"/>
      <c r="B162" s="89"/>
      <c r="C162" s="89"/>
      <c r="D162" s="90"/>
      <c r="E162" s="90"/>
      <c r="F162" s="89"/>
      <c r="G162" s="89"/>
      <c r="H162" s="89"/>
      <c r="I162" s="89"/>
      <c r="J162" s="89"/>
      <c r="K162" s="89"/>
      <c r="L162" s="89"/>
      <c r="M162" s="89"/>
      <c r="N162" s="89"/>
      <c r="O162" s="89"/>
      <c r="P162" s="89"/>
      <c r="Q162" s="89"/>
      <c r="R162" s="89"/>
      <c r="S162" s="89"/>
      <c r="T162" s="89"/>
      <c r="U162" s="89"/>
      <c r="V162" s="89"/>
      <c r="W162" s="89"/>
      <c r="X162" s="89"/>
      <c r="Y162" s="89"/>
      <c r="Z162" s="89"/>
      <c r="AA162" s="79"/>
      <c r="AB162" s="79"/>
    </row>
    <row r="163" spans="1:28" ht="12.75" customHeight="1" x14ac:dyDescent="0.15">
      <c r="A163" s="79"/>
      <c r="B163" s="89"/>
      <c r="C163" s="89"/>
      <c r="D163" s="90"/>
      <c r="E163" s="90"/>
      <c r="F163" s="89"/>
      <c r="G163" s="89"/>
      <c r="H163" s="89"/>
      <c r="I163" s="89"/>
      <c r="J163" s="89"/>
      <c r="K163" s="89"/>
      <c r="L163" s="89"/>
      <c r="M163" s="89"/>
      <c r="N163" s="89"/>
      <c r="O163" s="89"/>
      <c r="P163" s="89"/>
      <c r="Q163" s="89"/>
      <c r="R163" s="89"/>
      <c r="S163" s="89"/>
      <c r="T163" s="89"/>
      <c r="U163" s="89"/>
      <c r="V163" s="89"/>
      <c r="W163" s="89"/>
      <c r="X163" s="89"/>
      <c r="Y163" s="89"/>
      <c r="Z163" s="89"/>
      <c r="AA163" s="79"/>
      <c r="AB163" s="79"/>
    </row>
    <row r="164" spans="1:28" ht="12.75" customHeight="1" x14ac:dyDescent="0.15">
      <c r="A164" s="79"/>
      <c r="B164" s="89"/>
      <c r="C164" s="89"/>
      <c r="D164" s="90"/>
      <c r="E164" s="90"/>
      <c r="F164" s="89"/>
      <c r="G164" s="89"/>
      <c r="H164" s="89"/>
      <c r="I164" s="89"/>
      <c r="J164" s="89"/>
      <c r="K164" s="89"/>
      <c r="L164" s="89"/>
      <c r="M164" s="89"/>
      <c r="N164" s="89"/>
      <c r="O164" s="89"/>
      <c r="P164" s="89"/>
      <c r="Q164" s="89"/>
      <c r="R164" s="89"/>
      <c r="S164" s="89"/>
      <c r="T164" s="89"/>
      <c r="U164" s="89"/>
      <c r="V164" s="89"/>
      <c r="W164" s="89"/>
      <c r="X164" s="89"/>
      <c r="Y164" s="89"/>
      <c r="Z164" s="89"/>
      <c r="AA164" s="79"/>
      <c r="AB164" s="79"/>
    </row>
    <row r="165" spans="1:28" ht="12.75" customHeight="1" x14ac:dyDescent="0.15">
      <c r="A165" s="79"/>
      <c r="B165" s="89"/>
      <c r="C165" s="89"/>
      <c r="D165" s="90"/>
      <c r="E165" s="90"/>
      <c r="F165" s="89"/>
      <c r="G165" s="89"/>
      <c r="H165" s="89"/>
      <c r="I165" s="89"/>
      <c r="J165" s="89"/>
      <c r="K165" s="89"/>
      <c r="L165" s="89"/>
      <c r="M165" s="89"/>
      <c r="N165" s="89"/>
      <c r="O165" s="89"/>
      <c r="P165" s="89"/>
      <c r="Q165" s="89"/>
      <c r="R165" s="89"/>
      <c r="S165" s="89"/>
      <c r="T165" s="89"/>
      <c r="U165" s="89"/>
      <c r="V165" s="89"/>
      <c r="W165" s="89"/>
      <c r="X165" s="89"/>
      <c r="Y165" s="89"/>
      <c r="Z165" s="89"/>
      <c r="AA165" s="79"/>
      <c r="AB165" s="79"/>
    </row>
    <row r="166" spans="1:28" ht="12.75" customHeight="1" x14ac:dyDescent="0.15">
      <c r="A166" s="79"/>
      <c r="B166" s="89"/>
      <c r="C166" s="89"/>
      <c r="D166" s="90"/>
      <c r="E166" s="90"/>
      <c r="F166" s="89"/>
      <c r="G166" s="89"/>
      <c r="H166" s="89"/>
      <c r="I166" s="89"/>
      <c r="J166" s="89"/>
      <c r="K166" s="89"/>
      <c r="L166" s="89"/>
      <c r="M166" s="89"/>
      <c r="N166" s="89"/>
      <c r="O166" s="89"/>
      <c r="P166" s="89"/>
      <c r="Q166" s="89"/>
      <c r="R166" s="89"/>
      <c r="S166" s="89"/>
      <c r="T166" s="89"/>
      <c r="U166" s="89"/>
      <c r="V166" s="89"/>
      <c r="W166" s="89"/>
      <c r="X166" s="89"/>
      <c r="Y166" s="89"/>
      <c r="Z166" s="89"/>
      <c r="AA166" s="79"/>
      <c r="AB166" s="79"/>
    </row>
    <row r="167" spans="1:28" ht="12.75" customHeight="1" x14ac:dyDescent="0.15">
      <c r="A167" s="79"/>
      <c r="B167" s="89"/>
      <c r="C167" s="89"/>
      <c r="D167" s="90"/>
      <c r="E167" s="90"/>
      <c r="F167" s="89"/>
      <c r="G167" s="89"/>
      <c r="H167" s="89"/>
      <c r="I167" s="89"/>
      <c r="J167" s="89"/>
      <c r="K167" s="89"/>
      <c r="L167" s="89"/>
      <c r="M167" s="89"/>
      <c r="N167" s="89"/>
      <c r="O167" s="89"/>
      <c r="P167" s="89"/>
      <c r="Q167" s="89"/>
      <c r="R167" s="89"/>
      <c r="S167" s="89"/>
      <c r="T167" s="89"/>
      <c r="U167" s="89"/>
      <c r="V167" s="89"/>
      <c r="W167" s="89"/>
      <c r="X167" s="89"/>
      <c r="Y167" s="89"/>
      <c r="Z167" s="89"/>
      <c r="AA167" s="79"/>
      <c r="AB167" s="79"/>
    </row>
    <row r="168" spans="1:28" ht="12.75" customHeight="1" x14ac:dyDescent="0.15">
      <c r="A168" s="79"/>
      <c r="B168" s="89"/>
      <c r="C168" s="89"/>
      <c r="D168" s="90"/>
      <c r="E168" s="90"/>
      <c r="F168" s="89"/>
      <c r="G168" s="89"/>
      <c r="H168" s="89"/>
      <c r="I168" s="89"/>
      <c r="J168" s="89"/>
      <c r="K168" s="89"/>
      <c r="L168" s="89"/>
      <c r="M168" s="89"/>
      <c r="N168" s="89"/>
      <c r="O168" s="89"/>
      <c r="P168" s="89"/>
      <c r="Q168" s="89"/>
      <c r="R168" s="89"/>
      <c r="S168" s="89"/>
      <c r="T168" s="89"/>
      <c r="U168" s="89"/>
      <c r="V168" s="89"/>
      <c r="W168" s="89"/>
      <c r="X168" s="89"/>
      <c r="Y168" s="89"/>
      <c r="Z168" s="89"/>
      <c r="AA168" s="79"/>
      <c r="AB168" s="79"/>
    </row>
    <row r="169" spans="1:28" ht="12.75" customHeight="1" x14ac:dyDescent="0.15">
      <c r="A169" s="79"/>
      <c r="B169" s="89"/>
      <c r="C169" s="89"/>
      <c r="D169" s="90"/>
      <c r="E169" s="90"/>
      <c r="F169" s="89"/>
      <c r="G169" s="89"/>
      <c r="H169" s="89"/>
      <c r="I169" s="89"/>
      <c r="J169" s="89"/>
      <c r="K169" s="89"/>
      <c r="L169" s="89"/>
      <c r="M169" s="89"/>
      <c r="N169" s="89"/>
      <c r="O169" s="89"/>
      <c r="P169" s="89"/>
      <c r="Q169" s="89"/>
      <c r="R169" s="89"/>
      <c r="S169" s="89"/>
      <c r="T169" s="89"/>
      <c r="U169" s="89"/>
      <c r="V169" s="89"/>
      <c r="W169" s="89"/>
      <c r="X169" s="89"/>
      <c r="Y169" s="89"/>
      <c r="Z169" s="89"/>
      <c r="AA169" s="79"/>
      <c r="AB169" s="79"/>
    </row>
    <row r="170" spans="1:28" ht="12.75" customHeight="1" x14ac:dyDescent="0.15">
      <c r="A170" s="79"/>
      <c r="B170" s="89"/>
      <c r="C170" s="89"/>
      <c r="D170" s="90"/>
      <c r="E170" s="90"/>
      <c r="F170" s="89"/>
      <c r="G170" s="89"/>
      <c r="H170" s="89"/>
      <c r="I170" s="89"/>
      <c r="J170" s="89"/>
      <c r="K170" s="89"/>
      <c r="L170" s="89"/>
      <c r="M170" s="89"/>
      <c r="N170" s="89"/>
      <c r="O170" s="89"/>
      <c r="P170" s="89"/>
      <c r="Q170" s="89"/>
      <c r="R170" s="89"/>
      <c r="S170" s="89"/>
      <c r="T170" s="89"/>
      <c r="U170" s="89"/>
      <c r="V170" s="89"/>
      <c r="W170" s="89"/>
      <c r="X170" s="89"/>
      <c r="Y170" s="89"/>
      <c r="Z170" s="89"/>
      <c r="AA170" s="79"/>
      <c r="AB170" s="79"/>
    </row>
    <row r="171" spans="1:28" ht="12.75" customHeight="1" x14ac:dyDescent="0.15">
      <c r="A171" s="79"/>
      <c r="B171" s="89"/>
      <c r="C171" s="89"/>
      <c r="D171" s="90"/>
      <c r="E171" s="90"/>
      <c r="F171" s="89"/>
      <c r="G171" s="89"/>
      <c r="H171" s="89"/>
      <c r="I171" s="89"/>
      <c r="J171" s="89"/>
      <c r="K171" s="89"/>
      <c r="L171" s="89"/>
      <c r="M171" s="89"/>
      <c r="N171" s="89"/>
      <c r="O171" s="89"/>
      <c r="P171" s="89"/>
      <c r="Q171" s="89"/>
      <c r="R171" s="89"/>
      <c r="S171" s="89"/>
      <c r="T171" s="89"/>
      <c r="U171" s="89"/>
      <c r="V171" s="89"/>
      <c r="W171" s="89"/>
      <c r="X171" s="89"/>
      <c r="Y171" s="89"/>
      <c r="Z171" s="89"/>
      <c r="AA171" s="79"/>
      <c r="AB171" s="79"/>
    </row>
    <row r="172" spans="1:28" ht="12.75" customHeight="1" x14ac:dyDescent="0.15">
      <c r="A172" s="79"/>
      <c r="B172" s="89"/>
      <c r="C172" s="89"/>
      <c r="D172" s="90"/>
      <c r="E172" s="90"/>
      <c r="F172" s="89"/>
      <c r="G172" s="89"/>
      <c r="H172" s="89"/>
      <c r="I172" s="89"/>
      <c r="J172" s="89"/>
      <c r="K172" s="89"/>
      <c r="L172" s="89"/>
      <c r="M172" s="89"/>
      <c r="N172" s="89"/>
      <c r="O172" s="89"/>
      <c r="P172" s="89"/>
      <c r="Q172" s="89"/>
      <c r="R172" s="89"/>
      <c r="S172" s="89"/>
      <c r="T172" s="89"/>
      <c r="U172" s="89"/>
      <c r="V172" s="89"/>
      <c r="W172" s="89"/>
      <c r="X172" s="89"/>
      <c r="Y172" s="89"/>
      <c r="Z172" s="89"/>
      <c r="AA172" s="79"/>
      <c r="AB172" s="79"/>
    </row>
    <row r="173" spans="1:28" ht="12.75" customHeight="1" x14ac:dyDescent="0.15">
      <c r="A173" s="79"/>
      <c r="B173" s="89"/>
      <c r="C173" s="89"/>
      <c r="D173" s="90"/>
      <c r="E173" s="90"/>
      <c r="F173" s="89"/>
      <c r="G173" s="89"/>
      <c r="H173" s="89"/>
      <c r="I173" s="89"/>
      <c r="J173" s="89"/>
      <c r="K173" s="89"/>
      <c r="L173" s="89"/>
      <c r="M173" s="89"/>
      <c r="N173" s="89"/>
      <c r="O173" s="89"/>
      <c r="P173" s="89"/>
      <c r="Q173" s="89"/>
      <c r="R173" s="89"/>
      <c r="S173" s="89"/>
      <c r="T173" s="89"/>
      <c r="U173" s="89"/>
      <c r="V173" s="89"/>
      <c r="W173" s="89"/>
      <c r="X173" s="89"/>
      <c r="Y173" s="89"/>
      <c r="Z173" s="89"/>
      <c r="AA173" s="79"/>
      <c r="AB173" s="79"/>
    </row>
    <row r="174" spans="1:28" ht="12.75" customHeight="1" x14ac:dyDescent="0.15">
      <c r="A174" s="79"/>
      <c r="B174" s="89"/>
      <c r="C174" s="89"/>
      <c r="D174" s="90"/>
      <c r="E174" s="90"/>
      <c r="F174" s="89"/>
      <c r="G174" s="89"/>
      <c r="H174" s="89"/>
      <c r="I174" s="89"/>
      <c r="J174" s="89"/>
      <c r="K174" s="89"/>
      <c r="L174" s="89"/>
      <c r="M174" s="89"/>
      <c r="N174" s="89"/>
      <c r="O174" s="89"/>
      <c r="P174" s="89"/>
      <c r="Q174" s="89"/>
      <c r="R174" s="89"/>
      <c r="S174" s="89"/>
      <c r="T174" s="89"/>
      <c r="U174" s="89"/>
      <c r="V174" s="89"/>
      <c r="W174" s="89"/>
      <c r="X174" s="89"/>
      <c r="Y174" s="89"/>
      <c r="Z174" s="89"/>
      <c r="AA174" s="79"/>
      <c r="AB174" s="79"/>
    </row>
    <row r="175" spans="1:28" ht="12.75" customHeight="1" x14ac:dyDescent="0.15">
      <c r="A175" s="79"/>
      <c r="B175" s="89"/>
      <c r="C175" s="89"/>
      <c r="D175" s="90"/>
      <c r="E175" s="90"/>
      <c r="F175" s="89"/>
      <c r="G175" s="89"/>
      <c r="H175" s="89"/>
      <c r="I175" s="89"/>
      <c r="J175" s="89"/>
      <c r="K175" s="89"/>
      <c r="L175" s="89"/>
      <c r="M175" s="89"/>
      <c r="N175" s="89"/>
      <c r="O175" s="89"/>
      <c r="P175" s="89"/>
      <c r="Q175" s="89"/>
      <c r="R175" s="89"/>
      <c r="S175" s="89"/>
      <c r="T175" s="89"/>
      <c r="U175" s="89"/>
      <c r="V175" s="89"/>
      <c r="W175" s="89"/>
      <c r="X175" s="89"/>
      <c r="Y175" s="89"/>
      <c r="Z175" s="89"/>
      <c r="AA175" s="79"/>
      <c r="AB175" s="79"/>
    </row>
    <row r="176" spans="1:28" ht="12.75" customHeight="1" x14ac:dyDescent="0.15">
      <c r="A176" s="79"/>
      <c r="B176" s="89"/>
      <c r="C176" s="89"/>
      <c r="D176" s="90"/>
      <c r="E176" s="90"/>
      <c r="F176" s="89"/>
      <c r="G176" s="89"/>
      <c r="H176" s="89"/>
      <c r="I176" s="89"/>
      <c r="J176" s="89"/>
      <c r="K176" s="89"/>
      <c r="L176" s="89"/>
      <c r="M176" s="89"/>
      <c r="N176" s="89"/>
      <c r="O176" s="89"/>
      <c r="P176" s="89"/>
      <c r="Q176" s="89"/>
      <c r="R176" s="89"/>
      <c r="S176" s="89"/>
      <c r="T176" s="89"/>
      <c r="U176" s="89"/>
      <c r="V176" s="89"/>
      <c r="W176" s="89"/>
      <c r="X176" s="89"/>
      <c r="Y176" s="89"/>
      <c r="Z176" s="89"/>
      <c r="AA176" s="79"/>
      <c r="AB176" s="79"/>
    </row>
    <row r="177" spans="1:28" ht="12.75" customHeight="1" x14ac:dyDescent="0.15">
      <c r="A177" s="79"/>
      <c r="B177" s="89"/>
      <c r="C177" s="89"/>
      <c r="D177" s="90"/>
      <c r="E177" s="90"/>
      <c r="F177" s="89"/>
      <c r="G177" s="89"/>
      <c r="H177" s="89"/>
      <c r="I177" s="89"/>
      <c r="J177" s="89"/>
      <c r="K177" s="89"/>
      <c r="L177" s="89"/>
      <c r="M177" s="89"/>
      <c r="N177" s="89"/>
      <c r="O177" s="89"/>
      <c r="P177" s="89"/>
      <c r="Q177" s="89"/>
      <c r="R177" s="89"/>
      <c r="S177" s="89"/>
      <c r="T177" s="89"/>
      <c r="U177" s="89"/>
      <c r="V177" s="89"/>
      <c r="W177" s="89"/>
      <c r="X177" s="89"/>
      <c r="Y177" s="89"/>
      <c r="Z177" s="89"/>
      <c r="AA177" s="79"/>
      <c r="AB177" s="79"/>
    </row>
    <row r="178" spans="1:28" ht="12.75" customHeight="1" x14ac:dyDescent="0.15">
      <c r="A178" s="79"/>
      <c r="B178" s="89"/>
      <c r="C178" s="89"/>
      <c r="D178" s="90"/>
      <c r="E178" s="90"/>
      <c r="F178" s="89"/>
      <c r="G178" s="89"/>
      <c r="H178" s="89"/>
      <c r="I178" s="89"/>
      <c r="J178" s="89"/>
      <c r="K178" s="89"/>
      <c r="L178" s="89"/>
      <c r="M178" s="89"/>
      <c r="N178" s="89"/>
      <c r="O178" s="89"/>
      <c r="P178" s="89"/>
      <c r="Q178" s="89"/>
      <c r="R178" s="89"/>
      <c r="S178" s="89"/>
      <c r="T178" s="89"/>
      <c r="U178" s="89"/>
      <c r="V178" s="89"/>
      <c r="W178" s="89"/>
      <c r="X178" s="89"/>
      <c r="Y178" s="89"/>
      <c r="Z178" s="89"/>
      <c r="AA178" s="79"/>
      <c r="AB178" s="79"/>
    </row>
    <row r="179" spans="1:28" ht="12.75" customHeight="1" x14ac:dyDescent="0.15">
      <c r="A179" s="79"/>
      <c r="B179" s="89"/>
      <c r="C179" s="89"/>
      <c r="D179" s="90"/>
      <c r="E179" s="90"/>
      <c r="F179" s="89"/>
      <c r="G179" s="89"/>
      <c r="H179" s="89"/>
      <c r="I179" s="89"/>
      <c r="J179" s="89"/>
      <c r="K179" s="89"/>
      <c r="L179" s="89"/>
      <c r="M179" s="89"/>
      <c r="N179" s="89"/>
      <c r="O179" s="89"/>
      <c r="P179" s="89"/>
      <c r="Q179" s="89"/>
      <c r="R179" s="89"/>
      <c r="S179" s="89"/>
      <c r="T179" s="89"/>
      <c r="U179" s="89"/>
      <c r="V179" s="89"/>
      <c r="W179" s="89"/>
      <c r="X179" s="89"/>
      <c r="Y179" s="89"/>
      <c r="Z179" s="89"/>
      <c r="AA179" s="79"/>
      <c r="AB179" s="79"/>
    </row>
    <row r="180" spans="1:28" ht="12.75" customHeight="1" x14ac:dyDescent="0.15">
      <c r="A180" s="79"/>
      <c r="B180" s="89"/>
      <c r="C180" s="89"/>
      <c r="D180" s="90"/>
      <c r="E180" s="90"/>
      <c r="F180" s="89"/>
      <c r="G180" s="89"/>
      <c r="H180" s="89"/>
      <c r="I180" s="89"/>
      <c r="J180" s="89"/>
      <c r="K180" s="89"/>
      <c r="L180" s="89"/>
      <c r="M180" s="89"/>
      <c r="N180" s="89"/>
      <c r="O180" s="89"/>
      <c r="P180" s="89"/>
      <c r="Q180" s="89"/>
      <c r="R180" s="89"/>
      <c r="S180" s="89"/>
      <c r="T180" s="89"/>
      <c r="U180" s="89"/>
      <c r="V180" s="89"/>
      <c r="W180" s="89"/>
      <c r="X180" s="89"/>
      <c r="Y180" s="89"/>
      <c r="Z180" s="89"/>
      <c r="AA180" s="79"/>
      <c r="AB180" s="79"/>
    </row>
    <row r="181" spans="1:28" ht="12.75" customHeight="1" x14ac:dyDescent="0.15">
      <c r="A181" s="79"/>
      <c r="B181" s="89"/>
      <c r="C181" s="89"/>
      <c r="D181" s="90"/>
      <c r="E181" s="90"/>
      <c r="F181" s="89"/>
      <c r="G181" s="89"/>
      <c r="H181" s="89"/>
      <c r="I181" s="89"/>
      <c r="J181" s="89"/>
      <c r="K181" s="89"/>
      <c r="L181" s="89"/>
      <c r="M181" s="89"/>
      <c r="N181" s="89"/>
      <c r="O181" s="89"/>
      <c r="P181" s="89"/>
      <c r="Q181" s="89"/>
      <c r="R181" s="89"/>
      <c r="S181" s="89"/>
      <c r="T181" s="89"/>
      <c r="U181" s="89"/>
      <c r="V181" s="89"/>
      <c r="W181" s="89"/>
      <c r="X181" s="89"/>
      <c r="Y181" s="89"/>
      <c r="Z181" s="89"/>
      <c r="AA181" s="79"/>
      <c r="AB181" s="79"/>
    </row>
    <row r="182" spans="1:28" ht="12.75" customHeight="1" x14ac:dyDescent="0.15">
      <c r="A182" s="79"/>
      <c r="B182" s="89"/>
      <c r="C182" s="89"/>
      <c r="D182" s="90"/>
      <c r="E182" s="90"/>
      <c r="F182" s="89"/>
      <c r="G182" s="89"/>
      <c r="H182" s="89"/>
      <c r="I182" s="89"/>
      <c r="J182" s="89"/>
      <c r="K182" s="89"/>
      <c r="L182" s="89"/>
      <c r="M182" s="89"/>
      <c r="N182" s="89"/>
      <c r="O182" s="89"/>
      <c r="P182" s="89"/>
      <c r="Q182" s="89"/>
      <c r="R182" s="89"/>
      <c r="S182" s="89"/>
      <c r="T182" s="89"/>
      <c r="U182" s="89"/>
      <c r="V182" s="89"/>
      <c r="W182" s="89"/>
      <c r="X182" s="89"/>
      <c r="Y182" s="89"/>
      <c r="Z182" s="89"/>
      <c r="AA182" s="79"/>
      <c r="AB182" s="79"/>
    </row>
    <row r="183" spans="1:28" ht="12.75" customHeight="1" x14ac:dyDescent="0.15">
      <c r="A183" s="79"/>
      <c r="B183" s="89"/>
      <c r="C183" s="89"/>
      <c r="D183" s="90"/>
      <c r="E183" s="90"/>
      <c r="F183" s="89"/>
      <c r="G183" s="89"/>
      <c r="H183" s="89"/>
      <c r="I183" s="89"/>
      <c r="J183" s="89"/>
      <c r="K183" s="89"/>
      <c r="L183" s="89"/>
      <c r="M183" s="89"/>
      <c r="N183" s="89"/>
      <c r="O183" s="89"/>
      <c r="P183" s="89"/>
      <c r="Q183" s="89"/>
      <c r="R183" s="89"/>
      <c r="S183" s="89"/>
      <c r="T183" s="89"/>
      <c r="U183" s="89"/>
      <c r="V183" s="89"/>
      <c r="W183" s="89"/>
      <c r="X183" s="89"/>
      <c r="Y183" s="89"/>
      <c r="Z183" s="89"/>
      <c r="AA183" s="79"/>
      <c r="AB183" s="79"/>
    </row>
    <row r="184" spans="1:28" ht="12.75" customHeight="1" x14ac:dyDescent="0.15">
      <c r="A184" s="79"/>
      <c r="B184" s="89"/>
      <c r="C184" s="89"/>
      <c r="D184" s="90"/>
      <c r="E184" s="90"/>
      <c r="F184" s="89"/>
      <c r="G184" s="89"/>
      <c r="H184" s="89"/>
      <c r="I184" s="89"/>
      <c r="J184" s="89"/>
      <c r="K184" s="89"/>
      <c r="L184" s="89"/>
      <c r="M184" s="89"/>
      <c r="N184" s="89"/>
      <c r="O184" s="89"/>
      <c r="P184" s="89"/>
      <c r="Q184" s="89"/>
      <c r="R184" s="89"/>
      <c r="S184" s="89"/>
      <c r="T184" s="89"/>
      <c r="U184" s="89"/>
      <c r="V184" s="89"/>
      <c r="W184" s="89"/>
      <c r="X184" s="89"/>
      <c r="Y184" s="89"/>
      <c r="Z184" s="89"/>
      <c r="AA184" s="79"/>
      <c r="AB184" s="79"/>
    </row>
    <row r="185" spans="1:28" ht="12.75" customHeight="1" x14ac:dyDescent="0.15">
      <c r="A185" s="79"/>
      <c r="B185" s="89"/>
      <c r="C185" s="89"/>
      <c r="D185" s="90"/>
      <c r="E185" s="90"/>
      <c r="F185" s="89"/>
      <c r="G185" s="89"/>
      <c r="H185" s="89"/>
      <c r="I185" s="89"/>
      <c r="J185" s="89"/>
      <c r="K185" s="89"/>
      <c r="L185" s="89"/>
      <c r="M185" s="89"/>
      <c r="N185" s="89"/>
      <c r="O185" s="89"/>
      <c r="P185" s="89"/>
      <c r="Q185" s="89"/>
      <c r="R185" s="89"/>
      <c r="S185" s="89"/>
      <c r="T185" s="89"/>
      <c r="U185" s="89"/>
      <c r="V185" s="89"/>
      <c r="W185" s="89"/>
      <c r="X185" s="89"/>
      <c r="Y185" s="89"/>
      <c r="Z185" s="89"/>
      <c r="AA185" s="79"/>
      <c r="AB185" s="79"/>
    </row>
    <row r="186" spans="1:28" ht="12.75" customHeight="1" x14ac:dyDescent="0.15">
      <c r="A186" s="79"/>
      <c r="B186" s="89"/>
      <c r="C186" s="89"/>
      <c r="D186" s="90"/>
      <c r="E186" s="90"/>
      <c r="F186" s="89"/>
      <c r="G186" s="89"/>
      <c r="H186" s="89"/>
      <c r="I186" s="89"/>
      <c r="J186" s="89"/>
      <c r="K186" s="89"/>
      <c r="L186" s="89"/>
      <c r="M186" s="89"/>
      <c r="N186" s="89"/>
      <c r="O186" s="89"/>
      <c r="P186" s="89"/>
      <c r="Q186" s="89"/>
      <c r="R186" s="89"/>
      <c r="S186" s="89"/>
      <c r="T186" s="89"/>
      <c r="U186" s="89"/>
      <c r="V186" s="89"/>
      <c r="W186" s="89"/>
      <c r="X186" s="89"/>
      <c r="Y186" s="89"/>
      <c r="Z186" s="89"/>
      <c r="AA186" s="79"/>
      <c r="AB186" s="79"/>
    </row>
    <row r="187" spans="1:28" ht="12.75" customHeight="1" x14ac:dyDescent="0.15">
      <c r="A187" s="79"/>
      <c r="B187" s="89"/>
      <c r="C187" s="89"/>
      <c r="D187" s="90"/>
      <c r="E187" s="90"/>
      <c r="F187" s="89"/>
      <c r="G187" s="89"/>
      <c r="H187" s="89"/>
      <c r="I187" s="89"/>
      <c r="J187" s="89"/>
      <c r="K187" s="89"/>
      <c r="L187" s="89"/>
      <c r="M187" s="89"/>
      <c r="N187" s="89"/>
      <c r="O187" s="89"/>
      <c r="P187" s="89"/>
      <c r="Q187" s="89"/>
      <c r="R187" s="89"/>
      <c r="S187" s="89"/>
      <c r="T187" s="89"/>
      <c r="U187" s="89"/>
      <c r="V187" s="89"/>
      <c r="W187" s="89"/>
      <c r="X187" s="89"/>
      <c r="Y187" s="89"/>
      <c r="Z187" s="89"/>
      <c r="AA187" s="79"/>
      <c r="AB187" s="79"/>
    </row>
    <row r="188" spans="1:28" ht="12.75" customHeight="1" x14ac:dyDescent="0.15">
      <c r="A188" s="79"/>
      <c r="B188" s="89"/>
      <c r="C188" s="89"/>
      <c r="D188" s="90"/>
      <c r="E188" s="90"/>
      <c r="F188" s="89"/>
      <c r="G188" s="89"/>
      <c r="H188" s="89"/>
      <c r="I188" s="89"/>
      <c r="J188" s="89"/>
      <c r="K188" s="89"/>
      <c r="L188" s="89"/>
      <c r="M188" s="89"/>
      <c r="N188" s="89"/>
      <c r="O188" s="89"/>
      <c r="P188" s="89"/>
      <c r="Q188" s="89"/>
      <c r="R188" s="89"/>
      <c r="S188" s="89"/>
      <c r="T188" s="89"/>
      <c r="U188" s="89"/>
      <c r="V188" s="89"/>
      <c r="W188" s="89"/>
      <c r="X188" s="89"/>
      <c r="Y188" s="89"/>
      <c r="Z188" s="89"/>
      <c r="AA188" s="79"/>
      <c r="AB188" s="79"/>
    </row>
    <row r="189" spans="1:28" ht="12.75" customHeight="1" x14ac:dyDescent="0.15">
      <c r="A189" s="79"/>
      <c r="B189" s="89"/>
      <c r="C189" s="89"/>
      <c r="D189" s="90"/>
      <c r="E189" s="90"/>
      <c r="F189" s="89"/>
      <c r="G189" s="89"/>
      <c r="H189" s="89"/>
      <c r="I189" s="89"/>
      <c r="J189" s="89"/>
      <c r="K189" s="89"/>
      <c r="L189" s="89"/>
      <c r="M189" s="89"/>
      <c r="N189" s="89"/>
      <c r="O189" s="89"/>
      <c r="P189" s="89"/>
      <c r="Q189" s="89"/>
      <c r="R189" s="89"/>
      <c r="S189" s="89"/>
      <c r="T189" s="89"/>
      <c r="U189" s="89"/>
      <c r="V189" s="89"/>
      <c r="W189" s="89"/>
      <c r="X189" s="89"/>
      <c r="Y189" s="89"/>
      <c r="Z189" s="89"/>
      <c r="AA189" s="79"/>
      <c r="AB189" s="79"/>
    </row>
    <row r="190" spans="1:28" ht="12.75" customHeight="1" x14ac:dyDescent="0.15">
      <c r="A190" s="79"/>
      <c r="B190" s="89"/>
      <c r="C190" s="89"/>
      <c r="D190" s="90"/>
      <c r="E190" s="90"/>
      <c r="F190" s="89"/>
      <c r="G190" s="89"/>
      <c r="H190" s="89"/>
      <c r="I190" s="89"/>
      <c r="J190" s="89"/>
      <c r="K190" s="89"/>
      <c r="L190" s="89"/>
      <c r="M190" s="89"/>
      <c r="N190" s="89"/>
      <c r="O190" s="89"/>
      <c r="P190" s="89"/>
      <c r="Q190" s="89"/>
      <c r="R190" s="89"/>
      <c r="S190" s="89"/>
      <c r="T190" s="89"/>
      <c r="U190" s="89"/>
      <c r="V190" s="89"/>
      <c r="W190" s="89"/>
      <c r="X190" s="89"/>
      <c r="Y190" s="89"/>
      <c r="Z190" s="89"/>
      <c r="AA190" s="79"/>
      <c r="AB190" s="79"/>
    </row>
    <row r="191" spans="1:28" ht="12.75" customHeight="1" x14ac:dyDescent="0.15">
      <c r="A191" s="79"/>
      <c r="B191" s="89"/>
      <c r="C191" s="89"/>
      <c r="D191" s="90"/>
      <c r="E191" s="90"/>
      <c r="F191" s="89"/>
      <c r="G191" s="89"/>
      <c r="H191" s="89"/>
      <c r="I191" s="89"/>
      <c r="J191" s="89"/>
      <c r="K191" s="89"/>
      <c r="L191" s="89"/>
      <c r="M191" s="89"/>
      <c r="N191" s="89"/>
      <c r="O191" s="89"/>
      <c r="P191" s="89"/>
      <c r="Q191" s="89"/>
      <c r="R191" s="89"/>
      <c r="S191" s="89"/>
      <c r="T191" s="89"/>
      <c r="U191" s="89"/>
      <c r="V191" s="89"/>
      <c r="W191" s="89"/>
      <c r="X191" s="89"/>
      <c r="Y191" s="89"/>
      <c r="Z191" s="89"/>
      <c r="AA191" s="79"/>
      <c r="AB191" s="79"/>
    </row>
    <row r="192" spans="1:28" ht="12.75" customHeight="1" x14ac:dyDescent="0.15">
      <c r="A192" s="79"/>
      <c r="B192" s="89"/>
      <c r="C192" s="89"/>
      <c r="D192" s="90"/>
      <c r="E192" s="90"/>
      <c r="F192" s="89"/>
      <c r="G192" s="89"/>
      <c r="H192" s="89"/>
      <c r="I192" s="89"/>
      <c r="J192" s="89"/>
      <c r="K192" s="89"/>
      <c r="L192" s="89"/>
      <c r="M192" s="89"/>
      <c r="N192" s="89"/>
      <c r="O192" s="89"/>
      <c r="P192" s="89"/>
      <c r="Q192" s="89"/>
      <c r="R192" s="89"/>
      <c r="S192" s="89"/>
      <c r="T192" s="89"/>
      <c r="U192" s="89"/>
      <c r="V192" s="89"/>
      <c r="W192" s="89"/>
      <c r="X192" s="89"/>
      <c r="Y192" s="89"/>
      <c r="Z192" s="89"/>
      <c r="AA192" s="79"/>
      <c r="AB192" s="79"/>
    </row>
    <row r="193" spans="1:28" ht="12.75" customHeight="1" x14ac:dyDescent="0.15">
      <c r="A193" s="79"/>
      <c r="B193" s="89"/>
      <c r="C193" s="89"/>
      <c r="D193" s="90"/>
      <c r="E193" s="90"/>
      <c r="F193" s="89"/>
      <c r="G193" s="89"/>
      <c r="H193" s="89"/>
      <c r="I193" s="89"/>
      <c r="J193" s="89"/>
      <c r="K193" s="89"/>
      <c r="L193" s="89"/>
      <c r="M193" s="89"/>
      <c r="N193" s="89"/>
      <c r="O193" s="89"/>
      <c r="P193" s="89"/>
      <c r="Q193" s="89"/>
      <c r="R193" s="89"/>
      <c r="S193" s="89"/>
      <c r="T193" s="89"/>
      <c r="U193" s="89"/>
      <c r="V193" s="89"/>
      <c r="W193" s="89"/>
      <c r="X193" s="89"/>
      <c r="Y193" s="89"/>
      <c r="Z193" s="89"/>
      <c r="AA193" s="79"/>
      <c r="AB193" s="79"/>
    </row>
    <row r="194" spans="1:28" ht="12.75" customHeight="1" x14ac:dyDescent="0.15">
      <c r="A194" s="79"/>
      <c r="B194" s="89"/>
      <c r="C194" s="89"/>
      <c r="D194" s="90"/>
      <c r="E194" s="90"/>
      <c r="F194" s="89"/>
      <c r="G194" s="89"/>
      <c r="H194" s="89"/>
      <c r="I194" s="89"/>
      <c r="J194" s="89"/>
      <c r="K194" s="89"/>
      <c r="L194" s="89"/>
      <c r="M194" s="89"/>
      <c r="N194" s="89"/>
      <c r="O194" s="89"/>
      <c r="P194" s="89"/>
      <c r="Q194" s="89"/>
      <c r="R194" s="89"/>
      <c r="S194" s="89"/>
      <c r="T194" s="89"/>
      <c r="U194" s="89"/>
      <c r="V194" s="89"/>
      <c r="W194" s="89"/>
      <c r="X194" s="89"/>
      <c r="Y194" s="89"/>
      <c r="Z194" s="89"/>
      <c r="AA194" s="79"/>
      <c r="AB194" s="79"/>
    </row>
    <row r="195" spans="1:28" ht="12.75" customHeight="1" x14ac:dyDescent="0.15">
      <c r="A195" s="79"/>
      <c r="B195" s="89"/>
      <c r="C195" s="89"/>
      <c r="D195" s="90"/>
      <c r="E195" s="90"/>
      <c r="F195" s="89"/>
      <c r="G195" s="89"/>
      <c r="H195" s="89"/>
      <c r="I195" s="89"/>
      <c r="J195" s="89"/>
      <c r="K195" s="89"/>
      <c r="L195" s="89"/>
      <c r="M195" s="89"/>
      <c r="N195" s="89"/>
      <c r="O195" s="89"/>
      <c r="P195" s="89"/>
      <c r="Q195" s="89"/>
      <c r="R195" s="89"/>
      <c r="S195" s="89"/>
      <c r="T195" s="89"/>
      <c r="U195" s="89"/>
      <c r="V195" s="89"/>
      <c r="W195" s="89"/>
      <c r="X195" s="89"/>
      <c r="Y195" s="89"/>
      <c r="Z195" s="89"/>
      <c r="AA195" s="79"/>
      <c r="AB195" s="79"/>
    </row>
    <row r="196" spans="1:28" ht="12.75" customHeight="1" x14ac:dyDescent="0.15">
      <c r="A196" s="79"/>
      <c r="B196" s="89"/>
      <c r="C196" s="89"/>
      <c r="D196" s="90"/>
      <c r="E196" s="90"/>
      <c r="F196" s="89"/>
      <c r="G196" s="89"/>
      <c r="H196" s="89"/>
      <c r="I196" s="89"/>
      <c r="J196" s="89"/>
      <c r="K196" s="89"/>
      <c r="L196" s="89"/>
      <c r="M196" s="89"/>
      <c r="N196" s="89"/>
      <c r="O196" s="89"/>
      <c r="P196" s="89"/>
      <c r="Q196" s="89"/>
      <c r="R196" s="89"/>
      <c r="S196" s="89"/>
      <c r="T196" s="89"/>
      <c r="U196" s="89"/>
      <c r="V196" s="89"/>
      <c r="W196" s="89"/>
      <c r="X196" s="89"/>
      <c r="Y196" s="89"/>
      <c r="Z196" s="89"/>
      <c r="AA196" s="79"/>
      <c r="AB196" s="79"/>
    </row>
    <row r="197" spans="1:28" ht="12.75" customHeight="1" x14ac:dyDescent="0.15">
      <c r="A197" s="79"/>
      <c r="B197" s="89"/>
      <c r="C197" s="89"/>
      <c r="D197" s="90"/>
      <c r="E197" s="90"/>
      <c r="F197" s="89"/>
      <c r="G197" s="89"/>
      <c r="H197" s="89"/>
      <c r="I197" s="89"/>
      <c r="J197" s="89"/>
      <c r="K197" s="89"/>
      <c r="L197" s="89"/>
      <c r="M197" s="89"/>
      <c r="N197" s="89"/>
      <c r="O197" s="89"/>
      <c r="P197" s="89"/>
      <c r="Q197" s="89"/>
      <c r="R197" s="89"/>
      <c r="S197" s="89"/>
      <c r="T197" s="89"/>
      <c r="U197" s="89"/>
      <c r="V197" s="89"/>
      <c r="W197" s="89"/>
      <c r="X197" s="89"/>
      <c r="Y197" s="89"/>
      <c r="Z197" s="89"/>
      <c r="AA197" s="79"/>
      <c r="AB197" s="79"/>
    </row>
    <row r="198" spans="1:28" ht="12.75" customHeight="1" x14ac:dyDescent="0.15">
      <c r="A198" s="79"/>
      <c r="B198" s="89"/>
      <c r="C198" s="89"/>
      <c r="D198" s="90"/>
      <c r="E198" s="90"/>
      <c r="F198" s="89"/>
      <c r="G198" s="89"/>
      <c r="H198" s="89"/>
      <c r="I198" s="89"/>
      <c r="J198" s="89"/>
      <c r="K198" s="89"/>
      <c r="L198" s="89"/>
      <c r="M198" s="89"/>
      <c r="N198" s="89"/>
      <c r="O198" s="89"/>
      <c r="P198" s="89"/>
      <c r="Q198" s="89"/>
      <c r="R198" s="89"/>
      <c r="S198" s="89"/>
      <c r="T198" s="89"/>
      <c r="U198" s="89"/>
      <c r="V198" s="89"/>
      <c r="W198" s="89"/>
      <c r="X198" s="89"/>
      <c r="Y198" s="89"/>
      <c r="Z198" s="89"/>
      <c r="AA198" s="79"/>
      <c r="AB198" s="79"/>
    </row>
    <row r="199" spans="1:28" ht="12.75" customHeight="1" x14ac:dyDescent="0.15">
      <c r="A199" s="79"/>
      <c r="B199" s="89"/>
      <c r="C199" s="89"/>
      <c r="D199" s="90"/>
      <c r="E199" s="90"/>
      <c r="F199" s="89"/>
      <c r="G199" s="89"/>
      <c r="H199" s="89"/>
      <c r="I199" s="89"/>
      <c r="J199" s="89"/>
      <c r="K199" s="89"/>
      <c r="L199" s="89"/>
      <c r="M199" s="89"/>
      <c r="N199" s="89"/>
      <c r="O199" s="89"/>
      <c r="P199" s="89"/>
      <c r="Q199" s="89"/>
      <c r="R199" s="89"/>
      <c r="S199" s="89"/>
      <c r="T199" s="89"/>
      <c r="U199" s="89"/>
      <c r="V199" s="89"/>
      <c r="W199" s="89"/>
      <c r="X199" s="89"/>
      <c r="Y199" s="89"/>
      <c r="Z199" s="89"/>
      <c r="AA199" s="79"/>
      <c r="AB199" s="79"/>
    </row>
    <row r="200" spans="1:28" ht="12.75" customHeight="1" x14ac:dyDescent="0.15">
      <c r="A200" s="79"/>
      <c r="B200" s="89"/>
      <c r="C200" s="89"/>
      <c r="D200" s="90"/>
      <c r="E200" s="90"/>
      <c r="F200" s="89"/>
      <c r="G200" s="89"/>
      <c r="H200" s="89"/>
      <c r="I200" s="89"/>
      <c r="J200" s="89"/>
      <c r="K200" s="89"/>
      <c r="L200" s="89"/>
      <c r="M200" s="89"/>
      <c r="N200" s="89"/>
      <c r="O200" s="89"/>
      <c r="P200" s="89"/>
      <c r="Q200" s="89"/>
      <c r="R200" s="89"/>
      <c r="S200" s="89"/>
      <c r="T200" s="89"/>
      <c r="U200" s="89"/>
      <c r="V200" s="89"/>
      <c r="W200" s="89"/>
      <c r="X200" s="89"/>
      <c r="Y200" s="89"/>
      <c r="Z200" s="89"/>
      <c r="AA200" s="79"/>
      <c r="AB200" s="79"/>
    </row>
    <row r="201" spans="1:28" ht="12.75" customHeight="1" x14ac:dyDescent="0.15">
      <c r="A201" s="79"/>
      <c r="B201" s="89"/>
      <c r="C201" s="89"/>
      <c r="D201" s="90"/>
      <c r="E201" s="90"/>
      <c r="F201" s="89"/>
      <c r="G201" s="89"/>
      <c r="H201" s="89"/>
      <c r="I201" s="89"/>
      <c r="J201" s="89"/>
      <c r="K201" s="89"/>
      <c r="L201" s="89"/>
      <c r="M201" s="89"/>
      <c r="N201" s="89"/>
      <c r="O201" s="89"/>
      <c r="P201" s="89"/>
      <c r="Q201" s="89"/>
      <c r="R201" s="89"/>
      <c r="S201" s="89"/>
      <c r="T201" s="89"/>
      <c r="U201" s="89"/>
      <c r="V201" s="89"/>
      <c r="W201" s="89"/>
      <c r="X201" s="89"/>
      <c r="Y201" s="89"/>
      <c r="Z201" s="89"/>
      <c r="AA201" s="79"/>
      <c r="AB201" s="79"/>
    </row>
    <row r="202" spans="1:28" ht="12.75" customHeight="1" x14ac:dyDescent="0.15">
      <c r="A202" s="79"/>
      <c r="B202" s="89"/>
      <c r="C202" s="89"/>
      <c r="D202" s="90"/>
      <c r="E202" s="90"/>
      <c r="F202" s="89"/>
      <c r="G202" s="89"/>
      <c r="H202" s="89"/>
      <c r="I202" s="89"/>
      <c r="J202" s="89"/>
      <c r="K202" s="89"/>
      <c r="L202" s="89"/>
      <c r="M202" s="89"/>
      <c r="N202" s="89"/>
      <c r="O202" s="89"/>
      <c r="P202" s="89"/>
      <c r="Q202" s="89"/>
      <c r="R202" s="89"/>
      <c r="S202" s="89"/>
      <c r="T202" s="89"/>
      <c r="U202" s="89"/>
      <c r="V202" s="89"/>
      <c r="W202" s="89"/>
      <c r="X202" s="89"/>
      <c r="Y202" s="89"/>
      <c r="Z202" s="89"/>
      <c r="AA202" s="79"/>
      <c r="AB202" s="79"/>
    </row>
    <row r="203" spans="1:28" ht="12.75" customHeight="1" x14ac:dyDescent="0.15">
      <c r="A203" s="79"/>
      <c r="B203" s="89"/>
      <c r="C203" s="89"/>
      <c r="D203" s="90"/>
      <c r="E203" s="90"/>
      <c r="F203" s="89"/>
      <c r="G203" s="89"/>
      <c r="H203" s="89"/>
      <c r="I203" s="89"/>
      <c r="J203" s="89"/>
      <c r="K203" s="89"/>
      <c r="L203" s="89"/>
      <c r="M203" s="89"/>
      <c r="N203" s="89"/>
      <c r="O203" s="89"/>
      <c r="P203" s="89"/>
      <c r="Q203" s="89"/>
      <c r="R203" s="89"/>
      <c r="S203" s="89"/>
      <c r="T203" s="89"/>
      <c r="U203" s="89"/>
      <c r="V203" s="89"/>
      <c r="W203" s="89"/>
      <c r="X203" s="89"/>
      <c r="Y203" s="89"/>
      <c r="Z203" s="89"/>
      <c r="AA203" s="79"/>
      <c r="AB203" s="79"/>
    </row>
    <row r="204" spans="1:28" ht="12.75" customHeight="1" x14ac:dyDescent="0.15">
      <c r="A204" s="79"/>
      <c r="B204" s="89"/>
      <c r="C204" s="89"/>
      <c r="D204" s="90"/>
      <c r="E204" s="90"/>
      <c r="F204" s="89"/>
      <c r="G204" s="89"/>
      <c r="H204" s="89"/>
      <c r="I204" s="89"/>
      <c r="J204" s="89"/>
      <c r="K204" s="89"/>
      <c r="L204" s="89"/>
      <c r="M204" s="89"/>
      <c r="N204" s="89"/>
      <c r="O204" s="89"/>
      <c r="P204" s="89"/>
      <c r="Q204" s="89"/>
      <c r="R204" s="89"/>
      <c r="S204" s="89"/>
      <c r="T204" s="89"/>
      <c r="U204" s="89"/>
      <c r="V204" s="89"/>
      <c r="W204" s="89"/>
      <c r="X204" s="89"/>
      <c r="Y204" s="89"/>
      <c r="Z204" s="89"/>
      <c r="AA204" s="79"/>
      <c r="AB204" s="79"/>
    </row>
    <row r="205" spans="1:28" ht="12.75" customHeight="1" x14ac:dyDescent="0.15">
      <c r="A205" s="79"/>
      <c r="B205" s="89"/>
      <c r="C205" s="89"/>
      <c r="D205" s="90"/>
      <c r="E205" s="90"/>
      <c r="F205" s="89"/>
      <c r="G205" s="89"/>
      <c r="H205" s="89"/>
      <c r="I205" s="89"/>
      <c r="J205" s="89"/>
      <c r="K205" s="89"/>
      <c r="L205" s="89"/>
      <c r="M205" s="89"/>
      <c r="N205" s="89"/>
      <c r="O205" s="89"/>
      <c r="P205" s="89"/>
      <c r="Q205" s="89"/>
      <c r="R205" s="89"/>
      <c r="S205" s="89"/>
      <c r="T205" s="89"/>
      <c r="U205" s="89"/>
      <c r="V205" s="89"/>
      <c r="W205" s="89"/>
      <c r="X205" s="89"/>
      <c r="Y205" s="89"/>
      <c r="Z205" s="89"/>
      <c r="AA205" s="79"/>
      <c r="AB205" s="79"/>
    </row>
    <row r="206" spans="1:28" ht="12.75" customHeight="1" x14ac:dyDescent="0.15">
      <c r="A206" s="79"/>
      <c r="B206" s="89"/>
      <c r="C206" s="89"/>
      <c r="D206" s="90"/>
      <c r="E206" s="90"/>
      <c r="F206" s="89"/>
      <c r="G206" s="89"/>
      <c r="H206" s="89"/>
      <c r="I206" s="89"/>
      <c r="J206" s="89"/>
      <c r="K206" s="89"/>
      <c r="L206" s="89"/>
      <c r="M206" s="89"/>
      <c r="N206" s="89"/>
      <c r="O206" s="89"/>
      <c r="P206" s="89"/>
      <c r="Q206" s="89"/>
      <c r="R206" s="89"/>
      <c r="S206" s="89"/>
      <c r="T206" s="89"/>
      <c r="U206" s="89"/>
      <c r="V206" s="89"/>
      <c r="W206" s="89"/>
      <c r="X206" s="89"/>
      <c r="Y206" s="89"/>
      <c r="Z206" s="89"/>
      <c r="AA206" s="79"/>
      <c r="AB206" s="79"/>
    </row>
    <row r="207" spans="1:28" ht="12.75" customHeight="1" x14ac:dyDescent="0.15">
      <c r="A207" s="79"/>
      <c r="B207" s="89"/>
      <c r="C207" s="89"/>
      <c r="D207" s="90"/>
      <c r="E207" s="90"/>
      <c r="F207" s="89"/>
      <c r="G207" s="89"/>
      <c r="H207" s="89"/>
      <c r="I207" s="89"/>
      <c r="J207" s="89"/>
      <c r="K207" s="89"/>
      <c r="L207" s="89"/>
      <c r="M207" s="89"/>
      <c r="N207" s="89"/>
      <c r="O207" s="89"/>
      <c r="P207" s="89"/>
      <c r="Q207" s="89"/>
      <c r="R207" s="89"/>
      <c r="S207" s="89"/>
      <c r="T207" s="89"/>
      <c r="U207" s="89"/>
      <c r="V207" s="89"/>
      <c r="W207" s="89"/>
      <c r="X207" s="89"/>
      <c r="Y207" s="89"/>
      <c r="Z207" s="89"/>
      <c r="AA207" s="79"/>
      <c r="AB207" s="79"/>
    </row>
    <row r="208" spans="1:28" ht="12.75" customHeight="1" x14ac:dyDescent="0.15">
      <c r="A208" s="79"/>
      <c r="B208" s="89"/>
      <c r="C208" s="89"/>
      <c r="D208" s="90"/>
      <c r="E208" s="90"/>
      <c r="F208" s="89"/>
      <c r="G208" s="89"/>
      <c r="H208" s="89"/>
      <c r="I208" s="89"/>
      <c r="J208" s="89"/>
      <c r="K208" s="89"/>
      <c r="L208" s="89"/>
      <c r="M208" s="89"/>
      <c r="N208" s="89"/>
      <c r="O208" s="89"/>
      <c r="P208" s="89"/>
      <c r="Q208" s="89"/>
      <c r="R208" s="89"/>
      <c r="S208" s="89"/>
      <c r="T208" s="89"/>
      <c r="U208" s="89"/>
      <c r="V208" s="89"/>
      <c r="W208" s="89"/>
      <c r="X208" s="89"/>
      <c r="Y208" s="89"/>
      <c r="Z208" s="89"/>
      <c r="AA208" s="79"/>
      <c r="AB208" s="79"/>
    </row>
    <row r="209" spans="1:28" ht="12.75" customHeight="1" x14ac:dyDescent="0.15">
      <c r="A209" s="79"/>
      <c r="B209" s="89"/>
      <c r="C209" s="89"/>
      <c r="D209" s="90"/>
      <c r="E209" s="90"/>
      <c r="F209" s="89"/>
      <c r="G209" s="89"/>
      <c r="H209" s="89"/>
      <c r="I209" s="89"/>
      <c r="J209" s="89"/>
      <c r="K209" s="89"/>
      <c r="L209" s="89"/>
      <c r="M209" s="89"/>
      <c r="N209" s="89"/>
      <c r="O209" s="89"/>
      <c r="P209" s="89"/>
      <c r="Q209" s="89"/>
      <c r="R209" s="89"/>
      <c r="S209" s="89"/>
      <c r="T209" s="89"/>
      <c r="U209" s="89"/>
      <c r="V209" s="89"/>
      <c r="W209" s="89"/>
      <c r="X209" s="89"/>
      <c r="Y209" s="89"/>
      <c r="Z209" s="89"/>
      <c r="AA209" s="79"/>
      <c r="AB209" s="79"/>
    </row>
    <row r="210" spans="1:28" ht="12.75" customHeight="1" x14ac:dyDescent="0.15">
      <c r="A210" s="79"/>
      <c r="B210" s="89"/>
      <c r="C210" s="89"/>
      <c r="D210" s="90"/>
      <c r="E210" s="90"/>
      <c r="F210" s="89"/>
      <c r="G210" s="89"/>
      <c r="H210" s="89"/>
      <c r="I210" s="89"/>
      <c r="J210" s="89"/>
      <c r="K210" s="89"/>
      <c r="L210" s="89"/>
      <c r="M210" s="89"/>
      <c r="N210" s="89"/>
      <c r="O210" s="89"/>
      <c r="P210" s="89"/>
      <c r="Q210" s="89"/>
      <c r="R210" s="89"/>
      <c r="S210" s="89"/>
      <c r="T210" s="89"/>
      <c r="U210" s="89"/>
      <c r="V210" s="89"/>
      <c r="W210" s="89"/>
      <c r="X210" s="89"/>
      <c r="Y210" s="89"/>
      <c r="Z210" s="89"/>
      <c r="AA210" s="79"/>
      <c r="AB210" s="79"/>
    </row>
    <row r="211" spans="1:28" ht="12.75" customHeight="1" x14ac:dyDescent="0.15">
      <c r="A211" s="79"/>
      <c r="B211" s="89"/>
      <c r="C211" s="89"/>
      <c r="D211" s="90"/>
      <c r="E211" s="90"/>
      <c r="F211" s="89"/>
      <c r="G211" s="89"/>
      <c r="H211" s="89"/>
      <c r="I211" s="89"/>
      <c r="J211" s="89"/>
      <c r="K211" s="89"/>
      <c r="L211" s="89"/>
      <c r="M211" s="89"/>
      <c r="N211" s="89"/>
      <c r="O211" s="89"/>
      <c r="P211" s="89"/>
      <c r="Q211" s="89"/>
      <c r="R211" s="89"/>
      <c r="S211" s="89"/>
      <c r="T211" s="89"/>
      <c r="U211" s="89"/>
      <c r="V211" s="89"/>
      <c r="W211" s="89"/>
      <c r="X211" s="89"/>
      <c r="Y211" s="89"/>
      <c r="Z211" s="89"/>
      <c r="AA211" s="79"/>
      <c r="AB211" s="79"/>
    </row>
    <row r="212" spans="1:28" ht="12.75" customHeight="1" x14ac:dyDescent="0.15">
      <c r="A212" s="79"/>
      <c r="B212" s="89"/>
      <c r="C212" s="89"/>
      <c r="D212" s="90"/>
      <c r="E212" s="90"/>
      <c r="F212" s="89"/>
      <c r="G212" s="89"/>
      <c r="H212" s="89"/>
      <c r="I212" s="89"/>
      <c r="J212" s="89"/>
      <c r="K212" s="89"/>
      <c r="L212" s="89"/>
      <c r="M212" s="89"/>
      <c r="N212" s="89"/>
      <c r="O212" s="89"/>
      <c r="P212" s="89"/>
      <c r="Q212" s="89"/>
      <c r="R212" s="89"/>
      <c r="S212" s="89"/>
      <c r="T212" s="89"/>
      <c r="U212" s="89"/>
      <c r="V212" s="89"/>
      <c r="W212" s="89"/>
      <c r="X212" s="89"/>
      <c r="Y212" s="89"/>
      <c r="Z212" s="89"/>
      <c r="AA212" s="79"/>
      <c r="AB212" s="79"/>
    </row>
    <row r="213" spans="1:28" ht="12.75" customHeight="1" x14ac:dyDescent="0.15">
      <c r="A213" s="79"/>
      <c r="B213" s="89"/>
      <c r="C213" s="89"/>
      <c r="D213" s="90"/>
      <c r="E213" s="90"/>
      <c r="F213" s="89"/>
      <c r="G213" s="89"/>
      <c r="H213" s="89"/>
      <c r="I213" s="89"/>
      <c r="J213" s="89"/>
      <c r="K213" s="89"/>
      <c r="L213" s="89"/>
      <c r="M213" s="89"/>
      <c r="N213" s="89"/>
      <c r="O213" s="89"/>
      <c r="P213" s="89"/>
      <c r="Q213" s="89"/>
      <c r="R213" s="89"/>
      <c r="S213" s="89"/>
      <c r="T213" s="89"/>
      <c r="U213" s="89"/>
      <c r="V213" s="89"/>
      <c r="W213" s="89"/>
      <c r="X213" s="89"/>
      <c r="Y213" s="89"/>
      <c r="Z213" s="89"/>
      <c r="AA213" s="79"/>
      <c r="AB213" s="79"/>
    </row>
    <row r="214" spans="1:28" ht="12.75" customHeight="1" x14ac:dyDescent="0.15">
      <c r="A214" s="79"/>
      <c r="B214" s="89"/>
      <c r="C214" s="89"/>
      <c r="D214" s="90"/>
      <c r="E214" s="90"/>
      <c r="F214" s="89"/>
      <c r="G214" s="89"/>
      <c r="H214" s="89"/>
      <c r="I214" s="89"/>
      <c r="J214" s="89"/>
      <c r="K214" s="89"/>
      <c r="L214" s="89"/>
      <c r="M214" s="89"/>
      <c r="N214" s="89"/>
      <c r="O214" s="89"/>
      <c r="P214" s="89"/>
      <c r="Q214" s="89"/>
      <c r="R214" s="89"/>
      <c r="S214" s="89"/>
      <c r="T214" s="89"/>
      <c r="U214" s="89"/>
      <c r="V214" s="89"/>
      <c r="W214" s="89"/>
      <c r="X214" s="89"/>
      <c r="Y214" s="89"/>
      <c r="Z214" s="89"/>
      <c r="AA214" s="79"/>
      <c r="AB214" s="79"/>
    </row>
    <row r="215" spans="1:28" ht="12.75" customHeight="1" x14ac:dyDescent="0.15">
      <c r="A215" s="79"/>
      <c r="B215" s="89"/>
      <c r="C215" s="89"/>
      <c r="D215" s="90"/>
      <c r="E215" s="90"/>
      <c r="F215" s="89"/>
      <c r="G215" s="89"/>
      <c r="H215" s="89"/>
      <c r="I215" s="89"/>
      <c r="J215" s="89"/>
      <c r="K215" s="89"/>
      <c r="L215" s="89"/>
      <c r="M215" s="89"/>
      <c r="N215" s="89"/>
      <c r="O215" s="89"/>
      <c r="P215" s="89"/>
      <c r="Q215" s="89"/>
      <c r="R215" s="89"/>
      <c r="S215" s="89"/>
      <c r="T215" s="89"/>
      <c r="U215" s="89"/>
      <c r="V215" s="89"/>
      <c r="W215" s="89"/>
      <c r="X215" s="89"/>
      <c r="Y215" s="89"/>
      <c r="Z215" s="89"/>
      <c r="AA215" s="79"/>
      <c r="AB215" s="79"/>
    </row>
    <row r="216" spans="1:28" ht="12.75" customHeight="1" x14ac:dyDescent="0.15">
      <c r="A216" s="79"/>
      <c r="B216" s="89"/>
      <c r="C216" s="89"/>
      <c r="D216" s="90"/>
      <c r="E216" s="90"/>
      <c r="F216" s="89"/>
      <c r="G216" s="89"/>
      <c r="H216" s="89"/>
      <c r="I216" s="89"/>
      <c r="J216" s="89"/>
      <c r="K216" s="89"/>
      <c r="L216" s="89"/>
      <c r="M216" s="89"/>
      <c r="N216" s="89"/>
      <c r="O216" s="89"/>
      <c r="P216" s="89"/>
      <c r="Q216" s="89"/>
      <c r="R216" s="89"/>
      <c r="S216" s="89"/>
      <c r="T216" s="89"/>
      <c r="U216" s="89"/>
      <c r="V216" s="89"/>
      <c r="W216" s="89"/>
      <c r="X216" s="89"/>
      <c r="Y216" s="89"/>
      <c r="Z216" s="89"/>
      <c r="AA216" s="79"/>
      <c r="AB216" s="79"/>
    </row>
    <row r="217" spans="1:28" ht="12.75" customHeight="1" x14ac:dyDescent="0.15">
      <c r="A217" s="79"/>
      <c r="B217" s="89"/>
      <c r="C217" s="89"/>
      <c r="D217" s="90"/>
      <c r="E217" s="90"/>
      <c r="F217" s="89"/>
      <c r="G217" s="89"/>
      <c r="H217" s="89"/>
      <c r="I217" s="89"/>
      <c r="J217" s="89"/>
      <c r="K217" s="89"/>
      <c r="L217" s="89"/>
      <c r="M217" s="89"/>
      <c r="N217" s="89"/>
      <c r="O217" s="89"/>
      <c r="P217" s="89"/>
      <c r="Q217" s="89"/>
      <c r="R217" s="89"/>
      <c r="S217" s="89"/>
      <c r="T217" s="89"/>
      <c r="U217" s="89"/>
      <c r="V217" s="89"/>
      <c r="W217" s="89"/>
      <c r="X217" s="89"/>
      <c r="Y217" s="89"/>
      <c r="Z217" s="89"/>
      <c r="AA217" s="79"/>
      <c r="AB217" s="79"/>
    </row>
    <row r="218" spans="1:28" ht="12.75" customHeight="1" x14ac:dyDescent="0.15">
      <c r="A218" s="79"/>
      <c r="B218" s="89"/>
      <c r="C218" s="89"/>
      <c r="D218" s="90"/>
      <c r="E218" s="90"/>
      <c r="F218" s="89"/>
      <c r="G218" s="89"/>
      <c r="H218" s="89"/>
      <c r="I218" s="89"/>
      <c r="J218" s="89"/>
      <c r="K218" s="89"/>
      <c r="L218" s="89"/>
      <c r="M218" s="89"/>
      <c r="N218" s="89"/>
      <c r="O218" s="89"/>
      <c r="P218" s="89"/>
      <c r="Q218" s="89"/>
      <c r="R218" s="89"/>
      <c r="S218" s="89"/>
      <c r="T218" s="89"/>
      <c r="U218" s="89"/>
      <c r="V218" s="89"/>
      <c r="W218" s="89"/>
      <c r="X218" s="89"/>
      <c r="Y218" s="89"/>
      <c r="Z218" s="89"/>
      <c r="AA218" s="79"/>
      <c r="AB218" s="79"/>
    </row>
    <row r="219" spans="1:28" ht="12.75" customHeight="1" x14ac:dyDescent="0.15">
      <c r="A219" s="79"/>
      <c r="B219" s="89"/>
      <c r="C219" s="89"/>
      <c r="D219" s="90"/>
      <c r="E219" s="90"/>
      <c r="F219" s="89"/>
      <c r="G219" s="89"/>
      <c r="H219" s="89"/>
      <c r="I219" s="89"/>
      <c r="J219" s="89"/>
      <c r="K219" s="89"/>
      <c r="L219" s="89"/>
      <c r="M219" s="89"/>
      <c r="N219" s="89"/>
      <c r="O219" s="89"/>
      <c r="P219" s="89"/>
      <c r="Q219" s="89"/>
      <c r="R219" s="89"/>
      <c r="S219" s="89"/>
      <c r="T219" s="89"/>
      <c r="U219" s="89"/>
      <c r="V219" s="89"/>
      <c r="W219" s="89"/>
      <c r="X219" s="89"/>
      <c r="Y219" s="89"/>
      <c r="Z219" s="89"/>
      <c r="AA219" s="79"/>
      <c r="AB219" s="79"/>
    </row>
    <row r="220" spans="1:28" ht="12.75" customHeight="1" x14ac:dyDescent="0.15">
      <c r="A220" s="79"/>
      <c r="B220" s="89"/>
      <c r="C220" s="89"/>
      <c r="D220" s="90"/>
      <c r="E220" s="90"/>
      <c r="F220" s="89"/>
      <c r="G220" s="89"/>
      <c r="H220" s="89"/>
      <c r="I220" s="89"/>
      <c r="J220" s="89"/>
      <c r="K220" s="89"/>
      <c r="L220" s="89"/>
      <c r="M220" s="89"/>
      <c r="N220" s="89"/>
      <c r="O220" s="89"/>
      <c r="P220" s="89"/>
      <c r="Q220" s="89"/>
      <c r="R220" s="89"/>
      <c r="S220" s="89"/>
      <c r="T220" s="89"/>
      <c r="U220" s="89"/>
      <c r="V220" s="89"/>
      <c r="W220" s="89"/>
      <c r="X220" s="89"/>
      <c r="Y220" s="89"/>
      <c r="Z220" s="89"/>
      <c r="AA220" s="79"/>
      <c r="AB220" s="79"/>
    </row>
    <row r="221" spans="1:28" ht="12.75" customHeight="1" x14ac:dyDescent="0.15">
      <c r="A221" s="79"/>
      <c r="B221" s="89"/>
      <c r="C221" s="89"/>
      <c r="D221" s="90"/>
      <c r="E221" s="90"/>
      <c r="F221" s="89"/>
      <c r="G221" s="89"/>
      <c r="H221" s="89"/>
      <c r="I221" s="89"/>
      <c r="J221" s="89"/>
      <c r="K221" s="89"/>
      <c r="L221" s="89"/>
      <c r="M221" s="89"/>
      <c r="N221" s="89"/>
      <c r="O221" s="89"/>
      <c r="P221" s="89"/>
      <c r="Q221" s="89"/>
      <c r="R221" s="89"/>
      <c r="S221" s="89"/>
      <c r="T221" s="89"/>
      <c r="U221" s="89"/>
      <c r="V221" s="89"/>
      <c r="W221" s="89"/>
      <c r="X221" s="89"/>
      <c r="Y221" s="89"/>
      <c r="Z221" s="89"/>
      <c r="AA221" s="79"/>
      <c r="AB221" s="79"/>
    </row>
    <row r="222" spans="1:28" ht="12.75" customHeight="1" x14ac:dyDescent="0.15">
      <c r="A222" s="79"/>
      <c r="B222" s="89"/>
      <c r="C222" s="89"/>
      <c r="D222" s="90"/>
      <c r="E222" s="90"/>
      <c r="F222" s="89"/>
      <c r="G222" s="89"/>
      <c r="H222" s="89"/>
      <c r="I222" s="89"/>
      <c r="J222" s="89"/>
      <c r="K222" s="89"/>
      <c r="L222" s="89"/>
      <c r="M222" s="89"/>
      <c r="N222" s="89"/>
      <c r="O222" s="89"/>
      <c r="P222" s="89"/>
      <c r="Q222" s="89"/>
      <c r="R222" s="89"/>
      <c r="S222" s="89"/>
      <c r="T222" s="89"/>
      <c r="U222" s="89"/>
      <c r="V222" s="89"/>
      <c r="W222" s="89"/>
      <c r="X222" s="89"/>
      <c r="Y222" s="89"/>
      <c r="Z222" s="89"/>
      <c r="AA222" s="79"/>
      <c r="AB222" s="79"/>
    </row>
    <row r="223" spans="1:28" ht="12.75" customHeight="1" x14ac:dyDescent="0.15">
      <c r="A223" s="79"/>
      <c r="B223" s="89"/>
      <c r="C223" s="89"/>
      <c r="D223" s="90"/>
      <c r="E223" s="90"/>
      <c r="F223" s="89"/>
      <c r="G223" s="89"/>
      <c r="H223" s="89"/>
      <c r="I223" s="89"/>
      <c r="J223" s="89"/>
      <c r="K223" s="89"/>
      <c r="L223" s="89"/>
      <c r="M223" s="89"/>
      <c r="N223" s="89"/>
      <c r="O223" s="89"/>
      <c r="P223" s="89"/>
      <c r="Q223" s="89"/>
      <c r="R223" s="89"/>
      <c r="S223" s="89"/>
      <c r="T223" s="89"/>
      <c r="U223" s="89"/>
      <c r="V223" s="89"/>
      <c r="W223" s="89"/>
      <c r="X223" s="89"/>
      <c r="Y223" s="89"/>
      <c r="Z223" s="89"/>
      <c r="AA223" s="79"/>
      <c r="AB223" s="79"/>
    </row>
    <row r="224" spans="1:28" ht="12.75" customHeight="1" x14ac:dyDescent="0.15">
      <c r="A224" s="79"/>
      <c r="B224" s="89"/>
      <c r="C224" s="89"/>
      <c r="D224" s="90"/>
      <c r="E224" s="90"/>
      <c r="F224" s="89"/>
      <c r="G224" s="89"/>
      <c r="H224" s="89"/>
      <c r="I224" s="89"/>
      <c r="J224" s="89"/>
      <c r="K224" s="89"/>
      <c r="L224" s="89"/>
      <c r="M224" s="89"/>
      <c r="N224" s="89"/>
      <c r="O224" s="89"/>
      <c r="P224" s="89"/>
      <c r="Q224" s="89"/>
      <c r="R224" s="89"/>
      <c r="S224" s="89"/>
      <c r="T224" s="89"/>
      <c r="U224" s="89"/>
      <c r="V224" s="89"/>
      <c r="W224" s="89"/>
      <c r="X224" s="89"/>
      <c r="Y224" s="89"/>
      <c r="Z224" s="89"/>
      <c r="AA224" s="79"/>
      <c r="AB224" s="79"/>
    </row>
    <row r="225" spans="1:28" ht="12.75" customHeight="1" x14ac:dyDescent="0.15">
      <c r="A225" s="79"/>
      <c r="B225" s="89"/>
      <c r="C225" s="89"/>
      <c r="D225" s="90"/>
      <c r="E225" s="90"/>
      <c r="F225" s="89"/>
      <c r="G225" s="89"/>
      <c r="H225" s="89"/>
      <c r="I225" s="89"/>
      <c r="J225" s="89"/>
      <c r="K225" s="89"/>
      <c r="L225" s="89"/>
      <c r="M225" s="89"/>
      <c r="N225" s="89"/>
      <c r="O225" s="89"/>
      <c r="P225" s="89"/>
      <c r="Q225" s="89"/>
      <c r="R225" s="89"/>
      <c r="S225" s="89"/>
      <c r="T225" s="89"/>
      <c r="U225" s="89"/>
      <c r="V225" s="89"/>
      <c r="W225" s="89"/>
      <c r="X225" s="89"/>
      <c r="Y225" s="89"/>
      <c r="Z225" s="89"/>
      <c r="AA225" s="79"/>
      <c r="AB225" s="79"/>
    </row>
    <row r="226" spans="1:28" ht="12.75" customHeight="1" x14ac:dyDescent="0.15">
      <c r="A226" s="79"/>
      <c r="B226" s="89"/>
      <c r="C226" s="89"/>
      <c r="D226" s="90"/>
      <c r="E226" s="90"/>
      <c r="F226" s="89"/>
      <c r="G226" s="89"/>
      <c r="H226" s="89"/>
      <c r="I226" s="89"/>
      <c r="J226" s="89"/>
      <c r="K226" s="89"/>
      <c r="L226" s="89"/>
      <c r="M226" s="89"/>
      <c r="N226" s="89"/>
      <c r="O226" s="89"/>
      <c r="P226" s="89"/>
      <c r="Q226" s="89"/>
      <c r="R226" s="89"/>
      <c r="S226" s="89"/>
      <c r="T226" s="89"/>
      <c r="U226" s="89"/>
      <c r="V226" s="89"/>
      <c r="W226" s="89"/>
      <c r="X226" s="89"/>
      <c r="Y226" s="89"/>
      <c r="Z226" s="89"/>
      <c r="AA226" s="79"/>
      <c r="AB226" s="79"/>
    </row>
    <row r="227" spans="1:28" ht="12.75" customHeight="1" x14ac:dyDescent="0.15">
      <c r="A227" s="79"/>
      <c r="B227" s="89"/>
      <c r="C227" s="89"/>
      <c r="D227" s="90"/>
      <c r="E227" s="90"/>
      <c r="F227" s="89"/>
      <c r="G227" s="89"/>
      <c r="H227" s="89"/>
      <c r="I227" s="89"/>
      <c r="J227" s="89"/>
      <c r="K227" s="89"/>
      <c r="L227" s="89"/>
      <c r="M227" s="89"/>
      <c r="N227" s="89"/>
      <c r="O227" s="89"/>
      <c r="P227" s="89"/>
      <c r="Q227" s="89"/>
      <c r="R227" s="89"/>
      <c r="S227" s="89"/>
      <c r="T227" s="89"/>
      <c r="U227" s="89"/>
      <c r="V227" s="89"/>
      <c r="W227" s="89"/>
      <c r="X227" s="89"/>
      <c r="Y227" s="89"/>
      <c r="Z227" s="89"/>
      <c r="AA227" s="79"/>
      <c r="AB227" s="79"/>
    </row>
    <row r="228" spans="1:28" ht="12.75" customHeight="1" x14ac:dyDescent="0.15">
      <c r="A228" s="79"/>
      <c r="B228" s="89"/>
      <c r="C228" s="89"/>
      <c r="D228" s="90"/>
      <c r="E228" s="90"/>
      <c r="F228" s="89"/>
      <c r="G228" s="89"/>
      <c r="H228" s="89"/>
      <c r="I228" s="89"/>
      <c r="J228" s="89"/>
      <c r="K228" s="89"/>
      <c r="L228" s="89"/>
      <c r="M228" s="89"/>
      <c r="N228" s="89"/>
      <c r="O228" s="89"/>
      <c r="P228" s="89"/>
      <c r="Q228" s="89"/>
      <c r="R228" s="89"/>
      <c r="S228" s="89"/>
      <c r="T228" s="89"/>
      <c r="U228" s="89"/>
      <c r="V228" s="89"/>
      <c r="W228" s="89"/>
      <c r="X228" s="89"/>
      <c r="Y228" s="89"/>
      <c r="Z228" s="89"/>
      <c r="AA228" s="79"/>
      <c r="AB228" s="79"/>
    </row>
    <row r="229" spans="1:28" ht="12.75" customHeight="1" x14ac:dyDescent="0.15">
      <c r="A229" s="79"/>
      <c r="B229" s="89"/>
      <c r="C229" s="89"/>
      <c r="D229" s="90"/>
      <c r="E229" s="90"/>
      <c r="F229" s="89"/>
      <c r="G229" s="89"/>
      <c r="H229" s="89"/>
      <c r="I229" s="89"/>
      <c r="J229" s="89"/>
      <c r="K229" s="89"/>
      <c r="L229" s="89"/>
      <c r="M229" s="89"/>
      <c r="N229" s="89"/>
      <c r="O229" s="89"/>
      <c r="P229" s="89"/>
      <c r="Q229" s="89"/>
      <c r="R229" s="89"/>
      <c r="S229" s="89"/>
      <c r="T229" s="89"/>
      <c r="U229" s="89"/>
      <c r="V229" s="89"/>
      <c r="W229" s="89"/>
      <c r="X229" s="89"/>
      <c r="Y229" s="89"/>
      <c r="Z229" s="89"/>
      <c r="AA229" s="79"/>
      <c r="AB229" s="79"/>
    </row>
    <row r="230" spans="1:28" ht="12.75" customHeight="1" x14ac:dyDescent="0.15">
      <c r="A230" s="79"/>
      <c r="B230" s="89"/>
      <c r="C230" s="89"/>
      <c r="D230" s="90"/>
      <c r="E230" s="90"/>
      <c r="F230" s="89"/>
      <c r="G230" s="89"/>
      <c r="H230" s="89"/>
      <c r="I230" s="89"/>
      <c r="J230" s="89"/>
      <c r="K230" s="89"/>
      <c r="L230" s="89"/>
      <c r="M230" s="89"/>
      <c r="N230" s="89"/>
      <c r="O230" s="89"/>
      <c r="P230" s="89"/>
      <c r="Q230" s="89"/>
      <c r="R230" s="89"/>
      <c r="S230" s="89"/>
      <c r="T230" s="89"/>
      <c r="U230" s="89"/>
      <c r="V230" s="89"/>
      <c r="W230" s="89"/>
      <c r="X230" s="89"/>
      <c r="Y230" s="89"/>
      <c r="Z230" s="89"/>
      <c r="AA230" s="79"/>
      <c r="AB230" s="79"/>
    </row>
    <row r="231" spans="1:28" ht="12.75" customHeight="1" x14ac:dyDescent="0.15">
      <c r="A231" s="79"/>
      <c r="B231" s="89"/>
      <c r="C231" s="89"/>
      <c r="D231" s="90"/>
      <c r="E231" s="90"/>
      <c r="F231" s="89"/>
      <c r="G231" s="89"/>
      <c r="H231" s="89"/>
      <c r="I231" s="89"/>
      <c r="J231" s="89"/>
      <c r="K231" s="89"/>
      <c r="L231" s="89"/>
      <c r="M231" s="89"/>
      <c r="N231" s="89"/>
      <c r="O231" s="89"/>
      <c r="P231" s="89"/>
      <c r="Q231" s="89"/>
      <c r="R231" s="89"/>
      <c r="S231" s="89"/>
      <c r="T231" s="89"/>
      <c r="U231" s="89"/>
      <c r="V231" s="89"/>
      <c r="W231" s="89"/>
      <c r="X231" s="89"/>
      <c r="Y231" s="89"/>
      <c r="Z231" s="89"/>
      <c r="AA231" s="79"/>
      <c r="AB231" s="79"/>
    </row>
    <row r="232" spans="1:28" ht="12.75" customHeight="1" x14ac:dyDescent="0.15">
      <c r="A232" s="79"/>
      <c r="B232" s="89"/>
      <c r="C232" s="89"/>
      <c r="D232" s="90"/>
      <c r="E232" s="90"/>
      <c r="F232" s="89"/>
      <c r="G232" s="89"/>
      <c r="H232" s="89"/>
      <c r="I232" s="89"/>
      <c r="J232" s="89"/>
      <c r="K232" s="89"/>
      <c r="L232" s="89"/>
      <c r="M232" s="89"/>
      <c r="N232" s="89"/>
      <c r="O232" s="89"/>
      <c r="P232" s="89"/>
      <c r="Q232" s="89"/>
      <c r="R232" s="89"/>
      <c r="S232" s="89"/>
      <c r="T232" s="89"/>
      <c r="U232" s="89"/>
      <c r="V232" s="89"/>
      <c r="W232" s="89"/>
      <c r="X232" s="89"/>
      <c r="Y232" s="89"/>
      <c r="Z232" s="89"/>
      <c r="AA232" s="79"/>
      <c r="AB232" s="79"/>
    </row>
    <row r="233" spans="1:28" ht="12.75" customHeight="1" x14ac:dyDescent="0.15">
      <c r="A233" s="79"/>
      <c r="B233" s="89"/>
      <c r="C233" s="89"/>
      <c r="D233" s="90"/>
      <c r="E233" s="90"/>
      <c r="F233" s="89"/>
      <c r="G233" s="89"/>
      <c r="H233" s="89"/>
      <c r="I233" s="89"/>
      <c r="J233" s="89"/>
      <c r="K233" s="89"/>
      <c r="L233" s="89"/>
      <c r="M233" s="89"/>
      <c r="N233" s="89"/>
      <c r="O233" s="89"/>
      <c r="P233" s="89"/>
      <c r="Q233" s="89"/>
      <c r="R233" s="89"/>
      <c r="S233" s="89"/>
      <c r="T233" s="89"/>
      <c r="U233" s="89"/>
      <c r="V233" s="89"/>
      <c r="W233" s="89"/>
      <c r="X233" s="89"/>
      <c r="Y233" s="89"/>
      <c r="Z233" s="89"/>
      <c r="AA233" s="79"/>
      <c r="AB233" s="79"/>
    </row>
    <row r="234" spans="1:28" ht="12.75" customHeight="1" x14ac:dyDescent="0.15">
      <c r="A234" s="79"/>
      <c r="B234" s="89"/>
      <c r="C234" s="89"/>
      <c r="D234" s="90"/>
      <c r="E234" s="90"/>
      <c r="F234" s="89"/>
      <c r="G234" s="89"/>
      <c r="H234" s="89"/>
      <c r="I234" s="89"/>
      <c r="J234" s="89"/>
      <c r="K234" s="89"/>
      <c r="L234" s="89"/>
      <c r="M234" s="89"/>
      <c r="N234" s="89"/>
      <c r="O234" s="89"/>
      <c r="P234" s="89"/>
      <c r="Q234" s="89"/>
      <c r="R234" s="89"/>
      <c r="S234" s="89"/>
      <c r="T234" s="89"/>
      <c r="U234" s="89"/>
      <c r="V234" s="89"/>
      <c r="W234" s="89"/>
      <c r="X234" s="89"/>
      <c r="Y234" s="89"/>
      <c r="Z234" s="89"/>
      <c r="AA234" s="79"/>
      <c r="AB234" s="79"/>
    </row>
    <row r="235" spans="1:28" ht="12.75" customHeight="1" x14ac:dyDescent="0.15">
      <c r="A235" s="79"/>
      <c r="B235" s="89"/>
      <c r="C235" s="89"/>
      <c r="D235" s="90"/>
      <c r="E235" s="90"/>
      <c r="F235" s="89"/>
      <c r="G235" s="89"/>
      <c r="H235" s="89"/>
      <c r="I235" s="89"/>
      <c r="J235" s="89"/>
      <c r="K235" s="89"/>
      <c r="L235" s="89"/>
      <c r="M235" s="89"/>
      <c r="N235" s="89"/>
      <c r="O235" s="89"/>
      <c r="P235" s="89"/>
      <c r="Q235" s="89"/>
      <c r="R235" s="89"/>
      <c r="S235" s="89"/>
      <c r="T235" s="89"/>
      <c r="U235" s="89"/>
      <c r="V235" s="89"/>
      <c r="W235" s="89"/>
      <c r="X235" s="89"/>
      <c r="Y235" s="89"/>
      <c r="Z235" s="89"/>
      <c r="AA235" s="79"/>
      <c r="AB235" s="79"/>
    </row>
    <row r="236" spans="1:28" ht="12.75" customHeight="1" x14ac:dyDescent="0.15">
      <c r="A236" s="79"/>
      <c r="B236" s="89"/>
      <c r="C236" s="89"/>
      <c r="D236" s="90"/>
      <c r="E236" s="90"/>
      <c r="F236" s="89"/>
      <c r="G236" s="89"/>
      <c r="H236" s="89"/>
      <c r="I236" s="89"/>
      <c r="J236" s="89"/>
      <c r="K236" s="89"/>
      <c r="L236" s="89"/>
      <c r="M236" s="89"/>
      <c r="N236" s="89"/>
      <c r="O236" s="89"/>
      <c r="P236" s="89"/>
      <c r="Q236" s="89"/>
      <c r="R236" s="89"/>
      <c r="S236" s="89"/>
      <c r="T236" s="89"/>
      <c r="U236" s="89"/>
      <c r="V236" s="89"/>
      <c r="W236" s="89"/>
      <c r="X236" s="89"/>
      <c r="Y236" s="89"/>
      <c r="Z236" s="89"/>
      <c r="AA236" s="79"/>
      <c r="AB236" s="79"/>
    </row>
    <row r="237" spans="1:28" ht="12.75" customHeight="1" x14ac:dyDescent="0.15">
      <c r="A237" s="79"/>
      <c r="B237" s="89"/>
      <c r="C237" s="89"/>
      <c r="D237" s="90"/>
      <c r="E237" s="90"/>
      <c r="F237" s="89"/>
      <c r="G237" s="89"/>
      <c r="H237" s="89"/>
      <c r="I237" s="89"/>
      <c r="J237" s="89"/>
      <c r="K237" s="89"/>
      <c r="L237" s="89"/>
      <c r="M237" s="89"/>
      <c r="N237" s="89"/>
      <c r="O237" s="89"/>
      <c r="P237" s="89"/>
      <c r="Q237" s="89"/>
      <c r="R237" s="89"/>
      <c r="S237" s="89"/>
      <c r="T237" s="89"/>
      <c r="U237" s="89"/>
      <c r="V237" s="89"/>
      <c r="W237" s="89"/>
      <c r="X237" s="89"/>
      <c r="Y237" s="89"/>
      <c r="Z237" s="89"/>
      <c r="AA237" s="79"/>
      <c r="AB237" s="79"/>
    </row>
    <row r="238" spans="1:28" ht="12.75" customHeight="1" x14ac:dyDescent="0.15">
      <c r="A238" s="79"/>
      <c r="B238" s="89"/>
      <c r="C238" s="89"/>
      <c r="D238" s="90"/>
      <c r="E238" s="90"/>
      <c r="F238" s="89"/>
      <c r="G238" s="89"/>
      <c r="H238" s="89"/>
      <c r="I238" s="89"/>
      <c r="J238" s="89"/>
      <c r="K238" s="89"/>
      <c r="L238" s="89"/>
      <c r="M238" s="89"/>
      <c r="N238" s="89"/>
      <c r="O238" s="89"/>
      <c r="P238" s="89"/>
      <c r="Q238" s="89"/>
      <c r="R238" s="89"/>
      <c r="S238" s="89"/>
      <c r="T238" s="89"/>
      <c r="U238" s="89"/>
      <c r="V238" s="89"/>
      <c r="W238" s="89"/>
      <c r="X238" s="89"/>
      <c r="Y238" s="89"/>
      <c r="Z238" s="89"/>
      <c r="AA238" s="79"/>
      <c r="AB238" s="79"/>
    </row>
    <row r="239" spans="1:28" ht="12.75" customHeight="1" x14ac:dyDescent="0.15">
      <c r="A239" s="79"/>
      <c r="B239" s="89"/>
      <c r="C239" s="89"/>
      <c r="D239" s="90"/>
      <c r="E239" s="90"/>
      <c r="F239" s="89"/>
      <c r="G239" s="89"/>
      <c r="H239" s="89"/>
      <c r="I239" s="89"/>
      <c r="J239" s="89"/>
      <c r="K239" s="89"/>
      <c r="L239" s="89"/>
      <c r="M239" s="89"/>
      <c r="N239" s="89"/>
      <c r="O239" s="89"/>
      <c r="P239" s="89"/>
      <c r="Q239" s="89"/>
      <c r="R239" s="89"/>
      <c r="S239" s="89"/>
      <c r="T239" s="89"/>
      <c r="U239" s="89"/>
      <c r="V239" s="89"/>
      <c r="W239" s="89"/>
      <c r="X239" s="89"/>
      <c r="Y239" s="89"/>
      <c r="Z239" s="89"/>
      <c r="AA239" s="79"/>
      <c r="AB239" s="79"/>
    </row>
    <row r="240" spans="1:28" ht="12.75" customHeight="1" x14ac:dyDescent="0.15">
      <c r="A240" s="79"/>
      <c r="B240" s="89"/>
      <c r="C240" s="89"/>
      <c r="D240" s="90"/>
      <c r="E240" s="90"/>
      <c r="F240" s="89"/>
      <c r="G240" s="89"/>
      <c r="H240" s="89"/>
      <c r="I240" s="89"/>
      <c r="J240" s="89"/>
      <c r="K240" s="89"/>
      <c r="L240" s="89"/>
      <c r="M240" s="89"/>
      <c r="N240" s="89"/>
      <c r="O240" s="89"/>
      <c r="P240" s="89"/>
      <c r="Q240" s="89"/>
      <c r="R240" s="89"/>
      <c r="S240" s="89"/>
      <c r="T240" s="89"/>
      <c r="U240" s="89"/>
      <c r="V240" s="89"/>
      <c r="W240" s="89"/>
      <c r="X240" s="89"/>
      <c r="Y240" s="89"/>
      <c r="Z240" s="89"/>
      <c r="AA240" s="79"/>
      <c r="AB240" s="79"/>
    </row>
    <row r="241" spans="1:28" ht="12.75" customHeight="1" x14ac:dyDescent="0.15">
      <c r="A241" s="79"/>
      <c r="B241" s="89"/>
      <c r="C241" s="89"/>
      <c r="D241" s="90"/>
      <c r="E241" s="90"/>
      <c r="F241" s="89"/>
      <c r="G241" s="89"/>
      <c r="H241" s="89"/>
      <c r="I241" s="89"/>
      <c r="J241" s="89"/>
      <c r="K241" s="89"/>
      <c r="L241" s="89"/>
      <c r="M241" s="89"/>
      <c r="N241" s="89"/>
      <c r="O241" s="89"/>
      <c r="P241" s="89"/>
      <c r="Q241" s="89"/>
      <c r="R241" s="89"/>
      <c r="S241" s="89"/>
      <c r="T241" s="89"/>
      <c r="U241" s="89"/>
      <c r="V241" s="89"/>
      <c r="W241" s="89"/>
      <c r="X241" s="89"/>
      <c r="Y241" s="89"/>
      <c r="Z241" s="89"/>
      <c r="AA241" s="79"/>
      <c r="AB241" s="79"/>
    </row>
    <row r="242" spans="1:28" ht="12.75" customHeight="1" x14ac:dyDescent="0.15">
      <c r="A242" s="79"/>
      <c r="B242" s="89"/>
      <c r="C242" s="89"/>
      <c r="D242" s="90"/>
      <c r="E242" s="90"/>
      <c r="F242" s="89"/>
      <c r="G242" s="89"/>
      <c r="H242" s="89"/>
      <c r="I242" s="89"/>
      <c r="J242" s="89"/>
      <c r="K242" s="89"/>
      <c r="L242" s="89"/>
      <c r="M242" s="89"/>
      <c r="N242" s="89"/>
      <c r="O242" s="89"/>
      <c r="P242" s="89"/>
      <c r="Q242" s="89"/>
      <c r="R242" s="89"/>
      <c r="S242" s="89"/>
      <c r="T242" s="89"/>
      <c r="U242" s="89"/>
      <c r="V242" s="89"/>
      <c r="W242" s="89"/>
      <c r="X242" s="89"/>
      <c r="Y242" s="89"/>
      <c r="Z242" s="89"/>
      <c r="AA242" s="79"/>
      <c r="AB242" s="79"/>
    </row>
    <row r="243" spans="1:28" ht="12.75" customHeight="1" x14ac:dyDescent="0.15">
      <c r="A243" s="79"/>
      <c r="B243" s="89"/>
      <c r="C243" s="89"/>
      <c r="D243" s="90"/>
      <c r="E243" s="90"/>
      <c r="F243" s="89"/>
      <c r="G243" s="89"/>
      <c r="H243" s="89"/>
      <c r="I243" s="89"/>
      <c r="J243" s="89"/>
      <c r="K243" s="89"/>
      <c r="L243" s="89"/>
      <c r="M243" s="89"/>
      <c r="N243" s="89"/>
      <c r="O243" s="89"/>
      <c r="P243" s="89"/>
      <c r="Q243" s="89"/>
      <c r="R243" s="89"/>
      <c r="S243" s="89"/>
      <c r="T243" s="89"/>
      <c r="U243" s="89"/>
      <c r="V243" s="89"/>
      <c r="W243" s="89"/>
      <c r="X243" s="89"/>
      <c r="Y243" s="89"/>
      <c r="Z243" s="89"/>
      <c r="AA243" s="79"/>
      <c r="AB243" s="79"/>
    </row>
    <row r="244" spans="1:28" ht="12.75" customHeight="1" x14ac:dyDescent="0.15">
      <c r="A244" s="79"/>
      <c r="B244" s="89"/>
      <c r="C244" s="89"/>
      <c r="D244" s="90"/>
      <c r="E244" s="90"/>
      <c r="F244" s="89"/>
      <c r="G244" s="89"/>
      <c r="H244" s="89"/>
      <c r="I244" s="89"/>
      <c r="J244" s="89"/>
      <c r="K244" s="89"/>
      <c r="L244" s="89"/>
      <c r="M244" s="89"/>
      <c r="N244" s="89"/>
      <c r="O244" s="89"/>
      <c r="P244" s="89"/>
      <c r="Q244" s="89"/>
      <c r="R244" s="89"/>
      <c r="S244" s="89"/>
      <c r="T244" s="89"/>
      <c r="U244" s="89"/>
      <c r="V244" s="89"/>
      <c r="W244" s="89"/>
      <c r="X244" s="89"/>
      <c r="Y244" s="89"/>
      <c r="Z244" s="89"/>
      <c r="AA244" s="79"/>
      <c r="AB244" s="79"/>
    </row>
    <row r="245" spans="1:28" ht="12.75" customHeight="1" x14ac:dyDescent="0.15">
      <c r="A245" s="79"/>
      <c r="B245" s="89"/>
      <c r="C245" s="89"/>
      <c r="D245" s="90"/>
      <c r="E245" s="90"/>
      <c r="F245" s="89"/>
      <c r="G245" s="89"/>
      <c r="H245" s="89"/>
      <c r="I245" s="89"/>
      <c r="J245" s="89"/>
      <c r="K245" s="89"/>
      <c r="L245" s="89"/>
      <c r="M245" s="89"/>
      <c r="N245" s="89"/>
      <c r="O245" s="89"/>
      <c r="P245" s="89"/>
      <c r="Q245" s="89"/>
      <c r="R245" s="89"/>
      <c r="S245" s="89"/>
      <c r="T245" s="89"/>
      <c r="U245" s="89"/>
      <c r="V245" s="89"/>
      <c r="W245" s="89"/>
      <c r="X245" s="89"/>
      <c r="Y245" s="89"/>
      <c r="Z245" s="89"/>
      <c r="AA245" s="79"/>
      <c r="AB245" s="79"/>
    </row>
    <row r="246" spans="1:28" ht="12.75" customHeight="1" x14ac:dyDescent="0.15">
      <c r="A246" s="79"/>
      <c r="B246" s="89"/>
      <c r="C246" s="89"/>
      <c r="D246" s="90"/>
      <c r="E246" s="90"/>
      <c r="F246" s="89"/>
      <c r="G246" s="89"/>
      <c r="H246" s="89"/>
      <c r="I246" s="89"/>
      <c r="J246" s="89"/>
      <c r="K246" s="89"/>
      <c r="L246" s="89"/>
      <c r="M246" s="89"/>
      <c r="N246" s="89"/>
      <c r="O246" s="89"/>
      <c r="P246" s="89"/>
      <c r="Q246" s="89"/>
      <c r="R246" s="89"/>
      <c r="S246" s="89"/>
      <c r="T246" s="89"/>
      <c r="U246" s="89"/>
      <c r="V246" s="89"/>
      <c r="W246" s="89"/>
      <c r="X246" s="89"/>
      <c r="Y246" s="89"/>
      <c r="Z246" s="89"/>
      <c r="AA246" s="79"/>
      <c r="AB246" s="79"/>
    </row>
    <row r="247" spans="1:28" ht="12.75" customHeight="1" x14ac:dyDescent="0.15">
      <c r="A247" s="79"/>
      <c r="B247" s="89"/>
      <c r="C247" s="89"/>
      <c r="D247" s="90"/>
      <c r="E247" s="90"/>
      <c r="F247" s="89"/>
      <c r="G247" s="89"/>
      <c r="H247" s="89"/>
      <c r="I247" s="89"/>
      <c r="J247" s="89"/>
      <c r="K247" s="89"/>
      <c r="L247" s="89"/>
      <c r="M247" s="89"/>
      <c r="N247" s="89"/>
      <c r="O247" s="89"/>
      <c r="P247" s="89"/>
      <c r="Q247" s="89"/>
      <c r="R247" s="89"/>
      <c r="S247" s="89"/>
      <c r="T247" s="89"/>
      <c r="U247" s="89"/>
      <c r="V247" s="89"/>
      <c r="W247" s="89"/>
      <c r="X247" s="89"/>
      <c r="Y247" s="89"/>
      <c r="Z247" s="89"/>
      <c r="AA247" s="79"/>
      <c r="AB247" s="79"/>
    </row>
    <row r="248" spans="1:28" ht="12.75" customHeight="1" x14ac:dyDescent="0.15">
      <c r="A248" s="79"/>
      <c r="B248" s="89"/>
      <c r="C248" s="89"/>
      <c r="D248" s="90"/>
      <c r="E248" s="90"/>
      <c r="F248" s="89"/>
      <c r="G248" s="89"/>
      <c r="H248" s="89"/>
      <c r="I248" s="89"/>
      <c r="J248" s="89"/>
      <c r="K248" s="89"/>
      <c r="L248" s="89"/>
      <c r="M248" s="89"/>
      <c r="N248" s="89"/>
      <c r="O248" s="89"/>
      <c r="P248" s="89"/>
      <c r="Q248" s="89"/>
      <c r="R248" s="89"/>
      <c r="S248" s="89"/>
      <c r="T248" s="89"/>
      <c r="U248" s="89"/>
      <c r="V248" s="89"/>
      <c r="W248" s="89"/>
      <c r="X248" s="89"/>
      <c r="Y248" s="89"/>
      <c r="Z248" s="89"/>
      <c r="AA248" s="79"/>
      <c r="AB248" s="79"/>
    </row>
    <row r="249" spans="1:28" ht="12.75" customHeight="1" x14ac:dyDescent="0.15">
      <c r="A249" s="79"/>
      <c r="B249" s="89"/>
      <c r="C249" s="89"/>
      <c r="D249" s="90"/>
      <c r="E249" s="90"/>
      <c r="F249" s="89"/>
      <c r="G249" s="89"/>
      <c r="H249" s="89"/>
      <c r="I249" s="89"/>
      <c r="J249" s="89"/>
      <c r="K249" s="89"/>
      <c r="L249" s="89"/>
      <c r="M249" s="89"/>
      <c r="N249" s="89"/>
      <c r="O249" s="89"/>
      <c r="P249" s="89"/>
      <c r="Q249" s="89"/>
      <c r="R249" s="89"/>
      <c r="S249" s="89"/>
      <c r="T249" s="89"/>
      <c r="U249" s="89"/>
      <c r="V249" s="89"/>
      <c r="W249" s="89"/>
      <c r="X249" s="89"/>
      <c r="Y249" s="89"/>
      <c r="Z249" s="89"/>
      <c r="AA249" s="79"/>
      <c r="AB249" s="79"/>
    </row>
    <row r="250" spans="1:28" ht="12.75" customHeight="1" x14ac:dyDescent="0.15">
      <c r="A250" s="79"/>
      <c r="B250" s="89"/>
      <c r="C250" s="89"/>
      <c r="D250" s="90"/>
      <c r="E250" s="90"/>
      <c r="F250" s="89"/>
      <c r="G250" s="89"/>
      <c r="H250" s="89"/>
      <c r="I250" s="89"/>
      <c r="J250" s="89"/>
      <c r="K250" s="89"/>
      <c r="L250" s="89"/>
      <c r="M250" s="89"/>
      <c r="N250" s="89"/>
      <c r="O250" s="89"/>
      <c r="P250" s="89"/>
      <c r="Q250" s="89"/>
      <c r="R250" s="89"/>
      <c r="S250" s="89"/>
      <c r="T250" s="89"/>
      <c r="U250" s="89"/>
      <c r="V250" s="89"/>
      <c r="W250" s="89"/>
      <c r="X250" s="89"/>
      <c r="Y250" s="89"/>
      <c r="Z250" s="89"/>
      <c r="AA250" s="79"/>
      <c r="AB250" s="79"/>
    </row>
    <row r="251" spans="1:28" ht="12.75" customHeight="1" x14ac:dyDescent="0.15">
      <c r="A251" s="79"/>
      <c r="B251" s="89"/>
      <c r="C251" s="89"/>
      <c r="D251" s="90"/>
      <c r="E251" s="90"/>
      <c r="F251" s="89"/>
      <c r="G251" s="89"/>
      <c r="H251" s="89"/>
      <c r="I251" s="89"/>
      <c r="J251" s="89"/>
      <c r="K251" s="89"/>
      <c r="L251" s="89"/>
      <c r="M251" s="89"/>
      <c r="N251" s="89"/>
      <c r="O251" s="89"/>
      <c r="P251" s="89"/>
      <c r="Q251" s="89"/>
      <c r="R251" s="89"/>
      <c r="S251" s="89"/>
      <c r="T251" s="89"/>
      <c r="U251" s="89"/>
      <c r="V251" s="89"/>
      <c r="W251" s="89"/>
      <c r="X251" s="89"/>
      <c r="Y251" s="89"/>
      <c r="Z251" s="89"/>
      <c r="AA251" s="79"/>
      <c r="AB251" s="79"/>
    </row>
    <row r="252" spans="1:28" ht="12.75" customHeight="1" x14ac:dyDescent="0.15">
      <c r="A252" s="79"/>
      <c r="B252" s="89"/>
      <c r="C252" s="89"/>
      <c r="D252" s="90"/>
      <c r="E252" s="90"/>
      <c r="F252" s="89"/>
      <c r="G252" s="89"/>
      <c r="H252" s="89"/>
      <c r="I252" s="89"/>
      <c r="J252" s="89"/>
      <c r="K252" s="89"/>
      <c r="L252" s="89"/>
      <c r="M252" s="89"/>
      <c r="N252" s="89"/>
      <c r="O252" s="89"/>
      <c r="P252" s="89"/>
      <c r="Q252" s="89"/>
      <c r="R252" s="89"/>
      <c r="S252" s="89"/>
      <c r="T252" s="89"/>
      <c r="U252" s="89"/>
      <c r="V252" s="89"/>
      <c r="W252" s="89"/>
      <c r="X252" s="89"/>
      <c r="Y252" s="89"/>
      <c r="Z252" s="89"/>
      <c r="AA252" s="79"/>
      <c r="AB252" s="79"/>
    </row>
    <row r="253" spans="1:28" ht="12.75" customHeight="1" x14ac:dyDescent="0.15">
      <c r="A253" s="79"/>
      <c r="B253" s="89"/>
      <c r="C253" s="89"/>
      <c r="D253" s="90"/>
      <c r="E253" s="90"/>
      <c r="F253" s="89"/>
      <c r="G253" s="89"/>
      <c r="H253" s="89"/>
      <c r="I253" s="89"/>
      <c r="J253" s="89"/>
      <c r="K253" s="89"/>
      <c r="L253" s="89"/>
      <c r="M253" s="89"/>
      <c r="N253" s="89"/>
      <c r="O253" s="89"/>
      <c r="P253" s="89"/>
      <c r="Q253" s="89"/>
      <c r="R253" s="89"/>
      <c r="S253" s="89"/>
      <c r="T253" s="89"/>
      <c r="U253" s="89"/>
      <c r="V253" s="89"/>
      <c r="W253" s="89"/>
      <c r="X253" s="89"/>
      <c r="Y253" s="89"/>
      <c r="Z253" s="89"/>
      <c r="AA253" s="79"/>
      <c r="AB253" s="79"/>
    </row>
    <row r="254" spans="1:28" ht="12.75" customHeight="1" x14ac:dyDescent="0.15">
      <c r="A254" s="79"/>
      <c r="B254" s="89"/>
      <c r="C254" s="89"/>
      <c r="D254" s="90"/>
      <c r="E254" s="90"/>
      <c r="F254" s="89"/>
      <c r="G254" s="89"/>
      <c r="H254" s="89"/>
      <c r="I254" s="89"/>
      <c r="J254" s="89"/>
      <c r="K254" s="89"/>
      <c r="L254" s="89"/>
      <c r="M254" s="89"/>
      <c r="N254" s="89"/>
      <c r="O254" s="89"/>
      <c r="P254" s="89"/>
      <c r="Q254" s="89"/>
      <c r="R254" s="89"/>
      <c r="S254" s="89"/>
      <c r="T254" s="89"/>
      <c r="U254" s="89"/>
      <c r="V254" s="89"/>
      <c r="W254" s="89"/>
      <c r="X254" s="89"/>
      <c r="Y254" s="89"/>
      <c r="Z254" s="89"/>
      <c r="AA254" s="79"/>
      <c r="AB254" s="79"/>
    </row>
    <row r="255" spans="1:28" ht="12.75" customHeight="1" x14ac:dyDescent="0.15">
      <c r="A255" s="79"/>
      <c r="B255" s="89"/>
      <c r="C255" s="89"/>
      <c r="D255" s="90"/>
      <c r="E255" s="90"/>
      <c r="F255" s="89"/>
      <c r="G255" s="89"/>
      <c r="H255" s="89"/>
      <c r="I255" s="89"/>
      <c r="J255" s="89"/>
      <c r="K255" s="89"/>
      <c r="L255" s="89"/>
      <c r="M255" s="89"/>
      <c r="N255" s="89"/>
      <c r="O255" s="89"/>
      <c r="P255" s="89"/>
      <c r="Q255" s="89"/>
      <c r="R255" s="89"/>
      <c r="S255" s="89"/>
      <c r="T255" s="89"/>
      <c r="U255" s="89"/>
      <c r="V255" s="89"/>
      <c r="W255" s="89"/>
      <c r="X255" s="89"/>
      <c r="Y255" s="89"/>
      <c r="Z255" s="89"/>
      <c r="AA255" s="79"/>
      <c r="AB255" s="79"/>
    </row>
    <row r="256" spans="1:28" ht="12.75" customHeight="1" x14ac:dyDescent="0.15">
      <c r="A256" s="79"/>
      <c r="B256" s="89"/>
      <c r="C256" s="89"/>
      <c r="D256" s="90"/>
      <c r="E256" s="90"/>
      <c r="F256" s="89"/>
      <c r="G256" s="89"/>
      <c r="H256" s="89"/>
      <c r="I256" s="89"/>
      <c r="J256" s="89"/>
      <c r="K256" s="89"/>
      <c r="L256" s="89"/>
      <c r="M256" s="89"/>
      <c r="N256" s="89"/>
      <c r="O256" s="89"/>
      <c r="P256" s="89"/>
      <c r="Q256" s="89"/>
      <c r="R256" s="89"/>
      <c r="S256" s="89"/>
      <c r="T256" s="89"/>
      <c r="U256" s="89"/>
      <c r="V256" s="89"/>
      <c r="W256" s="89"/>
      <c r="X256" s="89"/>
      <c r="Y256" s="89"/>
      <c r="Z256" s="89"/>
      <c r="AA256" s="79"/>
      <c r="AB256" s="79"/>
    </row>
    <row r="257" spans="1:28" ht="12.75" customHeight="1" x14ac:dyDescent="0.15">
      <c r="A257" s="79"/>
      <c r="B257" s="89"/>
      <c r="C257" s="89"/>
      <c r="D257" s="90"/>
      <c r="E257" s="90"/>
      <c r="F257" s="89"/>
      <c r="G257" s="89"/>
      <c r="H257" s="89"/>
      <c r="I257" s="89"/>
      <c r="J257" s="89"/>
      <c r="K257" s="89"/>
      <c r="L257" s="89"/>
      <c r="M257" s="89"/>
      <c r="N257" s="89"/>
      <c r="O257" s="89"/>
      <c r="P257" s="89"/>
      <c r="Q257" s="89"/>
      <c r="R257" s="89"/>
      <c r="S257" s="89"/>
      <c r="T257" s="89"/>
      <c r="U257" s="89"/>
      <c r="V257" s="89"/>
      <c r="W257" s="89"/>
      <c r="X257" s="89"/>
      <c r="Y257" s="89"/>
      <c r="Z257" s="89"/>
      <c r="AA257" s="79"/>
      <c r="AB257" s="79"/>
    </row>
    <row r="258" spans="1:28" ht="12.75" customHeight="1" x14ac:dyDescent="0.15">
      <c r="A258" s="79"/>
      <c r="B258" s="89"/>
      <c r="C258" s="89"/>
      <c r="D258" s="90"/>
      <c r="E258" s="90"/>
      <c r="F258" s="89"/>
      <c r="G258" s="89"/>
      <c r="H258" s="89"/>
      <c r="I258" s="89"/>
      <c r="J258" s="89"/>
      <c r="K258" s="89"/>
      <c r="L258" s="89"/>
      <c r="M258" s="89"/>
      <c r="N258" s="89"/>
      <c r="O258" s="89"/>
      <c r="P258" s="89"/>
      <c r="Q258" s="89"/>
      <c r="R258" s="89"/>
      <c r="S258" s="89"/>
      <c r="T258" s="89"/>
      <c r="U258" s="89"/>
      <c r="V258" s="89"/>
      <c r="W258" s="89"/>
      <c r="X258" s="89"/>
      <c r="Y258" s="89"/>
      <c r="Z258" s="89"/>
      <c r="AA258" s="79"/>
      <c r="AB258" s="79"/>
    </row>
    <row r="259" spans="1:28" ht="12.75" customHeight="1" x14ac:dyDescent="0.15">
      <c r="A259" s="79"/>
      <c r="B259" s="89"/>
      <c r="C259" s="89"/>
      <c r="D259" s="90"/>
      <c r="E259" s="90"/>
      <c r="F259" s="89"/>
      <c r="G259" s="89"/>
      <c r="H259" s="89"/>
      <c r="I259" s="89"/>
      <c r="J259" s="89"/>
      <c r="K259" s="89"/>
      <c r="L259" s="89"/>
      <c r="M259" s="89"/>
      <c r="N259" s="89"/>
      <c r="O259" s="89"/>
      <c r="P259" s="89"/>
      <c r="Q259" s="89"/>
      <c r="R259" s="89"/>
      <c r="S259" s="89"/>
      <c r="T259" s="89"/>
      <c r="U259" s="89"/>
      <c r="V259" s="89"/>
      <c r="W259" s="89"/>
      <c r="X259" s="89"/>
      <c r="Y259" s="89"/>
      <c r="Z259" s="89"/>
      <c r="AA259" s="79"/>
      <c r="AB259" s="79"/>
    </row>
    <row r="260" spans="1:28" ht="12.75" customHeight="1" x14ac:dyDescent="0.15">
      <c r="A260" s="79"/>
      <c r="B260" s="89"/>
      <c r="C260" s="89"/>
      <c r="D260" s="90"/>
      <c r="E260" s="90"/>
      <c r="F260" s="89"/>
      <c r="G260" s="89"/>
      <c r="H260" s="89"/>
      <c r="I260" s="89"/>
      <c r="J260" s="89"/>
      <c r="K260" s="89"/>
      <c r="L260" s="89"/>
      <c r="M260" s="89"/>
      <c r="N260" s="89"/>
      <c r="O260" s="89"/>
      <c r="P260" s="89"/>
      <c r="Q260" s="89"/>
      <c r="R260" s="89"/>
      <c r="S260" s="89"/>
      <c r="T260" s="89"/>
      <c r="U260" s="89"/>
      <c r="V260" s="89"/>
      <c r="W260" s="89"/>
      <c r="X260" s="89"/>
      <c r="Y260" s="89"/>
      <c r="Z260" s="89"/>
      <c r="AA260" s="79"/>
      <c r="AB260" s="79"/>
    </row>
    <row r="261" spans="1:28" ht="12.75" customHeight="1" x14ac:dyDescent="0.15">
      <c r="A261" s="79"/>
      <c r="B261" s="89"/>
      <c r="C261" s="89"/>
      <c r="D261" s="90"/>
      <c r="E261" s="90"/>
      <c r="F261" s="89"/>
      <c r="G261" s="89"/>
      <c r="H261" s="89"/>
      <c r="I261" s="89"/>
      <c r="J261" s="89"/>
      <c r="K261" s="89"/>
      <c r="L261" s="89"/>
      <c r="M261" s="89"/>
      <c r="N261" s="89"/>
      <c r="O261" s="89"/>
      <c r="P261" s="89"/>
      <c r="Q261" s="89"/>
      <c r="R261" s="89"/>
      <c r="S261" s="89"/>
      <c r="T261" s="89"/>
      <c r="U261" s="89"/>
      <c r="V261" s="89"/>
      <c r="W261" s="89"/>
      <c r="X261" s="89"/>
      <c r="Y261" s="89"/>
      <c r="Z261" s="89"/>
      <c r="AA261" s="79"/>
      <c r="AB261" s="79"/>
    </row>
    <row r="262" spans="1:28" ht="12.75" customHeight="1" x14ac:dyDescent="0.15">
      <c r="A262" s="79"/>
      <c r="B262" s="89"/>
      <c r="C262" s="89"/>
      <c r="D262" s="90"/>
      <c r="E262" s="90"/>
      <c r="F262" s="89"/>
      <c r="G262" s="89"/>
      <c r="H262" s="89"/>
      <c r="I262" s="89"/>
      <c r="J262" s="89"/>
      <c r="K262" s="89"/>
      <c r="L262" s="89"/>
      <c r="M262" s="89"/>
      <c r="N262" s="89"/>
      <c r="O262" s="89"/>
      <c r="P262" s="89"/>
      <c r="Q262" s="89"/>
      <c r="R262" s="89"/>
      <c r="S262" s="89"/>
      <c r="T262" s="89"/>
      <c r="U262" s="89"/>
      <c r="V262" s="89"/>
      <c r="W262" s="89"/>
      <c r="X262" s="89"/>
      <c r="Y262" s="89"/>
      <c r="Z262" s="89"/>
      <c r="AA262" s="79"/>
      <c r="AB262" s="79"/>
    </row>
    <row r="263" spans="1:28" ht="12.75" customHeight="1" x14ac:dyDescent="0.15">
      <c r="A263" s="79"/>
      <c r="B263" s="89"/>
      <c r="C263" s="89"/>
      <c r="D263" s="90"/>
      <c r="E263" s="90"/>
      <c r="F263" s="89"/>
      <c r="G263" s="89"/>
      <c r="H263" s="89"/>
      <c r="I263" s="89"/>
      <c r="J263" s="89"/>
      <c r="K263" s="89"/>
      <c r="L263" s="89"/>
      <c r="M263" s="89"/>
      <c r="N263" s="89"/>
      <c r="O263" s="89"/>
      <c r="P263" s="89"/>
      <c r="Q263" s="89"/>
      <c r="R263" s="89"/>
      <c r="S263" s="89"/>
      <c r="T263" s="89"/>
      <c r="U263" s="89"/>
      <c r="V263" s="89"/>
      <c r="W263" s="89"/>
      <c r="X263" s="89"/>
      <c r="Y263" s="89"/>
      <c r="Z263" s="89"/>
      <c r="AA263" s="79"/>
      <c r="AB263" s="79"/>
    </row>
    <row r="264" spans="1:28" ht="12.75" customHeight="1" x14ac:dyDescent="0.15">
      <c r="A264" s="79"/>
      <c r="B264" s="89"/>
      <c r="C264" s="89"/>
      <c r="D264" s="90"/>
      <c r="E264" s="90"/>
      <c r="F264" s="89"/>
      <c r="G264" s="89"/>
      <c r="H264" s="89"/>
      <c r="I264" s="89"/>
      <c r="J264" s="89"/>
      <c r="K264" s="89"/>
      <c r="L264" s="89"/>
      <c r="M264" s="89"/>
      <c r="N264" s="89"/>
      <c r="O264" s="89"/>
      <c r="P264" s="89"/>
      <c r="Q264" s="89"/>
      <c r="R264" s="89"/>
      <c r="S264" s="89"/>
      <c r="T264" s="89"/>
      <c r="U264" s="89"/>
      <c r="V264" s="89"/>
      <c r="W264" s="89"/>
      <c r="X264" s="89"/>
      <c r="Y264" s="89"/>
      <c r="Z264" s="89"/>
      <c r="AA264" s="79"/>
      <c r="AB264" s="79"/>
    </row>
    <row r="265" spans="1:28" ht="12.75" customHeight="1" x14ac:dyDescent="0.15">
      <c r="A265" s="79"/>
      <c r="B265" s="89"/>
      <c r="C265" s="89"/>
      <c r="D265" s="90"/>
      <c r="E265" s="90"/>
      <c r="F265" s="89"/>
      <c r="G265" s="89"/>
      <c r="H265" s="89"/>
      <c r="I265" s="89"/>
      <c r="J265" s="89"/>
      <c r="K265" s="89"/>
      <c r="L265" s="89"/>
      <c r="M265" s="89"/>
      <c r="N265" s="89"/>
      <c r="O265" s="89"/>
      <c r="P265" s="89"/>
      <c r="Q265" s="89"/>
      <c r="R265" s="89"/>
      <c r="S265" s="89"/>
      <c r="T265" s="89"/>
      <c r="U265" s="89"/>
      <c r="V265" s="89"/>
      <c r="W265" s="89"/>
      <c r="X265" s="89"/>
      <c r="Y265" s="89"/>
      <c r="Z265" s="89"/>
      <c r="AA265" s="79"/>
      <c r="AB265" s="79"/>
    </row>
    <row r="266" spans="1:28" ht="12.75" customHeight="1" x14ac:dyDescent="0.15">
      <c r="A266" s="79"/>
      <c r="B266" s="89"/>
      <c r="C266" s="89"/>
      <c r="D266" s="90"/>
      <c r="E266" s="90"/>
      <c r="F266" s="89"/>
      <c r="G266" s="89"/>
      <c r="H266" s="89"/>
      <c r="I266" s="89"/>
      <c r="J266" s="89"/>
      <c r="K266" s="89"/>
      <c r="L266" s="89"/>
      <c r="M266" s="89"/>
      <c r="N266" s="89"/>
      <c r="O266" s="89"/>
      <c r="P266" s="89"/>
      <c r="Q266" s="89"/>
      <c r="R266" s="89"/>
      <c r="S266" s="89"/>
      <c r="T266" s="89"/>
      <c r="U266" s="89"/>
      <c r="V266" s="89"/>
      <c r="W266" s="89"/>
      <c r="X266" s="89"/>
      <c r="Y266" s="89"/>
      <c r="Z266" s="89"/>
      <c r="AA266" s="79"/>
      <c r="AB266" s="79"/>
    </row>
    <row r="267" spans="1:28" ht="12.75" customHeight="1" x14ac:dyDescent="0.15">
      <c r="A267" s="79"/>
      <c r="B267" s="89"/>
      <c r="C267" s="89"/>
      <c r="D267" s="90"/>
      <c r="E267" s="90"/>
      <c r="F267" s="89"/>
      <c r="G267" s="89"/>
      <c r="H267" s="89"/>
      <c r="I267" s="89"/>
      <c r="J267" s="89"/>
      <c r="K267" s="89"/>
      <c r="L267" s="89"/>
      <c r="M267" s="89"/>
      <c r="N267" s="89"/>
      <c r="O267" s="89"/>
      <c r="P267" s="89"/>
      <c r="Q267" s="89"/>
      <c r="R267" s="89"/>
      <c r="S267" s="89"/>
      <c r="T267" s="89"/>
      <c r="U267" s="89"/>
      <c r="V267" s="89"/>
      <c r="W267" s="89"/>
      <c r="X267" s="89"/>
      <c r="Y267" s="89"/>
      <c r="Z267" s="89"/>
      <c r="AA267" s="79"/>
      <c r="AB267" s="79"/>
    </row>
    <row r="268" spans="1:28" ht="12.75" customHeight="1" x14ac:dyDescent="0.15">
      <c r="A268" s="79"/>
      <c r="B268" s="89"/>
      <c r="C268" s="89"/>
      <c r="D268" s="90"/>
      <c r="E268" s="90"/>
      <c r="F268" s="89"/>
      <c r="G268" s="89"/>
      <c r="H268" s="89"/>
      <c r="I268" s="89"/>
      <c r="J268" s="89"/>
      <c r="K268" s="89"/>
      <c r="L268" s="89"/>
      <c r="M268" s="89"/>
      <c r="N268" s="89"/>
      <c r="O268" s="89"/>
      <c r="P268" s="89"/>
      <c r="Q268" s="89"/>
      <c r="R268" s="89"/>
      <c r="S268" s="89"/>
      <c r="T268" s="89"/>
      <c r="U268" s="89"/>
      <c r="V268" s="89"/>
      <c r="W268" s="89"/>
      <c r="X268" s="89"/>
      <c r="Y268" s="89"/>
      <c r="Z268" s="89"/>
      <c r="AA268" s="79"/>
      <c r="AB268" s="79"/>
    </row>
    <row r="269" spans="1:28" ht="12.75" customHeight="1" x14ac:dyDescent="0.15">
      <c r="A269" s="79"/>
      <c r="B269" s="89"/>
      <c r="C269" s="89"/>
      <c r="D269" s="90"/>
      <c r="E269" s="90"/>
      <c r="F269" s="89"/>
      <c r="G269" s="89"/>
      <c r="H269" s="89"/>
      <c r="I269" s="89"/>
      <c r="J269" s="89"/>
      <c r="K269" s="89"/>
      <c r="L269" s="89"/>
      <c r="M269" s="89"/>
      <c r="N269" s="89"/>
      <c r="O269" s="89"/>
      <c r="P269" s="89"/>
      <c r="Q269" s="89"/>
      <c r="R269" s="89"/>
      <c r="S269" s="89"/>
      <c r="T269" s="89"/>
      <c r="U269" s="89"/>
      <c r="V269" s="89"/>
      <c r="W269" s="89"/>
      <c r="X269" s="89"/>
      <c r="Y269" s="89"/>
      <c r="Z269" s="89"/>
      <c r="AA269" s="79"/>
      <c r="AB269" s="79"/>
    </row>
    <row r="270" spans="1:28" ht="12.75" customHeight="1" x14ac:dyDescent="0.15">
      <c r="A270" s="79"/>
      <c r="B270" s="89"/>
      <c r="C270" s="89"/>
      <c r="D270" s="90"/>
      <c r="E270" s="90"/>
      <c r="F270" s="89"/>
      <c r="G270" s="89"/>
      <c r="H270" s="89"/>
      <c r="I270" s="89"/>
      <c r="J270" s="89"/>
      <c r="K270" s="89"/>
      <c r="L270" s="89"/>
      <c r="M270" s="89"/>
      <c r="N270" s="89"/>
      <c r="O270" s="89"/>
      <c r="P270" s="89"/>
      <c r="Q270" s="89"/>
      <c r="R270" s="89"/>
      <c r="S270" s="89"/>
      <c r="T270" s="89"/>
      <c r="U270" s="89"/>
      <c r="V270" s="89"/>
      <c r="W270" s="89"/>
      <c r="X270" s="89"/>
      <c r="Y270" s="89"/>
      <c r="Z270" s="89"/>
      <c r="AA270" s="79"/>
      <c r="AB270" s="79"/>
    </row>
    <row r="271" spans="1:28" ht="12.75" customHeight="1" x14ac:dyDescent="0.15">
      <c r="A271" s="79"/>
      <c r="B271" s="89"/>
      <c r="C271" s="89"/>
      <c r="D271" s="90"/>
      <c r="E271" s="90"/>
      <c r="F271" s="89"/>
      <c r="G271" s="89"/>
      <c r="H271" s="89"/>
      <c r="I271" s="89"/>
      <c r="J271" s="89"/>
      <c r="K271" s="89"/>
      <c r="L271" s="89"/>
      <c r="M271" s="89"/>
      <c r="N271" s="89"/>
      <c r="O271" s="89"/>
      <c r="P271" s="89"/>
      <c r="Q271" s="89"/>
      <c r="R271" s="89"/>
      <c r="S271" s="89"/>
      <c r="T271" s="89"/>
      <c r="U271" s="89"/>
      <c r="V271" s="89"/>
      <c r="W271" s="89"/>
      <c r="X271" s="89"/>
      <c r="Y271" s="89"/>
      <c r="Z271" s="89"/>
      <c r="AA271" s="79"/>
      <c r="AB271" s="79"/>
    </row>
    <row r="272" spans="1:28" ht="12.75" customHeight="1" x14ac:dyDescent="0.15">
      <c r="A272" s="79"/>
      <c r="B272" s="89"/>
      <c r="C272" s="89"/>
      <c r="D272" s="90"/>
      <c r="E272" s="90"/>
      <c r="F272" s="89"/>
      <c r="G272" s="89"/>
      <c r="H272" s="89"/>
      <c r="I272" s="89"/>
      <c r="J272" s="89"/>
      <c r="K272" s="89"/>
      <c r="L272" s="89"/>
      <c r="M272" s="89"/>
      <c r="N272" s="89"/>
      <c r="O272" s="89"/>
      <c r="P272" s="89"/>
      <c r="Q272" s="89"/>
      <c r="R272" s="89"/>
      <c r="S272" s="89"/>
      <c r="T272" s="89"/>
      <c r="U272" s="89"/>
      <c r="V272" s="89"/>
      <c r="W272" s="89"/>
      <c r="X272" s="89"/>
      <c r="Y272" s="89"/>
      <c r="Z272" s="89"/>
      <c r="AA272" s="79"/>
      <c r="AB272" s="79"/>
    </row>
    <row r="273" spans="1:28" ht="12.75" customHeight="1" x14ac:dyDescent="0.15">
      <c r="A273" s="79"/>
      <c r="B273" s="89"/>
      <c r="C273" s="89"/>
      <c r="D273" s="90"/>
      <c r="E273" s="90"/>
      <c r="F273" s="89"/>
      <c r="G273" s="89"/>
      <c r="H273" s="89"/>
      <c r="I273" s="89"/>
      <c r="J273" s="89"/>
      <c r="K273" s="89"/>
      <c r="L273" s="89"/>
      <c r="M273" s="89"/>
      <c r="N273" s="89"/>
      <c r="O273" s="89"/>
      <c r="P273" s="89"/>
      <c r="Q273" s="89"/>
      <c r="R273" s="89"/>
      <c r="S273" s="89"/>
      <c r="T273" s="89"/>
      <c r="U273" s="89"/>
      <c r="V273" s="89"/>
      <c r="W273" s="89"/>
      <c r="X273" s="89"/>
      <c r="Y273" s="89"/>
      <c r="Z273" s="89"/>
      <c r="AA273" s="79"/>
      <c r="AB273" s="79"/>
    </row>
    <row r="274" spans="1:28" ht="15.8" customHeight="1" x14ac:dyDescent="0.15">
      <c r="A274" s="79"/>
      <c r="B274" s="79"/>
      <c r="C274" s="79"/>
      <c r="D274" s="79"/>
      <c r="E274" s="79"/>
      <c r="F274" s="79"/>
      <c r="G274" s="79"/>
      <c r="H274" s="79"/>
      <c r="I274" s="79"/>
      <c r="J274" s="87"/>
      <c r="K274" s="87"/>
      <c r="L274" s="87"/>
      <c r="M274" s="87"/>
      <c r="N274" s="79"/>
      <c r="O274" s="79"/>
      <c r="P274" s="79"/>
      <c r="Q274" s="79"/>
      <c r="R274" s="79"/>
      <c r="S274" s="79"/>
      <c r="T274" s="79"/>
      <c r="U274" s="79"/>
      <c r="V274" s="79"/>
      <c r="W274" s="79"/>
      <c r="X274" s="79"/>
      <c r="Y274" s="79"/>
      <c r="Z274" s="79"/>
      <c r="AA274" s="79"/>
      <c r="AB274" s="79"/>
    </row>
    <row r="275" spans="1:28" ht="15.8" customHeight="1" x14ac:dyDescent="0.15">
      <c r="A275" s="79"/>
      <c r="B275" s="79"/>
      <c r="C275" s="79"/>
      <c r="D275" s="79"/>
      <c r="E275" s="79"/>
      <c r="F275" s="79"/>
      <c r="G275" s="79"/>
      <c r="H275" s="79"/>
      <c r="I275" s="79"/>
      <c r="J275" s="87"/>
      <c r="K275" s="87"/>
      <c r="L275" s="87"/>
      <c r="M275" s="87"/>
      <c r="N275" s="79"/>
      <c r="O275" s="79"/>
      <c r="P275" s="79"/>
      <c r="Q275" s="79"/>
      <c r="R275" s="79"/>
      <c r="S275" s="79"/>
      <c r="T275" s="79"/>
      <c r="U275" s="79"/>
      <c r="V275" s="79"/>
      <c r="W275" s="79"/>
      <c r="X275" s="79"/>
      <c r="Y275" s="79"/>
      <c r="Z275" s="79"/>
      <c r="AA275" s="79"/>
      <c r="AB275" s="79"/>
    </row>
    <row r="276" spans="1:28" ht="15.8" customHeight="1" x14ac:dyDescent="0.15">
      <c r="A276" s="79"/>
      <c r="B276" s="79"/>
      <c r="C276" s="79"/>
      <c r="D276" s="79"/>
      <c r="E276" s="79"/>
      <c r="F276" s="79"/>
      <c r="G276" s="79"/>
      <c r="H276" s="79"/>
      <c r="I276" s="79"/>
      <c r="J276" s="87"/>
      <c r="K276" s="87"/>
      <c r="L276" s="87"/>
      <c r="M276" s="87"/>
      <c r="N276" s="79"/>
      <c r="O276" s="79"/>
      <c r="P276" s="79"/>
      <c r="Q276" s="79"/>
      <c r="R276" s="79"/>
      <c r="S276" s="79"/>
      <c r="T276" s="79"/>
      <c r="U276" s="79"/>
      <c r="V276" s="79"/>
      <c r="W276" s="79"/>
      <c r="X276" s="79"/>
      <c r="Y276" s="79"/>
      <c r="Z276" s="79"/>
      <c r="AA276" s="79"/>
      <c r="AB276" s="79"/>
    </row>
    <row r="277" spans="1:28" ht="15.8" customHeight="1" x14ac:dyDescent="0.15">
      <c r="A277" s="79"/>
      <c r="B277" s="79"/>
      <c r="C277" s="79"/>
      <c r="D277" s="79"/>
      <c r="E277" s="79"/>
      <c r="F277" s="79"/>
      <c r="G277" s="79"/>
      <c r="H277" s="79"/>
      <c r="I277" s="79"/>
      <c r="J277" s="87"/>
      <c r="K277" s="87"/>
      <c r="L277" s="87"/>
      <c r="M277" s="87"/>
      <c r="N277" s="79"/>
      <c r="O277" s="79"/>
      <c r="P277" s="79"/>
      <c r="Q277" s="79"/>
      <c r="R277" s="79"/>
      <c r="S277" s="79"/>
      <c r="T277" s="79"/>
      <c r="U277" s="79"/>
      <c r="V277" s="79"/>
      <c r="W277" s="79"/>
      <c r="X277" s="79"/>
      <c r="Y277" s="79"/>
      <c r="Z277" s="79"/>
      <c r="AA277" s="79"/>
      <c r="AB277" s="79"/>
    </row>
    <row r="278" spans="1:28" ht="15.8" customHeight="1" x14ac:dyDescent="0.15">
      <c r="A278" s="79"/>
      <c r="B278" s="79"/>
      <c r="C278" s="79"/>
      <c r="D278" s="79"/>
      <c r="E278" s="79"/>
      <c r="F278" s="79"/>
      <c r="G278" s="79"/>
      <c r="H278" s="79"/>
      <c r="I278" s="79"/>
      <c r="J278" s="87"/>
      <c r="K278" s="87"/>
      <c r="L278" s="87"/>
      <c r="M278" s="87"/>
      <c r="N278" s="79"/>
      <c r="O278" s="79"/>
      <c r="P278" s="79"/>
      <c r="Q278" s="79"/>
      <c r="R278" s="79"/>
      <c r="S278" s="79"/>
      <c r="T278" s="79"/>
      <c r="U278" s="79"/>
      <c r="V278" s="79"/>
      <c r="W278" s="79"/>
      <c r="X278" s="79"/>
      <c r="Y278" s="79"/>
      <c r="Z278" s="79"/>
      <c r="AA278" s="79"/>
      <c r="AB278" s="79"/>
    </row>
    <row r="279" spans="1:28" ht="15.8" customHeight="1" x14ac:dyDescent="0.15">
      <c r="A279" s="79"/>
      <c r="B279" s="79"/>
      <c r="C279" s="79"/>
      <c r="D279" s="79"/>
      <c r="E279" s="79"/>
      <c r="F279" s="79"/>
      <c r="G279" s="79"/>
      <c r="H279" s="79"/>
      <c r="I279" s="79"/>
      <c r="J279" s="87"/>
      <c r="K279" s="87"/>
      <c r="L279" s="87"/>
      <c r="M279" s="87"/>
      <c r="N279" s="79"/>
      <c r="O279" s="79"/>
      <c r="P279" s="79"/>
      <c r="Q279" s="79"/>
      <c r="R279" s="79"/>
      <c r="S279" s="79"/>
      <c r="T279" s="79"/>
      <c r="U279" s="79"/>
      <c r="V279" s="79"/>
      <c r="W279" s="79"/>
      <c r="X279" s="79"/>
      <c r="Y279" s="79"/>
      <c r="Z279" s="79"/>
      <c r="AA279" s="79"/>
      <c r="AB279" s="79"/>
    </row>
    <row r="280" spans="1:28" ht="15.8" customHeight="1" x14ac:dyDescent="0.15">
      <c r="A280" s="79"/>
      <c r="B280" s="79"/>
      <c r="C280" s="79"/>
      <c r="D280" s="79"/>
      <c r="E280" s="79"/>
      <c r="F280" s="79"/>
      <c r="G280" s="79"/>
      <c r="H280" s="79"/>
      <c r="I280" s="79"/>
      <c r="J280" s="87"/>
      <c r="K280" s="87"/>
      <c r="L280" s="87"/>
      <c r="M280" s="87"/>
      <c r="N280" s="79"/>
      <c r="O280" s="79"/>
      <c r="P280" s="79"/>
      <c r="Q280" s="79"/>
      <c r="R280" s="79"/>
      <c r="S280" s="79"/>
      <c r="T280" s="79"/>
      <c r="U280" s="79"/>
      <c r="V280" s="79"/>
      <c r="W280" s="79"/>
      <c r="X280" s="79"/>
      <c r="Y280" s="79"/>
      <c r="Z280" s="79"/>
      <c r="AA280" s="79"/>
      <c r="AB280" s="79"/>
    </row>
    <row r="281" spans="1:28" ht="15.8" customHeight="1" x14ac:dyDescent="0.15">
      <c r="A281" s="79"/>
      <c r="B281" s="79"/>
      <c r="C281" s="79"/>
      <c r="D281" s="79"/>
      <c r="E281" s="79"/>
      <c r="F281" s="79"/>
      <c r="G281" s="79"/>
      <c r="H281" s="79"/>
      <c r="I281" s="79"/>
      <c r="J281" s="87"/>
      <c r="K281" s="87"/>
      <c r="L281" s="87"/>
      <c r="M281" s="87"/>
      <c r="N281" s="79"/>
      <c r="O281" s="79"/>
      <c r="P281" s="79"/>
      <c r="Q281" s="79"/>
      <c r="R281" s="79"/>
      <c r="S281" s="79"/>
      <c r="T281" s="79"/>
      <c r="U281" s="79"/>
      <c r="V281" s="79"/>
      <c r="W281" s="79"/>
      <c r="X281" s="79"/>
      <c r="Y281" s="79"/>
      <c r="Z281" s="79"/>
      <c r="AA281" s="79"/>
      <c r="AB281" s="79"/>
    </row>
    <row r="282" spans="1:28" ht="15.8" customHeight="1" x14ac:dyDescent="0.15">
      <c r="A282" s="79"/>
      <c r="B282" s="79"/>
      <c r="C282" s="79"/>
      <c r="D282" s="79"/>
      <c r="E282" s="79"/>
      <c r="F282" s="79"/>
      <c r="G282" s="79"/>
      <c r="H282" s="79"/>
      <c r="I282" s="79"/>
      <c r="J282" s="87"/>
      <c r="K282" s="87"/>
      <c r="L282" s="87"/>
      <c r="M282" s="87"/>
      <c r="N282" s="79"/>
      <c r="O282" s="79"/>
      <c r="P282" s="79"/>
      <c r="Q282" s="79"/>
      <c r="R282" s="79"/>
      <c r="S282" s="79"/>
      <c r="T282" s="79"/>
      <c r="U282" s="79"/>
      <c r="V282" s="79"/>
      <c r="W282" s="79"/>
      <c r="X282" s="79"/>
      <c r="Y282" s="79"/>
      <c r="Z282" s="79"/>
      <c r="AA282" s="79"/>
      <c r="AB282" s="79"/>
    </row>
    <row r="283" spans="1:28" ht="15.8" customHeight="1" x14ac:dyDescent="0.15">
      <c r="A283" s="79"/>
      <c r="B283" s="79"/>
      <c r="C283" s="79"/>
      <c r="D283" s="79"/>
      <c r="E283" s="79"/>
      <c r="F283" s="79"/>
      <c r="G283" s="79"/>
      <c r="H283" s="79"/>
      <c r="I283" s="79"/>
      <c r="J283" s="87"/>
      <c r="K283" s="87"/>
      <c r="L283" s="87"/>
      <c r="M283" s="87"/>
      <c r="N283" s="79"/>
      <c r="O283" s="79"/>
      <c r="P283" s="79"/>
      <c r="Q283" s="79"/>
      <c r="R283" s="79"/>
      <c r="S283" s="79"/>
      <c r="T283" s="79"/>
      <c r="U283" s="79"/>
      <c r="V283" s="79"/>
      <c r="W283" s="79"/>
      <c r="X283" s="79"/>
      <c r="Y283" s="79"/>
      <c r="Z283" s="79"/>
      <c r="AA283" s="79"/>
      <c r="AB283" s="79"/>
    </row>
    <row r="284" spans="1:28" ht="15.8" customHeight="1" x14ac:dyDescent="0.15">
      <c r="A284" s="79"/>
      <c r="B284" s="79"/>
      <c r="C284" s="79"/>
      <c r="D284" s="79"/>
      <c r="E284" s="79"/>
      <c r="F284" s="79"/>
      <c r="G284" s="79"/>
      <c r="H284" s="79"/>
      <c r="I284" s="79"/>
      <c r="J284" s="87"/>
      <c r="K284" s="87"/>
      <c r="L284" s="87"/>
      <c r="M284" s="87"/>
      <c r="N284" s="79"/>
      <c r="O284" s="79"/>
      <c r="P284" s="79"/>
      <c r="Q284" s="79"/>
      <c r="R284" s="79"/>
      <c r="S284" s="79"/>
      <c r="T284" s="79"/>
      <c r="U284" s="79"/>
      <c r="V284" s="79"/>
      <c r="W284" s="79"/>
      <c r="X284" s="79"/>
      <c r="Y284" s="79"/>
      <c r="Z284" s="79"/>
      <c r="AA284" s="79"/>
      <c r="AB284" s="79"/>
    </row>
    <row r="285" spans="1:28" ht="15.8" customHeight="1" x14ac:dyDescent="0.15">
      <c r="A285" s="79"/>
      <c r="B285" s="79"/>
      <c r="C285" s="79"/>
      <c r="D285" s="79"/>
      <c r="E285" s="79"/>
      <c r="F285" s="79"/>
      <c r="G285" s="79"/>
      <c r="H285" s="79"/>
      <c r="I285" s="79"/>
      <c r="J285" s="87"/>
      <c r="K285" s="87"/>
      <c r="L285" s="87"/>
      <c r="M285" s="87"/>
      <c r="N285" s="79"/>
      <c r="O285" s="79"/>
      <c r="P285" s="79"/>
      <c r="Q285" s="79"/>
      <c r="R285" s="79"/>
      <c r="S285" s="79"/>
      <c r="T285" s="79"/>
      <c r="U285" s="79"/>
      <c r="V285" s="79"/>
      <c r="W285" s="79"/>
      <c r="X285" s="79"/>
      <c r="Y285" s="79"/>
      <c r="Z285" s="79"/>
      <c r="AA285" s="79"/>
      <c r="AB285" s="79"/>
    </row>
    <row r="286" spans="1:28" ht="15.8" customHeight="1" x14ac:dyDescent="0.15">
      <c r="A286" s="79"/>
      <c r="B286" s="79"/>
      <c r="C286" s="79"/>
      <c r="D286" s="79"/>
      <c r="E286" s="79"/>
      <c r="F286" s="79"/>
      <c r="G286" s="79"/>
      <c r="H286" s="79"/>
      <c r="I286" s="79"/>
      <c r="J286" s="87"/>
      <c r="K286" s="87"/>
      <c r="L286" s="87"/>
      <c r="M286" s="87"/>
      <c r="N286" s="79"/>
      <c r="O286" s="79"/>
      <c r="P286" s="79"/>
      <c r="Q286" s="79"/>
      <c r="R286" s="79"/>
      <c r="S286" s="79"/>
      <c r="T286" s="79"/>
      <c r="U286" s="79"/>
      <c r="V286" s="79"/>
      <c r="W286" s="79"/>
      <c r="X286" s="79"/>
      <c r="Y286" s="79"/>
      <c r="Z286" s="79"/>
      <c r="AA286" s="79"/>
      <c r="AB286" s="79"/>
    </row>
    <row r="287" spans="1:28" ht="15.8" customHeight="1" x14ac:dyDescent="0.15">
      <c r="A287" s="79"/>
      <c r="B287" s="79"/>
      <c r="C287" s="79"/>
      <c r="D287" s="79"/>
      <c r="E287" s="79"/>
      <c r="F287" s="79"/>
      <c r="G287" s="79"/>
      <c r="H287" s="79"/>
      <c r="I287" s="79"/>
      <c r="J287" s="87"/>
      <c r="K287" s="87"/>
      <c r="L287" s="87"/>
      <c r="M287" s="87"/>
      <c r="N287" s="79"/>
      <c r="O287" s="79"/>
      <c r="P287" s="79"/>
      <c r="Q287" s="79"/>
      <c r="R287" s="79"/>
      <c r="S287" s="79"/>
      <c r="T287" s="79"/>
      <c r="U287" s="79"/>
      <c r="V287" s="79"/>
      <c r="W287" s="79"/>
      <c r="X287" s="79"/>
      <c r="Y287" s="79"/>
      <c r="Z287" s="79"/>
      <c r="AA287" s="79"/>
      <c r="AB287" s="79"/>
    </row>
    <row r="288" spans="1:28" ht="15.8" customHeight="1" x14ac:dyDescent="0.15">
      <c r="A288" s="79"/>
      <c r="B288" s="79"/>
      <c r="C288" s="79"/>
      <c r="D288" s="79"/>
      <c r="E288" s="79"/>
      <c r="F288" s="79"/>
      <c r="G288" s="79"/>
      <c r="H288" s="79"/>
      <c r="I288" s="79"/>
      <c r="J288" s="87"/>
      <c r="K288" s="87"/>
      <c r="L288" s="87"/>
      <c r="M288" s="87"/>
      <c r="N288" s="79"/>
      <c r="O288" s="79"/>
      <c r="P288" s="79"/>
      <c r="Q288" s="79"/>
      <c r="R288" s="79"/>
      <c r="S288" s="79"/>
      <c r="T288" s="79"/>
      <c r="U288" s="79"/>
      <c r="V288" s="79"/>
      <c r="W288" s="79"/>
      <c r="X288" s="79"/>
      <c r="Y288" s="79"/>
      <c r="Z288" s="79"/>
      <c r="AA288" s="79"/>
      <c r="AB288" s="79"/>
    </row>
    <row r="289" spans="1:28" ht="15.8" customHeight="1" x14ac:dyDescent="0.15">
      <c r="A289" s="79"/>
      <c r="B289" s="79"/>
      <c r="C289" s="79"/>
      <c r="D289" s="79"/>
      <c r="E289" s="79"/>
      <c r="F289" s="79"/>
      <c r="G289" s="79"/>
      <c r="H289" s="79"/>
      <c r="I289" s="79"/>
      <c r="J289" s="87"/>
      <c r="K289" s="87"/>
      <c r="L289" s="87"/>
      <c r="M289" s="87"/>
      <c r="N289" s="79"/>
      <c r="O289" s="79"/>
      <c r="P289" s="79"/>
      <c r="Q289" s="79"/>
      <c r="R289" s="79"/>
      <c r="S289" s="79"/>
      <c r="T289" s="79"/>
      <c r="U289" s="79"/>
      <c r="V289" s="79"/>
      <c r="W289" s="79"/>
      <c r="X289" s="79"/>
      <c r="Y289" s="79"/>
      <c r="Z289" s="79"/>
      <c r="AA289" s="79"/>
      <c r="AB289" s="79"/>
    </row>
    <row r="290" spans="1:28" ht="15.8" customHeight="1" x14ac:dyDescent="0.15">
      <c r="A290" s="79"/>
      <c r="B290" s="79"/>
      <c r="C290" s="79"/>
      <c r="D290" s="79"/>
      <c r="E290" s="79"/>
      <c r="F290" s="79"/>
      <c r="G290" s="79"/>
      <c r="H290" s="79"/>
      <c r="I290" s="79"/>
      <c r="J290" s="87"/>
      <c r="K290" s="87"/>
      <c r="L290" s="87"/>
      <c r="M290" s="87"/>
      <c r="N290" s="79"/>
      <c r="O290" s="79"/>
      <c r="P290" s="79"/>
      <c r="Q290" s="79"/>
      <c r="R290" s="79"/>
      <c r="S290" s="79"/>
      <c r="T290" s="79"/>
      <c r="U290" s="79"/>
      <c r="V290" s="79"/>
      <c r="W290" s="79"/>
      <c r="X290" s="79"/>
      <c r="Y290" s="79"/>
      <c r="Z290" s="79"/>
      <c r="AA290" s="79"/>
      <c r="AB290" s="79"/>
    </row>
    <row r="291" spans="1:28" ht="15.8" customHeight="1" x14ac:dyDescent="0.15">
      <c r="A291" s="79"/>
      <c r="B291" s="79"/>
      <c r="C291" s="79"/>
      <c r="D291" s="79"/>
      <c r="E291" s="79"/>
      <c r="F291" s="79"/>
      <c r="G291" s="79"/>
      <c r="H291" s="79"/>
      <c r="I291" s="79"/>
      <c r="J291" s="87"/>
      <c r="K291" s="87"/>
      <c r="L291" s="87"/>
      <c r="M291" s="87"/>
      <c r="N291" s="79"/>
      <c r="O291" s="79"/>
      <c r="P291" s="79"/>
      <c r="Q291" s="79"/>
      <c r="R291" s="79"/>
      <c r="S291" s="79"/>
      <c r="T291" s="79"/>
      <c r="U291" s="79"/>
      <c r="V291" s="79"/>
      <c r="W291" s="79"/>
      <c r="X291" s="79"/>
      <c r="Y291" s="79"/>
      <c r="Z291" s="79"/>
      <c r="AA291" s="79"/>
      <c r="AB291" s="79"/>
    </row>
    <row r="292" spans="1:28" ht="15.8" customHeight="1" x14ac:dyDescent="0.15">
      <c r="A292" s="79"/>
      <c r="B292" s="79"/>
      <c r="C292" s="79"/>
      <c r="D292" s="79"/>
      <c r="E292" s="79"/>
      <c r="F292" s="79"/>
      <c r="G292" s="79"/>
      <c r="H292" s="79"/>
      <c r="I292" s="79"/>
      <c r="J292" s="87"/>
      <c r="K292" s="87"/>
      <c r="L292" s="87"/>
      <c r="M292" s="87"/>
      <c r="N292" s="79"/>
      <c r="O292" s="79"/>
      <c r="P292" s="79"/>
      <c r="Q292" s="79"/>
      <c r="R292" s="79"/>
      <c r="S292" s="79"/>
      <c r="T292" s="79"/>
      <c r="U292" s="79"/>
      <c r="V292" s="79"/>
      <c r="W292" s="79"/>
      <c r="X292" s="79"/>
      <c r="Y292" s="79"/>
      <c r="Z292" s="79"/>
      <c r="AA292" s="79"/>
      <c r="AB292" s="79"/>
    </row>
    <row r="293" spans="1:28" ht="15.8" customHeight="1" x14ac:dyDescent="0.15">
      <c r="A293" s="79"/>
      <c r="B293" s="79"/>
      <c r="C293" s="79"/>
      <c r="D293" s="79"/>
      <c r="E293" s="79"/>
      <c r="F293" s="79"/>
      <c r="G293" s="79"/>
      <c r="H293" s="79"/>
      <c r="I293" s="79"/>
      <c r="J293" s="87"/>
      <c r="K293" s="87"/>
      <c r="L293" s="87"/>
      <c r="M293" s="87"/>
      <c r="N293" s="79"/>
      <c r="O293" s="79"/>
      <c r="P293" s="79"/>
      <c r="Q293" s="79"/>
      <c r="R293" s="79"/>
      <c r="S293" s="79"/>
      <c r="T293" s="79"/>
      <c r="U293" s="79"/>
      <c r="V293" s="79"/>
      <c r="W293" s="79"/>
      <c r="X293" s="79"/>
      <c r="Y293" s="79"/>
      <c r="Z293" s="79"/>
      <c r="AA293" s="79"/>
      <c r="AB293" s="79"/>
    </row>
    <row r="294" spans="1:28" ht="15.8" customHeight="1" x14ac:dyDescent="0.15">
      <c r="A294" s="79"/>
      <c r="B294" s="79"/>
      <c r="C294" s="79"/>
      <c r="D294" s="79"/>
      <c r="E294" s="79"/>
      <c r="F294" s="79"/>
      <c r="G294" s="79"/>
      <c r="H294" s="79"/>
      <c r="I294" s="79"/>
      <c r="J294" s="87"/>
      <c r="K294" s="87"/>
      <c r="L294" s="87"/>
      <c r="M294" s="87"/>
      <c r="N294" s="79"/>
      <c r="O294" s="79"/>
      <c r="P294" s="79"/>
      <c r="Q294" s="79"/>
      <c r="R294" s="79"/>
      <c r="S294" s="79"/>
      <c r="T294" s="79"/>
      <c r="U294" s="79"/>
      <c r="V294" s="79"/>
      <c r="W294" s="79"/>
      <c r="X294" s="79"/>
      <c r="Y294" s="79"/>
      <c r="Z294" s="79"/>
      <c r="AA294" s="79"/>
      <c r="AB294" s="79"/>
    </row>
    <row r="295" spans="1:28" ht="15.8" customHeight="1" x14ac:dyDescent="0.15">
      <c r="A295" s="79"/>
      <c r="B295" s="79"/>
      <c r="C295" s="79"/>
      <c r="D295" s="79"/>
      <c r="E295" s="79"/>
      <c r="F295" s="79"/>
      <c r="G295" s="79"/>
      <c r="H295" s="79"/>
      <c r="I295" s="79"/>
      <c r="J295" s="87"/>
      <c r="K295" s="87"/>
      <c r="L295" s="87"/>
      <c r="M295" s="87"/>
      <c r="N295" s="79"/>
      <c r="O295" s="79"/>
      <c r="P295" s="79"/>
      <c r="Q295" s="79"/>
      <c r="R295" s="79"/>
      <c r="S295" s="79"/>
      <c r="T295" s="79"/>
      <c r="U295" s="79"/>
      <c r="V295" s="79"/>
      <c r="W295" s="79"/>
      <c r="X295" s="79"/>
      <c r="Y295" s="79"/>
      <c r="Z295" s="79"/>
      <c r="AA295" s="79"/>
      <c r="AB295" s="79"/>
    </row>
    <row r="296" spans="1:28" ht="15.8" customHeight="1" x14ac:dyDescent="0.15">
      <c r="A296" s="79"/>
      <c r="B296" s="79"/>
      <c r="C296" s="79"/>
      <c r="D296" s="79"/>
      <c r="E296" s="79"/>
      <c r="F296" s="79"/>
      <c r="G296" s="79"/>
      <c r="H296" s="79"/>
      <c r="I296" s="79"/>
      <c r="J296" s="87"/>
      <c r="K296" s="87"/>
      <c r="L296" s="87"/>
      <c r="M296" s="87"/>
      <c r="N296" s="79"/>
      <c r="O296" s="79"/>
      <c r="P296" s="79"/>
      <c r="Q296" s="79"/>
      <c r="R296" s="79"/>
      <c r="S296" s="79"/>
      <c r="T296" s="79"/>
      <c r="U296" s="79"/>
      <c r="V296" s="79"/>
      <c r="W296" s="79"/>
      <c r="X296" s="79"/>
      <c r="Y296" s="79"/>
      <c r="Z296" s="79"/>
      <c r="AA296" s="79"/>
      <c r="AB296" s="79"/>
    </row>
    <row r="297" spans="1:28" ht="15.8" customHeight="1" x14ac:dyDescent="0.15">
      <c r="A297" s="79"/>
      <c r="B297" s="79"/>
      <c r="C297" s="79"/>
      <c r="D297" s="79"/>
      <c r="E297" s="79"/>
      <c r="F297" s="79"/>
      <c r="G297" s="79"/>
      <c r="H297" s="79"/>
      <c r="I297" s="79"/>
      <c r="J297" s="87"/>
      <c r="K297" s="87"/>
      <c r="L297" s="87"/>
      <c r="M297" s="87"/>
      <c r="N297" s="79"/>
      <c r="O297" s="79"/>
      <c r="P297" s="79"/>
      <c r="Q297" s="79"/>
      <c r="R297" s="79"/>
      <c r="S297" s="79"/>
      <c r="T297" s="79"/>
      <c r="U297" s="79"/>
      <c r="V297" s="79"/>
      <c r="W297" s="79"/>
      <c r="X297" s="79"/>
      <c r="Y297" s="79"/>
      <c r="Z297" s="79"/>
      <c r="AA297" s="79"/>
      <c r="AB297" s="79"/>
    </row>
    <row r="298" spans="1:28" ht="15.8" customHeight="1" x14ac:dyDescent="0.15">
      <c r="A298" s="79"/>
      <c r="B298" s="79"/>
      <c r="C298" s="79"/>
      <c r="D298" s="79"/>
      <c r="E298" s="79"/>
      <c r="F298" s="79"/>
      <c r="G298" s="79"/>
      <c r="H298" s="79"/>
      <c r="I298" s="79"/>
      <c r="J298" s="87"/>
      <c r="K298" s="87"/>
      <c r="L298" s="87"/>
      <c r="M298" s="87"/>
      <c r="N298" s="79"/>
      <c r="O298" s="79"/>
      <c r="P298" s="79"/>
      <c r="Q298" s="79"/>
      <c r="R298" s="79"/>
      <c r="S298" s="79"/>
      <c r="T298" s="79"/>
      <c r="U298" s="79"/>
      <c r="V298" s="79"/>
      <c r="W298" s="79"/>
      <c r="X298" s="79"/>
      <c r="Y298" s="79"/>
      <c r="Z298" s="79"/>
      <c r="AA298" s="79"/>
      <c r="AB298" s="79"/>
    </row>
    <row r="299" spans="1:28" ht="15.8" customHeight="1" x14ac:dyDescent="0.15">
      <c r="A299" s="79"/>
      <c r="B299" s="79"/>
      <c r="C299" s="79"/>
      <c r="D299" s="79"/>
      <c r="E299" s="79"/>
      <c r="F299" s="79"/>
      <c r="G299" s="79"/>
      <c r="H299" s="79"/>
      <c r="I299" s="79"/>
      <c r="J299" s="87"/>
      <c r="K299" s="87"/>
      <c r="L299" s="87"/>
      <c r="M299" s="87"/>
      <c r="N299" s="79"/>
      <c r="O299" s="79"/>
      <c r="P299" s="79"/>
      <c r="Q299" s="79"/>
      <c r="R299" s="79"/>
      <c r="S299" s="79"/>
      <c r="T299" s="79"/>
      <c r="U299" s="79"/>
      <c r="V299" s="79"/>
      <c r="W299" s="79"/>
      <c r="X299" s="79"/>
      <c r="Y299" s="79"/>
      <c r="Z299" s="79"/>
      <c r="AA299" s="79"/>
      <c r="AB299" s="79"/>
    </row>
    <row r="300" spans="1:28" ht="15.8" customHeight="1" x14ac:dyDescent="0.15">
      <c r="A300" s="79"/>
      <c r="B300" s="79"/>
      <c r="C300" s="79"/>
      <c r="D300" s="79"/>
      <c r="E300" s="79"/>
      <c r="F300" s="79"/>
      <c r="G300" s="79"/>
      <c r="H300" s="79"/>
      <c r="I300" s="79"/>
      <c r="J300" s="87"/>
      <c r="K300" s="87"/>
      <c r="L300" s="87"/>
      <c r="M300" s="87"/>
      <c r="N300" s="79"/>
      <c r="O300" s="79"/>
      <c r="P300" s="79"/>
      <c r="Q300" s="79"/>
      <c r="R300" s="79"/>
      <c r="S300" s="79"/>
      <c r="T300" s="79"/>
      <c r="U300" s="79"/>
      <c r="V300" s="79"/>
      <c r="W300" s="79"/>
      <c r="X300" s="79"/>
      <c r="Y300" s="79"/>
      <c r="Z300" s="79"/>
      <c r="AA300" s="79"/>
      <c r="AB300" s="79"/>
    </row>
    <row r="301" spans="1:28" ht="15.8" customHeight="1" x14ac:dyDescent="0.15">
      <c r="A301" s="79"/>
      <c r="B301" s="79"/>
      <c r="C301" s="79"/>
      <c r="D301" s="79"/>
      <c r="E301" s="79"/>
      <c r="F301" s="79"/>
      <c r="G301" s="79"/>
      <c r="H301" s="79"/>
      <c r="I301" s="79"/>
      <c r="J301" s="87"/>
      <c r="K301" s="87"/>
      <c r="L301" s="87"/>
      <c r="M301" s="87"/>
      <c r="N301" s="79"/>
      <c r="O301" s="79"/>
      <c r="P301" s="79"/>
      <c r="Q301" s="79"/>
      <c r="R301" s="79"/>
      <c r="S301" s="79"/>
      <c r="T301" s="79"/>
      <c r="U301" s="79"/>
      <c r="V301" s="79"/>
      <c r="W301" s="79"/>
      <c r="X301" s="79"/>
      <c r="Y301" s="79"/>
      <c r="Z301" s="79"/>
      <c r="AA301" s="79"/>
      <c r="AB301" s="79"/>
    </row>
    <row r="302" spans="1:28" ht="15.8" customHeight="1" x14ac:dyDescent="0.15">
      <c r="A302" s="79"/>
      <c r="B302" s="79"/>
      <c r="C302" s="79"/>
      <c r="D302" s="79"/>
      <c r="E302" s="79"/>
      <c r="F302" s="79"/>
      <c r="G302" s="79"/>
      <c r="H302" s="79"/>
      <c r="I302" s="79"/>
      <c r="J302" s="87"/>
      <c r="K302" s="87"/>
      <c r="L302" s="87"/>
      <c r="M302" s="87"/>
      <c r="N302" s="79"/>
      <c r="O302" s="79"/>
      <c r="P302" s="79"/>
      <c r="Q302" s="79"/>
      <c r="R302" s="79"/>
      <c r="S302" s="79"/>
      <c r="T302" s="79"/>
      <c r="U302" s="79"/>
      <c r="V302" s="79"/>
      <c r="W302" s="79"/>
      <c r="X302" s="79"/>
      <c r="Y302" s="79"/>
      <c r="Z302" s="79"/>
      <c r="AA302" s="79"/>
      <c r="AB302" s="79"/>
    </row>
    <row r="303" spans="1:28" ht="15.8" customHeight="1" x14ac:dyDescent="0.15">
      <c r="A303" s="79"/>
      <c r="B303" s="79"/>
      <c r="C303" s="79"/>
      <c r="D303" s="79"/>
      <c r="E303" s="79"/>
      <c r="F303" s="79"/>
      <c r="G303" s="79"/>
      <c r="H303" s="79"/>
      <c r="I303" s="79"/>
      <c r="J303" s="87"/>
      <c r="K303" s="87"/>
      <c r="L303" s="87"/>
      <c r="M303" s="87"/>
      <c r="N303" s="79"/>
      <c r="O303" s="79"/>
      <c r="P303" s="79"/>
      <c r="Q303" s="79"/>
      <c r="R303" s="79"/>
      <c r="S303" s="79"/>
      <c r="T303" s="79"/>
      <c r="U303" s="79"/>
      <c r="V303" s="79"/>
      <c r="W303" s="79"/>
      <c r="X303" s="79"/>
      <c r="Y303" s="79"/>
      <c r="Z303" s="79"/>
      <c r="AA303" s="79"/>
      <c r="AB303" s="79"/>
    </row>
    <row r="304" spans="1:28" ht="15.8" customHeight="1" x14ac:dyDescent="0.15">
      <c r="A304" s="79"/>
      <c r="B304" s="79"/>
      <c r="C304" s="79"/>
      <c r="D304" s="79"/>
      <c r="E304" s="79"/>
      <c r="F304" s="79"/>
      <c r="G304" s="79"/>
      <c r="H304" s="79"/>
      <c r="I304" s="79"/>
      <c r="J304" s="87"/>
      <c r="K304" s="87"/>
      <c r="L304" s="87"/>
      <c r="M304" s="87"/>
      <c r="N304" s="79"/>
      <c r="O304" s="79"/>
      <c r="P304" s="79"/>
      <c r="Q304" s="79"/>
      <c r="R304" s="79"/>
      <c r="S304" s="79"/>
      <c r="T304" s="79"/>
      <c r="U304" s="79"/>
      <c r="V304" s="79"/>
      <c r="W304" s="79"/>
      <c r="X304" s="79"/>
      <c r="Y304" s="79"/>
      <c r="Z304" s="79"/>
      <c r="AA304" s="79"/>
      <c r="AB304" s="79"/>
    </row>
    <row r="305" spans="1:28" ht="15.8" customHeight="1" x14ac:dyDescent="0.15">
      <c r="A305" s="79"/>
      <c r="B305" s="79"/>
      <c r="C305" s="79"/>
      <c r="D305" s="79"/>
      <c r="E305" s="79"/>
      <c r="F305" s="79"/>
      <c r="G305" s="79"/>
      <c r="H305" s="79"/>
      <c r="I305" s="79"/>
      <c r="J305" s="87"/>
      <c r="K305" s="87"/>
      <c r="L305" s="87"/>
      <c r="M305" s="87"/>
      <c r="N305" s="79"/>
      <c r="O305" s="79"/>
      <c r="P305" s="79"/>
      <c r="Q305" s="79"/>
      <c r="R305" s="79"/>
      <c r="S305" s="79"/>
      <c r="T305" s="79"/>
      <c r="U305" s="79"/>
      <c r="V305" s="79"/>
      <c r="W305" s="79"/>
      <c r="X305" s="79"/>
      <c r="Y305" s="79"/>
      <c r="Z305" s="79"/>
      <c r="AA305" s="79"/>
      <c r="AB305" s="79"/>
    </row>
    <row r="306" spans="1:28" ht="15.8" customHeight="1" x14ac:dyDescent="0.15">
      <c r="A306" s="79"/>
      <c r="B306" s="79"/>
      <c r="C306" s="79"/>
      <c r="D306" s="79"/>
      <c r="E306" s="79"/>
      <c r="F306" s="79"/>
      <c r="G306" s="79"/>
      <c r="H306" s="79"/>
      <c r="I306" s="79"/>
      <c r="J306" s="87"/>
      <c r="K306" s="87"/>
      <c r="L306" s="87"/>
      <c r="M306" s="87"/>
      <c r="N306" s="79"/>
      <c r="O306" s="79"/>
      <c r="P306" s="79"/>
      <c r="Q306" s="79"/>
      <c r="R306" s="79"/>
      <c r="S306" s="79"/>
      <c r="T306" s="79"/>
      <c r="U306" s="79"/>
      <c r="V306" s="79"/>
      <c r="W306" s="79"/>
      <c r="X306" s="79"/>
      <c r="Y306" s="79"/>
      <c r="Z306" s="79"/>
      <c r="AA306" s="79"/>
      <c r="AB306" s="79"/>
    </row>
    <row r="307" spans="1:28" ht="15.8" customHeight="1" x14ac:dyDescent="0.15">
      <c r="A307" s="79"/>
      <c r="B307" s="79"/>
      <c r="C307" s="79"/>
      <c r="D307" s="79"/>
      <c r="E307" s="79"/>
      <c r="F307" s="79"/>
      <c r="G307" s="79"/>
      <c r="H307" s="79"/>
      <c r="I307" s="79"/>
      <c r="J307" s="87"/>
      <c r="K307" s="87"/>
      <c r="L307" s="87"/>
      <c r="M307" s="87"/>
      <c r="N307" s="79"/>
      <c r="O307" s="79"/>
      <c r="P307" s="79"/>
      <c r="Q307" s="79"/>
      <c r="R307" s="79"/>
      <c r="S307" s="79"/>
      <c r="T307" s="79"/>
      <c r="U307" s="79"/>
      <c r="V307" s="79"/>
      <c r="W307" s="79"/>
      <c r="X307" s="79"/>
      <c r="Y307" s="79"/>
      <c r="Z307" s="79"/>
      <c r="AA307" s="79"/>
      <c r="AB307" s="79"/>
    </row>
    <row r="308" spans="1:28" ht="15.8" customHeight="1" x14ac:dyDescent="0.15">
      <c r="A308" s="79"/>
      <c r="B308" s="79"/>
      <c r="C308" s="79"/>
      <c r="D308" s="79"/>
      <c r="E308" s="79"/>
      <c r="F308" s="79"/>
      <c r="G308" s="79"/>
      <c r="H308" s="79"/>
      <c r="I308" s="79"/>
      <c r="J308" s="87"/>
      <c r="K308" s="87"/>
      <c r="L308" s="87"/>
      <c r="M308" s="87"/>
      <c r="N308" s="79"/>
      <c r="O308" s="79"/>
      <c r="P308" s="79"/>
      <c r="Q308" s="79"/>
      <c r="R308" s="79"/>
      <c r="S308" s="79"/>
      <c r="T308" s="79"/>
      <c r="U308" s="79"/>
      <c r="V308" s="79"/>
      <c r="W308" s="79"/>
      <c r="X308" s="79"/>
      <c r="Y308" s="79"/>
      <c r="Z308" s="79"/>
      <c r="AA308" s="79"/>
      <c r="AB308" s="79"/>
    </row>
    <row r="309" spans="1:28" ht="15.8" customHeight="1" x14ac:dyDescent="0.15">
      <c r="A309" s="79"/>
      <c r="B309" s="79"/>
      <c r="C309" s="79"/>
      <c r="D309" s="79"/>
      <c r="E309" s="79"/>
      <c r="F309" s="79"/>
      <c r="G309" s="79"/>
      <c r="H309" s="79"/>
      <c r="I309" s="79"/>
      <c r="J309" s="87"/>
      <c r="K309" s="87"/>
      <c r="L309" s="87"/>
      <c r="M309" s="87"/>
      <c r="N309" s="79"/>
      <c r="O309" s="79"/>
      <c r="P309" s="79"/>
      <c r="Q309" s="79"/>
      <c r="R309" s="79"/>
      <c r="S309" s="79"/>
      <c r="T309" s="79"/>
      <c r="U309" s="79"/>
      <c r="V309" s="79"/>
      <c r="W309" s="79"/>
      <c r="X309" s="79"/>
      <c r="Y309" s="79"/>
      <c r="Z309" s="79"/>
      <c r="AA309" s="79"/>
      <c r="AB309" s="79"/>
    </row>
    <row r="310" spans="1:28" ht="15.8" customHeight="1" x14ac:dyDescent="0.15">
      <c r="A310" s="79"/>
      <c r="B310" s="79"/>
      <c r="C310" s="79"/>
      <c r="D310" s="79"/>
      <c r="E310" s="79"/>
      <c r="F310" s="79"/>
      <c r="G310" s="79"/>
      <c r="H310" s="79"/>
      <c r="I310" s="79"/>
      <c r="J310" s="87"/>
      <c r="K310" s="87"/>
      <c r="L310" s="87"/>
      <c r="M310" s="87"/>
      <c r="N310" s="79"/>
      <c r="O310" s="79"/>
      <c r="P310" s="79"/>
      <c r="Q310" s="79"/>
      <c r="R310" s="79"/>
      <c r="S310" s="79"/>
      <c r="T310" s="79"/>
      <c r="U310" s="79"/>
      <c r="V310" s="79"/>
      <c r="W310" s="79"/>
      <c r="X310" s="79"/>
      <c r="Y310" s="79"/>
      <c r="Z310" s="79"/>
      <c r="AA310" s="79"/>
      <c r="AB310" s="79"/>
    </row>
    <row r="311" spans="1:28" ht="15.8" customHeight="1" x14ac:dyDescent="0.15">
      <c r="A311" s="79"/>
      <c r="B311" s="79"/>
      <c r="C311" s="79"/>
      <c r="D311" s="79"/>
      <c r="E311" s="79"/>
      <c r="F311" s="79"/>
      <c r="G311" s="79"/>
      <c r="H311" s="79"/>
      <c r="I311" s="79"/>
      <c r="J311" s="87"/>
      <c r="K311" s="87"/>
      <c r="L311" s="87"/>
      <c r="M311" s="87"/>
      <c r="N311" s="79"/>
      <c r="O311" s="79"/>
      <c r="P311" s="79"/>
      <c r="Q311" s="79"/>
      <c r="R311" s="79"/>
      <c r="S311" s="79"/>
      <c r="T311" s="79"/>
      <c r="U311" s="79"/>
      <c r="V311" s="79"/>
      <c r="W311" s="79"/>
      <c r="X311" s="79"/>
      <c r="Y311" s="79"/>
      <c r="Z311" s="79"/>
      <c r="AA311" s="79"/>
      <c r="AB311" s="79"/>
    </row>
    <row r="312" spans="1:28" ht="15.8" customHeight="1" x14ac:dyDescent="0.15">
      <c r="A312" s="79"/>
      <c r="B312" s="79"/>
      <c r="C312" s="79"/>
      <c r="D312" s="79"/>
      <c r="E312" s="79"/>
      <c r="F312" s="79"/>
      <c r="G312" s="79"/>
      <c r="H312" s="79"/>
      <c r="I312" s="79"/>
      <c r="J312" s="87"/>
      <c r="K312" s="87"/>
      <c r="L312" s="87"/>
      <c r="M312" s="87"/>
      <c r="N312" s="79"/>
      <c r="O312" s="79"/>
      <c r="P312" s="79"/>
      <c r="Q312" s="79"/>
      <c r="R312" s="79"/>
      <c r="S312" s="79"/>
      <c r="T312" s="79"/>
      <c r="U312" s="79"/>
      <c r="V312" s="79"/>
      <c r="W312" s="79"/>
      <c r="X312" s="79"/>
      <c r="Y312" s="79"/>
      <c r="Z312" s="79"/>
      <c r="AA312" s="79"/>
      <c r="AB312" s="79"/>
    </row>
    <row r="313" spans="1:28" ht="15.8" customHeight="1" x14ac:dyDescent="0.15">
      <c r="A313" s="79"/>
      <c r="B313" s="79"/>
      <c r="C313" s="79"/>
      <c r="D313" s="79"/>
      <c r="E313" s="79"/>
      <c r="F313" s="79"/>
      <c r="G313" s="79"/>
      <c r="H313" s="79"/>
      <c r="I313" s="79"/>
      <c r="J313" s="87"/>
      <c r="K313" s="87"/>
      <c r="L313" s="87"/>
      <c r="M313" s="87"/>
      <c r="N313" s="79"/>
      <c r="O313" s="79"/>
      <c r="P313" s="79"/>
      <c r="Q313" s="79"/>
      <c r="R313" s="79"/>
      <c r="S313" s="79"/>
      <c r="T313" s="79"/>
      <c r="U313" s="79"/>
      <c r="V313" s="79"/>
      <c r="W313" s="79"/>
      <c r="X313" s="79"/>
      <c r="Y313" s="79"/>
      <c r="Z313" s="79"/>
      <c r="AA313" s="79"/>
      <c r="AB313" s="79"/>
    </row>
    <row r="314" spans="1:28" ht="15.8" customHeight="1" x14ac:dyDescent="0.15">
      <c r="A314" s="79"/>
      <c r="B314" s="79"/>
      <c r="C314" s="79"/>
      <c r="D314" s="79"/>
      <c r="E314" s="79"/>
      <c r="F314" s="79"/>
      <c r="G314" s="79"/>
      <c r="H314" s="79"/>
      <c r="I314" s="79"/>
      <c r="J314" s="87"/>
      <c r="K314" s="87"/>
      <c r="L314" s="87"/>
      <c r="M314" s="87"/>
      <c r="N314" s="79"/>
      <c r="O314" s="79"/>
      <c r="P314" s="79"/>
      <c r="Q314" s="79"/>
      <c r="R314" s="79"/>
      <c r="S314" s="79"/>
      <c r="T314" s="79"/>
      <c r="U314" s="79"/>
      <c r="V314" s="79"/>
      <c r="W314" s="79"/>
      <c r="X314" s="79"/>
      <c r="Y314" s="79"/>
      <c r="Z314" s="79"/>
      <c r="AA314" s="79"/>
      <c r="AB314" s="79"/>
    </row>
    <row r="315" spans="1:28" ht="15.8" customHeight="1" x14ac:dyDescent="0.15">
      <c r="A315" s="79"/>
      <c r="B315" s="79"/>
      <c r="C315" s="79"/>
      <c r="D315" s="79"/>
      <c r="E315" s="79"/>
      <c r="F315" s="79"/>
      <c r="G315" s="79"/>
      <c r="H315" s="79"/>
      <c r="I315" s="79"/>
      <c r="J315" s="87"/>
      <c r="K315" s="87"/>
      <c r="L315" s="87"/>
      <c r="M315" s="87"/>
      <c r="N315" s="79"/>
      <c r="O315" s="79"/>
      <c r="P315" s="79"/>
      <c r="Q315" s="79"/>
      <c r="R315" s="79"/>
      <c r="S315" s="79"/>
      <c r="T315" s="79"/>
      <c r="U315" s="79"/>
      <c r="V315" s="79"/>
      <c r="W315" s="79"/>
      <c r="X315" s="79"/>
      <c r="Y315" s="79"/>
      <c r="Z315" s="79"/>
      <c r="AA315" s="79"/>
      <c r="AB315" s="79"/>
    </row>
    <row r="316" spans="1:28" ht="15.8" customHeight="1" x14ac:dyDescent="0.15">
      <c r="A316" s="79"/>
      <c r="B316" s="79"/>
      <c r="C316" s="79"/>
      <c r="D316" s="79"/>
      <c r="E316" s="79"/>
      <c r="F316" s="79"/>
      <c r="G316" s="79"/>
      <c r="H316" s="79"/>
      <c r="I316" s="79"/>
      <c r="J316" s="87"/>
      <c r="K316" s="87"/>
      <c r="L316" s="87"/>
      <c r="M316" s="87"/>
      <c r="N316" s="79"/>
      <c r="O316" s="79"/>
      <c r="P316" s="79"/>
      <c r="Q316" s="79"/>
      <c r="R316" s="79"/>
      <c r="S316" s="79"/>
      <c r="T316" s="79"/>
      <c r="U316" s="79"/>
      <c r="V316" s="79"/>
      <c r="W316" s="79"/>
      <c r="X316" s="79"/>
      <c r="Y316" s="79"/>
      <c r="Z316" s="79"/>
      <c r="AA316" s="79"/>
      <c r="AB316" s="79"/>
    </row>
    <row r="317" spans="1:28" ht="15.8" customHeight="1" x14ac:dyDescent="0.15">
      <c r="A317" s="79"/>
      <c r="B317" s="79"/>
      <c r="C317" s="79"/>
      <c r="D317" s="79"/>
      <c r="E317" s="79"/>
      <c r="F317" s="79"/>
      <c r="G317" s="79"/>
      <c r="H317" s="79"/>
      <c r="I317" s="79"/>
      <c r="J317" s="87"/>
      <c r="K317" s="87"/>
      <c r="L317" s="87"/>
      <c r="M317" s="87"/>
      <c r="N317" s="79"/>
      <c r="O317" s="79"/>
      <c r="P317" s="79"/>
      <c r="Q317" s="79"/>
      <c r="R317" s="79"/>
      <c r="S317" s="79"/>
      <c r="T317" s="79"/>
      <c r="U317" s="79"/>
      <c r="V317" s="79"/>
      <c r="W317" s="79"/>
      <c r="X317" s="79"/>
      <c r="Y317" s="79"/>
      <c r="Z317" s="79"/>
      <c r="AA317" s="79"/>
      <c r="AB317" s="79"/>
    </row>
    <row r="318" spans="1:28" ht="15.8" customHeight="1" x14ac:dyDescent="0.15">
      <c r="A318" s="79"/>
      <c r="B318" s="79"/>
      <c r="C318" s="79"/>
      <c r="D318" s="79"/>
      <c r="E318" s="79"/>
      <c r="F318" s="79"/>
      <c r="G318" s="79"/>
      <c r="H318" s="79"/>
      <c r="I318" s="79"/>
      <c r="J318" s="87"/>
      <c r="K318" s="87"/>
      <c r="L318" s="87"/>
      <c r="M318" s="87"/>
      <c r="N318" s="79"/>
      <c r="O318" s="79"/>
      <c r="P318" s="79"/>
      <c r="Q318" s="79"/>
      <c r="R318" s="79"/>
      <c r="S318" s="79"/>
      <c r="T318" s="79"/>
      <c r="U318" s="79"/>
      <c r="V318" s="79"/>
      <c r="W318" s="79"/>
      <c r="X318" s="79"/>
      <c r="Y318" s="79"/>
      <c r="Z318" s="79"/>
      <c r="AA318" s="79"/>
      <c r="AB318" s="79"/>
    </row>
    <row r="319" spans="1:28" ht="15.8" customHeight="1" x14ac:dyDescent="0.15">
      <c r="A319" s="79"/>
      <c r="B319" s="79"/>
      <c r="C319" s="79"/>
      <c r="D319" s="79"/>
      <c r="E319" s="79"/>
      <c r="F319" s="79"/>
      <c r="G319" s="79"/>
      <c r="H319" s="79"/>
      <c r="I319" s="79"/>
      <c r="J319" s="87"/>
      <c r="K319" s="87"/>
      <c r="L319" s="87"/>
      <c r="M319" s="87"/>
      <c r="N319" s="79"/>
      <c r="O319" s="79"/>
      <c r="P319" s="79"/>
      <c r="Q319" s="79"/>
      <c r="R319" s="79"/>
      <c r="S319" s="79"/>
      <c r="T319" s="79"/>
      <c r="U319" s="79"/>
      <c r="V319" s="79"/>
      <c r="W319" s="79"/>
      <c r="X319" s="79"/>
      <c r="Y319" s="79"/>
      <c r="Z319" s="79"/>
      <c r="AA319" s="79"/>
      <c r="AB319" s="79"/>
    </row>
    <row r="320" spans="1:28" ht="15.8" customHeight="1" x14ac:dyDescent="0.15">
      <c r="A320" s="79"/>
      <c r="B320" s="79"/>
      <c r="C320" s="79"/>
      <c r="D320" s="79"/>
      <c r="E320" s="79"/>
      <c r="F320" s="79"/>
      <c r="G320" s="79"/>
      <c r="H320" s="79"/>
      <c r="I320" s="79"/>
      <c r="J320" s="87"/>
      <c r="K320" s="87"/>
      <c r="L320" s="87"/>
      <c r="M320" s="87"/>
      <c r="N320" s="79"/>
      <c r="O320" s="79"/>
      <c r="P320" s="79"/>
      <c r="Q320" s="79"/>
      <c r="R320" s="79"/>
      <c r="S320" s="79"/>
      <c r="T320" s="79"/>
      <c r="U320" s="79"/>
      <c r="V320" s="79"/>
      <c r="W320" s="79"/>
      <c r="X320" s="79"/>
      <c r="Y320" s="79"/>
      <c r="Z320" s="79"/>
      <c r="AA320" s="79"/>
      <c r="AB320" s="79"/>
    </row>
    <row r="321" spans="1:28" ht="15.8" customHeight="1" x14ac:dyDescent="0.15">
      <c r="A321" s="79"/>
      <c r="B321" s="79"/>
      <c r="C321" s="79"/>
      <c r="D321" s="79"/>
      <c r="E321" s="79"/>
      <c r="F321" s="79"/>
      <c r="G321" s="79"/>
      <c r="H321" s="79"/>
      <c r="I321" s="79"/>
      <c r="J321" s="87"/>
      <c r="K321" s="87"/>
      <c r="L321" s="87"/>
      <c r="M321" s="87"/>
      <c r="N321" s="79"/>
      <c r="O321" s="79"/>
      <c r="P321" s="79"/>
      <c r="Q321" s="79"/>
      <c r="R321" s="79"/>
      <c r="S321" s="79"/>
      <c r="T321" s="79"/>
      <c r="U321" s="79"/>
      <c r="V321" s="79"/>
      <c r="W321" s="79"/>
      <c r="X321" s="79"/>
      <c r="Y321" s="79"/>
      <c r="Z321" s="79"/>
      <c r="AA321" s="79"/>
      <c r="AB321" s="79"/>
    </row>
    <row r="322" spans="1:28" ht="15.8" customHeight="1" x14ac:dyDescent="0.15">
      <c r="A322" s="79"/>
      <c r="B322" s="79"/>
      <c r="C322" s="79"/>
      <c r="D322" s="79"/>
      <c r="E322" s="79"/>
      <c r="F322" s="79"/>
      <c r="G322" s="79"/>
      <c r="H322" s="79"/>
      <c r="I322" s="79"/>
      <c r="J322" s="87"/>
      <c r="K322" s="87"/>
      <c r="L322" s="87"/>
      <c r="M322" s="87"/>
      <c r="N322" s="79"/>
      <c r="O322" s="79"/>
      <c r="P322" s="79"/>
      <c r="Q322" s="79"/>
      <c r="R322" s="79"/>
      <c r="S322" s="79"/>
      <c r="T322" s="79"/>
      <c r="U322" s="79"/>
      <c r="V322" s="79"/>
      <c r="W322" s="79"/>
      <c r="X322" s="79"/>
      <c r="Y322" s="79"/>
      <c r="Z322" s="79"/>
      <c r="AA322" s="79"/>
      <c r="AB322" s="79"/>
    </row>
    <row r="323" spans="1:28" ht="15.8" customHeight="1" x14ac:dyDescent="0.15">
      <c r="A323" s="79"/>
      <c r="B323" s="79"/>
      <c r="C323" s="79"/>
      <c r="D323" s="79"/>
      <c r="E323" s="79"/>
      <c r="F323" s="79"/>
      <c r="G323" s="79"/>
      <c r="H323" s="79"/>
      <c r="I323" s="79"/>
      <c r="J323" s="87"/>
      <c r="K323" s="87"/>
      <c r="L323" s="87"/>
      <c r="M323" s="87"/>
      <c r="N323" s="79"/>
      <c r="O323" s="79"/>
      <c r="P323" s="79"/>
      <c r="Q323" s="79"/>
      <c r="R323" s="79"/>
      <c r="S323" s="79"/>
      <c r="T323" s="79"/>
      <c r="U323" s="79"/>
      <c r="V323" s="79"/>
      <c r="W323" s="79"/>
      <c r="X323" s="79"/>
      <c r="Y323" s="79"/>
      <c r="Z323" s="79"/>
      <c r="AA323" s="79"/>
      <c r="AB323" s="79"/>
    </row>
    <row r="324" spans="1:28" ht="15.8" customHeight="1" x14ac:dyDescent="0.15">
      <c r="A324" s="79"/>
      <c r="B324" s="79"/>
      <c r="C324" s="79"/>
      <c r="D324" s="79"/>
      <c r="E324" s="79"/>
      <c r="F324" s="79"/>
      <c r="G324" s="79"/>
      <c r="H324" s="79"/>
      <c r="I324" s="79"/>
      <c r="J324" s="87"/>
      <c r="K324" s="87"/>
      <c r="L324" s="87"/>
      <c r="M324" s="87"/>
      <c r="N324" s="79"/>
      <c r="O324" s="79"/>
      <c r="P324" s="79"/>
      <c r="Q324" s="79"/>
      <c r="R324" s="79"/>
      <c r="S324" s="79"/>
      <c r="T324" s="79"/>
      <c r="U324" s="79"/>
      <c r="V324" s="79"/>
      <c r="W324" s="79"/>
      <c r="X324" s="79"/>
      <c r="Y324" s="79"/>
      <c r="Z324" s="79"/>
      <c r="AA324" s="79"/>
      <c r="AB324" s="79"/>
    </row>
    <row r="325" spans="1:28" ht="15.8" customHeight="1" x14ac:dyDescent="0.15">
      <c r="A325" s="79"/>
      <c r="B325" s="79"/>
      <c r="C325" s="79"/>
      <c r="D325" s="79"/>
      <c r="E325" s="79"/>
      <c r="F325" s="79"/>
      <c r="G325" s="79"/>
      <c r="H325" s="79"/>
      <c r="I325" s="79"/>
      <c r="J325" s="87"/>
      <c r="K325" s="87"/>
      <c r="L325" s="87"/>
      <c r="M325" s="87"/>
      <c r="N325" s="79"/>
      <c r="O325" s="79"/>
      <c r="P325" s="79"/>
      <c r="Q325" s="79"/>
      <c r="R325" s="79"/>
      <c r="S325" s="79"/>
      <c r="T325" s="79"/>
      <c r="U325" s="79"/>
      <c r="V325" s="79"/>
      <c r="W325" s="79"/>
      <c r="X325" s="79"/>
      <c r="Y325" s="79"/>
      <c r="Z325" s="79"/>
      <c r="AA325" s="79"/>
      <c r="AB325" s="79"/>
    </row>
    <row r="326" spans="1:28" ht="15.8" customHeight="1" x14ac:dyDescent="0.15">
      <c r="A326" s="79"/>
      <c r="B326" s="79"/>
      <c r="C326" s="79"/>
      <c r="D326" s="79"/>
      <c r="E326" s="79"/>
      <c r="F326" s="79"/>
      <c r="G326" s="79"/>
      <c r="H326" s="79"/>
      <c r="I326" s="79"/>
      <c r="J326" s="87"/>
      <c r="K326" s="87"/>
      <c r="L326" s="87"/>
      <c r="M326" s="87"/>
      <c r="N326" s="79"/>
      <c r="O326" s="79"/>
      <c r="P326" s="79"/>
      <c r="Q326" s="79"/>
      <c r="R326" s="79"/>
      <c r="S326" s="79"/>
      <c r="T326" s="79"/>
      <c r="U326" s="79"/>
      <c r="V326" s="79"/>
      <c r="W326" s="79"/>
      <c r="X326" s="79"/>
      <c r="Y326" s="79"/>
      <c r="Z326" s="79"/>
      <c r="AA326" s="79"/>
      <c r="AB326" s="79"/>
    </row>
    <row r="327" spans="1:28" ht="15.8" customHeight="1" x14ac:dyDescent="0.15">
      <c r="A327" s="79"/>
      <c r="B327" s="79"/>
      <c r="C327" s="79"/>
      <c r="D327" s="79"/>
      <c r="E327" s="79"/>
      <c r="F327" s="79"/>
      <c r="G327" s="79"/>
      <c r="H327" s="79"/>
      <c r="I327" s="79"/>
      <c r="J327" s="87"/>
      <c r="K327" s="87"/>
      <c r="L327" s="87"/>
      <c r="M327" s="87"/>
      <c r="N327" s="79"/>
      <c r="O327" s="79"/>
      <c r="P327" s="79"/>
      <c r="Q327" s="79"/>
      <c r="R327" s="79"/>
      <c r="S327" s="79"/>
      <c r="T327" s="79"/>
      <c r="U327" s="79"/>
      <c r="V327" s="79"/>
      <c r="W327" s="79"/>
      <c r="X327" s="79"/>
      <c r="Y327" s="79"/>
      <c r="Z327" s="79"/>
      <c r="AA327" s="79"/>
      <c r="AB327" s="79"/>
    </row>
    <row r="328" spans="1:28" ht="15.8" customHeight="1" x14ac:dyDescent="0.15">
      <c r="A328" s="79"/>
      <c r="B328" s="79"/>
      <c r="C328" s="79"/>
      <c r="D328" s="79"/>
      <c r="E328" s="79"/>
      <c r="F328" s="79"/>
      <c r="G328" s="79"/>
      <c r="H328" s="79"/>
      <c r="I328" s="79"/>
      <c r="J328" s="87"/>
      <c r="K328" s="87"/>
      <c r="L328" s="87"/>
      <c r="M328" s="87"/>
      <c r="N328" s="79"/>
      <c r="O328" s="79"/>
      <c r="P328" s="79"/>
      <c r="Q328" s="79"/>
      <c r="R328" s="79"/>
      <c r="S328" s="79"/>
      <c r="T328" s="79"/>
      <c r="U328" s="79"/>
      <c r="V328" s="79"/>
      <c r="W328" s="79"/>
      <c r="X328" s="79"/>
      <c r="Y328" s="79"/>
      <c r="Z328" s="79"/>
      <c r="AA328" s="79"/>
      <c r="AB328" s="79"/>
    </row>
    <row r="329" spans="1:28" ht="15.8" customHeight="1" x14ac:dyDescent="0.15">
      <c r="A329" s="79"/>
      <c r="B329" s="79"/>
      <c r="C329" s="79"/>
      <c r="D329" s="79"/>
      <c r="E329" s="79"/>
      <c r="F329" s="79"/>
      <c r="G329" s="79"/>
      <c r="H329" s="79"/>
      <c r="I329" s="79"/>
      <c r="J329" s="87"/>
      <c r="K329" s="87"/>
      <c r="L329" s="87"/>
      <c r="M329" s="87"/>
      <c r="N329" s="79"/>
      <c r="O329" s="79"/>
      <c r="P329" s="79"/>
      <c r="Q329" s="79"/>
      <c r="R329" s="79"/>
      <c r="S329" s="79"/>
      <c r="T329" s="79"/>
      <c r="U329" s="79"/>
      <c r="V329" s="79"/>
      <c r="W329" s="79"/>
      <c r="X329" s="79"/>
      <c r="Y329" s="79"/>
      <c r="Z329" s="79"/>
      <c r="AA329" s="79"/>
      <c r="AB329" s="79"/>
    </row>
    <row r="330" spans="1:28" ht="15.8" customHeight="1" x14ac:dyDescent="0.15">
      <c r="A330" s="79"/>
      <c r="B330" s="79"/>
      <c r="C330" s="79"/>
      <c r="D330" s="79"/>
      <c r="E330" s="79"/>
      <c r="F330" s="79"/>
      <c r="G330" s="79"/>
      <c r="H330" s="79"/>
      <c r="I330" s="79"/>
      <c r="J330" s="87"/>
      <c r="K330" s="87"/>
      <c r="L330" s="87"/>
      <c r="M330" s="87"/>
      <c r="N330" s="79"/>
      <c r="O330" s="79"/>
      <c r="P330" s="79"/>
      <c r="Q330" s="79"/>
      <c r="R330" s="79"/>
      <c r="S330" s="79"/>
      <c r="T330" s="79"/>
      <c r="U330" s="79"/>
      <c r="V330" s="79"/>
      <c r="W330" s="79"/>
      <c r="X330" s="79"/>
      <c r="Y330" s="79"/>
      <c r="Z330" s="79"/>
      <c r="AA330" s="79"/>
      <c r="AB330" s="79"/>
    </row>
    <row r="331" spans="1:28" ht="15.8" customHeight="1" x14ac:dyDescent="0.15">
      <c r="A331" s="79"/>
      <c r="B331" s="79"/>
      <c r="C331" s="79"/>
      <c r="D331" s="79"/>
      <c r="E331" s="79"/>
      <c r="F331" s="79"/>
      <c r="G331" s="79"/>
      <c r="H331" s="79"/>
      <c r="I331" s="79"/>
      <c r="J331" s="87"/>
      <c r="K331" s="87"/>
      <c r="L331" s="87"/>
      <c r="M331" s="87"/>
      <c r="N331" s="79"/>
      <c r="O331" s="79"/>
      <c r="P331" s="79"/>
      <c r="Q331" s="79"/>
      <c r="R331" s="79"/>
      <c r="S331" s="79"/>
      <c r="T331" s="79"/>
      <c r="U331" s="79"/>
      <c r="V331" s="79"/>
      <c r="W331" s="79"/>
      <c r="X331" s="79"/>
      <c r="Y331" s="79"/>
      <c r="Z331" s="79"/>
      <c r="AA331" s="79"/>
      <c r="AB331" s="79"/>
    </row>
    <row r="332" spans="1:28" ht="15.8" customHeight="1" x14ac:dyDescent="0.15">
      <c r="A332" s="79"/>
      <c r="B332" s="79"/>
      <c r="C332" s="79"/>
      <c r="D332" s="79"/>
      <c r="E332" s="79"/>
      <c r="F332" s="79"/>
      <c r="G332" s="79"/>
      <c r="H332" s="79"/>
      <c r="I332" s="79"/>
      <c r="J332" s="87"/>
      <c r="K332" s="87"/>
      <c r="L332" s="87"/>
      <c r="M332" s="87"/>
      <c r="N332" s="79"/>
      <c r="O332" s="79"/>
      <c r="P332" s="79"/>
      <c r="Q332" s="79"/>
      <c r="R332" s="79"/>
      <c r="S332" s="79"/>
      <c r="T332" s="79"/>
      <c r="U332" s="79"/>
      <c r="V332" s="79"/>
      <c r="W332" s="79"/>
      <c r="X332" s="79"/>
      <c r="Y332" s="79"/>
      <c r="Z332" s="79"/>
      <c r="AA332" s="79"/>
      <c r="AB332" s="79"/>
    </row>
    <row r="333" spans="1:28" ht="15.8" customHeight="1" x14ac:dyDescent="0.15">
      <c r="A333" s="79"/>
      <c r="B333" s="79"/>
      <c r="C333" s="79"/>
      <c r="D333" s="79"/>
      <c r="E333" s="79"/>
      <c r="F333" s="79"/>
      <c r="G333" s="79"/>
      <c r="H333" s="79"/>
      <c r="I333" s="79"/>
      <c r="J333" s="87"/>
      <c r="K333" s="87"/>
      <c r="L333" s="87"/>
      <c r="M333" s="87"/>
      <c r="N333" s="79"/>
      <c r="O333" s="79"/>
      <c r="P333" s="79"/>
      <c r="Q333" s="79"/>
      <c r="R333" s="79"/>
      <c r="S333" s="79"/>
      <c r="T333" s="79"/>
      <c r="U333" s="79"/>
      <c r="V333" s="79"/>
      <c r="W333" s="79"/>
      <c r="X333" s="79"/>
      <c r="Y333" s="79"/>
      <c r="Z333" s="79"/>
      <c r="AA333" s="79"/>
      <c r="AB333" s="79"/>
    </row>
    <row r="334" spans="1:28" ht="15.8" customHeight="1" x14ac:dyDescent="0.15">
      <c r="A334" s="79"/>
      <c r="B334" s="79"/>
      <c r="C334" s="79"/>
      <c r="D334" s="79"/>
      <c r="E334" s="79"/>
      <c r="F334" s="79"/>
      <c r="G334" s="79"/>
      <c r="H334" s="79"/>
      <c r="I334" s="79"/>
      <c r="J334" s="87"/>
      <c r="K334" s="87"/>
      <c r="L334" s="87"/>
      <c r="M334" s="87"/>
      <c r="N334" s="79"/>
      <c r="O334" s="79"/>
      <c r="P334" s="79"/>
      <c r="Q334" s="79"/>
      <c r="R334" s="79"/>
      <c r="S334" s="79"/>
      <c r="T334" s="79"/>
      <c r="U334" s="79"/>
      <c r="V334" s="79"/>
      <c r="W334" s="79"/>
      <c r="X334" s="79"/>
      <c r="Y334" s="79"/>
      <c r="Z334" s="79"/>
      <c r="AA334" s="79"/>
      <c r="AB334" s="79"/>
    </row>
    <row r="335" spans="1:28" ht="15.8" customHeight="1" x14ac:dyDescent="0.15">
      <c r="A335" s="79"/>
      <c r="B335" s="79"/>
      <c r="C335" s="79"/>
      <c r="D335" s="79"/>
      <c r="E335" s="79"/>
      <c r="F335" s="79"/>
      <c r="G335" s="79"/>
      <c r="H335" s="79"/>
      <c r="I335" s="79"/>
      <c r="J335" s="87"/>
      <c r="K335" s="87"/>
      <c r="L335" s="87"/>
      <c r="M335" s="87"/>
      <c r="N335" s="79"/>
      <c r="O335" s="79"/>
      <c r="P335" s="79"/>
      <c r="Q335" s="79"/>
      <c r="R335" s="79"/>
      <c r="S335" s="79"/>
      <c r="T335" s="79"/>
      <c r="U335" s="79"/>
      <c r="V335" s="79"/>
      <c r="W335" s="79"/>
      <c r="X335" s="79"/>
      <c r="Y335" s="79"/>
      <c r="Z335" s="79"/>
      <c r="AA335" s="79"/>
      <c r="AB335" s="79"/>
    </row>
    <row r="336" spans="1:28" ht="15.8" customHeight="1" x14ac:dyDescent="0.15">
      <c r="A336" s="79"/>
      <c r="B336" s="79"/>
      <c r="C336" s="79"/>
      <c r="D336" s="79"/>
      <c r="E336" s="79"/>
      <c r="F336" s="79"/>
      <c r="G336" s="79"/>
      <c r="H336" s="79"/>
      <c r="I336" s="79"/>
      <c r="J336" s="87"/>
      <c r="K336" s="87"/>
      <c r="L336" s="87"/>
      <c r="M336" s="87"/>
      <c r="N336" s="79"/>
      <c r="O336" s="79"/>
      <c r="P336" s="79"/>
      <c r="Q336" s="79"/>
      <c r="R336" s="79"/>
      <c r="S336" s="79"/>
      <c r="T336" s="79"/>
      <c r="U336" s="79"/>
      <c r="V336" s="79"/>
      <c r="W336" s="79"/>
      <c r="X336" s="79"/>
      <c r="Y336" s="79"/>
      <c r="Z336" s="79"/>
      <c r="AA336" s="79"/>
      <c r="AB336" s="79"/>
    </row>
    <row r="337" spans="1:28" ht="15.8" customHeight="1" x14ac:dyDescent="0.15">
      <c r="A337" s="79"/>
      <c r="B337" s="79"/>
      <c r="C337" s="79"/>
      <c r="D337" s="79"/>
      <c r="E337" s="79"/>
      <c r="F337" s="79"/>
      <c r="G337" s="79"/>
      <c r="H337" s="79"/>
      <c r="I337" s="79"/>
      <c r="J337" s="87"/>
      <c r="K337" s="87"/>
      <c r="L337" s="87"/>
      <c r="M337" s="87"/>
      <c r="N337" s="79"/>
      <c r="O337" s="79"/>
      <c r="P337" s="79"/>
      <c r="Q337" s="79"/>
      <c r="R337" s="79"/>
      <c r="S337" s="79"/>
      <c r="T337" s="79"/>
      <c r="U337" s="79"/>
      <c r="V337" s="79"/>
      <c r="W337" s="79"/>
      <c r="X337" s="79"/>
      <c r="Y337" s="79"/>
      <c r="Z337" s="79"/>
      <c r="AA337" s="79"/>
      <c r="AB337" s="79"/>
    </row>
    <row r="338" spans="1:28" ht="15.8" customHeight="1" x14ac:dyDescent="0.15">
      <c r="A338" s="79"/>
      <c r="B338" s="79"/>
      <c r="C338" s="79"/>
      <c r="D338" s="79"/>
      <c r="E338" s="79"/>
      <c r="F338" s="79"/>
      <c r="G338" s="79"/>
      <c r="H338" s="79"/>
      <c r="I338" s="79"/>
      <c r="J338" s="87"/>
      <c r="K338" s="87"/>
      <c r="L338" s="87"/>
      <c r="M338" s="87"/>
      <c r="N338" s="79"/>
      <c r="O338" s="79"/>
      <c r="P338" s="79"/>
      <c r="Q338" s="79"/>
      <c r="R338" s="79"/>
      <c r="S338" s="79"/>
      <c r="T338" s="79"/>
      <c r="U338" s="79"/>
      <c r="V338" s="79"/>
      <c r="W338" s="79"/>
      <c r="X338" s="79"/>
      <c r="Y338" s="79"/>
      <c r="Z338" s="79"/>
      <c r="AA338" s="79"/>
      <c r="AB338" s="79"/>
    </row>
    <row r="339" spans="1:28" ht="15.8" customHeight="1" x14ac:dyDescent="0.15">
      <c r="A339" s="79"/>
      <c r="B339" s="79"/>
      <c r="C339" s="79"/>
      <c r="D339" s="79"/>
      <c r="E339" s="79"/>
      <c r="F339" s="79"/>
      <c r="G339" s="79"/>
      <c r="H339" s="79"/>
      <c r="I339" s="79"/>
      <c r="J339" s="87"/>
      <c r="K339" s="87"/>
      <c r="L339" s="87"/>
      <c r="M339" s="87"/>
      <c r="N339" s="79"/>
      <c r="O339" s="79"/>
      <c r="P339" s="79"/>
      <c r="Q339" s="79"/>
      <c r="R339" s="79"/>
      <c r="S339" s="79"/>
      <c r="T339" s="79"/>
      <c r="U339" s="79"/>
      <c r="V339" s="79"/>
      <c r="W339" s="79"/>
      <c r="X339" s="79"/>
      <c r="Y339" s="79"/>
      <c r="Z339" s="79"/>
      <c r="AA339" s="79"/>
      <c r="AB339" s="79"/>
    </row>
    <row r="340" spans="1:28" ht="15.8" customHeight="1" x14ac:dyDescent="0.15">
      <c r="A340" s="79"/>
      <c r="B340" s="79"/>
      <c r="C340" s="79"/>
      <c r="D340" s="79"/>
      <c r="E340" s="79"/>
      <c r="F340" s="79"/>
      <c r="G340" s="79"/>
      <c r="H340" s="79"/>
      <c r="I340" s="79"/>
      <c r="J340" s="87"/>
      <c r="K340" s="87"/>
      <c r="L340" s="87"/>
      <c r="M340" s="87"/>
      <c r="N340" s="79"/>
      <c r="O340" s="79"/>
      <c r="P340" s="79"/>
      <c r="Q340" s="79"/>
      <c r="R340" s="79"/>
      <c r="S340" s="79"/>
      <c r="T340" s="79"/>
      <c r="U340" s="79"/>
      <c r="V340" s="79"/>
      <c r="W340" s="79"/>
      <c r="X340" s="79"/>
      <c r="Y340" s="79"/>
      <c r="Z340" s="79"/>
      <c r="AA340" s="79"/>
      <c r="AB340" s="79"/>
    </row>
    <row r="341" spans="1:28" ht="15.8" customHeight="1" x14ac:dyDescent="0.15">
      <c r="A341" s="79"/>
      <c r="B341" s="79"/>
      <c r="C341" s="79"/>
      <c r="D341" s="79"/>
      <c r="E341" s="79"/>
      <c r="F341" s="79"/>
      <c r="G341" s="79"/>
      <c r="H341" s="79"/>
      <c r="I341" s="79"/>
      <c r="J341" s="87"/>
      <c r="K341" s="87"/>
      <c r="L341" s="87"/>
      <c r="M341" s="87"/>
      <c r="N341" s="79"/>
      <c r="O341" s="79"/>
      <c r="P341" s="79"/>
      <c r="Q341" s="79"/>
      <c r="R341" s="79"/>
      <c r="S341" s="79"/>
      <c r="T341" s="79"/>
      <c r="U341" s="79"/>
      <c r="V341" s="79"/>
      <c r="W341" s="79"/>
      <c r="X341" s="79"/>
      <c r="Y341" s="79"/>
      <c r="Z341" s="79"/>
      <c r="AA341" s="79"/>
      <c r="AB341" s="79"/>
    </row>
    <row r="342" spans="1:28" ht="15.8" customHeight="1" x14ac:dyDescent="0.15">
      <c r="A342" s="79"/>
      <c r="B342" s="79"/>
      <c r="C342" s="79"/>
      <c r="D342" s="79"/>
      <c r="E342" s="79"/>
      <c r="F342" s="79"/>
      <c r="G342" s="79"/>
      <c r="H342" s="79"/>
      <c r="I342" s="79"/>
      <c r="J342" s="87"/>
      <c r="K342" s="87"/>
      <c r="L342" s="87"/>
      <c r="M342" s="87"/>
      <c r="N342" s="79"/>
      <c r="O342" s="79"/>
      <c r="P342" s="79"/>
      <c r="Q342" s="79"/>
      <c r="R342" s="79"/>
      <c r="S342" s="79"/>
      <c r="T342" s="79"/>
      <c r="U342" s="79"/>
      <c r="V342" s="79"/>
      <c r="W342" s="79"/>
      <c r="X342" s="79"/>
      <c r="Y342" s="79"/>
      <c r="Z342" s="79"/>
      <c r="AA342" s="79"/>
      <c r="AB342" s="79"/>
    </row>
    <row r="343" spans="1:28" ht="15.8" customHeight="1" x14ac:dyDescent="0.15">
      <c r="A343" s="79"/>
      <c r="B343" s="79"/>
      <c r="C343" s="79"/>
      <c r="D343" s="79"/>
      <c r="E343" s="79"/>
      <c r="F343" s="79"/>
      <c r="G343" s="79"/>
      <c r="H343" s="79"/>
      <c r="I343" s="79"/>
      <c r="J343" s="87"/>
      <c r="K343" s="87"/>
      <c r="L343" s="87"/>
      <c r="M343" s="87"/>
      <c r="N343" s="79"/>
      <c r="O343" s="79"/>
      <c r="P343" s="79"/>
      <c r="Q343" s="79"/>
      <c r="R343" s="79"/>
      <c r="S343" s="79"/>
      <c r="T343" s="79"/>
      <c r="U343" s="79"/>
      <c r="V343" s="79"/>
      <c r="W343" s="79"/>
      <c r="X343" s="79"/>
      <c r="Y343" s="79"/>
      <c r="Z343" s="79"/>
      <c r="AA343" s="79"/>
      <c r="AB343" s="79"/>
    </row>
    <row r="344" spans="1:28" ht="15.8" customHeight="1" x14ac:dyDescent="0.15">
      <c r="A344" s="79"/>
      <c r="B344" s="79"/>
      <c r="C344" s="79"/>
      <c r="D344" s="79"/>
      <c r="E344" s="79"/>
      <c r="F344" s="79"/>
      <c r="G344" s="79"/>
      <c r="H344" s="79"/>
      <c r="I344" s="79"/>
      <c r="J344" s="87"/>
      <c r="K344" s="87"/>
      <c r="L344" s="87"/>
      <c r="M344" s="87"/>
      <c r="N344" s="79"/>
      <c r="O344" s="79"/>
      <c r="P344" s="79"/>
      <c r="Q344" s="79"/>
      <c r="R344" s="79"/>
      <c r="S344" s="79"/>
      <c r="T344" s="79"/>
      <c r="U344" s="79"/>
      <c r="V344" s="79"/>
      <c r="W344" s="79"/>
      <c r="X344" s="79"/>
      <c r="Y344" s="79"/>
      <c r="Z344" s="79"/>
      <c r="AA344" s="79"/>
      <c r="AB344" s="79"/>
    </row>
    <row r="345" spans="1:28" ht="15.8" customHeight="1" x14ac:dyDescent="0.15">
      <c r="A345" s="79"/>
      <c r="B345" s="79"/>
      <c r="C345" s="79"/>
      <c r="D345" s="79"/>
      <c r="E345" s="79"/>
      <c r="F345" s="79"/>
      <c r="G345" s="79"/>
      <c r="H345" s="79"/>
      <c r="I345" s="79"/>
      <c r="J345" s="87"/>
      <c r="K345" s="87"/>
      <c r="L345" s="87"/>
      <c r="M345" s="87"/>
      <c r="N345" s="79"/>
      <c r="O345" s="79"/>
      <c r="P345" s="79"/>
      <c r="Q345" s="79"/>
      <c r="R345" s="79"/>
      <c r="S345" s="79"/>
      <c r="T345" s="79"/>
      <c r="U345" s="79"/>
      <c r="V345" s="79"/>
      <c r="W345" s="79"/>
      <c r="X345" s="79"/>
      <c r="Y345" s="79"/>
      <c r="Z345" s="79"/>
      <c r="AA345" s="79"/>
      <c r="AB345" s="79"/>
    </row>
    <row r="346" spans="1:28" ht="15.8" customHeight="1" x14ac:dyDescent="0.15">
      <c r="A346" s="79"/>
      <c r="B346" s="79"/>
      <c r="C346" s="79"/>
      <c r="D346" s="79"/>
      <c r="E346" s="79"/>
      <c r="F346" s="79"/>
      <c r="G346" s="79"/>
      <c r="H346" s="79"/>
      <c r="I346" s="79"/>
      <c r="J346" s="87"/>
      <c r="K346" s="87"/>
      <c r="L346" s="87"/>
      <c r="M346" s="87"/>
      <c r="N346" s="79"/>
      <c r="O346" s="79"/>
      <c r="P346" s="79"/>
      <c r="Q346" s="79"/>
      <c r="R346" s="79"/>
      <c r="S346" s="79"/>
      <c r="T346" s="79"/>
      <c r="U346" s="79"/>
      <c r="V346" s="79"/>
      <c r="W346" s="79"/>
      <c r="X346" s="79"/>
      <c r="Y346" s="79"/>
      <c r="Z346" s="79"/>
      <c r="AA346" s="79"/>
      <c r="AB346" s="79"/>
    </row>
    <row r="347" spans="1:28" ht="15.8" customHeight="1" x14ac:dyDescent="0.15">
      <c r="A347" s="79"/>
      <c r="B347" s="79"/>
      <c r="C347" s="79"/>
      <c r="D347" s="79"/>
      <c r="E347" s="79"/>
      <c r="F347" s="79"/>
      <c r="G347" s="79"/>
      <c r="H347" s="79"/>
      <c r="I347" s="79"/>
      <c r="J347" s="87"/>
      <c r="K347" s="87"/>
      <c r="L347" s="87"/>
      <c r="M347" s="87"/>
      <c r="N347" s="79"/>
      <c r="O347" s="79"/>
      <c r="P347" s="79"/>
      <c r="Q347" s="79"/>
      <c r="R347" s="79"/>
      <c r="S347" s="79"/>
      <c r="T347" s="79"/>
      <c r="U347" s="79"/>
      <c r="V347" s="79"/>
      <c r="W347" s="79"/>
      <c r="X347" s="79"/>
      <c r="Y347" s="79"/>
      <c r="Z347" s="79"/>
      <c r="AA347" s="79"/>
      <c r="AB347" s="79"/>
    </row>
    <row r="348" spans="1:28" ht="15.8" customHeight="1" x14ac:dyDescent="0.15">
      <c r="A348" s="79"/>
      <c r="B348" s="79"/>
      <c r="C348" s="79"/>
      <c r="D348" s="79"/>
      <c r="E348" s="79"/>
      <c r="F348" s="79"/>
      <c r="G348" s="79"/>
      <c r="H348" s="79"/>
      <c r="I348" s="79"/>
      <c r="J348" s="87"/>
      <c r="K348" s="87"/>
      <c r="L348" s="87"/>
      <c r="M348" s="87"/>
      <c r="N348" s="79"/>
      <c r="O348" s="79"/>
      <c r="P348" s="79"/>
      <c r="Q348" s="79"/>
      <c r="R348" s="79"/>
      <c r="S348" s="79"/>
      <c r="T348" s="79"/>
      <c r="U348" s="79"/>
      <c r="V348" s="79"/>
      <c r="W348" s="79"/>
      <c r="X348" s="79"/>
      <c r="Y348" s="79"/>
      <c r="Z348" s="79"/>
      <c r="AA348" s="79"/>
      <c r="AB348" s="79"/>
    </row>
    <row r="349" spans="1:28" ht="15.8" customHeight="1" x14ac:dyDescent="0.15">
      <c r="A349" s="79"/>
      <c r="B349" s="79"/>
      <c r="C349" s="79"/>
      <c r="D349" s="79"/>
      <c r="E349" s="79"/>
      <c r="F349" s="79"/>
      <c r="G349" s="79"/>
      <c r="H349" s="79"/>
      <c r="I349" s="79"/>
      <c r="J349" s="87"/>
      <c r="K349" s="87"/>
      <c r="L349" s="87"/>
      <c r="M349" s="87"/>
      <c r="N349" s="79"/>
      <c r="O349" s="79"/>
      <c r="P349" s="79"/>
      <c r="Q349" s="79"/>
      <c r="R349" s="79"/>
      <c r="S349" s="79"/>
      <c r="T349" s="79"/>
      <c r="U349" s="79"/>
      <c r="V349" s="79"/>
      <c r="W349" s="79"/>
      <c r="X349" s="79"/>
      <c r="Y349" s="79"/>
      <c r="Z349" s="79"/>
      <c r="AA349" s="79"/>
      <c r="AB349" s="79"/>
    </row>
    <row r="350" spans="1:28" ht="15.8" customHeight="1" x14ac:dyDescent="0.15">
      <c r="A350" s="79"/>
      <c r="B350" s="79"/>
      <c r="C350" s="79"/>
      <c r="D350" s="79"/>
      <c r="E350" s="79"/>
      <c r="F350" s="79"/>
      <c r="G350" s="79"/>
      <c r="H350" s="79"/>
      <c r="I350" s="79"/>
      <c r="J350" s="87"/>
      <c r="K350" s="87"/>
      <c r="L350" s="87"/>
      <c r="M350" s="87"/>
      <c r="N350" s="79"/>
      <c r="O350" s="79"/>
      <c r="P350" s="79"/>
      <c r="Q350" s="79"/>
      <c r="R350" s="79"/>
      <c r="S350" s="79"/>
      <c r="T350" s="79"/>
      <c r="U350" s="79"/>
      <c r="V350" s="79"/>
      <c r="W350" s="79"/>
      <c r="X350" s="79"/>
      <c r="Y350" s="79"/>
      <c r="Z350" s="79"/>
      <c r="AA350" s="79"/>
      <c r="AB350" s="79"/>
    </row>
    <row r="351" spans="1:28" ht="15.8" customHeight="1" x14ac:dyDescent="0.15">
      <c r="A351" s="79"/>
      <c r="B351" s="79"/>
      <c r="C351" s="79"/>
      <c r="D351" s="79"/>
      <c r="E351" s="79"/>
      <c r="F351" s="79"/>
      <c r="G351" s="79"/>
      <c r="H351" s="79"/>
      <c r="I351" s="79"/>
      <c r="J351" s="87"/>
      <c r="K351" s="87"/>
      <c r="L351" s="87"/>
      <c r="M351" s="87"/>
      <c r="N351" s="79"/>
      <c r="O351" s="79"/>
      <c r="P351" s="79"/>
      <c r="Q351" s="79"/>
      <c r="R351" s="79"/>
      <c r="S351" s="79"/>
      <c r="T351" s="79"/>
      <c r="U351" s="79"/>
      <c r="V351" s="79"/>
      <c r="W351" s="79"/>
      <c r="X351" s="79"/>
      <c r="Y351" s="79"/>
      <c r="Z351" s="79"/>
      <c r="AA351" s="79"/>
      <c r="AB351" s="79"/>
    </row>
    <row r="352" spans="1:28" ht="15.8" customHeight="1" x14ac:dyDescent="0.15">
      <c r="A352" s="79"/>
      <c r="B352" s="79"/>
      <c r="C352" s="79"/>
      <c r="D352" s="79"/>
      <c r="E352" s="79"/>
      <c r="F352" s="79"/>
      <c r="G352" s="79"/>
      <c r="H352" s="79"/>
      <c r="I352" s="79"/>
      <c r="J352" s="87"/>
      <c r="K352" s="87"/>
      <c r="L352" s="87"/>
      <c r="M352" s="87"/>
      <c r="N352" s="79"/>
      <c r="O352" s="79"/>
      <c r="P352" s="79"/>
      <c r="Q352" s="79"/>
      <c r="R352" s="79"/>
      <c r="S352" s="79"/>
      <c r="T352" s="79"/>
      <c r="U352" s="79"/>
      <c r="V352" s="79"/>
      <c r="W352" s="79"/>
      <c r="X352" s="79"/>
      <c r="Y352" s="79"/>
      <c r="Z352" s="79"/>
      <c r="AA352" s="79"/>
      <c r="AB352" s="79"/>
    </row>
    <row r="353" spans="1:28" ht="15.8" customHeight="1" x14ac:dyDescent="0.15">
      <c r="A353" s="79"/>
      <c r="B353" s="79"/>
      <c r="C353" s="79"/>
      <c r="D353" s="79"/>
      <c r="E353" s="79"/>
      <c r="F353" s="79"/>
      <c r="G353" s="79"/>
      <c r="H353" s="79"/>
      <c r="I353" s="79"/>
      <c r="J353" s="87"/>
      <c r="K353" s="87"/>
      <c r="L353" s="87"/>
      <c r="M353" s="87"/>
      <c r="N353" s="79"/>
      <c r="O353" s="79"/>
      <c r="P353" s="79"/>
      <c r="Q353" s="79"/>
      <c r="R353" s="79"/>
      <c r="S353" s="79"/>
      <c r="T353" s="79"/>
      <c r="U353" s="79"/>
      <c r="V353" s="79"/>
      <c r="W353" s="79"/>
      <c r="X353" s="79"/>
      <c r="Y353" s="79"/>
      <c r="Z353" s="79"/>
      <c r="AA353" s="79"/>
      <c r="AB353" s="79"/>
    </row>
    <row r="354" spans="1:28" ht="15.8" customHeight="1" x14ac:dyDescent="0.15">
      <c r="A354" s="79"/>
      <c r="B354" s="79"/>
      <c r="C354" s="79"/>
      <c r="D354" s="79"/>
      <c r="E354" s="79"/>
      <c r="F354" s="79"/>
      <c r="G354" s="79"/>
      <c r="H354" s="79"/>
      <c r="I354" s="79"/>
      <c r="J354" s="87"/>
      <c r="K354" s="87"/>
      <c r="L354" s="87"/>
      <c r="M354" s="87"/>
      <c r="N354" s="79"/>
      <c r="O354" s="79"/>
      <c r="P354" s="79"/>
      <c r="Q354" s="79"/>
      <c r="R354" s="79"/>
      <c r="S354" s="79"/>
      <c r="T354" s="79"/>
      <c r="U354" s="79"/>
      <c r="V354" s="79"/>
      <c r="W354" s="79"/>
      <c r="X354" s="79"/>
      <c r="Y354" s="79"/>
      <c r="Z354" s="79"/>
      <c r="AA354" s="79"/>
      <c r="AB354" s="79"/>
    </row>
    <row r="355" spans="1:28" ht="15.8" customHeight="1" x14ac:dyDescent="0.15">
      <c r="A355" s="79"/>
      <c r="B355" s="79"/>
      <c r="C355" s="79"/>
      <c r="D355" s="79"/>
      <c r="E355" s="79"/>
      <c r="F355" s="79"/>
      <c r="G355" s="79"/>
      <c r="H355" s="79"/>
      <c r="I355" s="79"/>
      <c r="J355" s="87"/>
      <c r="K355" s="87"/>
      <c r="L355" s="87"/>
      <c r="M355" s="87"/>
      <c r="N355" s="79"/>
      <c r="O355" s="79"/>
      <c r="P355" s="79"/>
      <c r="Q355" s="79"/>
      <c r="R355" s="79"/>
      <c r="S355" s="79"/>
      <c r="T355" s="79"/>
      <c r="U355" s="79"/>
      <c r="V355" s="79"/>
      <c r="W355" s="79"/>
      <c r="X355" s="79"/>
      <c r="Y355" s="79"/>
      <c r="Z355" s="79"/>
      <c r="AA355" s="79"/>
      <c r="AB355" s="79"/>
    </row>
    <row r="356" spans="1:28" ht="15.8" customHeight="1" x14ac:dyDescent="0.15">
      <c r="A356" s="79"/>
      <c r="B356" s="79"/>
      <c r="C356" s="79"/>
      <c r="D356" s="79"/>
      <c r="E356" s="79"/>
      <c r="F356" s="79"/>
      <c r="G356" s="79"/>
      <c r="H356" s="79"/>
      <c r="I356" s="79"/>
      <c r="J356" s="87"/>
      <c r="K356" s="87"/>
      <c r="L356" s="87"/>
      <c r="M356" s="87"/>
      <c r="N356" s="79"/>
      <c r="O356" s="79"/>
      <c r="P356" s="79"/>
      <c r="Q356" s="79"/>
      <c r="R356" s="79"/>
      <c r="S356" s="79"/>
      <c r="T356" s="79"/>
      <c r="U356" s="79"/>
      <c r="V356" s="79"/>
      <c r="W356" s="79"/>
      <c r="X356" s="79"/>
      <c r="Y356" s="79"/>
      <c r="Z356" s="79"/>
      <c r="AA356" s="79"/>
      <c r="AB356" s="79"/>
    </row>
    <row r="357" spans="1:28" ht="15.8" customHeight="1" x14ac:dyDescent="0.15">
      <c r="A357" s="79"/>
      <c r="B357" s="79"/>
      <c r="C357" s="79"/>
      <c r="D357" s="79"/>
      <c r="E357" s="79"/>
      <c r="F357" s="79"/>
      <c r="G357" s="79"/>
      <c r="H357" s="79"/>
      <c r="I357" s="79"/>
      <c r="J357" s="87"/>
      <c r="K357" s="87"/>
      <c r="L357" s="87"/>
      <c r="M357" s="87"/>
      <c r="N357" s="79"/>
      <c r="O357" s="79"/>
      <c r="P357" s="79"/>
      <c r="Q357" s="79"/>
      <c r="R357" s="79"/>
      <c r="S357" s="79"/>
      <c r="T357" s="79"/>
      <c r="U357" s="79"/>
      <c r="V357" s="79"/>
      <c r="W357" s="79"/>
      <c r="X357" s="79"/>
      <c r="Y357" s="79"/>
      <c r="Z357" s="79"/>
      <c r="AA357" s="79"/>
      <c r="AB357" s="79"/>
    </row>
    <row r="358" spans="1:28" ht="15.8" customHeight="1" x14ac:dyDescent="0.15">
      <c r="A358" s="79"/>
      <c r="B358" s="79"/>
      <c r="C358" s="79"/>
      <c r="D358" s="79"/>
      <c r="E358" s="79"/>
      <c r="F358" s="79"/>
      <c r="G358" s="79"/>
      <c r="H358" s="79"/>
      <c r="I358" s="79"/>
      <c r="J358" s="87"/>
      <c r="K358" s="87"/>
      <c r="L358" s="87"/>
      <c r="M358" s="87"/>
      <c r="N358" s="79"/>
      <c r="O358" s="79"/>
      <c r="P358" s="79"/>
      <c r="Q358" s="79"/>
      <c r="R358" s="79"/>
      <c r="S358" s="79"/>
      <c r="T358" s="79"/>
      <c r="U358" s="79"/>
      <c r="V358" s="79"/>
      <c r="W358" s="79"/>
      <c r="X358" s="79"/>
      <c r="Y358" s="79"/>
      <c r="Z358" s="79"/>
      <c r="AA358" s="79"/>
      <c r="AB358" s="79"/>
    </row>
    <row r="359" spans="1:28" ht="15.8" customHeight="1" x14ac:dyDescent="0.15">
      <c r="A359" s="79"/>
      <c r="B359" s="79"/>
      <c r="C359" s="79"/>
      <c r="D359" s="79"/>
      <c r="E359" s="79"/>
      <c r="F359" s="79"/>
      <c r="G359" s="79"/>
      <c r="H359" s="79"/>
      <c r="I359" s="79"/>
      <c r="J359" s="87"/>
      <c r="K359" s="87"/>
      <c r="L359" s="87"/>
      <c r="M359" s="87"/>
      <c r="N359" s="79"/>
      <c r="O359" s="79"/>
      <c r="P359" s="79"/>
      <c r="Q359" s="79"/>
      <c r="R359" s="79"/>
      <c r="S359" s="79"/>
      <c r="T359" s="79"/>
      <c r="U359" s="79"/>
      <c r="V359" s="79"/>
      <c r="W359" s="79"/>
      <c r="X359" s="79"/>
      <c r="Y359" s="79"/>
      <c r="Z359" s="79"/>
      <c r="AA359" s="79"/>
      <c r="AB359" s="79"/>
    </row>
    <row r="360" spans="1:28" ht="15.8" customHeight="1" x14ac:dyDescent="0.15">
      <c r="A360" s="79"/>
      <c r="B360" s="79"/>
      <c r="C360" s="79"/>
      <c r="D360" s="79"/>
      <c r="E360" s="79"/>
      <c r="F360" s="79"/>
      <c r="G360" s="79"/>
      <c r="H360" s="79"/>
      <c r="I360" s="79"/>
      <c r="J360" s="87"/>
      <c r="K360" s="87"/>
      <c r="L360" s="87"/>
      <c r="M360" s="87"/>
      <c r="N360" s="79"/>
      <c r="O360" s="79"/>
      <c r="P360" s="79"/>
      <c r="Q360" s="79"/>
      <c r="R360" s="79"/>
      <c r="S360" s="79"/>
      <c r="T360" s="79"/>
      <c r="U360" s="79"/>
      <c r="V360" s="79"/>
      <c r="W360" s="79"/>
      <c r="X360" s="79"/>
      <c r="Y360" s="79"/>
      <c r="Z360" s="79"/>
      <c r="AA360" s="79"/>
      <c r="AB360" s="79"/>
    </row>
    <row r="361" spans="1:28" ht="15.8" customHeight="1" x14ac:dyDescent="0.15">
      <c r="A361" s="79"/>
      <c r="B361" s="79"/>
      <c r="C361" s="79"/>
      <c r="D361" s="79"/>
      <c r="E361" s="79"/>
      <c r="F361" s="79"/>
      <c r="G361" s="79"/>
      <c r="H361" s="79"/>
      <c r="I361" s="79"/>
      <c r="J361" s="87"/>
      <c r="K361" s="87"/>
      <c r="L361" s="87"/>
      <c r="M361" s="87"/>
      <c r="N361" s="79"/>
      <c r="O361" s="79"/>
      <c r="P361" s="79"/>
      <c r="Q361" s="79"/>
      <c r="R361" s="79"/>
      <c r="S361" s="79"/>
      <c r="T361" s="79"/>
      <c r="U361" s="79"/>
      <c r="V361" s="79"/>
      <c r="W361" s="79"/>
      <c r="X361" s="79"/>
      <c r="Y361" s="79"/>
      <c r="Z361" s="79"/>
      <c r="AA361" s="79"/>
      <c r="AB361" s="79"/>
    </row>
    <row r="362" spans="1:28" ht="15.8" customHeight="1" x14ac:dyDescent="0.15">
      <c r="A362" s="79"/>
      <c r="B362" s="79"/>
      <c r="C362" s="79"/>
      <c r="D362" s="79"/>
      <c r="E362" s="79"/>
      <c r="F362" s="79"/>
      <c r="G362" s="79"/>
      <c r="H362" s="79"/>
      <c r="I362" s="79"/>
      <c r="J362" s="87"/>
      <c r="K362" s="87"/>
      <c r="L362" s="87"/>
      <c r="M362" s="87"/>
      <c r="N362" s="79"/>
      <c r="O362" s="79"/>
      <c r="P362" s="79"/>
      <c r="Q362" s="79"/>
      <c r="R362" s="79"/>
      <c r="S362" s="79"/>
      <c r="T362" s="79"/>
      <c r="U362" s="79"/>
      <c r="V362" s="79"/>
      <c r="W362" s="79"/>
      <c r="X362" s="79"/>
      <c r="Y362" s="79"/>
      <c r="Z362" s="79"/>
      <c r="AA362" s="79"/>
      <c r="AB362" s="79"/>
    </row>
    <row r="363" spans="1:28" ht="15.8" customHeight="1" x14ac:dyDescent="0.15">
      <c r="A363" s="79"/>
      <c r="B363" s="79"/>
      <c r="C363" s="79"/>
      <c r="D363" s="79"/>
      <c r="E363" s="79"/>
      <c r="F363" s="79"/>
      <c r="G363" s="79"/>
      <c r="H363" s="79"/>
      <c r="I363" s="79"/>
      <c r="J363" s="87"/>
      <c r="K363" s="87"/>
      <c r="L363" s="87"/>
      <c r="M363" s="87"/>
      <c r="N363" s="79"/>
      <c r="O363" s="79"/>
      <c r="P363" s="79"/>
      <c r="Q363" s="79"/>
      <c r="R363" s="79"/>
      <c r="S363" s="79"/>
      <c r="T363" s="79"/>
      <c r="U363" s="79"/>
      <c r="V363" s="79"/>
      <c r="W363" s="79"/>
      <c r="X363" s="79"/>
      <c r="Y363" s="79"/>
      <c r="Z363" s="79"/>
      <c r="AA363" s="79"/>
      <c r="AB363" s="79"/>
    </row>
    <row r="364" spans="1:28" ht="15.8" customHeight="1" x14ac:dyDescent="0.15">
      <c r="A364" s="79"/>
      <c r="B364" s="79"/>
      <c r="C364" s="79"/>
      <c r="D364" s="79"/>
      <c r="E364" s="79"/>
      <c r="F364" s="79"/>
      <c r="G364" s="79"/>
      <c r="H364" s="79"/>
      <c r="I364" s="79"/>
      <c r="J364" s="87"/>
      <c r="K364" s="87"/>
      <c r="L364" s="87"/>
      <c r="M364" s="87"/>
      <c r="N364" s="79"/>
      <c r="O364" s="79"/>
      <c r="P364" s="79"/>
      <c r="Q364" s="79"/>
      <c r="R364" s="79"/>
      <c r="S364" s="79"/>
      <c r="T364" s="79"/>
      <c r="U364" s="79"/>
      <c r="V364" s="79"/>
      <c r="W364" s="79"/>
      <c r="X364" s="79"/>
      <c r="Y364" s="79"/>
      <c r="Z364" s="79"/>
      <c r="AA364" s="79"/>
      <c r="AB364" s="79"/>
    </row>
    <row r="365" spans="1:28" ht="15.8" customHeight="1" x14ac:dyDescent="0.15">
      <c r="A365" s="79"/>
      <c r="B365" s="79"/>
      <c r="C365" s="79"/>
      <c r="D365" s="79"/>
      <c r="E365" s="79"/>
      <c r="F365" s="79"/>
      <c r="G365" s="79"/>
      <c r="H365" s="79"/>
      <c r="I365" s="79"/>
      <c r="J365" s="87"/>
      <c r="K365" s="87"/>
      <c r="L365" s="87"/>
      <c r="M365" s="87"/>
      <c r="N365" s="79"/>
      <c r="O365" s="79"/>
      <c r="P365" s="79"/>
      <c r="Q365" s="79"/>
      <c r="R365" s="79"/>
      <c r="S365" s="79"/>
      <c r="T365" s="79"/>
      <c r="U365" s="79"/>
      <c r="V365" s="79"/>
      <c r="W365" s="79"/>
      <c r="X365" s="79"/>
      <c r="Y365" s="79"/>
      <c r="Z365" s="79"/>
      <c r="AA365" s="79"/>
      <c r="AB365" s="79"/>
    </row>
    <row r="366" spans="1:28" ht="15.8" customHeight="1" x14ac:dyDescent="0.15">
      <c r="A366" s="79"/>
      <c r="B366" s="79"/>
      <c r="C366" s="79"/>
      <c r="D366" s="79"/>
      <c r="E366" s="79"/>
      <c r="F366" s="79"/>
      <c r="G366" s="79"/>
      <c r="H366" s="79"/>
      <c r="I366" s="79"/>
      <c r="J366" s="87"/>
      <c r="K366" s="87"/>
      <c r="L366" s="87"/>
      <c r="M366" s="87"/>
      <c r="N366" s="79"/>
      <c r="O366" s="79"/>
      <c r="P366" s="79"/>
      <c r="Q366" s="79"/>
      <c r="R366" s="79"/>
      <c r="S366" s="79"/>
      <c r="T366" s="79"/>
      <c r="U366" s="79"/>
      <c r="V366" s="79"/>
      <c r="W366" s="79"/>
      <c r="X366" s="79"/>
      <c r="Y366" s="79"/>
      <c r="Z366" s="79"/>
      <c r="AA366" s="79"/>
      <c r="AB366" s="79"/>
    </row>
    <row r="367" spans="1:28" ht="15.8" customHeight="1" x14ac:dyDescent="0.15">
      <c r="A367" s="79"/>
      <c r="B367" s="79"/>
      <c r="C367" s="79"/>
      <c r="D367" s="79"/>
      <c r="E367" s="79"/>
      <c r="F367" s="79"/>
      <c r="G367" s="79"/>
      <c r="H367" s="79"/>
      <c r="I367" s="79"/>
      <c r="J367" s="87"/>
      <c r="K367" s="87"/>
      <c r="L367" s="87"/>
      <c r="M367" s="87"/>
      <c r="N367" s="79"/>
      <c r="O367" s="79"/>
      <c r="P367" s="79"/>
      <c r="Q367" s="79"/>
      <c r="R367" s="79"/>
      <c r="S367" s="79"/>
      <c r="T367" s="79"/>
      <c r="U367" s="79"/>
      <c r="V367" s="79"/>
      <c r="W367" s="79"/>
      <c r="X367" s="79"/>
      <c r="Y367" s="79"/>
      <c r="Z367" s="79"/>
      <c r="AA367" s="79"/>
      <c r="AB367" s="79"/>
    </row>
    <row r="368" spans="1:28" ht="15.8" customHeight="1" x14ac:dyDescent="0.15">
      <c r="A368" s="79"/>
      <c r="B368" s="79"/>
      <c r="C368" s="79"/>
      <c r="D368" s="79"/>
      <c r="E368" s="79"/>
      <c r="F368" s="79"/>
      <c r="G368" s="79"/>
      <c r="H368" s="79"/>
      <c r="I368" s="79"/>
      <c r="J368" s="87"/>
      <c r="K368" s="87"/>
      <c r="L368" s="87"/>
      <c r="M368" s="87"/>
      <c r="N368" s="79"/>
      <c r="O368" s="79"/>
      <c r="P368" s="79"/>
      <c r="Q368" s="79"/>
      <c r="R368" s="79"/>
      <c r="S368" s="79"/>
      <c r="T368" s="79"/>
      <c r="U368" s="79"/>
      <c r="V368" s="79"/>
      <c r="W368" s="79"/>
      <c r="X368" s="79"/>
      <c r="Y368" s="79"/>
      <c r="Z368" s="79"/>
      <c r="AA368" s="79"/>
      <c r="AB368" s="79"/>
    </row>
    <row r="369" spans="1:28" ht="15.8" customHeight="1" x14ac:dyDescent="0.15">
      <c r="A369" s="79"/>
      <c r="B369" s="79"/>
      <c r="C369" s="79"/>
      <c r="D369" s="79"/>
      <c r="E369" s="79"/>
      <c r="F369" s="79"/>
      <c r="G369" s="79"/>
      <c r="H369" s="79"/>
      <c r="I369" s="79"/>
      <c r="J369" s="87"/>
      <c r="K369" s="87"/>
      <c r="L369" s="87"/>
      <c r="M369" s="87"/>
      <c r="N369" s="79"/>
      <c r="O369" s="79"/>
      <c r="P369" s="79"/>
      <c r="Q369" s="79"/>
      <c r="R369" s="79"/>
      <c r="S369" s="79"/>
      <c r="T369" s="79"/>
      <c r="U369" s="79"/>
      <c r="V369" s="79"/>
      <c r="W369" s="79"/>
      <c r="X369" s="79"/>
      <c r="Y369" s="79"/>
      <c r="Z369" s="79"/>
      <c r="AA369" s="79"/>
      <c r="AB369" s="79"/>
    </row>
    <row r="370" spans="1:28" ht="15.8" customHeight="1" x14ac:dyDescent="0.15">
      <c r="A370" s="79"/>
      <c r="B370" s="79"/>
      <c r="C370" s="79"/>
      <c r="D370" s="79"/>
      <c r="E370" s="79"/>
      <c r="F370" s="79"/>
      <c r="G370" s="79"/>
      <c r="H370" s="79"/>
      <c r="I370" s="79"/>
      <c r="J370" s="87"/>
      <c r="K370" s="87"/>
      <c r="L370" s="87"/>
      <c r="M370" s="87"/>
      <c r="N370" s="79"/>
      <c r="O370" s="79"/>
      <c r="P370" s="79"/>
      <c r="Q370" s="79"/>
      <c r="R370" s="79"/>
      <c r="S370" s="79"/>
      <c r="T370" s="79"/>
      <c r="U370" s="79"/>
      <c r="V370" s="79"/>
      <c r="W370" s="79"/>
      <c r="X370" s="79"/>
      <c r="Y370" s="79"/>
      <c r="Z370" s="79"/>
      <c r="AA370" s="79"/>
      <c r="AB370" s="79"/>
    </row>
    <row r="371" spans="1:28" ht="15.8" customHeight="1" x14ac:dyDescent="0.15">
      <c r="A371" s="79"/>
      <c r="B371" s="79"/>
      <c r="C371" s="79"/>
      <c r="D371" s="79"/>
      <c r="E371" s="79"/>
      <c r="F371" s="79"/>
      <c r="G371" s="79"/>
      <c r="H371" s="79"/>
      <c r="I371" s="79"/>
      <c r="J371" s="87"/>
      <c r="K371" s="87"/>
      <c r="L371" s="87"/>
      <c r="M371" s="87"/>
      <c r="N371" s="79"/>
      <c r="O371" s="79"/>
      <c r="P371" s="79"/>
      <c r="Q371" s="79"/>
      <c r="R371" s="79"/>
      <c r="S371" s="79"/>
      <c r="T371" s="79"/>
      <c r="U371" s="79"/>
      <c r="V371" s="79"/>
      <c r="W371" s="79"/>
      <c r="X371" s="79"/>
      <c r="Y371" s="79"/>
      <c r="Z371" s="79"/>
      <c r="AA371" s="79"/>
      <c r="AB371" s="79"/>
    </row>
    <row r="372" spans="1:28" ht="15.8" customHeight="1" x14ac:dyDescent="0.15">
      <c r="A372" s="79"/>
      <c r="B372" s="79"/>
      <c r="C372" s="79"/>
      <c r="D372" s="79"/>
      <c r="E372" s="79"/>
      <c r="F372" s="79"/>
      <c r="G372" s="79"/>
      <c r="H372" s="79"/>
      <c r="I372" s="79"/>
      <c r="J372" s="87"/>
      <c r="K372" s="87"/>
      <c r="L372" s="87"/>
      <c r="M372" s="87"/>
      <c r="N372" s="79"/>
      <c r="O372" s="79"/>
      <c r="P372" s="79"/>
      <c r="Q372" s="79"/>
      <c r="R372" s="79"/>
      <c r="S372" s="79"/>
      <c r="T372" s="79"/>
      <c r="U372" s="79"/>
      <c r="V372" s="79"/>
      <c r="W372" s="79"/>
      <c r="X372" s="79"/>
      <c r="Y372" s="79"/>
      <c r="Z372" s="79"/>
      <c r="AA372" s="79"/>
      <c r="AB372" s="79"/>
    </row>
    <row r="373" spans="1:28" ht="15.8" customHeight="1" x14ac:dyDescent="0.15">
      <c r="A373" s="79"/>
      <c r="B373" s="79"/>
      <c r="C373" s="79"/>
      <c r="D373" s="79"/>
      <c r="E373" s="79"/>
      <c r="F373" s="79"/>
      <c r="G373" s="79"/>
      <c r="H373" s="79"/>
      <c r="I373" s="79"/>
      <c r="J373" s="87"/>
      <c r="K373" s="87"/>
      <c r="L373" s="87"/>
      <c r="M373" s="87"/>
      <c r="N373" s="79"/>
      <c r="O373" s="79"/>
      <c r="P373" s="79"/>
      <c r="Q373" s="79"/>
      <c r="R373" s="79"/>
      <c r="S373" s="79"/>
      <c r="T373" s="79"/>
      <c r="U373" s="79"/>
      <c r="V373" s="79"/>
      <c r="W373" s="79"/>
      <c r="X373" s="79"/>
      <c r="Y373" s="79"/>
      <c r="Z373" s="79"/>
      <c r="AA373" s="79"/>
      <c r="AB373" s="79"/>
    </row>
    <row r="374" spans="1:28" ht="15.8" customHeight="1" x14ac:dyDescent="0.15">
      <c r="A374" s="79"/>
      <c r="B374" s="79"/>
      <c r="C374" s="79"/>
      <c r="D374" s="79"/>
      <c r="E374" s="79"/>
      <c r="F374" s="79"/>
      <c r="G374" s="79"/>
      <c r="H374" s="79"/>
      <c r="I374" s="79"/>
      <c r="J374" s="87"/>
      <c r="K374" s="87"/>
      <c r="L374" s="87"/>
      <c r="M374" s="87"/>
      <c r="N374" s="79"/>
      <c r="O374" s="79"/>
      <c r="P374" s="79"/>
      <c r="Q374" s="79"/>
      <c r="R374" s="79"/>
      <c r="S374" s="79"/>
      <c r="T374" s="79"/>
      <c r="U374" s="79"/>
      <c r="V374" s="79"/>
      <c r="W374" s="79"/>
      <c r="X374" s="79"/>
      <c r="Y374" s="79"/>
      <c r="Z374" s="79"/>
      <c r="AA374" s="79"/>
      <c r="AB374" s="79"/>
    </row>
    <row r="375" spans="1:28" ht="15.8" customHeight="1" x14ac:dyDescent="0.15">
      <c r="A375" s="79"/>
      <c r="B375" s="79"/>
      <c r="C375" s="79"/>
      <c r="D375" s="79"/>
      <c r="E375" s="79"/>
      <c r="F375" s="79"/>
      <c r="G375" s="79"/>
      <c r="H375" s="79"/>
      <c r="I375" s="79"/>
      <c r="J375" s="87"/>
      <c r="K375" s="87"/>
      <c r="L375" s="87"/>
      <c r="M375" s="87"/>
      <c r="N375" s="79"/>
      <c r="O375" s="79"/>
      <c r="P375" s="79"/>
      <c r="Q375" s="79"/>
      <c r="R375" s="79"/>
      <c r="S375" s="79"/>
      <c r="T375" s="79"/>
      <c r="U375" s="79"/>
      <c r="V375" s="79"/>
      <c r="W375" s="79"/>
      <c r="X375" s="79"/>
      <c r="Y375" s="79"/>
      <c r="Z375" s="79"/>
      <c r="AA375" s="79"/>
      <c r="AB375" s="79"/>
    </row>
    <row r="376" spans="1:28" ht="15.8" customHeight="1" x14ac:dyDescent="0.15">
      <c r="A376" s="79"/>
      <c r="B376" s="79"/>
      <c r="C376" s="79"/>
      <c r="D376" s="79"/>
      <c r="E376" s="79"/>
      <c r="F376" s="79"/>
      <c r="G376" s="79"/>
      <c r="H376" s="79"/>
      <c r="I376" s="79"/>
      <c r="J376" s="87"/>
      <c r="K376" s="87"/>
      <c r="L376" s="87"/>
      <c r="M376" s="87"/>
      <c r="N376" s="79"/>
      <c r="O376" s="79"/>
      <c r="P376" s="79"/>
      <c r="Q376" s="79"/>
      <c r="R376" s="79"/>
      <c r="S376" s="79"/>
      <c r="T376" s="79"/>
      <c r="U376" s="79"/>
      <c r="V376" s="79"/>
      <c r="W376" s="79"/>
      <c r="X376" s="79"/>
      <c r="Y376" s="79"/>
      <c r="Z376" s="79"/>
      <c r="AA376" s="79"/>
      <c r="AB376" s="79"/>
    </row>
    <row r="377" spans="1:28" ht="15.8" customHeight="1" x14ac:dyDescent="0.15">
      <c r="A377" s="79"/>
      <c r="B377" s="79"/>
      <c r="C377" s="79"/>
      <c r="D377" s="79"/>
      <c r="E377" s="79"/>
      <c r="F377" s="79"/>
      <c r="G377" s="79"/>
      <c r="H377" s="79"/>
      <c r="I377" s="79"/>
      <c r="J377" s="87"/>
      <c r="K377" s="87"/>
      <c r="L377" s="87"/>
      <c r="M377" s="87"/>
      <c r="N377" s="79"/>
      <c r="O377" s="79"/>
      <c r="P377" s="79"/>
      <c r="Q377" s="79"/>
      <c r="R377" s="79"/>
      <c r="S377" s="79"/>
      <c r="T377" s="79"/>
      <c r="U377" s="79"/>
      <c r="V377" s="79"/>
      <c r="W377" s="79"/>
      <c r="X377" s="79"/>
      <c r="Y377" s="79"/>
      <c r="Z377" s="79"/>
      <c r="AA377" s="79"/>
      <c r="AB377" s="79"/>
    </row>
    <row r="378" spans="1:28" ht="15.8" customHeight="1" x14ac:dyDescent="0.15">
      <c r="A378" s="79"/>
      <c r="B378" s="79"/>
      <c r="C378" s="79"/>
      <c r="D378" s="79"/>
      <c r="E378" s="79"/>
      <c r="F378" s="79"/>
      <c r="G378" s="79"/>
      <c r="H378" s="79"/>
      <c r="I378" s="79"/>
      <c r="J378" s="87"/>
      <c r="K378" s="87"/>
      <c r="L378" s="87"/>
      <c r="M378" s="87"/>
      <c r="N378" s="79"/>
      <c r="O378" s="79"/>
      <c r="P378" s="79"/>
      <c r="Q378" s="79"/>
      <c r="R378" s="79"/>
      <c r="S378" s="79"/>
      <c r="T378" s="79"/>
      <c r="U378" s="79"/>
      <c r="V378" s="79"/>
      <c r="W378" s="79"/>
      <c r="X378" s="79"/>
      <c r="Y378" s="79"/>
      <c r="Z378" s="79"/>
      <c r="AA378" s="79"/>
      <c r="AB378" s="79"/>
    </row>
    <row r="379" spans="1:28" ht="15.8" customHeight="1" x14ac:dyDescent="0.15">
      <c r="A379" s="79"/>
      <c r="B379" s="79"/>
      <c r="C379" s="79"/>
      <c r="D379" s="79"/>
      <c r="E379" s="79"/>
      <c r="F379" s="79"/>
      <c r="G379" s="79"/>
      <c r="H379" s="79"/>
      <c r="I379" s="79"/>
      <c r="J379" s="87"/>
      <c r="K379" s="87"/>
      <c r="L379" s="87"/>
      <c r="M379" s="87"/>
      <c r="N379" s="79"/>
      <c r="O379" s="79"/>
      <c r="P379" s="79"/>
      <c r="Q379" s="79"/>
      <c r="R379" s="79"/>
      <c r="S379" s="79"/>
      <c r="T379" s="79"/>
      <c r="U379" s="79"/>
      <c r="V379" s="79"/>
      <c r="W379" s="79"/>
      <c r="X379" s="79"/>
      <c r="Y379" s="79"/>
      <c r="Z379" s="79"/>
      <c r="AA379" s="79"/>
      <c r="AB379" s="79"/>
    </row>
    <row r="380" spans="1:28" ht="15.8" customHeight="1" x14ac:dyDescent="0.15">
      <c r="A380" s="79"/>
      <c r="B380" s="79"/>
      <c r="C380" s="79"/>
      <c r="D380" s="79"/>
      <c r="E380" s="79"/>
      <c r="F380" s="79"/>
      <c r="G380" s="79"/>
      <c r="H380" s="79"/>
      <c r="I380" s="79"/>
      <c r="J380" s="87"/>
      <c r="K380" s="87"/>
      <c r="L380" s="87"/>
      <c r="M380" s="87"/>
      <c r="N380" s="79"/>
      <c r="O380" s="79"/>
      <c r="P380" s="79"/>
      <c r="Q380" s="79"/>
      <c r="R380" s="79"/>
      <c r="S380" s="79"/>
      <c r="T380" s="79"/>
      <c r="U380" s="79"/>
      <c r="V380" s="79"/>
      <c r="W380" s="79"/>
      <c r="X380" s="79"/>
      <c r="Y380" s="79"/>
      <c r="Z380" s="79"/>
      <c r="AA380" s="79"/>
      <c r="AB380" s="79"/>
    </row>
    <row r="381" spans="1:28" ht="15.8" customHeight="1" x14ac:dyDescent="0.15">
      <c r="A381" s="79"/>
      <c r="B381" s="79"/>
      <c r="C381" s="79"/>
      <c r="D381" s="79"/>
      <c r="E381" s="79"/>
      <c r="F381" s="79"/>
      <c r="G381" s="79"/>
      <c r="H381" s="79"/>
      <c r="I381" s="79"/>
      <c r="J381" s="87"/>
      <c r="K381" s="87"/>
      <c r="L381" s="87"/>
      <c r="M381" s="87"/>
      <c r="N381" s="79"/>
      <c r="O381" s="79"/>
      <c r="P381" s="79"/>
      <c r="Q381" s="79"/>
      <c r="R381" s="79"/>
      <c r="S381" s="79"/>
      <c r="T381" s="79"/>
      <c r="U381" s="79"/>
      <c r="V381" s="79"/>
      <c r="W381" s="79"/>
      <c r="X381" s="79"/>
      <c r="Y381" s="79"/>
      <c r="Z381" s="79"/>
      <c r="AA381" s="79"/>
      <c r="AB381" s="79"/>
    </row>
    <row r="382" spans="1:28" ht="15.8" customHeight="1" x14ac:dyDescent="0.15">
      <c r="A382" s="79"/>
      <c r="B382" s="79"/>
      <c r="C382" s="79"/>
      <c r="D382" s="79"/>
      <c r="E382" s="79"/>
      <c r="F382" s="79"/>
      <c r="G382" s="79"/>
      <c r="H382" s="79"/>
      <c r="I382" s="79"/>
      <c r="J382" s="87"/>
      <c r="K382" s="87"/>
      <c r="L382" s="87"/>
      <c r="M382" s="87"/>
      <c r="N382" s="79"/>
      <c r="O382" s="79"/>
      <c r="P382" s="79"/>
      <c r="Q382" s="79"/>
      <c r="R382" s="79"/>
      <c r="S382" s="79"/>
      <c r="T382" s="79"/>
      <c r="U382" s="79"/>
      <c r="V382" s="79"/>
      <c r="W382" s="79"/>
      <c r="X382" s="79"/>
      <c r="Y382" s="79"/>
      <c r="Z382" s="79"/>
      <c r="AA382" s="79"/>
      <c r="AB382" s="79"/>
    </row>
    <row r="383" spans="1:28" ht="15.8" customHeight="1" x14ac:dyDescent="0.15">
      <c r="A383" s="79"/>
      <c r="B383" s="79"/>
      <c r="C383" s="79"/>
      <c r="D383" s="79"/>
      <c r="E383" s="79"/>
      <c r="F383" s="79"/>
      <c r="G383" s="79"/>
      <c r="H383" s="79"/>
      <c r="I383" s="79"/>
      <c r="J383" s="87"/>
      <c r="K383" s="87"/>
      <c r="L383" s="87"/>
      <c r="M383" s="87"/>
      <c r="N383" s="79"/>
      <c r="O383" s="79"/>
      <c r="P383" s="79"/>
      <c r="Q383" s="79"/>
      <c r="R383" s="79"/>
      <c r="S383" s="79"/>
      <c r="T383" s="79"/>
      <c r="U383" s="79"/>
      <c r="V383" s="79"/>
      <c r="W383" s="79"/>
      <c r="X383" s="79"/>
      <c r="Y383" s="79"/>
      <c r="Z383" s="79"/>
      <c r="AA383" s="79"/>
      <c r="AB383" s="79"/>
    </row>
    <row r="384" spans="1:28" ht="15.8" customHeight="1" x14ac:dyDescent="0.15">
      <c r="A384" s="79"/>
      <c r="B384" s="79"/>
      <c r="C384" s="79"/>
      <c r="D384" s="79"/>
      <c r="E384" s="79"/>
      <c r="F384" s="79"/>
      <c r="G384" s="79"/>
      <c r="H384" s="79"/>
      <c r="I384" s="79"/>
      <c r="J384" s="87"/>
      <c r="K384" s="87"/>
      <c r="L384" s="87"/>
      <c r="M384" s="87"/>
      <c r="N384" s="79"/>
      <c r="O384" s="79"/>
      <c r="P384" s="79"/>
      <c r="Q384" s="79"/>
      <c r="R384" s="79"/>
      <c r="S384" s="79"/>
      <c r="T384" s="79"/>
      <c r="U384" s="79"/>
      <c r="V384" s="79"/>
      <c r="W384" s="79"/>
      <c r="X384" s="79"/>
      <c r="Y384" s="79"/>
      <c r="Z384" s="79"/>
      <c r="AA384" s="79"/>
      <c r="AB384" s="79"/>
    </row>
    <row r="385" spans="1:28" ht="15.8" customHeight="1" x14ac:dyDescent="0.15">
      <c r="A385" s="79"/>
      <c r="B385" s="79"/>
      <c r="C385" s="79"/>
      <c r="D385" s="79"/>
      <c r="E385" s="79"/>
      <c r="F385" s="79"/>
      <c r="G385" s="79"/>
      <c r="H385" s="79"/>
      <c r="I385" s="79"/>
      <c r="J385" s="87"/>
      <c r="K385" s="87"/>
      <c r="L385" s="87"/>
      <c r="M385" s="87"/>
      <c r="N385" s="79"/>
      <c r="O385" s="79"/>
      <c r="P385" s="79"/>
      <c r="Q385" s="79"/>
      <c r="R385" s="79"/>
      <c r="S385" s="79"/>
      <c r="T385" s="79"/>
      <c r="U385" s="79"/>
      <c r="V385" s="79"/>
      <c r="W385" s="79"/>
      <c r="X385" s="79"/>
      <c r="Y385" s="79"/>
      <c r="Z385" s="79"/>
      <c r="AA385" s="79"/>
      <c r="AB385" s="79"/>
    </row>
    <row r="386" spans="1:28" ht="15.8" customHeight="1" x14ac:dyDescent="0.15">
      <c r="A386" s="79"/>
      <c r="B386" s="79"/>
      <c r="C386" s="79"/>
      <c r="D386" s="79"/>
      <c r="E386" s="79"/>
      <c r="F386" s="79"/>
      <c r="G386" s="79"/>
      <c r="H386" s="79"/>
      <c r="I386" s="79"/>
      <c r="J386" s="87"/>
      <c r="K386" s="87"/>
      <c r="L386" s="87"/>
      <c r="M386" s="87"/>
      <c r="N386" s="79"/>
      <c r="O386" s="79"/>
      <c r="P386" s="79"/>
      <c r="Q386" s="79"/>
      <c r="R386" s="79"/>
      <c r="S386" s="79"/>
      <c r="T386" s="79"/>
      <c r="U386" s="79"/>
      <c r="V386" s="79"/>
      <c r="W386" s="79"/>
      <c r="X386" s="79"/>
      <c r="Y386" s="79"/>
      <c r="Z386" s="79"/>
      <c r="AA386" s="79"/>
      <c r="AB386" s="79"/>
    </row>
    <row r="387" spans="1:28" ht="15.8" customHeight="1" x14ac:dyDescent="0.15">
      <c r="A387" s="79"/>
      <c r="B387" s="79"/>
      <c r="C387" s="79"/>
      <c r="D387" s="79"/>
      <c r="E387" s="79"/>
      <c r="F387" s="79"/>
      <c r="G387" s="79"/>
      <c r="H387" s="79"/>
      <c r="I387" s="79"/>
      <c r="J387" s="87"/>
      <c r="K387" s="87"/>
      <c r="L387" s="87"/>
      <c r="M387" s="87"/>
      <c r="N387" s="79"/>
      <c r="O387" s="79"/>
      <c r="P387" s="79"/>
      <c r="Q387" s="79"/>
      <c r="R387" s="79"/>
      <c r="S387" s="79"/>
      <c r="T387" s="79"/>
      <c r="U387" s="79"/>
      <c r="V387" s="79"/>
      <c r="W387" s="79"/>
      <c r="X387" s="79"/>
      <c r="Y387" s="79"/>
      <c r="Z387" s="79"/>
      <c r="AA387" s="79"/>
      <c r="AB387" s="79"/>
    </row>
    <row r="388" spans="1:28" ht="15.8" customHeight="1" x14ac:dyDescent="0.15">
      <c r="A388" s="79"/>
      <c r="B388" s="79"/>
      <c r="C388" s="79"/>
      <c r="D388" s="79"/>
      <c r="E388" s="79"/>
      <c r="F388" s="79"/>
      <c r="G388" s="79"/>
      <c r="H388" s="79"/>
      <c r="I388" s="79"/>
      <c r="J388" s="87"/>
      <c r="K388" s="87"/>
      <c r="L388" s="87"/>
      <c r="M388" s="87"/>
      <c r="N388" s="79"/>
      <c r="O388" s="79"/>
      <c r="P388" s="79"/>
      <c r="Q388" s="79"/>
      <c r="R388" s="79"/>
      <c r="S388" s="79"/>
      <c r="T388" s="79"/>
      <c r="U388" s="79"/>
      <c r="V388" s="79"/>
      <c r="W388" s="79"/>
      <c r="X388" s="79"/>
      <c r="Y388" s="79"/>
      <c r="Z388" s="79"/>
      <c r="AA388" s="79"/>
      <c r="AB388" s="79"/>
    </row>
    <row r="389" spans="1:28" ht="15.8" customHeight="1" x14ac:dyDescent="0.15">
      <c r="A389" s="79"/>
      <c r="B389" s="79"/>
      <c r="C389" s="79"/>
      <c r="D389" s="79"/>
      <c r="E389" s="79"/>
      <c r="F389" s="79"/>
      <c r="G389" s="79"/>
      <c r="H389" s="79"/>
      <c r="I389" s="79"/>
      <c r="J389" s="87"/>
      <c r="K389" s="87"/>
      <c r="L389" s="87"/>
      <c r="M389" s="87"/>
      <c r="N389" s="79"/>
      <c r="O389" s="79"/>
      <c r="P389" s="79"/>
      <c r="Q389" s="79"/>
      <c r="R389" s="79"/>
      <c r="S389" s="79"/>
      <c r="T389" s="79"/>
      <c r="U389" s="79"/>
      <c r="V389" s="79"/>
      <c r="W389" s="79"/>
      <c r="X389" s="79"/>
      <c r="Y389" s="79"/>
      <c r="Z389" s="79"/>
      <c r="AA389" s="79"/>
      <c r="AB389" s="79"/>
    </row>
    <row r="390" spans="1:28" ht="15.8" customHeight="1" x14ac:dyDescent="0.15">
      <c r="A390" s="79"/>
      <c r="B390" s="79"/>
      <c r="C390" s="79"/>
      <c r="D390" s="79"/>
      <c r="E390" s="79"/>
      <c r="F390" s="79"/>
      <c r="G390" s="79"/>
      <c r="H390" s="79"/>
      <c r="I390" s="79"/>
      <c r="J390" s="87"/>
      <c r="K390" s="87"/>
      <c r="L390" s="87"/>
      <c r="M390" s="87"/>
      <c r="N390" s="79"/>
      <c r="O390" s="79"/>
      <c r="P390" s="79"/>
      <c r="Q390" s="79"/>
      <c r="R390" s="79"/>
      <c r="S390" s="79"/>
      <c r="T390" s="79"/>
      <c r="U390" s="79"/>
      <c r="V390" s="79"/>
      <c r="W390" s="79"/>
      <c r="X390" s="79"/>
      <c r="Y390" s="79"/>
      <c r="Z390" s="79"/>
      <c r="AA390" s="79"/>
      <c r="AB390" s="79"/>
    </row>
    <row r="391" spans="1:28" ht="15.8" customHeight="1" x14ac:dyDescent="0.15">
      <c r="A391" s="79"/>
      <c r="B391" s="79"/>
      <c r="C391" s="79"/>
      <c r="D391" s="79"/>
      <c r="E391" s="79"/>
      <c r="F391" s="79"/>
      <c r="G391" s="79"/>
      <c r="H391" s="79"/>
      <c r="I391" s="79"/>
      <c r="J391" s="87"/>
      <c r="K391" s="87"/>
      <c r="L391" s="87"/>
      <c r="M391" s="87"/>
      <c r="N391" s="79"/>
      <c r="O391" s="79"/>
      <c r="P391" s="79"/>
      <c r="Q391" s="79"/>
      <c r="R391" s="79"/>
      <c r="S391" s="79"/>
      <c r="T391" s="79"/>
      <c r="U391" s="79"/>
      <c r="V391" s="79"/>
      <c r="W391" s="79"/>
      <c r="X391" s="79"/>
      <c r="Y391" s="79"/>
      <c r="Z391" s="79"/>
      <c r="AA391" s="79"/>
      <c r="AB391" s="79"/>
    </row>
    <row r="392" spans="1:28" ht="15.8" customHeight="1" x14ac:dyDescent="0.15">
      <c r="A392" s="79"/>
      <c r="B392" s="79"/>
      <c r="C392" s="79"/>
      <c r="D392" s="79"/>
      <c r="E392" s="79"/>
      <c r="F392" s="79"/>
      <c r="G392" s="79"/>
      <c r="H392" s="79"/>
      <c r="I392" s="79"/>
      <c r="J392" s="87"/>
      <c r="K392" s="87"/>
      <c r="L392" s="87"/>
      <c r="M392" s="87"/>
      <c r="N392" s="79"/>
      <c r="O392" s="79"/>
      <c r="P392" s="79"/>
      <c r="Q392" s="79"/>
      <c r="R392" s="79"/>
      <c r="S392" s="79"/>
      <c r="T392" s="79"/>
      <c r="U392" s="79"/>
      <c r="V392" s="79"/>
      <c r="W392" s="79"/>
      <c r="X392" s="79"/>
      <c r="Y392" s="79"/>
      <c r="Z392" s="79"/>
      <c r="AA392" s="79"/>
      <c r="AB392" s="79"/>
    </row>
    <row r="393" spans="1:28" ht="15.8" customHeight="1" x14ac:dyDescent="0.15">
      <c r="A393" s="79"/>
      <c r="B393" s="79"/>
      <c r="C393" s="79"/>
      <c r="D393" s="79"/>
      <c r="E393" s="79"/>
      <c r="F393" s="79"/>
      <c r="G393" s="79"/>
      <c r="H393" s="79"/>
      <c r="I393" s="79"/>
      <c r="J393" s="87"/>
      <c r="K393" s="87"/>
      <c r="L393" s="87"/>
      <c r="M393" s="87"/>
      <c r="N393" s="79"/>
      <c r="O393" s="79"/>
      <c r="P393" s="79"/>
      <c r="Q393" s="79"/>
      <c r="R393" s="79"/>
      <c r="S393" s="79"/>
      <c r="T393" s="79"/>
      <c r="U393" s="79"/>
      <c r="V393" s="79"/>
      <c r="W393" s="79"/>
      <c r="X393" s="79"/>
      <c r="Y393" s="79"/>
      <c r="Z393" s="79"/>
      <c r="AA393" s="79"/>
      <c r="AB393" s="79"/>
    </row>
    <row r="394" spans="1:28" ht="15.8" customHeight="1" x14ac:dyDescent="0.15">
      <c r="A394" s="79"/>
      <c r="B394" s="79"/>
      <c r="C394" s="79"/>
      <c r="D394" s="79"/>
      <c r="E394" s="79"/>
      <c r="F394" s="79"/>
      <c r="G394" s="79"/>
      <c r="H394" s="79"/>
      <c r="I394" s="79"/>
      <c r="J394" s="87"/>
      <c r="K394" s="87"/>
      <c r="L394" s="87"/>
      <c r="M394" s="87"/>
      <c r="N394" s="79"/>
      <c r="O394" s="79"/>
      <c r="P394" s="79"/>
      <c r="Q394" s="79"/>
      <c r="R394" s="79"/>
      <c r="S394" s="79"/>
      <c r="T394" s="79"/>
      <c r="U394" s="79"/>
      <c r="V394" s="79"/>
      <c r="W394" s="79"/>
      <c r="X394" s="79"/>
      <c r="Y394" s="79"/>
      <c r="Z394" s="79"/>
      <c r="AA394" s="79"/>
      <c r="AB394" s="79"/>
    </row>
    <row r="395" spans="1:28" ht="15.8" customHeight="1" x14ac:dyDescent="0.15">
      <c r="A395" s="79"/>
      <c r="B395" s="79"/>
      <c r="C395" s="79"/>
      <c r="D395" s="79"/>
      <c r="E395" s="79"/>
      <c r="F395" s="79"/>
      <c r="G395" s="79"/>
      <c r="H395" s="79"/>
      <c r="I395" s="79"/>
      <c r="J395" s="87"/>
      <c r="K395" s="87"/>
      <c r="L395" s="87"/>
      <c r="M395" s="87"/>
      <c r="N395" s="79"/>
      <c r="O395" s="79"/>
      <c r="P395" s="79"/>
      <c r="Q395" s="79"/>
      <c r="R395" s="79"/>
      <c r="S395" s="79"/>
      <c r="T395" s="79"/>
      <c r="U395" s="79"/>
      <c r="V395" s="79"/>
      <c r="W395" s="79"/>
      <c r="X395" s="79"/>
      <c r="Y395" s="79"/>
      <c r="Z395" s="79"/>
      <c r="AA395" s="79"/>
      <c r="AB395" s="79"/>
    </row>
    <row r="396" spans="1:28" ht="15.8" customHeight="1" x14ac:dyDescent="0.15">
      <c r="A396" s="79"/>
      <c r="B396" s="79"/>
      <c r="C396" s="79"/>
      <c r="D396" s="79"/>
      <c r="E396" s="79"/>
      <c r="F396" s="79"/>
      <c r="G396" s="79"/>
      <c r="H396" s="79"/>
      <c r="I396" s="79"/>
      <c r="J396" s="87"/>
      <c r="K396" s="87"/>
      <c r="L396" s="87"/>
      <c r="M396" s="87"/>
      <c r="N396" s="79"/>
      <c r="O396" s="79"/>
      <c r="P396" s="79"/>
      <c r="Q396" s="79"/>
      <c r="R396" s="79"/>
      <c r="S396" s="79"/>
      <c r="T396" s="79"/>
      <c r="U396" s="79"/>
      <c r="V396" s="79"/>
      <c r="W396" s="79"/>
      <c r="X396" s="79"/>
      <c r="Y396" s="79"/>
      <c r="Z396" s="79"/>
      <c r="AA396" s="79"/>
      <c r="AB396" s="79"/>
    </row>
    <row r="397" spans="1:28" ht="15.8" customHeight="1" x14ac:dyDescent="0.15">
      <c r="A397" s="79"/>
      <c r="B397" s="79"/>
      <c r="C397" s="79"/>
      <c r="D397" s="79"/>
      <c r="E397" s="79"/>
      <c r="F397" s="79"/>
      <c r="G397" s="79"/>
      <c r="H397" s="79"/>
      <c r="I397" s="79"/>
      <c r="J397" s="87"/>
      <c r="K397" s="87"/>
      <c r="L397" s="87"/>
      <c r="M397" s="87"/>
      <c r="N397" s="79"/>
      <c r="O397" s="79"/>
      <c r="P397" s="79"/>
      <c r="Q397" s="79"/>
      <c r="R397" s="79"/>
      <c r="S397" s="79"/>
      <c r="T397" s="79"/>
      <c r="U397" s="79"/>
      <c r="V397" s="79"/>
      <c r="W397" s="79"/>
      <c r="X397" s="79"/>
      <c r="Y397" s="79"/>
      <c r="Z397" s="79"/>
      <c r="AA397" s="79"/>
      <c r="AB397" s="79"/>
    </row>
    <row r="398" spans="1:28" ht="15.8" customHeight="1" x14ac:dyDescent="0.15">
      <c r="A398" s="79"/>
      <c r="B398" s="79"/>
      <c r="C398" s="79"/>
      <c r="D398" s="79"/>
      <c r="E398" s="79"/>
      <c r="F398" s="79"/>
      <c r="G398" s="79"/>
      <c r="H398" s="79"/>
      <c r="I398" s="79"/>
      <c r="J398" s="87"/>
      <c r="K398" s="87"/>
      <c r="L398" s="87"/>
      <c r="M398" s="87"/>
      <c r="N398" s="79"/>
      <c r="O398" s="79"/>
      <c r="P398" s="79"/>
      <c r="Q398" s="79"/>
      <c r="R398" s="79"/>
      <c r="S398" s="79"/>
      <c r="T398" s="79"/>
      <c r="U398" s="79"/>
      <c r="V398" s="79"/>
      <c r="W398" s="79"/>
      <c r="X398" s="79"/>
      <c r="Y398" s="79"/>
      <c r="Z398" s="79"/>
      <c r="AA398" s="79"/>
      <c r="AB398" s="79"/>
    </row>
    <row r="399" spans="1:28" ht="15.8" customHeight="1" x14ac:dyDescent="0.15">
      <c r="A399" s="79"/>
      <c r="B399" s="79"/>
      <c r="C399" s="79"/>
      <c r="D399" s="79"/>
      <c r="E399" s="79"/>
      <c r="F399" s="79"/>
      <c r="G399" s="79"/>
      <c r="H399" s="79"/>
      <c r="I399" s="79"/>
      <c r="J399" s="87"/>
      <c r="K399" s="87"/>
      <c r="L399" s="87"/>
      <c r="M399" s="87"/>
      <c r="N399" s="79"/>
      <c r="O399" s="79"/>
      <c r="P399" s="79"/>
      <c r="Q399" s="79"/>
      <c r="R399" s="79"/>
      <c r="S399" s="79"/>
      <c r="T399" s="79"/>
      <c r="U399" s="79"/>
      <c r="V399" s="79"/>
      <c r="W399" s="79"/>
      <c r="X399" s="79"/>
      <c r="Y399" s="79"/>
      <c r="Z399" s="79"/>
      <c r="AA399" s="79"/>
      <c r="AB399" s="79"/>
    </row>
    <row r="400" spans="1:28" ht="15.8" customHeight="1" x14ac:dyDescent="0.15">
      <c r="A400" s="79"/>
      <c r="B400" s="79"/>
      <c r="C400" s="79"/>
      <c r="D400" s="79"/>
      <c r="E400" s="79"/>
      <c r="F400" s="79"/>
      <c r="G400" s="79"/>
      <c r="H400" s="79"/>
      <c r="I400" s="79"/>
      <c r="J400" s="87"/>
      <c r="K400" s="87"/>
      <c r="L400" s="87"/>
      <c r="M400" s="87"/>
      <c r="N400" s="79"/>
      <c r="O400" s="79"/>
      <c r="P400" s="79"/>
      <c r="Q400" s="79"/>
      <c r="R400" s="79"/>
      <c r="S400" s="79"/>
      <c r="T400" s="79"/>
      <c r="U400" s="79"/>
      <c r="V400" s="79"/>
      <c r="W400" s="79"/>
      <c r="X400" s="79"/>
      <c r="Y400" s="79"/>
      <c r="Z400" s="79"/>
      <c r="AA400" s="79"/>
      <c r="AB400" s="79"/>
    </row>
    <row r="401" spans="1:28" ht="15.8" customHeight="1" x14ac:dyDescent="0.15">
      <c r="A401" s="79"/>
      <c r="B401" s="79"/>
      <c r="C401" s="79"/>
      <c r="D401" s="79"/>
      <c r="E401" s="79"/>
      <c r="F401" s="79"/>
      <c r="G401" s="79"/>
      <c r="H401" s="79"/>
      <c r="I401" s="79"/>
      <c r="J401" s="87"/>
      <c r="K401" s="87"/>
      <c r="L401" s="87"/>
      <c r="M401" s="87"/>
      <c r="N401" s="79"/>
      <c r="O401" s="79"/>
      <c r="P401" s="79"/>
      <c r="Q401" s="79"/>
      <c r="R401" s="79"/>
      <c r="S401" s="79"/>
      <c r="T401" s="79"/>
      <c r="U401" s="79"/>
      <c r="V401" s="79"/>
      <c r="W401" s="79"/>
      <c r="X401" s="79"/>
      <c r="Y401" s="79"/>
      <c r="Z401" s="79"/>
      <c r="AA401" s="79"/>
      <c r="AB401" s="79"/>
    </row>
    <row r="402" spans="1:28" ht="15.8" customHeight="1" x14ac:dyDescent="0.15">
      <c r="A402" s="79"/>
      <c r="B402" s="79"/>
      <c r="C402" s="79"/>
      <c r="D402" s="79"/>
      <c r="E402" s="79"/>
      <c r="F402" s="79"/>
      <c r="G402" s="79"/>
      <c r="H402" s="79"/>
      <c r="I402" s="79"/>
      <c r="J402" s="87"/>
      <c r="K402" s="87"/>
      <c r="L402" s="87"/>
      <c r="M402" s="87"/>
      <c r="N402" s="79"/>
      <c r="O402" s="79"/>
      <c r="P402" s="79"/>
      <c r="Q402" s="79"/>
      <c r="R402" s="79"/>
      <c r="S402" s="79"/>
      <c r="T402" s="79"/>
      <c r="U402" s="79"/>
      <c r="V402" s="79"/>
      <c r="W402" s="79"/>
      <c r="X402" s="79"/>
      <c r="Y402" s="79"/>
      <c r="Z402" s="79"/>
      <c r="AA402" s="79"/>
      <c r="AB402" s="79"/>
    </row>
    <row r="403" spans="1:28" ht="15.8" customHeight="1" x14ac:dyDescent="0.15">
      <c r="A403" s="79"/>
      <c r="B403" s="79"/>
      <c r="C403" s="79"/>
      <c r="D403" s="79"/>
      <c r="E403" s="79"/>
      <c r="F403" s="79"/>
      <c r="G403" s="79"/>
      <c r="H403" s="79"/>
      <c r="I403" s="79"/>
      <c r="J403" s="87"/>
      <c r="K403" s="87"/>
      <c r="L403" s="87"/>
      <c r="M403" s="87"/>
      <c r="N403" s="79"/>
      <c r="O403" s="79"/>
      <c r="P403" s="79"/>
      <c r="Q403" s="79"/>
      <c r="R403" s="79"/>
      <c r="S403" s="79"/>
      <c r="T403" s="79"/>
      <c r="U403" s="79"/>
      <c r="V403" s="79"/>
      <c r="W403" s="79"/>
      <c r="X403" s="79"/>
      <c r="Y403" s="79"/>
      <c r="Z403" s="79"/>
      <c r="AA403" s="79"/>
      <c r="AB403" s="79"/>
    </row>
    <row r="404" spans="1:28" ht="15.8" customHeight="1" x14ac:dyDescent="0.15">
      <c r="A404" s="79"/>
      <c r="B404" s="79"/>
      <c r="C404" s="79"/>
      <c r="D404" s="79"/>
      <c r="E404" s="79"/>
      <c r="F404" s="79"/>
      <c r="G404" s="79"/>
      <c r="H404" s="79"/>
      <c r="I404" s="79"/>
      <c r="J404" s="87"/>
      <c r="K404" s="87"/>
      <c r="L404" s="87"/>
      <c r="M404" s="87"/>
      <c r="N404" s="79"/>
      <c r="O404" s="79"/>
      <c r="P404" s="79"/>
      <c r="Q404" s="79"/>
      <c r="R404" s="79"/>
      <c r="S404" s="79"/>
      <c r="T404" s="79"/>
      <c r="U404" s="79"/>
      <c r="V404" s="79"/>
      <c r="W404" s="79"/>
      <c r="X404" s="79"/>
      <c r="Y404" s="79"/>
      <c r="Z404" s="79"/>
      <c r="AA404" s="79"/>
      <c r="AB404" s="79"/>
    </row>
    <row r="405" spans="1:28" ht="15.8" customHeight="1" x14ac:dyDescent="0.15">
      <c r="A405" s="79"/>
      <c r="B405" s="79"/>
      <c r="C405" s="79"/>
      <c r="D405" s="79"/>
      <c r="E405" s="79"/>
      <c r="F405" s="79"/>
      <c r="G405" s="79"/>
      <c r="H405" s="79"/>
      <c r="I405" s="79"/>
      <c r="J405" s="87"/>
      <c r="K405" s="87"/>
      <c r="L405" s="87"/>
      <c r="M405" s="87"/>
      <c r="N405" s="79"/>
      <c r="O405" s="79"/>
      <c r="P405" s="79"/>
      <c r="Q405" s="79"/>
      <c r="R405" s="79"/>
      <c r="S405" s="79"/>
      <c r="T405" s="79"/>
      <c r="U405" s="79"/>
      <c r="V405" s="79"/>
      <c r="W405" s="79"/>
      <c r="X405" s="79"/>
      <c r="Y405" s="79"/>
      <c r="Z405" s="79"/>
      <c r="AA405" s="79"/>
      <c r="AB405" s="79"/>
    </row>
    <row r="406" spans="1:28" ht="15.8" customHeight="1" x14ac:dyDescent="0.15">
      <c r="A406" s="79"/>
      <c r="B406" s="79"/>
      <c r="C406" s="79"/>
      <c r="D406" s="79"/>
      <c r="E406" s="79"/>
      <c r="F406" s="79"/>
      <c r="G406" s="79"/>
      <c r="H406" s="79"/>
      <c r="I406" s="79"/>
      <c r="J406" s="87"/>
      <c r="K406" s="87"/>
      <c r="L406" s="87"/>
      <c r="M406" s="87"/>
      <c r="N406" s="79"/>
      <c r="O406" s="79"/>
      <c r="P406" s="79"/>
      <c r="Q406" s="79"/>
      <c r="R406" s="79"/>
      <c r="S406" s="79"/>
      <c r="T406" s="79"/>
      <c r="U406" s="79"/>
      <c r="V406" s="79"/>
      <c r="W406" s="79"/>
      <c r="X406" s="79"/>
      <c r="Y406" s="79"/>
      <c r="Z406" s="79"/>
      <c r="AA406" s="79"/>
      <c r="AB406" s="79"/>
    </row>
    <row r="407" spans="1:28" ht="15.8" customHeight="1" x14ac:dyDescent="0.15">
      <c r="A407" s="79"/>
      <c r="B407" s="79"/>
      <c r="C407" s="79"/>
      <c r="D407" s="79"/>
      <c r="E407" s="79"/>
      <c r="F407" s="79"/>
      <c r="G407" s="79"/>
      <c r="H407" s="79"/>
      <c r="I407" s="79"/>
      <c r="J407" s="87"/>
      <c r="K407" s="87"/>
      <c r="L407" s="87"/>
      <c r="M407" s="87"/>
      <c r="N407" s="79"/>
      <c r="O407" s="79"/>
      <c r="P407" s="79"/>
      <c r="Q407" s="79"/>
      <c r="R407" s="79"/>
      <c r="S407" s="79"/>
      <c r="T407" s="79"/>
      <c r="U407" s="79"/>
      <c r="V407" s="79"/>
      <c r="W407" s="79"/>
      <c r="X407" s="79"/>
      <c r="Y407" s="79"/>
      <c r="Z407" s="79"/>
      <c r="AA407" s="79"/>
      <c r="AB407" s="79"/>
    </row>
    <row r="408" spans="1:28" ht="15.8" customHeight="1" x14ac:dyDescent="0.15">
      <c r="A408" s="79"/>
      <c r="B408" s="79"/>
      <c r="C408" s="79"/>
      <c r="D408" s="79"/>
      <c r="E408" s="79"/>
      <c r="F408" s="79"/>
      <c r="G408" s="79"/>
      <c r="H408" s="79"/>
      <c r="I408" s="79"/>
      <c r="J408" s="87"/>
      <c r="K408" s="87"/>
      <c r="L408" s="87"/>
      <c r="M408" s="87"/>
      <c r="N408" s="79"/>
      <c r="O408" s="79"/>
      <c r="P408" s="79"/>
      <c r="Q408" s="79"/>
      <c r="R408" s="79"/>
      <c r="S408" s="79"/>
      <c r="T408" s="79"/>
      <c r="U408" s="79"/>
      <c r="V408" s="79"/>
      <c r="W408" s="79"/>
      <c r="X408" s="79"/>
      <c r="Y408" s="79"/>
      <c r="Z408" s="79"/>
      <c r="AA408" s="79"/>
      <c r="AB408" s="79"/>
    </row>
    <row r="409" spans="1:28" ht="15.8" customHeight="1" x14ac:dyDescent="0.15">
      <c r="A409" s="79"/>
      <c r="B409" s="79"/>
      <c r="C409" s="79"/>
      <c r="D409" s="79"/>
      <c r="E409" s="79"/>
      <c r="F409" s="79"/>
      <c r="G409" s="79"/>
      <c r="H409" s="79"/>
      <c r="I409" s="79"/>
      <c r="J409" s="87"/>
      <c r="K409" s="87"/>
      <c r="L409" s="87"/>
      <c r="M409" s="87"/>
      <c r="N409" s="79"/>
      <c r="O409" s="79"/>
      <c r="P409" s="79"/>
      <c r="Q409" s="79"/>
      <c r="R409" s="79"/>
      <c r="S409" s="79"/>
      <c r="T409" s="79"/>
      <c r="U409" s="79"/>
      <c r="V409" s="79"/>
      <c r="W409" s="79"/>
      <c r="X409" s="79"/>
      <c r="Y409" s="79"/>
      <c r="Z409" s="79"/>
      <c r="AA409" s="79"/>
      <c r="AB409" s="79"/>
    </row>
    <row r="410" spans="1:28" ht="15.8" customHeight="1" x14ac:dyDescent="0.15">
      <c r="A410" s="79"/>
      <c r="B410" s="79"/>
      <c r="C410" s="79"/>
      <c r="D410" s="79"/>
      <c r="E410" s="79"/>
      <c r="F410" s="79"/>
      <c r="G410" s="79"/>
      <c r="H410" s="79"/>
      <c r="I410" s="79"/>
      <c r="J410" s="87"/>
      <c r="K410" s="87"/>
      <c r="L410" s="87"/>
      <c r="M410" s="87"/>
      <c r="N410" s="79"/>
      <c r="O410" s="79"/>
      <c r="P410" s="79"/>
      <c r="Q410" s="79"/>
      <c r="R410" s="79"/>
      <c r="S410" s="79"/>
      <c r="T410" s="79"/>
      <c r="U410" s="79"/>
      <c r="V410" s="79"/>
      <c r="W410" s="79"/>
      <c r="X410" s="79"/>
      <c r="Y410" s="79"/>
      <c r="Z410" s="79"/>
      <c r="AA410" s="79"/>
      <c r="AB410" s="79"/>
    </row>
    <row r="411" spans="1:28" ht="15.8" customHeight="1" x14ac:dyDescent="0.15">
      <c r="A411" s="79"/>
      <c r="B411" s="79"/>
      <c r="C411" s="79"/>
      <c r="D411" s="79"/>
      <c r="E411" s="79"/>
      <c r="F411" s="79"/>
      <c r="G411" s="79"/>
      <c r="H411" s="79"/>
      <c r="I411" s="79"/>
      <c r="J411" s="87"/>
      <c r="K411" s="87"/>
      <c r="L411" s="87"/>
      <c r="M411" s="87"/>
      <c r="N411" s="79"/>
      <c r="O411" s="79"/>
      <c r="P411" s="79"/>
      <c r="Q411" s="79"/>
      <c r="R411" s="79"/>
      <c r="S411" s="79"/>
      <c r="T411" s="79"/>
      <c r="U411" s="79"/>
      <c r="V411" s="79"/>
      <c r="W411" s="79"/>
      <c r="X411" s="79"/>
      <c r="Y411" s="79"/>
      <c r="Z411" s="79"/>
      <c r="AA411" s="79"/>
      <c r="AB411" s="79"/>
    </row>
    <row r="412" spans="1:28" ht="15.8" customHeight="1" x14ac:dyDescent="0.15">
      <c r="A412" s="79"/>
      <c r="B412" s="79"/>
      <c r="C412" s="79"/>
      <c r="D412" s="79"/>
      <c r="E412" s="79"/>
      <c r="F412" s="79"/>
      <c r="G412" s="79"/>
      <c r="H412" s="79"/>
      <c r="I412" s="79"/>
      <c r="J412" s="87"/>
      <c r="K412" s="87"/>
      <c r="L412" s="87"/>
      <c r="M412" s="87"/>
      <c r="N412" s="79"/>
      <c r="O412" s="79"/>
      <c r="P412" s="79"/>
      <c r="Q412" s="79"/>
      <c r="R412" s="79"/>
      <c r="S412" s="79"/>
      <c r="T412" s="79"/>
      <c r="U412" s="79"/>
      <c r="V412" s="79"/>
      <c r="W412" s="79"/>
      <c r="X412" s="79"/>
      <c r="Y412" s="79"/>
      <c r="Z412" s="79"/>
      <c r="AA412" s="79"/>
      <c r="AB412" s="79"/>
    </row>
    <row r="413" spans="1:28" ht="15.8" customHeight="1" x14ac:dyDescent="0.15">
      <c r="A413" s="79"/>
      <c r="B413" s="79"/>
      <c r="C413" s="79"/>
      <c r="D413" s="79"/>
      <c r="E413" s="79"/>
      <c r="F413" s="79"/>
      <c r="G413" s="79"/>
      <c r="H413" s="79"/>
      <c r="I413" s="79"/>
      <c r="J413" s="87"/>
      <c r="K413" s="87"/>
      <c r="L413" s="87"/>
      <c r="M413" s="87"/>
      <c r="N413" s="79"/>
      <c r="O413" s="79"/>
      <c r="P413" s="79"/>
      <c r="Q413" s="79"/>
      <c r="R413" s="79"/>
      <c r="S413" s="79"/>
      <c r="T413" s="79"/>
      <c r="U413" s="79"/>
      <c r="V413" s="79"/>
      <c r="W413" s="79"/>
      <c r="X413" s="79"/>
      <c r="Y413" s="79"/>
      <c r="Z413" s="79"/>
      <c r="AA413" s="79"/>
      <c r="AB413" s="79"/>
    </row>
    <row r="414" spans="1:28" ht="15.8" customHeight="1" x14ac:dyDescent="0.15">
      <c r="A414" s="79"/>
      <c r="B414" s="79"/>
      <c r="C414" s="79"/>
      <c r="D414" s="79"/>
      <c r="E414" s="79"/>
      <c r="F414" s="79"/>
      <c r="G414" s="79"/>
      <c r="H414" s="79"/>
      <c r="I414" s="79"/>
      <c r="J414" s="87"/>
      <c r="K414" s="87"/>
      <c r="L414" s="87"/>
      <c r="M414" s="87"/>
      <c r="N414" s="79"/>
      <c r="O414" s="79"/>
      <c r="P414" s="79"/>
      <c r="Q414" s="79"/>
      <c r="R414" s="79"/>
      <c r="S414" s="79"/>
      <c r="T414" s="79"/>
      <c r="U414" s="79"/>
      <c r="V414" s="79"/>
      <c r="W414" s="79"/>
      <c r="X414" s="79"/>
      <c r="Y414" s="79"/>
      <c r="Z414" s="79"/>
      <c r="AA414" s="79"/>
      <c r="AB414" s="79"/>
    </row>
    <row r="415" spans="1:28" ht="15.8" customHeight="1" x14ac:dyDescent="0.15">
      <c r="A415" s="79"/>
      <c r="B415" s="79"/>
      <c r="C415" s="79"/>
      <c r="D415" s="79"/>
      <c r="E415" s="79"/>
      <c r="F415" s="79"/>
      <c r="G415" s="79"/>
      <c r="H415" s="79"/>
      <c r="I415" s="79"/>
      <c r="J415" s="87"/>
      <c r="K415" s="87"/>
      <c r="L415" s="87"/>
      <c r="M415" s="87"/>
      <c r="N415" s="79"/>
      <c r="O415" s="79"/>
      <c r="P415" s="79"/>
      <c r="Q415" s="79"/>
      <c r="R415" s="79"/>
      <c r="S415" s="79"/>
      <c r="T415" s="79"/>
      <c r="U415" s="79"/>
      <c r="V415" s="79"/>
      <c r="W415" s="79"/>
      <c r="X415" s="79"/>
      <c r="Y415" s="79"/>
      <c r="Z415" s="79"/>
      <c r="AA415" s="79"/>
      <c r="AB415" s="79"/>
    </row>
    <row r="416" spans="1:28" ht="15.8" customHeight="1" x14ac:dyDescent="0.15">
      <c r="A416" s="79"/>
      <c r="B416" s="79"/>
      <c r="C416" s="79"/>
      <c r="D416" s="79"/>
      <c r="E416" s="79"/>
      <c r="F416" s="79"/>
      <c r="G416" s="79"/>
      <c r="H416" s="79"/>
      <c r="I416" s="79"/>
      <c r="J416" s="87"/>
      <c r="K416" s="87"/>
      <c r="L416" s="87"/>
      <c r="M416" s="87"/>
      <c r="N416" s="79"/>
      <c r="O416" s="79"/>
      <c r="P416" s="79"/>
      <c r="Q416" s="79"/>
      <c r="R416" s="79"/>
      <c r="S416" s="79"/>
      <c r="T416" s="79"/>
      <c r="U416" s="79"/>
      <c r="V416" s="79"/>
      <c r="W416" s="79"/>
      <c r="X416" s="79"/>
      <c r="Y416" s="79"/>
      <c r="Z416" s="79"/>
      <c r="AA416" s="79"/>
      <c r="AB416" s="79"/>
    </row>
    <row r="417" spans="1:28" ht="15.8" customHeight="1" x14ac:dyDescent="0.15">
      <c r="A417" s="79"/>
      <c r="B417" s="79"/>
      <c r="C417" s="79"/>
      <c r="D417" s="79"/>
      <c r="E417" s="79"/>
      <c r="F417" s="79"/>
      <c r="G417" s="79"/>
      <c r="H417" s="79"/>
      <c r="I417" s="79"/>
      <c r="J417" s="87"/>
      <c r="K417" s="87"/>
      <c r="L417" s="87"/>
      <c r="M417" s="87"/>
      <c r="N417" s="79"/>
      <c r="O417" s="79"/>
      <c r="P417" s="79"/>
      <c r="Q417" s="79"/>
      <c r="R417" s="79"/>
      <c r="S417" s="79"/>
      <c r="T417" s="79"/>
      <c r="U417" s="79"/>
      <c r="V417" s="79"/>
      <c r="W417" s="79"/>
      <c r="X417" s="79"/>
      <c r="Y417" s="79"/>
      <c r="Z417" s="79"/>
      <c r="AA417" s="79"/>
      <c r="AB417" s="79"/>
    </row>
    <row r="418" spans="1:28" ht="15.8" customHeight="1" x14ac:dyDescent="0.15">
      <c r="A418" s="79"/>
      <c r="B418" s="79"/>
      <c r="C418" s="79"/>
      <c r="D418" s="79"/>
      <c r="E418" s="79"/>
      <c r="F418" s="79"/>
      <c r="G418" s="79"/>
      <c r="H418" s="79"/>
      <c r="I418" s="79"/>
      <c r="J418" s="87"/>
      <c r="K418" s="87"/>
      <c r="L418" s="87"/>
      <c r="M418" s="87"/>
      <c r="N418" s="79"/>
      <c r="O418" s="79"/>
      <c r="P418" s="79"/>
      <c r="Q418" s="79"/>
      <c r="R418" s="79"/>
      <c r="S418" s="79"/>
      <c r="T418" s="79"/>
      <c r="U418" s="79"/>
      <c r="V418" s="79"/>
      <c r="W418" s="79"/>
      <c r="X418" s="79"/>
      <c r="Y418" s="79"/>
      <c r="Z418" s="79"/>
      <c r="AA418" s="79"/>
      <c r="AB418" s="79"/>
    </row>
    <row r="419" spans="1:28" ht="15.8" customHeight="1" x14ac:dyDescent="0.15">
      <c r="A419" s="79"/>
      <c r="B419" s="79"/>
      <c r="C419" s="79"/>
      <c r="D419" s="79"/>
      <c r="E419" s="79"/>
      <c r="F419" s="79"/>
      <c r="G419" s="79"/>
      <c r="H419" s="79"/>
      <c r="I419" s="79"/>
      <c r="J419" s="87"/>
      <c r="K419" s="87"/>
      <c r="L419" s="87"/>
      <c r="M419" s="87"/>
      <c r="N419" s="79"/>
      <c r="O419" s="79"/>
      <c r="P419" s="79"/>
      <c r="Q419" s="79"/>
      <c r="R419" s="79"/>
      <c r="S419" s="79"/>
      <c r="T419" s="79"/>
      <c r="U419" s="79"/>
      <c r="V419" s="79"/>
      <c r="W419" s="79"/>
      <c r="X419" s="79"/>
      <c r="Y419" s="79"/>
      <c r="Z419" s="79"/>
      <c r="AA419" s="79"/>
      <c r="AB419" s="79"/>
    </row>
    <row r="420" spans="1:28" ht="15.8" customHeight="1" x14ac:dyDescent="0.15">
      <c r="A420" s="79"/>
      <c r="B420" s="79"/>
      <c r="C420" s="79"/>
      <c r="D420" s="79"/>
      <c r="E420" s="79"/>
      <c r="F420" s="79"/>
      <c r="G420" s="79"/>
      <c r="H420" s="79"/>
      <c r="I420" s="79"/>
      <c r="J420" s="87"/>
      <c r="K420" s="87"/>
      <c r="L420" s="87"/>
      <c r="M420" s="87"/>
      <c r="N420" s="79"/>
      <c r="O420" s="79"/>
      <c r="P420" s="79"/>
      <c r="Q420" s="79"/>
      <c r="R420" s="79"/>
      <c r="S420" s="79"/>
      <c r="T420" s="79"/>
      <c r="U420" s="79"/>
      <c r="V420" s="79"/>
      <c r="W420" s="79"/>
      <c r="X420" s="79"/>
      <c r="Y420" s="79"/>
      <c r="Z420" s="79"/>
      <c r="AA420" s="79"/>
      <c r="AB420" s="79"/>
    </row>
    <row r="421" spans="1:28" ht="15.8" customHeight="1" x14ac:dyDescent="0.15">
      <c r="A421" s="79"/>
      <c r="B421" s="79"/>
      <c r="C421" s="79"/>
      <c r="D421" s="79"/>
      <c r="E421" s="79"/>
      <c r="F421" s="79"/>
      <c r="G421" s="79"/>
      <c r="H421" s="79"/>
      <c r="I421" s="79"/>
      <c r="J421" s="87"/>
      <c r="K421" s="87"/>
      <c r="L421" s="87"/>
      <c r="M421" s="87"/>
      <c r="N421" s="79"/>
      <c r="O421" s="79"/>
      <c r="P421" s="79"/>
      <c r="Q421" s="79"/>
      <c r="R421" s="79"/>
      <c r="S421" s="79"/>
      <c r="T421" s="79"/>
      <c r="U421" s="79"/>
      <c r="V421" s="79"/>
      <c r="W421" s="79"/>
      <c r="X421" s="79"/>
      <c r="Y421" s="79"/>
      <c r="Z421" s="79"/>
      <c r="AA421" s="79"/>
      <c r="AB421" s="79"/>
    </row>
    <row r="422" spans="1:28" ht="15.8" customHeight="1" x14ac:dyDescent="0.15">
      <c r="A422" s="79"/>
      <c r="B422" s="79"/>
      <c r="C422" s="79"/>
      <c r="D422" s="79"/>
      <c r="E422" s="79"/>
      <c r="F422" s="79"/>
      <c r="G422" s="79"/>
      <c r="H422" s="79"/>
      <c r="I422" s="79"/>
      <c r="J422" s="87"/>
      <c r="K422" s="87"/>
      <c r="L422" s="87"/>
      <c r="M422" s="87"/>
      <c r="N422" s="79"/>
      <c r="O422" s="79"/>
      <c r="P422" s="79"/>
      <c r="Q422" s="79"/>
      <c r="R422" s="79"/>
      <c r="S422" s="79"/>
      <c r="T422" s="79"/>
      <c r="U422" s="79"/>
      <c r="V422" s="79"/>
      <c r="W422" s="79"/>
      <c r="X422" s="79"/>
      <c r="Y422" s="79"/>
      <c r="Z422" s="79"/>
      <c r="AA422" s="79"/>
      <c r="AB422" s="79"/>
    </row>
    <row r="423" spans="1:28" ht="15.8" customHeight="1" x14ac:dyDescent="0.15">
      <c r="A423" s="79"/>
      <c r="B423" s="79"/>
      <c r="C423" s="79"/>
      <c r="D423" s="79"/>
      <c r="E423" s="79"/>
      <c r="F423" s="79"/>
      <c r="G423" s="79"/>
      <c r="H423" s="79"/>
      <c r="I423" s="79"/>
      <c r="J423" s="87"/>
      <c r="K423" s="87"/>
      <c r="L423" s="87"/>
      <c r="M423" s="87"/>
      <c r="N423" s="79"/>
      <c r="O423" s="79"/>
      <c r="P423" s="79"/>
      <c r="Q423" s="79"/>
      <c r="R423" s="79"/>
      <c r="S423" s="79"/>
      <c r="T423" s="79"/>
      <c r="U423" s="79"/>
      <c r="V423" s="79"/>
      <c r="W423" s="79"/>
      <c r="X423" s="79"/>
      <c r="Y423" s="79"/>
      <c r="Z423" s="79"/>
      <c r="AA423" s="79"/>
      <c r="AB423" s="79"/>
    </row>
    <row r="424" spans="1:28" ht="15.8" customHeight="1" x14ac:dyDescent="0.15">
      <c r="A424" s="79"/>
      <c r="B424" s="79"/>
      <c r="C424" s="79"/>
      <c r="D424" s="79"/>
      <c r="E424" s="79"/>
      <c r="F424" s="79"/>
      <c r="G424" s="79"/>
      <c r="H424" s="79"/>
      <c r="I424" s="79"/>
      <c r="J424" s="87"/>
      <c r="K424" s="87"/>
      <c r="L424" s="87"/>
      <c r="M424" s="87"/>
      <c r="N424" s="79"/>
      <c r="O424" s="79"/>
      <c r="P424" s="79"/>
      <c r="Q424" s="79"/>
      <c r="R424" s="79"/>
      <c r="S424" s="79"/>
      <c r="T424" s="79"/>
      <c r="U424" s="79"/>
      <c r="V424" s="79"/>
      <c r="W424" s="79"/>
      <c r="X424" s="79"/>
      <c r="Y424" s="79"/>
      <c r="Z424" s="79"/>
      <c r="AA424" s="79"/>
      <c r="AB424" s="79"/>
    </row>
    <row r="425" spans="1:28" ht="15.8" customHeight="1" x14ac:dyDescent="0.15">
      <c r="A425" s="79"/>
      <c r="B425" s="79"/>
      <c r="C425" s="79"/>
      <c r="D425" s="79"/>
      <c r="E425" s="79"/>
      <c r="F425" s="79"/>
      <c r="G425" s="79"/>
      <c r="H425" s="79"/>
      <c r="I425" s="79"/>
      <c r="J425" s="87"/>
      <c r="K425" s="87"/>
      <c r="L425" s="87"/>
      <c r="M425" s="87"/>
      <c r="N425" s="79"/>
      <c r="O425" s="79"/>
      <c r="P425" s="79"/>
      <c r="Q425" s="79"/>
      <c r="R425" s="79"/>
      <c r="S425" s="79"/>
      <c r="T425" s="79"/>
      <c r="U425" s="79"/>
      <c r="V425" s="79"/>
      <c r="W425" s="79"/>
      <c r="X425" s="79"/>
      <c r="Y425" s="79"/>
      <c r="Z425" s="79"/>
      <c r="AA425" s="79"/>
      <c r="AB425" s="79"/>
    </row>
    <row r="426" spans="1:28" ht="15.8" customHeight="1" x14ac:dyDescent="0.15">
      <c r="A426" s="79"/>
      <c r="B426" s="79"/>
      <c r="C426" s="79"/>
      <c r="D426" s="79"/>
      <c r="E426" s="79"/>
      <c r="F426" s="79"/>
      <c r="G426" s="79"/>
      <c r="H426" s="79"/>
      <c r="I426" s="79"/>
      <c r="J426" s="87"/>
      <c r="K426" s="87"/>
      <c r="L426" s="87"/>
      <c r="M426" s="87"/>
      <c r="N426" s="79"/>
      <c r="O426" s="79"/>
      <c r="P426" s="79"/>
      <c r="Q426" s="79"/>
      <c r="R426" s="79"/>
      <c r="S426" s="79"/>
      <c r="T426" s="79"/>
      <c r="U426" s="79"/>
      <c r="V426" s="79"/>
      <c r="W426" s="79"/>
      <c r="X426" s="79"/>
      <c r="Y426" s="79"/>
      <c r="Z426" s="79"/>
      <c r="AA426" s="79"/>
      <c r="AB426" s="79"/>
    </row>
    <row r="427" spans="1:28" ht="15.8" customHeight="1" x14ac:dyDescent="0.15">
      <c r="A427" s="79"/>
      <c r="B427" s="79"/>
      <c r="C427" s="79"/>
      <c r="D427" s="79"/>
      <c r="E427" s="79"/>
      <c r="F427" s="79"/>
      <c r="G427" s="79"/>
      <c r="H427" s="79"/>
      <c r="I427" s="79"/>
      <c r="J427" s="87"/>
      <c r="K427" s="87"/>
      <c r="L427" s="87"/>
      <c r="M427" s="87"/>
      <c r="N427" s="79"/>
      <c r="O427" s="79"/>
      <c r="P427" s="79"/>
      <c r="Q427" s="79"/>
      <c r="R427" s="79"/>
      <c r="S427" s="79"/>
      <c r="T427" s="79"/>
      <c r="U427" s="79"/>
      <c r="V427" s="79"/>
      <c r="W427" s="79"/>
      <c r="X427" s="79"/>
      <c r="Y427" s="79"/>
      <c r="Z427" s="79"/>
      <c r="AA427" s="79"/>
      <c r="AB427" s="79"/>
    </row>
    <row r="428" spans="1:28" ht="15.8" customHeight="1" x14ac:dyDescent="0.15">
      <c r="A428" s="79"/>
      <c r="B428" s="79"/>
      <c r="C428" s="79"/>
      <c r="D428" s="79"/>
      <c r="E428" s="79"/>
      <c r="F428" s="79"/>
      <c r="G428" s="79"/>
      <c r="H428" s="79"/>
      <c r="I428" s="79"/>
      <c r="J428" s="87"/>
      <c r="K428" s="87"/>
      <c r="L428" s="87"/>
      <c r="M428" s="87"/>
      <c r="N428" s="79"/>
      <c r="O428" s="79"/>
      <c r="P428" s="79"/>
      <c r="Q428" s="79"/>
      <c r="R428" s="79"/>
      <c r="S428" s="79"/>
      <c r="T428" s="79"/>
      <c r="U428" s="79"/>
      <c r="V428" s="79"/>
      <c r="W428" s="79"/>
      <c r="X428" s="79"/>
      <c r="Y428" s="79"/>
      <c r="Z428" s="79"/>
      <c r="AA428" s="79"/>
      <c r="AB428" s="79"/>
    </row>
    <row r="429" spans="1:28" ht="15.8" customHeight="1" x14ac:dyDescent="0.15">
      <c r="A429" s="79"/>
      <c r="B429" s="79"/>
      <c r="C429" s="79"/>
      <c r="D429" s="79"/>
      <c r="E429" s="79"/>
      <c r="F429" s="79"/>
      <c r="G429" s="79"/>
      <c r="H429" s="79"/>
      <c r="I429" s="79"/>
      <c r="J429" s="87"/>
      <c r="K429" s="87"/>
      <c r="L429" s="87"/>
      <c r="M429" s="87"/>
      <c r="N429" s="79"/>
      <c r="O429" s="79"/>
      <c r="P429" s="79"/>
      <c r="Q429" s="79"/>
      <c r="R429" s="79"/>
      <c r="S429" s="79"/>
      <c r="T429" s="79"/>
      <c r="U429" s="79"/>
      <c r="V429" s="79"/>
      <c r="W429" s="79"/>
      <c r="X429" s="79"/>
      <c r="Y429" s="79"/>
      <c r="Z429" s="79"/>
      <c r="AA429" s="79"/>
      <c r="AB429" s="79"/>
    </row>
    <row r="430" spans="1:28" ht="15.8" customHeight="1" x14ac:dyDescent="0.15">
      <c r="A430" s="79"/>
      <c r="B430" s="79"/>
      <c r="C430" s="79"/>
      <c r="D430" s="79"/>
      <c r="E430" s="79"/>
      <c r="F430" s="79"/>
      <c r="G430" s="79"/>
      <c r="H430" s="79"/>
      <c r="I430" s="79"/>
      <c r="J430" s="87"/>
      <c r="K430" s="87"/>
      <c r="L430" s="87"/>
      <c r="M430" s="87"/>
      <c r="N430" s="79"/>
      <c r="O430" s="79"/>
      <c r="P430" s="79"/>
      <c r="Q430" s="79"/>
      <c r="R430" s="79"/>
      <c r="S430" s="79"/>
      <c r="T430" s="79"/>
      <c r="U430" s="79"/>
      <c r="V430" s="79"/>
      <c r="W430" s="79"/>
      <c r="X430" s="79"/>
      <c r="Y430" s="79"/>
      <c r="Z430" s="79"/>
      <c r="AA430" s="79"/>
      <c r="AB430" s="79"/>
    </row>
    <row r="431" spans="1:28" ht="15.8" customHeight="1" x14ac:dyDescent="0.15">
      <c r="A431" s="79"/>
      <c r="B431" s="79"/>
      <c r="C431" s="79"/>
      <c r="D431" s="79"/>
      <c r="E431" s="79"/>
      <c r="F431" s="79"/>
      <c r="G431" s="79"/>
      <c r="H431" s="79"/>
      <c r="I431" s="79"/>
      <c r="J431" s="87"/>
      <c r="K431" s="87"/>
      <c r="L431" s="87"/>
      <c r="M431" s="87"/>
      <c r="N431" s="79"/>
      <c r="O431" s="79"/>
      <c r="P431" s="79"/>
      <c r="Q431" s="79"/>
      <c r="R431" s="79"/>
      <c r="S431" s="79"/>
      <c r="T431" s="79"/>
      <c r="U431" s="79"/>
      <c r="V431" s="79"/>
      <c r="W431" s="79"/>
      <c r="X431" s="79"/>
      <c r="Y431" s="79"/>
      <c r="Z431" s="79"/>
      <c r="AA431" s="79"/>
      <c r="AB431" s="79"/>
    </row>
    <row r="432" spans="1:28" ht="15.8" customHeight="1" x14ac:dyDescent="0.15">
      <c r="A432" s="79"/>
      <c r="B432" s="79"/>
      <c r="C432" s="79"/>
      <c r="D432" s="79"/>
      <c r="E432" s="79"/>
      <c r="F432" s="79"/>
      <c r="G432" s="79"/>
      <c r="H432" s="79"/>
      <c r="I432" s="79"/>
      <c r="J432" s="87"/>
      <c r="K432" s="87"/>
      <c r="L432" s="87"/>
      <c r="M432" s="87"/>
      <c r="N432" s="79"/>
      <c r="O432" s="79"/>
      <c r="P432" s="79"/>
      <c r="Q432" s="79"/>
      <c r="R432" s="79"/>
      <c r="S432" s="79"/>
      <c r="T432" s="79"/>
      <c r="U432" s="79"/>
      <c r="V432" s="79"/>
      <c r="W432" s="79"/>
      <c r="X432" s="79"/>
      <c r="Y432" s="79"/>
      <c r="Z432" s="79"/>
      <c r="AA432" s="79"/>
      <c r="AB432" s="79"/>
    </row>
    <row r="433" spans="1:28" ht="15.8" customHeight="1" x14ac:dyDescent="0.15">
      <c r="A433" s="79"/>
      <c r="B433" s="79"/>
      <c r="C433" s="79"/>
      <c r="D433" s="79"/>
      <c r="E433" s="79"/>
      <c r="F433" s="79"/>
      <c r="G433" s="79"/>
      <c r="H433" s="79"/>
      <c r="I433" s="79"/>
      <c r="J433" s="87"/>
      <c r="K433" s="87"/>
      <c r="L433" s="87"/>
      <c r="M433" s="87"/>
      <c r="N433" s="79"/>
      <c r="O433" s="79"/>
      <c r="P433" s="79"/>
      <c r="Q433" s="79"/>
      <c r="R433" s="79"/>
      <c r="S433" s="79"/>
      <c r="T433" s="79"/>
      <c r="U433" s="79"/>
      <c r="V433" s="79"/>
      <c r="W433" s="79"/>
      <c r="X433" s="79"/>
      <c r="Y433" s="79"/>
      <c r="Z433" s="79"/>
      <c r="AA433" s="79"/>
      <c r="AB433" s="79"/>
    </row>
    <row r="434" spans="1:28" ht="15.8" customHeight="1" x14ac:dyDescent="0.15">
      <c r="A434" s="79"/>
      <c r="B434" s="79"/>
      <c r="C434" s="79"/>
      <c r="D434" s="79"/>
      <c r="E434" s="79"/>
      <c r="F434" s="79"/>
      <c r="G434" s="79"/>
      <c r="H434" s="79"/>
      <c r="I434" s="79"/>
      <c r="J434" s="87"/>
      <c r="K434" s="87"/>
      <c r="L434" s="87"/>
      <c r="M434" s="87"/>
      <c r="N434" s="79"/>
      <c r="O434" s="79"/>
      <c r="P434" s="79"/>
      <c r="Q434" s="79"/>
      <c r="R434" s="79"/>
      <c r="S434" s="79"/>
      <c r="T434" s="79"/>
      <c r="U434" s="79"/>
      <c r="V434" s="79"/>
      <c r="W434" s="79"/>
      <c r="X434" s="79"/>
      <c r="Y434" s="79"/>
      <c r="Z434" s="79"/>
      <c r="AA434" s="79"/>
      <c r="AB434" s="79"/>
    </row>
    <row r="435" spans="1:28" ht="15.8" customHeight="1" x14ac:dyDescent="0.15">
      <c r="A435" s="79"/>
      <c r="B435" s="79"/>
      <c r="C435" s="79"/>
      <c r="D435" s="79"/>
      <c r="E435" s="79"/>
      <c r="F435" s="79"/>
      <c r="G435" s="79"/>
      <c r="H435" s="79"/>
      <c r="I435" s="79"/>
      <c r="J435" s="87"/>
      <c r="K435" s="87"/>
      <c r="L435" s="87"/>
      <c r="M435" s="87"/>
      <c r="N435" s="79"/>
      <c r="O435" s="79"/>
      <c r="P435" s="79"/>
      <c r="Q435" s="79"/>
      <c r="R435" s="79"/>
      <c r="S435" s="79"/>
      <c r="T435" s="79"/>
      <c r="U435" s="79"/>
      <c r="V435" s="79"/>
      <c r="W435" s="79"/>
      <c r="X435" s="79"/>
      <c r="Y435" s="79"/>
      <c r="Z435" s="79"/>
      <c r="AA435" s="79"/>
      <c r="AB435" s="79"/>
    </row>
    <row r="436" spans="1:28" ht="15.8" customHeight="1" x14ac:dyDescent="0.15">
      <c r="A436" s="79"/>
      <c r="B436" s="79"/>
      <c r="C436" s="79"/>
      <c r="D436" s="79"/>
      <c r="E436" s="79"/>
      <c r="F436" s="79"/>
      <c r="G436" s="79"/>
      <c r="H436" s="79"/>
      <c r="I436" s="79"/>
      <c r="J436" s="87"/>
      <c r="K436" s="87"/>
      <c r="L436" s="87"/>
      <c r="M436" s="87"/>
      <c r="N436" s="79"/>
      <c r="O436" s="79"/>
      <c r="P436" s="79"/>
      <c r="Q436" s="79"/>
      <c r="R436" s="79"/>
      <c r="S436" s="79"/>
      <c r="T436" s="79"/>
      <c r="U436" s="79"/>
      <c r="V436" s="79"/>
      <c r="W436" s="79"/>
      <c r="X436" s="79"/>
      <c r="Y436" s="79"/>
      <c r="Z436" s="79"/>
      <c r="AA436" s="79"/>
      <c r="AB436" s="79"/>
    </row>
    <row r="437" spans="1:28" ht="15.8" customHeight="1" x14ac:dyDescent="0.15">
      <c r="A437" s="79"/>
      <c r="B437" s="79"/>
      <c r="C437" s="79"/>
      <c r="D437" s="79"/>
      <c r="E437" s="79"/>
      <c r="F437" s="79"/>
      <c r="G437" s="79"/>
      <c r="H437" s="79"/>
      <c r="I437" s="79"/>
      <c r="J437" s="87"/>
      <c r="K437" s="87"/>
      <c r="L437" s="87"/>
      <c r="M437" s="87"/>
      <c r="N437" s="79"/>
      <c r="O437" s="79"/>
      <c r="P437" s="79"/>
      <c r="Q437" s="79"/>
      <c r="R437" s="79"/>
      <c r="S437" s="79"/>
      <c r="T437" s="79"/>
      <c r="U437" s="79"/>
      <c r="V437" s="79"/>
      <c r="W437" s="79"/>
      <c r="X437" s="79"/>
      <c r="Y437" s="79"/>
      <c r="Z437" s="79"/>
      <c r="AA437" s="79"/>
      <c r="AB437" s="79"/>
    </row>
    <row r="438" spans="1:28" ht="15.8" customHeight="1" x14ac:dyDescent="0.15">
      <c r="A438" s="79"/>
      <c r="B438" s="79"/>
      <c r="C438" s="79"/>
      <c r="D438" s="79"/>
      <c r="E438" s="79"/>
      <c r="F438" s="79"/>
      <c r="G438" s="79"/>
      <c r="H438" s="79"/>
      <c r="I438" s="79"/>
      <c r="J438" s="87"/>
      <c r="K438" s="87"/>
      <c r="L438" s="87"/>
      <c r="M438" s="87"/>
      <c r="N438" s="79"/>
      <c r="O438" s="79"/>
      <c r="P438" s="79"/>
      <c r="Q438" s="79"/>
      <c r="R438" s="79"/>
      <c r="S438" s="79"/>
      <c r="T438" s="79"/>
      <c r="U438" s="79"/>
      <c r="V438" s="79"/>
      <c r="W438" s="79"/>
      <c r="X438" s="79"/>
      <c r="Y438" s="79"/>
      <c r="Z438" s="79"/>
      <c r="AA438" s="79"/>
      <c r="AB438" s="79"/>
    </row>
    <row r="439" spans="1:28" ht="15.8" customHeight="1" x14ac:dyDescent="0.15">
      <c r="A439" s="79"/>
      <c r="B439" s="79"/>
      <c r="C439" s="79"/>
      <c r="D439" s="79"/>
      <c r="E439" s="79"/>
      <c r="F439" s="79"/>
      <c r="G439" s="79"/>
      <c r="H439" s="79"/>
      <c r="I439" s="79"/>
      <c r="J439" s="87"/>
      <c r="K439" s="87"/>
      <c r="L439" s="87"/>
      <c r="M439" s="87"/>
      <c r="N439" s="79"/>
      <c r="O439" s="79"/>
      <c r="P439" s="79"/>
      <c r="Q439" s="79"/>
      <c r="R439" s="79"/>
      <c r="S439" s="79"/>
      <c r="T439" s="79"/>
      <c r="U439" s="79"/>
      <c r="V439" s="79"/>
      <c r="W439" s="79"/>
      <c r="X439" s="79"/>
      <c r="Y439" s="79"/>
      <c r="Z439" s="79"/>
      <c r="AA439" s="79"/>
      <c r="AB439" s="79"/>
    </row>
    <row r="440" spans="1:28" ht="15.8" customHeight="1" x14ac:dyDescent="0.15">
      <c r="A440" s="79"/>
      <c r="B440" s="79"/>
      <c r="C440" s="79"/>
      <c r="D440" s="79"/>
      <c r="E440" s="79"/>
      <c r="F440" s="79"/>
      <c r="G440" s="79"/>
      <c r="H440" s="79"/>
      <c r="I440" s="79"/>
      <c r="J440" s="87"/>
      <c r="K440" s="87"/>
      <c r="L440" s="87"/>
      <c r="M440" s="87"/>
      <c r="N440" s="79"/>
      <c r="O440" s="79"/>
      <c r="P440" s="79"/>
      <c r="Q440" s="79"/>
      <c r="R440" s="79"/>
      <c r="S440" s="79"/>
      <c r="T440" s="79"/>
      <c r="U440" s="79"/>
      <c r="V440" s="79"/>
      <c r="W440" s="79"/>
      <c r="X440" s="79"/>
      <c r="Y440" s="79"/>
      <c r="Z440" s="79"/>
      <c r="AA440" s="79"/>
      <c r="AB440" s="79"/>
    </row>
    <row r="441" spans="1:28" ht="15.8" customHeight="1" x14ac:dyDescent="0.15">
      <c r="A441" s="79"/>
      <c r="B441" s="79"/>
      <c r="C441" s="79"/>
      <c r="D441" s="79"/>
      <c r="E441" s="79"/>
      <c r="F441" s="79"/>
      <c r="G441" s="79"/>
      <c r="H441" s="79"/>
      <c r="I441" s="79"/>
      <c r="J441" s="87"/>
      <c r="K441" s="87"/>
      <c r="L441" s="87"/>
      <c r="M441" s="87"/>
      <c r="N441" s="79"/>
      <c r="O441" s="79"/>
      <c r="P441" s="79"/>
      <c r="Q441" s="79"/>
      <c r="R441" s="79"/>
      <c r="S441" s="79"/>
      <c r="T441" s="79"/>
      <c r="U441" s="79"/>
      <c r="V441" s="79"/>
      <c r="W441" s="79"/>
      <c r="X441" s="79"/>
      <c r="Y441" s="79"/>
      <c r="Z441" s="79"/>
      <c r="AA441" s="79"/>
      <c r="AB441" s="79"/>
    </row>
    <row r="442" spans="1:28" ht="15.8" customHeight="1" x14ac:dyDescent="0.15">
      <c r="A442" s="79"/>
      <c r="B442" s="79"/>
      <c r="C442" s="79"/>
      <c r="D442" s="79"/>
      <c r="E442" s="79"/>
      <c r="F442" s="79"/>
      <c r="G442" s="79"/>
      <c r="H442" s="79"/>
      <c r="I442" s="79"/>
      <c r="J442" s="87"/>
      <c r="K442" s="87"/>
      <c r="L442" s="87"/>
      <c r="M442" s="87"/>
      <c r="N442" s="79"/>
      <c r="O442" s="79"/>
      <c r="P442" s="79"/>
      <c r="Q442" s="79"/>
      <c r="R442" s="79"/>
      <c r="S442" s="79"/>
      <c r="T442" s="79"/>
      <c r="U442" s="79"/>
      <c r="V442" s="79"/>
      <c r="W442" s="79"/>
      <c r="X442" s="79"/>
      <c r="Y442" s="79"/>
      <c r="Z442" s="79"/>
      <c r="AA442" s="79"/>
      <c r="AB442" s="79"/>
    </row>
    <row r="443" spans="1:28" ht="15.8" customHeight="1" x14ac:dyDescent="0.15">
      <c r="A443" s="79"/>
      <c r="B443" s="79"/>
      <c r="C443" s="79"/>
      <c r="D443" s="79"/>
      <c r="E443" s="79"/>
      <c r="F443" s="79"/>
      <c r="G443" s="79"/>
      <c r="H443" s="79"/>
      <c r="I443" s="79"/>
      <c r="J443" s="87"/>
      <c r="K443" s="87"/>
      <c r="L443" s="87"/>
      <c r="M443" s="87"/>
      <c r="N443" s="79"/>
      <c r="O443" s="79"/>
      <c r="P443" s="79"/>
      <c r="Q443" s="79"/>
      <c r="R443" s="79"/>
      <c r="S443" s="79"/>
      <c r="T443" s="79"/>
      <c r="U443" s="79"/>
      <c r="V443" s="79"/>
      <c r="W443" s="79"/>
      <c r="X443" s="79"/>
      <c r="Y443" s="79"/>
      <c r="Z443" s="79"/>
      <c r="AA443" s="79"/>
      <c r="AB443" s="79"/>
    </row>
    <row r="444" spans="1:28" ht="15.8" customHeight="1" x14ac:dyDescent="0.15">
      <c r="A444" s="79"/>
      <c r="B444" s="79"/>
      <c r="C444" s="79"/>
      <c r="D444" s="79"/>
      <c r="E444" s="79"/>
      <c r="F444" s="79"/>
      <c r="G444" s="79"/>
      <c r="H444" s="79"/>
      <c r="I444" s="79"/>
      <c r="J444" s="87"/>
      <c r="K444" s="87"/>
      <c r="L444" s="87"/>
      <c r="M444" s="87"/>
      <c r="N444" s="79"/>
      <c r="O444" s="79"/>
      <c r="P444" s="79"/>
      <c r="Q444" s="79"/>
      <c r="R444" s="79"/>
      <c r="S444" s="79"/>
      <c r="T444" s="79"/>
      <c r="U444" s="79"/>
      <c r="V444" s="79"/>
      <c r="W444" s="79"/>
      <c r="X444" s="79"/>
      <c r="Y444" s="79"/>
      <c r="Z444" s="79"/>
      <c r="AA444" s="79"/>
      <c r="AB444" s="79"/>
    </row>
    <row r="445" spans="1:28" ht="15.8" customHeight="1" x14ac:dyDescent="0.15">
      <c r="A445" s="79"/>
      <c r="B445" s="79"/>
      <c r="C445" s="79"/>
      <c r="D445" s="79"/>
      <c r="E445" s="79"/>
      <c r="F445" s="79"/>
      <c r="G445" s="79"/>
      <c r="H445" s="79"/>
      <c r="I445" s="79"/>
      <c r="J445" s="87"/>
      <c r="K445" s="87"/>
      <c r="L445" s="87"/>
      <c r="M445" s="87"/>
      <c r="N445" s="79"/>
      <c r="O445" s="79"/>
      <c r="P445" s="79"/>
      <c r="Q445" s="79"/>
      <c r="R445" s="79"/>
      <c r="S445" s="79"/>
      <c r="T445" s="79"/>
      <c r="U445" s="79"/>
      <c r="V445" s="79"/>
      <c r="W445" s="79"/>
      <c r="X445" s="79"/>
      <c r="Y445" s="79"/>
      <c r="Z445" s="79"/>
      <c r="AA445" s="79"/>
      <c r="AB445" s="79"/>
    </row>
    <row r="446" spans="1:28" ht="15.8" customHeight="1" x14ac:dyDescent="0.15">
      <c r="A446" s="79"/>
      <c r="B446" s="79"/>
      <c r="C446" s="79"/>
      <c r="D446" s="79"/>
      <c r="E446" s="79"/>
      <c r="F446" s="79"/>
      <c r="G446" s="79"/>
      <c r="H446" s="79"/>
      <c r="I446" s="79"/>
      <c r="J446" s="87"/>
      <c r="K446" s="87"/>
      <c r="L446" s="87"/>
      <c r="M446" s="87"/>
      <c r="N446" s="79"/>
      <c r="O446" s="79"/>
      <c r="P446" s="79"/>
      <c r="Q446" s="79"/>
      <c r="R446" s="79"/>
      <c r="S446" s="79"/>
      <c r="T446" s="79"/>
      <c r="U446" s="79"/>
      <c r="V446" s="79"/>
      <c r="W446" s="79"/>
      <c r="X446" s="79"/>
      <c r="Y446" s="79"/>
      <c r="Z446" s="79"/>
      <c r="AA446" s="79"/>
      <c r="AB446" s="79"/>
    </row>
    <row r="447" spans="1:28" ht="15.8" customHeight="1" x14ac:dyDescent="0.15">
      <c r="A447" s="79"/>
      <c r="B447" s="79"/>
      <c r="C447" s="79"/>
      <c r="D447" s="79"/>
      <c r="E447" s="79"/>
      <c r="F447" s="79"/>
      <c r="G447" s="79"/>
      <c r="H447" s="79"/>
      <c r="I447" s="79"/>
      <c r="J447" s="87"/>
      <c r="K447" s="87"/>
      <c r="L447" s="87"/>
      <c r="M447" s="87"/>
      <c r="N447" s="79"/>
      <c r="O447" s="79"/>
      <c r="P447" s="79"/>
      <c r="Q447" s="79"/>
      <c r="R447" s="79"/>
      <c r="S447" s="79"/>
      <c r="T447" s="79"/>
      <c r="U447" s="79"/>
      <c r="V447" s="79"/>
      <c r="W447" s="79"/>
      <c r="X447" s="79"/>
      <c r="Y447" s="79"/>
      <c r="Z447" s="79"/>
      <c r="AA447" s="79"/>
      <c r="AB447" s="79"/>
    </row>
    <row r="448" spans="1:28" ht="15.8" customHeight="1" x14ac:dyDescent="0.15">
      <c r="A448" s="79"/>
      <c r="B448" s="79"/>
      <c r="C448" s="79"/>
      <c r="D448" s="79"/>
      <c r="E448" s="79"/>
      <c r="F448" s="79"/>
      <c r="G448" s="79"/>
      <c r="H448" s="79"/>
      <c r="I448" s="79"/>
      <c r="J448" s="87"/>
      <c r="K448" s="87"/>
      <c r="L448" s="87"/>
      <c r="M448" s="87"/>
      <c r="N448" s="79"/>
      <c r="O448" s="79"/>
      <c r="P448" s="79"/>
      <c r="Q448" s="79"/>
      <c r="R448" s="79"/>
      <c r="S448" s="79"/>
      <c r="T448" s="79"/>
      <c r="U448" s="79"/>
      <c r="V448" s="79"/>
      <c r="W448" s="79"/>
      <c r="X448" s="79"/>
      <c r="Y448" s="79"/>
      <c r="Z448" s="79"/>
      <c r="AA448" s="79"/>
      <c r="AB448" s="79"/>
    </row>
    <row r="449" spans="1:28" ht="15.8" customHeight="1" x14ac:dyDescent="0.15">
      <c r="A449" s="79"/>
      <c r="B449" s="79"/>
      <c r="C449" s="79"/>
      <c r="D449" s="79"/>
      <c r="E449" s="79"/>
      <c r="F449" s="79"/>
      <c r="G449" s="79"/>
      <c r="H449" s="79"/>
      <c r="I449" s="79"/>
      <c r="J449" s="87"/>
      <c r="K449" s="87"/>
      <c r="L449" s="87"/>
      <c r="M449" s="87"/>
      <c r="N449" s="79"/>
      <c r="O449" s="79"/>
      <c r="P449" s="79"/>
      <c r="Q449" s="79"/>
      <c r="R449" s="79"/>
      <c r="S449" s="79"/>
      <c r="T449" s="79"/>
      <c r="U449" s="79"/>
      <c r="V449" s="79"/>
      <c r="W449" s="79"/>
      <c r="X449" s="79"/>
      <c r="Y449" s="79"/>
      <c r="Z449" s="79"/>
      <c r="AA449" s="79"/>
      <c r="AB449" s="79"/>
    </row>
    <row r="450" spans="1:28" ht="15.8" customHeight="1" x14ac:dyDescent="0.15">
      <c r="A450" s="79"/>
      <c r="B450" s="79"/>
      <c r="C450" s="79"/>
      <c r="D450" s="79"/>
      <c r="E450" s="79"/>
      <c r="F450" s="79"/>
      <c r="G450" s="79"/>
      <c r="H450" s="79"/>
      <c r="I450" s="79"/>
      <c r="J450" s="87"/>
      <c r="K450" s="87"/>
      <c r="L450" s="87"/>
      <c r="M450" s="87"/>
      <c r="N450" s="79"/>
      <c r="O450" s="79"/>
      <c r="P450" s="79"/>
      <c r="Q450" s="79"/>
      <c r="R450" s="79"/>
      <c r="S450" s="79"/>
      <c r="T450" s="79"/>
      <c r="U450" s="79"/>
      <c r="V450" s="79"/>
      <c r="W450" s="79"/>
      <c r="X450" s="79"/>
      <c r="Y450" s="79"/>
      <c r="Z450" s="79"/>
      <c r="AA450" s="79"/>
      <c r="AB450" s="79"/>
    </row>
    <row r="451" spans="1:28" ht="15.8" customHeight="1" x14ac:dyDescent="0.15">
      <c r="A451" s="79"/>
      <c r="B451" s="79"/>
      <c r="C451" s="79"/>
      <c r="D451" s="79"/>
      <c r="E451" s="79"/>
      <c r="F451" s="79"/>
      <c r="G451" s="79"/>
      <c r="H451" s="79"/>
      <c r="I451" s="79"/>
      <c r="J451" s="87"/>
      <c r="K451" s="87"/>
      <c r="L451" s="87"/>
      <c r="M451" s="87"/>
      <c r="N451" s="79"/>
      <c r="O451" s="79"/>
      <c r="P451" s="79"/>
      <c r="Q451" s="79"/>
      <c r="R451" s="79"/>
      <c r="S451" s="79"/>
      <c r="T451" s="79"/>
      <c r="U451" s="79"/>
      <c r="V451" s="79"/>
      <c r="W451" s="79"/>
      <c r="X451" s="79"/>
      <c r="Y451" s="79"/>
      <c r="Z451" s="79"/>
      <c r="AA451" s="79"/>
      <c r="AB451" s="79"/>
    </row>
    <row r="452" spans="1:28" ht="15.8" customHeight="1" x14ac:dyDescent="0.15">
      <c r="A452" s="79"/>
      <c r="B452" s="79"/>
      <c r="C452" s="79"/>
      <c r="D452" s="79"/>
      <c r="E452" s="79"/>
      <c r="F452" s="79"/>
      <c r="G452" s="79"/>
      <c r="H452" s="79"/>
      <c r="I452" s="79"/>
      <c r="J452" s="87"/>
      <c r="K452" s="87"/>
      <c r="L452" s="87"/>
      <c r="M452" s="87"/>
      <c r="N452" s="79"/>
      <c r="O452" s="79"/>
      <c r="P452" s="79"/>
      <c r="Q452" s="79"/>
      <c r="R452" s="79"/>
      <c r="S452" s="79"/>
      <c r="T452" s="79"/>
      <c r="U452" s="79"/>
      <c r="V452" s="79"/>
      <c r="W452" s="79"/>
      <c r="X452" s="79"/>
      <c r="Y452" s="79"/>
      <c r="Z452" s="79"/>
      <c r="AA452" s="79"/>
      <c r="AB452" s="79"/>
    </row>
    <row r="453" spans="1:28" ht="15.8" customHeight="1" x14ac:dyDescent="0.15">
      <c r="A453" s="79"/>
      <c r="B453" s="79"/>
      <c r="C453" s="79"/>
      <c r="D453" s="79"/>
      <c r="E453" s="79"/>
      <c r="F453" s="79"/>
      <c r="G453" s="79"/>
      <c r="H453" s="79"/>
      <c r="I453" s="79"/>
      <c r="J453" s="87"/>
      <c r="K453" s="87"/>
      <c r="L453" s="87"/>
      <c r="M453" s="87"/>
      <c r="N453" s="79"/>
      <c r="O453" s="79"/>
      <c r="P453" s="79"/>
      <c r="Q453" s="79"/>
      <c r="R453" s="79"/>
      <c r="S453" s="79"/>
      <c r="T453" s="79"/>
      <c r="U453" s="79"/>
      <c r="V453" s="79"/>
      <c r="W453" s="79"/>
      <c r="X453" s="79"/>
      <c r="Y453" s="79"/>
      <c r="Z453" s="79"/>
      <c r="AA453" s="79"/>
      <c r="AB453" s="79"/>
    </row>
    <row r="454" spans="1:28" ht="15.8" customHeight="1" x14ac:dyDescent="0.15">
      <c r="A454" s="79"/>
      <c r="B454" s="79"/>
      <c r="C454" s="79"/>
      <c r="D454" s="79"/>
      <c r="E454" s="79"/>
      <c r="F454" s="79"/>
      <c r="G454" s="79"/>
      <c r="H454" s="79"/>
      <c r="I454" s="79"/>
      <c r="J454" s="87"/>
      <c r="K454" s="87"/>
      <c r="L454" s="87"/>
      <c r="M454" s="87"/>
      <c r="N454" s="79"/>
      <c r="O454" s="79"/>
      <c r="P454" s="79"/>
      <c r="Q454" s="79"/>
      <c r="R454" s="79"/>
      <c r="S454" s="79"/>
      <c r="T454" s="79"/>
      <c r="U454" s="79"/>
      <c r="V454" s="79"/>
      <c r="W454" s="79"/>
      <c r="X454" s="79"/>
      <c r="Y454" s="79"/>
      <c r="Z454" s="79"/>
      <c r="AA454" s="79"/>
      <c r="AB454" s="79"/>
    </row>
    <row r="455" spans="1:28" ht="15.8" customHeight="1" x14ac:dyDescent="0.15">
      <c r="A455" s="79"/>
      <c r="B455" s="79"/>
      <c r="C455" s="79"/>
      <c r="D455" s="79"/>
      <c r="E455" s="79"/>
      <c r="F455" s="79"/>
      <c r="G455" s="79"/>
      <c r="H455" s="79"/>
      <c r="I455" s="79"/>
      <c r="J455" s="87"/>
      <c r="K455" s="87"/>
      <c r="L455" s="87"/>
      <c r="M455" s="87"/>
      <c r="N455" s="79"/>
      <c r="O455" s="79"/>
      <c r="P455" s="79"/>
      <c r="Q455" s="79"/>
      <c r="R455" s="79"/>
      <c r="S455" s="79"/>
      <c r="T455" s="79"/>
      <c r="U455" s="79"/>
      <c r="V455" s="79"/>
      <c r="W455" s="79"/>
      <c r="X455" s="79"/>
      <c r="Y455" s="79"/>
      <c r="Z455" s="79"/>
      <c r="AA455" s="79"/>
      <c r="AB455" s="79"/>
    </row>
    <row r="456" spans="1:28" ht="15.8" customHeight="1" x14ac:dyDescent="0.15">
      <c r="A456" s="79"/>
      <c r="B456" s="79"/>
      <c r="C456" s="79"/>
      <c r="D456" s="79"/>
      <c r="E456" s="79"/>
      <c r="F456" s="79"/>
      <c r="G456" s="79"/>
      <c r="H456" s="79"/>
      <c r="I456" s="79"/>
      <c r="J456" s="87"/>
      <c r="K456" s="87"/>
      <c r="L456" s="87"/>
      <c r="M456" s="87"/>
      <c r="N456" s="79"/>
      <c r="O456" s="79"/>
      <c r="P456" s="79"/>
      <c r="Q456" s="79"/>
      <c r="R456" s="79"/>
      <c r="S456" s="79"/>
      <c r="T456" s="79"/>
      <c r="U456" s="79"/>
      <c r="V456" s="79"/>
      <c r="W456" s="79"/>
      <c r="X456" s="79"/>
      <c r="Y456" s="79"/>
      <c r="Z456" s="79"/>
      <c r="AA456" s="79"/>
      <c r="AB456" s="79"/>
    </row>
    <row r="457" spans="1:28" ht="15.8" customHeight="1" x14ac:dyDescent="0.15">
      <c r="A457" s="79"/>
      <c r="B457" s="79"/>
      <c r="C457" s="79"/>
      <c r="D457" s="79"/>
      <c r="E457" s="79"/>
      <c r="F457" s="79"/>
      <c r="G457" s="79"/>
      <c r="H457" s="79"/>
      <c r="I457" s="79"/>
      <c r="J457" s="87"/>
      <c r="K457" s="87"/>
      <c r="L457" s="87"/>
      <c r="M457" s="87"/>
      <c r="N457" s="79"/>
      <c r="O457" s="79"/>
      <c r="P457" s="79"/>
      <c r="Q457" s="79"/>
      <c r="R457" s="79"/>
      <c r="S457" s="79"/>
      <c r="T457" s="79"/>
      <c r="U457" s="79"/>
      <c r="V457" s="79"/>
      <c r="W457" s="79"/>
      <c r="X457" s="79"/>
      <c r="Y457" s="79"/>
      <c r="Z457" s="79"/>
      <c r="AA457" s="79"/>
      <c r="AB457" s="79"/>
    </row>
    <row r="458" spans="1:28" ht="15.8" customHeight="1" x14ac:dyDescent="0.15">
      <c r="A458" s="79"/>
      <c r="B458" s="79"/>
      <c r="C458" s="79"/>
      <c r="D458" s="79"/>
      <c r="E458" s="79"/>
      <c r="F458" s="79"/>
      <c r="G458" s="79"/>
      <c r="H458" s="79"/>
      <c r="I458" s="79"/>
      <c r="J458" s="87"/>
      <c r="K458" s="87"/>
      <c r="L458" s="87"/>
      <c r="M458" s="87"/>
      <c r="N458" s="79"/>
      <c r="O458" s="79"/>
      <c r="P458" s="79"/>
      <c r="Q458" s="79"/>
      <c r="R458" s="79"/>
      <c r="S458" s="79"/>
      <c r="T458" s="79"/>
      <c r="U458" s="79"/>
      <c r="V458" s="79"/>
      <c r="W458" s="79"/>
      <c r="X458" s="79"/>
      <c r="Y458" s="79"/>
      <c r="Z458" s="79"/>
      <c r="AA458" s="79"/>
      <c r="AB458" s="79"/>
    </row>
    <row r="459" spans="1:28" ht="15.8" customHeight="1" x14ac:dyDescent="0.15">
      <c r="A459" s="79"/>
      <c r="B459" s="79"/>
      <c r="C459" s="79"/>
      <c r="D459" s="79"/>
      <c r="E459" s="79"/>
      <c r="F459" s="79"/>
      <c r="G459" s="79"/>
      <c r="H459" s="79"/>
      <c r="I459" s="79"/>
      <c r="J459" s="87"/>
      <c r="K459" s="87"/>
      <c r="L459" s="87"/>
      <c r="M459" s="87"/>
      <c r="N459" s="79"/>
      <c r="O459" s="79"/>
      <c r="P459" s="79"/>
      <c r="Q459" s="79"/>
      <c r="R459" s="79"/>
      <c r="S459" s="79"/>
      <c r="T459" s="79"/>
      <c r="U459" s="79"/>
      <c r="V459" s="79"/>
      <c r="W459" s="79"/>
      <c r="X459" s="79"/>
      <c r="Y459" s="79"/>
      <c r="Z459" s="79"/>
      <c r="AA459" s="79"/>
      <c r="AB459" s="79"/>
    </row>
    <row r="460" spans="1:28" ht="15.8" customHeight="1" x14ac:dyDescent="0.15">
      <c r="A460" s="79"/>
      <c r="B460" s="79"/>
      <c r="C460" s="79"/>
      <c r="D460" s="79"/>
      <c r="E460" s="79"/>
      <c r="F460" s="79"/>
      <c r="G460" s="79"/>
      <c r="H460" s="79"/>
      <c r="I460" s="79"/>
      <c r="J460" s="87"/>
      <c r="K460" s="87"/>
      <c r="L460" s="87"/>
      <c r="M460" s="87"/>
      <c r="N460" s="79"/>
      <c r="O460" s="79"/>
      <c r="P460" s="79"/>
      <c r="Q460" s="79"/>
      <c r="R460" s="79"/>
      <c r="S460" s="79"/>
      <c r="T460" s="79"/>
      <c r="U460" s="79"/>
      <c r="V460" s="79"/>
      <c r="W460" s="79"/>
      <c r="X460" s="79"/>
      <c r="Y460" s="79"/>
      <c r="Z460" s="79"/>
      <c r="AA460" s="79"/>
      <c r="AB460" s="79"/>
    </row>
    <row r="461" spans="1:28" ht="15.8" customHeight="1" x14ac:dyDescent="0.15">
      <c r="A461" s="79"/>
      <c r="B461" s="79"/>
      <c r="C461" s="79"/>
      <c r="D461" s="79"/>
      <c r="E461" s="79"/>
      <c r="F461" s="79"/>
      <c r="G461" s="79"/>
      <c r="H461" s="79"/>
      <c r="I461" s="79"/>
      <c r="J461" s="87"/>
      <c r="K461" s="87"/>
      <c r="L461" s="87"/>
      <c r="M461" s="87"/>
      <c r="N461" s="79"/>
      <c r="O461" s="79"/>
      <c r="P461" s="79"/>
      <c r="Q461" s="79"/>
      <c r="R461" s="79"/>
      <c r="S461" s="79"/>
      <c r="T461" s="79"/>
      <c r="U461" s="79"/>
      <c r="V461" s="79"/>
      <c r="W461" s="79"/>
      <c r="X461" s="79"/>
      <c r="Y461" s="79"/>
      <c r="Z461" s="79"/>
      <c r="AA461" s="79"/>
      <c r="AB461" s="79"/>
    </row>
    <row r="462" spans="1:28" ht="15.8" customHeight="1" x14ac:dyDescent="0.15">
      <c r="A462" s="79"/>
      <c r="B462" s="79"/>
      <c r="C462" s="79"/>
      <c r="D462" s="79"/>
      <c r="E462" s="79"/>
      <c r="F462" s="79"/>
      <c r="G462" s="79"/>
      <c r="H462" s="79"/>
      <c r="I462" s="79"/>
      <c r="J462" s="87"/>
      <c r="K462" s="87"/>
      <c r="L462" s="87"/>
      <c r="M462" s="87"/>
      <c r="N462" s="79"/>
      <c r="O462" s="79"/>
      <c r="P462" s="79"/>
      <c r="Q462" s="79"/>
      <c r="R462" s="79"/>
      <c r="S462" s="79"/>
      <c r="T462" s="79"/>
      <c r="U462" s="79"/>
      <c r="V462" s="79"/>
      <c r="W462" s="79"/>
      <c r="X462" s="79"/>
      <c r="Y462" s="79"/>
      <c r="Z462" s="79"/>
      <c r="AA462" s="79"/>
      <c r="AB462" s="79"/>
    </row>
    <row r="463" spans="1:28" ht="15.8" customHeight="1" x14ac:dyDescent="0.15">
      <c r="A463" s="79"/>
      <c r="B463" s="79"/>
      <c r="C463" s="79"/>
      <c r="D463" s="79"/>
      <c r="E463" s="79"/>
      <c r="F463" s="79"/>
      <c r="G463" s="79"/>
      <c r="H463" s="79"/>
      <c r="I463" s="79"/>
      <c r="J463" s="87"/>
      <c r="K463" s="87"/>
      <c r="L463" s="87"/>
      <c r="M463" s="87"/>
      <c r="N463" s="79"/>
      <c r="O463" s="79"/>
      <c r="P463" s="79"/>
      <c r="Q463" s="79"/>
      <c r="R463" s="79"/>
      <c r="S463" s="79"/>
      <c r="T463" s="79"/>
      <c r="U463" s="79"/>
      <c r="V463" s="79"/>
      <c r="W463" s="79"/>
      <c r="X463" s="79"/>
      <c r="Y463" s="79"/>
      <c r="Z463" s="79"/>
      <c r="AA463" s="79"/>
      <c r="AB463" s="79"/>
    </row>
    <row r="464" spans="1:28" ht="15.8" customHeight="1" x14ac:dyDescent="0.15">
      <c r="A464" s="79"/>
      <c r="B464" s="79"/>
      <c r="C464" s="79"/>
      <c r="D464" s="79"/>
      <c r="E464" s="79"/>
      <c r="F464" s="79"/>
      <c r="G464" s="79"/>
      <c r="H464" s="79"/>
      <c r="I464" s="79"/>
      <c r="J464" s="87"/>
      <c r="K464" s="87"/>
      <c r="L464" s="87"/>
      <c r="M464" s="87"/>
      <c r="N464" s="79"/>
      <c r="O464" s="79"/>
      <c r="P464" s="79"/>
      <c r="Q464" s="79"/>
      <c r="R464" s="79"/>
      <c r="S464" s="79"/>
      <c r="T464" s="79"/>
      <c r="U464" s="79"/>
      <c r="V464" s="79"/>
      <c r="W464" s="79"/>
      <c r="X464" s="79"/>
      <c r="Y464" s="79"/>
      <c r="Z464" s="79"/>
      <c r="AA464" s="79"/>
      <c r="AB464" s="79"/>
    </row>
    <row r="465" spans="1:28" ht="15.8" customHeight="1" x14ac:dyDescent="0.15">
      <c r="A465" s="79"/>
      <c r="B465" s="79"/>
      <c r="C465" s="79"/>
      <c r="D465" s="79"/>
      <c r="E465" s="79"/>
      <c r="F465" s="79"/>
      <c r="G465" s="79"/>
      <c r="H465" s="79"/>
      <c r="I465" s="79"/>
      <c r="J465" s="87"/>
      <c r="K465" s="87"/>
      <c r="L465" s="87"/>
      <c r="M465" s="87"/>
      <c r="N465" s="79"/>
      <c r="O465" s="79"/>
      <c r="P465" s="79"/>
      <c r="Q465" s="79"/>
      <c r="R465" s="79"/>
      <c r="S465" s="79"/>
      <c r="T465" s="79"/>
      <c r="U465" s="79"/>
      <c r="V465" s="79"/>
      <c r="W465" s="79"/>
      <c r="X465" s="79"/>
      <c r="Y465" s="79"/>
      <c r="Z465" s="79"/>
      <c r="AA465" s="79"/>
      <c r="AB465" s="79"/>
    </row>
    <row r="466" spans="1:28" ht="15.8" customHeight="1" x14ac:dyDescent="0.15">
      <c r="A466" s="79"/>
      <c r="B466" s="79"/>
      <c r="C466" s="79"/>
      <c r="D466" s="79"/>
      <c r="E466" s="79"/>
      <c r="F466" s="79"/>
      <c r="G466" s="79"/>
      <c r="H466" s="79"/>
      <c r="I466" s="79"/>
      <c r="J466" s="87"/>
      <c r="K466" s="87"/>
      <c r="L466" s="87"/>
      <c r="M466" s="87"/>
      <c r="N466" s="79"/>
      <c r="O466" s="79"/>
      <c r="P466" s="79"/>
      <c r="Q466" s="79"/>
      <c r="R466" s="79"/>
      <c r="S466" s="79"/>
      <c r="T466" s="79"/>
      <c r="U466" s="79"/>
      <c r="V466" s="79"/>
      <c r="W466" s="79"/>
      <c r="X466" s="79"/>
      <c r="Y466" s="79"/>
      <c r="Z466" s="79"/>
      <c r="AA466" s="79"/>
      <c r="AB466" s="79"/>
    </row>
    <row r="467" spans="1:28" ht="15.8" customHeight="1" x14ac:dyDescent="0.15">
      <c r="A467" s="79"/>
      <c r="B467" s="79"/>
      <c r="C467" s="79"/>
      <c r="D467" s="79"/>
      <c r="E467" s="79"/>
      <c r="F467" s="79"/>
      <c r="G467" s="79"/>
      <c r="H467" s="79"/>
      <c r="I467" s="79"/>
      <c r="J467" s="87"/>
      <c r="K467" s="87"/>
      <c r="L467" s="87"/>
      <c r="M467" s="87"/>
      <c r="N467" s="79"/>
      <c r="O467" s="79"/>
      <c r="P467" s="79"/>
      <c r="Q467" s="79"/>
      <c r="R467" s="79"/>
      <c r="S467" s="79"/>
      <c r="T467" s="79"/>
      <c r="U467" s="79"/>
      <c r="V467" s="79"/>
      <c r="W467" s="79"/>
      <c r="X467" s="79"/>
      <c r="Y467" s="79"/>
      <c r="Z467" s="79"/>
      <c r="AA467" s="79"/>
      <c r="AB467" s="79"/>
    </row>
    <row r="468" spans="1:28" ht="15.8" customHeight="1" x14ac:dyDescent="0.15">
      <c r="A468" s="79"/>
      <c r="B468" s="79"/>
      <c r="C468" s="79"/>
      <c r="D468" s="79"/>
      <c r="E468" s="79"/>
      <c r="F468" s="79"/>
      <c r="G468" s="79"/>
      <c r="H468" s="79"/>
      <c r="I468" s="79"/>
      <c r="J468" s="87"/>
      <c r="K468" s="87"/>
      <c r="L468" s="87"/>
      <c r="M468" s="87"/>
      <c r="N468" s="79"/>
      <c r="O468" s="79"/>
      <c r="P468" s="79"/>
      <c r="Q468" s="79"/>
      <c r="R468" s="79"/>
      <c r="S468" s="79"/>
      <c r="T468" s="79"/>
      <c r="U468" s="79"/>
      <c r="V468" s="79"/>
      <c r="W468" s="79"/>
      <c r="X468" s="79"/>
      <c r="Y468" s="79"/>
      <c r="Z468" s="79"/>
      <c r="AA468" s="79"/>
      <c r="AB468" s="79"/>
    </row>
    <row r="469" spans="1:28" ht="15.8" customHeight="1" x14ac:dyDescent="0.15">
      <c r="A469" s="79"/>
      <c r="B469" s="79"/>
      <c r="C469" s="79"/>
      <c r="D469" s="79"/>
      <c r="E469" s="79"/>
      <c r="F469" s="79"/>
      <c r="G469" s="79"/>
      <c r="H469" s="79"/>
      <c r="I469" s="79"/>
      <c r="J469" s="87"/>
      <c r="K469" s="87"/>
      <c r="L469" s="87"/>
      <c r="M469" s="87"/>
      <c r="N469" s="79"/>
      <c r="O469" s="79"/>
      <c r="P469" s="79"/>
      <c r="Q469" s="79"/>
      <c r="R469" s="79"/>
      <c r="S469" s="79"/>
      <c r="T469" s="79"/>
      <c r="U469" s="79"/>
      <c r="V469" s="79"/>
      <c r="W469" s="79"/>
      <c r="X469" s="79"/>
      <c r="Y469" s="79"/>
      <c r="Z469" s="79"/>
      <c r="AA469" s="79"/>
      <c r="AB469" s="79"/>
    </row>
    <row r="470" spans="1:28" ht="15.8" customHeight="1" x14ac:dyDescent="0.15">
      <c r="A470" s="79"/>
      <c r="B470" s="79"/>
      <c r="C470" s="79"/>
      <c r="D470" s="79"/>
      <c r="E470" s="79"/>
      <c r="F470" s="79"/>
      <c r="G470" s="79"/>
      <c r="H470" s="79"/>
      <c r="I470" s="79"/>
      <c r="J470" s="87"/>
      <c r="K470" s="87"/>
      <c r="L470" s="87"/>
      <c r="M470" s="87"/>
      <c r="N470" s="79"/>
      <c r="O470" s="79"/>
      <c r="P470" s="79"/>
      <c r="Q470" s="79"/>
      <c r="R470" s="79"/>
      <c r="S470" s="79"/>
      <c r="T470" s="79"/>
      <c r="U470" s="79"/>
      <c r="V470" s="79"/>
      <c r="W470" s="79"/>
      <c r="X470" s="79"/>
      <c r="Y470" s="79"/>
      <c r="Z470" s="79"/>
      <c r="AA470" s="79"/>
      <c r="AB470" s="79"/>
    </row>
    <row r="471" spans="1:28" ht="15.8" customHeight="1" x14ac:dyDescent="0.15">
      <c r="A471" s="79"/>
      <c r="B471" s="79"/>
      <c r="C471" s="79"/>
      <c r="D471" s="79"/>
      <c r="E471" s="79"/>
      <c r="F471" s="79"/>
      <c r="G471" s="79"/>
      <c r="H471" s="79"/>
      <c r="I471" s="79"/>
      <c r="J471" s="87"/>
      <c r="K471" s="87"/>
      <c r="L471" s="87"/>
      <c r="M471" s="87"/>
      <c r="N471" s="79"/>
      <c r="O471" s="79"/>
      <c r="P471" s="79"/>
      <c r="Q471" s="79"/>
      <c r="R471" s="79"/>
      <c r="S471" s="79"/>
      <c r="T471" s="79"/>
      <c r="U471" s="79"/>
      <c r="V471" s="79"/>
      <c r="W471" s="79"/>
      <c r="X471" s="79"/>
      <c r="Y471" s="79"/>
      <c r="Z471" s="79"/>
      <c r="AA471" s="79"/>
      <c r="AB471" s="79"/>
    </row>
    <row r="472" spans="1:28" ht="15.8" customHeight="1" x14ac:dyDescent="0.15">
      <c r="A472" s="79"/>
      <c r="B472" s="79"/>
      <c r="C472" s="79"/>
      <c r="D472" s="79"/>
      <c r="E472" s="79"/>
      <c r="F472" s="79"/>
      <c r="G472" s="79"/>
      <c r="H472" s="79"/>
      <c r="I472" s="79"/>
      <c r="J472" s="87"/>
      <c r="K472" s="87"/>
      <c r="L472" s="87"/>
      <c r="M472" s="87"/>
      <c r="N472" s="79"/>
      <c r="O472" s="79"/>
      <c r="P472" s="79"/>
      <c r="Q472" s="79"/>
      <c r="R472" s="79"/>
      <c r="S472" s="79"/>
      <c r="T472" s="79"/>
      <c r="U472" s="79"/>
      <c r="V472" s="79"/>
      <c r="W472" s="79"/>
      <c r="X472" s="79"/>
      <c r="Y472" s="79"/>
      <c r="Z472" s="79"/>
      <c r="AA472" s="79"/>
      <c r="AB472" s="79"/>
    </row>
    <row r="473" spans="1:28" ht="15.8" customHeight="1" x14ac:dyDescent="0.15">
      <c r="A473" s="79"/>
      <c r="B473" s="79"/>
      <c r="C473" s="79"/>
      <c r="D473" s="79"/>
      <c r="E473" s="79"/>
      <c r="F473" s="79"/>
      <c r="G473" s="79"/>
      <c r="H473" s="79"/>
      <c r="I473" s="79"/>
      <c r="J473" s="87"/>
      <c r="K473" s="87"/>
      <c r="L473" s="87"/>
      <c r="M473" s="87"/>
      <c r="N473" s="79"/>
      <c r="O473" s="79"/>
      <c r="P473" s="79"/>
      <c r="Q473" s="79"/>
      <c r="R473" s="79"/>
      <c r="S473" s="79"/>
      <c r="T473" s="79"/>
      <c r="U473" s="79"/>
      <c r="V473" s="79"/>
      <c r="W473" s="79"/>
      <c r="X473" s="79"/>
      <c r="Y473" s="79"/>
      <c r="Z473" s="79"/>
      <c r="AA473" s="79"/>
      <c r="AB473" s="79"/>
    </row>
    <row r="474" spans="1:28" ht="15.8" customHeight="1" x14ac:dyDescent="0.15">
      <c r="A474" s="79"/>
      <c r="B474" s="79"/>
      <c r="C474" s="79"/>
      <c r="D474" s="79"/>
      <c r="E474" s="79"/>
      <c r="F474" s="79"/>
      <c r="G474" s="79"/>
      <c r="H474" s="79"/>
      <c r="I474" s="79"/>
      <c r="J474" s="87"/>
      <c r="K474" s="87"/>
      <c r="L474" s="87"/>
      <c r="M474" s="87"/>
      <c r="N474" s="79"/>
      <c r="O474" s="79"/>
      <c r="P474" s="79"/>
      <c r="Q474" s="79"/>
      <c r="R474" s="79"/>
      <c r="S474" s="79"/>
      <c r="T474" s="79"/>
      <c r="U474" s="79"/>
      <c r="V474" s="79"/>
      <c r="W474" s="79"/>
      <c r="X474" s="79"/>
      <c r="Y474" s="79"/>
      <c r="Z474" s="79"/>
      <c r="AA474" s="79"/>
      <c r="AB474" s="79"/>
    </row>
    <row r="475" spans="1:28" ht="15.8" customHeight="1" x14ac:dyDescent="0.15">
      <c r="A475" s="79"/>
      <c r="B475" s="79"/>
      <c r="C475" s="79"/>
      <c r="D475" s="79"/>
      <c r="E475" s="79"/>
      <c r="F475" s="79"/>
      <c r="G475" s="79"/>
      <c r="H475" s="79"/>
      <c r="I475" s="79"/>
      <c r="J475" s="87"/>
      <c r="K475" s="87"/>
      <c r="L475" s="87"/>
      <c r="M475" s="87"/>
      <c r="N475" s="79"/>
      <c r="O475" s="79"/>
      <c r="P475" s="79"/>
      <c r="Q475" s="79"/>
      <c r="R475" s="79"/>
      <c r="S475" s="79"/>
      <c r="T475" s="79"/>
      <c r="U475" s="79"/>
      <c r="V475" s="79"/>
      <c r="W475" s="79"/>
      <c r="X475" s="79"/>
      <c r="Y475" s="79"/>
      <c r="Z475" s="79"/>
      <c r="AA475" s="79"/>
      <c r="AB475" s="79"/>
    </row>
    <row r="476" spans="1:28" ht="15.8" customHeight="1" x14ac:dyDescent="0.15">
      <c r="A476" s="79"/>
      <c r="B476" s="79"/>
      <c r="C476" s="79"/>
      <c r="D476" s="79"/>
      <c r="E476" s="79"/>
      <c r="F476" s="79"/>
      <c r="G476" s="79"/>
      <c r="H476" s="79"/>
      <c r="I476" s="79"/>
      <c r="J476" s="87"/>
      <c r="K476" s="87"/>
      <c r="L476" s="87"/>
      <c r="M476" s="87"/>
      <c r="N476" s="79"/>
      <c r="O476" s="79"/>
      <c r="P476" s="79"/>
      <c r="Q476" s="79"/>
      <c r="R476" s="79"/>
      <c r="S476" s="79"/>
      <c r="T476" s="79"/>
      <c r="U476" s="79"/>
      <c r="V476" s="79"/>
      <c r="W476" s="79"/>
      <c r="X476" s="79"/>
      <c r="Y476" s="79"/>
      <c r="Z476" s="79"/>
      <c r="AA476" s="79"/>
      <c r="AB476" s="79"/>
    </row>
    <row r="477" spans="1:28" ht="15.8" customHeight="1" x14ac:dyDescent="0.15">
      <c r="A477" s="79"/>
      <c r="B477" s="79"/>
      <c r="C477" s="79"/>
      <c r="D477" s="79"/>
      <c r="E477" s="79"/>
      <c r="F477" s="79"/>
      <c r="G477" s="79"/>
      <c r="H477" s="79"/>
      <c r="I477" s="79"/>
      <c r="J477" s="87"/>
      <c r="K477" s="87"/>
      <c r="L477" s="87"/>
      <c r="M477" s="87"/>
      <c r="N477" s="79"/>
      <c r="O477" s="79"/>
      <c r="P477" s="79"/>
      <c r="Q477" s="79"/>
      <c r="R477" s="79"/>
      <c r="S477" s="79"/>
      <c r="T477" s="79"/>
      <c r="U477" s="79"/>
      <c r="V477" s="79"/>
      <c r="W477" s="79"/>
      <c r="X477" s="79"/>
      <c r="Y477" s="79"/>
      <c r="Z477" s="79"/>
      <c r="AA477" s="79"/>
      <c r="AB477" s="79"/>
    </row>
    <row r="478" spans="1:28" ht="15.8" customHeight="1" x14ac:dyDescent="0.15">
      <c r="A478" s="79"/>
      <c r="B478" s="79"/>
      <c r="C478" s="79"/>
      <c r="D478" s="79"/>
      <c r="E478" s="79"/>
      <c r="F478" s="79"/>
      <c r="G478" s="79"/>
      <c r="H478" s="79"/>
      <c r="I478" s="79"/>
      <c r="J478" s="87"/>
      <c r="K478" s="87"/>
      <c r="L478" s="87"/>
      <c r="M478" s="87"/>
      <c r="N478" s="79"/>
      <c r="O478" s="79"/>
      <c r="P478" s="79"/>
      <c r="Q478" s="79"/>
      <c r="R478" s="79"/>
      <c r="S478" s="79"/>
      <c r="T478" s="79"/>
      <c r="U478" s="79"/>
      <c r="V478" s="79"/>
      <c r="W478" s="79"/>
      <c r="X478" s="79"/>
      <c r="Y478" s="79"/>
      <c r="Z478" s="79"/>
      <c r="AA478" s="79"/>
      <c r="AB478" s="79"/>
    </row>
    <row r="479" spans="1:28" ht="15.8" customHeight="1" x14ac:dyDescent="0.15">
      <c r="A479" s="79"/>
      <c r="B479" s="79"/>
      <c r="C479" s="79"/>
      <c r="D479" s="79"/>
      <c r="E479" s="79"/>
      <c r="F479" s="79"/>
      <c r="G479" s="79"/>
      <c r="H479" s="79"/>
      <c r="I479" s="79"/>
      <c r="J479" s="87"/>
      <c r="K479" s="87"/>
      <c r="L479" s="87"/>
      <c r="M479" s="87"/>
      <c r="N479" s="79"/>
      <c r="O479" s="79"/>
      <c r="P479" s="79"/>
      <c r="Q479" s="79"/>
      <c r="R479" s="79"/>
      <c r="S479" s="79"/>
      <c r="T479" s="79"/>
      <c r="U479" s="79"/>
      <c r="V479" s="79"/>
      <c r="W479" s="79"/>
      <c r="X479" s="79"/>
      <c r="Y479" s="79"/>
      <c r="Z479" s="79"/>
      <c r="AA479" s="79"/>
      <c r="AB479" s="79"/>
    </row>
    <row r="480" spans="1:28" ht="15.8" customHeight="1" x14ac:dyDescent="0.15">
      <c r="A480" s="79"/>
      <c r="B480" s="79"/>
      <c r="C480" s="79"/>
      <c r="D480" s="79"/>
      <c r="E480" s="79"/>
      <c r="F480" s="79"/>
      <c r="G480" s="79"/>
      <c r="H480" s="79"/>
      <c r="I480" s="79"/>
      <c r="J480" s="87"/>
      <c r="K480" s="87"/>
      <c r="L480" s="87"/>
      <c r="M480" s="87"/>
      <c r="N480" s="79"/>
      <c r="O480" s="79"/>
      <c r="P480" s="79"/>
      <c r="Q480" s="79"/>
      <c r="R480" s="79"/>
      <c r="S480" s="79"/>
      <c r="T480" s="79"/>
      <c r="U480" s="79"/>
      <c r="V480" s="79"/>
      <c r="W480" s="79"/>
      <c r="X480" s="79"/>
      <c r="Y480" s="79"/>
      <c r="Z480" s="79"/>
      <c r="AA480" s="79"/>
      <c r="AB480" s="79"/>
    </row>
    <row r="481" spans="1:28" ht="15.8" customHeight="1" x14ac:dyDescent="0.15">
      <c r="A481" s="79"/>
      <c r="B481" s="79"/>
      <c r="C481" s="79"/>
      <c r="D481" s="79"/>
      <c r="E481" s="79"/>
      <c r="F481" s="79"/>
      <c r="G481" s="79"/>
      <c r="H481" s="79"/>
      <c r="I481" s="79"/>
      <c r="J481" s="87"/>
      <c r="K481" s="87"/>
      <c r="L481" s="87"/>
      <c r="M481" s="87"/>
      <c r="N481" s="79"/>
      <c r="O481" s="79"/>
      <c r="P481" s="79"/>
      <c r="Q481" s="79"/>
      <c r="R481" s="79"/>
      <c r="S481" s="79"/>
      <c r="T481" s="79"/>
      <c r="U481" s="79"/>
      <c r="V481" s="79"/>
      <c r="W481" s="79"/>
      <c r="X481" s="79"/>
      <c r="Y481" s="79"/>
      <c r="Z481" s="79"/>
      <c r="AA481" s="79"/>
      <c r="AB481" s="79"/>
    </row>
    <row r="482" spans="1:28" ht="15.8" customHeight="1" x14ac:dyDescent="0.15">
      <c r="A482" s="79"/>
      <c r="B482" s="79"/>
      <c r="C482" s="79"/>
      <c r="D482" s="79"/>
      <c r="E482" s="79"/>
      <c r="F482" s="79"/>
      <c r="G482" s="79"/>
      <c r="H482" s="79"/>
      <c r="I482" s="79"/>
      <c r="J482" s="87"/>
      <c r="K482" s="87"/>
      <c r="L482" s="87"/>
      <c r="M482" s="87"/>
      <c r="N482" s="79"/>
      <c r="O482" s="79"/>
      <c r="P482" s="79"/>
      <c r="Q482" s="79"/>
      <c r="R482" s="79"/>
      <c r="S482" s="79"/>
      <c r="T482" s="79"/>
      <c r="U482" s="79"/>
      <c r="V482" s="79"/>
      <c r="W482" s="79"/>
      <c r="X482" s="79"/>
      <c r="Y482" s="79"/>
      <c r="Z482" s="79"/>
      <c r="AA482" s="79"/>
      <c r="AB482" s="79"/>
    </row>
    <row r="483" spans="1:28" ht="15.8" customHeight="1" x14ac:dyDescent="0.15">
      <c r="A483" s="79"/>
      <c r="B483" s="79"/>
      <c r="C483" s="79"/>
      <c r="D483" s="79"/>
      <c r="E483" s="79"/>
      <c r="F483" s="79"/>
      <c r="G483" s="79"/>
      <c r="H483" s="79"/>
      <c r="I483" s="79"/>
      <c r="J483" s="87"/>
      <c r="K483" s="87"/>
      <c r="L483" s="87"/>
      <c r="M483" s="87"/>
      <c r="N483" s="79"/>
      <c r="O483" s="79"/>
      <c r="P483" s="79"/>
      <c r="Q483" s="79"/>
      <c r="R483" s="79"/>
      <c r="S483" s="79"/>
      <c r="T483" s="79"/>
      <c r="U483" s="79"/>
      <c r="V483" s="79"/>
      <c r="W483" s="79"/>
      <c r="X483" s="79"/>
      <c r="Y483" s="79"/>
      <c r="Z483" s="79"/>
      <c r="AA483" s="79"/>
      <c r="AB483" s="79"/>
    </row>
    <row r="484" spans="1:28" ht="15.8" customHeight="1" x14ac:dyDescent="0.15">
      <c r="A484" s="79"/>
      <c r="B484" s="79"/>
      <c r="C484" s="79"/>
      <c r="D484" s="79"/>
      <c r="E484" s="79"/>
      <c r="F484" s="79"/>
      <c r="G484" s="79"/>
      <c r="H484" s="79"/>
      <c r="I484" s="79"/>
      <c r="J484" s="87"/>
      <c r="K484" s="87"/>
      <c r="L484" s="87"/>
      <c r="M484" s="87"/>
      <c r="N484" s="79"/>
      <c r="O484" s="79"/>
      <c r="P484" s="79"/>
      <c r="Q484" s="79"/>
      <c r="R484" s="79"/>
      <c r="S484" s="79"/>
      <c r="T484" s="79"/>
      <c r="U484" s="79"/>
      <c r="V484" s="79"/>
      <c r="W484" s="79"/>
      <c r="X484" s="79"/>
      <c r="Y484" s="79"/>
      <c r="Z484" s="79"/>
      <c r="AA484" s="79"/>
      <c r="AB484" s="79"/>
    </row>
    <row r="485" spans="1:28" ht="15.8" customHeight="1" x14ac:dyDescent="0.15">
      <c r="A485" s="79"/>
      <c r="B485" s="79"/>
      <c r="C485" s="79"/>
      <c r="D485" s="79"/>
      <c r="E485" s="79"/>
      <c r="F485" s="79"/>
      <c r="G485" s="79"/>
      <c r="H485" s="79"/>
      <c r="I485" s="79"/>
      <c r="J485" s="87"/>
      <c r="K485" s="87"/>
      <c r="L485" s="87"/>
      <c r="M485" s="87"/>
      <c r="N485" s="79"/>
      <c r="O485" s="79"/>
      <c r="P485" s="79"/>
      <c r="Q485" s="79"/>
      <c r="R485" s="79"/>
      <c r="S485" s="79"/>
      <c r="T485" s="79"/>
      <c r="U485" s="79"/>
      <c r="V485" s="79"/>
      <c r="W485" s="79"/>
      <c r="X485" s="79"/>
      <c r="Y485" s="79"/>
      <c r="Z485" s="79"/>
      <c r="AA485" s="79"/>
      <c r="AB485" s="79"/>
    </row>
    <row r="486" spans="1:28" ht="15.8" customHeight="1" x14ac:dyDescent="0.15">
      <c r="A486" s="79"/>
      <c r="B486" s="79"/>
      <c r="C486" s="79"/>
      <c r="D486" s="79"/>
      <c r="E486" s="79"/>
      <c r="F486" s="79"/>
      <c r="G486" s="79"/>
      <c r="H486" s="79"/>
      <c r="I486" s="79"/>
      <c r="J486" s="87"/>
      <c r="K486" s="87"/>
      <c r="L486" s="87"/>
      <c r="M486" s="87"/>
      <c r="N486" s="79"/>
      <c r="O486" s="79"/>
      <c r="P486" s="79"/>
      <c r="Q486" s="79"/>
      <c r="R486" s="79"/>
      <c r="S486" s="79"/>
      <c r="T486" s="79"/>
      <c r="U486" s="79"/>
      <c r="V486" s="79"/>
      <c r="W486" s="79"/>
      <c r="X486" s="79"/>
      <c r="Y486" s="79"/>
      <c r="Z486" s="79"/>
      <c r="AA486" s="79"/>
      <c r="AB486" s="79"/>
    </row>
    <row r="487" spans="1:28" ht="15.8" customHeight="1" x14ac:dyDescent="0.15">
      <c r="A487" s="79"/>
      <c r="B487" s="79"/>
      <c r="C487" s="79"/>
      <c r="D487" s="79"/>
      <c r="E487" s="79"/>
      <c r="F487" s="79"/>
      <c r="G487" s="79"/>
      <c r="H487" s="79"/>
      <c r="I487" s="79"/>
      <c r="J487" s="87"/>
      <c r="K487" s="87"/>
      <c r="L487" s="87"/>
      <c r="M487" s="87"/>
      <c r="N487" s="79"/>
      <c r="O487" s="79"/>
      <c r="P487" s="79"/>
      <c r="Q487" s="79"/>
      <c r="R487" s="79"/>
      <c r="S487" s="79"/>
      <c r="T487" s="79"/>
      <c r="U487" s="79"/>
      <c r="V487" s="79"/>
      <c r="W487" s="79"/>
      <c r="X487" s="79"/>
      <c r="Y487" s="79"/>
      <c r="Z487" s="79"/>
      <c r="AA487" s="79"/>
      <c r="AB487" s="79"/>
    </row>
    <row r="488" spans="1:28" ht="15.8" customHeight="1" x14ac:dyDescent="0.15">
      <c r="A488" s="79"/>
      <c r="B488" s="79"/>
      <c r="C488" s="79"/>
      <c r="D488" s="79"/>
      <c r="E488" s="79"/>
      <c r="F488" s="79"/>
      <c r="G488" s="79"/>
      <c r="H488" s="79"/>
      <c r="I488" s="79"/>
      <c r="J488" s="87"/>
      <c r="K488" s="87"/>
      <c r="L488" s="87"/>
      <c r="M488" s="87"/>
      <c r="N488" s="79"/>
      <c r="O488" s="79"/>
      <c r="P488" s="79"/>
      <c r="Q488" s="79"/>
      <c r="R488" s="79"/>
      <c r="S488" s="79"/>
      <c r="T488" s="79"/>
      <c r="U488" s="79"/>
      <c r="V488" s="79"/>
      <c r="W488" s="79"/>
      <c r="X488" s="79"/>
      <c r="Y488" s="79"/>
      <c r="Z488" s="79"/>
      <c r="AA488" s="79"/>
      <c r="AB488" s="79"/>
    </row>
    <row r="489" spans="1:28" ht="15.8" customHeight="1" x14ac:dyDescent="0.15">
      <c r="A489" s="79"/>
      <c r="B489" s="79"/>
      <c r="C489" s="79"/>
      <c r="D489" s="79"/>
      <c r="E489" s="79"/>
      <c r="F489" s="79"/>
      <c r="G489" s="79"/>
      <c r="H489" s="79"/>
      <c r="I489" s="79"/>
      <c r="J489" s="87"/>
      <c r="K489" s="87"/>
      <c r="L489" s="87"/>
      <c r="M489" s="87"/>
      <c r="N489" s="79"/>
      <c r="O489" s="79"/>
      <c r="P489" s="79"/>
      <c r="Q489" s="79"/>
      <c r="R489" s="79"/>
      <c r="S489" s="79"/>
      <c r="T489" s="79"/>
      <c r="U489" s="79"/>
      <c r="V489" s="79"/>
      <c r="W489" s="79"/>
      <c r="X489" s="79"/>
      <c r="Y489" s="79"/>
      <c r="Z489" s="79"/>
      <c r="AA489" s="79"/>
      <c r="AB489" s="79"/>
    </row>
    <row r="490" spans="1:28" ht="15.8" customHeight="1" x14ac:dyDescent="0.15">
      <c r="A490" s="79"/>
      <c r="B490" s="79"/>
      <c r="C490" s="79"/>
      <c r="D490" s="79"/>
      <c r="E490" s="79"/>
      <c r="F490" s="79"/>
      <c r="G490" s="79"/>
      <c r="H490" s="79"/>
      <c r="I490" s="79"/>
      <c r="J490" s="87"/>
      <c r="K490" s="87"/>
      <c r="L490" s="87"/>
      <c r="M490" s="87"/>
      <c r="N490" s="79"/>
      <c r="O490" s="79"/>
      <c r="P490" s="79"/>
      <c r="Q490" s="79"/>
      <c r="R490" s="79"/>
      <c r="S490" s="79"/>
      <c r="T490" s="79"/>
      <c r="U490" s="79"/>
      <c r="V490" s="79"/>
      <c r="W490" s="79"/>
      <c r="X490" s="79"/>
      <c r="Y490" s="79"/>
      <c r="Z490" s="79"/>
      <c r="AA490" s="79"/>
      <c r="AB490" s="79"/>
    </row>
    <row r="491" spans="1:28" ht="15.8" customHeight="1" x14ac:dyDescent="0.15">
      <c r="A491" s="79"/>
      <c r="B491" s="79"/>
      <c r="C491" s="79"/>
      <c r="D491" s="79"/>
      <c r="E491" s="79"/>
      <c r="F491" s="79"/>
      <c r="G491" s="79"/>
      <c r="H491" s="79"/>
      <c r="I491" s="79"/>
      <c r="J491" s="87"/>
      <c r="K491" s="87"/>
      <c r="L491" s="87"/>
      <c r="M491" s="87"/>
      <c r="N491" s="79"/>
      <c r="O491" s="79"/>
      <c r="P491" s="79"/>
      <c r="Q491" s="79"/>
      <c r="R491" s="79"/>
      <c r="S491" s="79"/>
      <c r="T491" s="79"/>
      <c r="U491" s="79"/>
      <c r="V491" s="79"/>
      <c r="W491" s="79"/>
      <c r="X491" s="79"/>
      <c r="Y491" s="79"/>
      <c r="Z491" s="79"/>
      <c r="AA491" s="79"/>
      <c r="AB491" s="79"/>
    </row>
    <row r="492" spans="1:28" ht="15.8" customHeight="1" x14ac:dyDescent="0.15">
      <c r="A492" s="79"/>
      <c r="B492" s="79"/>
      <c r="C492" s="79"/>
      <c r="D492" s="79"/>
      <c r="E492" s="79"/>
      <c r="F492" s="79"/>
      <c r="G492" s="79"/>
      <c r="H492" s="79"/>
      <c r="I492" s="79"/>
      <c r="J492" s="87"/>
      <c r="K492" s="87"/>
      <c r="L492" s="87"/>
      <c r="M492" s="87"/>
      <c r="N492" s="79"/>
      <c r="O492" s="79"/>
      <c r="P492" s="79"/>
      <c r="Q492" s="79"/>
      <c r="R492" s="79"/>
      <c r="S492" s="79"/>
      <c r="T492" s="79"/>
      <c r="U492" s="79"/>
      <c r="V492" s="79"/>
      <c r="W492" s="79"/>
      <c r="X492" s="79"/>
      <c r="Y492" s="79"/>
      <c r="Z492" s="79"/>
      <c r="AA492" s="79"/>
      <c r="AB492" s="79"/>
    </row>
    <row r="493" spans="1:28" ht="15.8" customHeight="1" x14ac:dyDescent="0.15">
      <c r="A493" s="79"/>
      <c r="B493" s="79"/>
      <c r="C493" s="79"/>
      <c r="D493" s="79"/>
      <c r="E493" s="79"/>
      <c r="F493" s="79"/>
      <c r="G493" s="79"/>
      <c r="H493" s="79"/>
      <c r="I493" s="79"/>
      <c r="J493" s="87"/>
      <c r="K493" s="87"/>
      <c r="L493" s="87"/>
      <c r="M493" s="87"/>
      <c r="N493" s="79"/>
      <c r="O493" s="79"/>
      <c r="P493" s="79"/>
      <c r="Q493" s="79"/>
      <c r="R493" s="79"/>
      <c r="S493" s="79"/>
      <c r="T493" s="79"/>
      <c r="U493" s="79"/>
      <c r="V493" s="79"/>
      <c r="W493" s="79"/>
      <c r="X493" s="79"/>
      <c r="Y493" s="79"/>
      <c r="Z493" s="79"/>
      <c r="AA493" s="79"/>
      <c r="AB493" s="79"/>
    </row>
    <row r="494" spans="1:28" ht="15.8" customHeight="1" x14ac:dyDescent="0.15">
      <c r="A494" s="79"/>
      <c r="B494" s="79"/>
      <c r="C494" s="79"/>
      <c r="D494" s="79"/>
      <c r="E494" s="79"/>
      <c r="F494" s="79"/>
      <c r="G494" s="79"/>
      <c r="H494" s="79"/>
      <c r="I494" s="79"/>
      <c r="J494" s="87"/>
      <c r="K494" s="87"/>
      <c r="L494" s="87"/>
      <c r="M494" s="87"/>
      <c r="N494" s="79"/>
      <c r="O494" s="79"/>
      <c r="P494" s="79"/>
      <c r="Q494" s="79"/>
      <c r="R494" s="79"/>
      <c r="S494" s="79"/>
      <c r="T494" s="79"/>
      <c r="U494" s="79"/>
      <c r="V494" s="79"/>
      <c r="W494" s="79"/>
      <c r="X494" s="79"/>
      <c r="Y494" s="79"/>
      <c r="Z494" s="79"/>
      <c r="AA494" s="79"/>
      <c r="AB494" s="79"/>
    </row>
    <row r="495" spans="1:28" ht="15.8" customHeight="1" x14ac:dyDescent="0.15">
      <c r="A495" s="79"/>
      <c r="B495" s="79"/>
      <c r="C495" s="79"/>
      <c r="D495" s="79"/>
      <c r="E495" s="79"/>
      <c r="F495" s="79"/>
      <c r="G495" s="79"/>
      <c r="H495" s="79"/>
      <c r="I495" s="79"/>
      <c r="J495" s="87"/>
      <c r="K495" s="87"/>
      <c r="L495" s="87"/>
      <c r="M495" s="87"/>
      <c r="N495" s="79"/>
      <c r="O495" s="79"/>
      <c r="P495" s="79"/>
      <c r="Q495" s="79"/>
      <c r="R495" s="79"/>
      <c r="S495" s="79"/>
      <c r="T495" s="79"/>
      <c r="U495" s="79"/>
      <c r="V495" s="79"/>
      <c r="W495" s="79"/>
      <c r="X495" s="79"/>
      <c r="Y495" s="79"/>
      <c r="Z495" s="79"/>
      <c r="AA495" s="79"/>
      <c r="AB495" s="79"/>
    </row>
    <row r="496" spans="1:28" ht="15.8" customHeight="1" x14ac:dyDescent="0.15">
      <c r="A496" s="79"/>
      <c r="B496" s="79"/>
      <c r="C496" s="79"/>
      <c r="D496" s="79"/>
      <c r="E496" s="79"/>
      <c r="F496" s="79"/>
      <c r="G496" s="79"/>
      <c r="H496" s="79"/>
      <c r="I496" s="79"/>
      <c r="J496" s="87"/>
      <c r="K496" s="87"/>
      <c r="L496" s="87"/>
      <c r="M496" s="87"/>
      <c r="N496" s="79"/>
      <c r="O496" s="79"/>
      <c r="P496" s="79"/>
      <c r="Q496" s="79"/>
      <c r="R496" s="79"/>
      <c r="S496" s="79"/>
      <c r="T496" s="79"/>
      <c r="U496" s="79"/>
      <c r="V496" s="79"/>
      <c r="W496" s="79"/>
      <c r="X496" s="79"/>
      <c r="Y496" s="79"/>
      <c r="Z496" s="79"/>
      <c r="AA496" s="79"/>
      <c r="AB496" s="79"/>
    </row>
    <row r="497" spans="1:28" ht="15.8" customHeight="1" x14ac:dyDescent="0.15">
      <c r="A497" s="79"/>
      <c r="B497" s="79"/>
      <c r="C497" s="79"/>
      <c r="D497" s="79"/>
      <c r="E497" s="79"/>
      <c r="F497" s="79"/>
      <c r="G497" s="79"/>
      <c r="H497" s="79"/>
      <c r="I497" s="79"/>
      <c r="J497" s="87"/>
      <c r="K497" s="87"/>
      <c r="L497" s="87"/>
      <c r="M497" s="87"/>
      <c r="N497" s="79"/>
      <c r="O497" s="79"/>
      <c r="P497" s="79"/>
      <c r="Q497" s="79"/>
      <c r="R497" s="79"/>
      <c r="S497" s="79"/>
      <c r="T497" s="79"/>
      <c r="U497" s="79"/>
      <c r="V497" s="79"/>
      <c r="W497" s="79"/>
      <c r="X497" s="79"/>
      <c r="Y497" s="79"/>
      <c r="Z497" s="79"/>
      <c r="AA497" s="79"/>
      <c r="AB497" s="79"/>
    </row>
    <row r="498" spans="1:28" ht="15.8" customHeight="1" x14ac:dyDescent="0.15">
      <c r="A498" s="79"/>
      <c r="B498" s="79"/>
      <c r="C498" s="79"/>
      <c r="D498" s="79"/>
      <c r="E498" s="79"/>
      <c r="F498" s="79"/>
      <c r="G498" s="79"/>
      <c r="H498" s="79"/>
      <c r="I498" s="79"/>
      <c r="J498" s="87"/>
      <c r="K498" s="87"/>
      <c r="L498" s="87"/>
      <c r="M498" s="87"/>
      <c r="N498" s="79"/>
      <c r="O498" s="79"/>
      <c r="P498" s="79"/>
      <c r="Q498" s="79"/>
      <c r="R498" s="79"/>
      <c r="S498" s="79"/>
      <c r="T498" s="79"/>
      <c r="U498" s="79"/>
      <c r="V498" s="79"/>
      <c r="W498" s="79"/>
      <c r="X498" s="79"/>
      <c r="Y498" s="79"/>
      <c r="Z498" s="79"/>
      <c r="AA498" s="79"/>
      <c r="AB498" s="79"/>
    </row>
    <row r="499" spans="1:28" ht="15.8" customHeight="1" x14ac:dyDescent="0.15">
      <c r="A499" s="79"/>
      <c r="B499" s="79"/>
      <c r="C499" s="79"/>
      <c r="D499" s="79"/>
      <c r="E499" s="79"/>
      <c r="F499" s="79"/>
      <c r="G499" s="79"/>
      <c r="H499" s="79"/>
      <c r="I499" s="79"/>
      <c r="J499" s="87"/>
      <c r="K499" s="87"/>
      <c r="L499" s="87"/>
      <c r="M499" s="87"/>
      <c r="N499" s="79"/>
      <c r="O499" s="79"/>
      <c r="P499" s="79"/>
      <c r="Q499" s="79"/>
      <c r="R499" s="79"/>
      <c r="S499" s="79"/>
      <c r="T499" s="79"/>
      <c r="U499" s="79"/>
      <c r="V499" s="79"/>
      <c r="W499" s="79"/>
      <c r="X499" s="79"/>
      <c r="Y499" s="79"/>
      <c r="Z499" s="79"/>
      <c r="AA499" s="79"/>
      <c r="AB499" s="79"/>
    </row>
    <row r="500" spans="1:28" ht="15.8" customHeight="1" x14ac:dyDescent="0.15">
      <c r="A500" s="79"/>
      <c r="B500" s="79"/>
      <c r="C500" s="79"/>
      <c r="D500" s="79"/>
      <c r="E500" s="79"/>
      <c r="F500" s="79"/>
      <c r="G500" s="79"/>
      <c r="H500" s="79"/>
      <c r="I500" s="79"/>
      <c r="J500" s="87"/>
      <c r="K500" s="87"/>
      <c r="L500" s="87"/>
      <c r="M500" s="87"/>
      <c r="N500" s="79"/>
      <c r="O500" s="79"/>
      <c r="P500" s="79"/>
      <c r="Q500" s="79"/>
      <c r="R500" s="79"/>
      <c r="S500" s="79"/>
      <c r="T500" s="79"/>
      <c r="U500" s="79"/>
      <c r="V500" s="79"/>
      <c r="W500" s="79"/>
      <c r="X500" s="79"/>
      <c r="Y500" s="79"/>
      <c r="Z500" s="79"/>
      <c r="AA500" s="79"/>
      <c r="AB500" s="79"/>
    </row>
    <row r="501" spans="1:28" ht="15.8" customHeight="1" x14ac:dyDescent="0.15">
      <c r="A501" s="79"/>
      <c r="B501" s="79"/>
      <c r="C501" s="79"/>
      <c r="D501" s="79"/>
      <c r="E501" s="79"/>
      <c r="F501" s="79"/>
      <c r="G501" s="79"/>
      <c r="H501" s="79"/>
      <c r="I501" s="79"/>
      <c r="J501" s="87"/>
      <c r="K501" s="87"/>
      <c r="L501" s="87"/>
      <c r="M501" s="87"/>
      <c r="N501" s="79"/>
      <c r="O501" s="79"/>
      <c r="P501" s="79"/>
      <c r="Q501" s="79"/>
      <c r="R501" s="79"/>
      <c r="S501" s="79"/>
      <c r="T501" s="79"/>
      <c r="U501" s="79"/>
      <c r="V501" s="79"/>
      <c r="W501" s="79"/>
      <c r="X501" s="79"/>
      <c r="Y501" s="79"/>
      <c r="Z501" s="79"/>
      <c r="AA501" s="79"/>
      <c r="AB501" s="79"/>
    </row>
    <row r="502" spans="1:28" ht="15.8" customHeight="1" x14ac:dyDescent="0.15">
      <c r="A502" s="79"/>
      <c r="B502" s="79"/>
      <c r="C502" s="79"/>
      <c r="D502" s="79"/>
      <c r="E502" s="79"/>
      <c r="F502" s="79"/>
      <c r="G502" s="79"/>
      <c r="H502" s="79"/>
      <c r="I502" s="79"/>
      <c r="J502" s="87"/>
      <c r="K502" s="87"/>
      <c r="L502" s="87"/>
      <c r="M502" s="87"/>
      <c r="N502" s="79"/>
      <c r="O502" s="79"/>
      <c r="P502" s="79"/>
      <c r="Q502" s="79"/>
      <c r="R502" s="79"/>
      <c r="S502" s="79"/>
      <c r="T502" s="79"/>
      <c r="U502" s="79"/>
      <c r="V502" s="79"/>
      <c r="W502" s="79"/>
      <c r="X502" s="79"/>
      <c r="Y502" s="79"/>
      <c r="Z502" s="79"/>
      <c r="AA502" s="79"/>
      <c r="AB502" s="79"/>
    </row>
    <row r="503" spans="1:28" ht="15.8" customHeight="1" x14ac:dyDescent="0.15">
      <c r="A503" s="79"/>
      <c r="B503" s="79"/>
      <c r="C503" s="79"/>
      <c r="D503" s="79"/>
      <c r="E503" s="79"/>
      <c r="F503" s="79"/>
      <c r="G503" s="79"/>
      <c r="H503" s="79"/>
      <c r="I503" s="79"/>
      <c r="J503" s="87"/>
      <c r="K503" s="87"/>
      <c r="L503" s="87"/>
      <c r="M503" s="87"/>
      <c r="N503" s="79"/>
      <c r="O503" s="79"/>
      <c r="P503" s="79"/>
      <c r="Q503" s="79"/>
      <c r="R503" s="79"/>
      <c r="S503" s="79"/>
      <c r="T503" s="79"/>
      <c r="U503" s="79"/>
      <c r="V503" s="79"/>
      <c r="W503" s="79"/>
      <c r="X503" s="79"/>
      <c r="Y503" s="79"/>
      <c r="Z503" s="79"/>
      <c r="AA503" s="79"/>
      <c r="AB503" s="79"/>
    </row>
    <row r="504" spans="1:28" ht="15.8" customHeight="1" x14ac:dyDescent="0.15">
      <c r="A504" s="79"/>
      <c r="B504" s="79"/>
      <c r="C504" s="79"/>
      <c r="D504" s="79"/>
      <c r="E504" s="79"/>
      <c r="F504" s="79"/>
      <c r="G504" s="79"/>
      <c r="H504" s="79"/>
      <c r="I504" s="79"/>
      <c r="J504" s="87"/>
      <c r="K504" s="87"/>
      <c r="L504" s="87"/>
      <c r="M504" s="87"/>
      <c r="N504" s="79"/>
      <c r="O504" s="79"/>
      <c r="P504" s="79"/>
      <c r="Q504" s="79"/>
      <c r="R504" s="79"/>
      <c r="S504" s="79"/>
      <c r="T504" s="79"/>
      <c r="U504" s="79"/>
      <c r="V504" s="79"/>
      <c r="W504" s="79"/>
      <c r="X504" s="79"/>
      <c r="Y504" s="79"/>
      <c r="Z504" s="79"/>
      <c r="AA504" s="79"/>
      <c r="AB504" s="79"/>
    </row>
    <row r="505" spans="1:28" ht="15.8" customHeight="1" x14ac:dyDescent="0.15">
      <c r="A505" s="79"/>
      <c r="B505" s="79"/>
      <c r="C505" s="79"/>
      <c r="D505" s="79"/>
      <c r="E505" s="79"/>
      <c r="F505" s="79"/>
      <c r="G505" s="79"/>
      <c r="H505" s="79"/>
      <c r="I505" s="79"/>
      <c r="J505" s="87"/>
      <c r="K505" s="87"/>
      <c r="L505" s="87"/>
      <c r="M505" s="87"/>
      <c r="N505" s="79"/>
      <c r="O505" s="79"/>
      <c r="P505" s="79"/>
      <c r="Q505" s="79"/>
      <c r="R505" s="79"/>
      <c r="S505" s="79"/>
      <c r="T505" s="79"/>
      <c r="U505" s="79"/>
      <c r="V505" s="79"/>
      <c r="W505" s="79"/>
      <c r="X505" s="79"/>
      <c r="Y505" s="79"/>
      <c r="Z505" s="79"/>
      <c r="AA505" s="79"/>
      <c r="AB505" s="79"/>
    </row>
    <row r="506" spans="1:28" ht="15.8" customHeight="1" x14ac:dyDescent="0.15">
      <c r="A506" s="79"/>
      <c r="B506" s="79"/>
      <c r="C506" s="79"/>
      <c r="D506" s="79"/>
      <c r="E506" s="79"/>
      <c r="F506" s="79"/>
      <c r="G506" s="79"/>
      <c r="H506" s="79"/>
      <c r="I506" s="79"/>
      <c r="J506" s="87"/>
      <c r="K506" s="87"/>
      <c r="L506" s="87"/>
      <c r="M506" s="87"/>
      <c r="N506" s="79"/>
      <c r="O506" s="79"/>
      <c r="P506" s="79"/>
      <c r="Q506" s="79"/>
      <c r="R506" s="79"/>
      <c r="S506" s="79"/>
      <c r="T506" s="79"/>
      <c r="U506" s="79"/>
      <c r="V506" s="79"/>
      <c r="W506" s="79"/>
      <c r="X506" s="79"/>
      <c r="Y506" s="79"/>
      <c r="Z506" s="79"/>
      <c r="AA506" s="79"/>
      <c r="AB506" s="79"/>
    </row>
    <row r="507" spans="1:28" ht="15.8" customHeight="1" x14ac:dyDescent="0.15">
      <c r="A507" s="79"/>
      <c r="B507" s="79"/>
      <c r="C507" s="79"/>
      <c r="D507" s="79"/>
      <c r="E507" s="79"/>
      <c r="F507" s="79"/>
      <c r="G507" s="79"/>
      <c r="H507" s="79"/>
      <c r="I507" s="79"/>
      <c r="J507" s="87"/>
      <c r="K507" s="87"/>
      <c r="L507" s="87"/>
      <c r="M507" s="87"/>
      <c r="N507" s="79"/>
      <c r="O507" s="79"/>
      <c r="P507" s="79"/>
      <c r="Q507" s="79"/>
      <c r="R507" s="79"/>
      <c r="S507" s="79"/>
      <c r="T507" s="79"/>
      <c r="U507" s="79"/>
      <c r="V507" s="79"/>
      <c r="W507" s="79"/>
      <c r="X507" s="79"/>
      <c r="Y507" s="79"/>
      <c r="Z507" s="79"/>
      <c r="AA507" s="79"/>
      <c r="AB507" s="79"/>
    </row>
    <row r="508" spans="1:28" ht="15.8" customHeight="1" x14ac:dyDescent="0.15">
      <c r="A508" s="79"/>
      <c r="B508" s="79"/>
      <c r="C508" s="79"/>
      <c r="D508" s="79"/>
      <c r="E508" s="79"/>
      <c r="F508" s="79"/>
      <c r="G508" s="79"/>
      <c r="H508" s="79"/>
      <c r="I508" s="79"/>
      <c r="J508" s="87"/>
      <c r="K508" s="87"/>
      <c r="L508" s="87"/>
      <c r="M508" s="87"/>
      <c r="N508" s="79"/>
      <c r="O508" s="79"/>
      <c r="P508" s="79"/>
      <c r="Q508" s="79"/>
      <c r="R508" s="79"/>
      <c r="S508" s="79"/>
      <c r="T508" s="79"/>
      <c r="U508" s="79"/>
      <c r="V508" s="79"/>
      <c r="W508" s="79"/>
      <c r="X508" s="79"/>
      <c r="Y508" s="79"/>
      <c r="Z508" s="79"/>
      <c r="AA508" s="79"/>
      <c r="AB508" s="79"/>
    </row>
    <row r="509" spans="1:28" ht="15.8" customHeight="1" x14ac:dyDescent="0.15">
      <c r="A509" s="79"/>
      <c r="B509" s="79"/>
      <c r="C509" s="79"/>
      <c r="D509" s="79"/>
      <c r="E509" s="79"/>
      <c r="F509" s="79"/>
      <c r="G509" s="79"/>
      <c r="H509" s="79"/>
      <c r="I509" s="79"/>
      <c r="J509" s="87"/>
      <c r="K509" s="87"/>
      <c r="L509" s="87"/>
      <c r="M509" s="87"/>
      <c r="N509" s="79"/>
      <c r="O509" s="79"/>
      <c r="P509" s="79"/>
      <c r="Q509" s="79"/>
      <c r="R509" s="79"/>
      <c r="S509" s="79"/>
      <c r="T509" s="79"/>
      <c r="U509" s="79"/>
      <c r="V509" s="79"/>
      <c r="W509" s="79"/>
      <c r="X509" s="79"/>
      <c r="Y509" s="79"/>
      <c r="Z509" s="79"/>
      <c r="AA509" s="79"/>
      <c r="AB509" s="79"/>
    </row>
    <row r="510" spans="1:28" ht="15.8" customHeight="1" x14ac:dyDescent="0.15">
      <c r="A510" s="79"/>
      <c r="B510" s="79"/>
      <c r="C510" s="79"/>
      <c r="D510" s="79"/>
      <c r="E510" s="79"/>
      <c r="F510" s="79"/>
      <c r="G510" s="79"/>
      <c r="H510" s="79"/>
      <c r="I510" s="79"/>
      <c r="J510" s="87"/>
      <c r="K510" s="87"/>
      <c r="L510" s="87"/>
      <c r="M510" s="87"/>
      <c r="N510" s="79"/>
      <c r="O510" s="79"/>
      <c r="P510" s="79"/>
      <c r="Q510" s="79"/>
      <c r="R510" s="79"/>
      <c r="S510" s="79"/>
      <c r="T510" s="79"/>
      <c r="U510" s="79"/>
      <c r="V510" s="79"/>
      <c r="W510" s="79"/>
      <c r="X510" s="79"/>
      <c r="Y510" s="79"/>
      <c r="Z510" s="79"/>
      <c r="AA510" s="79"/>
      <c r="AB510" s="79"/>
    </row>
    <row r="511" spans="1:28" ht="15.8" customHeight="1" x14ac:dyDescent="0.15">
      <c r="A511" s="79"/>
      <c r="B511" s="79"/>
      <c r="C511" s="79"/>
      <c r="D511" s="79"/>
      <c r="E511" s="79"/>
      <c r="F511" s="79"/>
      <c r="G511" s="79"/>
      <c r="H511" s="79"/>
      <c r="I511" s="79"/>
      <c r="J511" s="87"/>
      <c r="K511" s="87"/>
      <c r="L511" s="87"/>
      <c r="M511" s="87"/>
      <c r="N511" s="79"/>
      <c r="O511" s="79"/>
      <c r="P511" s="79"/>
      <c r="Q511" s="79"/>
      <c r="R511" s="79"/>
      <c r="S511" s="79"/>
      <c r="T511" s="79"/>
      <c r="U511" s="79"/>
      <c r="V511" s="79"/>
      <c r="W511" s="79"/>
      <c r="X511" s="79"/>
      <c r="Y511" s="79"/>
      <c r="Z511" s="79"/>
      <c r="AA511" s="79"/>
      <c r="AB511" s="79"/>
    </row>
    <row r="512" spans="1:28" ht="15.8" customHeight="1" x14ac:dyDescent="0.15">
      <c r="A512" s="79"/>
      <c r="B512" s="79"/>
      <c r="C512" s="79"/>
      <c r="D512" s="79"/>
      <c r="E512" s="79"/>
      <c r="F512" s="79"/>
      <c r="G512" s="79"/>
      <c r="H512" s="79"/>
      <c r="I512" s="79"/>
      <c r="J512" s="87"/>
      <c r="K512" s="87"/>
      <c r="L512" s="87"/>
      <c r="M512" s="87"/>
      <c r="N512" s="79"/>
      <c r="O512" s="79"/>
      <c r="P512" s="79"/>
      <c r="Q512" s="79"/>
      <c r="R512" s="79"/>
      <c r="S512" s="79"/>
      <c r="T512" s="79"/>
      <c r="U512" s="79"/>
      <c r="V512" s="79"/>
      <c r="W512" s="79"/>
      <c r="X512" s="79"/>
      <c r="Y512" s="79"/>
      <c r="Z512" s="79"/>
      <c r="AA512" s="79"/>
      <c r="AB512" s="79"/>
    </row>
    <row r="513" spans="1:28" ht="15.8" customHeight="1" x14ac:dyDescent="0.15">
      <c r="A513" s="79"/>
      <c r="B513" s="79"/>
      <c r="C513" s="79"/>
      <c r="D513" s="79"/>
      <c r="E513" s="79"/>
      <c r="F513" s="79"/>
      <c r="G513" s="79"/>
      <c r="H513" s="79"/>
      <c r="I513" s="79"/>
      <c r="J513" s="87"/>
      <c r="K513" s="87"/>
      <c r="L513" s="87"/>
      <c r="M513" s="87"/>
      <c r="N513" s="79"/>
      <c r="O513" s="79"/>
      <c r="P513" s="79"/>
      <c r="Q513" s="79"/>
      <c r="R513" s="79"/>
      <c r="S513" s="79"/>
      <c r="T513" s="79"/>
      <c r="U513" s="79"/>
      <c r="V513" s="79"/>
      <c r="W513" s="79"/>
      <c r="X513" s="79"/>
      <c r="Y513" s="79"/>
      <c r="Z513" s="79"/>
      <c r="AA513" s="79"/>
      <c r="AB513" s="79"/>
    </row>
    <row r="514" spans="1:28" ht="15.8" customHeight="1" x14ac:dyDescent="0.15">
      <c r="A514" s="79"/>
      <c r="B514" s="79"/>
      <c r="C514" s="79"/>
      <c r="D514" s="79"/>
      <c r="E514" s="79"/>
      <c r="F514" s="79"/>
      <c r="G514" s="79"/>
      <c r="H514" s="79"/>
      <c r="I514" s="79"/>
      <c r="J514" s="87"/>
      <c r="K514" s="87"/>
      <c r="L514" s="87"/>
      <c r="M514" s="87"/>
      <c r="N514" s="79"/>
      <c r="O514" s="79"/>
      <c r="P514" s="79"/>
      <c r="Q514" s="79"/>
      <c r="R514" s="79"/>
      <c r="S514" s="79"/>
      <c r="T514" s="79"/>
      <c r="U514" s="79"/>
      <c r="V514" s="79"/>
      <c r="W514" s="79"/>
      <c r="X514" s="79"/>
      <c r="Y514" s="79"/>
      <c r="Z514" s="79"/>
      <c r="AA514" s="79"/>
      <c r="AB514" s="79"/>
    </row>
    <row r="515" spans="1:28" ht="15.8" customHeight="1" x14ac:dyDescent="0.15">
      <c r="A515" s="79"/>
      <c r="B515" s="79"/>
      <c r="C515" s="79"/>
      <c r="D515" s="79"/>
      <c r="E515" s="79"/>
      <c r="F515" s="79"/>
      <c r="G515" s="79"/>
      <c r="H515" s="79"/>
      <c r="I515" s="79"/>
      <c r="J515" s="87"/>
      <c r="K515" s="87"/>
      <c r="L515" s="87"/>
      <c r="M515" s="87"/>
      <c r="N515" s="79"/>
      <c r="O515" s="79"/>
      <c r="P515" s="79"/>
      <c r="Q515" s="79"/>
      <c r="R515" s="79"/>
      <c r="S515" s="79"/>
      <c r="T515" s="79"/>
      <c r="U515" s="79"/>
      <c r="V515" s="79"/>
      <c r="W515" s="79"/>
      <c r="X515" s="79"/>
      <c r="Y515" s="79"/>
      <c r="Z515" s="79"/>
      <c r="AA515" s="79"/>
      <c r="AB515" s="79"/>
    </row>
    <row r="516" spans="1:28" ht="15.8" customHeight="1" x14ac:dyDescent="0.15">
      <c r="A516" s="79"/>
      <c r="B516" s="79"/>
      <c r="C516" s="79"/>
      <c r="D516" s="79"/>
      <c r="E516" s="79"/>
      <c r="F516" s="79"/>
      <c r="G516" s="79"/>
      <c r="H516" s="79"/>
      <c r="I516" s="79"/>
      <c r="J516" s="87"/>
      <c r="K516" s="87"/>
      <c r="L516" s="87"/>
      <c r="M516" s="87"/>
      <c r="N516" s="79"/>
      <c r="O516" s="79"/>
      <c r="P516" s="79"/>
      <c r="Q516" s="79"/>
      <c r="R516" s="79"/>
      <c r="S516" s="79"/>
      <c r="T516" s="79"/>
      <c r="U516" s="79"/>
      <c r="V516" s="79"/>
      <c r="W516" s="79"/>
      <c r="X516" s="79"/>
      <c r="Y516" s="79"/>
      <c r="Z516" s="79"/>
      <c r="AA516" s="79"/>
      <c r="AB516" s="79"/>
    </row>
    <row r="517" spans="1:28" ht="15.8" customHeight="1" x14ac:dyDescent="0.15">
      <c r="A517" s="79"/>
      <c r="B517" s="79"/>
      <c r="C517" s="79"/>
      <c r="D517" s="79"/>
      <c r="E517" s="79"/>
      <c r="F517" s="79"/>
      <c r="G517" s="79"/>
      <c r="H517" s="79"/>
      <c r="I517" s="79"/>
      <c r="J517" s="87"/>
      <c r="K517" s="87"/>
      <c r="L517" s="87"/>
      <c r="M517" s="87"/>
      <c r="N517" s="79"/>
      <c r="O517" s="79"/>
      <c r="P517" s="79"/>
      <c r="Q517" s="79"/>
      <c r="R517" s="79"/>
      <c r="S517" s="79"/>
      <c r="T517" s="79"/>
      <c r="U517" s="79"/>
      <c r="V517" s="79"/>
      <c r="W517" s="79"/>
      <c r="X517" s="79"/>
      <c r="Y517" s="79"/>
      <c r="Z517" s="79"/>
      <c r="AA517" s="79"/>
      <c r="AB517" s="79"/>
    </row>
    <row r="518" spans="1:28" ht="15.8" customHeight="1" x14ac:dyDescent="0.15">
      <c r="A518" s="79"/>
      <c r="B518" s="79"/>
      <c r="C518" s="79"/>
      <c r="D518" s="79"/>
      <c r="E518" s="79"/>
      <c r="F518" s="79"/>
      <c r="G518" s="79"/>
      <c r="H518" s="79"/>
      <c r="I518" s="79"/>
      <c r="J518" s="87"/>
      <c r="K518" s="87"/>
      <c r="L518" s="87"/>
      <c r="M518" s="87"/>
      <c r="N518" s="79"/>
      <c r="O518" s="79"/>
      <c r="P518" s="79"/>
      <c r="Q518" s="79"/>
      <c r="R518" s="79"/>
      <c r="S518" s="79"/>
      <c r="T518" s="79"/>
      <c r="U518" s="79"/>
      <c r="V518" s="79"/>
      <c r="W518" s="79"/>
      <c r="X518" s="79"/>
      <c r="Y518" s="79"/>
      <c r="Z518" s="79"/>
      <c r="AA518" s="79"/>
      <c r="AB518" s="79"/>
    </row>
    <row r="519" spans="1:28" ht="15.8" customHeight="1" x14ac:dyDescent="0.15">
      <c r="A519" s="79"/>
      <c r="B519" s="79"/>
      <c r="C519" s="79"/>
      <c r="D519" s="79"/>
      <c r="E519" s="79"/>
      <c r="F519" s="79"/>
      <c r="G519" s="79"/>
      <c r="H519" s="79"/>
      <c r="I519" s="79"/>
      <c r="J519" s="87"/>
      <c r="K519" s="87"/>
      <c r="L519" s="87"/>
      <c r="M519" s="87"/>
      <c r="N519" s="79"/>
      <c r="O519" s="79"/>
      <c r="P519" s="79"/>
      <c r="Q519" s="79"/>
      <c r="R519" s="79"/>
      <c r="S519" s="79"/>
      <c r="T519" s="79"/>
      <c r="U519" s="79"/>
      <c r="V519" s="79"/>
      <c r="W519" s="79"/>
      <c r="X519" s="79"/>
      <c r="Y519" s="79"/>
      <c r="Z519" s="79"/>
      <c r="AA519" s="79"/>
      <c r="AB519" s="79"/>
    </row>
    <row r="520" spans="1:28" ht="15.8" customHeight="1" x14ac:dyDescent="0.15">
      <c r="A520" s="79"/>
      <c r="B520" s="79"/>
      <c r="C520" s="79"/>
      <c r="D520" s="79"/>
      <c r="E520" s="79"/>
      <c r="F520" s="79"/>
      <c r="G520" s="79"/>
      <c r="H520" s="79"/>
      <c r="I520" s="79"/>
      <c r="J520" s="87"/>
      <c r="K520" s="87"/>
      <c r="L520" s="87"/>
      <c r="M520" s="87"/>
      <c r="N520" s="79"/>
      <c r="O520" s="79"/>
      <c r="P520" s="79"/>
      <c r="Q520" s="79"/>
      <c r="R520" s="79"/>
      <c r="S520" s="79"/>
      <c r="T520" s="79"/>
      <c r="U520" s="79"/>
      <c r="V520" s="79"/>
      <c r="W520" s="79"/>
      <c r="X520" s="79"/>
      <c r="Y520" s="79"/>
      <c r="Z520" s="79"/>
      <c r="AA520" s="79"/>
      <c r="AB520" s="79"/>
    </row>
    <row r="521" spans="1:28" ht="15.8" customHeight="1" x14ac:dyDescent="0.15">
      <c r="A521" s="79"/>
      <c r="B521" s="79"/>
      <c r="C521" s="79"/>
      <c r="D521" s="79"/>
      <c r="E521" s="79"/>
      <c r="F521" s="79"/>
      <c r="G521" s="79"/>
      <c r="H521" s="79"/>
      <c r="I521" s="79"/>
      <c r="J521" s="87"/>
      <c r="K521" s="87"/>
      <c r="L521" s="87"/>
      <c r="M521" s="87"/>
      <c r="N521" s="79"/>
      <c r="O521" s="79"/>
      <c r="P521" s="79"/>
      <c r="Q521" s="79"/>
      <c r="R521" s="79"/>
      <c r="S521" s="79"/>
      <c r="T521" s="79"/>
      <c r="U521" s="79"/>
      <c r="V521" s="79"/>
      <c r="W521" s="79"/>
      <c r="X521" s="79"/>
      <c r="Y521" s="79"/>
      <c r="Z521" s="79"/>
      <c r="AA521" s="79"/>
      <c r="AB521" s="79"/>
    </row>
    <row r="522" spans="1:28" ht="15.8" customHeight="1" x14ac:dyDescent="0.15">
      <c r="A522" s="79"/>
      <c r="B522" s="79"/>
      <c r="C522" s="79"/>
      <c r="D522" s="79"/>
      <c r="E522" s="79"/>
      <c r="F522" s="79"/>
      <c r="G522" s="79"/>
      <c r="H522" s="79"/>
      <c r="I522" s="79"/>
      <c r="J522" s="87"/>
      <c r="K522" s="87"/>
      <c r="L522" s="87"/>
      <c r="M522" s="87"/>
      <c r="N522" s="79"/>
      <c r="O522" s="79"/>
      <c r="P522" s="79"/>
      <c r="Q522" s="79"/>
      <c r="R522" s="79"/>
      <c r="S522" s="79"/>
      <c r="T522" s="79"/>
      <c r="U522" s="79"/>
      <c r="V522" s="79"/>
      <c r="W522" s="79"/>
      <c r="X522" s="79"/>
      <c r="Y522" s="79"/>
      <c r="Z522" s="79"/>
      <c r="AA522" s="79"/>
      <c r="AB522" s="79"/>
    </row>
    <row r="523" spans="1:28" ht="15.8" customHeight="1" x14ac:dyDescent="0.15">
      <c r="A523" s="79"/>
      <c r="B523" s="79"/>
      <c r="C523" s="79"/>
      <c r="D523" s="79"/>
      <c r="E523" s="79"/>
      <c r="F523" s="79"/>
      <c r="G523" s="79"/>
      <c r="H523" s="79"/>
      <c r="I523" s="79"/>
      <c r="J523" s="87"/>
      <c r="K523" s="87"/>
      <c r="L523" s="87"/>
      <c r="M523" s="87"/>
      <c r="N523" s="79"/>
      <c r="O523" s="79"/>
      <c r="P523" s="79"/>
      <c r="Q523" s="79"/>
      <c r="R523" s="79"/>
      <c r="S523" s="79"/>
      <c r="T523" s="79"/>
      <c r="U523" s="79"/>
      <c r="V523" s="79"/>
      <c r="W523" s="79"/>
      <c r="X523" s="79"/>
      <c r="Y523" s="79"/>
      <c r="Z523" s="79"/>
      <c r="AA523" s="79"/>
      <c r="AB523" s="79"/>
    </row>
    <row r="524" spans="1:28" ht="15.8" customHeight="1" x14ac:dyDescent="0.15">
      <c r="A524" s="79"/>
      <c r="B524" s="79"/>
      <c r="C524" s="79"/>
      <c r="D524" s="79"/>
      <c r="E524" s="79"/>
      <c r="F524" s="79"/>
      <c r="G524" s="79"/>
      <c r="H524" s="79"/>
      <c r="I524" s="79"/>
      <c r="J524" s="87"/>
      <c r="K524" s="87"/>
      <c r="L524" s="87"/>
      <c r="M524" s="87"/>
      <c r="N524" s="79"/>
      <c r="O524" s="79"/>
      <c r="P524" s="79"/>
      <c r="Q524" s="79"/>
      <c r="R524" s="79"/>
      <c r="S524" s="79"/>
      <c r="T524" s="79"/>
      <c r="U524" s="79"/>
      <c r="V524" s="79"/>
      <c r="W524" s="79"/>
      <c r="X524" s="79"/>
      <c r="Y524" s="79"/>
      <c r="Z524" s="79"/>
      <c r="AA524" s="79"/>
      <c r="AB524" s="79"/>
    </row>
    <row r="525" spans="1:28" ht="15.8" customHeight="1" x14ac:dyDescent="0.15">
      <c r="A525" s="79"/>
      <c r="B525" s="79"/>
      <c r="C525" s="79"/>
      <c r="D525" s="79"/>
      <c r="E525" s="79"/>
      <c r="F525" s="79"/>
      <c r="G525" s="79"/>
      <c r="H525" s="79"/>
      <c r="I525" s="79"/>
      <c r="J525" s="87"/>
      <c r="K525" s="87"/>
      <c r="L525" s="87"/>
      <c r="M525" s="87"/>
      <c r="N525" s="79"/>
      <c r="O525" s="79"/>
      <c r="P525" s="79"/>
      <c r="Q525" s="79"/>
      <c r="R525" s="79"/>
      <c r="S525" s="79"/>
      <c r="T525" s="79"/>
      <c r="U525" s="79"/>
      <c r="V525" s="79"/>
      <c r="W525" s="79"/>
      <c r="X525" s="79"/>
      <c r="Y525" s="79"/>
      <c r="Z525" s="79"/>
      <c r="AA525" s="79"/>
      <c r="AB525" s="79"/>
    </row>
    <row r="526" spans="1:28" ht="15.8" customHeight="1" x14ac:dyDescent="0.15">
      <c r="A526" s="79"/>
      <c r="B526" s="79"/>
      <c r="C526" s="79"/>
      <c r="D526" s="79"/>
      <c r="E526" s="79"/>
      <c r="F526" s="79"/>
      <c r="G526" s="79"/>
      <c r="H526" s="79"/>
      <c r="I526" s="79"/>
      <c r="J526" s="87"/>
      <c r="K526" s="87"/>
      <c r="L526" s="87"/>
      <c r="M526" s="87"/>
      <c r="N526" s="79"/>
      <c r="O526" s="79"/>
      <c r="P526" s="79"/>
      <c r="Q526" s="79"/>
      <c r="R526" s="79"/>
      <c r="S526" s="79"/>
      <c r="T526" s="79"/>
      <c r="U526" s="79"/>
      <c r="V526" s="79"/>
      <c r="W526" s="79"/>
      <c r="X526" s="79"/>
      <c r="Y526" s="79"/>
      <c r="Z526" s="79"/>
      <c r="AA526" s="79"/>
      <c r="AB526" s="79"/>
    </row>
    <row r="527" spans="1:28" ht="15.8" customHeight="1" x14ac:dyDescent="0.15">
      <c r="A527" s="79"/>
      <c r="B527" s="79"/>
      <c r="C527" s="79"/>
      <c r="D527" s="79"/>
      <c r="E527" s="79"/>
      <c r="F527" s="79"/>
      <c r="G527" s="79"/>
      <c r="H527" s="79"/>
      <c r="I527" s="79"/>
      <c r="J527" s="87"/>
      <c r="K527" s="87"/>
      <c r="L527" s="87"/>
      <c r="M527" s="87"/>
      <c r="N527" s="79"/>
      <c r="O527" s="79"/>
      <c r="P527" s="79"/>
      <c r="Q527" s="79"/>
      <c r="R527" s="79"/>
      <c r="S527" s="79"/>
      <c r="T527" s="79"/>
      <c r="U527" s="79"/>
      <c r="V527" s="79"/>
      <c r="W527" s="79"/>
      <c r="X527" s="79"/>
      <c r="Y527" s="79"/>
      <c r="Z527" s="79"/>
      <c r="AA527" s="79"/>
      <c r="AB527" s="79"/>
    </row>
    <row r="528" spans="1:28" ht="15.8" customHeight="1" x14ac:dyDescent="0.15">
      <c r="A528" s="79"/>
      <c r="B528" s="79"/>
      <c r="C528" s="79"/>
      <c r="D528" s="79"/>
      <c r="E528" s="79"/>
      <c r="F528" s="79"/>
      <c r="G528" s="79"/>
      <c r="H528" s="79"/>
      <c r="I528" s="79"/>
      <c r="J528" s="87"/>
      <c r="K528" s="87"/>
      <c r="L528" s="87"/>
      <c r="M528" s="87"/>
      <c r="N528" s="79"/>
      <c r="O528" s="79"/>
      <c r="P528" s="79"/>
      <c r="Q528" s="79"/>
      <c r="R528" s="79"/>
      <c r="S528" s="79"/>
      <c r="T528" s="79"/>
      <c r="U528" s="79"/>
      <c r="V528" s="79"/>
      <c r="W528" s="79"/>
      <c r="X528" s="79"/>
      <c r="Y528" s="79"/>
      <c r="Z528" s="79"/>
      <c r="AA528" s="79"/>
      <c r="AB528" s="79"/>
    </row>
    <row r="529" spans="1:28" ht="15.8" customHeight="1" x14ac:dyDescent="0.15">
      <c r="A529" s="79"/>
      <c r="B529" s="79"/>
      <c r="C529" s="79"/>
      <c r="D529" s="79"/>
      <c r="E529" s="79"/>
      <c r="F529" s="79"/>
      <c r="G529" s="79"/>
      <c r="H529" s="79"/>
      <c r="I529" s="79"/>
      <c r="J529" s="87"/>
      <c r="K529" s="87"/>
      <c r="L529" s="87"/>
      <c r="M529" s="87"/>
      <c r="N529" s="79"/>
      <c r="O529" s="79"/>
      <c r="P529" s="79"/>
      <c r="Q529" s="79"/>
      <c r="R529" s="79"/>
      <c r="S529" s="79"/>
      <c r="T529" s="79"/>
      <c r="U529" s="79"/>
      <c r="V529" s="79"/>
      <c r="W529" s="79"/>
      <c r="X529" s="79"/>
      <c r="Y529" s="79"/>
      <c r="Z529" s="79"/>
      <c r="AA529" s="79"/>
      <c r="AB529" s="79"/>
    </row>
    <row r="530" spans="1:28" ht="15.8" customHeight="1" x14ac:dyDescent="0.15">
      <c r="A530" s="79"/>
      <c r="B530" s="79"/>
      <c r="C530" s="79"/>
      <c r="D530" s="79"/>
      <c r="E530" s="79"/>
      <c r="F530" s="79"/>
      <c r="G530" s="79"/>
      <c r="H530" s="79"/>
      <c r="I530" s="79"/>
      <c r="J530" s="87"/>
      <c r="K530" s="87"/>
      <c r="L530" s="87"/>
      <c r="M530" s="87"/>
      <c r="N530" s="79"/>
      <c r="O530" s="79"/>
      <c r="P530" s="79"/>
      <c r="Q530" s="79"/>
      <c r="R530" s="79"/>
      <c r="S530" s="79"/>
      <c r="T530" s="79"/>
      <c r="U530" s="79"/>
      <c r="V530" s="79"/>
      <c r="W530" s="79"/>
      <c r="X530" s="79"/>
      <c r="Y530" s="79"/>
      <c r="Z530" s="79"/>
      <c r="AA530" s="79"/>
      <c r="AB530" s="79"/>
    </row>
    <row r="531" spans="1:28" ht="15.8" customHeight="1" x14ac:dyDescent="0.15">
      <c r="A531" s="79"/>
      <c r="B531" s="79"/>
      <c r="C531" s="79"/>
      <c r="D531" s="79"/>
      <c r="E531" s="79"/>
      <c r="F531" s="79"/>
      <c r="G531" s="79"/>
      <c r="H531" s="79"/>
      <c r="I531" s="79"/>
      <c r="J531" s="87"/>
      <c r="K531" s="87"/>
      <c r="L531" s="87"/>
      <c r="M531" s="87"/>
      <c r="N531" s="79"/>
      <c r="O531" s="79"/>
      <c r="P531" s="79"/>
      <c r="Q531" s="79"/>
      <c r="R531" s="79"/>
      <c r="S531" s="79"/>
      <c r="T531" s="79"/>
      <c r="U531" s="79"/>
      <c r="V531" s="79"/>
      <c r="W531" s="79"/>
      <c r="X531" s="79"/>
      <c r="Y531" s="79"/>
      <c r="Z531" s="79"/>
      <c r="AA531" s="79"/>
      <c r="AB531" s="79"/>
    </row>
    <row r="532" spans="1:28" ht="15.8" customHeight="1" x14ac:dyDescent="0.15">
      <c r="A532" s="79"/>
      <c r="B532" s="79"/>
      <c r="C532" s="79"/>
      <c r="D532" s="79"/>
      <c r="E532" s="79"/>
      <c r="F532" s="79"/>
      <c r="G532" s="79"/>
      <c r="H532" s="79"/>
      <c r="I532" s="79"/>
      <c r="J532" s="87"/>
      <c r="K532" s="87"/>
      <c r="L532" s="87"/>
      <c r="M532" s="87"/>
      <c r="N532" s="79"/>
      <c r="O532" s="79"/>
      <c r="P532" s="79"/>
      <c r="Q532" s="79"/>
      <c r="R532" s="79"/>
      <c r="S532" s="79"/>
      <c r="T532" s="79"/>
      <c r="U532" s="79"/>
      <c r="V532" s="79"/>
      <c r="W532" s="79"/>
      <c r="X532" s="79"/>
      <c r="Y532" s="79"/>
      <c r="Z532" s="79"/>
      <c r="AA532" s="79"/>
      <c r="AB532" s="79"/>
    </row>
    <row r="533" spans="1:28" ht="15.8" customHeight="1" x14ac:dyDescent="0.15">
      <c r="A533" s="79"/>
      <c r="B533" s="79"/>
      <c r="C533" s="79"/>
      <c r="D533" s="79"/>
      <c r="E533" s="79"/>
      <c r="F533" s="79"/>
      <c r="G533" s="79"/>
      <c r="H533" s="79"/>
      <c r="I533" s="79"/>
      <c r="J533" s="87"/>
      <c r="K533" s="87"/>
      <c r="L533" s="87"/>
      <c r="M533" s="87"/>
      <c r="N533" s="79"/>
      <c r="O533" s="79"/>
      <c r="P533" s="79"/>
      <c r="Q533" s="79"/>
      <c r="R533" s="79"/>
      <c r="S533" s="79"/>
      <c r="T533" s="79"/>
      <c r="U533" s="79"/>
      <c r="V533" s="79"/>
      <c r="W533" s="79"/>
      <c r="X533" s="79"/>
      <c r="Y533" s="79"/>
      <c r="Z533" s="79"/>
      <c r="AA533" s="79"/>
      <c r="AB533" s="79"/>
    </row>
    <row r="534" spans="1:28" ht="15.8" customHeight="1" x14ac:dyDescent="0.15">
      <c r="A534" s="79"/>
      <c r="B534" s="79"/>
      <c r="C534" s="79"/>
      <c r="D534" s="79"/>
      <c r="E534" s="79"/>
      <c r="F534" s="79"/>
      <c r="G534" s="79"/>
      <c r="H534" s="79"/>
      <c r="I534" s="79"/>
      <c r="J534" s="87"/>
      <c r="K534" s="87"/>
      <c r="L534" s="87"/>
      <c r="M534" s="87"/>
      <c r="N534" s="79"/>
      <c r="O534" s="79"/>
      <c r="P534" s="79"/>
      <c r="Q534" s="79"/>
      <c r="R534" s="79"/>
      <c r="S534" s="79"/>
      <c r="T534" s="79"/>
      <c r="U534" s="79"/>
      <c r="V534" s="79"/>
      <c r="W534" s="79"/>
      <c r="X534" s="79"/>
      <c r="Y534" s="79"/>
      <c r="Z534" s="79"/>
      <c r="AA534" s="79"/>
      <c r="AB534" s="79"/>
    </row>
    <row r="535" spans="1:28" ht="15.8" customHeight="1" x14ac:dyDescent="0.15">
      <c r="A535" s="79"/>
      <c r="B535" s="79"/>
      <c r="C535" s="79"/>
      <c r="D535" s="79"/>
      <c r="E535" s="79"/>
      <c r="F535" s="79"/>
      <c r="G535" s="79"/>
      <c r="H535" s="79"/>
      <c r="I535" s="79"/>
      <c r="J535" s="87"/>
      <c r="K535" s="87"/>
      <c r="L535" s="87"/>
      <c r="M535" s="87"/>
      <c r="N535" s="79"/>
      <c r="O535" s="79"/>
      <c r="P535" s="79"/>
      <c r="Q535" s="79"/>
      <c r="R535" s="79"/>
      <c r="S535" s="79"/>
      <c r="T535" s="79"/>
      <c r="U535" s="79"/>
      <c r="V535" s="79"/>
      <c r="W535" s="79"/>
      <c r="X535" s="79"/>
      <c r="Y535" s="79"/>
      <c r="Z535" s="79"/>
      <c r="AA535" s="79"/>
      <c r="AB535" s="79"/>
    </row>
    <row r="536" spans="1:28" ht="15.8" customHeight="1" x14ac:dyDescent="0.15">
      <c r="A536" s="79"/>
      <c r="B536" s="79"/>
      <c r="C536" s="79"/>
      <c r="D536" s="79"/>
      <c r="E536" s="79"/>
      <c r="F536" s="79"/>
      <c r="G536" s="79"/>
      <c r="H536" s="79"/>
      <c r="I536" s="79"/>
      <c r="J536" s="87"/>
      <c r="K536" s="87"/>
      <c r="L536" s="87"/>
      <c r="M536" s="87"/>
      <c r="N536" s="79"/>
      <c r="O536" s="79"/>
      <c r="P536" s="79"/>
      <c r="Q536" s="79"/>
      <c r="R536" s="79"/>
      <c r="S536" s="79"/>
      <c r="T536" s="79"/>
      <c r="U536" s="79"/>
      <c r="V536" s="79"/>
      <c r="W536" s="79"/>
      <c r="X536" s="79"/>
      <c r="Y536" s="79"/>
      <c r="Z536" s="79"/>
      <c r="AA536" s="79"/>
      <c r="AB536" s="79"/>
    </row>
    <row r="537" spans="1:28" ht="15.8" customHeight="1" x14ac:dyDescent="0.15">
      <c r="A537" s="79"/>
      <c r="B537" s="79"/>
      <c r="C537" s="79"/>
      <c r="D537" s="79"/>
      <c r="E537" s="79"/>
      <c r="F537" s="79"/>
      <c r="G537" s="79"/>
      <c r="H537" s="79"/>
      <c r="I537" s="79"/>
      <c r="J537" s="87"/>
      <c r="K537" s="87"/>
      <c r="L537" s="87"/>
      <c r="M537" s="87"/>
      <c r="N537" s="79"/>
      <c r="O537" s="79"/>
      <c r="P537" s="79"/>
      <c r="Q537" s="79"/>
      <c r="R537" s="79"/>
      <c r="S537" s="79"/>
      <c r="T537" s="79"/>
      <c r="U537" s="79"/>
      <c r="V537" s="79"/>
      <c r="W537" s="79"/>
      <c r="X537" s="79"/>
      <c r="Y537" s="79"/>
      <c r="Z537" s="79"/>
      <c r="AA537" s="79"/>
      <c r="AB537" s="79"/>
    </row>
    <row r="538" spans="1:28" ht="15.8" customHeight="1" x14ac:dyDescent="0.15">
      <c r="A538" s="79"/>
      <c r="B538" s="79"/>
      <c r="C538" s="79"/>
      <c r="D538" s="79"/>
      <c r="E538" s="79"/>
      <c r="F538" s="79"/>
      <c r="G538" s="79"/>
      <c r="H538" s="79"/>
      <c r="I538" s="79"/>
      <c r="J538" s="87"/>
      <c r="K538" s="87"/>
      <c r="L538" s="87"/>
      <c r="M538" s="87"/>
      <c r="N538" s="79"/>
      <c r="O538" s="79"/>
      <c r="P538" s="79"/>
      <c r="Q538" s="79"/>
      <c r="R538" s="79"/>
      <c r="S538" s="79"/>
      <c r="T538" s="79"/>
      <c r="U538" s="79"/>
      <c r="V538" s="79"/>
      <c r="W538" s="79"/>
      <c r="X538" s="79"/>
      <c r="Y538" s="79"/>
      <c r="Z538" s="79"/>
      <c r="AA538" s="79"/>
      <c r="AB538" s="79"/>
    </row>
    <row r="539" spans="1:28" ht="15.8" customHeight="1" x14ac:dyDescent="0.15">
      <c r="A539" s="79"/>
      <c r="B539" s="79"/>
      <c r="C539" s="79"/>
      <c r="D539" s="79"/>
      <c r="E539" s="79"/>
      <c r="F539" s="79"/>
      <c r="G539" s="79"/>
      <c r="H539" s="79"/>
      <c r="I539" s="79"/>
      <c r="J539" s="87"/>
      <c r="K539" s="87"/>
      <c r="L539" s="87"/>
      <c r="M539" s="87"/>
      <c r="N539" s="79"/>
      <c r="O539" s="79"/>
      <c r="P539" s="79"/>
      <c r="Q539" s="79"/>
      <c r="R539" s="79"/>
      <c r="S539" s="79"/>
      <c r="T539" s="79"/>
      <c r="U539" s="79"/>
      <c r="V539" s="79"/>
      <c r="W539" s="79"/>
      <c r="X539" s="79"/>
      <c r="Y539" s="79"/>
      <c r="Z539" s="79"/>
      <c r="AA539" s="79"/>
      <c r="AB539" s="79"/>
    </row>
    <row r="540" spans="1:28" ht="15.8" customHeight="1" x14ac:dyDescent="0.15">
      <c r="A540" s="79"/>
      <c r="B540" s="79"/>
      <c r="C540" s="79"/>
      <c r="D540" s="79"/>
      <c r="E540" s="79"/>
      <c r="F540" s="79"/>
      <c r="G540" s="79"/>
      <c r="H540" s="79"/>
      <c r="I540" s="79"/>
      <c r="J540" s="87"/>
      <c r="K540" s="87"/>
      <c r="L540" s="87"/>
      <c r="M540" s="87"/>
      <c r="N540" s="79"/>
      <c r="O540" s="79"/>
      <c r="P540" s="79"/>
      <c r="Q540" s="79"/>
      <c r="R540" s="79"/>
      <c r="S540" s="79"/>
      <c r="T540" s="79"/>
      <c r="U540" s="79"/>
      <c r="V540" s="79"/>
      <c r="W540" s="79"/>
      <c r="X540" s="79"/>
      <c r="Y540" s="79"/>
      <c r="Z540" s="79"/>
      <c r="AA540" s="79"/>
      <c r="AB540" s="79"/>
    </row>
    <row r="541" spans="1:28" ht="15.8" customHeight="1" x14ac:dyDescent="0.15">
      <c r="A541" s="79"/>
      <c r="B541" s="79"/>
      <c r="C541" s="79"/>
      <c r="D541" s="79"/>
      <c r="E541" s="79"/>
      <c r="F541" s="79"/>
      <c r="G541" s="79"/>
      <c r="H541" s="79"/>
      <c r="I541" s="79"/>
      <c r="J541" s="87"/>
      <c r="K541" s="87"/>
      <c r="L541" s="87"/>
      <c r="M541" s="87"/>
      <c r="N541" s="79"/>
      <c r="O541" s="79"/>
      <c r="P541" s="79"/>
      <c r="Q541" s="79"/>
      <c r="R541" s="79"/>
      <c r="S541" s="79"/>
      <c r="T541" s="79"/>
      <c r="U541" s="79"/>
      <c r="V541" s="79"/>
      <c r="W541" s="79"/>
      <c r="X541" s="79"/>
      <c r="Y541" s="79"/>
      <c r="Z541" s="79"/>
      <c r="AA541" s="79"/>
      <c r="AB541" s="79"/>
    </row>
    <row r="542" spans="1:28" ht="15.8" customHeight="1" x14ac:dyDescent="0.15">
      <c r="A542" s="79"/>
      <c r="B542" s="79"/>
      <c r="C542" s="79"/>
      <c r="D542" s="79"/>
      <c r="E542" s="79"/>
      <c r="F542" s="79"/>
      <c r="G542" s="79"/>
      <c r="H542" s="79"/>
      <c r="I542" s="79"/>
      <c r="J542" s="87"/>
      <c r="K542" s="87"/>
      <c r="L542" s="87"/>
      <c r="M542" s="87"/>
      <c r="N542" s="79"/>
      <c r="O542" s="79"/>
      <c r="P542" s="79"/>
      <c r="Q542" s="79"/>
      <c r="R542" s="79"/>
      <c r="S542" s="79"/>
      <c r="T542" s="79"/>
      <c r="U542" s="79"/>
      <c r="V542" s="79"/>
      <c r="W542" s="79"/>
      <c r="X542" s="79"/>
      <c r="Y542" s="79"/>
      <c r="Z542" s="79"/>
      <c r="AA542" s="79"/>
      <c r="AB542" s="79"/>
    </row>
    <row r="543" spans="1:28" ht="15.8" customHeight="1" x14ac:dyDescent="0.15">
      <c r="A543" s="79"/>
      <c r="B543" s="79"/>
      <c r="C543" s="79"/>
      <c r="D543" s="79"/>
      <c r="E543" s="79"/>
      <c r="F543" s="79"/>
      <c r="G543" s="79"/>
      <c r="H543" s="79"/>
      <c r="I543" s="79"/>
      <c r="J543" s="87"/>
      <c r="K543" s="87"/>
      <c r="L543" s="87"/>
      <c r="M543" s="87"/>
      <c r="N543" s="79"/>
      <c r="O543" s="79"/>
      <c r="P543" s="79"/>
      <c r="Q543" s="79"/>
      <c r="R543" s="79"/>
      <c r="S543" s="79"/>
      <c r="T543" s="79"/>
      <c r="U543" s="79"/>
      <c r="V543" s="79"/>
      <c r="W543" s="79"/>
      <c r="X543" s="79"/>
      <c r="Y543" s="79"/>
      <c r="Z543" s="79"/>
      <c r="AA543" s="79"/>
      <c r="AB543" s="79"/>
    </row>
    <row r="544" spans="1:28" ht="15.8" customHeight="1" x14ac:dyDescent="0.15">
      <c r="A544" s="79"/>
      <c r="B544" s="79"/>
      <c r="C544" s="79"/>
      <c r="D544" s="79"/>
      <c r="E544" s="79"/>
      <c r="F544" s="79"/>
      <c r="G544" s="79"/>
      <c r="H544" s="79"/>
      <c r="I544" s="79"/>
      <c r="J544" s="87"/>
      <c r="K544" s="87"/>
      <c r="L544" s="87"/>
      <c r="M544" s="87"/>
      <c r="N544" s="79"/>
      <c r="O544" s="79"/>
      <c r="P544" s="79"/>
      <c r="Q544" s="79"/>
      <c r="R544" s="79"/>
      <c r="S544" s="79"/>
      <c r="T544" s="79"/>
      <c r="U544" s="79"/>
      <c r="V544" s="79"/>
      <c r="W544" s="79"/>
      <c r="X544" s="79"/>
      <c r="Y544" s="79"/>
      <c r="Z544" s="79"/>
      <c r="AA544" s="79"/>
      <c r="AB544" s="79"/>
    </row>
    <row r="545" spans="1:28" ht="15.8" customHeight="1" x14ac:dyDescent="0.15">
      <c r="A545" s="79"/>
      <c r="B545" s="79"/>
      <c r="C545" s="79"/>
      <c r="D545" s="79"/>
      <c r="E545" s="79"/>
      <c r="F545" s="79"/>
      <c r="G545" s="79"/>
      <c r="H545" s="79"/>
      <c r="I545" s="79"/>
      <c r="J545" s="87"/>
      <c r="K545" s="87"/>
      <c r="L545" s="87"/>
      <c r="M545" s="87"/>
      <c r="N545" s="79"/>
      <c r="O545" s="79"/>
      <c r="P545" s="79"/>
      <c r="Q545" s="79"/>
      <c r="R545" s="79"/>
      <c r="S545" s="79"/>
      <c r="T545" s="79"/>
      <c r="U545" s="79"/>
      <c r="V545" s="79"/>
      <c r="W545" s="79"/>
      <c r="X545" s="79"/>
      <c r="Y545" s="79"/>
      <c r="Z545" s="79"/>
      <c r="AA545" s="79"/>
      <c r="AB545" s="79"/>
    </row>
    <row r="546" spans="1:28" ht="15.8" customHeight="1" x14ac:dyDescent="0.15">
      <c r="A546" s="79"/>
      <c r="B546" s="79"/>
      <c r="C546" s="79"/>
      <c r="D546" s="79"/>
      <c r="E546" s="79"/>
      <c r="F546" s="79"/>
      <c r="G546" s="79"/>
      <c r="H546" s="79"/>
      <c r="I546" s="79"/>
      <c r="J546" s="87"/>
      <c r="K546" s="87"/>
      <c r="L546" s="87"/>
      <c r="M546" s="87"/>
      <c r="N546" s="79"/>
      <c r="O546" s="79"/>
      <c r="P546" s="79"/>
      <c r="Q546" s="79"/>
      <c r="R546" s="79"/>
      <c r="S546" s="79"/>
      <c r="T546" s="79"/>
      <c r="U546" s="79"/>
      <c r="V546" s="79"/>
      <c r="W546" s="79"/>
      <c r="X546" s="79"/>
      <c r="Y546" s="79"/>
      <c r="Z546" s="79"/>
      <c r="AA546" s="79"/>
      <c r="AB546" s="79"/>
    </row>
    <row r="547" spans="1:28" ht="15.8" customHeight="1" x14ac:dyDescent="0.15">
      <c r="A547" s="79"/>
      <c r="B547" s="79"/>
      <c r="C547" s="79"/>
      <c r="D547" s="79"/>
      <c r="E547" s="79"/>
      <c r="F547" s="79"/>
      <c r="G547" s="79"/>
      <c r="H547" s="79"/>
      <c r="I547" s="79"/>
      <c r="J547" s="87"/>
      <c r="K547" s="87"/>
      <c r="L547" s="87"/>
      <c r="M547" s="87"/>
      <c r="N547" s="79"/>
      <c r="O547" s="79"/>
      <c r="P547" s="79"/>
      <c r="Q547" s="79"/>
      <c r="R547" s="79"/>
      <c r="S547" s="79"/>
      <c r="T547" s="79"/>
      <c r="U547" s="79"/>
      <c r="V547" s="79"/>
      <c r="W547" s="79"/>
      <c r="X547" s="79"/>
      <c r="Y547" s="79"/>
      <c r="Z547" s="79"/>
      <c r="AA547" s="79"/>
      <c r="AB547" s="79"/>
    </row>
    <row r="548" spans="1:28" ht="15.8" customHeight="1" x14ac:dyDescent="0.15">
      <c r="A548" s="79"/>
      <c r="B548" s="79"/>
      <c r="C548" s="79"/>
      <c r="D548" s="79"/>
      <c r="E548" s="79"/>
      <c r="F548" s="79"/>
      <c r="G548" s="79"/>
      <c r="H548" s="79"/>
      <c r="I548" s="79"/>
      <c r="J548" s="87"/>
      <c r="K548" s="87"/>
      <c r="L548" s="87"/>
      <c r="M548" s="87"/>
      <c r="N548" s="79"/>
      <c r="O548" s="79"/>
      <c r="P548" s="79"/>
      <c r="Q548" s="79"/>
      <c r="R548" s="79"/>
      <c r="S548" s="79"/>
      <c r="T548" s="79"/>
      <c r="U548" s="79"/>
      <c r="V548" s="79"/>
      <c r="W548" s="79"/>
      <c r="X548" s="79"/>
      <c r="Y548" s="79"/>
      <c r="Z548" s="79"/>
      <c r="AA548" s="79"/>
      <c r="AB548" s="79"/>
    </row>
    <row r="549" spans="1:28" ht="15.8" customHeight="1" x14ac:dyDescent="0.15">
      <c r="A549" s="79"/>
      <c r="B549" s="79"/>
      <c r="C549" s="79"/>
      <c r="D549" s="79"/>
      <c r="E549" s="79"/>
      <c r="F549" s="79"/>
      <c r="G549" s="79"/>
      <c r="H549" s="79"/>
      <c r="I549" s="79"/>
      <c r="J549" s="87"/>
      <c r="K549" s="87"/>
      <c r="L549" s="87"/>
      <c r="M549" s="87"/>
      <c r="N549" s="79"/>
      <c r="O549" s="79"/>
      <c r="P549" s="79"/>
      <c r="Q549" s="79"/>
      <c r="R549" s="79"/>
      <c r="S549" s="79"/>
      <c r="T549" s="79"/>
      <c r="U549" s="79"/>
      <c r="V549" s="79"/>
      <c r="W549" s="79"/>
      <c r="X549" s="79"/>
      <c r="Y549" s="79"/>
      <c r="Z549" s="79"/>
      <c r="AA549" s="79"/>
      <c r="AB549" s="79"/>
    </row>
    <row r="550" spans="1:28" ht="15.8" customHeight="1" x14ac:dyDescent="0.15">
      <c r="A550" s="79"/>
      <c r="B550" s="79"/>
      <c r="C550" s="79"/>
      <c r="D550" s="79"/>
      <c r="E550" s="79"/>
      <c r="F550" s="79"/>
      <c r="G550" s="79"/>
      <c r="H550" s="79"/>
      <c r="I550" s="79"/>
      <c r="J550" s="87"/>
      <c r="K550" s="87"/>
      <c r="L550" s="87"/>
      <c r="M550" s="87"/>
      <c r="N550" s="79"/>
      <c r="O550" s="79"/>
      <c r="P550" s="79"/>
      <c r="Q550" s="79"/>
      <c r="R550" s="79"/>
      <c r="S550" s="79"/>
      <c r="T550" s="79"/>
      <c r="U550" s="79"/>
      <c r="V550" s="79"/>
      <c r="W550" s="79"/>
      <c r="X550" s="79"/>
      <c r="Y550" s="79"/>
      <c r="Z550" s="79"/>
      <c r="AA550" s="79"/>
      <c r="AB550" s="79"/>
    </row>
    <row r="551" spans="1:28" ht="15.8" customHeight="1" x14ac:dyDescent="0.15">
      <c r="A551" s="79"/>
      <c r="B551" s="79"/>
      <c r="C551" s="79"/>
      <c r="D551" s="79"/>
      <c r="E551" s="79"/>
      <c r="F551" s="79"/>
      <c r="G551" s="79"/>
      <c r="H551" s="79"/>
      <c r="I551" s="79"/>
      <c r="J551" s="87"/>
      <c r="K551" s="87"/>
      <c r="L551" s="87"/>
      <c r="M551" s="87"/>
      <c r="N551" s="79"/>
      <c r="O551" s="79"/>
      <c r="P551" s="79"/>
      <c r="Q551" s="79"/>
      <c r="R551" s="79"/>
      <c r="S551" s="79"/>
      <c r="T551" s="79"/>
      <c r="U551" s="79"/>
      <c r="V551" s="79"/>
      <c r="W551" s="79"/>
      <c r="X551" s="79"/>
      <c r="Y551" s="79"/>
      <c r="Z551" s="79"/>
      <c r="AA551" s="79"/>
      <c r="AB551" s="79"/>
    </row>
    <row r="552" spans="1:28" ht="15.8" customHeight="1" x14ac:dyDescent="0.15">
      <c r="A552" s="79"/>
      <c r="B552" s="79"/>
      <c r="C552" s="79"/>
      <c r="D552" s="79"/>
      <c r="E552" s="79"/>
      <c r="F552" s="79"/>
      <c r="G552" s="79"/>
      <c r="H552" s="79"/>
      <c r="I552" s="79"/>
      <c r="J552" s="87"/>
      <c r="K552" s="87"/>
      <c r="L552" s="87"/>
      <c r="M552" s="87"/>
      <c r="N552" s="79"/>
      <c r="O552" s="79"/>
      <c r="P552" s="79"/>
      <c r="Q552" s="79"/>
      <c r="R552" s="79"/>
      <c r="S552" s="79"/>
      <c r="T552" s="79"/>
      <c r="U552" s="79"/>
      <c r="V552" s="79"/>
      <c r="W552" s="79"/>
      <c r="X552" s="79"/>
      <c r="Y552" s="79"/>
      <c r="Z552" s="79"/>
      <c r="AA552" s="79"/>
      <c r="AB552" s="79"/>
    </row>
    <row r="553" spans="1:28" ht="15.8" customHeight="1" x14ac:dyDescent="0.15">
      <c r="A553" s="79"/>
      <c r="B553" s="79"/>
      <c r="C553" s="79"/>
      <c r="D553" s="79"/>
      <c r="E553" s="79"/>
      <c r="F553" s="79"/>
      <c r="G553" s="79"/>
      <c r="H553" s="79"/>
      <c r="I553" s="79"/>
      <c r="J553" s="87"/>
      <c r="K553" s="87"/>
      <c r="L553" s="87"/>
      <c r="M553" s="87"/>
      <c r="N553" s="79"/>
      <c r="O553" s="79"/>
      <c r="P553" s="79"/>
      <c r="Q553" s="79"/>
      <c r="R553" s="79"/>
      <c r="S553" s="79"/>
      <c r="T553" s="79"/>
      <c r="U553" s="79"/>
      <c r="V553" s="79"/>
      <c r="W553" s="79"/>
      <c r="X553" s="79"/>
      <c r="Y553" s="79"/>
      <c r="Z553" s="79"/>
      <c r="AA553" s="79"/>
      <c r="AB553" s="79"/>
    </row>
    <row r="554" spans="1:28" ht="15.8" customHeight="1" x14ac:dyDescent="0.15">
      <c r="A554" s="79"/>
      <c r="B554" s="79"/>
      <c r="C554" s="79"/>
      <c r="D554" s="79"/>
      <c r="E554" s="79"/>
      <c r="F554" s="79"/>
      <c r="G554" s="79"/>
      <c r="H554" s="79"/>
      <c r="I554" s="79"/>
      <c r="J554" s="87"/>
      <c r="K554" s="87"/>
      <c r="L554" s="87"/>
      <c r="M554" s="87"/>
      <c r="N554" s="79"/>
      <c r="O554" s="79"/>
      <c r="P554" s="79"/>
      <c r="Q554" s="79"/>
      <c r="R554" s="79"/>
      <c r="S554" s="79"/>
      <c r="T554" s="79"/>
      <c r="U554" s="79"/>
      <c r="V554" s="79"/>
      <c r="W554" s="79"/>
      <c r="X554" s="79"/>
      <c r="Y554" s="79"/>
      <c r="Z554" s="79"/>
      <c r="AA554" s="79"/>
      <c r="AB554" s="79"/>
    </row>
    <row r="555" spans="1:28" ht="15.8" customHeight="1" x14ac:dyDescent="0.15">
      <c r="A555" s="79"/>
      <c r="B555" s="79"/>
      <c r="C555" s="79"/>
      <c r="D555" s="79"/>
      <c r="E555" s="79"/>
      <c r="F555" s="79"/>
      <c r="G555" s="79"/>
      <c r="H555" s="79"/>
      <c r="I555" s="79"/>
      <c r="J555" s="87"/>
      <c r="K555" s="87"/>
      <c r="L555" s="87"/>
      <c r="M555" s="87"/>
      <c r="N555" s="79"/>
      <c r="O555" s="79"/>
      <c r="P555" s="79"/>
      <c r="Q555" s="79"/>
      <c r="R555" s="79"/>
      <c r="S555" s="79"/>
      <c r="T555" s="79"/>
      <c r="U555" s="79"/>
      <c r="V555" s="79"/>
      <c r="W555" s="79"/>
      <c r="X555" s="79"/>
      <c r="Y555" s="79"/>
      <c r="Z555" s="79"/>
      <c r="AA555" s="79"/>
      <c r="AB555" s="79"/>
    </row>
    <row r="556" spans="1:28" ht="15.8" customHeight="1" x14ac:dyDescent="0.15">
      <c r="A556" s="79"/>
      <c r="B556" s="79"/>
      <c r="C556" s="79"/>
      <c r="D556" s="79"/>
      <c r="E556" s="79"/>
      <c r="F556" s="79"/>
      <c r="G556" s="79"/>
      <c r="H556" s="79"/>
      <c r="I556" s="79"/>
      <c r="J556" s="87"/>
      <c r="K556" s="87"/>
      <c r="L556" s="87"/>
      <c r="M556" s="87"/>
      <c r="N556" s="79"/>
      <c r="O556" s="79"/>
      <c r="P556" s="79"/>
      <c r="Q556" s="79"/>
      <c r="R556" s="79"/>
      <c r="S556" s="79"/>
      <c r="T556" s="79"/>
      <c r="U556" s="79"/>
      <c r="V556" s="79"/>
      <c r="W556" s="79"/>
      <c r="X556" s="79"/>
      <c r="Y556" s="79"/>
      <c r="Z556" s="79"/>
      <c r="AA556" s="79"/>
      <c r="AB556" s="79"/>
    </row>
    <row r="557" spans="1:28" ht="15.8" customHeight="1" x14ac:dyDescent="0.15">
      <c r="A557" s="79"/>
      <c r="B557" s="79"/>
      <c r="C557" s="79"/>
      <c r="D557" s="79"/>
      <c r="E557" s="79"/>
      <c r="F557" s="79"/>
      <c r="G557" s="79"/>
      <c r="H557" s="79"/>
      <c r="I557" s="79"/>
      <c r="J557" s="87"/>
      <c r="K557" s="87"/>
      <c r="L557" s="87"/>
      <c r="M557" s="87"/>
      <c r="N557" s="79"/>
      <c r="O557" s="79"/>
      <c r="P557" s="79"/>
      <c r="Q557" s="79"/>
      <c r="R557" s="79"/>
      <c r="S557" s="79"/>
      <c r="T557" s="79"/>
      <c r="U557" s="79"/>
      <c r="V557" s="79"/>
      <c r="W557" s="79"/>
      <c r="X557" s="79"/>
      <c r="Y557" s="79"/>
      <c r="Z557" s="79"/>
      <c r="AA557" s="79"/>
      <c r="AB557" s="79"/>
    </row>
    <row r="558" spans="1:28" ht="15.8" customHeight="1" x14ac:dyDescent="0.15">
      <c r="A558" s="79"/>
      <c r="B558" s="79"/>
      <c r="C558" s="79"/>
      <c r="D558" s="79"/>
      <c r="E558" s="79"/>
      <c r="F558" s="79"/>
      <c r="G558" s="79"/>
      <c r="H558" s="79"/>
      <c r="I558" s="79"/>
      <c r="J558" s="87"/>
      <c r="K558" s="87"/>
      <c r="L558" s="87"/>
      <c r="M558" s="87"/>
      <c r="N558" s="79"/>
      <c r="O558" s="79"/>
      <c r="P558" s="79"/>
      <c r="Q558" s="79"/>
      <c r="R558" s="79"/>
      <c r="S558" s="79"/>
      <c r="T558" s="79"/>
      <c r="U558" s="79"/>
      <c r="V558" s="79"/>
      <c r="W558" s="79"/>
      <c r="X558" s="79"/>
      <c r="Y558" s="79"/>
      <c r="Z558" s="79"/>
      <c r="AA558" s="79"/>
      <c r="AB558" s="79"/>
    </row>
    <row r="559" spans="1:28" ht="15.8" customHeight="1" x14ac:dyDescent="0.15">
      <c r="A559" s="79"/>
      <c r="B559" s="79"/>
      <c r="C559" s="79"/>
      <c r="D559" s="79"/>
      <c r="E559" s="79"/>
      <c r="F559" s="79"/>
      <c r="G559" s="79"/>
      <c r="H559" s="79"/>
      <c r="I559" s="79"/>
      <c r="J559" s="87"/>
      <c r="K559" s="87"/>
      <c r="L559" s="87"/>
      <c r="M559" s="87"/>
      <c r="N559" s="79"/>
      <c r="O559" s="79"/>
      <c r="P559" s="79"/>
      <c r="Q559" s="79"/>
      <c r="R559" s="79"/>
      <c r="S559" s="79"/>
      <c r="T559" s="79"/>
      <c r="U559" s="79"/>
      <c r="V559" s="79"/>
      <c r="W559" s="79"/>
      <c r="X559" s="79"/>
      <c r="Y559" s="79"/>
      <c r="Z559" s="79"/>
      <c r="AA559" s="79"/>
      <c r="AB559" s="79"/>
    </row>
    <row r="560" spans="1:28" ht="15.8" customHeight="1" x14ac:dyDescent="0.15">
      <c r="A560" s="79"/>
      <c r="B560" s="79"/>
      <c r="C560" s="79"/>
      <c r="D560" s="79"/>
      <c r="E560" s="79"/>
      <c r="F560" s="79"/>
      <c r="G560" s="79"/>
      <c r="H560" s="79"/>
      <c r="I560" s="79"/>
      <c r="J560" s="87"/>
      <c r="K560" s="87"/>
      <c r="L560" s="87"/>
      <c r="M560" s="87"/>
      <c r="N560" s="79"/>
      <c r="O560" s="79"/>
      <c r="P560" s="79"/>
      <c r="Q560" s="79"/>
      <c r="R560" s="79"/>
      <c r="S560" s="79"/>
      <c r="T560" s="79"/>
      <c r="U560" s="79"/>
      <c r="V560" s="79"/>
      <c r="W560" s="79"/>
      <c r="X560" s="79"/>
      <c r="Y560" s="79"/>
      <c r="Z560" s="79"/>
      <c r="AA560" s="79"/>
      <c r="AB560" s="79"/>
    </row>
    <row r="561" spans="1:28" ht="15.8" customHeight="1" x14ac:dyDescent="0.15">
      <c r="A561" s="79"/>
      <c r="B561" s="79"/>
      <c r="C561" s="79"/>
      <c r="D561" s="79"/>
      <c r="E561" s="79"/>
      <c r="F561" s="79"/>
      <c r="G561" s="79"/>
      <c r="H561" s="79"/>
      <c r="I561" s="79"/>
      <c r="J561" s="87"/>
      <c r="K561" s="87"/>
      <c r="L561" s="87"/>
      <c r="M561" s="87"/>
      <c r="N561" s="79"/>
      <c r="O561" s="79"/>
      <c r="P561" s="79"/>
      <c r="Q561" s="79"/>
      <c r="R561" s="79"/>
      <c r="S561" s="79"/>
      <c r="T561" s="79"/>
      <c r="U561" s="79"/>
      <c r="V561" s="79"/>
      <c r="W561" s="79"/>
      <c r="X561" s="79"/>
      <c r="Y561" s="79"/>
      <c r="Z561" s="79"/>
      <c r="AA561" s="79"/>
      <c r="AB561" s="79"/>
    </row>
    <row r="562" spans="1:28" ht="15.8" customHeight="1" x14ac:dyDescent="0.15">
      <c r="A562" s="79"/>
      <c r="B562" s="79"/>
      <c r="C562" s="79"/>
      <c r="D562" s="79"/>
      <c r="E562" s="79"/>
      <c r="F562" s="79"/>
      <c r="G562" s="79"/>
      <c r="H562" s="79"/>
      <c r="I562" s="79"/>
      <c r="J562" s="87"/>
      <c r="K562" s="87"/>
      <c r="L562" s="87"/>
      <c r="M562" s="87"/>
      <c r="N562" s="79"/>
      <c r="O562" s="79"/>
      <c r="P562" s="79"/>
      <c r="Q562" s="79"/>
      <c r="R562" s="79"/>
      <c r="S562" s="79"/>
      <c r="T562" s="79"/>
      <c r="U562" s="79"/>
      <c r="V562" s="79"/>
      <c r="W562" s="79"/>
      <c r="X562" s="79"/>
      <c r="Y562" s="79"/>
      <c r="Z562" s="79"/>
      <c r="AA562" s="79"/>
      <c r="AB562" s="79"/>
    </row>
    <row r="563" spans="1:28" ht="15.8" customHeight="1" x14ac:dyDescent="0.15">
      <c r="A563" s="79"/>
      <c r="B563" s="79"/>
      <c r="C563" s="79"/>
      <c r="D563" s="79"/>
      <c r="E563" s="79"/>
      <c r="F563" s="79"/>
      <c r="G563" s="79"/>
      <c r="H563" s="79"/>
      <c r="I563" s="79"/>
      <c r="J563" s="87"/>
      <c r="K563" s="87"/>
      <c r="L563" s="87"/>
      <c r="M563" s="87"/>
      <c r="N563" s="79"/>
      <c r="O563" s="79"/>
      <c r="P563" s="79"/>
      <c r="Q563" s="79"/>
      <c r="R563" s="79"/>
      <c r="S563" s="79"/>
      <c r="T563" s="79"/>
      <c r="U563" s="79"/>
      <c r="V563" s="79"/>
      <c r="W563" s="79"/>
      <c r="X563" s="79"/>
      <c r="Y563" s="79"/>
      <c r="Z563" s="79"/>
      <c r="AA563" s="79"/>
      <c r="AB563" s="79"/>
    </row>
    <row r="564" spans="1:28" ht="15.8" customHeight="1" x14ac:dyDescent="0.15">
      <c r="A564" s="79"/>
      <c r="B564" s="79"/>
      <c r="C564" s="79"/>
      <c r="D564" s="79"/>
      <c r="E564" s="79"/>
      <c r="F564" s="79"/>
      <c r="G564" s="79"/>
      <c r="H564" s="79"/>
      <c r="I564" s="79"/>
      <c r="J564" s="87"/>
      <c r="K564" s="87"/>
      <c r="L564" s="87"/>
      <c r="M564" s="87"/>
      <c r="N564" s="79"/>
      <c r="O564" s="79"/>
      <c r="P564" s="79"/>
      <c r="Q564" s="79"/>
      <c r="R564" s="79"/>
      <c r="S564" s="79"/>
      <c r="T564" s="79"/>
      <c r="U564" s="79"/>
      <c r="V564" s="79"/>
      <c r="W564" s="79"/>
      <c r="X564" s="79"/>
      <c r="Y564" s="79"/>
      <c r="Z564" s="79"/>
      <c r="AA564" s="79"/>
      <c r="AB564" s="79"/>
    </row>
    <row r="565" spans="1:28" ht="15.8" customHeight="1" x14ac:dyDescent="0.15">
      <c r="A565" s="79"/>
      <c r="B565" s="79"/>
      <c r="C565" s="79"/>
      <c r="D565" s="79"/>
      <c r="E565" s="79"/>
      <c r="F565" s="79"/>
      <c r="G565" s="79"/>
      <c r="H565" s="79"/>
      <c r="I565" s="79"/>
      <c r="J565" s="87"/>
      <c r="K565" s="87"/>
      <c r="L565" s="87"/>
      <c r="M565" s="87"/>
      <c r="N565" s="79"/>
      <c r="O565" s="79"/>
      <c r="P565" s="79"/>
      <c r="Q565" s="79"/>
      <c r="R565" s="79"/>
      <c r="S565" s="79"/>
      <c r="T565" s="79"/>
      <c r="U565" s="79"/>
      <c r="V565" s="79"/>
      <c r="W565" s="79"/>
      <c r="X565" s="79"/>
      <c r="Y565" s="79"/>
      <c r="Z565" s="79"/>
      <c r="AA565" s="79"/>
      <c r="AB565" s="79"/>
    </row>
    <row r="566" spans="1:28" ht="15.8" customHeight="1" x14ac:dyDescent="0.15">
      <c r="A566" s="79"/>
      <c r="B566" s="79"/>
      <c r="C566" s="79"/>
      <c r="D566" s="79"/>
      <c r="E566" s="79"/>
      <c r="F566" s="79"/>
      <c r="G566" s="79"/>
      <c r="H566" s="79"/>
      <c r="I566" s="79"/>
      <c r="J566" s="87"/>
      <c r="K566" s="87"/>
      <c r="L566" s="87"/>
      <c r="M566" s="87"/>
      <c r="N566" s="79"/>
      <c r="O566" s="79"/>
      <c r="P566" s="79"/>
      <c r="Q566" s="79"/>
      <c r="R566" s="79"/>
      <c r="S566" s="79"/>
      <c r="T566" s="79"/>
      <c r="U566" s="79"/>
      <c r="V566" s="79"/>
      <c r="W566" s="79"/>
      <c r="X566" s="79"/>
      <c r="Y566" s="79"/>
      <c r="Z566" s="79"/>
      <c r="AA566" s="79"/>
      <c r="AB566" s="79"/>
    </row>
    <row r="567" spans="1:28" ht="15.8" customHeight="1" x14ac:dyDescent="0.15">
      <c r="A567" s="79"/>
      <c r="B567" s="79"/>
      <c r="C567" s="79"/>
      <c r="D567" s="79"/>
      <c r="E567" s="79"/>
      <c r="F567" s="79"/>
      <c r="G567" s="79"/>
      <c r="H567" s="79"/>
      <c r="I567" s="79"/>
      <c r="J567" s="87"/>
      <c r="K567" s="87"/>
      <c r="L567" s="87"/>
      <c r="M567" s="87"/>
      <c r="N567" s="79"/>
      <c r="O567" s="79"/>
      <c r="P567" s="79"/>
      <c r="Q567" s="79"/>
      <c r="R567" s="79"/>
      <c r="S567" s="79"/>
      <c r="T567" s="79"/>
      <c r="U567" s="79"/>
      <c r="V567" s="79"/>
      <c r="W567" s="79"/>
      <c r="X567" s="79"/>
      <c r="Y567" s="79"/>
      <c r="Z567" s="79"/>
      <c r="AA567" s="79"/>
      <c r="AB567" s="79"/>
    </row>
    <row r="568" spans="1:28" ht="15.8" customHeight="1" x14ac:dyDescent="0.15">
      <c r="A568" s="79"/>
      <c r="B568" s="79"/>
      <c r="C568" s="79"/>
      <c r="D568" s="79"/>
      <c r="E568" s="79"/>
      <c r="F568" s="79"/>
      <c r="G568" s="79"/>
      <c r="H568" s="79"/>
      <c r="I568" s="79"/>
      <c r="J568" s="87"/>
      <c r="K568" s="87"/>
      <c r="L568" s="87"/>
      <c r="M568" s="87"/>
      <c r="N568" s="79"/>
      <c r="O568" s="79"/>
      <c r="P568" s="79"/>
      <c r="Q568" s="79"/>
      <c r="R568" s="79"/>
      <c r="S568" s="79"/>
      <c r="T568" s="79"/>
      <c r="U568" s="79"/>
      <c r="V568" s="79"/>
      <c r="W568" s="79"/>
      <c r="X568" s="79"/>
      <c r="Y568" s="79"/>
      <c r="Z568" s="79"/>
      <c r="AA568" s="79"/>
      <c r="AB568" s="79"/>
    </row>
    <row r="569" spans="1:28" ht="15.8" customHeight="1" x14ac:dyDescent="0.15">
      <c r="A569" s="79"/>
      <c r="B569" s="79"/>
      <c r="C569" s="79"/>
      <c r="D569" s="79"/>
      <c r="E569" s="79"/>
      <c r="F569" s="79"/>
      <c r="G569" s="79"/>
      <c r="H569" s="79"/>
      <c r="I569" s="79"/>
      <c r="J569" s="87"/>
      <c r="K569" s="87"/>
      <c r="L569" s="87"/>
      <c r="M569" s="87"/>
      <c r="N569" s="79"/>
      <c r="O569" s="79"/>
      <c r="P569" s="79"/>
      <c r="Q569" s="79"/>
      <c r="R569" s="79"/>
      <c r="S569" s="79"/>
      <c r="T569" s="79"/>
      <c r="U569" s="79"/>
      <c r="V569" s="79"/>
      <c r="W569" s="79"/>
      <c r="X569" s="79"/>
      <c r="Y569" s="79"/>
      <c r="Z569" s="79"/>
      <c r="AA569" s="79"/>
      <c r="AB569" s="79"/>
    </row>
    <row r="570" spans="1:28" ht="15.8" customHeight="1" x14ac:dyDescent="0.15">
      <c r="A570" s="79"/>
      <c r="B570" s="79"/>
      <c r="C570" s="79"/>
      <c r="D570" s="79"/>
      <c r="E570" s="79"/>
      <c r="F570" s="79"/>
      <c r="G570" s="79"/>
      <c r="H570" s="79"/>
      <c r="I570" s="79"/>
      <c r="J570" s="87"/>
      <c r="K570" s="87"/>
      <c r="L570" s="87"/>
      <c r="M570" s="87"/>
      <c r="N570" s="79"/>
      <c r="O570" s="79"/>
      <c r="P570" s="79"/>
      <c r="Q570" s="79"/>
      <c r="R570" s="79"/>
      <c r="S570" s="79"/>
      <c r="T570" s="79"/>
      <c r="U570" s="79"/>
      <c r="V570" s="79"/>
      <c r="W570" s="79"/>
      <c r="X570" s="79"/>
      <c r="Y570" s="79"/>
      <c r="Z570" s="79"/>
      <c r="AA570" s="79"/>
      <c r="AB570" s="79"/>
    </row>
    <row r="571" spans="1:28" ht="15.8" customHeight="1" x14ac:dyDescent="0.15">
      <c r="A571" s="79"/>
      <c r="B571" s="79"/>
      <c r="C571" s="79"/>
      <c r="D571" s="79"/>
      <c r="E571" s="79"/>
      <c r="F571" s="79"/>
      <c r="G571" s="79"/>
      <c r="H571" s="79"/>
      <c r="I571" s="79"/>
      <c r="J571" s="87"/>
      <c r="K571" s="87"/>
      <c r="L571" s="87"/>
      <c r="M571" s="87"/>
      <c r="N571" s="79"/>
      <c r="O571" s="79"/>
      <c r="P571" s="79"/>
      <c r="Q571" s="79"/>
      <c r="R571" s="79"/>
      <c r="S571" s="79"/>
      <c r="T571" s="79"/>
      <c r="U571" s="79"/>
      <c r="V571" s="79"/>
      <c r="W571" s="79"/>
      <c r="X571" s="79"/>
      <c r="Y571" s="79"/>
      <c r="Z571" s="79"/>
      <c r="AA571" s="79"/>
      <c r="AB571" s="79"/>
    </row>
    <row r="572" spans="1:28" ht="15.8" customHeight="1" x14ac:dyDescent="0.15">
      <c r="A572" s="79"/>
      <c r="B572" s="79"/>
      <c r="C572" s="79"/>
      <c r="D572" s="79"/>
      <c r="E572" s="79"/>
      <c r="F572" s="79"/>
      <c r="G572" s="79"/>
      <c r="H572" s="79"/>
      <c r="I572" s="79"/>
      <c r="J572" s="87"/>
      <c r="K572" s="87"/>
      <c r="L572" s="87"/>
      <c r="M572" s="87"/>
      <c r="N572" s="79"/>
      <c r="O572" s="79"/>
      <c r="P572" s="79"/>
      <c r="Q572" s="79"/>
      <c r="R572" s="79"/>
      <c r="S572" s="79"/>
      <c r="T572" s="79"/>
      <c r="U572" s="79"/>
      <c r="V572" s="79"/>
      <c r="W572" s="79"/>
      <c r="X572" s="79"/>
      <c r="Y572" s="79"/>
      <c r="Z572" s="79"/>
      <c r="AA572" s="79"/>
      <c r="AB572" s="79"/>
    </row>
    <row r="573" spans="1:28" ht="15.8" customHeight="1" x14ac:dyDescent="0.15">
      <c r="A573" s="79"/>
      <c r="B573" s="79"/>
      <c r="C573" s="79"/>
      <c r="D573" s="79"/>
      <c r="E573" s="79"/>
      <c r="F573" s="79"/>
      <c r="G573" s="79"/>
      <c r="H573" s="79"/>
      <c r="I573" s="79"/>
      <c r="J573" s="87"/>
      <c r="K573" s="87"/>
      <c r="L573" s="87"/>
      <c r="M573" s="87"/>
      <c r="N573" s="79"/>
      <c r="O573" s="79"/>
      <c r="P573" s="79"/>
      <c r="Q573" s="79"/>
      <c r="R573" s="79"/>
      <c r="S573" s="79"/>
      <c r="T573" s="79"/>
      <c r="U573" s="79"/>
      <c r="V573" s="79"/>
      <c r="W573" s="79"/>
      <c r="X573" s="79"/>
      <c r="Y573" s="79"/>
      <c r="Z573" s="79"/>
      <c r="AA573" s="79"/>
      <c r="AB573" s="79"/>
    </row>
    <row r="574" spans="1:28" ht="15.8" customHeight="1" x14ac:dyDescent="0.15">
      <c r="A574" s="79"/>
      <c r="B574" s="79"/>
      <c r="C574" s="79"/>
      <c r="D574" s="79"/>
      <c r="E574" s="79"/>
      <c r="F574" s="79"/>
      <c r="G574" s="79"/>
      <c r="H574" s="79"/>
      <c r="I574" s="79"/>
      <c r="J574" s="87"/>
      <c r="K574" s="87"/>
      <c r="L574" s="87"/>
      <c r="M574" s="87"/>
      <c r="N574" s="79"/>
      <c r="O574" s="79"/>
      <c r="P574" s="79"/>
      <c r="Q574" s="79"/>
      <c r="R574" s="79"/>
      <c r="S574" s="79"/>
      <c r="T574" s="79"/>
      <c r="U574" s="79"/>
      <c r="V574" s="79"/>
      <c r="W574" s="79"/>
      <c r="X574" s="79"/>
      <c r="Y574" s="79"/>
      <c r="Z574" s="79"/>
      <c r="AA574" s="79"/>
      <c r="AB574" s="79"/>
    </row>
    <row r="575" spans="1:28" ht="15.8" customHeight="1" x14ac:dyDescent="0.15">
      <c r="A575" s="79"/>
      <c r="B575" s="79"/>
      <c r="C575" s="79"/>
      <c r="D575" s="79"/>
      <c r="E575" s="79"/>
      <c r="F575" s="79"/>
      <c r="G575" s="79"/>
      <c r="H575" s="79"/>
      <c r="I575" s="79"/>
      <c r="J575" s="87"/>
      <c r="K575" s="87"/>
      <c r="L575" s="87"/>
      <c r="M575" s="87"/>
      <c r="N575" s="79"/>
      <c r="O575" s="79"/>
      <c r="P575" s="79"/>
      <c r="Q575" s="79"/>
      <c r="R575" s="79"/>
      <c r="S575" s="79"/>
      <c r="T575" s="79"/>
      <c r="U575" s="79"/>
      <c r="V575" s="79"/>
      <c r="W575" s="79"/>
      <c r="X575" s="79"/>
      <c r="Y575" s="79"/>
      <c r="Z575" s="79"/>
      <c r="AA575" s="79"/>
      <c r="AB575" s="79"/>
    </row>
    <row r="576" spans="1:28" ht="15.8" customHeight="1" x14ac:dyDescent="0.15">
      <c r="A576" s="79"/>
      <c r="B576" s="79"/>
      <c r="C576" s="79"/>
      <c r="D576" s="79"/>
      <c r="E576" s="79"/>
      <c r="F576" s="79"/>
      <c r="G576" s="79"/>
      <c r="H576" s="79"/>
      <c r="I576" s="79"/>
      <c r="J576" s="87"/>
      <c r="K576" s="87"/>
      <c r="L576" s="87"/>
      <c r="M576" s="87"/>
      <c r="N576" s="79"/>
      <c r="O576" s="79"/>
      <c r="P576" s="79"/>
      <c r="Q576" s="79"/>
      <c r="R576" s="79"/>
      <c r="S576" s="79"/>
      <c r="T576" s="79"/>
      <c r="U576" s="79"/>
      <c r="V576" s="79"/>
      <c r="W576" s="79"/>
      <c r="X576" s="79"/>
      <c r="Y576" s="79"/>
      <c r="Z576" s="79"/>
      <c r="AA576" s="79"/>
      <c r="AB576" s="79"/>
    </row>
    <row r="577" spans="1:28" ht="15.8" customHeight="1" x14ac:dyDescent="0.15">
      <c r="A577" s="79"/>
      <c r="B577" s="79"/>
      <c r="C577" s="79"/>
      <c r="D577" s="79"/>
      <c r="E577" s="79"/>
      <c r="F577" s="79"/>
      <c r="G577" s="79"/>
      <c r="H577" s="79"/>
      <c r="I577" s="79"/>
      <c r="J577" s="87"/>
      <c r="K577" s="87"/>
      <c r="L577" s="87"/>
      <c r="M577" s="87"/>
      <c r="N577" s="79"/>
      <c r="O577" s="79"/>
      <c r="P577" s="79"/>
      <c r="Q577" s="79"/>
      <c r="R577" s="79"/>
      <c r="S577" s="79"/>
      <c r="T577" s="79"/>
      <c r="U577" s="79"/>
      <c r="V577" s="79"/>
      <c r="W577" s="79"/>
      <c r="X577" s="79"/>
      <c r="Y577" s="79"/>
      <c r="Z577" s="79"/>
      <c r="AA577" s="79"/>
      <c r="AB577" s="79"/>
    </row>
    <row r="578" spans="1:28" ht="15.8" customHeight="1" x14ac:dyDescent="0.15">
      <c r="A578" s="79"/>
      <c r="B578" s="79"/>
      <c r="C578" s="79"/>
      <c r="D578" s="79"/>
      <c r="E578" s="79"/>
      <c r="F578" s="79"/>
      <c r="G578" s="79"/>
      <c r="H578" s="79"/>
      <c r="I578" s="79"/>
      <c r="J578" s="87"/>
      <c r="K578" s="87"/>
      <c r="L578" s="87"/>
      <c r="M578" s="87"/>
      <c r="N578" s="79"/>
      <c r="O578" s="79"/>
      <c r="P578" s="79"/>
      <c r="Q578" s="79"/>
      <c r="R578" s="79"/>
      <c r="S578" s="79"/>
      <c r="T578" s="79"/>
      <c r="U578" s="79"/>
      <c r="V578" s="79"/>
      <c r="W578" s="79"/>
      <c r="X578" s="79"/>
      <c r="Y578" s="79"/>
      <c r="Z578" s="79"/>
      <c r="AA578" s="79"/>
      <c r="AB578" s="79"/>
    </row>
    <row r="579" spans="1:28" ht="15.8" customHeight="1" x14ac:dyDescent="0.15">
      <c r="A579" s="79"/>
      <c r="B579" s="79"/>
      <c r="C579" s="79"/>
      <c r="D579" s="79"/>
      <c r="E579" s="79"/>
      <c r="F579" s="79"/>
      <c r="G579" s="79"/>
      <c r="H579" s="79"/>
      <c r="I579" s="79"/>
      <c r="J579" s="87"/>
      <c r="K579" s="87"/>
      <c r="L579" s="87"/>
      <c r="M579" s="87"/>
      <c r="N579" s="79"/>
      <c r="O579" s="79"/>
      <c r="P579" s="79"/>
      <c r="Q579" s="79"/>
      <c r="R579" s="79"/>
      <c r="S579" s="79"/>
      <c r="T579" s="79"/>
      <c r="U579" s="79"/>
      <c r="V579" s="79"/>
      <c r="W579" s="79"/>
      <c r="X579" s="79"/>
      <c r="Y579" s="79"/>
      <c r="Z579" s="79"/>
      <c r="AA579" s="79"/>
      <c r="AB579" s="79"/>
    </row>
    <row r="580" spans="1:28" ht="15.8" customHeight="1" x14ac:dyDescent="0.15">
      <c r="A580" s="79"/>
      <c r="B580" s="79"/>
      <c r="C580" s="79"/>
      <c r="D580" s="79"/>
      <c r="E580" s="79"/>
      <c r="F580" s="79"/>
      <c r="G580" s="79"/>
      <c r="H580" s="79"/>
      <c r="I580" s="79"/>
      <c r="J580" s="87"/>
      <c r="K580" s="87"/>
      <c r="L580" s="87"/>
      <c r="M580" s="87"/>
      <c r="N580" s="79"/>
      <c r="O580" s="79"/>
      <c r="P580" s="79"/>
      <c r="Q580" s="79"/>
      <c r="R580" s="79"/>
      <c r="S580" s="79"/>
      <c r="T580" s="79"/>
      <c r="U580" s="79"/>
      <c r="V580" s="79"/>
      <c r="W580" s="79"/>
      <c r="X580" s="79"/>
      <c r="Y580" s="79"/>
      <c r="Z580" s="79"/>
      <c r="AA580" s="79"/>
      <c r="AB580" s="79"/>
    </row>
    <row r="581" spans="1:28" ht="15.8" customHeight="1" x14ac:dyDescent="0.15">
      <c r="A581" s="79"/>
      <c r="B581" s="79"/>
      <c r="C581" s="79"/>
      <c r="D581" s="79"/>
      <c r="E581" s="79"/>
      <c r="F581" s="79"/>
      <c r="G581" s="79"/>
      <c r="H581" s="79"/>
      <c r="I581" s="79"/>
      <c r="J581" s="87"/>
      <c r="K581" s="87"/>
      <c r="L581" s="87"/>
      <c r="M581" s="87"/>
      <c r="N581" s="79"/>
      <c r="O581" s="79"/>
      <c r="P581" s="79"/>
      <c r="Q581" s="79"/>
      <c r="R581" s="79"/>
      <c r="S581" s="79"/>
      <c r="T581" s="79"/>
      <c r="U581" s="79"/>
      <c r="V581" s="79"/>
      <c r="W581" s="79"/>
      <c r="X581" s="79"/>
      <c r="Y581" s="79"/>
      <c r="Z581" s="79"/>
      <c r="AA581" s="79"/>
      <c r="AB581" s="79"/>
    </row>
    <row r="582" spans="1:28" ht="15.8" customHeight="1" x14ac:dyDescent="0.15">
      <c r="A582" s="79"/>
      <c r="B582" s="79"/>
      <c r="C582" s="79"/>
      <c r="D582" s="79"/>
      <c r="E582" s="79"/>
      <c r="F582" s="79"/>
      <c r="G582" s="79"/>
      <c r="H582" s="79"/>
      <c r="I582" s="79"/>
      <c r="J582" s="87"/>
      <c r="K582" s="87"/>
      <c r="L582" s="87"/>
      <c r="M582" s="87"/>
      <c r="N582" s="79"/>
      <c r="O582" s="79"/>
      <c r="P582" s="79"/>
      <c r="Q582" s="79"/>
      <c r="R582" s="79"/>
      <c r="S582" s="79"/>
      <c r="T582" s="79"/>
      <c r="U582" s="79"/>
      <c r="V582" s="79"/>
      <c r="W582" s="79"/>
      <c r="X582" s="79"/>
      <c r="Y582" s="79"/>
      <c r="Z582" s="79"/>
      <c r="AA582" s="79"/>
      <c r="AB582" s="79"/>
    </row>
    <row r="583" spans="1:28" ht="15.8" customHeight="1" x14ac:dyDescent="0.15">
      <c r="A583" s="79"/>
      <c r="B583" s="79"/>
      <c r="C583" s="79"/>
      <c r="D583" s="79"/>
      <c r="E583" s="79"/>
      <c r="F583" s="79"/>
      <c r="G583" s="79"/>
      <c r="H583" s="79"/>
      <c r="I583" s="79"/>
      <c r="J583" s="87"/>
      <c r="K583" s="87"/>
      <c r="L583" s="87"/>
      <c r="M583" s="87"/>
      <c r="N583" s="79"/>
      <c r="O583" s="79"/>
      <c r="P583" s="79"/>
      <c r="Q583" s="79"/>
      <c r="R583" s="79"/>
      <c r="S583" s="79"/>
      <c r="T583" s="79"/>
      <c r="U583" s="79"/>
      <c r="V583" s="79"/>
      <c r="W583" s="79"/>
      <c r="X583" s="79"/>
      <c r="Y583" s="79"/>
      <c r="Z583" s="79"/>
      <c r="AA583" s="79"/>
      <c r="AB583" s="79"/>
    </row>
    <row r="584" spans="1:28" ht="15.8" customHeight="1" x14ac:dyDescent="0.15">
      <c r="A584" s="79"/>
      <c r="B584" s="79"/>
      <c r="C584" s="79"/>
      <c r="D584" s="79"/>
      <c r="E584" s="79"/>
      <c r="F584" s="79"/>
      <c r="G584" s="79"/>
      <c r="H584" s="79"/>
      <c r="I584" s="79"/>
      <c r="J584" s="87"/>
      <c r="K584" s="87"/>
      <c r="L584" s="87"/>
      <c r="M584" s="87"/>
      <c r="N584" s="79"/>
      <c r="O584" s="79"/>
      <c r="P584" s="79"/>
      <c r="Q584" s="79"/>
      <c r="R584" s="79"/>
      <c r="S584" s="79"/>
      <c r="T584" s="79"/>
      <c r="U584" s="79"/>
      <c r="V584" s="79"/>
      <c r="W584" s="79"/>
      <c r="X584" s="79"/>
      <c r="Y584" s="79"/>
      <c r="Z584" s="79"/>
      <c r="AA584" s="79"/>
      <c r="AB584" s="79"/>
    </row>
    <row r="585" spans="1:28" ht="15.8" customHeight="1" x14ac:dyDescent="0.15">
      <c r="A585" s="79"/>
      <c r="B585" s="79"/>
      <c r="C585" s="79"/>
      <c r="D585" s="79"/>
      <c r="E585" s="79"/>
      <c r="F585" s="79"/>
      <c r="G585" s="79"/>
      <c r="H585" s="79"/>
      <c r="I585" s="79"/>
      <c r="J585" s="87"/>
      <c r="K585" s="87"/>
      <c r="L585" s="87"/>
      <c r="M585" s="87"/>
      <c r="N585" s="79"/>
      <c r="O585" s="79"/>
      <c r="P585" s="79"/>
      <c r="Q585" s="79"/>
      <c r="R585" s="79"/>
      <c r="S585" s="79"/>
      <c r="T585" s="79"/>
      <c r="U585" s="79"/>
      <c r="V585" s="79"/>
      <c r="W585" s="79"/>
      <c r="X585" s="79"/>
      <c r="Y585" s="79"/>
      <c r="Z585" s="79"/>
      <c r="AA585" s="79"/>
      <c r="AB585" s="79"/>
    </row>
    <row r="586" spans="1:28" ht="15.8" customHeight="1" x14ac:dyDescent="0.15">
      <c r="A586" s="79"/>
      <c r="B586" s="79"/>
      <c r="C586" s="79"/>
      <c r="D586" s="79"/>
      <c r="E586" s="79"/>
      <c r="F586" s="79"/>
      <c r="G586" s="79"/>
      <c r="H586" s="79"/>
      <c r="I586" s="79"/>
      <c r="J586" s="87"/>
      <c r="K586" s="87"/>
      <c r="L586" s="87"/>
      <c r="M586" s="87"/>
      <c r="N586" s="79"/>
      <c r="O586" s="79"/>
      <c r="P586" s="79"/>
      <c r="Q586" s="79"/>
      <c r="R586" s="79"/>
      <c r="S586" s="79"/>
      <c r="T586" s="79"/>
      <c r="U586" s="79"/>
      <c r="V586" s="79"/>
      <c r="W586" s="79"/>
      <c r="X586" s="79"/>
      <c r="Y586" s="79"/>
      <c r="Z586" s="79"/>
      <c r="AA586" s="79"/>
      <c r="AB586" s="79"/>
    </row>
    <row r="587" spans="1:28" ht="15.8" customHeight="1" x14ac:dyDescent="0.15">
      <c r="A587" s="79"/>
      <c r="B587" s="79"/>
      <c r="C587" s="79"/>
      <c r="D587" s="79"/>
      <c r="E587" s="79"/>
      <c r="F587" s="79"/>
      <c r="G587" s="79"/>
      <c r="H587" s="79"/>
      <c r="I587" s="79"/>
      <c r="J587" s="87"/>
      <c r="K587" s="87"/>
      <c r="L587" s="87"/>
      <c r="M587" s="87"/>
      <c r="N587" s="79"/>
      <c r="O587" s="79"/>
      <c r="P587" s="79"/>
      <c r="Q587" s="79"/>
      <c r="R587" s="79"/>
      <c r="S587" s="79"/>
      <c r="T587" s="79"/>
      <c r="U587" s="79"/>
      <c r="V587" s="79"/>
      <c r="W587" s="79"/>
      <c r="X587" s="79"/>
      <c r="Y587" s="79"/>
      <c r="Z587" s="79"/>
      <c r="AA587" s="79"/>
      <c r="AB587" s="79"/>
    </row>
    <row r="588" spans="1:28" ht="15.8" customHeight="1" x14ac:dyDescent="0.15">
      <c r="A588" s="79"/>
      <c r="B588" s="79"/>
      <c r="C588" s="79"/>
      <c r="D588" s="79"/>
      <c r="E588" s="79"/>
      <c r="F588" s="79"/>
      <c r="G588" s="79"/>
      <c r="H588" s="79"/>
      <c r="I588" s="79"/>
      <c r="J588" s="87"/>
      <c r="K588" s="87"/>
      <c r="L588" s="87"/>
      <c r="M588" s="87"/>
      <c r="N588" s="79"/>
      <c r="O588" s="79"/>
      <c r="P588" s="79"/>
      <c r="Q588" s="79"/>
      <c r="R588" s="79"/>
      <c r="S588" s="79"/>
      <c r="T588" s="79"/>
      <c r="U588" s="79"/>
      <c r="V588" s="79"/>
      <c r="W588" s="79"/>
      <c r="X588" s="79"/>
      <c r="Y588" s="79"/>
      <c r="Z588" s="79"/>
      <c r="AA588" s="79"/>
      <c r="AB588" s="79"/>
    </row>
    <row r="589" spans="1:28" ht="15.8" customHeight="1" x14ac:dyDescent="0.15">
      <c r="A589" s="79"/>
      <c r="B589" s="79"/>
      <c r="C589" s="79"/>
      <c r="D589" s="79"/>
      <c r="E589" s="79"/>
      <c r="F589" s="79"/>
      <c r="G589" s="79"/>
      <c r="H589" s="79"/>
      <c r="I589" s="79"/>
      <c r="J589" s="87"/>
      <c r="K589" s="87"/>
      <c r="L589" s="87"/>
      <c r="M589" s="87"/>
      <c r="N589" s="79"/>
      <c r="O589" s="79"/>
      <c r="P589" s="79"/>
      <c r="Q589" s="79"/>
      <c r="R589" s="79"/>
      <c r="S589" s="79"/>
      <c r="T589" s="79"/>
      <c r="U589" s="79"/>
      <c r="V589" s="79"/>
      <c r="W589" s="79"/>
      <c r="X589" s="79"/>
      <c r="Y589" s="79"/>
      <c r="Z589" s="79"/>
      <c r="AA589" s="79"/>
      <c r="AB589" s="79"/>
    </row>
    <row r="590" spans="1:28" ht="15.8" customHeight="1" x14ac:dyDescent="0.15">
      <c r="A590" s="79"/>
      <c r="B590" s="79"/>
      <c r="C590" s="79"/>
      <c r="D590" s="79"/>
      <c r="E590" s="79"/>
      <c r="F590" s="79"/>
      <c r="G590" s="79"/>
      <c r="H590" s="79"/>
      <c r="I590" s="79"/>
      <c r="J590" s="87"/>
      <c r="K590" s="87"/>
      <c r="L590" s="87"/>
      <c r="M590" s="87"/>
      <c r="N590" s="79"/>
      <c r="O590" s="79"/>
      <c r="P590" s="79"/>
      <c r="Q590" s="79"/>
      <c r="R590" s="79"/>
      <c r="S590" s="79"/>
      <c r="T590" s="79"/>
      <c r="U590" s="79"/>
      <c r="V590" s="79"/>
      <c r="W590" s="79"/>
      <c r="X590" s="79"/>
      <c r="Y590" s="79"/>
      <c r="Z590" s="79"/>
      <c r="AA590" s="79"/>
      <c r="AB590" s="79"/>
    </row>
    <row r="591" spans="1:28" ht="15.8" customHeight="1" x14ac:dyDescent="0.15">
      <c r="A591" s="79"/>
      <c r="B591" s="79"/>
      <c r="C591" s="79"/>
      <c r="D591" s="79"/>
      <c r="E591" s="79"/>
      <c r="F591" s="79"/>
      <c r="G591" s="79"/>
      <c r="H591" s="79"/>
      <c r="I591" s="79"/>
      <c r="J591" s="87"/>
      <c r="K591" s="87"/>
      <c r="L591" s="87"/>
      <c r="M591" s="87"/>
      <c r="N591" s="79"/>
      <c r="O591" s="79"/>
      <c r="P591" s="79"/>
      <c r="Q591" s="79"/>
      <c r="R591" s="79"/>
      <c r="S591" s="79"/>
      <c r="T591" s="79"/>
      <c r="U591" s="79"/>
      <c r="V591" s="79"/>
      <c r="W591" s="79"/>
      <c r="X591" s="79"/>
      <c r="Y591" s="79"/>
      <c r="Z591" s="79"/>
      <c r="AA591" s="79"/>
      <c r="AB591" s="79"/>
    </row>
    <row r="592" spans="1:28" ht="15.8" customHeight="1" x14ac:dyDescent="0.15">
      <c r="A592" s="79"/>
      <c r="B592" s="79"/>
      <c r="C592" s="79"/>
      <c r="D592" s="79"/>
      <c r="E592" s="79"/>
      <c r="F592" s="79"/>
      <c r="G592" s="79"/>
      <c r="H592" s="79"/>
      <c r="I592" s="79"/>
      <c r="J592" s="87"/>
      <c r="K592" s="87"/>
      <c r="L592" s="87"/>
      <c r="M592" s="87"/>
      <c r="N592" s="79"/>
      <c r="O592" s="79"/>
      <c r="P592" s="79"/>
      <c r="Q592" s="79"/>
      <c r="R592" s="79"/>
      <c r="S592" s="79"/>
      <c r="T592" s="79"/>
      <c r="U592" s="79"/>
      <c r="V592" s="79"/>
      <c r="W592" s="79"/>
      <c r="X592" s="79"/>
      <c r="Y592" s="79"/>
      <c r="Z592" s="79"/>
      <c r="AA592" s="79"/>
      <c r="AB592" s="79"/>
    </row>
    <row r="593" spans="1:28" ht="15.8" customHeight="1" x14ac:dyDescent="0.15">
      <c r="A593" s="79"/>
      <c r="B593" s="79"/>
      <c r="C593" s="79"/>
      <c r="D593" s="79"/>
      <c r="E593" s="79"/>
      <c r="F593" s="79"/>
      <c r="G593" s="79"/>
      <c r="H593" s="79"/>
      <c r="I593" s="79"/>
      <c r="J593" s="87"/>
      <c r="K593" s="87"/>
      <c r="L593" s="87"/>
      <c r="M593" s="87"/>
      <c r="N593" s="79"/>
      <c r="O593" s="79"/>
      <c r="P593" s="79"/>
      <c r="Q593" s="79"/>
      <c r="R593" s="79"/>
      <c r="S593" s="79"/>
      <c r="T593" s="79"/>
      <c r="U593" s="79"/>
      <c r="V593" s="79"/>
      <c r="W593" s="79"/>
      <c r="X593" s="79"/>
      <c r="Y593" s="79"/>
      <c r="Z593" s="79"/>
      <c r="AA593" s="79"/>
      <c r="AB593" s="79"/>
    </row>
    <row r="594" spans="1:28" ht="15.8" customHeight="1" x14ac:dyDescent="0.15">
      <c r="A594" s="79"/>
      <c r="B594" s="79"/>
      <c r="C594" s="79"/>
      <c r="D594" s="79"/>
      <c r="E594" s="79"/>
      <c r="F594" s="79"/>
      <c r="G594" s="79"/>
      <c r="H594" s="79"/>
      <c r="I594" s="79"/>
      <c r="J594" s="87"/>
      <c r="K594" s="87"/>
      <c r="L594" s="87"/>
      <c r="M594" s="87"/>
      <c r="N594" s="79"/>
      <c r="O594" s="79"/>
      <c r="P594" s="79"/>
      <c r="Q594" s="79"/>
      <c r="R594" s="79"/>
      <c r="S594" s="79"/>
      <c r="T594" s="79"/>
      <c r="U594" s="79"/>
      <c r="V594" s="79"/>
      <c r="W594" s="79"/>
      <c r="X594" s="79"/>
      <c r="Y594" s="79"/>
      <c r="Z594" s="79"/>
      <c r="AA594" s="79"/>
      <c r="AB594" s="79"/>
    </row>
    <row r="595" spans="1:28" ht="15.8" customHeight="1" x14ac:dyDescent="0.15">
      <c r="A595" s="79"/>
      <c r="B595" s="79"/>
      <c r="C595" s="79"/>
      <c r="D595" s="79"/>
      <c r="E595" s="79"/>
      <c r="F595" s="79"/>
      <c r="G595" s="79"/>
      <c r="H595" s="79"/>
      <c r="I595" s="79"/>
      <c r="J595" s="87"/>
      <c r="K595" s="87"/>
      <c r="L595" s="87"/>
      <c r="M595" s="87"/>
      <c r="N595" s="79"/>
      <c r="O595" s="79"/>
      <c r="P595" s="79"/>
      <c r="Q595" s="79"/>
      <c r="R595" s="79"/>
      <c r="S595" s="79"/>
      <c r="T595" s="79"/>
      <c r="U595" s="79"/>
      <c r="V595" s="79"/>
      <c r="W595" s="79"/>
      <c r="X595" s="79"/>
      <c r="Y595" s="79"/>
      <c r="Z595" s="79"/>
      <c r="AA595" s="79"/>
      <c r="AB595" s="79"/>
    </row>
    <row r="596" spans="1:28" ht="15.8" customHeight="1" x14ac:dyDescent="0.15">
      <c r="A596" s="79"/>
      <c r="B596" s="79"/>
      <c r="C596" s="79"/>
      <c r="D596" s="79"/>
      <c r="E596" s="79"/>
      <c r="F596" s="79"/>
      <c r="G596" s="79"/>
      <c r="H596" s="79"/>
      <c r="I596" s="79"/>
      <c r="J596" s="87"/>
      <c r="K596" s="87"/>
      <c r="L596" s="87"/>
      <c r="M596" s="87"/>
      <c r="N596" s="79"/>
      <c r="O596" s="79"/>
      <c r="P596" s="79"/>
      <c r="Q596" s="79"/>
      <c r="R596" s="79"/>
      <c r="S596" s="79"/>
      <c r="T596" s="79"/>
      <c r="U596" s="79"/>
      <c r="V596" s="79"/>
      <c r="W596" s="79"/>
      <c r="X596" s="79"/>
      <c r="Y596" s="79"/>
      <c r="Z596" s="79"/>
      <c r="AA596" s="79"/>
      <c r="AB596" s="79"/>
    </row>
    <row r="597" spans="1:28" ht="15.8" customHeight="1" x14ac:dyDescent="0.15">
      <c r="A597" s="79"/>
      <c r="B597" s="79"/>
      <c r="C597" s="79"/>
      <c r="D597" s="79"/>
      <c r="E597" s="79"/>
      <c r="F597" s="79"/>
      <c r="G597" s="79"/>
      <c r="H597" s="79"/>
      <c r="I597" s="79"/>
      <c r="J597" s="87"/>
      <c r="K597" s="87"/>
      <c r="L597" s="87"/>
      <c r="M597" s="87"/>
      <c r="N597" s="79"/>
      <c r="O597" s="79"/>
      <c r="P597" s="79"/>
      <c r="Q597" s="79"/>
      <c r="R597" s="79"/>
      <c r="S597" s="79"/>
      <c r="T597" s="79"/>
      <c r="U597" s="79"/>
      <c r="V597" s="79"/>
      <c r="W597" s="79"/>
      <c r="X597" s="79"/>
      <c r="Y597" s="79"/>
      <c r="Z597" s="79"/>
      <c r="AA597" s="79"/>
      <c r="AB597" s="79"/>
    </row>
    <row r="598" spans="1:28" ht="15.8" customHeight="1" x14ac:dyDescent="0.15">
      <c r="A598" s="79"/>
      <c r="B598" s="79"/>
      <c r="C598" s="79"/>
      <c r="D598" s="79"/>
      <c r="E598" s="79"/>
      <c r="F598" s="79"/>
      <c r="G598" s="79"/>
      <c r="H598" s="79"/>
      <c r="I598" s="79"/>
      <c r="J598" s="87"/>
      <c r="K598" s="87"/>
      <c r="L598" s="87"/>
      <c r="M598" s="87"/>
      <c r="N598" s="79"/>
      <c r="O598" s="79"/>
      <c r="P598" s="79"/>
      <c r="Q598" s="79"/>
      <c r="R598" s="79"/>
      <c r="S598" s="79"/>
      <c r="T598" s="79"/>
      <c r="U598" s="79"/>
      <c r="V598" s="79"/>
      <c r="W598" s="79"/>
      <c r="X598" s="79"/>
      <c r="Y598" s="79"/>
      <c r="Z598" s="79"/>
      <c r="AA598" s="79"/>
      <c r="AB598" s="79"/>
    </row>
    <row r="599" spans="1:28" ht="15.8" customHeight="1" x14ac:dyDescent="0.15">
      <c r="A599" s="79"/>
      <c r="B599" s="79"/>
      <c r="C599" s="79"/>
      <c r="D599" s="79"/>
      <c r="E599" s="79"/>
      <c r="F599" s="79"/>
      <c r="G599" s="79"/>
      <c r="H599" s="79"/>
      <c r="I599" s="79"/>
      <c r="J599" s="87"/>
      <c r="K599" s="87"/>
      <c r="L599" s="87"/>
      <c r="M599" s="87"/>
      <c r="N599" s="79"/>
      <c r="O599" s="79"/>
      <c r="P599" s="79"/>
      <c r="Q599" s="79"/>
      <c r="R599" s="79"/>
      <c r="S599" s="79"/>
      <c r="T599" s="79"/>
      <c r="U599" s="79"/>
      <c r="V599" s="79"/>
      <c r="W599" s="79"/>
      <c r="X599" s="79"/>
      <c r="Y599" s="79"/>
      <c r="Z599" s="79"/>
      <c r="AA599" s="79"/>
      <c r="AB599" s="79"/>
    </row>
    <row r="600" spans="1:28" ht="15.8" customHeight="1" x14ac:dyDescent="0.15">
      <c r="A600" s="79"/>
      <c r="B600" s="79"/>
      <c r="C600" s="79"/>
      <c r="D600" s="79"/>
      <c r="E600" s="79"/>
      <c r="F600" s="79"/>
      <c r="G600" s="79"/>
      <c r="H600" s="79"/>
      <c r="I600" s="79"/>
      <c r="J600" s="87"/>
      <c r="K600" s="87"/>
      <c r="L600" s="87"/>
      <c r="M600" s="87"/>
      <c r="N600" s="79"/>
      <c r="O600" s="79"/>
      <c r="P600" s="79"/>
      <c r="Q600" s="79"/>
      <c r="R600" s="79"/>
      <c r="S600" s="79"/>
      <c r="T600" s="79"/>
      <c r="U600" s="79"/>
      <c r="V600" s="79"/>
      <c r="W600" s="79"/>
      <c r="X600" s="79"/>
      <c r="Y600" s="79"/>
      <c r="Z600" s="79"/>
      <c r="AA600" s="79"/>
      <c r="AB600" s="79"/>
    </row>
    <row r="601" spans="1:28" ht="15.8" customHeight="1" x14ac:dyDescent="0.15">
      <c r="A601" s="79"/>
      <c r="B601" s="79"/>
      <c r="C601" s="79"/>
      <c r="D601" s="79"/>
      <c r="E601" s="79"/>
      <c r="F601" s="79"/>
      <c r="G601" s="79"/>
      <c r="H601" s="79"/>
      <c r="I601" s="79"/>
      <c r="J601" s="87"/>
      <c r="K601" s="87"/>
      <c r="L601" s="87"/>
      <c r="M601" s="87"/>
      <c r="N601" s="79"/>
      <c r="O601" s="79"/>
      <c r="P601" s="79"/>
      <c r="Q601" s="79"/>
      <c r="R601" s="79"/>
      <c r="S601" s="79"/>
      <c r="T601" s="79"/>
      <c r="U601" s="79"/>
      <c r="V601" s="79"/>
      <c r="W601" s="79"/>
      <c r="X601" s="79"/>
      <c r="Y601" s="79"/>
      <c r="Z601" s="79"/>
      <c r="AA601" s="79"/>
      <c r="AB601" s="79"/>
    </row>
    <row r="602" spans="1:28" ht="15.8" customHeight="1" x14ac:dyDescent="0.15">
      <c r="A602" s="79"/>
      <c r="B602" s="79"/>
      <c r="C602" s="79"/>
      <c r="D602" s="79"/>
      <c r="E602" s="79"/>
      <c r="F602" s="79"/>
      <c r="G602" s="79"/>
      <c r="H602" s="79"/>
      <c r="I602" s="79"/>
      <c r="J602" s="87"/>
      <c r="K602" s="87"/>
      <c r="L602" s="87"/>
      <c r="M602" s="87"/>
      <c r="N602" s="79"/>
      <c r="O602" s="79"/>
      <c r="P602" s="79"/>
      <c r="Q602" s="79"/>
      <c r="R602" s="79"/>
      <c r="S602" s="79"/>
      <c r="T602" s="79"/>
      <c r="U602" s="79"/>
      <c r="V602" s="79"/>
      <c r="W602" s="79"/>
      <c r="X602" s="79"/>
      <c r="Y602" s="79"/>
      <c r="Z602" s="79"/>
      <c r="AA602" s="79"/>
      <c r="AB602" s="79"/>
    </row>
    <row r="603" spans="1:28" ht="15.8" customHeight="1" x14ac:dyDescent="0.15">
      <c r="A603" s="79"/>
      <c r="B603" s="79"/>
      <c r="C603" s="79"/>
      <c r="D603" s="79"/>
      <c r="E603" s="79"/>
      <c r="F603" s="79"/>
      <c r="G603" s="79"/>
      <c r="H603" s="79"/>
      <c r="I603" s="79"/>
      <c r="J603" s="87"/>
      <c r="K603" s="87"/>
      <c r="L603" s="87"/>
      <c r="M603" s="87"/>
      <c r="N603" s="79"/>
      <c r="O603" s="79"/>
      <c r="P603" s="79"/>
      <c r="Q603" s="79"/>
      <c r="R603" s="79"/>
      <c r="S603" s="79"/>
      <c r="T603" s="79"/>
      <c r="U603" s="79"/>
      <c r="V603" s="79"/>
      <c r="W603" s="79"/>
      <c r="X603" s="79"/>
      <c r="Y603" s="79"/>
      <c r="Z603" s="79"/>
      <c r="AA603" s="79"/>
      <c r="AB603" s="79"/>
    </row>
    <row r="604" spans="1:28" ht="15.8" customHeight="1" x14ac:dyDescent="0.15">
      <c r="A604" s="79"/>
      <c r="B604" s="79"/>
      <c r="C604" s="79"/>
      <c r="D604" s="79"/>
      <c r="E604" s="79"/>
      <c r="F604" s="79"/>
      <c r="G604" s="79"/>
      <c r="H604" s="79"/>
      <c r="I604" s="79"/>
      <c r="J604" s="87"/>
      <c r="K604" s="87"/>
      <c r="L604" s="87"/>
      <c r="M604" s="87"/>
      <c r="N604" s="79"/>
      <c r="O604" s="79"/>
      <c r="P604" s="79"/>
      <c r="Q604" s="79"/>
      <c r="R604" s="79"/>
      <c r="S604" s="79"/>
      <c r="T604" s="79"/>
      <c r="U604" s="79"/>
      <c r="V604" s="79"/>
      <c r="W604" s="79"/>
      <c r="X604" s="79"/>
      <c r="Y604" s="79"/>
      <c r="Z604" s="79"/>
      <c r="AA604" s="79"/>
      <c r="AB604" s="79"/>
    </row>
    <row r="605" spans="1:28" ht="15.8" customHeight="1" x14ac:dyDescent="0.15">
      <c r="A605" s="79"/>
      <c r="B605" s="79"/>
      <c r="C605" s="79"/>
      <c r="D605" s="79"/>
      <c r="E605" s="79"/>
      <c r="F605" s="79"/>
      <c r="G605" s="79"/>
      <c r="H605" s="79"/>
      <c r="I605" s="79"/>
      <c r="J605" s="87"/>
      <c r="K605" s="87"/>
      <c r="L605" s="87"/>
      <c r="M605" s="87"/>
      <c r="N605" s="79"/>
      <c r="O605" s="79"/>
      <c r="P605" s="79"/>
      <c r="Q605" s="79"/>
      <c r="R605" s="79"/>
      <c r="S605" s="79"/>
      <c r="T605" s="79"/>
      <c r="U605" s="79"/>
      <c r="V605" s="79"/>
      <c r="W605" s="79"/>
      <c r="X605" s="79"/>
      <c r="Y605" s="79"/>
      <c r="Z605" s="79"/>
      <c r="AA605" s="79"/>
      <c r="AB605" s="79"/>
    </row>
    <row r="606" spans="1:28" ht="15.8" customHeight="1" x14ac:dyDescent="0.15">
      <c r="A606" s="79"/>
      <c r="B606" s="79"/>
      <c r="C606" s="79"/>
      <c r="D606" s="79"/>
      <c r="E606" s="79"/>
      <c r="F606" s="79"/>
      <c r="G606" s="79"/>
      <c r="H606" s="79"/>
      <c r="I606" s="79"/>
      <c r="J606" s="87"/>
      <c r="K606" s="87"/>
      <c r="L606" s="87"/>
      <c r="M606" s="87"/>
      <c r="N606" s="79"/>
      <c r="O606" s="79"/>
      <c r="P606" s="79"/>
      <c r="Q606" s="79"/>
      <c r="R606" s="79"/>
      <c r="S606" s="79"/>
      <c r="T606" s="79"/>
      <c r="U606" s="79"/>
      <c r="V606" s="79"/>
      <c r="W606" s="79"/>
      <c r="X606" s="79"/>
      <c r="Y606" s="79"/>
      <c r="Z606" s="79"/>
      <c r="AA606" s="79"/>
      <c r="AB606" s="79"/>
    </row>
    <row r="607" spans="1:28" ht="15.8" customHeight="1" x14ac:dyDescent="0.15">
      <c r="A607" s="79"/>
      <c r="B607" s="79"/>
      <c r="C607" s="79"/>
      <c r="D607" s="79"/>
      <c r="E607" s="79"/>
      <c r="F607" s="79"/>
      <c r="G607" s="79"/>
      <c r="H607" s="79"/>
      <c r="I607" s="79"/>
      <c r="J607" s="87"/>
      <c r="K607" s="87"/>
      <c r="L607" s="87"/>
      <c r="M607" s="87"/>
      <c r="N607" s="79"/>
      <c r="O607" s="79"/>
      <c r="P607" s="79"/>
      <c r="Q607" s="79"/>
      <c r="R607" s="79"/>
      <c r="S607" s="79"/>
      <c r="T607" s="79"/>
      <c r="U607" s="79"/>
      <c r="V607" s="79"/>
      <c r="W607" s="79"/>
      <c r="X607" s="79"/>
      <c r="Y607" s="79"/>
      <c r="Z607" s="79"/>
      <c r="AA607" s="79"/>
      <c r="AB607" s="79"/>
    </row>
    <row r="608" spans="1:28" ht="15.8" customHeight="1" x14ac:dyDescent="0.15">
      <c r="A608" s="79"/>
      <c r="B608" s="79"/>
      <c r="C608" s="79"/>
      <c r="D608" s="79"/>
      <c r="E608" s="79"/>
      <c r="F608" s="79"/>
      <c r="G608" s="79"/>
      <c r="H608" s="79"/>
      <c r="I608" s="79"/>
      <c r="J608" s="87"/>
      <c r="K608" s="87"/>
      <c r="L608" s="87"/>
      <c r="M608" s="87"/>
      <c r="N608" s="79"/>
      <c r="O608" s="79"/>
      <c r="P608" s="79"/>
      <c r="Q608" s="79"/>
      <c r="R608" s="79"/>
      <c r="S608" s="79"/>
      <c r="T608" s="79"/>
      <c r="U608" s="79"/>
      <c r="V608" s="79"/>
      <c r="W608" s="79"/>
      <c r="X608" s="79"/>
      <c r="Y608" s="79"/>
      <c r="Z608" s="79"/>
      <c r="AA608" s="79"/>
      <c r="AB608" s="79"/>
    </row>
    <row r="609" spans="1:28" ht="15.8" customHeight="1" x14ac:dyDescent="0.15">
      <c r="A609" s="79"/>
      <c r="B609" s="79"/>
      <c r="C609" s="79"/>
      <c r="D609" s="79"/>
      <c r="E609" s="79"/>
      <c r="F609" s="79"/>
      <c r="G609" s="79"/>
      <c r="H609" s="79"/>
      <c r="I609" s="79"/>
      <c r="J609" s="87"/>
      <c r="K609" s="87"/>
      <c r="L609" s="87"/>
      <c r="M609" s="87"/>
      <c r="N609" s="79"/>
      <c r="O609" s="79"/>
      <c r="P609" s="79"/>
      <c r="Q609" s="79"/>
      <c r="R609" s="79"/>
      <c r="S609" s="79"/>
      <c r="T609" s="79"/>
      <c r="U609" s="79"/>
      <c r="V609" s="79"/>
      <c r="W609" s="79"/>
      <c r="X609" s="79"/>
      <c r="Y609" s="79"/>
      <c r="Z609" s="79"/>
      <c r="AA609" s="79"/>
      <c r="AB609" s="79"/>
    </row>
    <row r="610" spans="1:28" ht="15.8" customHeight="1" x14ac:dyDescent="0.15">
      <c r="A610" s="79"/>
      <c r="B610" s="79"/>
      <c r="C610" s="79"/>
      <c r="D610" s="79"/>
      <c r="E610" s="79"/>
      <c r="F610" s="79"/>
      <c r="G610" s="79"/>
      <c r="H610" s="79"/>
      <c r="I610" s="79"/>
      <c r="J610" s="87"/>
      <c r="K610" s="87"/>
      <c r="L610" s="87"/>
      <c r="M610" s="87"/>
      <c r="N610" s="79"/>
      <c r="O610" s="79"/>
      <c r="P610" s="79"/>
      <c r="Q610" s="79"/>
      <c r="R610" s="79"/>
      <c r="S610" s="79"/>
      <c r="T610" s="79"/>
      <c r="U610" s="79"/>
      <c r="V610" s="79"/>
      <c r="W610" s="79"/>
      <c r="X610" s="79"/>
      <c r="Y610" s="79"/>
      <c r="Z610" s="79"/>
      <c r="AA610" s="79"/>
      <c r="AB610" s="79"/>
    </row>
    <row r="611" spans="1:28" ht="15.8" customHeight="1" x14ac:dyDescent="0.15">
      <c r="A611" s="79"/>
      <c r="B611" s="79"/>
      <c r="C611" s="79"/>
      <c r="D611" s="79"/>
      <c r="E611" s="79"/>
      <c r="F611" s="79"/>
      <c r="G611" s="79"/>
      <c r="H611" s="79"/>
      <c r="I611" s="79"/>
      <c r="J611" s="87"/>
      <c r="K611" s="87"/>
      <c r="L611" s="87"/>
      <c r="M611" s="87"/>
      <c r="N611" s="79"/>
      <c r="O611" s="79"/>
      <c r="P611" s="79"/>
      <c r="Q611" s="79"/>
      <c r="R611" s="79"/>
      <c r="S611" s="79"/>
      <c r="T611" s="79"/>
      <c r="U611" s="79"/>
      <c r="V611" s="79"/>
      <c r="W611" s="79"/>
      <c r="X611" s="79"/>
      <c r="Y611" s="79"/>
      <c r="Z611" s="79"/>
      <c r="AA611" s="79"/>
      <c r="AB611" s="79"/>
    </row>
    <row r="612" spans="1:28" ht="15.8" customHeight="1" x14ac:dyDescent="0.15">
      <c r="A612" s="79"/>
      <c r="B612" s="79"/>
      <c r="C612" s="79"/>
      <c r="D612" s="79"/>
      <c r="E612" s="79"/>
      <c r="F612" s="79"/>
      <c r="G612" s="79"/>
      <c r="H612" s="79"/>
      <c r="I612" s="79"/>
      <c r="J612" s="87"/>
      <c r="K612" s="87"/>
      <c r="L612" s="87"/>
      <c r="M612" s="87"/>
      <c r="N612" s="79"/>
      <c r="O612" s="79"/>
      <c r="P612" s="79"/>
      <c r="Q612" s="79"/>
      <c r="R612" s="79"/>
      <c r="S612" s="79"/>
      <c r="T612" s="79"/>
      <c r="U612" s="79"/>
      <c r="V612" s="79"/>
      <c r="W612" s="79"/>
      <c r="X612" s="79"/>
      <c r="Y612" s="79"/>
      <c r="Z612" s="79"/>
      <c r="AA612" s="79"/>
      <c r="AB612" s="79"/>
    </row>
    <row r="613" spans="1:28" ht="15.8" customHeight="1" x14ac:dyDescent="0.15">
      <c r="A613" s="79"/>
      <c r="B613" s="79"/>
      <c r="C613" s="79"/>
      <c r="D613" s="79"/>
      <c r="E613" s="79"/>
      <c r="F613" s="79"/>
      <c r="G613" s="79"/>
      <c r="H613" s="79"/>
      <c r="I613" s="79"/>
      <c r="J613" s="87"/>
      <c r="K613" s="87"/>
      <c r="L613" s="87"/>
      <c r="M613" s="87"/>
      <c r="N613" s="79"/>
      <c r="O613" s="79"/>
      <c r="P613" s="79"/>
      <c r="Q613" s="79"/>
      <c r="R613" s="79"/>
      <c r="S613" s="79"/>
      <c r="T613" s="79"/>
      <c r="U613" s="79"/>
      <c r="V613" s="79"/>
      <c r="W613" s="79"/>
      <c r="X613" s="79"/>
      <c r="Y613" s="79"/>
      <c r="Z613" s="79"/>
      <c r="AA613" s="79"/>
      <c r="AB613" s="79"/>
    </row>
    <row r="614" spans="1:28" ht="15.8" customHeight="1" x14ac:dyDescent="0.15">
      <c r="A614" s="79"/>
      <c r="B614" s="79"/>
      <c r="C614" s="79"/>
      <c r="D614" s="79"/>
      <c r="E614" s="79"/>
      <c r="F614" s="79"/>
      <c r="G614" s="79"/>
      <c r="H614" s="79"/>
      <c r="I614" s="79"/>
      <c r="J614" s="87"/>
      <c r="K614" s="87"/>
      <c r="L614" s="87"/>
      <c r="M614" s="87"/>
      <c r="N614" s="79"/>
      <c r="O614" s="79"/>
      <c r="P614" s="79"/>
      <c r="Q614" s="79"/>
      <c r="R614" s="79"/>
      <c r="S614" s="79"/>
      <c r="T614" s="79"/>
      <c r="U614" s="79"/>
      <c r="V614" s="79"/>
      <c r="W614" s="79"/>
      <c r="X614" s="79"/>
      <c r="Y614" s="79"/>
      <c r="Z614" s="79"/>
      <c r="AA614" s="79"/>
      <c r="AB614" s="79"/>
    </row>
    <row r="615" spans="1:28" ht="15.8" customHeight="1" x14ac:dyDescent="0.15">
      <c r="A615" s="79"/>
      <c r="B615" s="79"/>
      <c r="C615" s="79"/>
      <c r="D615" s="79"/>
      <c r="E615" s="79"/>
      <c r="F615" s="79"/>
      <c r="G615" s="79"/>
      <c r="H615" s="79"/>
      <c r="I615" s="79"/>
      <c r="J615" s="87"/>
      <c r="K615" s="87"/>
      <c r="L615" s="87"/>
      <c r="M615" s="87"/>
      <c r="N615" s="79"/>
      <c r="O615" s="79"/>
      <c r="P615" s="79"/>
      <c r="Q615" s="79"/>
      <c r="R615" s="79"/>
      <c r="S615" s="79"/>
      <c r="T615" s="79"/>
      <c r="U615" s="79"/>
      <c r="V615" s="79"/>
      <c r="W615" s="79"/>
      <c r="X615" s="79"/>
      <c r="Y615" s="79"/>
      <c r="Z615" s="79"/>
      <c r="AA615" s="79"/>
      <c r="AB615" s="79"/>
    </row>
    <row r="616" spans="1:28" ht="15.8" customHeight="1" x14ac:dyDescent="0.15">
      <c r="A616" s="79"/>
      <c r="B616" s="79"/>
      <c r="C616" s="79"/>
      <c r="D616" s="79"/>
      <c r="E616" s="79"/>
      <c r="F616" s="79"/>
      <c r="G616" s="79"/>
      <c r="H616" s="79"/>
      <c r="I616" s="79"/>
      <c r="J616" s="87"/>
      <c r="K616" s="87"/>
      <c r="L616" s="87"/>
      <c r="M616" s="87"/>
      <c r="N616" s="79"/>
      <c r="O616" s="79"/>
      <c r="P616" s="79"/>
      <c r="Q616" s="79"/>
      <c r="R616" s="79"/>
      <c r="S616" s="79"/>
      <c r="T616" s="79"/>
      <c r="U616" s="79"/>
      <c r="V616" s="79"/>
      <c r="W616" s="79"/>
      <c r="X616" s="79"/>
      <c r="Y616" s="79"/>
      <c r="Z616" s="79"/>
      <c r="AA616" s="79"/>
      <c r="AB616" s="79"/>
    </row>
    <row r="617" spans="1:28" ht="15.8" customHeight="1" x14ac:dyDescent="0.15">
      <c r="A617" s="79"/>
      <c r="B617" s="79"/>
      <c r="C617" s="79"/>
      <c r="D617" s="79"/>
      <c r="E617" s="79"/>
      <c r="F617" s="79"/>
      <c r="G617" s="79"/>
      <c r="H617" s="79"/>
      <c r="I617" s="79"/>
      <c r="J617" s="87"/>
      <c r="K617" s="87"/>
      <c r="L617" s="87"/>
      <c r="M617" s="87"/>
      <c r="N617" s="79"/>
      <c r="O617" s="79"/>
      <c r="P617" s="79"/>
      <c r="Q617" s="79"/>
      <c r="R617" s="79"/>
      <c r="S617" s="79"/>
      <c r="T617" s="79"/>
      <c r="U617" s="79"/>
      <c r="V617" s="79"/>
      <c r="W617" s="79"/>
      <c r="X617" s="79"/>
      <c r="Y617" s="79"/>
      <c r="Z617" s="79"/>
      <c r="AA617" s="79"/>
      <c r="AB617" s="79"/>
    </row>
    <row r="618" spans="1:28" ht="15.8" customHeight="1" x14ac:dyDescent="0.15">
      <c r="A618" s="79"/>
      <c r="B618" s="79"/>
      <c r="C618" s="79"/>
      <c r="D618" s="79"/>
      <c r="E618" s="79"/>
      <c r="F618" s="79"/>
      <c r="G618" s="79"/>
      <c r="H618" s="79"/>
      <c r="I618" s="79"/>
      <c r="J618" s="87"/>
      <c r="K618" s="87"/>
      <c r="L618" s="87"/>
      <c r="M618" s="87"/>
      <c r="N618" s="79"/>
      <c r="O618" s="79"/>
      <c r="P618" s="79"/>
      <c r="Q618" s="79"/>
      <c r="R618" s="79"/>
      <c r="S618" s="79"/>
      <c r="T618" s="79"/>
      <c r="U618" s="79"/>
      <c r="V618" s="79"/>
      <c r="W618" s="79"/>
      <c r="X618" s="79"/>
      <c r="Y618" s="79"/>
      <c r="Z618" s="79"/>
      <c r="AA618" s="79"/>
      <c r="AB618" s="79"/>
    </row>
    <row r="619" spans="1:28" ht="15.8" customHeight="1" x14ac:dyDescent="0.15">
      <c r="A619" s="79"/>
      <c r="B619" s="79"/>
      <c r="C619" s="79"/>
      <c r="D619" s="79"/>
      <c r="E619" s="79"/>
      <c r="F619" s="79"/>
      <c r="G619" s="79"/>
      <c r="H619" s="79"/>
      <c r="I619" s="79"/>
      <c r="J619" s="87"/>
      <c r="K619" s="87"/>
      <c r="L619" s="87"/>
      <c r="M619" s="87"/>
      <c r="N619" s="79"/>
      <c r="O619" s="79"/>
      <c r="P619" s="79"/>
      <c r="Q619" s="79"/>
      <c r="R619" s="79"/>
      <c r="S619" s="79"/>
      <c r="T619" s="79"/>
      <c r="U619" s="79"/>
      <c r="V619" s="79"/>
      <c r="W619" s="79"/>
      <c r="X619" s="79"/>
      <c r="Y619" s="79"/>
      <c r="Z619" s="79"/>
      <c r="AA619" s="79"/>
      <c r="AB619" s="79"/>
    </row>
    <row r="620" spans="1:28" ht="15.8" customHeight="1" x14ac:dyDescent="0.15">
      <c r="A620" s="79"/>
      <c r="B620" s="79"/>
      <c r="C620" s="79"/>
      <c r="D620" s="79"/>
      <c r="E620" s="79"/>
      <c r="F620" s="79"/>
      <c r="G620" s="79"/>
      <c r="H620" s="79"/>
      <c r="I620" s="79"/>
      <c r="J620" s="87"/>
      <c r="K620" s="87"/>
      <c r="L620" s="87"/>
      <c r="M620" s="87"/>
      <c r="N620" s="79"/>
      <c r="O620" s="79"/>
      <c r="P620" s="79"/>
      <c r="Q620" s="79"/>
      <c r="R620" s="79"/>
      <c r="S620" s="79"/>
      <c r="T620" s="79"/>
      <c r="U620" s="79"/>
      <c r="V620" s="79"/>
      <c r="W620" s="79"/>
      <c r="X620" s="79"/>
      <c r="Y620" s="79"/>
      <c r="Z620" s="79"/>
      <c r="AA620" s="79"/>
      <c r="AB620" s="79"/>
    </row>
    <row r="621" spans="1:28" ht="15.8" customHeight="1" x14ac:dyDescent="0.15">
      <c r="A621" s="79"/>
      <c r="B621" s="79"/>
      <c r="C621" s="79"/>
      <c r="D621" s="79"/>
      <c r="E621" s="79"/>
      <c r="F621" s="79"/>
      <c r="G621" s="79"/>
      <c r="H621" s="79"/>
      <c r="I621" s="79"/>
      <c r="J621" s="87"/>
      <c r="K621" s="87"/>
      <c r="L621" s="87"/>
      <c r="M621" s="87"/>
      <c r="N621" s="79"/>
      <c r="O621" s="79"/>
      <c r="P621" s="79"/>
      <c r="Q621" s="79"/>
      <c r="R621" s="79"/>
      <c r="S621" s="79"/>
      <c r="T621" s="79"/>
      <c r="U621" s="79"/>
      <c r="V621" s="79"/>
      <c r="W621" s="79"/>
      <c r="X621" s="79"/>
      <c r="Y621" s="79"/>
      <c r="Z621" s="79"/>
      <c r="AA621" s="79"/>
      <c r="AB621" s="79"/>
    </row>
    <row r="622" spans="1:28" ht="15.8" customHeight="1" x14ac:dyDescent="0.15">
      <c r="A622" s="79"/>
      <c r="B622" s="79"/>
      <c r="C622" s="79"/>
      <c r="D622" s="79"/>
      <c r="E622" s="79"/>
      <c r="F622" s="79"/>
      <c r="G622" s="79"/>
      <c r="H622" s="79"/>
      <c r="I622" s="79"/>
      <c r="J622" s="87"/>
      <c r="K622" s="87"/>
      <c r="L622" s="87"/>
      <c r="M622" s="87"/>
      <c r="N622" s="79"/>
      <c r="O622" s="79"/>
      <c r="P622" s="79"/>
      <c r="Q622" s="79"/>
      <c r="R622" s="79"/>
      <c r="S622" s="79"/>
      <c r="T622" s="79"/>
      <c r="U622" s="79"/>
      <c r="V622" s="79"/>
      <c r="W622" s="79"/>
      <c r="X622" s="79"/>
      <c r="Y622" s="79"/>
      <c r="Z622" s="79"/>
      <c r="AA622" s="79"/>
      <c r="AB622" s="79"/>
    </row>
    <row r="623" spans="1:28" ht="15.8" customHeight="1" x14ac:dyDescent="0.15">
      <c r="A623" s="79"/>
      <c r="B623" s="79"/>
      <c r="C623" s="79"/>
      <c r="D623" s="79"/>
      <c r="E623" s="79"/>
      <c r="F623" s="79"/>
      <c r="G623" s="79"/>
      <c r="H623" s="79"/>
      <c r="I623" s="79"/>
      <c r="J623" s="87"/>
      <c r="K623" s="87"/>
      <c r="L623" s="87"/>
      <c r="M623" s="87"/>
      <c r="N623" s="79"/>
      <c r="O623" s="79"/>
      <c r="P623" s="79"/>
      <c r="Q623" s="79"/>
      <c r="R623" s="79"/>
      <c r="S623" s="79"/>
      <c r="T623" s="79"/>
      <c r="U623" s="79"/>
      <c r="V623" s="79"/>
      <c r="W623" s="79"/>
      <c r="X623" s="79"/>
      <c r="Y623" s="79"/>
      <c r="Z623" s="79"/>
      <c r="AA623" s="79"/>
      <c r="AB623" s="79"/>
    </row>
    <row r="624" spans="1:28" ht="15.8" customHeight="1" x14ac:dyDescent="0.15">
      <c r="A624" s="79"/>
      <c r="B624" s="79"/>
      <c r="C624" s="79"/>
      <c r="D624" s="79"/>
      <c r="E624" s="79"/>
      <c r="F624" s="79"/>
      <c r="G624" s="79"/>
      <c r="H624" s="79"/>
      <c r="I624" s="79"/>
      <c r="J624" s="87"/>
      <c r="K624" s="87"/>
      <c r="L624" s="87"/>
      <c r="M624" s="87"/>
      <c r="N624" s="79"/>
      <c r="O624" s="79"/>
      <c r="P624" s="79"/>
      <c r="Q624" s="79"/>
      <c r="R624" s="79"/>
      <c r="S624" s="79"/>
      <c r="T624" s="79"/>
      <c r="U624" s="79"/>
      <c r="V624" s="79"/>
      <c r="W624" s="79"/>
      <c r="X624" s="79"/>
      <c r="Y624" s="79"/>
      <c r="Z624" s="79"/>
      <c r="AA624" s="79"/>
      <c r="AB624" s="79"/>
    </row>
    <row r="625" spans="1:28" ht="15.8" customHeight="1" x14ac:dyDescent="0.15">
      <c r="A625" s="79"/>
      <c r="B625" s="79"/>
      <c r="C625" s="79"/>
      <c r="D625" s="79"/>
      <c r="E625" s="79"/>
      <c r="F625" s="79"/>
      <c r="G625" s="79"/>
      <c r="H625" s="79"/>
      <c r="I625" s="79"/>
      <c r="J625" s="87"/>
      <c r="K625" s="87"/>
      <c r="L625" s="87"/>
      <c r="M625" s="87"/>
      <c r="N625" s="79"/>
      <c r="O625" s="79"/>
      <c r="P625" s="79"/>
      <c r="Q625" s="79"/>
      <c r="R625" s="79"/>
      <c r="S625" s="79"/>
      <c r="T625" s="79"/>
      <c r="U625" s="79"/>
      <c r="V625" s="79"/>
      <c r="W625" s="79"/>
      <c r="X625" s="79"/>
      <c r="Y625" s="79"/>
      <c r="Z625" s="79"/>
      <c r="AA625" s="79"/>
      <c r="AB625" s="79"/>
    </row>
    <row r="626" spans="1:28" ht="15.8" customHeight="1" x14ac:dyDescent="0.15">
      <c r="A626" s="79"/>
      <c r="B626" s="79"/>
      <c r="C626" s="79"/>
      <c r="D626" s="79"/>
      <c r="E626" s="79"/>
      <c r="F626" s="79"/>
      <c r="G626" s="79"/>
      <c r="H626" s="79"/>
      <c r="I626" s="79"/>
      <c r="J626" s="87"/>
      <c r="K626" s="87"/>
      <c r="L626" s="87"/>
      <c r="M626" s="87"/>
      <c r="N626" s="79"/>
      <c r="O626" s="79"/>
      <c r="P626" s="79"/>
      <c r="Q626" s="79"/>
      <c r="R626" s="79"/>
      <c r="S626" s="79"/>
      <c r="T626" s="79"/>
      <c r="U626" s="79"/>
      <c r="V626" s="79"/>
      <c r="W626" s="79"/>
      <c r="X626" s="79"/>
      <c r="Y626" s="79"/>
      <c r="Z626" s="79"/>
      <c r="AA626" s="79"/>
      <c r="AB626" s="79"/>
    </row>
    <row r="627" spans="1:28" ht="15.8" customHeight="1" x14ac:dyDescent="0.15">
      <c r="A627" s="79"/>
      <c r="B627" s="79"/>
      <c r="C627" s="79"/>
      <c r="D627" s="79"/>
      <c r="E627" s="79"/>
      <c r="F627" s="79"/>
      <c r="G627" s="79"/>
      <c r="H627" s="79"/>
      <c r="I627" s="79"/>
      <c r="J627" s="87"/>
      <c r="K627" s="87"/>
      <c r="L627" s="87"/>
      <c r="M627" s="87"/>
      <c r="N627" s="79"/>
      <c r="O627" s="79"/>
      <c r="P627" s="79"/>
      <c r="Q627" s="79"/>
      <c r="R627" s="79"/>
      <c r="S627" s="79"/>
      <c r="T627" s="79"/>
      <c r="U627" s="79"/>
      <c r="V627" s="79"/>
      <c r="W627" s="79"/>
      <c r="X627" s="79"/>
      <c r="Y627" s="79"/>
      <c r="Z627" s="79"/>
      <c r="AA627" s="79"/>
      <c r="AB627" s="79"/>
    </row>
    <row r="628" spans="1:28" ht="15.8" customHeight="1" x14ac:dyDescent="0.15">
      <c r="A628" s="79"/>
      <c r="B628" s="79"/>
      <c r="C628" s="79"/>
      <c r="D628" s="79"/>
      <c r="E628" s="79"/>
      <c r="F628" s="79"/>
      <c r="G628" s="79"/>
      <c r="H628" s="79"/>
      <c r="I628" s="79"/>
      <c r="J628" s="87"/>
      <c r="K628" s="87"/>
      <c r="L628" s="87"/>
      <c r="M628" s="87"/>
      <c r="N628" s="79"/>
      <c r="O628" s="79"/>
      <c r="P628" s="79"/>
      <c r="Q628" s="79"/>
      <c r="R628" s="79"/>
      <c r="S628" s="79"/>
      <c r="T628" s="79"/>
      <c r="U628" s="79"/>
      <c r="V628" s="79"/>
      <c r="W628" s="79"/>
      <c r="X628" s="79"/>
      <c r="Y628" s="79"/>
      <c r="Z628" s="79"/>
      <c r="AA628" s="79"/>
      <c r="AB628" s="79"/>
    </row>
    <row r="629" spans="1:28" ht="15.8" customHeight="1" x14ac:dyDescent="0.15">
      <c r="A629" s="79"/>
      <c r="B629" s="79"/>
      <c r="C629" s="79"/>
      <c r="D629" s="79"/>
      <c r="E629" s="79"/>
      <c r="F629" s="79"/>
      <c r="G629" s="79"/>
      <c r="H629" s="79"/>
      <c r="I629" s="79"/>
      <c r="J629" s="87"/>
      <c r="K629" s="87"/>
      <c r="L629" s="87"/>
      <c r="M629" s="87"/>
      <c r="N629" s="79"/>
      <c r="O629" s="79"/>
      <c r="P629" s="79"/>
      <c r="Q629" s="79"/>
      <c r="R629" s="79"/>
      <c r="S629" s="79"/>
      <c r="T629" s="79"/>
      <c r="U629" s="79"/>
      <c r="V629" s="79"/>
      <c r="W629" s="79"/>
      <c r="X629" s="79"/>
      <c r="Y629" s="79"/>
      <c r="Z629" s="79"/>
      <c r="AA629" s="79"/>
      <c r="AB629" s="79"/>
    </row>
    <row r="630" spans="1:28" ht="15.8" customHeight="1" x14ac:dyDescent="0.15">
      <c r="A630" s="79"/>
      <c r="B630" s="79"/>
      <c r="C630" s="79"/>
      <c r="D630" s="79"/>
      <c r="E630" s="79"/>
      <c r="F630" s="79"/>
      <c r="G630" s="79"/>
      <c r="H630" s="79"/>
      <c r="I630" s="79"/>
      <c r="J630" s="87"/>
      <c r="K630" s="87"/>
      <c r="L630" s="87"/>
      <c r="M630" s="87"/>
      <c r="N630" s="79"/>
      <c r="O630" s="79"/>
      <c r="P630" s="79"/>
      <c r="Q630" s="79"/>
      <c r="R630" s="79"/>
      <c r="S630" s="79"/>
      <c r="T630" s="79"/>
      <c r="U630" s="79"/>
      <c r="V630" s="79"/>
      <c r="W630" s="79"/>
      <c r="X630" s="79"/>
      <c r="Y630" s="79"/>
      <c r="Z630" s="79"/>
      <c r="AA630" s="79"/>
      <c r="AB630" s="79"/>
    </row>
    <row r="631" spans="1:28" ht="15.8" customHeight="1" x14ac:dyDescent="0.15">
      <c r="A631" s="79"/>
      <c r="B631" s="79"/>
      <c r="C631" s="79"/>
      <c r="D631" s="79"/>
      <c r="E631" s="79"/>
      <c r="F631" s="79"/>
      <c r="G631" s="79"/>
      <c r="H631" s="79"/>
      <c r="I631" s="79"/>
      <c r="J631" s="87"/>
      <c r="K631" s="87"/>
      <c r="L631" s="87"/>
      <c r="M631" s="87"/>
      <c r="N631" s="79"/>
      <c r="O631" s="79"/>
      <c r="P631" s="79"/>
      <c r="Q631" s="79"/>
      <c r="R631" s="79"/>
      <c r="S631" s="79"/>
      <c r="T631" s="79"/>
      <c r="U631" s="79"/>
      <c r="V631" s="79"/>
      <c r="W631" s="79"/>
      <c r="X631" s="79"/>
      <c r="Y631" s="79"/>
      <c r="Z631" s="79"/>
      <c r="AA631" s="79"/>
      <c r="AB631" s="79"/>
    </row>
    <row r="632" spans="1:28" ht="15.8" customHeight="1" x14ac:dyDescent="0.15">
      <c r="A632" s="79"/>
      <c r="B632" s="79"/>
      <c r="C632" s="79"/>
      <c r="D632" s="79"/>
      <c r="E632" s="79"/>
      <c r="F632" s="79"/>
      <c r="G632" s="79"/>
      <c r="H632" s="79"/>
      <c r="I632" s="79"/>
      <c r="J632" s="87"/>
      <c r="K632" s="87"/>
      <c r="L632" s="87"/>
      <c r="M632" s="87"/>
      <c r="N632" s="79"/>
      <c r="O632" s="79"/>
      <c r="P632" s="79"/>
      <c r="Q632" s="79"/>
      <c r="R632" s="79"/>
      <c r="S632" s="79"/>
      <c r="T632" s="79"/>
      <c r="U632" s="79"/>
      <c r="V632" s="79"/>
      <c r="W632" s="79"/>
      <c r="X632" s="79"/>
      <c r="Y632" s="79"/>
      <c r="Z632" s="79"/>
      <c r="AA632" s="79"/>
      <c r="AB632" s="79"/>
    </row>
    <row r="633" spans="1:28" ht="15.8" customHeight="1" x14ac:dyDescent="0.15">
      <c r="A633" s="79"/>
      <c r="B633" s="79"/>
      <c r="C633" s="79"/>
      <c r="D633" s="79"/>
      <c r="E633" s="79"/>
      <c r="F633" s="79"/>
      <c r="G633" s="79"/>
      <c r="H633" s="79"/>
      <c r="I633" s="79"/>
      <c r="J633" s="87"/>
      <c r="K633" s="87"/>
      <c r="L633" s="87"/>
      <c r="M633" s="87"/>
      <c r="N633" s="79"/>
      <c r="O633" s="79"/>
      <c r="P633" s="79"/>
      <c r="Q633" s="79"/>
      <c r="R633" s="79"/>
      <c r="S633" s="79"/>
      <c r="T633" s="79"/>
      <c r="U633" s="79"/>
      <c r="V633" s="79"/>
      <c r="W633" s="79"/>
      <c r="X633" s="79"/>
      <c r="Y633" s="79"/>
      <c r="Z633" s="79"/>
      <c r="AA633" s="79"/>
      <c r="AB633" s="79"/>
    </row>
    <row r="634" spans="1:28" ht="15.8" customHeight="1" x14ac:dyDescent="0.15">
      <c r="A634" s="79"/>
      <c r="B634" s="79"/>
      <c r="C634" s="79"/>
      <c r="D634" s="79"/>
      <c r="E634" s="79"/>
      <c r="F634" s="79"/>
      <c r="G634" s="79"/>
      <c r="H634" s="79"/>
      <c r="I634" s="79"/>
      <c r="J634" s="87"/>
      <c r="K634" s="87"/>
      <c r="L634" s="87"/>
      <c r="M634" s="87"/>
      <c r="N634" s="79"/>
      <c r="O634" s="79"/>
      <c r="P634" s="79"/>
      <c r="Q634" s="79"/>
      <c r="R634" s="79"/>
      <c r="S634" s="79"/>
      <c r="T634" s="79"/>
      <c r="U634" s="79"/>
      <c r="V634" s="79"/>
      <c r="W634" s="79"/>
      <c r="X634" s="79"/>
      <c r="Y634" s="79"/>
      <c r="Z634" s="79"/>
      <c r="AA634" s="79"/>
      <c r="AB634" s="79"/>
    </row>
    <row r="635" spans="1:28" ht="15.8" customHeight="1" x14ac:dyDescent="0.15">
      <c r="A635" s="79"/>
      <c r="B635" s="79"/>
      <c r="C635" s="79"/>
      <c r="D635" s="79"/>
      <c r="E635" s="79"/>
      <c r="F635" s="79"/>
      <c r="G635" s="79"/>
      <c r="H635" s="79"/>
      <c r="I635" s="79"/>
      <c r="J635" s="87"/>
      <c r="K635" s="87"/>
      <c r="L635" s="87"/>
      <c r="M635" s="87"/>
      <c r="N635" s="79"/>
      <c r="O635" s="79"/>
      <c r="P635" s="79"/>
      <c r="Q635" s="79"/>
      <c r="R635" s="79"/>
      <c r="S635" s="79"/>
      <c r="T635" s="79"/>
      <c r="U635" s="79"/>
      <c r="V635" s="79"/>
      <c r="W635" s="79"/>
      <c r="X635" s="79"/>
      <c r="Y635" s="79"/>
      <c r="Z635" s="79"/>
      <c r="AA635" s="79"/>
      <c r="AB635" s="79"/>
    </row>
    <row r="636" spans="1:28" ht="15.8" customHeight="1" x14ac:dyDescent="0.15">
      <c r="A636" s="79"/>
      <c r="B636" s="79"/>
      <c r="C636" s="79"/>
      <c r="D636" s="79"/>
      <c r="E636" s="79"/>
      <c r="F636" s="79"/>
      <c r="G636" s="79"/>
      <c r="H636" s="79"/>
      <c r="I636" s="79"/>
      <c r="J636" s="87"/>
      <c r="K636" s="87"/>
      <c r="L636" s="87"/>
      <c r="M636" s="87"/>
      <c r="N636" s="79"/>
      <c r="O636" s="79"/>
      <c r="P636" s="79"/>
      <c r="Q636" s="79"/>
      <c r="R636" s="79"/>
      <c r="S636" s="79"/>
      <c r="T636" s="79"/>
      <c r="U636" s="79"/>
      <c r="V636" s="79"/>
      <c r="W636" s="79"/>
      <c r="X636" s="79"/>
      <c r="Y636" s="79"/>
      <c r="Z636" s="79"/>
      <c r="AA636" s="79"/>
      <c r="AB636" s="79"/>
    </row>
    <row r="637" spans="1:28" ht="15.8" customHeight="1" x14ac:dyDescent="0.15">
      <c r="A637" s="79"/>
      <c r="B637" s="79"/>
      <c r="C637" s="79"/>
      <c r="D637" s="79"/>
      <c r="E637" s="79"/>
      <c r="F637" s="79"/>
      <c r="G637" s="79"/>
      <c r="H637" s="79"/>
      <c r="I637" s="79"/>
      <c r="J637" s="87"/>
      <c r="K637" s="87"/>
      <c r="L637" s="87"/>
      <c r="M637" s="87"/>
      <c r="N637" s="79"/>
      <c r="O637" s="79"/>
      <c r="P637" s="79"/>
      <c r="Q637" s="79"/>
      <c r="R637" s="79"/>
      <c r="S637" s="79"/>
      <c r="T637" s="79"/>
      <c r="U637" s="79"/>
      <c r="V637" s="79"/>
      <c r="W637" s="79"/>
      <c r="X637" s="79"/>
      <c r="Y637" s="79"/>
      <c r="Z637" s="79"/>
      <c r="AA637" s="79"/>
      <c r="AB637" s="79"/>
    </row>
    <row r="638" spans="1:28" ht="15.8" customHeight="1" x14ac:dyDescent="0.15">
      <c r="A638" s="79"/>
      <c r="B638" s="79"/>
      <c r="C638" s="79"/>
      <c r="D638" s="79"/>
      <c r="E638" s="79"/>
      <c r="F638" s="79"/>
      <c r="G638" s="79"/>
      <c r="H638" s="79"/>
      <c r="I638" s="79"/>
      <c r="J638" s="87"/>
      <c r="K638" s="87"/>
      <c r="L638" s="87"/>
      <c r="M638" s="87"/>
      <c r="N638" s="79"/>
      <c r="O638" s="79"/>
      <c r="P638" s="79"/>
      <c r="Q638" s="79"/>
      <c r="R638" s="79"/>
      <c r="S638" s="79"/>
      <c r="T638" s="79"/>
      <c r="U638" s="79"/>
      <c r="V638" s="79"/>
      <c r="W638" s="79"/>
      <c r="X638" s="79"/>
      <c r="Y638" s="79"/>
      <c r="Z638" s="79"/>
      <c r="AA638" s="79"/>
      <c r="AB638" s="79"/>
    </row>
    <row r="639" spans="1:28" ht="15.8" customHeight="1" x14ac:dyDescent="0.15">
      <c r="A639" s="79"/>
      <c r="B639" s="79"/>
      <c r="C639" s="79"/>
      <c r="D639" s="79"/>
      <c r="E639" s="79"/>
      <c r="F639" s="79"/>
      <c r="G639" s="79"/>
      <c r="H639" s="79"/>
      <c r="I639" s="79"/>
      <c r="J639" s="87"/>
      <c r="K639" s="87"/>
      <c r="L639" s="87"/>
      <c r="M639" s="87"/>
      <c r="N639" s="79"/>
      <c r="O639" s="79"/>
      <c r="P639" s="79"/>
      <c r="Q639" s="79"/>
      <c r="R639" s="79"/>
      <c r="S639" s="79"/>
      <c r="T639" s="79"/>
      <c r="U639" s="79"/>
      <c r="V639" s="79"/>
      <c r="W639" s="79"/>
      <c r="X639" s="79"/>
      <c r="Y639" s="79"/>
      <c r="Z639" s="79"/>
      <c r="AA639" s="79"/>
      <c r="AB639" s="79"/>
    </row>
    <row r="640" spans="1:28" ht="15.8" customHeight="1" x14ac:dyDescent="0.15">
      <c r="A640" s="79"/>
      <c r="B640" s="79"/>
      <c r="C640" s="79"/>
      <c r="D640" s="79"/>
      <c r="E640" s="79"/>
      <c r="F640" s="79"/>
      <c r="G640" s="79"/>
      <c r="H640" s="79"/>
      <c r="I640" s="79"/>
      <c r="J640" s="87"/>
      <c r="K640" s="87"/>
      <c r="L640" s="87"/>
      <c r="M640" s="87"/>
      <c r="N640" s="79"/>
      <c r="O640" s="79"/>
      <c r="P640" s="79"/>
      <c r="Q640" s="79"/>
      <c r="R640" s="79"/>
      <c r="S640" s="79"/>
      <c r="T640" s="79"/>
      <c r="U640" s="79"/>
      <c r="V640" s="79"/>
      <c r="W640" s="79"/>
      <c r="X640" s="79"/>
      <c r="Y640" s="79"/>
      <c r="Z640" s="79"/>
      <c r="AA640" s="79"/>
      <c r="AB640" s="79"/>
    </row>
    <row r="641" spans="1:28" ht="15.8" customHeight="1" x14ac:dyDescent="0.15">
      <c r="A641" s="79"/>
      <c r="B641" s="79"/>
      <c r="C641" s="79"/>
      <c r="D641" s="79"/>
      <c r="E641" s="79"/>
      <c r="F641" s="79"/>
      <c r="G641" s="79"/>
      <c r="H641" s="79"/>
      <c r="I641" s="79"/>
      <c r="J641" s="87"/>
      <c r="K641" s="87"/>
      <c r="L641" s="87"/>
      <c r="M641" s="87"/>
      <c r="N641" s="79"/>
      <c r="O641" s="79"/>
      <c r="P641" s="79"/>
      <c r="Q641" s="79"/>
      <c r="R641" s="79"/>
      <c r="S641" s="79"/>
      <c r="T641" s="79"/>
      <c r="U641" s="79"/>
      <c r="V641" s="79"/>
      <c r="W641" s="79"/>
      <c r="X641" s="79"/>
      <c r="Y641" s="79"/>
      <c r="Z641" s="79"/>
      <c r="AA641" s="79"/>
      <c r="AB641" s="79"/>
    </row>
    <row r="642" spans="1:28" ht="15.8" customHeight="1" x14ac:dyDescent="0.15">
      <c r="A642" s="79"/>
      <c r="B642" s="79"/>
      <c r="C642" s="79"/>
      <c r="D642" s="79"/>
      <c r="E642" s="79"/>
      <c r="F642" s="79"/>
      <c r="G642" s="79"/>
      <c r="H642" s="79"/>
      <c r="I642" s="79"/>
      <c r="J642" s="87"/>
      <c r="K642" s="87"/>
      <c r="L642" s="87"/>
      <c r="M642" s="87"/>
      <c r="N642" s="79"/>
      <c r="O642" s="79"/>
      <c r="P642" s="79"/>
      <c r="Q642" s="79"/>
      <c r="R642" s="79"/>
      <c r="S642" s="79"/>
      <c r="T642" s="79"/>
      <c r="U642" s="79"/>
      <c r="V642" s="79"/>
      <c r="W642" s="79"/>
      <c r="X642" s="79"/>
      <c r="Y642" s="79"/>
      <c r="Z642" s="79"/>
      <c r="AA642" s="79"/>
      <c r="AB642" s="79"/>
    </row>
    <row r="643" spans="1:28" ht="15.8" customHeight="1" x14ac:dyDescent="0.15">
      <c r="A643" s="79"/>
      <c r="B643" s="79"/>
      <c r="C643" s="79"/>
      <c r="D643" s="79"/>
      <c r="E643" s="79"/>
      <c r="F643" s="79"/>
      <c r="G643" s="79"/>
      <c r="H643" s="79"/>
      <c r="I643" s="79"/>
      <c r="J643" s="87"/>
      <c r="K643" s="87"/>
      <c r="L643" s="87"/>
      <c r="M643" s="87"/>
      <c r="N643" s="79"/>
      <c r="O643" s="79"/>
      <c r="P643" s="79"/>
      <c r="Q643" s="79"/>
      <c r="R643" s="79"/>
      <c r="S643" s="79"/>
      <c r="T643" s="79"/>
      <c r="U643" s="79"/>
      <c r="V643" s="79"/>
      <c r="W643" s="79"/>
      <c r="X643" s="79"/>
      <c r="Y643" s="79"/>
      <c r="Z643" s="79"/>
      <c r="AA643" s="79"/>
      <c r="AB643" s="79"/>
    </row>
    <row r="644" spans="1:28" ht="15.8" customHeight="1" x14ac:dyDescent="0.15">
      <c r="A644" s="79"/>
      <c r="B644" s="79"/>
      <c r="C644" s="79"/>
      <c r="D644" s="79"/>
      <c r="E644" s="79"/>
      <c r="F644" s="79"/>
      <c r="G644" s="79"/>
      <c r="H644" s="79"/>
      <c r="I644" s="79"/>
      <c r="J644" s="87"/>
      <c r="K644" s="87"/>
      <c r="L644" s="87"/>
      <c r="M644" s="87"/>
      <c r="N644" s="79"/>
      <c r="O644" s="79"/>
      <c r="P644" s="79"/>
      <c r="Q644" s="79"/>
      <c r="R644" s="79"/>
      <c r="S644" s="79"/>
      <c r="T644" s="79"/>
      <c r="U644" s="79"/>
      <c r="V644" s="79"/>
      <c r="W644" s="79"/>
      <c r="X644" s="79"/>
      <c r="Y644" s="79"/>
      <c r="Z644" s="79"/>
      <c r="AA644" s="79"/>
      <c r="AB644" s="79"/>
    </row>
    <row r="645" spans="1:28" ht="15.8" customHeight="1" x14ac:dyDescent="0.15">
      <c r="A645" s="79"/>
      <c r="B645" s="79"/>
      <c r="C645" s="79"/>
      <c r="D645" s="79"/>
      <c r="E645" s="79"/>
      <c r="F645" s="79"/>
      <c r="G645" s="79"/>
      <c r="H645" s="79"/>
      <c r="I645" s="79"/>
      <c r="J645" s="87"/>
      <c r="K645" s="87"/>
      <c r="L645" s="87"/>
      <c r="M645" s="87"/>
      <c r="N645" s="79"/>
      <c r="O645" s="79"/>
      <c r="P645" s="79"/>
      <c r="Q645" s="79"/>
      <c r="R645" s="79"/>
      <c r="S645" s="79"/>
      <c r="T645" s="79"/>
      <c r="U645" s="79"/>
      <c r="V645" s="79"/>
      <c r="W645" s="79"/>
      <c r="X645" s="79"/>
      <c r="Y645" s="79"/>
      <c r="Z645" s="79"/>
      <c r="AA645" s="79"/>
      <c r="AB645" s="79"/>
    </row>
    <row r="646" spans="1:28" ht="15.8" customHeight="1" x14ac:dyDescent="0.15">
      <c r="A646" s="79"/>
      <c r="B646" s="79"/>
      <c r="C646" s="79"/>
      <c r="D646" s="79"/>
      <c r="E646" s="79"/>
      <c r="F646" s="79"/>
      <c r="G646" s="79"/>
      <c r="H646" s="79"/>
      <c r="I646" s="79"/>
      <c r="J646" s="87"/>
      <c r="K646" s="87"/>
      <c r="L646" s="87"/>
      <c r="M646" s="87"/>
      <c r="N646" s="79"/>
      <c r="O646" s="79"/>
      <c r="P646" s="79"/>
      <c r="Q646" s="79"/>
      <c r="R646" s="79"/>
      <c r="S646" s="79"/>
      <c r="T646" s="79"/>
      <c r="U646" s="79"/>
      <c r="V646" s="79"/>
      <c r="W646" s="79"/>
      <c r="X646" s="79"/>
      <c r="Y646" s="79"/>
      <c r="Z646" s="79"/>
      <c r="AA646" s="79"/>
      <c r="AB646" s="79"/>
    </row>
    <row r="647" spans="1:28" ht="15.8" customHeight="1" x14ac:dyDescent="0.15">
      <c r="A647" s="79"/>
      <c r="B647" s="79"/>
      <c r="C647" s="79"/>
      <c r="D647" s="79"/>
      <c r="E647" s="79"/>
      <c r="F647" s="79"/>
      <c r="G647" s="79"/>
      <c r="H647" s="79"/>
      <c r="I647" s="79"/>
      <c r="J647" s="87"/>
      <c r="K647" s="87"/>
      <c r="L647" s="87"/>
      <c r="M647" s="87"/>
      <c r="N647" s="79"/>
      <c r="O647" s="79"/>
      <c r="P647" s="79"/>
      <c r="Q647" s="79"/>
      <c r="R647" s="79"/>
      <c r="S647" s="79"/>
      <c r="T647" s="79"/>
      <c r="U647" s="79"/>
      <c r="V647" s="79"/>
      <c r="W647" s="79"/>
      <c r="X647" s="79"/>
      <c r="Y647" s="79"/>
      <c r="Z647" s="79"/>
      <c r="AA647" s="79"/>
      <c r="AB647" s="79"/>
    </row>
    <row r="648" spans="1:28" ht="15.8" customHeight="1" x14ac:dyDescent="0.15">
      <c r="A648" s="79"/>
      <c r="B648" s="79"/>
      <c r="C648" s="79"/>
      <c r="D648" s="79"/>
      <c r="E648" s="79"/>
      <c r="F648" s="79"/>
      <c r="G648" s="79"/>
      <c r="H648" s="79"/>
      <c r="I648" s="79"/>
      <c r="J648" s="87"/>
      <c r="K648" s="87"/>
      <c r="L648" s="87"/>
      <c r="M648" s="87"/>
      <c r="N648" s="79"/>
      <c r="O648" s="79"/>
      <c r="P648" s="79"/>
      <c r="Q648" s="79"/>
      <c r="R648" s="79"/>
      <c r="S648" s="79"/>
      <c r="T648" s="79"/>
      <c r="U648" s="79"/>
      <c r="V648" s="79"/>
      <c r="W648" s="79"/>
      <c r="X648" s="79"/>
      <c r="Y648" s="79"/>
      <c r="Z648" s="79"/>
      <c r="AA648" s="79"/>
      <c r="AB648" s="79"/>
    </row>
    <row r="649" spans="1:28" ht="15.8" customHeight="1" x14ac:dyDescent="0.15">
      <c r="A649" s="79"/>
      <c r="B649" s="79"/>
      <c r="C649" s="79"/>
      <c r="D649" s="79"/>
      <c r="E649" s="79"/>
      <c r="F649" s="79"/>
      <c r="G649" s="79"/>
      <c r="H649" s="79"/>
      <c r="I649" s="79"/>
      <c r="J649" s="87"/>
      <c r="K649" s="87"/>
      <c r="L649" s="87"/>
      <c r="M649" s="87"/>
      <c r="N649" s="79"/>
      <c r="O649" s="79"/>
      <c r="P649" s="79"/>
      <c r="Q649" s="79"/>
      <c r="R649" s="79"/>
      <c r="S649" s="79"/>
      <c r="T649" s="79"/>
      <c r="U649" s="79"/>
      <c r="V649" s="79"/>
      <c r="W649" s="79"/>
      <c r="X649" s="79"/>
      <c r="Y649" s="79"/>
      <c r="Z649" s="79"/>
      <c r="AA649" s="79"/>
      <c r="AB649" s="79"/>
    </row>
    <row r="650" spans="1:28" ht="15.8" customHeight="1" x14ac:dyDescent="0.15">
      <c r="A650" s="79"/>
      <c r="B650" s="79"/>
      <c r="C650" s="79"/>
      <c r="D650" s="79"/>
      <c r="E650" s="79"/>
      <c r="F650" s="79"/>
      <c r="G650" s="79"/>
      <c r="H650" s="79"/>
      <c r="I650" s="79"/>
      <c r="J650" s="87"/>
      <c r="K650" s="87"/>
      <c r="L650" s="87"/>
      <c r="M650" s="87"/>
      <c r="N650" s="79"/>
      <c r="O650" s="79"/>
      <c r="P650" s="79"/>
      <c r="Q650" s="79"/>
      <c r="R650" s="79"/>
      <c r="S650" s="79"/>
      <c r="T650" s="79"/>
      <c r="U650" s="79"/>
      <c r="V650" s="79"/>
      <c r="W650" s="79"/>
      <c r="X650" s="79"/>
      <c r="Y650" s="79"/>
      <c r="Z650" s="79"/>
      <c r="AA650" s="79"/>
      <c r="AB650" s="79"/>
    </row>
    <row r="651" spans="1:28" ht="15.8" customHeight="1" x14ac:dyDescent="0.15">
      <c r="A651" s="79"/>
      <c r="B651" s="79"/>
      <c r="C651" s="79"/>
      <c r="D651" s="79"/>
      <c r="E651" s="79"/>
      <c r="F651" s="79"/>
      <c r="G651" s="79"/>
      <c r="H651" s="79"/>
      <c r="I651" s="79"/>
      <c r="J651" s="87"/>
      <c r="K651" s="87"/>
      <c r="L651" s="87"/>
      <c r="M651" s="87"/>
      <c r="N651" s="79"/>
      <c r="O651" s="79"/>
      <c r="P651" s="79"/>
      <c r="Q651" s="79"/>
      <c r="R651" s="79"/>
      <c r="S651" s="79"/>
      <c r="T651" s="79"/>
      <c r="U651" s="79"/>
      <c r="V651" s="79"/>
      <c r="W651" s="79"/>
      <c r="X651" s="79"/>
      <c r="Y651" s="79"/>
      <c r="Z651" s="79"/>
      <c r="AA651" s="79"/>
      <c r="AB651" s="79"/>
    </row>
    <row r="652" spans="1:28" ht="15.8" customHeight="1" x14ac:dyDescent="0.15">
      <c r="A652" s="79"/>
      <c r="B652" s="79"/>
      <c r="C652" s="79"/>
      <c r="D652" s="79"/>
      <c r="E652" s="79"/>
      <c r="F652" s="79"/>
      <c r="G652" s="79"/>
      <c r="H652" s="79"/>
      <c r="I652" s="79"/>
      <c r="J652" s="87"/>
      <c r="K652" s="87"/>
      <c r="L652" s="87"/>
      <c r="M652" s="87"/>
      <c r="N652" s="79"/>
      <c r="O652" s="79"/>
      <c r="P652" s="79"/>
      <c r="Q652" s="79"/>
      <c r="R652" s="79"/>
      <c r="S652" s="79"/>
      <c r="T652" s="79"/>
      <c r="U652" s="79"/>
      <c r="V652" s="79"/>
      <c r="W652" s="79"/>
      <c r="X652" s="79"/>
      <c r="Y652" s="79"/>
      <c r="Z652" s="79"/>
      <c r="AA652" s="79"/>
      <c r="AB652" s="79"/>
    </row>
    <row r="653" spans="1:28" ht="15.8" customHeight="1" x14ac:dyDescent="0.15">
      <c r="A653" s="79"/>
      <c r="B653" s="79"/>
      <c r="C653" s="79"/>
      <c r="D653" s="79"/>
      <c r="E653" s="79"/>
      <c r="F653" s="79"/>
      <c r="G653" s="79"/>
      <c r="H653" s="79"/>
      <c r="I653" s="79"/>
      <c r="J653" s="87"/>
      <c r="K653" s="87"/>
      <c r="L653" s="87"/>
      <c r="M653" s="87"/>
      <c r="N653" s="79"/>
      <c r="O653" s="79"/>
      <c r="P653" s="79"/>
      <c r="Q653" s="79"/>
      <c r="R653" s="79"/>
      <c r="S653" s="79"/>
      <c r="T653" s="79"/>
      <c r="U653" s="79"/>
      <c r="V653" s="79"/>
      <c r="W653" s="79"/>
      <c r="X653" s="79"/>
      <c r="Y653" s="79"/>
      <c r="Z653" s="79"/>
      <c r="AA653" s="79"/>
      <c r="AB653" s="79"/>
    </row>
    <row r="654" spans="1:28" ht="15.8" customHeight="1" x14ac:dyDescent="0.15">
      <c r="A654" s="79"/>
      <c r="B654" s="79"/>
      <c r="C654" s="79"/>
      <c r="D654" s="79"/>
      <c r="E654" s="79"/>
      <c r="F654" s="79"/>
      <c r="G654" s="79"/>
      <c r="H654" s="79"/>
      <c r="I654" s="79"/>
      <c r="J654" s="87"/>
      <c r="K654" s="87"/>
      <c r="L654" s="87"/>
      <c r="M654" s="87"/>
      <c r="N654" s="79"/>
      <c r="O654" s="79"/>
      <c r="P654" s="79"/>
      <c r="Q654" s="79"/>
      <c r="R654" s="79"/>
      <c r="S654" s="79"/>
      <c r="T654" s="79"/>
      <c r="U654" s="79"/>
      <c r="V654" s="79"/>
      <c r="W654" s="79"/>
      <c r="X654" s="79"/>
      <c r="Y654" s="79"/>
      <c r="Z654" s="79"/>
      <c r="AA654" s="79"/>
      <c r="AB654" s="79"/>
    </row>
    <row r="655" spans="1:28" ht="15.8" customHeight="1" x14ac:dyDescent="0.15">
      <c r="A655" s="79"/>
      <c r="B655" s="79"/>
      <c r="C655" s="79"/>
      <c r="D655" s="79"/>
      <c r="E655" s="79"/>
      <c r="F655" s="79"/>
      <c r="G655" s="79"/>
      <c r="H655" s="79"/>
      <c r="I655" s="79"/>
      <c r="J655" s="87"/>
      <c r="K655" s="87"/>
      <c r="L655" s="87"/>
      <c r="M655" s="87"/>
      <c r="N655" s="79"/>
      <c r="O655" s="79"/>
      <c r="P655" s="79"/>
      <c r="Q655" s="79"/>
      <c r="R655" s="79"/>
      <c r="S655" s="79"/>
      <c r="T655" s="79"/>
      <c r="U655" s="79"/>
      <c r="V655" s="79"/>
      <c r="W655" s="79"/>
      <c r="X655" s="79"/>
      <c r="Y655" s="79"/>
      <c r="Z655" s="79"/>
      <c r="AA655" s="79"/>
      <c r="AB655" s="79"/>
    </row>
    <row r="656" spans="1:28" ht="15.8" customHeight="1" x14ac:dyDescent="0.15">
      <c r="A656" s="79"/>
      <c r="B656" s="79"/>
      <c r="C656" s="79"/>
      <c r="D656" s="79"/>
      <c r="E656" s="79"/>
      <c r="F656" s="79"/>
      <c r="G656" s="79"/>
      <c r="H656" s="79"/>
      <c r="I656" s="79"/>
      <c r="J656" s="87"/>
      <c r="K656" s="87"/>
      <c r="L656" s="87"/>
      <c r="M656" s="87"/>
      <c r="N656" s="79"/>
      <c r="O656" s="79"/>
      <c r="P656" s="79"/>
      <c r="Q656" s="79"/>
      <c r="R656" s="79"/>
      <c r="S656" s="79"/>
      <c r="T656" s="79"/>
      <c r="U656" s="79"/>
      <c r="V656" s="79"/>
      <c r="W656" s="79"/>
      <c r="X656" s="79"/>
      <c r="Y656" s="79"/>
      <c r="Z656" s="79"/>
      <c r="AA656" s="79"/>
      <c r="AB656" s="79"/>
    </row>
    <row r="657" spans="1:28" ht="15.8" customHeight="1" x14ac:dyDescent="0.15">
      <c r="A657" s="79"/>
      <c r="B657" s="79"/>
      <c r="C657" s="79"/>
      <c r="D657" s="79"/>
      <c r="E657" s="79"/>
      <c r="F657" s="79"/>
      <c r="G657" s="79"/>
      <c r="H657" s="79"/>
      <c r="I657" s="79"/>
      <c r="J657" s="87"/>
      <c r="K657" s="87"/>
      <c r="L657" s="87"/>
      <c r="M657" s="87"/>
      <c r="N657" s="79"/>
      <c r="O657" s="79"/>
      <c r="P657" s="79"/>
      <c r="Q657" s="79"/>
      <c r="R657" s="79"/>
      <c r="S657" s="79"/>
      <c r="T657" s="79"/>
      <c r="U657" s="79"/>
      <c r="V657" s="79"/>
      <c r="W657" s="79"/>
      <c r="X657" s="79"/>
      <c r="Y657" s="79"/>
      <c r="Z657" s="79"/>
      <c r="AA657" s="79"/>
      <c r="AB657" s="79"/>
    </row>
    <row r="658" spans="1:28" ht="15.8" customHeight="1" x14ac:dyDescent="0.15">
      <c r="A658" s="79"/>
      <c r="B658" s="79"/>
      <c r="C658" s="79"/>
      <c r="D658" s="79"/>
      <c r="E658" s="79"/>
      <c r="F658" s="79"/>
      <c r="G658" s="79"/>
      <c r="H658" s="79"/>
      <c r="I658" s="79"/>
      <c r="J658" s="87"/>
      <c r="K658" s="87"/>
      <c r="L658" s="87"/>
      <c r="M658" s="87"/>
      <c r="N658" s="79"/>
      <c r="O658" s="79"/>
      <c r="P658" s="79"/>
      <c r="Q658" s="79"/>
      <c r="R658" s="79"/>
      <c r="S658" s="79"/>
      <c r="T658" s="79"/>
      <c r="U658" s="79"/>
      <c r="V658" s="79"/>
      <c r="W658" s="79"/>
      <c r="X658" s="79"/>
      <c r="Y658" s="79"/>
      <c r="Z658" s="79"/>
      <c r="AA658" s="79"/>
      <c r="AB658" s="79"/>
    </row>
    <row r="659" spans="1:28" ht="15.8" customHeight="1" x14ac:dyDescent="0.15">
      <c r="A659" s="79"/>
      <c r="B659" s="79"/>
      <c r="C659" s="79"/>
      <c r="D659" s="79"/>
      <c r="E659" s="79"/>
      <c r="F659" s="79"/>
      <c r="G659" s="79"/>
      <c r="H659" s="79"/>
      <c r="I659" s="79"/>
      <c r="J659" s="87"/>
      <c r="K659" s="87"/>
      <c r="L659" s="87"/>
      <c r="M659" s="87"/>
      <c r="N659" s="79"/>
      <c r="O659" s="79"/>
      <c r="P659" s="79"/>
      <c r="Q659" s="79"/>
      <c r="R659" s="79"/>
      <c r="S659" s="79"/>
      <c r="T659" s="79"/>
      <c r="U659" s="79"/>
      <c r="V659" s="79"/>
      <c r="W659" s="79"/>
      <c r="X659" s="79"/>
      <c r="Y659" s="79"/>
      <c r="Z659" s="79"/>
      <c r="AA659" s="79"/>
      <c r="AB659" s="79"/>
    </row>
    <row r="660" spans="1:28" ht="15.8" customHeight="1" x14ac:dyDescent="0.15">
      <c r="A660" s="79"/>
      <c r="B660" s="79"/>
      <c r="C660" s="79"/>
      <c r="D660" s="79"/>
      <c r="E660" s="79"/>
      <c r="F660" s="79"/>
      <c r="G660" s="79"/>
      <c r="H660" s="79"/>
      <c r="I660" s="79"/>
      <c r="J660" s="87"/>
      <c r="K660" s="87"/>
      <c r="L660" s="87"/>
      <c r="M660" s="87"/>
      <c r="N660" s="79"/>
      <c r="O660" s="79"/>
      <c r="P660" s="79"/>
      <c r="Q660" s="79"/>
      <c r="R660" s="79"/>
      <c r="S660" s="79"/>
      <c r="T660" s="79"/>
      <c r="U660" s="79"/>
      <c r="V660" s="79"/>
      <c r="W660" s="79"/>
      <c r="X660" s="79"/>
      <c r="Y660" s="79"/>
      <c r="Z660" s="79"/>
      <c r="AA660" s="79"/>
      <c r="AB660" s="79"/>
    </row>
    <row r="661" spans="1:28" ht="15.8" customHeight="1" x14ac:dyDescent="0.15">
      <c r="A661" s="79"/>
      <c r="B661" s="79"/>
      <c r="C661" s="79"/>
      <c r="D661" s="79"/>
      <c r="E661" s="79"/>
      <c r="F661" s="79"/>
      <c r="G661" s="79"/>
      <c r="H661" s="79"/>
      <c r="I661" s="79"/>
      <c r="J661" s="87"/>
      <c r="K661" s="87"/>
      <c r="L661" s="87"/>
      <c r="M661" s="87"/>
      <c r="N661" s="79"/>
      <c r="O661" s="79"/>
      <c r="P661" s="79"/>
      <c r="Q661" s="79"/>
      <c r="R661" s="79"/>
      <c r="S661" s="79"/>
      <c r="T661" s="79"/>
      <c r="U661" s="79"/>
      <c r="V661" s="79"/>
      <c r="W661" s="79"/>
      <c r="X661" s="79"/>
      <c r="Y661" s="79"/>
      <c r="Z661" s="79"/>
      <c r="AA661" s="79"/>
      <c r="AB661" s="79"/>
    </row>
    <row r="662" spans="1:28" ht="15.8" customHeight="1" x14ac:dyDescent="0.15">
      <c r="A662" s="79"/>
      <c r="B662" s="79"/>
      <c r="C662" s="79"/>
      <c r="D662" s="79"/>
      <c r="E662" s="79"/>
      <c r="F662" s="79"/>
      <c r="G662" s="79"/>
      <c r="H662" s="79"/>
      <c r="I662" s="79"/>
      <c r="J662" s="87"/>
      <c r="K662" s="87"/>
      <c r="L662" s="87"/>
      <c r="M662" s="87"/>
      <c r="N662" s="79"/>
      <c r="O662" s="79"/>
      <c r="P662" s="79"/>
      <c r="Q662" s="79"/>
      <c r="R662" s="79"/>
      <c r="S662" s="79"/>
      <c r="T662" s="79"/>
      <c r="U662" s="79"/>
      <c r="V662" s="79"/>
      <c r="W662" s="79"/>
      <c r="X662" s="79"/>
      <c r="Y662" s="79"/>
      <c r="Z662" s="79"/>
      <c r="AA662" s="79"/>
      <c r="AB662" s="79"/>
    </row>
    <row r="663" spans="1:28" ht="15.8" customHeight="1" x14ac:dyDescent="0.15">
      <c r="A663" s="79"/>
      <c r="B663" s="79"/>
      <c r="C663" s="79"/>
      <c r="D663" s="79"/>
      <c r="E663" s="79"/>
      <c r="F663" s="79"/>
      <c r="G663" s="79"/>
      <c r="H663" s="79"/>
      <c r="I663" s="79"/>
      <c r="J663" s="87"/>
      <c r="K663" s="87"/>
      <c r="L663" s="87"/>
      <c r="M663" s="87"/>
      <c r="N663" s="79"/>
      <c r="O663" s="79"/>
      <c r="P663" s="79"/>
      <c r="Q663" s="79"/>
      <c r="R663" s="79"/>
      <c r="S663" s="79"/>
      <c r="T663" s="79"/>
      <c r="U663" s="79"/>
      <c r="V663" s="79"/>
      <c r="W663" s="79"/>
      <c r="X663" s="79"/>
      <c r="Y663" s="79"/>
      <c r="Z663" s="79"/>
      <c r="AA663" s="79"/>
      <c r="AB663" s="79"/>
    </row>
    <row r="664" spans="1:28" ht="15.8" customHeight="1" x14ac:dyDescent="0.15">
      <c r="A664" s="79"/>
      <c r="B664" s="79"/>
      <c r="C664" s="79"/>
      <c r="D664" s="79"/>
      <c r="E664" s="79"/>
      <c r="F664" s="79"/>
      <c r="G664" s="79"/>
      <c r="H664" s="79"/>
      <c r="I664" s="79"/>
      <c r="J664" s="87"/>
      <c r="K664" s="87"/>
      <c r="L664" s="87"/>
      <c r="M664" s="87"/>
      <c r="N664" s="79"/>
      <c r="O664" s="79"/>
      <c r="P664" s="79"/>
      <c r="Q664" s="79"/>
      <c r="R664" s="79"/>
      <c r="S664" s="79"/>
      <c r="T664" s="79"/>
      <c r="U664" s="79"/>
      <c r="V664" s="79"/>
      <c r="W664" s="79"/>
      <c r="X664" s="79"/>
      <c r="Y664" s="79"/>
      <c r="Z664" s="79"/>
      <c r="AA664" s="79"/>
      <c r="AB664" s="79"/>
    </row>
    <row r="665" spans="1:28" ht="15.8" customHeight="1" x14ac:dyDescent="0.15">
      <c r="A665" s="79"/>
      <c r="B665" s="79"/>
      <c r="C665" s="79"/>
      <c r="D665" s="79"/>
      <c r="E665" s="79"/>
      <c r="F665" s="79"/>
      <c r="G665" s="79"/>
      <c r="H665" s="79"/>
      <c r="I665" s="79"/>
      <c r="J665" s="87"/>
      <c r="K665" s="87"/>
      <c r="L665" s="87"/>
      <c r="M665" s="87"/>
      <c r="N665" s="79"/>
      <c r="O665" s="79"/>
      <c r="P665" s="79"/>
      <c r="Q665" s="79"/>
      <c r="R665" s="79"/>
      <c r="S665" s="79"/>
      <c r="T665" s="79"/>
      <c r="U665" s="79"/>
      <c r="V665" s="79"/>
      <c r="W665" s="79"/>
      <c r="X665" s="79"/>
      <c r="Y665" s="79"/>
      <c r="Z665" s="79"/>
      <c r="AA665" s="79"/>
      <c r="AB665" s="79"/>
    </row>
    <row r="666" spans="1:28" ht="15.8" customHeight="1" x14ac:dyDescent="0.15">
      <c r="A666" s="79"/>
      <c r="B666" s="79"/>
      <c r="C666" s="79"/>
      <c r="D666" s="79"/>
      <c r="E666" s="79"/>
      <c r="F666" s="79"/>
      <c r="G666" s="79"/>
      <c r="H666" s="79"/>
      <c r="I666" s="79"/>
      <c r="J666" s="87"/>
      <c r="K666" s="87"/>
      <c r="L666" s="87"/>
      <c r="M666" s="87"/>
      <c r="N666" s="79"/>
      <c r="O666" s="79"/>
      <c r="P666" s="79"/>
      <c r="Q666" s="79"/>
      <c r="R666" s="79"/>
      <c r="S666" s="79"/>
      <c r="T666" s="79"/>
      <c r="U666" s="79"/>
      <c r="V666" s="79"/>
      <c r="W666" s="79"/>
      <c r="X666" s="79"/>
      <c r="Y666" s="79"/>
      <c r="Z666" s="79"/>
      <c r="AA666" s="79"/>
      <c r="AB666" s="79"/>
    </row>
    <row r="667" spans="1:28" ht="15.8" customHeight="1" x14ac:dyDescent="0.15">
      <c r="A667" s="79"/>
      <c r="B667" s="79"/>
      <c r="C667" s="79"/>
      <c r="D667" s="79"/>
      <c r="E667" s="79"/>
      <c r="F667" s="79"/>
      <c r="G667" s="79"/>
      <c r="H667" s="79"/>
      <c r="I667" s="79"/>
      <c r="J667" s="87"/>
      <c r="K667" s="87"/>
      <c r="L667" s="87"/>
      <c r="M667" s="87"/>
      <c r="N667" s="79"/>
      <c r="O667" s="79"/>
      <c r="P667" s="79"/>
      <c r="Q667" s="79"/>
      <c r="R667" s="79"/>
      <c r="S667" s="79"/>
      <c r="T667" s="79"/>
      <c r="U667" s="79"/>
      <c r="V667" s="79"/>
      <c r="W667" s="79"/>
      <c r="X667" s="79"/>
      <c r="Y667" s="79"/>
      <c r="Z667" s="79"/>
      <c r="AA667" s="79"/>
      <c r="AB667" s="79"/>
    </row>
    <row r="668" spans="1:28" ht="15.8" customHeight="1" x14ac:dyDescent="0.15">
      <c r="A668" s="79"/>
      <c r="B668" s="79"/>
      <c r="C668" s="79"/>
      <c r="D668" s="79"/>
      <c r="E668" s="79"/>
      <c r="F668" s="79"/>
      <c r="G668" s="79"/>
      <c r="H668" s="79"/>
      <c r="I668" s="79"/>
      <c r="J668" s="87"/>
      <c r="K668" s="87"/>
      <c r="L668" s="87"/>
      <c r="M668" s="87"/>
      <c r="N668" s="79"/>
      <c r="O668" s="79"/>
      <c r="P668" s="79"/>
      <c r="Q668" s="79"/>
      <c r="R668" s="79"/>
      <c r="S668" s="79"/>
      <c r="T668" s="79"/>
      <c r="U668" s="79"/>
      <c r="V668" s="79"/>
      <c r="W668" s="79"/>
      <c r="X668" s="79"/>
      <c r="Y668" s="79"/>
      <c r="Z668" s="79"/>
      <c r="AA668" s="79"/>
      <c r="AB668" s="79"/>
    </row>
    <row r="669" spans="1:28" ht="15.8" customHeight="1" x14ac:dyDescent="0.15">
      <c r="A669" s="79"/>
      <c r="B669" s="79"/>
      <c r="C669" s="79"/>
      <c r="D669" s="79"/>
      <c r="E669" s="79"/>
      <c r="F669" s="79"/>
      <c r="G669" s="79"/>
      <c r="H669" s="79"/>
      <c r="I669" s="79"/>
      <c r="J669" s="87"/>
      <c r="K669" s="87"/>
      <c r="L669" s="87"/>
      <c r="M669" s="87"/>
      <c r="N669" s="79"/>
      <c r="O669" s="79"/>
      <c r="P669" s="79"/>
      <c r="Q669" s="79"/>
      <c r="R669" s="79"/>
      <c r="S669" s="79"/>
      <c r="T669" s="79"/>
      <c r="U669" s="79"/>
      <c r="V669" s="79"/>
      <c r="W669" s="79"/>
      <c r="X669" s="79"/>
      <c r="Y669" s="79"/>
      <c r="Z669" s="79"/>
      <c r="AA669" s="79"/>
      <c r="AB669" s="79"/>
    </row>
    <row r="670" spans="1:28" ht="15.8" customHeight="1" x14ac:dyDescent="0.15">
      <c r="A670" s="79"/>
      <c r="B670" s="79"/>
      <c r="C670" s="79"/>
      <c r="D670" s="79"/>
      <c r="E670" s="79"/>
      <c r="F670" s="79"/>
      <c r="G670" s="79"/>
      <c r="H670" s="79"/>
      <c r="I670" s="79"/>
      <c r="J670" s="87"/>
      <c r="K670" s="87"/>
      <c r="L670" s="87"/>
      <c r="M670" s="87"/>
      <c r="N670" s="79"/>
      <c r="O670" s="79"/>
      <c r="P670" s="79"/>
      <c r="Q670" s="79"/>
      <c r="R670" s="79"/>
      <c r="S670" s="79"/>
      <c r="T670" s="79"/>
      <c r="U670" s="79"/>
      <c r="V670" s="79"/>
      <c r="W670" s="79"/>
      <c r="X670" s="79"/>
      <c r="Y670" s="79"/>
      <c r="Z670" s="79"/>
      <c r="AA670" s="79"/>
      <c r="AB670" s="79"/>
    </row>
    <row r="671" spans="1:28" ht="15.8" customHeight="1" x14ac:dyDescent="0.15">
      <c r="A671" s="79"/>
      <c r="B671" s="79"/>
      <c r="C671" s="79"/>
      <c r="D671" s="79"/>
      <c r="E671" s="79"/>
      <c r="F671" s="79"/>
      <c r="G671" s="79"/>
      <c r="H671" s="79"/>
      <c r="I671" s="79"/>
      <c r="J671" s="87"/>
      <c r="K671" s="87"/>
      <c r="L671" s="87"/>
      <c r="M671" s="87"/>
      <c r="N671" s="79"/>
      <c r="O671" s="79"/>
      <c r="P671" s="79"/>
      <c r="Q671" s="79"/>
      <c r="R671" s="79"/>
      <c r="S671" s="79"/>
      <c r="T671" s="79"/>
      <c r="U671" s="79"/>
      <c r="V671" s="79"/>
      <c r="W671" s="79"/>
      <c r="X671" s="79"/>
      <c r="Y671" s="79"/>
      <c r="Z671" s="79"/>
      <c r="AA671" s="79"/>
      <c r="AB671" s="79"/>
    </row>
    <row r="672" spans="1:28" ht="15.8" customHeight="1" x14ac:dyDescent="0.15">
      <c r="A672" s="79"/>
      <c r="B672" s="79"/>
      <c r="C672" s="79"/>
      <c r="D672" s="79"/>
      <c r="E672" s="79"/>
      <c r="F672" s="79"/>
      <c r="G672" s="79"/>
      <c r="H672" s="79"/>
      <c r="I672" s="79"/>
      <c r="J672" s="87"/>
      <c r="K672" s="87"/>
      <c r="L672" s="87"/>
      <c r="M672" s="87"/>
      <c r="N672" s="79"/>
      <c r="O672" s="79"/>
      <c r="P672" s="79"/>
      <c r="Q672" s="79"/>
      <c r="R672" s="79"/>
      <c r="S672" s="79"/>
      <c r="T672" s="79"/>
      <c r="U672" s="79"/>
      <c r="V672" s="79"/>
      <c r="W672" s="79"/>
      <c r="X672" s="79"/>
      <c r="Y672" s="79"/>
      <c r="Z672" s="79"/>
      <c r="AA672" s="79"/>
      <c r="AB672" s="79"/>
    </row>
    <row r="673" spans="1:28" ht="15.8" customHeight="1" x14ac:dyDescent="0.15">
      <c r="A673" s="79"/>
      <c r="B673" s="79"/>
      <c r="C673" s="79"/>
      <c r="D673" s="79"/>
      <c r="E673" s="79"/>
      <c r="F673" s="79"/>
      <c r="G673" s="79"/>
      <c r="H673" s="79"/>
      <c r="I673" s="79"/>
      <c r="J673" s="87"/>
      <c r="K673" s="87"/>
      <c r="L673" s="87"/>
      <c r="M673" s="87"/>
      <c r="N673" s="79"/>
      <c r="O673" s="79"/>
      <c r="P673" s="79"/>
      <c r="Q673" s="79"/>
      <c r="R673" s="79"/>
      <c r="S673" s="79"/>
      <c r="T673" s="79"/>
      <c r="U673" s="79"/>
      <c r="V673" s="79"/>
      <c r="W673" s="79"/>
      <c r="X673" s="79"/>
      <c r="Y673" s="79"/>
      <c r="Z673" s="79"/>
      <c r="AA673" s="79"/>
      <c r="AB673" s="79"/>
    </row>
    <row r="674" spans="1:28" ht="15.8" customHeight="1" x14ac:dyDescent="0.15">
      <c r="A674" s="79"/>
      <c r="B674" s="79"/>
      <c r="C674" s="79"/>
      <c r="D674" s="79"/>
      <c r="E674" s="79"/>
      <c r="F674" s="79"/>
      <c r="G674" s="79"/>
      <c r="H674" s="79"/>
      <c r="I674" s="79"/>
      <c r="J674" s="87"/>
      <c r="K674" s="87"/>
      <c r="L674" s="87"/>
      <c r="M674" s="87"/>
      <c r="N674" s="79"/>
      <c r="O674" s="79"/>
      <c r="P674" s="79"/>
      <c r="Q674" s="79"/>
      <c r="R674" s="79"/>
      <c r="S674" s="79"/>
      <c r="T674" s="79"/>
      <c r="U674" s="79"/>
      <c r="V674" s="79"/>
      <c r="W674" s="79"/>
      <c r="X674" s="79"/>
      <c r="Y674" s="79"/>
      <c r="Z674" s="79"/>
      <c r="AA674" s="79"/>
      <c r="AB674" s="79"/>
    </row>
    <row r="675" spans="1:28" ht="15.8" customHeight="1" x14ac:dyDescent="0.15">
      <c r="A675" s="79"/>
      <c r="B675" s="79"/>
      <c r="C675" s="79"/>
      <c r="D675" s="79"/>
      <c r="E675" s="79"/>
      <c r="F675" s="79"/>
      <c r="G675" s="79"/>
      <c r="H675" s="79"/>
      <c r="I675" s="79"/>
      <c r="J675" s="87"/>
      <c r="K675" s="87"/>
      <c r="L675" s="87"/>
      <c r="M675" s="87"/>
      <c r="N675" s="79"/>
      <c r="O675" s="79"/>
      <c r="P675" s="79"/>
      <c r="Q675" s="79"/>
      <c r="R675" s="79"/>
      <c r="S675" s="79"/>
      <c r="T675" s="79"/>
      <c r="U675" s="79"/>
      <c r="V675" s="79"/>
      <c r="W675" s="79"/>
      <c r="X675" s="79"/>
      <c r="Y675" s="79"/>
      <c r="Z675" s="79"/>
      <c r="AA675" s="79"/>
      <c r="AB675" s="79"/>
    </row>
    <row r="676" spans="1:28" ht="15.8" customHeight="1" x14ac:dyDescent="0.15">
      <c r="A676" s="79"/>
      <c r="B676" s="79"/>
      <c r="C676" s="79"/>
      <c r="D676" s="79"/>
      <c r="E676" s="79"/>
      <c r="F676" s="79"/>
      <c r="G676" s="79"/>
      <c r="H676" s="79"/>
      <c r="I676" s="79"/>
      <c r="J676" s="87"/>
      <c r="K676" s="87"/>
      <c r="L676" s="87"/>
      <c r="M676" s="87"/>
      <c r="N676" s="79"/>
      <c r="O676" s="79"/>
      <c r="P676" s="79"/>
      <c r="Q676" s="79"/>
      <c r="R676" s="79"/>
      <c r="S676" s="79"/>
      <c r="T676" s="79"/>
      <c r="U676" s="79"/>
      <c r="V676" s="79"/>
      <c r="W676" s="79"/>
      <c r="X676" s="79"/>
      <c r="Y676" s="79"/>
      <c r="Z676" s="79"/>
      <c r="AA676" s="79"/>
      <c r="AB676" s="79"/>
    </row>
    <row r="677" spans="1:28" ht="15.8" customHeight="1" x14ac:dyDescent="0.15">
      <c r="A677" s="79"/>
      <c r="B677" s="79"/>
      <c r="C677" s="79"/>
      <c r="D677" s="79"/>
      <c r="E677" s="79"/>
      <c r="F677" s="79"/>
      <c r="G677" s="79"/>
      <c r="H677" s="79"/>
      <c r="I677" s="79"/>
      <c r="J677" s="87"/>
      <c r="K677" s="87"/>
      <c r="L677" s="87"/>
      <c r="M677" s="87"/>
      <c r="N677" s="79"/>
      <c r="O677" s="79"/>
      <c r="P677" s="79"/>
      <c r="Q677" s="79"/>
      <c r="R677" s="79"/>
      <c r="S677" s="79"/>
      <c r="T677" s="79"/>
      <c r="U677" s="79"/>
      <c r="V677" s="79"/>
      <c r="W677" s="79"/>
      <c r="X677" s="79"/>
      <c r="Y677" s="79"/>
      <c r="Z677" s="79"/>
      <c r="AA677" s="79"/>
      <c r="AB677" s="79"/>
    </row>
    <row r="678" spans="1:28" ht="15.8" customHeight="1" x14ac:dyDescent="0.15">
      <c r="A678" s="79"/>
      <c r="B678" s="79"/>
      <c r="C678" s="79"/>
      <c r="D678" s="79"/>
      <c r="E678" s="79"/>
      <c r="F678" s="79"/>
      <c r="G678" s="79"/>
      <c r="H678" s="79"/>
      <c r="I678" s="79"/>
      <c r="J678" s="87"/>
      <c r="K678" s="87"/>
      <c r="L678" s="87"/>
      <c r="M678" s="87"/>
      <c r="N678" s="79"/>
      <c r="O678" s="79"/>
      <c r="P678" s="79"/>
      <c r="Q678" s="79"/>
      <c r="R678" s="79"/>
      <c r="S678" s="79"/>
      <c r="T678" s="79"/>
      <c r="U678" s="79"/>
      <c r="V678" s="79"/>
      <c r="W678" s="79"/>
      <c r="X678" s="79"/>
      <c r="Y678" s="79"/>
      <c r="Z678" s="79"/>
      <c r="AA678" s="79"/>
      <c r="AB678" s="79"/>
    </row>
    <row r="679" spans="1:28" ht="15.8" customHeight="1" x14ac:dyDescent="0.15">
      <c r="A679" s="79"/>
      <c r="B679" s="79"/>
      <c r="C679" s="79"/>
      <c r="D679" s="79"/>
      <c r="E679" s="79"/>
      <c r="F679" s="79"/>
      <c r="G679" s="79"/>
      <c r="H679" s="79"/>
      <c r="I679" s="79"/>
      <c r="J679" s="87"/>
      <c r="K679" s="87"/>
      <c r="L679" s="87"/>
      <c r="M679" s="87"/>
      <c r="N679" s="79"/>
      <c r="O679" s="79"/>
      <c r="P679" s="79"/>
      <c r="Q679" s="79"/>
      <c r="R679" s="79"/>
      <c r="S679" s="79"/>
      <c r="T679" s="79"/>
      <c r="U679" s="79"/>
      <c r="V679" s="79"/>
      <c r="W679" s="79"/>
      <c r="X679" s="79"/>
      <c r="Y679" s="79"/>
      <c r="Z679" s="79"/>
      <c r="AA679" s="79"/>
      <c r="AB679" s="79"/>
    </row>
    <row r="680" spans="1:28" ht="15.8" customHeight="1" x14ac:dyDescent="0.15">
      <c r="A680" s="79"/>
      <c r="B680" s="79"/>
      <c r="C680" s="79"/>
      <c r="D680" s="79"/>
      <c r="E680" s="79"/>
      <c r="F680" s="79"/>
      <c r="G680" s="79"/>
      <c r="H680" s="79"/>
      <c r="I680" s="79"/>
      <c r="J680" s="87"/>
      <c r="K680" s="87"/>
      <c r="L680" s="87"/>
      <c r="M680" s="87"/>
      <c r="N680" s="79"/>
      <c r="O680" s="79"/>
      <c r="P680" s="79"/>
      <c r="Q680" s="79"/>
      <c r="R680" s="79"/>
      <c r="S680" s="79"/>
      <c r="T680" s="79"/>
      <c r="U680" s="79"/>
      <c r="V680" s="79"/>
      <c r="W680" s="79"/>
      <c r="X680" s="79"/>
      <c r="Y680" s="79"/>
      <c r="Z680" s="79"/>
      <c r="AA680" s="79"/>
      <c r="AB680" s="79"/>
    </row>
    <row r="681" spans="1:28" ht="15.8" customHeight="1" x14ac:dyDescent="0.15">
      <c r="A681" s="79"/>
      <c r="B681" s="79"/>
      <c r="C681" s="79"/>
      <c r="D681" s="79"/>
      <c r="E681" s="79"/>
      <c r="F681" s="79"/>
      <c r="G681" s="79"/>
      <c r="H681" s="79"/>
      <c r="I681" s="79"/>
      <c r="J681" s="87"/>
      <c r="K681" s="87"/>
      <c r="L681" s="87"/>
      <c r="M681" s="87"/>
      <c r="N681" s="79"/>
      <c r="O681" s="79"/>
      <c r="P681" s="79"/>
      <c r="Q681" s="79"/>
      <c r="R681" s="79"/>
      <c r="S681" s="79"/>
      <c r="T681" s="79"/>
      <c r="U681" s="79"/>
      <c r="V681" s="79"/>
      <c r="W681" s="79"/>
      <c r="X681" s="79"/>
      <c r="Y681" s="79"/>
      <c r="Z681" s="79"/>
      <c r="AA681" s="79"/>
      <c r="AB681" s="79"/>
    </row>
    <row r="682" spans="1:28" ht="15.8" customHeight="1" x14ac:dyDescent="0.15">
      <c r="A682" s="79"/>
      <c r="B682" s="79"/>
      <c r="C682" s="79"/>
      <c r="D682" s="79"/>
      <c r="E682" s="79"/>
      <c r="F682" s="79"/>
      <c r="G682" s="79"/>
      <c r="H682" s="79"/>
      <c r="I682" s="79"/>
      <c r="J682" s="87"/>
      <c r="K682" s="87"/>
      <c r="L682" s="87"/>
      <c r="M682" s="87"/>
      <c r="N682" s="79"/>
      <c r="O682" s="79"/>
      <c r="P682" s="79"/>
      <c r="Q682" s="79"/>
      <c r="R682" s="79"/>
      <c r="S682" s="79"/>
      <c r="T682" s="79"/>
      <c r="U682" s="79"/>
      <c r="V682" s="79"/>
      <c r="W682" s="79"/>
      <c r="X682" s="79"/>
      <c r="Y682" s="79"/>
      <c r="Z682" s="79"/>
      <c r="AA682" s="79"/>
      <c r="AB682" s="79"/>
    </row>
    <row r="683" spans="1:28" ht="15.8" customHeight="1" x14ac:dyDescent="0.15">
      <c r="A683" s="79"/>
      <c r="B683" s="79"/>
      <c r="C683" s="79"/>
      <c r="D683" s="79"/>
      <c r="E683" s="79"/>
      <c r="F683" s="79"/>
      <c r="G683" s="79"/>
      <c r="H683" s="79"/>
      <c r="I683" s="79"/>
      <c r="J683" s="87"/>
      <c r="K683" s="87"/>
      <c r="L683" s="87"/>
      <c r="M683" s="87"/>
      <c r="N683" s="79"/>
      <c r="O683" s="79"/>
      <c r="P683" s="79"/>
      <c r="Q683" s="79"/>
      <c r="R683" s="79"/>
      <c r="S683" s="79"/>
      <c r="T683" s="79"/>
      <c r="U683" s="79"/>
      <c r="V683" s="79"/>
      <c r="W683" s="79"/>
      <c r="X683" s="79"/>
      <c r="Y683" s="79"/>
      <c r="Z683" s="79"/>
      <c r="AA683" s="79"/>
      <c r="AB683" s="79"/>
    </row>
    <row r="684" spans="1:28" ht="15.8" customHeight="1" x14ac:dyDescent="0.15">
      <c r="A684" s="79"/>
      <c r="B684" s="79"/>
      <c r="C684" s="79"/>
      <c r="D684" s="79"/>
      <c r="E684" s="79"/>
      <c r="F684" s="79"/>
      <c r="G684" s="79"/>
      <c r="H684" s="79"/>
      <c r="I684" s="79"/>
      <c r="J684" s="87"/>
      <c r="K684" s="87"/>
      <c r="L684" s="87"/>
      <c r="M684" s="87"/>
      <c r="N684" s="79"/>
      <c r="O684" s="79"/>
      <c r="P684" s="79"/>
      <c r="Q684" s="79"/>
      <c r="R684" s="79"/>
      <c r="S684" s="79"/>
      <c r="T684" s="79"/>
      <c r="U684" s="79"/>
      <c r="V684" s="79"/>
      <c r="W684" s="79"/>
      <c r="X684" s="79"/>
      <c r="Y684" s="79"/>
      <c r="Z684" s="79"/>
      <c r="AA684" s="79"/>
      <c r="AB684" s="79"/>
    </row>
    <row r="685" spans="1:28" ht="15.8" customHeight="1" x14ac:dyDescent="0.15">
      <c r="A685" s="79"/>
      <c r="B685" s="79"/>
      <c r="C685" s="79"/>
      <c r="D685" s="79"/>
      <c r="E685" s="79"/>
      <c r="F685" s="79"/>
      <c r="G685" s="79"/>
      <c r="H685" s="79"/>
      <c r="I685" s="79"/>
      <c r="J685" s="87"/>
      <c r="K685" s="87"/>
      <c r="L685" s="87"/>
      <c r="M685" s="87"/>
      <c r="N685" s="79"/>
      <c r="O685" s="79"/>
      <c r="P685" s="79"/>
      <c r="Q685" s="79"/>
      <c r="R685" s="79"/>
      <c r="S685" s="79"/>
      <c r="T685" s="79"/>
      <c r="U685" s="79"/>
      <c r="V685" s="79"/>
      <c r="W685" s="79"/>
      <c r="X685" s="79"/>
      <c r="Y685" s="79"/>
      <c r="Z685" s="79"/>
      <c r="AA685" s="79"/>
      <c r="AB685" s="79"/>
    </row>
    <row r="686" spans="1:28" ht="15.8" customHeight="1" x14ac:dyDescent="0.15">
      <c r="A686" s="79"/>
      <c r="B686" s="79"/>
      <c r="C686" s="79"/>
      <c r="D686" s="79"/>
      <c r="E686" s="79"/>
      <c r="F686" s="79"/>
      <c r="G686" s="79"/>
      <c r="H686" s="79"/>
      <c r="I686" s="79"/>
      <c r="J686" s="87"/>
      <c r="K686" s="87"/>
      <c r="L686" s="87"/>
      <c r="M686" s="87"/>
      <c r="N686" s="79"/>
      <c r="O686" s="79"/>
      <c r="P686" s="79"/>
      <c r="Q686" s="79"/>
      <c r="R686" s="79"/>
      <c r="S686" s="79"/>
      <c r="T686" s="79"/>
      <c r="U686" s="79"/>
      <c r="V686" s="79"/>
      <c r="W686" s="79"/>
      <c r="X686" s="79"/>
      <c r="Y686" s="79"/>
      <c r="Z686" s="79"/>
      <c r="AA686" s="79"/>
      <c r="AB686" s="79"/>
    </row>
    <row r="687" spans="1:28" ht="15.8" customHeight="1" x14ac:dyDescent="0.15">
      <c r="A687" s="79"/>
      <c r="B687" s="79"/>
      <c r="C687" s="79"/>
      <c r="D687" s="79"/>
      <c r="E687" s="79"/>
      <c r="F687" s="79"/>
      <c r="G687" s="79"/>
      <c r="H687" s="79"/>
      <c r="I687" s="79"/>
      <c r="J687" s="87"/>
      <c r="K687" s="87"/>
      <c r="L687" s="87"/>
      <c r="M687" s="87"/>
      <c r="N687" s="79"/>
      <c r="O687" s="79"/>
      <c r="P687" s="79"/>
      <c r="Q687" s="79"/>
      <c r="R687" s="79"/>
      <c r="S687" s="79"/>
      <c r="T687" s="79"/>
      <c r="U687" s="79"/>
      <c r="V687" s="79"/>
      <c r="W687" s="79"/>
      <c r="X687" s="79"/>
      <c r="Y687" s="79"/>
      <c r="Z687" s="79"/>
      <c r="AA687" s="79"/>
      <c r="AB687" s="79"/>
    </row>
    <row r="688" spans="1:28" ht="15.8" customHeight="1" x14ac:dyDescent="0.15">
      <c r="A688" s="79"/>
      <c r="B688" s="79"/>
      <c r="C688" s="79"/>
      <c r="D688" s="79"/>
      <c r="E688" s="79"/>
      <c r="F688" s="79"/>
      <c r="G688" s="79"/>
      <c r="H688" s="79"/>
      <c r="I688" s="79"/>
      <c r="J688" s="87"/>
      <c r="K688" s="87"/>
      <c r="L688" s="87"/>
      <c r="M688" s="87"/>
      <c r="N688" s="79"/>
      <c r="O688" s="79"/>
      <c r="P688" s="79"/>
      <c r="Q688" s="79"/>
      <c r="R688" s="79"/>
      <c r="S688" s="79"/>
      <c r="T688" s="79"/>
      <c r="U688" s="79"/>
      <c r="V688" s="79"/>
      <c r="W688" s="79"/>
      <c r="X688" s="79"/>
      <c r="Y688" s="79"/>
      <c r="Z688" s="79"/>
      <c r="AA688" s="79"/>
      <c r="AB688" s="79"/>
    </row>
    <row r="689" spans="1:28" ht="15.8" customHeight="1" x14ac:dyDescent="0.15">
      <c r="A689" s="79"/>
      <c r="B689" s="79"/>
      <c r="C689" s="79"/>
      <c r="D689" s="79"/>
      <c r="E689" s="79"/>
      <c r="F689" s="79"/>
      <c r="G689" s="79"/>
      <c r="H689" s="79"/>
      <c r="I689" s="79"/>
      <c r="J689" s="87"/>
      <c r="K689" s="87"/>
      <c r="L689" s="87"/>
      <c r="M689" s="87"/>
      <c r="N689" s="79"/>
      <c r="O689" s="79"/>
      <c r="P689" s="79"/>
      <c r="Q689" s="79"/>
      <c r="R689" s="79"/>
      <c r="S689" s="79"/>
      <c r="T689" s="79"/>
      <c r="U689" s="79"/>
      <c r="V689" s="79"/>
      <c r="W689" s="79"/>
      <c r="X689" s="79"/>
      <c r="Y689" s="79"/>
      <c r="Z689" s="79"/>
      <c r="AA689" s="79"/>
      <c r="AB689" s="79"/>
    </row>
    <row r="690" spans="1:28" ht="15.8" customHeight="1" x14ac:dyDescent="0.15">
      <c r="A690" s="79"/>
      <c r="B690" s="79"/>
      <c r="C690" s="79"/>
      <c r="D690" s="79"/>
      <c r="E690" s="79"/>
      <c r="F690" s="79"/>
      <c r="G690" s="79"/>
      <c r="H690" s="79"/>
      <c r="I690" s="79"/>
      <c r="J690" s="87"/>
      <c r="K690" s="87"/>
      <c r="L690" s="87"/>
      <c r="M690" s="87"/>
      <c r="N690" s="79"/>
      <c r="O690" s="79"/>
      <c r="P690" s="79"/>
      <c r="Q690" s="79"/>
      <c r="R690" s="79"/>
      <c r="S690" s="79"/>
      <c r="T690" s="79"/>
      <c r="U690" s="79"/>
      <c r="V690" s="79"/>
      <c r="W690" s="79"/>
      <c r="X690" s="79"/>
      <c r="Y690" s="79"/>
      <c r="Z690" s="79"/>
      <c r="AA690" s="79"/>
      <c r="AB690" s="79"/>
    </row>
    <row r="691" spans="1:28" ht="15.8" customHeight="1" x14ac:dyDescent="0.15">
      <c r="A691" s="79"/>
      <c r="B691" s="79"/>
      <c r="C691" s="79"/>
      <c r="D691" s="79"/>
      <c r="E691" s="79"/>
      <c r="F691" s="79"/>
      <c r="G691" s="79"/>
      <c r="H691" s="79"/>
      <c r="I691" s="79"/>
      <c r="J691" s="87"/>
      <c r="K691" s="87"/>
      <c r="L691" s="87"/>
      <c r="M691" s="87"/>
      <c r="N691" s="79"/>
      <c r="O691" s="79"/>
      <c r="P691" s="79"/>
      <c r="Q691" s="79"/>
      <c r="R691" s="79"/>
      <c r="S691" s="79"/>
      <c r="T691" s="79"/>
      <c r="U691" s="79"/>
      <c r="V691" s="79"/>
      <c r="W691" s="79"/>
      <c r="X691" s="79"/>
      <c r="Y691" s="79"/>
      <c r="Z691" s="79"/>
      <c r="AA691" s="79"/>
      <c r="AB691" s="79"/>
    </row>
    <row r="692" spans="1:28" ht="15.8" customHeight="1" x14ac:dyDescent="0.15">
      <c r="A692" s="79"/>
      <c r="B692" s="79"/>
      <c r="C692" s="79"/>
      <c r="D692" s="79"/>
      <c r="E692" s="79"/>
      <c r="F692" s="79"/>
      <c r="G692" s="79"/>
      <c r="H692" s="79"/>
      <c r="I692" s="79"/>
      <c r="J692" s="87"/>
      <c r="K692" s="87"/>
      <c r="L692" s="87"/>
      <c r="M692" s="87"/>
      <c r="N692" s="79"/>
      <c r="O692" s="79"/>
      <c r="P692" s="79"/>
      <c r="Q692" s="79"/>
      <c r="R692" s="79"/>
      <c r="S692" s="79"/>
      <c r="T692" s="79"/>
      <c r="U692" s="79"/>
      <c r="V692" s="79"/>
      <c r="W692" s="79"/>
      <c r="X692" s="79"/>
      <c r="Y692" s="79"/>
      <c r="Z692" s="79"/>
      <c r="AA692" s="79"/>
      <c r="AB692" s="79"/>
    </row>
    <row r="693" spans="1:28" ht="15.8" customHeight="1" x14ac:dyDescent="0.15">
      <c r="A693" s="79"/>
      <c r="B693" s="79"/>
      <c r="C693" s="79"/>
      <c r="D693" s="79"/>
      <c r="E693" s="79"/>
      <c r="F693" s="79"/>
      <c r="G693" s="79"/>
      <c r="H693" s="79"/>
      <c r="I693" s="79"/>
      <c r="J693" s="87"/>
      <c r="K693" s="87"/>
      <c r="L693" s="87"/>
      <c r="M693" s="87"/>
      <c r="N693" s="79"/>
      <c r="O693" s="79"/>
      <c r="P693" s="79"/>
      <c r="Q693" s="79"/>
      <c r="R693" s="79"/>
      <c r="S693" s="79"/>
      <c r="T693" s="79"/>
      <c r="U693" s="79"/>
      <c r="V693" s="79"/>
      <c r="W693" s="79"/>
      <c r="X693" s="79"/>
      <c r="Y693" s="79"/>
      <c r="Z693" s="79"/>
      <c r="AA693" s="79"/>
      <c r="AB693" s="79"/>
    </row>
    <row r="694" spans="1:28" ht="15.8" customHeight="1" x14ac:dyDescent="0.15">
      <c r="A694" s="79"/>
      <c r="B694" s="79"/>
      <c r="C694" s="79"/>
      <c r="D694" s="79"/>
      <c r="E694" s="79"/>
      <c r="F694" s="79"/>
      <c r="G694" s="79"/>
      <c r="H694" s="79"/>
      <c r="I694" s="79"/>
      <c r="J694" s="87"/>
      <c r="K694" s="87"/>
      <c r="L694" s="87"/>
      <c r="M694" s="87"/>
      <c r="N694" s="79"/>
      <c r="O694" s="79"/>
      <c r="P694" s="79"/>
      <c r="Q694" s="79"/>
      <c r="R694" s="79"/>
      <c r="S694" s="79"/>
      <c r="T694" s="79"/>
      <c r="U694" s="79"/>
      <c r="V694" s="79"/>
      <c r="W694" s="79"/>
      <c r="X694" s="79"/>
      <c r="Y694" s="79"/>
      <c r="Z694" s="79"/>
      <c r="AA694" s="79"/>
      <c r="AB694" s="79"/>
    </row>
    <row r="695" spans="1:28" ht="15.8" customHeight="1" x14ac:dyDescent="0.15">
      <c r="A695" s="79"/>
      <c r="B695" s="79"/>
      <c r="C695" s="79"/>
      <c r="D695" s="79"/>
      <c r="E695" s="79"/>
      <c r="F695" s="79"/>
      <c r="G695" s="79"/>
      <c r="H695" s="79"/>
      <c r="I695" s="79"/>
      <c r="J695" s="87"/>
      <c r="K695" s="87"/>
      <c r="L695" s="87"/>
      <c r="M695" s="87"/>
      <c r="N695" s="79"/>
      <c r="O695" s="79"/>
      <c r="P695" s="79"/>
      <c r="Q695" s="79"/>
      <c r="R695" s="79"/>
      <c r="S695" s="79"/>
      <c r="T695" s="79"/>
      <c r="U695" s="79"/>
      <c r="V695" s="79"/>
      <c r="W695" s="79"/>
      <c r="X695" s="79"/>
      <c r="Y695" s="79"/>
      <c r="Z695" s="79"/>
      <c r="AA695" s="79"/>
      <c r="AB695" s="79"/>
    </row>
    <row r="696" spans="1:28" ht="15.8" customHeight="1" x14ac:dyDescent="0.15">
      <c r="A696" s="79"/>
      <c r="B696" s="79"/>
      <c r="C696" s="79"/>
      <c r="D696" s="79"/>
      <c r="E696" s="79"/>
      <c r="F696" s="79"/>
      <c r="G696" s="79"/>
      <c r="H696" s="79"/>
      <c r="I696" s="79"/>
      <c r="J696" s="87"/>
      <c r="K696" s="87"/>
      <c r="L696" s="87"/>
      <c r="M696" s="87"/>
      <c r="N696" s="79"/>
      <c r="O696" s="79"/>
      <c r="P696" s="79"/>
      <c r="Q696" s="79"/>
      <c r="R696" s="79"/>
      <c r="S696" s="79"/>
      <c r="T696" s="79"/>
      <c r="U696" s="79"/>
      <c r="V696" s="79"/>
      <c r="W696" s="79"/>
      <c r="X696" s="79"/>
      <c r="Y696" s="79"/>
      <c r="Z696" s="79"/>
      <c r="AA696" s="79"/>
      <c r="AB696" s="79"/>
    </row>
    <row r="697" spans="1:28" ht="15.8" customHeight="1" x14ac:dyDescent="0.15">
      <c r="A697" s="79"/>
      <c r="B697" s="79"/>
      <c r="C697" s="79"/>
      <c r="D697" s="79"/>
      <c r="E697" s="79"/>
      <c r="F697" s="79"/>
      <c r="G697" s="79"/>
      <c r="H697" s="79"/>
      <c r="I697" s="79"/>
      <c r="J697" s="87"/>
      <c r="K697" s="87"/>
      <c r="L697" s="87"/>
      <c r="M697" s="87"/>
      <c r="N697" s="79"/>
      <c r="O697" s="79"/>
      <c r="P697" s="79"/>
      <c r="Q697" s="79"/>
      <c r="R697" s="79"/>
      <c r="S697" s="79"/>
      <c r="T697" s="79"/>
      <c r="U697" s="79"/>
      <c r="V697" s="79"/>
      <c r="W697" s="79"/>
      <c r="X697" s="79"/>
      <c r="Y697" s="79"/>
      <c r="Z697" s="79"/>
      <c r="AA697" s="79"/>
      <c r="AB697" s="79"/>
    </row>
    <row r="698" spans="1:28" ht="15.8" customHeight="1" x14ac:dyDescent="0.15">
      <c r="A698" s="79"/>
      <c r="B698" s="79"/>
      <c r="C698" s="79"/>
      <c r="D698" s="79"/>
      <c r="E698" s="79"/>
      <c r="F698" s="79"/>
      <c r="G698" s="79"/>
      <c r="H698" s="79"/>
      <c r="I698" s="79"/>
      <c r="J698" s="87"/>
      <c r="K698" s="87"/>
      <c r="L698" s="87"/>
      <c r="M698" s="87"/>
      <c r="N698" s="79"/>
      <c r="O698" s="79"/>
      <c r="P698" s="79"/>
      <c r="Q698" s="79"/>
      <c r="R698" s="79"/>
      <c r="S698" s="79"/>
      <c r="T698" s="79"/>
      <c r="U698" s="79"/>
      <c r="V698" s="79"/>
      <c r="W698" s="79"/>
      <c r="X698" s="79"/>
      <c r="Y698" s="79"/>
      <c r="Z698" s="79"/>
      <c r="AA698" s="79"/>
      <c r="AB698" s="79"/>
    </row>
    <row r="699" spans="1:28" ht="15.8" customHeight="1" x14ac:dyDescent="0.15">
      <c r="A699" s="79"/>
      <c r="B699" s="79"/>
      <c r="C699" s="79"/>
      <c r="D699" s="79"/>
      <c r="E699" s="79"/>
      <c r="F699" s="79"/>
      <c r="G699" s="79"/>
      <c r="H699" s="79"/>
      <c r="I699" s="79"/>
      <c r="J699" s="87"/>
      <c r="K699" s="87"/>
      <c r="L699" s="87"/>
      <c r="M699" s="87"/>
      <c r="N699" s="79"/>
      <c r="O699" s="79"/>
      <c r="P699" s="79"/>
      <c r="Q699" s="79"/>
      <c r="R699" s="79"/>
      <c r="S699" s="79"/>
      <c r="T699" s="79"/>
      <c r="U699" s="79"/>
      <c r="V699" s="79"/>
      <c r="W699" s="79"/>
      <c r="X699" s="79"/>
      <c r="Y699" s="79"/>
      <c r="Z699" s="79"/>
      <c r="AA699" s="79"/>
      <c r="AB699" s="79"/>
    </row>
    <row r="700" spans="1:28" ht="15.8" customHeight="1" x14ac:dyDescent="0.15">
      <c r="A700" s="79"/>
      <c r="B700" s="79"/>
      <c r="C700" s="79"/>
      <c r="D700" s="79"/>
      <c r="E700" s="79"/>
      <c r="F700" s="79"/>
      <c r="G700" s="79"/>
      <c r="H700" s="79"/>
      <c r="I700" s="79"/>
      <c r="J700" s="87"/>
      <c r="K700" s="87"/>
      <c r="L700" s="87"/>
      <c r="M700" s="87"/>
      <c r="N700" s="79"/>
      <c r="O700" s="79"/>
      <c r="P700" s="79"/>
      <c r="Q700" s="79"/>
      <c r="R700" s="79"/>
      <c r="S700" s="79"/>
      <c r="T700" s="79"/>
      <c r="U700" s="79"/>
      <c r="V700" s="79"/>
      <c r="W700" s="79"/>
      <c r="X700" s="79"/>
      <c r="Y700" s="79"/>
      <c r="Z700" s="79"/>
      <c r="AA700" s="79"/>
      <c r="AB700" s="79"/>
    </row>
    <row r="701" spans="1:28" ht="15.8" customHeight="1" x14ac:dyDescent="0.15">
      <c r="A701" s="79"/>
      <c r="B701" s="79"/>
      <c r="C701" s="79"/>
      <c r="D701" s="79"/>
      <c r="E701" s="79"/>
      <c r="F701" s="79"/>
      <c r="G701" s="79"/>
      <c r="H701" s="79"/>
      <c r="I701" s="79"/>
      <c r="J701" s="87"/>
      <c r="K701" s="87"/>
      <c r="L701" s="87"/>
      <c r="M701" s="87"/>
      <c r="N701" s="79"/>
      <c r="O701" s="79"/>
      <c r="P701" s="79"/>
      <c r="Q701" s="79"/>
      <c r="R701" s="79"/>
      <c r="S701" s="79"/>
      <c r="T701" s="79"/>
      <c r="U701" s="79"/>
      <c r="V701" s="79"/>
      <c r="W701" s="79"/>
      <c r="X701" s="79"/>
      <c r="Y701" s="79"/>
      <c r="Z701" s="79"/>
      <c r="AA701" s="79"/>
      <c r="AB701" s="79"/>
    </row>
    <row r="702" spans="1:28" ht="15.8" customHeight="1" x14ac:dyDescent="0.15">
      <c r="A702" s="79"/>
      <c r="B702" s="79"/>
      <c r="C702" s="79"/>
      <c r="D702" s="79"/>
      <c r="E702" s="79"/>
      <c r="F702" s="79"/>
      <c r="G702" s="79"/>
      <c r="H702" s="79"/>
      <c r="I702" s="79"/>
      <c r="J702" s="87"/>
      <c r="K702" s="87"/>
      <c r="L702" s="87"/>
      <c r="M702" s="87"/>
      <c r="N702" s="79"/>
      <c r="O702" s="79"/>
      <c r="P702" s="79"/>
      <c r="Q702" s="79"/>
      <c r="R702" s="79"/>
      <c r="S702" s="79"/>
      <c r="T702" s="79"/>
      <c r="U702" s="79"/>
      <c r="V702" s="79"/>
      <c r="W702" s="79"/>
      <c r="X702" s="79"/>
      <c r="Y702" s="79"/>
      <c r="Z702" s="79"/>
      <c r="AA702" s="79"/>
      <c r="AB702" s="79"/>
    </row>
    <row r="703" spans="1:28" ht="15.8" customHeight="1" x14ac:dyDescent="0.15">
      <c r="A703" s="79"/>
      <c r="B703" s="79"/>
      <c r="C703" s="79"/>
      <c r="D703" s="79"/>
      <c r="E703" s="79"/>
      <c r="F703" s="79"/>
      <c r="G703" s="79"/>
      <c r="H703" s="79"/>
      <c r="I703" s="79"/>
      <c r="J703" s="87"/>
      <c r="K703" s="87"/>
      <c r="L703" s="87"/>
      <c r="M703" s="87"/>
      <c r="N703" s="79"/>
      <c r="O703" s="79"/>
      <c r="P703" s="79"/>
      <c r="Q703" s="79"/>
      <c r="R703" s="79"/>
      <c r="S703" s="79"/>
      <c r="T703" s="79"/>
      <c r="U703" s="79"/>
      <c r="V703" s="79"/>
      <c r="W703" s="79"/>
      <c r="X703" s="79"/>
      <c r="Y703" s="79"/>
      <c r="Z703" s="79"/>
      <c r="AA703" s="79"/>
      <c r="AB703" s="79"/>
    </row>
    <row r="704" spans="1:28" ht="15.8" customHeight="1" x14ac:dyDescent="0.15">
      <c r="A704" s="79"/>
      <c r="B704" s="79"/>
      <c r="C704" s="79"/>
      <c r="D704" s="79"/>
      <c r="E704" s="79"/>
      <c r="F704" s="79"/>
      <c r="G704" s="79"/>
      <c r="H704" s="79"/>
      <c r="I704" s="79"/>
      <c r="J704" s="87"/>
      <c r="K704" s="87"/>
      <c r="L704" s="87"/>
      <c r="M704" s="87"/>
      <c r="N704" s="79"/>
      <c r="O704" s="79"/>
      <c r="P704" s="79"/>
      <c r="Q704" s="79"/>
      <c r="R704" s="79"/>
      <c r="S704" s="79"/>
      <c r="T704" s="79"/>
      <c r="U704" s="79"/>
      <c r="V704" s="79"/>
      <c r="W704" s="79"/>
      <c r="X704" s="79"/>
      <c r="Y704" s="79"/>
      <c r="Z704" s="79"/>
      <c r="AA704" s="79"/>
      <c r="AB704" s="79"/>
    </row>
    <row r="705" spans="1:28" ht="15.8" customHeight="1" x14ac:dyDescent="0.15">
      <c r="A705" s="79"/>
      <c r="B705" s="79"/>
      <c r="C705" s="79"/>
      <c r="D705" s="79"/>
      <c r="E705" s="79"/>
      <c r="F705" s="79"/>
      <c r="G705" s="79"/>
      <c r="H705" s="79"/>
      <c r="I705" s="79"/>
      <c r="J705" s="87"/>
      <c r="K705" s="87"/>
      <c r="L705" s="87"/>
      <c r="M705" s="87"/>
      <c r="N705" s="79"/>
      <c r="O705" s="79"/>
      <c r="P705" s="79"/>
      <c r="Q705" s="79"/>
      <c r="R705" s="79"/>
      <c r="S705" s="79"/>
      <c r="T705" s="79"/>
      <c r="U705" s="79"/>
      <c r="V705" s="79"/>
      <c r="W705" s="79"/>
      <c r="X705" s="79"/>
      <c r="Y705" s="79"/>
      <c r="Z705" s="79"/>
      <c r="AA705" s="79"/>
      <c r="AB705" s="79"/>
    </row>
    <row r="706" spans="1:28" ht="15.8" customHeight="1" x14ac:dyDescent="0.15">
      <c r="A706" s="79"/>
      <c r="B706" s="79"/>
      <c r="C706" s="79"/>
      <c r="D706" s="79"/>
      <c r="E706" s="79"/>
      <c r="F706" s="79"/>
      <c r="G706" s="79"/>
      <c r="H706" s="79"/>
      <c r="I706" s="79"/>
      <c r="J706" s="87"/>
      <c r="K706" s="87"/>
      <c r="L706" s="87"/>
      <c r="M706" s="87"/>
      <c r="N706" s="79"/>
      <c r="O706" s="79"/>
      <c r="P706" s="79"/>
      <c r="Q706" s="79"/>
      <c r="R706" s="79"/>
      <c r="S706" s="79"/>
      <c r="T706" s="79"/>
      <c r="U706" s="79"/>
      <c r="V706" s="79"/>
      <c r="W706" s="79"/>
      <c r="X706" s="79"/>
      <c r="Y706" s="79"/>
      <c r="Z706" s="79"/>
      <c r="AA706" s="79"/>
      <c r="AB706" s="79"/>
    </row>
    <row r="707" spans="1:28" ht="15.8" customHeight="1" x14ac:dyDescent="0.15">
      <c r="A707" s="79"/>
      <c r="B707" s="79"/>
      <c r="C707" s="79"/>
      <c r="D707" s="79"/>
      <c r="E707" s="79"/>
      <c r="F707" s="79"/>
      <c r="G707" s="79"/>
      <c r="H707" s="79"/>
      <c r="I707" s="79"/>
      <c r="J707" s="87"/>
      <c r="K707" s="87"/>
      <c r="L707" s="87"/>
      <c r="M707" s="87"/>
      <c r="N707" s="79"/>
      <c r="O707" s="79"/>
      <c r="P707" s="79"/>
      <c r="Q707" s="79"/>
      <c r="R707" s="79"/>
      <c r="S707" s="79"/>
      <c r="T707" s="79"/>
      <c r="U707" s="79"/>
      <c r="V707" s="79"/>
      <c r="W707" s="79"/>
      <c r="X707" s="79"/>
      <c r="Y707" s="79"/>
      <c r="Z707" s="79"/>
      <c r="AA707" s="79"/>
      <c r="AB707" s="79"/>
    </row>
    <row r="708" spans="1:28" ht="15.8" customHeight="1" x14ac:dyDescent="0.15">
      <c r="A708" s="79"/>
      <c r="B708" s="79"/>
      <c r="C708" s="79"/>
      <c r="D708" s="79"/>
      <c r="E708" s="79"/>
      <c r="F708" s="79"/>
      <c r="G708" s="79"/>
      <c r="H708" s="79"/>
      <c r="I708" s="79"/>
      <c r="J708" s="87"/>
      <c r="K708" s="87"/>
      <c r="L708" s="87"/>
      <c r="M708" s="87"/>
      <c r="N708" s="79"/>
      <c r="O708" s="79"/>
      <c r="P708" s="79"/>
      <c r="Q708" s="79"/>
      <c r="R708" s="79"/>
      <c r="S708" s="79"/>
      <c r="T708" s="79"/>
      <c r="U708" s="79"/>
      <c r="V708" s="79"/>
      <c r="W708" s="79"/>
      <c r="X708" s="79"/>
      <c r="Y708" s="79"/>
      <c r="Z708" s="79"/>
      <c r="AA708" s="79"/>
      <c r="AB708" s="79"/>
    </row>
    <row r="709" spans="1:28" ht="15.8" customHeight="1" x14ac:dyDescent="0.15">
      <c r="A709" s="79"/>
      <c r="B709" s="79"/>
      <c r="C709" s="79"/>
      <c r="D709" s="79"/>
      <c r="E709" s="79"/>
      <c r="F709" s="79"/>
      <c r="G709" s="79"/>
      <c r="H709" s="79"/>
      <c r="I709" s="79"/>
      <c r="J709" s="87"/>
      <c r="K709" s="87"/>
      <c r="L709" s="87"/>
      <c r="M709" s="87"/>
      <c r="N709" s="79"/>
      <c r="O709" s="79"/>
      <c r="P709" s="79"/>
      <c r="Q709" s="79"/>
      <c r="R709" s="79"/>
      <c r="S709" s="79"/>
      <c r="T709" s="79"/>
      <c r="U709" s="79"/>
      <c r="V709" s="79"/>
      <c r="W709" s="79"/>
      <c r="X709" s="79"/>
      <c r="Y709" s="79"/>
      <c r="Z709" s="79"/>
      <c r="AA709" s="79"/>
      <c r="AB709" s="79"/>
    </row>
    <row r="710" spans="1:28" ht="15.8" customHeight="1" x14ac:dyDescent="0.15">
      <c r="A710" s="79"/>
      <c r="B710" s="79"/>
      <c r="C710" s="79"/>
      <c r="D710" s="79"/>
      <c r="E710" s="79"/>
      <c r="F710" s="79"/>
      <c r="G710" s="79"/>
      <c r="H710" s="79"/>
      <c r="I710" s="79"/>
      <c r="J710" s="87"/>
      <c r="K710" s="87"/>
      <c r="L710" s="87"/>
      <c r="M710" s="87"/>
      <c r="N710" s="79"/>
      <c r="O710" s="79"/>
      <c r="P710" s="79"/>
      <c r="Q710" s="79"/>
      <c r="R710" s="79"/>
      <c r="S710" s="79"/>
      <c r="T710" s="79"/>
      <c r="U710" s="79"/>
      <c r="V710" s="79"/>
      <c r="W710" s="79"/>
      <c r="X710" s="79"/>
      <c r="Y710" s="79"/>
      <c r="Z710" s="79"/>
      <c r="AA710" s="79"/>
      <c r="AB710" s="79"/>
    </row>
    <row r="711" spans="1:28" ht="15.8" customHeight="1" x14ac:dyDescent="0.15">
      <c r="A711" s="79"/>
      <c r="B711" s="79"/>
      <c r="C711" s="79"/>
      <c r="D711" s="79"/>
      <c r="E711" s="79"/>
      <c r="F711" s="79"/>
      <c r="G711" s="79"/>
      <c r="H711" s="79"/>
      <c r="I711" s="79"/>
      <c r="J711" s="87"/>
      <c r="K711" s="87"/>
      <c r="L711" s="87"/>
      <c r="M711" s="87"/>
      <c r="N711" s="79"/>
      <c r="O711" s="79"/>
      <c r="P711" s="79"/>
      <c r="Q711" s="79"/>
      <c r="R711" s="79"/>
      <c r="S711" s="79"/>
      <c r="T711" s="79"/>
      <c r="U711" s="79"/>
      <c r="V711" s="79"/>
      <c r="W711" s="79"/>
      <c r="X711" s="79"/>
      <c r="Y711" s="79"/>
      <c r="Z711" s="79"/>
      <c r="AA711" s="79"/>
      <c r="AB711" s="79"/>
    </row>
    <row r="712" spans="1:28" ht="15.8" customHeight="1" x14ac:dyDescent="0.15">
      <c r="A712" s="79"/>
      <c r="B712" s="79"/>
      <c r="C712" s="79"/>
      <c r="D712" s="79"/>
      <c r="E712" s="79"/>
      <c r="F712" s="79"/>
      <c r="G712" s="79"/>
      <c r="H712" s="79"/>
      <c r="I712" s="79"/>
      <c r="J712" s="87"/>
      <c r="K712" s="87"/>
      <c r="L712" s="87"/>
      <c r="M712" s="87"/>
      <c r="N712" s="79"/>
      <c r="O712" s="79"/>
      <c r="P712" s="79"/>
      <c r="Q712" s="79"/>
      <c r="R712" s="79"/>
      <c r="S712" s="79"/>
      <c r="T712" s="79"/>
      <c r="U712" s="79"/>
      <c r="V712" s="79"/>
      <c r="W712" s="79"/>
      <c r="X712" s="79"/>
      <c r="Y712" s="79"/>
      <c r="Z712" s="79"/>
      <c r="AA712" s="79"/>
      <c r="AB712" s="79"/>
    </row>
    <row r="713" spans="1:28" ht="15.8" customHeight="1" x14ac:dyDescent="0.15">
      <c r="A713" s="79"/>
      <c r="B713" s="79"/>
      <c r="C713" s="79"/>
      <c r="D713" s="79"/>
      <c r="E713" s="79"/>
      <c r="F713" s="79"/>
      <c r="G713" s="79"/>
      <c r="H713" s="79"/>
      <c r="I713" s="79"/>
      <c r="J713" s="87"/>
      <c r="K713" s="87"/>
      <c r="L713" s="87"/>
      <c r="M713" s="87"/>
      <c r="N713" s="79"/>
      <c r="O713" s="79"/>
      <c r="P713" s="79"/>
      <c r="Q713" s="79"/>
      <c r="R713" s="79"/>
      <c r="S713" s="79"/>
      <c r="T713" s="79"/>
      <c r="U713" s="79"/>
      <c r="V713" s="79"/>
      <c r="W713" s="79"/>
      <c r="X713" s="79"/>
      <c r="Y713" s="79"/>
      <c r="Z713" s="79"/>
      <c r="AA713" s="79"/>
      <c r="AB713" s="79"/>
    </row>
    <row r="714" spans="1:28" ht="15.8" customHeight="1" x14ac:dyDescent="0.15">
      <c r="A714" s="79"/>
      <c r="B714" s="79"/>
      <c r="C714" s="79"/>
      <c r="D714" s="79"/>
      <c r="E714" s="79"/>
      <c r="F714" s="79"/>
      <c r="G714" s="79"/>
      <c r="H714" s="79"/>
      <c r="I714" s="79"/>
      <c r="J714" s="87"/>
      <c r="K714" s="87"/>
      <c r="L714" s="87"/>
      <c r="M714" s="87"/>
      <c r="N714" s="79"/>
      <c r="O714" s="79"/>
      <c r="P714" s="79"/>
      <c r="Q714" s="79"/>
      <c r="R714" s="79"/>
      <c r="S714" s="79"/>
      <c r="T714" s="79"/>
      <c r="U714" s="79"/>
      <c r="V714" s="79"/>
      <c r="W714" s="79"/>
      <c r="X714" s="79"/>
      <c r="Y714" s="79"/>
      <c r="Z714" s="79"/>
      <c r="AA714" s="79"/>
      <c r="AB714" s="79"/>
    </row>
    <row r="715" spans="1:28" ht="15.8" customHeight="1" x14ac:dyDescent="0.15">
      <c r="A715" s="79"/>
      <c r="B715" s="79"/>
      <c r="C715" s="79"/>
      <c r="D715" s="79"/>
      <c r="E715" s="79"/>
      <c r="F715" s="79"/>
      <c r="G715" s="79"/>
      <c r="H715" s="79"/>
      <c r="I715" s="79"/>
      <c r="J715" s="87"/>
      <c r="K715" s="87"/>
      <c r="L715" s="87"/>
      <c r="M715" s="87"/>
      <c r="N715" s="79"/>
      <c r="O715" s="79"/>
      <c r="P715" s="79"/>
      <c r="Q715" s="79"/>
      <c r="R715" s="79"/>
      <c r="S715" s="79"/>
      <c r="T715" s="79"/>
      <c r="U715" s="79"/>
      <c r="V715" s="79"/>
      <c r="W715" s="79"/>
      <c r="X715" s="79"/>
      <c r="Y715" s="79"/>
      <c r="Z715" s="79"/>
      <c r="AA715" s="79"/>
      <c r="AB715" s="79"/>
    </row>
    <row r="716" spans="1:28" ht="15.8" customHeight="1" x14ac:dyDescent="0.15">
      <c r="A716" s="79"/>
      <c r="B716" s="79"/>
      <c r="C716" s="79"/>
      <c r="D716" s="79"/>
      <c r="E716" s="79"/>
      <c r="F716" s="79"/>
      <c r="G716" s="79"/>
      <c r="H716" s="79"/>
      <c r="I716" s="79"/>
      <c r="J716" s="87"/>
      <c r="K716" s="87"/>
      <c r="L716" s="87"/>
      <c r="M716" s="87"/>
      <c r="N716" s="79"/>
      <c r="O716" s="79"/>
      <c r="P716" s="79"/>
      <c r="Q716" s="79"/>
      <c r="R716" s="79"/>
      <c r="S716" s="79"/>
      <c r="T716" s="79"/>
      <c r="U716" s="79"/>
      <c r="V716" s="79"/>
      <c r="W716" s="79"/>
      <c r="X716" s="79"/>
      <c r="Y716" s="79"/>
      <c r="Z716" s="79"/>
      <c r="AA716" s="79"/>
      <c r="AB716" s="79"/>
    </row>
    <row r="717" spans="1:28" ht="15.8" customHeight="1" x14ac:dyDescent="0.15">
      <c r="A717" s="79"/>
      <c r="B717" s="79"/>
      <c r="C717" s="79"/>
      <c r="D717" s="79"/>
      <c r="E717" s="79"/>
      <c r="F717" s="79"/>
      <c r="G717" s="79"/>
      <c r="H717" s="79"/>
      <c r="I717" s="79"/>
      <c r="J717" s="87"/>
      <c r="K717" s="87"/>
      <c r="L717" s="87"/>
      <c r="M717" s="87"/>
      <c r="N717" s="79"/>
      <c r="O717" s="79"/>
      <c r="P717" s="79"/>
      <c r="Q717" s="79"/>
      <c r="R717" s="79"/>
      <c r="S717" s="79"/>
      <c r="T717" s="79"/>
      <c r="U717" s="79"/>
      <c r="V717" s="79"/>
      <c r="W717" s="79"/>
      <c r="X717" s="79"/>
      <c r="Y717" s="79"/>
      <c r="Z717" s="79"/>
      <c r="AA717" s="79"/>
      <c r="AB717" s="79"/>
    </row>
    <row r="718" spans="1:28" ht="15.8" customHeight="1" x14ac:dyDescent="0.15">
      <c r="A718" s="79"/>
      <c r="B718" s="79"/>
      <c r="C718" s="79"/>
      <c r="D718" s="79"/>
      <c r="E718" s="79"/>
      <c r="F718" s="79"/>
      <c r="G718" s="79"/>
      <c r="H718" s="79"/>
      <c r="I718" s="79"/>
      <c r="J718" s="87"/>
      <c r="K718" s="87"/>
      <c r="L718" s="87"/>
      <c r="M718" s="87"/>
      <c r="N718" s="79"/>
      <c r="O718" s="79"/>
      <c r="P718" s="79"/>
      <c r="Q718" s="79"/>
      <c r="R718" s="79"/>
      <c r="S718" s="79"/>
      <c r="T718" s="79"/>
      <c r="U718" s="79"/>
      <c r="V718" s="79"/>
      <c r="W718" s="79"/>
      <c r="X718" s="79"/>
      <c r="Y718" s="79"/>
      <c r="Z718" s="79"/>
      <c r="AA718" s="79"/>
      <c r="AB718" s="79"/>
    </row>
    <row r="719" spans="1:28" ht="15.8" customHeight="1" x14ac:dyDescent="0.15">
      <c r="A719" s="79"/>
      <c r="B719" s="79"/>
      <c r="C719" s="79"/>
      <c r="D719" s="79"/>
      <c r="E719" s="79"/>
      <c r="F719" s="79"/>
      <c r="G719" s="79"/>
      <c r="H719" s="79"/>
      <c r="I719" s="79"/>
      <c r="J719" s="87"/>
      <c r="K719" s="87"/>
      <c r="L719" s="87"/>
      <c r="M719" s="87"/>
      <c r="N719" s="79"/>
      <c r="O719" s="79"/>
      <c r="P719" s="79"/>
      <c r="Q719" s="79"/>
      <c r="R719" s="79"/>
      <c r="S719" s="79"/>
      <c r="T719" s="79"/>
      <c r="U719" s="79"/>
      <c r="V719" s="79"/>
      <c r="W719" s="79"/>
      <c r="X719" s="79"/>
      <c r="Y719" s="79"/>
      <c r="Z719" s="79"/>
      <c r="AA719" s="79"/>
      <c r="AB719" s="79"/>
    </row>
    <row r="720" spans="1:28" ht="15.8" customHeight="1" x14ac:dyDescent="0.15">
      <c r="A720" s="79"/>
      <c r="B720" s="79"/>
      <c r="C720" s="79"/>
      <c r="D720" s="79"/>
      <c r="E720" s="79"/>
      <c r="F720" s="79"/>
      <c r="G720" s="79"/>
      <c r="H720" s="79"/>
      <c r="I720" s="79"/>
      <c r="J720" s="87"/>
      <c r="K720" s="87"/>
      <c r="L720" s="87"/>
      <c r="M720" s="87"/>
      <c r="N720" s="79"/>
      <c r="O720" s="79"/>
      <c r="P720" s="79"/>
      <c r="Q720" s="79"/>
      <c r="R720" s="79"/>
      <c r="S720" s="79"/>
      <c r="T720" s="79"/>
      <c r="U720" s="79"/>
      <c r="V720" s="79"/>
      <c r="W720" s="79"/>
      <c r="X720" s="79"/>
      <c r="Y720" s="79"/>
      <c r="Z720" s="79"/>
      <c r="AA720" s="79"/>
      <c r="AB720" s="79"/>
    </row>
    <row r="721" spans="1:28" ht="15.8" customHeight="1" x14ac:dyDescent="0.15">
      <c r="A721" s="79"/>
      <c r="B721" s="79"/>
      <c r="C721" s="79"/>
      <c r="D721" s="79"/>
      <c r="E721" s="79"/>
      <c r="F721" s="79"/>
      <c r="G721" s="79"/>
      <c r="H721" s="79"/>
      <c r="I721" s="79"/>
      <c r="J721" s="87"/>
      <c r="K721" s="87"/>
      <c r="L721" s="87"/>
      <c r="M721" s="87"/>
      <c r="N721" s="79"/>
      <c r="O721" s="79"/>
      <c r="P721" s="79"/>
      <c r="Q721" s="79"/>
      <c r="R721" s="79"/>
      <c r="S721" s="79"/>
      <c r="T721" s="79"/>
      <c r="U721" s="79"/>
      <c r="V721" s="79"/>
      <c r="W721" s="79"/>
      <c r="X721" s="79"/>
      <c r="Y721" s="79"/>
      <c r="Z721" s="79"/>
      <c r="AA721" s="79"/>
      <c r="AB721" s="79"/>
    </row>
    <row r="722" spans="1:28" ht="15.8" customHeight="1" x14ac:dyDescent="0.15">
      <c r="A722" s="79"/>
      <c r="B722" s="79"/>
      <c r="C722" s="79"/>
      <c r="D722" s="79"/>
      <c r="E722" s="79"/>
      <c r="F722" s="79"/>
      <c r="G722" s="79"/>
      <c r="H722" s="79"/>
      <c r="I722" s="79"/>
      <c r="J722" s="87"/>
      <c r="K722" s="87"/>
      <c r="L722" s="87"/>
      <c r="M722" s="87"/>
      <c r="N722" s="79"/>
      <c r="O722" s="79"/>
      <c r="P722" s="79"/>
      <c r="Q722" s="79"/>
      <c r="R722" s="79"/>
      <c r="S722" s="79"/>
      <c r="T722" s="79"/>
      <c r="U722" s="79"/>
      <c r="V722" s="79"/>
      <c r="W722" s="79"/>
      <c r="X722" s="79"/>
      <c r="Y722" s="79"/>
      <c r="Z722" s="79"/>
      <c r="AA722" s="79"/>
      <c r="AB722" s="79"/>
    </row>
    <row r="723" spans="1:28" ht="15.8" customHeight="1" x14ac:dyDescent="0.15">
      <c r="A723" s="79"/>
      <c r="B723" s="79"/>
      <c r="C723" s="79"/>
      <c r="D723" s="79"/>
      <c r="E723" s="79"/>
      <c r="F723" s="79"/>
      <c r="G723" s="79"/>
      <c r="H723" s="79"/>
      <c r="I723" s="79"/>
      <c r="J723" s="87"/>
      <c r="K723" s="87"/>
      <c r="L723" s="87"/>
      <c r="M723" s="87"/>
      <c r="N723" s="79"/>
      <c r="O723" s="79"/>
      <c r="P723" s="79"/>
      <c r="Q723" s="79"/>
      <c r="R723" s="79"/>
      <c r="S723" s="79"/>
      <c r="T723" s="79"/>
      <c r="U723" s="79"/>
      <c r="V723" s="79"/>
      <c r="W723" s="79"/>
      <c r="X723" s="79"/>
      <c r="Y723" s="79"/>
      <c r="Z723" s="79"/>
      <c r="AA723" s="79"/>
      <c r="AB723" s="79"/>
    </row>
    <row r="724" spans="1:28" ht="15.8" customHeight="1" x14ac:dyDescent="0.15">
      <c r="A724" s="79"/>
      <c r="B724" s="79"/>
      <c r="C724" s="79"/>
      <c r="D724" s="79"/>
      <c r="E724" s="79"/>
      <c r="F724" s="79"/>
      <c r="G724" s="79"/>
      <c r="H724" s="79"/>
      <c r="I724" s="79"/>
      <c r="J724" s="87"/>
      <c r="K724" s="87"/>
      <c r="L724" s="87"/>
      <c r="M724" s="87"/>
      <c r="N724" s="79"/>
      <c r="O724" s="79"/>
      <c r="P724" s="79"/>
      <c r="Q724" s="79"/>
      <c r="R724" s="79"/>
      <c r="S724" s="79"/>
      <c r="T724" s="79"/>
      <c r="U724" s="79"/>
      <c r="V724" s="79"/>
      <c r="W724" s="79"/>
      <c r="X724" s="79"/>
      <c r="Y724" s="79"/>
      <c r="Z724" s="79"/>
      <c r="AA724" s="79"/>
      <c r="AB724" s="79"/>
    </row>
    <row r="725" spans="1:28" ht="15.8" customHeight="1" x14ac:dyDescent="0.15">
      <c r="A725" s="79"/>
      <c r="B725" s="79"/>
      <c r="C725" s="79"/>
      <c r="D725" s="79"/>
      <c r="E725" s="79"/>
      <c r="F725" s="79"/>
      <c r="G725" s="79"/>
      <c r="H725" s="79"/>
      <c r="I725" s="79"/>
      <c r="J725" s="87"/>
      <c r="K725" s="87"/>
      <c r="L725" s="87"/>
      <c r="M725" s="87"/>
      <c r="N725" s="79"/>
      <c r="O725" s="79"/>
      <c r="P725" s="79"/>
      <c r="Q725" s="79"/>
      <c r="R725" s="79"/>
      <c r="S725" s="79"/>
      <c r="T725" s="79"/>
      <c r="U725" s="79"/>
      <c r="V725" s="79"/>
      <c r="W725" s="79"/>
      <c r="X725" s="79"/>
      <c r="Y725" s="79"/>
      <c r="Z725" s="79"/>
      <c r="AA725" s="79"/>
      <c r="AB725" s="79"/>
    </row>
    <row r="726" spans="1:28" ht="15.8" customHeight="1" x14ac:dyDescent="0.15">
      <c r="A726" s="79"/>
      <c r="B726" s="79"/>
      <c r="C726" s="79"/>
      <c r="D726" s="79"/>
      <c r="E726" s="79"/>
      <c r="F726" s="79"/>
      <c r="G726" s="79"/>
      <c r="H726" s="79"/>
      <c r="I726" s="79"/>
      <c r="J726" s="87"/>
      <c r="K726" s="87"/>
      <c r="L726" s="87"/>
      <c r="M726" s="87"/>
      <c r="N726" s="79"/>
      <c r="O726" s="79"/>
      <c r="P726" s="79"/>
      <c r="Q726" s="79"/>
      <c r="R726" s="79"/>
      <c r="S726" s="79"/>
      <c r="T726" s="79"/>
      <c r="U726" s="79"/>
      <c r="V726" s="79"/>
      <c r="W726" s="79"/>
      <c r="X726" s="79"/>
      <c r="Y726" s="79"/>
      <c r="Z726" s="79"/>
      <c r="AA726" s="79"/>
      <c r="AB726" s="79"/>
    </row>
    <row r="727" spans="1:28" ht="15.8" customHeight="1" x14ac:dyDescent="0.15">
      <c r="A727" s="79"/>
      <c r="B727" s="79"/>
      <c r="C727" s="79"/>
      <c r="D727" s="79"/>
      <c r="E727" s="79"/>
      <c r="F727" s="79"/>
      <c r="G727" s="79"/>
      <c r="H727" s="79"/>
      <c r="I727" s="79"/>
      <c r="J727" s="87"/>
      <c r="K727" s="87"/>
      <c r="L727" s="87"/>
      <c r="M727" s="87"/>
      <c r="N727" s="79"/>
      <c r="O727" s="79"/>
      <c r="P727" s="79"/>
      <c r="Q727" s="79"/>
      <c r="R727" s="79"/>
      <c r="S727" s="79"/>
      <c r="T727" s="79"/>
      <c r="U727" s="79"/>
      <c r="V727" s="79"/>
      <c r="W727" s="79"/>
      <c r="X727" s="79"/>
      <c r="Y727" s="79"/>
      <c r="Z727" s="79"/>
      <c r="AA727" s="79"/>
      <c r="AB727" s="79"/>
    </row>
    <row r="728" spans="1:28" ht="15.8" customHeight="1" x14ac:dyDescent="0.15">
      <c r="A728" s="79"/>
      <c r="B728" s="79"/>
      <c r="C728" s="79"/>
      <c r="D728" s="79"/>
      <c r="E728" s="79"/>
      <c r="F728" s="79"/>
      <c r="G728" s="79"/>
      <c r="H728" s="79"/>
      <c r="I728" s="79"/>
      <c r="J728" s="87"/>
      <c r="K728" s="87"/>
      <c r="L728" s="87"/>
      <c r="M728" s="87"/>
      <c r="N728" s="79"/>
      <c r="O728" s="79"/>
      <c r="P728" s="79"/>
      <c r="Q728" s="79"/>
      <c r="R728" s="79"/>
      <c r="S728" s="79"/>
      <c r="T728" s="79"/>
      <c r="U728" s="79"/>
      <c r="V728" s="79"/>
      <c r="W728" s="79"/>
      <c r="X728" s="79"/>
      <c r="Y728" s="79"/>
      <c r="Z728" s="79"/>
      <c r="AA728" s="79"/>
      <c r="AB728" s="79"/>
    </row>
    <row r="729" spans="1:28" ht="15.8" customHeight="1" x14ac:dyDescent="0.15">
      <c r="A729" s="79"/>
      <c r="B729" s="79"/>
      <c r="C729" s="79"/>
      <c r="D729" s="79"/>
      <c r="E729" s="79"/>
      <c r="F729" s="79"/>
      <c r="G729" s="79"/>
      <c r="H729" s="79"/>
      <c r="I729" s="79"/>
      <c r="J729" s="87"/>
      <c r="K729" s="87"/>
      <c r="L729" s="87"/>
      <c r="M729" s="87"/>
      <c r="N729" s="79"/>
      <c r="O729" s="79"/>
      <c r="P729" s="79"/>
      <c r="Q729" s="79"/>
      <c r="R729" s="79"/>
      <c r="S729" s="79"/>
      <c r="T729" s="79"/>
      <c r="U729" s="79"/>
      <c r="V729" s="79"/>
      <c r="W729" s="79"/>
      <c r="X729" s="79"/>
      <c r="Y729" s="79"/>
      <c r="Z729" s="79"/>
      <c r="AA729" s="79"/>
      <c r="AB729" s="79"/>
    </row>
    <row r="730" spans="1:28" ht="15.8" customHeight="1" x14ac:dyDescent="0.15">
      <c r="A730" s="79"/>
      <c r="B730" s="79"/>
      <c r="C730" s="79"/>
      <c r="D730" s="79"/>
      <c r="E730" s="79"/>
      <c r="F730" s="79"/>
      <c r="G730" s="79"/>
      <c r="H730" s="79"/>
      <c r="I730" s="79"/>
      <c r="J730" s="87"/>
      <c r="K730" s="87"/>
      <c r="L730" s="87"/>
      <c r="M730" s="87"/>
      <c r="N730" s="79"/>
      <c r="O730" s="79"/>
      <c r="P730" s="79"/>
      <c r="Q730" s="79"/>
      <c r="R730" s="79"/>
      <c r="S730" s="79"/>
      <c r="T730" s="79"/>
      <c r="U730" s="79"/>
      <c r="V730" s="79"/>
      <c r="W730" s="79"/>
      <c r="X730" s="79"/>
      <c r="Y730" s="79"/>
      <c r="Z730" s="79"/>
      <c r="AA730" s="79"/>
      <c r="AB730" s="79"/>
    </row>
    <row r="731" spans="1:28" ht="15.8" customHeight="1" x14ac:dyDescent="0.15">
      <c r="A731" s="79"/>
      <c r="B731" s="79"/>
      <c r="C731" s="79"/>
      <c r="D731" s="79"/>
      <c r="E731" s="79"/>
      <c r="F731" s="79"/>
      <c r="G731" s="79"/>
      <c r="H731" s="79"/>
      <c r="I731" s="79"/>
      <c r="J731" s="87"/>
      <c r="K731" s="87"/>
      <c r="L731" s="87"/>
      <c r="M731" s="87"/>
      <c r="N731" s="79"/>
      <c r="O731" s="79"/>
      <c r="P731" s="79"/>
      <c r="Q731" s="79"/>
      <c r="R731" s="79"/>
      <c r="S731" s="79"/>
      <c r="T731" s="79"/>
      <c r="U731" s="79"/>
      <c r="V731" s="79"/>
      <c r="W731" s="79"/>
      <c r="X731" s="79"/>
      <c r="Y731" s="79"/>
      <c r="Z731" s="79"/>
      <c r="AA731" s="79"/>
      <c r="AB731" s="79"/>
    </row>
    <row r="732" spans="1:28" ht="15.8" customHeight="1" x14ac:dyDescent="0.15">
      <c r="A732" s="79"/>
      <c r="B732" s="79"/>
      <c r="C732" s="79"/>
      <c r="D732" s="79"/>
      <c r="E732" s="79"/>
      <c r="F732" s="79"/>
      <c r="G732" s="79"/>
      <c r="H732" s="79"/>
      <c r="I732" s="79"/>
      <c r="J732" s="87"/>
      <c r="K732" s="87"/>
      <c r="L732" s="87"/>
      <c r="M732" s="87"/>
      <c r="N732" s="79"/>
      <c r="O732" s="79"/>
      <c r="P732" s="79"/>
      <c r="Q732" s="79"/>
      <c r="R732" s="79"/>
      <c r="S732" s="79"/>
      <c r="T732" s="79"/>
      <c r="U732" s="79"/>
      <c r="V732" s="79"/>
      <c r="W732" s="79"/>
      <c r="X732" s="79"/>
      <c r="Y732" s="79"/>
      <c r="Z732" s="79"/>
      <c r="AA732" s="79"/>
      <c r="AB732" s="79"/>
    </row>
    <row r="733" spans="1:28" ht="15.8" customHeight="1" x14ac:dyDescent="0.15">
      <c r="A733" s="79"/>
      <c r="B733" s="79"/>
      <c r="C733" s="79"/>
      <c r="D733" s="79"/>
      <c r="E733" s="79"/>
      <c r="F733" s="79"/>
      <c r="G733" s="79"/>
      <c r="H733" s="79"/>
      <c r="I733" s="79"/>
      <c r="J733" s="87"/>
      <c r="K733" s="87"/>
      <c r="L733" s="87"/>
      <c r="M733" s="87"/>
      <c r="N733" s="79"/>
      <c r="O733" s="79"/>
      <c r="P733" s="79"/>
      <c r="Q733" s="79"/>
      <c r="R733" s="79"/>
      <c r="S733" s="79"/>
      <c r="T733" s="79"/>
      <c r="U733" s="79"/>
      <c r="V733" s="79"/>
      <c r="W733" s="79"/>
      <c r="X733" s="79"/>
      <c r="Y733" s="79"/>
      <c r="Z733" s="79"/>
      <c r="AA733" s="79"/>
      <c r="AB733" s="79"/>
    </row>
    <row r="734" spans="1:28" ht="15.8" customHeight="1" x14ac:dyDescent="0.15">
      <c r="A734" s="79"/>
      <c r="B734" s="79"/>
      <c r="C734" s="79"/>
      <c r="D734" s="79"/>
      <c r="E734" s="79"/>
      <c r="F734" s="79"/>
      <c r="G734" s="79"/>
      <c r="H734" s="79"/>
      <c r="I734" s="79"/>
      <c r="J734" s="87"/>
      <c r="K734" s="87"/>
      <c r="L734" s="87"/>
      <c r="M734" s="87"/>
      <c r="N734" s="79"/>
      <c r="O734" s="79"/>
      <c r="P734" s="79"/>
      <c r="Q734" s="79"/>
      <c r="R734" s="79"/>
      <c r="S734" s="79"/>
      <c r="T734" s="79"/>
      <c r="U734" s="79"/>
      <c r="V734" s="79"/>
      <c r="W734" s="79"/>
      <c r="X734" s="79"/>
      <c r="Y734" s="79"/>
      <c r="Z734" s="79"/>
      <c r="AA734" s="79"/>
      <c r="AB734" s="79"/>
    </row>
    <row r="735" spans="1:28" ht="15.8" customHeight="1" x14ac:dyDescent="0.15">
      <c r="A735" s="79"/>
      <c r="B735" s="79"/>
      <c r="C735" s="79"/>
      <c r="D735" s="79"/>
      <c r="E735" s="79"/>
      <c r="F735" s="79"/>
      <c r="G735" s="79"/>
      <c r="H735" s="79"/>
      <c r="I735" s="79"/>
      <c r="J735" s="87"/>
      <c r="K735" s="87"/>
      <c r="L735" s="87"/>
      <c r="M735" s="87"/>
      <c r="N735" s="79"/>
      <c r="O735" s="79"/>
      <c r="P735" s="79"/>
      <c r="Q735" s="79"/>
      <c r="R735" s="79"/>
      <c r="S735" s="79"/>
      <c r="T735" s="79"/>
      <c r="U735" s="79"/>
      <c r="V735" s="79"/>
      <c r="W735" s="79"/>
      <c r="X735" s="79"/>
      <c r="Y735" s="79"/>
      <c r="Z735" s="79"/>
      <c r="AA735" s="79"/>
      <c r="AB735" s="79"/>
    </row>
    <row r="736" spans="1:28" ht="15.8" customHeight="1" x14ac:dyDescent="0.15">
      <c r="A736" s="79"/>
      <c r="B736" s="79"/>
      <c r="C736" s="79"/>
      <c r="D736" s="79"/>
      <c r="E736" s="79"/>
      <c r="F736" s="79"/>
      <c r="G736" s="79"/>
      <c r="H736" s="79"/>
      <c r="I736" s="79"/>
      <c r="J736" s="87"/>
      <c r="K736" s="87"/>
      <c r="L736" s="87"/>
      <c r="M736" s="87"/>
      <c r="N736" s="79"/>
      <c r="O736" s="79"/>
      <c r="P736" s="79"/>
      <c r="Q736" s="79"/>
      <c r="R736" s="79"/>
      <c r="S736" s="79"/>
      <c r="T736" s="79"/>
      <c r="U736" s="79"/>
      <c r="V736" s="79"/>
      <c r="W736" s="79"/>
      <c r="X736" s="79"/>
      <c r="Y736" s="79"/>
      <c r="Z736" s="79"/>
      <c r="AA736" s="79"/>
      <c r="AB736" s="79"/>
    </row>
    <row r="737" spans="1:28" ht="15.8" customHeight="1" x14ac:dyDescent="0.15">
      <c r="A737" s="79"/>
      <c r="B737" s="79"/>
      <c r="C737" s="79"/>
      <c r="D737" s="79"/>
      <c r="E737" s="79"/>
      <c r="F737" s="79"/>
      <c r="G737" s="79"/>
      <c r="H737" s="79"/>
      <c r="I737" s="79"/>
      <c r="J737" s="87"/>
      <c r="K737" s="87"/>
      <c r="L737" s="87"/>
      <c r="M737" s="87"/>
      <c r="N737" s="79"/>
      <c r="O737" s="79"/>
      <c r="P737" s="79"/>
      <c r="Q737" s="79"/>
      <c r="R737" s="79"/>
      <c r="S737" s="79"/>
      <c r="T737" s="79"/>
      <c r="U737" s="79"/>
      <c r="V737" s="79"/>
      <c r="W737" s="79"/>
      <c r="X737" s="79"/>
      <c r="Y737" s="79"/>
      <c r="Z737" s="79"/>
      <c r="AA737" s="79"/>
      <c r="AB737" s="79"/>
    </row>
    <row r="738" spans="1:28" ht="15.8" customHeight="1" x14ac:dyDescent="0.15">
      <c r="A738" s="79"/>
      <c r="B738" s="79"/>
      <c r="C738" s="79"/>
      <c r="D738" s="79"/>
      <c r="E738" s="79"/>
      <c r="F738" s="79"/>
      <c r="G738" s="79"/>
      <c r="H738" s="79"/>
      <c r="I738" s="79"/>
      <c r="J738" s="87"/>
      <c r="K738" s="87"/>
      <c r="L738" s="87"/>
      <c r="M738" s="87"/>
      <c r="N738" s="79"/>
      <c r="O738" s="79"/>
      <c r="P738" s="79"/>
      <c r="Q738" s="79"/>
      <c r="R738" s="79"/>
      <c r="S738" s="79"/>
      <c r="T738" s="79"/>
      <c r="U738" s="79"/>
      <c r="V738" s="79"/>
      <c r="W738" s="79"/>
      <c r="X738" s="79"/>
      <c r="Y738" s="79"/>
      <c r="Z738" s="79"/>
      <c r="AA738" s="79"/>
      <c r="AB738" s="79"/>
    </row>
    <row r="739" spans="1:28" ht="15.8" customHeight="1" x14ac:dyDescent="0.15">
      <c r="A739" s="79"/>
      <c r="B739" s="79"/>
      <c r="C739" s="79"/>
      <c r="D739" s="79"/>
      <c r="E739" s="79"/>
      <c r="F739" s="79"/>
      <c r="G739" s="79"/>
      <c r="H739" s="79"/>
      <c r="I739" s="79"/>
      <c r="J739" s="87"/>
      <c r="K739" s="87"/>
      <c r="L739" s="87"/>
      <c r="M739" s="87"/>
      <c r="N739" s="79"/>
      <c r="O739" s="79"/>
      <c r="P739" s="79"/>
      <c r="Q739" s="79"/>
      <c r="R739" s="79"/>
      <c r="S739" s="79"/>
      <c r="T739" s="79"/>
      <c r="U739" s="79"/>
      <c r="V739" s="79"/>
      <c r="W739" s="79"/>
      <c r="X739" s="79"/>
      <c r="Y739" s="79"/>
      <c r="Z739" s="79"/>
      <c r="AA739" s="79"/>
      <c r="AB739" s="79"/>
    </row>
    <row r="740" spans="1:28" ht="15.8" customHeight="1" x14ac:dyDescent="0.15">
      <c r="A740" s="79"/>
      <c r="B740" s="79"/>
      <c r="C740" s="79"/>
      <c r="D740" s="79"/>
      <c r="E740" s="79"/>
      <c r="F740" s="79"/>
      <c r="G740" s="79"/>
      <c r="H740" s="79"/>
      <c r="I740" s="79"/>
      <c r="J740" s="87"/>
      <c r="K740" s="87"/>
      <c r="L740" s="87"/>
      <c r="M740" s="87"/>
      <c r="N740" s="79"/>
      <c r="O740" s="79"/>
      <c r="P740" s="79"/>
      <c r="Q740" s="79"/>
      <c r="R740" s="79"/>
      <c r="S740" s="79"/>
      <c r="T740" s="79"/>
      <c r="U740" s="79"/>
      <c r="V740" s="79"/>
      <c r="W740" s="79"/>
      <c r="X740" s="79"/>
      <c r="Y740" s="79"/>
      <c r="Z740" s="79"/>
      <c r="AA740" s="79"/>
      <c r="AB740" s="79"/>
    </row>
    <row r="741" spans="1:28" ht="15.8" customHeight="1" x14ac:dyDescent="0.15">
      <c r="A741" s="79"/>
      <c r="B741" s="79"/>
      <c r="C741" s="79"/>
      <c r="D741" s="79"/>
      <c r="E741" s="79"/>
      <c r="F741" s="79"/>
      <c r="G741" s="79"/>
      <c r="H741" s="79"/>
      <c r="I741" s="79"/>
      <c r="J741" s="87"/>
      <c r="K741" s="87"/>
      <c r="L741" s="87"/>
      <c r="M741" s="87"/>
      <c r="N741" s="79"/>
      <c r="O741" s="79"/>
      <c r="P741" s="79"/>
      <c r="Q741" s="79"/>
      <c r="R741" s="79"/>
      <c r="S741" s="79"/>
      <c r="T741" s="79"/>
      <c r="U741" s="79"/>
      <c r="V741" s="79"/>
      <c r="W741" s="79"/>
      <c r="X741" s="79"/>
      <c r="Y741" s="79"/>
      <c r="Z741" s="79"/>
      <c r="AA741" s="79"/>
      <c r="AB741" s="79"/>
    </row>
    <row r="742" spans="1:28" ht="15.8" customHeight="1" x14ac:dyDescent="0.15">
      <c r="A742" s="79"/>
      <c r="B742" s="79"/>
      <c r="C742" s="79"/>
      <c r="D742" s="79"/>
      <c r="E742" s="79"/>
      <c r="F742" s="79"/>
      <c r="G742" s="79"/>
      <c r="H742" s="79"/>
      <c r="I742" s="79"/>
      <c r="J742" s="87"/>
      <c r="K742" s="87"/>
      <c r="L742" s="87"/>
      <c r="M742" s="87"/>
      <c r="N742" s="79"/>
      <c r="O742" s="79"/>
      <c r="P742" s="79"/>
      <c r="Q742" s="79"/>
      <c r="R742" s="79"/>
      <c r="S742" s="79"/>
      <c r="T742" s="79"/>
      <c r="U742" s="79"/>
      <c r="V742" s="79"/>
      <c r="W742" s="79"/>
      <c r="X742" s="79"/>
      <c r="Y742" s="79"/>
      <c r="Z742" s="79"/>
      <c r="AA742" s="79"/>
      <c r="AB742" s="79"/>
    </row>
    <row r="743" spans="1:28" ht="15.8" customHeight="1" x14ac:dyDescent="0.15">
      <c r="A743" s="79"/>
      <c r="B743" s="79"/>
      <c r="C743" s="79"/>
      <c r="D743" s="79"/>
      <c r="E743" s="79"/>
      <c r="F743" s="79"/>
      <c r="G743" s="79"/>
      <c r="H743" s="79"/>
      <c r="I743" s="79"/>
      <c r="J743" s="87"/>
      <c r="K743" s="87"/>
      <c r="L743" s="87"/>
      <c r="M743" s="87"/>
      <c r="N743" s="79"/>
      <c r="O743" s="79"/>
      <c r="P743" s="79"/>
      <c r="Q743" s="79"/>
      <c r="R743" s="79"/>
      <c r="S743" s="79"/>
      <c r="T743" s="79"/>
      <c r="U743" s="79"/>
      <c r="V743" s="79"/>
      <c r="W743" s="79"/>
      <c r="X743" s="79"/>
      <c r="Y743" s="79"/>
      <c r="Z743" s="79"/>
      <c r="AA743" s="79"/>
      <c r="AB743" s="79"/>
    </row>
    <row r="744" spans="1:28" ht="15.8" customHeight="1" x14ac:dyDescent="0.15">
      <c r="A744" s="79"/>
      <c r="B744" s="79"/>
      <c r="C744" s="79"/>
      <c r="D744" s="79"/>
      <c r="E744" s="79"/>
      <c r="F744" s="79"/>
      <c r="G744" s="79"/>
      <c r="H744" s="79"/>
      <c r="I744" s="79"/>
      <c r="J744" s="87"/>
      <c r="K744" s="87"/>
      <c r="L744" s="87"/>
      <c r="M744" s="87"/>
      <c r="N744" s="79"/>
      <c r="O744" s="79"/>
      <c r="P744" s="79"/>
      <c r="Q744" s="79"/>
      <c r="R744" s="79"/>
      <c r="S744" s="79"/>
      <c r="T744" s="79"/>
      <c r="U744" s="79"/>
      <c r="V744" s="79"/>
      <c r="W744" s="79"/>
      <c r="X744" s="79"/>
      <c r="Y744" s="79"/>
      <c r="Z744" s="79"/>
      <c r="AA744" s="79"/>
      <c r="AB744" s="79"/>
    </row>
    <row r="745" spans="1:28" ht="15.8" customHeight="1" x14ac:dyDescent="0.15">
      <c r="A745" s="79"/>
      <c r="B745" s="79"/>
      <c r="C745" s="79"/>
      <c r="D745" s="79"/>
      <c r="E745" s="79"/>
      <c r="F745" s="79"/>
      <c r="G745" s="79"/>
      <c r="H745" s="79"/>
      <c r="I745" s="79"/>
      <c r="J745" s="87"/>
      <c r="K745" s="87"/>
      <c r="L745" s="87"/>
      <c r="M745" s="87"/>
      <c r="N745" s="79"/>
      <c r="O745" s="79"/>
      <c r="P745" s="79"/>
      <c r="Q745" s="79"/>
      <c r="R745" s="79"/>
      <c r="S745" s="79"/>
      <c r="T745" s="79"/>
      <c r="U745" s="79"/>
      <c r="V745" s="79"/>
      <c r="W745" s="79"/>
      <c r="X745" s="79"/>
      <c r="Y745" s="79"/>
      <c r="Z745" s="79"/>
      <c r="AA745" s="79"/>
      <c r="AB745" s="79"/>
    </row>
    <row r="746" spans="1:28" ht="15.8" customHeight="1" x14ac:dyDescent="0.15">
      <c r="A746" s="79"/>
      <c r="B746" s="79"/>
      <c r="C746" s="79"/>
      <c r="D746" s="79"/>
      <c r="E746" s="79"/>
      <c r="F746" s="79"/>
      <c r="G746" s="79"/>
      <c r="H746" s="79"/>
      <c r="I746" s="79"/>
      <c r="J746" s="87"/>
      <c r="K746" s="87"/>
      <c r="L746" s="87"/>
      <c r="M746" s="87"/>
      <c r="N746" s="79"/>
      <c r="O746" s="79"/>
      <c r="P746" s="79"/>
      <c r="Q746" s="79"/>
      <c r="R746" s="79"/>
      <c r="S746" s="79"/>
      <c r="T746" s="79"/>
      <c r="U746" s="79"/>
      <c r="V746" s="79"/>
      <c r="W746" s="79"/>
      <c r="X746" s="79"/>
      <c r="Y746" s="79"/>
      <c r="Z746" s="79"/>
      <c r="AA746" s="79"/>
      <c r="AB746" s="79"/>
    </row>
    <row r="747" spans="1:28" ht="15.8" customHeight="1" x14ac:dyDescent="0.15">
      <c r="A747" s="79"/>
      <c r="B747" s="79"/>
      <c r="C747" s="79"/>
      <c r="D747" s="79"/>
      <c r="E747" s="79"/>
      <c r="F747" s="79"/>
      <c r="G747" s="79"/>
      <c r="H747" s="79"/>
      <c r="I747" s="79"/>
      <c r="J747" s="87"/>
      <c r="K747" s="87"/>
      <c r="L747" s="87"/>
      <c r="M747" s="87"/>
      <c r="N747" s="79"/>
      <c r="O747" s="79"/>
      <c r="P747" s="79"/>
      <c r="Q747" s="79"/>
      <c r="R747" s="79"/>
      <c r="S747" s="79"/>
      <c r="T747" s="79"/>
      <c r="U747" s="79"/>
      <c r="V747" s="79"/>
      <c r="W747" s="79"/>
      <c r="X747" s="79"/>
      <c r="Y747" s="79"/>
      <c r="Z747" s="79"/>
      <c r="AA747" s="79"/>
      <c r="AB747" s="79"/>
    </row>
    <row r="748" spans="1:28" ht="15.8" customHeight="1" x14ac:dyDescent="0.15">
      <c r="A748" s="79"/>
      <c r="B748" s="79"/>
      <c r="C748" s="79"/>
      <c r="D748" s="79"/>
      <c r="E748" s="79"/>
      <c r="F748" s="79"/>
      <c r="G748" s="79"/>
      <c r="H748" s="79"/>
      <c r="I748" s="79"/>
      <c r="J748" s="87"/>
      <c r="K748" s="87"/>
      <c r="L748" s="87"/>
      <c r="M748" s="87"/>
      <c r="N748" s="79"/>
      <c r="O748" s="79"/>
      <c r="P748" s="79"/>
      <c r="Q748" s="79"/>
      <c r="R748" s="79"/>
      <c r="S748" s="79"/>
      <c r="T748" s="79"/>
      <c r="U748" s="79"/>
      <c r="V748" s="79"/>
      <c r="W748" s="79"/>
      <c r="X748" s="79"/>
      <c r="Y748" s="79"/>
      <c r="Z748" s="79"/>
      <c r="AA748" s="79"/>
      <c r="AB748" s="79"/>
    </row>
    <row r="749" spans="1:28" ht="15.8" customHeight="1" x14ac:dyDescent="0.15">
      <c r="A749" s="79"/>
      <c r="B749" s="79"/>
      <c r="C749" s="79"/>
      <c r="D749" s="79"/>
      <c r="E749" s="79"/>
      <c r="F749" s="79"/>
      <c r="G749" s="79"/>
      <c r="H749" s="79"/>
      <c r="I749" s="79"/>
      <c r="J749" s="87"/>
      <c r="K749" s="87"/>
      <c r="L749" s="87"/>
      <c r="M749" s="87"/>
      <c r="N749" s="79"/>
      <c r="O749" s="79"/>
      <c r="P749" s="79"/>
      <c r="Q749" s="79"/>
      <c r="R749" s="79"/>
      <c r="S749" s="79"/>
      <c r="T749" s="79"/>
      <c r="U749" s="79"/>
      <c r="V749" s="79"/>
      <c r="W749" s="79"/>
      <c r="X749" s="79"/>
      <c r="Y749" s="79"/>
      <c r="Z749" s="79"/>
      <c r="AA749" s="79"/>
      <c r="AB749" s="79"/>
    </row>
    <row r="750" spans="1:28" ht="15.8" customHeight="1" x14ac:dyDescent="0.15">
      <c r="A750" s="79"/>
      <c r="B750" s="79"/>
      <c r="C750" s="79"/>
      <c r="D750" s="79"/>
      <c r="E750" s="79"/>
      <c r="F750" s="79"/>
      <c r="G750" s="79"/>
      <c r="H750" s="79"/>
      <c r="I750" s="79"/>
      <c r="J750" s="87"/>
      <c r="K750" s="87"/>
      <c r="L750" s="87"/>
      <c r="M750" s="87"/>
      <c r="N750" s="79"/>
      <c r="O750" s="79"/>
      <c r="P750" s="79"/>
      <c r="Q750" s="79"/>
      <c r="R750" s="79"/>
      <c r="S750" s="79"/>
      <c r="T750" s="79"/>
      <c r="U750" s="79"/>
      <c r="V750" s="79"/>
      <c r="W750" s="79"/>
      <c r="X750" s="79"/>
      <c r="Y750" s="79"/>
      <c r="Z750" s="79"/>
      <c r="AA750" s="79"/>
      <c r="AB750" s="79"/>
    </row>
    <row r="751" spans="1:28" ht="15.8" customHeight="1" x14ac:dyDescent="0.15">
      <c r="A751" s="79"/>
      <c r="B751" s="79"/>
      <c r="C751" s="79"/>
      <c r="D751" s="79"/>
      <c r="E751" s="79"/>
      <c r="F751" s="79"/>
      <c r="G751" s="79"/>
      <c r="H751" s="79"/>
      <c r="I751" s="79"/>
      <c r="J751" s="87"/>
      <c r="K751" s="87"/>
      <c r="L751" s="87"/>
      <c r="M751" s="87"/>
      <c r="N751" s="79"/>
      <c r="O751" s="79"/>
      <c r="P751" s="79"/>
      <c r="Q751" s="79"/>
      <c r="R751" s="79"/>
      <c r="S751" s="79"/>
      <c r="T751" s="79"/>
      <c r="U751" s="79"/>
      <c r="V751" s="79"/>
      <c r="W751" s="79"/>
      <c r="X751" s="79"/>
      <c r="Y751" s="79"/>
      <c r="Z751" s="79"/>
      <c r="AA751" s="79"/>
      <c r="AB751" s="79"/>
    </row>
    <row r="752" spans="1:28" ht="15.8" customHeight="1" x14ac:dyDescent="0.15">
      <c r="A752" s="79"/>
      <c r="B752" s="79"/>
      <c r="C752" s="79"/>
      <c r="D752" s="79"/>
      <c r="E752" s="79"/>
      <c r="F752" s="79"/>
      <c r="G752" s="79"/>
      <c r="H752" s="79"/>
      <c r="I752" s="79"/>
      <c r="J752" s="87"/>
      <c r="K752" s="87"/>
      <c r="L752" s="87"/>
      <c r="M752" s="87"/>
      <c r="N752" s="79"/>
      <c r="O752" s="79"/>
      <c r="P752" s="79"/>
      <c r="Q752" s="79"/>
      <c r="R752" s="79"/>
      <c r="S752" s="79"/>
      <c r="T752" s="79"/>
      <c r="U752" s="79"/>
      <c r="V752" s="79"/>
      <c r="W752" s="79"/>
      <c r="X752" s="79"/>
      <c r="Y752" s="79"/>
      <c r="Z752" s="79"/>
      <c r="AA752" s="79"/>
      <c r="AB752" s="79"/>
    </row>
    <row r="753" spans="1:28" ht="15.8" customHeight="1" x14ac:dyDescent="0.15">
      <c r="A753" s="79"/>
      <c r="B753" s="79"/>
      <c r="C753" s="79"/>
      <c r="D753" s="79"/>
      <c r="E753" s="79"/>
      <c r="F753" s="79"/>
      <c r="G753" s="79"/>
      <c r="H753" s="79"/>
      <c r="I753" s="79"/>
      <c r="J753" s="87"/>
      <c r="K753" s="87"/>
      <c r="L753" s="87"/>
      <c r="M753" s="87"/>
      <c r="N753" s="79"/>
      <c r="O753" s="79"/>
      <c r="P753" s="79"/>
      <c r="Q753" s="79"/>
      <c r="R753" s="79"/>
      <c r="S753" s="79"/>
      <c r="T753" s="79"/>
      <c r="U753" s="79"/>
      <c r="V753" s="79"/>
      <c r="W753" s="79"/>
      <c r="X753" s="79"/>
      <c r="Y753" s="79"/>
      <c r="Z753" s="79"/>
      <c r="AA753" s="79"/>
      <c r="AB753" s="79"/>
    </row>
    <row r="754" spans="1:28" ht="15.8" customHeight="1" x14ac:dyDescent="0.15">
      <c r="A754" s="79"/>
      <c r="B754" s="79"/>
      <c r="C754" s="79"/>
      <c r="D754" s="79"/>
      <c r="E754" s="79"/>
      <c r="F754" s="79"/>
      <c r="G754" s="79"/>
      <c r="H754" s="79"/>
      <c r="I754" s="79"/>
      <c r="J754" s="87"/>
      <c r="K754" s="87"/>
      <c r="L754" s="87"/>
      <c r="M754" s="87"/>
      <c r="N754" s="79"/>
      <c r="O754" s="79"/>
      <c r="P754" s="79"/>
      <c r="Q754" s="79"/>
      <c r="R754" s="79"/>
      <c r="S754" s="79"/>
      <c r="T754" s="79"/>
      <c r="U754" s="79"/>
      <c r="V754" s="79"/>
      <c r="W754" s="79"/>
      <c r="X754" s="79"/>
      <c r="Y754" s="79"/>
      <c r="Z754" s="79"/>
      <c r="AA754" s="79"/>
      <c r="AB754" s="79"/>
    </row>
    <row r="755" spans="1:28" ht="15.8" customHeight="1" x14ac:dyDescent="0.15">
      <c r="A755" s="79"/>
      <c r="B755" s="79"/>
      <c r="C755" s="79"/>
      <c r="D755" s="79"/>
      <c r="E755" s="79"/>
      <c r="F755" s="79"/>
      <c r="G755" s="79"/>
      <c r="H755" s="79"/>
      <c r="I755" s="79"/>
      <c r="J755" s="87"/>
      <c r="K755" s="87"/>
      <c r="L755" s="87"/>
      <c r="M755" s="87"/>
      <c r="N755" s="79"/>
      <c r="O755" s="79"/>
      <c r="P755" s="79"/>
      <c r="Q755" s="79"/>
      <c r="R755" s="79"/>
      <c r="S755" s="79"/>
      <c r="T755" s="79"/>
      <c r="U755" s="79"/>
      <c r="V755" s="79"/>
      <c r="W755" s="79"/>
      <c r="X755" s="79"/>
      <c r="Y755" s="79"/>
      <c r="Z755" s="79"/>
      <c r="AA755" s="79"/>
      <c r="AB755" s="79"/>
    </row>
    <row r="756" spans="1:28" ht="15.8" customHeight="1" x14ac:dyDescent="0.15">
      <c r="A756" s="79"/>
      <c r="B756" s="79"/>
      <c r="C756" s="79"/>
      <c r="D756" s="79"/>
      <c r="E756" s="79"/>
      <c r="F756" s="79"/>
      <c r="G756" s="79"/>
      <c r="H756" s="79"/>
      <c r="I756" s="79"/>
      <c r="J756" s="87"/>
      <c r="K756" s="87"/>
      <c r="L756" s="87"/>
      <c r="M756" s="87"/>
      <c r="N756" s="79"/>
      <c r="O756" s="79"/>
      <c r="P756" s="79"/>
      <c r="Q756" s="79"/>
      <c r="R756" s="79"/>
      <c r="S756" s="79"/>
      <c r="T756" s="79"/>
      <c r="U756" s="79"/>
      <c r="V756" s="79"/>
      <c r="W756" s="79"/>
      <c r="X756" s="79"/>
      <c r="Y756" s="79"/>
      <c r="Z756" s="79"/>
      <c r="AA756" s="79"/>
      <c r="AB756" s="79"/>
    </row>
    <row r="757" spans="1:28" ht="15.8" customHeight="1" x14ac:dyDescent="0.15">
      <c r="A757" s="79"/>
      <c r="B757" s="79"/>
      <c r="C757" s="79"/>
      <c r="D757" s="79"/>
      <c r="E757" s="79"/>
      <c r="F757" s="79"/>
      <c r="G757" s="79"/>
      <c r="H757" s="79"/>
      <c r="I757" s="79"/>
      <c r="J757" s="87"/>
      <c r="K757" s="87"/>
      <c r="L757" s="87"/>
      <c r="M757" s="87"/>
      <c r="N757" s="79"/>
      <c r="O757" s="79"/>
      <c r="P757" s="79"/>
      <c r="Q757" s="79"/>
      <c r="R757" s="79"/>
      <c r="S757" s="79"/>
      <c r="T757" s="79"/>
      <c r="U757" s="79"/>
      <c r="V757" s="79"/>
      <c r="W757" s="79"/>
      <c r="X757" s="79"/>
      <c r="Y757" s="79"/>
      <c r="Z757" s="79"/>
      <c r="AA757" s="79"/>
      <c r="AB757" s="79"/>
    </row>
    <row r="758" spans="1:28" ht="15.8" customHeight="1" x14ac:dyDescent="0.15">
      <c r="A758" s="79"/>
      <c r="B758" s="79"/>
      <c r="C758" s="79"/>
      <c r="D758" s="79"/>
      <c r="E758" s="79"/>
      <c r="F758" s="79"/>
      <c r="G758" s="79"/>
      <c r="H758" s="79"/>
      <c r="I758" s="79"/>
      <c r="J758" s="87"/>
      <c r="K758" s="87"/>
      <c r="L758" s="87"/>
      <c r="M758" s="87"/>
      <c r="N758" s="79"/>
      <c r="O758" s="79"/>
      <c r="P758" s="79"/>
      <c r="Q758" s="79"/>
      <c r="R758" s="79"/>
      <c r="S758" s="79"/>
      <c r="T758" s="79"/>
      <c r="U758" s="79"/>
      <c r="V758" s="79"/>
      <c r="W758" s="79"/>
      <c r="X758" s="79"/>
      <c r="Y758" s="79"/>
      <c r="Z758" s="79"/>
      <c r="AA758" s="79"/>
      <c r="AB758" s="79"/>
    </row>
    <row r="759" spans="1:28" ht="15.8" customHeight="1" x14ac:dyDescent="0.15">
      <c r="A759" s="79"/>
      <c r="B759" s="79"/>
      <c r="C759" s="79"/>
      <c r="D759" s="79"/>
      <c r="E759" s="79"/>
      <c r="F759" s="79"/>
      <c r="G759" s="79"/>
      <c r="H759" s="79"/>
      <c r="I759" s="79"/>
      <c r="J759" s="87"/>
      <c r="K759" s="87"/>
      <c r="L759" s="87"/>
      <c r="M759" s="87"/>
      <c r="N759" s="79"/>
      <c r="O759" s="79"/>
      <c r="P759" s="79"/>
      <c r="Q759" s="79"/>
      <c r="R759" s="79"/>
      <c r="S759" s="79"/>
      <c r="T759" s="79"/>
      <c r="U759" s="79"/>
      <c r="V759" s="79"/>
      <c r="W759" s="79"/>
      <c r="X759" s="79"/>
      <c r="Y759" s="79"/>
      <c r="Z759" s="79"/>
      <c r="AA759" s="79"/>
      <c r="AB759" s="79"/>
    </row>
    <row r="760" spans="1:28" ht="15.8" customHeight="1" x14ac:dyDescent="0.15">
      <c r="A760" s="79"/>
      <c r="B760" s="79"/>
      <c r="C760" s="79"/>
      <c r="D760" s="79"/>
      <c r="E760" s="79"/>
      <c r="F760" s="79"/>
      <c r="G760" s="79"/>
      <c r="H760" s="79"/>
      <c r="I760" s="79"/>
      <c r="J760" s="87"/>
      <c r="K760" s="87"/>
      <c r="L760" s="87"/>
      <c r="M760" s="87"/>
      <c r="N760" s="79"/>
      <c r="O760" s="79"/>
      <c r="P760" s="79"/>
      <c r="Q760" s="79"/>
      <c r="R760" s="79"/>
      <c r="S760" s="79"/>
      <c r="T760" s="79"/>
      <c r="U760" s="79"/>
      <c r="V760" s="79"/>
      <c r="W760" s="79"/>
      <c r="X760" s="79"/>
      <c r="Y760" s="79"/>
      <c r="Z760" s="79"/>
      <c r="AA760" s="79"/>
      <c r="AB760" s="79"/>
    </row>
    <row r="761" spans="1:28" ht="15.8" customHeight="1" x14ac:dyDescent="0.15">
      <c r="A761" s="79"/>
      <c r="B761" s="79"/>
      <c r="C761" s="79"/>
      <c r="D761" s="79"/>
      <c r="E761" s="79"/>
      <c r="F761" s="79"/>
      <c r="G761" s="79"/>
      <c r="H761" s="79"/>
      <c r="I761" s="79"/>
      <c r="J761" s="87"/>
      <c r="K761" s="87"/>
      <c r="L761" s="87"/>
      <c r="M761" s="87"/>
      <c r="N761" s="79"/>
      <c r="O761" s="79"/>
      <c r="P761" s="79"/>
      <c r="Q761" s="79"/>
      <c r="R761" s="79"/>
      <c r="S761" s="79"/>
      <c r="T761" s="79"/>
      <c r="U761" s="79"/>
      <c r="V761" s="79"/>
      <c r="W761" s="79"/>
      <c r="X761" s="79"/>
      <c r="Y761" s="79"/>
      <c r="Z761" s="79"/>
      <c r="AA761" s="79"/>
      <c r="AB761" s="79"/>
    </row>
    <row r="762" spans="1:28" ht="15.8" customHeight="1" x14ac:dyDescent="0.15">
      <c r="A762" s="79"/>
      <c r="B762" s="79"/>
      <c r="C762" s="79"/>
      <c r="D762" s="79"/>
      <c r="E762" s="79"/>
      <c r="F762" s="79"/>
      <c r="G762" s="79"/>
      <c r="H762" s="79"/>
      <c r="I762" s="79"/>
      <c r="J762" s="87"/>
      <c r="K762" s="87"/>
      <c r="L762" s="87"/>
      <c r="M762" s="87"/>
      <c r="N762" s="79"/>
      <c r="O762" s="79"/>
      <c r="P762" s="79"/>
      <c r="Q762" s="79"/>
      <c r="R762" s="79"/>
      <c r="S762" s="79"/>
      <c r="T762" s="79"/>
      <c r="U762" s="79"/>
      <c r="V762" s="79"/>
      <c r="W762" s="79"/>
      <c r="X762" s="79"/>
      <c r="Y762" s="79"/>
      <c r="Z762" s="79"/>
      <c r="AA762" s="79"/>
      <c r="AB762" s="79"/>
    </row>
    <row r="763" spans="1:28" ht="15.8" customHeight="1" x14ac:dyDescent="0.15">
      <c r="A763" s="79"/>
      <c r="B763" s="79"/>
      <c r="C763" s="79"/>
      <c r="D763" s="79"/>
      <c r="E763" s="79"/>
      <c r="F763" s="79"/>
      <c r="G763" s="79"/>
      <c r="H763" s="79"/>
      <c r="I763" s="79"/>
      <c r="J763" s="87"/>
      <c r="K763" s="87"/>
      <c r="L763" s="87"/>
      <c r="M763" s="87"/>
      <c r="N763" s="79"/>
      <c r="O763" s="79"/>
      <c r="P763" s="79"/>
      <c r="Q763" s="79"/>
      <c r="R763" s="79"/>
      <c r="S763" s="79"/>
      <c r="T763" s="79"/>
      <c r="U763" s="79"/>
      <c r="V763" s="79"/>
      <c r="W763" s="79"/>
      <c r="X763" s="79"/>
      <c r="Y763" s="79"/>
      <c r="Z763" s="79"/>
      <c r="AA763" s="79"/>
      <c r="AB763" s="79"/>
    </row>
    <row r="764" spans="1:28" ht="15.8" customHeight="1" x14ac:dyDescent="0.15">
      <c r="A764" s="79"/>
      <c r="B764" s="79"/>
      <c r="C764" s="79"/>
      <c r="D764" s="79"/>
      <c r="E764" s="79"/>
      <c r="F764" s="79"/>
      <c r="G764" s="79"/>
      <c r="H764" s="79"/>
      <c r="I764" s="79"/>
      <c r="J764" s="87"/>
      <c r="K764" s="87"/>
      <c r="L764" s="87"/>
      <c r="M764" s="87"/>
      <c r="N764" s="79"/>
      <c r="O764" s="79"/>
      <c r="P764" s="79"/>
      <c r="Q764" s="79"/>
      <c r="R764" s="79"/>
      <c r="S764" s="79"/>
      <c r="T764" s="79"/>
      <c r="U764" s="79"/>
      <c r="V764" s="79"/>
      <c r="W764" s="79"/>
      <c r="X764" s="79"/>
      <c r="Y764" s="79"/>
      <c r="Z764" s="79"/>
      <c r="AA764" s="79"/>
      <c r="AB764" s="79"/>
    </row>
    <row r="765" spans="1:28" ht="15.8" customHeight="1" x14ac:dyDescent="0.15">
      <c r="A765" s="79"/>
      <c r="B765" s="79"/>
      <c r="C765" s="79"/>
      <c r="D765" s="79"/>
      <c r="E765" s="79"/>
      <c r="F765" s="79"/>
      <c r="G765" s="79"/>
      <c r="H765" s="79"/>
      <c r="I765" s="79"/>
      <c r="J765" s="87"/>
      <c r="K765" s="87"/>
      <c r="L765" s="87"/>
      <c r="M765" s="87"/>
      <c r="N765" s="79"/>
      <c r="O765" s="79"/>
      <c r="P765" s="79"/>
      <c r="Q765" s="79"/>
      <c r="R765" s="79"/>
      <c r="S765" s="79"/>
      <c r="T765" s="79"/>
      <c r="U765" s="79"/>
      <c r="V765" s="79"/>
      <c r="W765" s="79"/>
      <c r="X765" s="79"/>
      <c r="Y765" s="79"/>
      <c r="Z765" s="79"/>
      <c r="AA765" s="79"/>
      <c r="AB765" s="79"/>
    </row>
    <row r="766" spans="1:28" ht="15.8" customHeight="1" x14ac:dyDescent="0.15">
      <c r="A766" s="79"/>
      <c r="B766" s="79"/>
      <c r="C766" s="79"/>
      <c r="D766" s="79"/>
      <c r="E766" s="79"/>
      <c r="F766" s="79"/>
      <c r="G766" s="79"/>
      <c r="H766" s="79"/>
      <c r="I766" s="79"/>
      <c r="J766" s="87"/>
      <c r="K766" s="87"/>
      <c r="L766" s="87"/>
      <c r="M766" s="87"/>
      <c r="N766" s="79"/>
      <c r="O766" s="79"/>
      <c r="P766" s="79"/>
      <c r="Q766" s="79"/>
      <c r="R766" s="79"/>
      <c r="S766" s="79"/>
      <c r="T766" s="79"/>
      <c r="U766" s="79"/>
      <c r="V766" s="79"/>
      <c r="W766" s="79"/>
      <c r="X766" s="79"/>
      <c r="Y766" s="79"/>
      <c r="Z766" s="79"/>
      <c r="AA766" s="79"/>
      <c r="AB766" s="79"/>
    </row>
    <row r="767" spans="1:28" ht="15.8" customHeight="1" x14ac:dyDescent="0.15">
      <c r="A767" s="79"/>
      <c r="B767" s="79"/>
      <c r="C767" s="79"/>
      <c r="D767" s="79"/>
      <c r="E767" s="79"/>
      <c r="F767" s="79"/>
      <c r="G767" s="79"/>
      <c r="H767" s="79"/>
      <c r="I767" s="79"/>
      <c r="J767" s="87"/>
      <c r="K767" s="87"/>
      <c r="L767" s="87"/>
      <c r="M767" s="87"/>
      <c r="N767" s="79"/>
      <c r="O767" s="79"/>
      <c r="P767" s="79"/>
      <c r="Q767" s="79"/>
      <c r="R767" s="79"/>
      <c r="S767" s="79"/>
      <c r="T767" s="79"/>
      <c r="U767" s="79"/>
      <c r="V767" s="79"/>
      <c r="W767" s="79"/>
      <c r="X767" s="79"/>
      <c r="Y767" s="79"/>
      <c r="Z767" s="79"/>
      <c r="AA767" s="79"/>
      <c r="AB767" s="79"/>
    </row>
    <row r="768" spans="1:28" ht="15.8" customHeight="1" x14ac:dyDescent="0.15">
      <c r="A768" s="79"/>
      <c r="B768" s="79"/>
      <c r="C768" s="79"/>
      <c r="D768" s="79"/>
      <c r="E768" s="79"/>
      <c r="F768" s="79"/>
      <c r="G768" s="79"/>
      <c r="H768" s="79"/>
      <c r="I768" s="79"/>
      <c r="J768" s="87"/>
      <c r="K768" s="87"/>
      <c r="L768" s="87"/>
      <c r="M768" s="87"/>
      <c r="N768" s="79"/>
      <c r="O768" s="79"/>
      <c r="P768" s="79"/>
      <c r="Q768" s="79"/>
      <c r="R768" s="79"/>
      <c r="S768" s="79"/>
      <c r="T768" s="79"/>
      <c r="U768" s="79"/>
      <c r="V768" s="79"/>
      <c r="W768" s="79"/>
      <c r="X768" s="79"/>
      <c r="Y768" s="79"/>
      <c r="Z768" s="79"/>
      <c r="AA768" s="79"/>
      <c r="AB768" s="79"/>
    </row>
    <row r="769" spans="1:28" ht="15.8" customHeight="1" x14ac:dyDescent="0.15">
      <c r="A769" s="79"/>
      <c r="B769" s="79"/>
      <c r="C769" s="79"/>
      <c r="D769" s="79"/>
      <c r="E769" s="79"/>
      <c r="F769" s="79"/>
      <c r="G769" s="79"/>
      <c r="H769" s="79"/>
      <c r="I769" s="79"/>
      <c r="J769" s="87"/>
      <c r="K769" s="87"/>
      <c r="L769" s="87"/>
      <c r="M769" s="87"/>
      <c r="N769" s="79"/>
      <c r="O769" s="79"/>
      <c r="P769" s="79"/>
      <c r="Q769" s="79"/>
      <c r="R769" s="79"/>
      <c r="S769" s="79"/>
      <c r="T769" s="79"/>
      <c r="U769" s="79"/>
      <c r="V769" s="79"/>
      <c r="W769" s="79"/>
      <c r="X769" s="79"/>
      <c r="Y769" s="79"/>
      <c r="Z769" s="79"/>
      <c r="AA769" s="79"/>
      <c r="AB769" s="79"/>
    </row>
    <row r="770" spans="1:28" ht="15.8" customHeight="1" x14ac:dyDescent="0.15">
      <c r="A770" s="79"/>
      <c r="B770" s="79"/>
      <c r="C770" s="79"/>
      <c r="D770" s="79"/>
      <c r="E770" s="79"/>
      <c r="F770" s="79"/>
      <c r="G770" s="79"/>
      <c r="H770" s="79"/>
      <c r="I770" s="79"/>
      <c r="J770" s="87"/>
      <c r="K770" s="87"/>
      <c r="L770" s="87"/>
      <c r="M770" s="87"/>
      <c r="N770" s="79"/>
      <c r="O770" s="79"/>
      <c r="P770" s="79"/>
      <c r="Q770" s="79"/>
      <c r="R770" s="79"/>
      <c r="S770" s="79"/>
      <c r="T770" s="79"/>
      <c r="U770" s="79"/>
      <c r="V770" s="79"/>
      <c r="W770" s="79"/>
      <c r="X770" s="79"/>
      <c r="Y770" s="79"/>
      <c r="Z770" s="79"/>
      <c r="AA770" s="79"/>
      <c r="AB770" s="79"/>
    </row>
    <row r="771" spans="1:28" ht="15.8" customHeight="1" x14ac:dyDescent="0.15">
      <c r="A771" s="79"/>
      <c r="B771" s="79"/>
      <c r="C771" s="79"/>
      <c r="D771" s="79"/>
      <c r="E771" s="79"/>
      <c r="F771" s="79"/>
      <c r="G771" s="79"/>
      <c r="H771" s="79"/>
      <c r="I771" s="79"/>
      <c r="J771" s="87"/>
      <c r="K771" s="87"/>
      <c r="L771" s="87"/>
      <c r="M771" s="87"/>
      <c r="N771" s="79"/>
      <c r="O771" s="79"/>
      <c r="P771" s="79"/>
      <c r="Q771" s="79"/>
      <c r="R771" s="79"/>
      <c r="S771" s="79"/>
      <c r="T771" s="79"/>
      <c r="U771" s="79"/>
      <c r="V771" s="79"/>
      <c r="W771" s="79"/>
      <c r="X771" s="79"/>
      <c r="Y771" s="79"/>
      <c r="Z771" s="79"/>
      <c r="AA771" s="79"/>
      <c r="AB771" s="79"/>
    </row>
    <row r="772" spans="1:28" ht="15.8" customHeight="1" x14ac:dyDescent="0.15">
      <c r="A772" s="79"/>
      <c r="B772" s="79"/>
      <c r="C772" s="79"/>
      <c r="D772" s="79"/>
      <c r="E772" s="79"/>
      <c r="F772" s="79"/>
      <c r="G772" s="79"/>
      <c r="H772" s="79"/>
      <c r="I772" s="79"/>
      <c r="J772" s="87"/>
      <c r="K772" s="87"/>
      <c r="L772" s="87"/>
      <c r="M772" s="87"/>
      <c r="N772" s="79"/>
      <c r="O772" s="79"/>
      <c r="P772" s="79"/>
      <c r="Q772" s="79"/>
      <c r="R772" s="79"/>
      <c r="S772" s="79"/>
      <c r="T772" s="79"/>
      <c r="U772" s="79"/>
      <c r="V772" s="79"/>
      <c r="W772" s="79"/>
      <c r="X772" s="79"/>
      <c r="Y772" s="79"/>
      <c r="Z772" s="79"/>
      <c r="AA772" s="79"/>
      <c r="AB772" s="79"/>
    </row>
    <row r="773" spans="1:28" ht="15.8" customHeight="1" x14ac:dyDescent="0.15">
      <c r="A773" s="79"/>
      <c r="B773" s="79"/>
      <c r="C773" s="79"/>
      <c r="D773" s="79"/>
      <c r="E773" s="79"/>
      <c r="F773" s="79"/>
      <c r="G773" s="79"/>
      <c r="H773" s="79"/>
      <c r="I773" s="79"/>
      <c r="J773" s="87"/>
      <c r="K773" s="87"/>
      <c r="L773" s="87"/>
      <c r="M773" s="87"/>
      <c r="N773" s="79"/>
      <c r="O773" s="79"/>
      <c r="P773" s="79"/>
      <c r="Q773" s="79"/>
      <c r="R773" s="79"/>
      <c r="S773" s="79"/>
      <c r="T773" s="79"/>
      <c r="U773" s="79"/>
      <c r="V773" s="79"/>
      <c r="W773" s="79"/>
      <c r="X773" s="79"/>
      <c r="Y773" s="79"/>
      <c r="Z773" s="79"/>
      <c r="AA773" s="79"/>
      <c r="AB773" s="79"/>
    </row>
    <row r="774" spans="1:28" ht="15.8" customHeight="1" x14ac:dyDescent="0.15">
      <c r="A774" s="79"/>
      <c r="B774" s="79"/>
      <c r="C774" s="79"/>
      <c r="D774" s="79"/>
      <c r="E774" s="79"/>
      <c r="F774" s="79"/>
      <c r="G774" s="79"/>
      <c r="H774" s="79"/>
      <c r="I774" s="79"/>
      <c r="J774" s="87"/>
      <c r="K774" s="87"/>
      <c r="L774" s="87"/>
      <c r="M774" s="87"/>
      <c r="N774" s="79"/>
      <c r="O774" s="79"/>
      <c r="P774" s="79"/>
      <c r="Q774" s="79"/>
      <c r="R774" s="79"/>
      <c r="S774" s="79"/>
      <c r="T774" s="79"/>
      <c r="U774" s="79"/>
      <c r="V774" s="79"/>
      <c r="W774" s="79"/>
      <c r="X774" s="79"/>
      <c r="Y774" s="79"/>
      <c r="Z774" s="79"/>
      <c r="AA774" s="79"/>
      <c r="AB774" s="79"/>
    </row>
    <row r="775" spans="1:28" ht="15.8" customHeight="1" x14ac:dyDescent="0.15">
      <c r="A775" s="79"/>
      <c r="B775" s="79"/>
      <c r="C775" s="79"/>
      <c r="D775" s="79"/>
      <c r="E775" s="79"/>
      <c r="F775" s="79"/>
      <c r="G775" s="79"/>
      <c r="H775" s="79"/>
      <c r="I775" s="79"/>
      <c r="J775" s="87"/>
      <c r="K775" s="87"/>
      <c r="L775" s="87"/>
      <c r="M775" s="87"/>
      <c r="N775" s="79"/>
      <c r="O775" s="79"/>
      <c r="P775" s="79"/>
      <c r="Q775" s="79"/>
      <c r="R775" s="79"/>
      <c r="S775" s="79"/>
      <c r="T775" s="79"/>
      <c r="U775" s="79"/>
      <c r="V775" s="79"/>
      <c r="W775" s="79"/>
      <c r="X775" s="79"/>
      <c r="Y775" s="79"/>
      <c r="Z775" s="79"/>
      <c r="AA775" s="79"/>
      <c r="AB775" s="79"/>
    </row>
    <row r="776" spans="1:28" ht="15.8" customHeight="1" x14ac:dyDescent="0.15">
      <c r="A776" s="79"/>
      <c r="B776" s="79"/>
      <c r="C776" s="79"/>
      <c r="D776" s="79"/>
      <c r="E776" s="79"/>
      <c r="F776" s="79"/>
      <c r="G776" s="79"/>
      <c r="H776" s="79"/>
      <c r="I776" s="79"/>
      <c r="J776" s="87"/>
      <c r="K776" s="87"/>
      <c r="L776" s="87"/>
      <c r="M776" s="87"/>
      <c r="N776" s="79"/>
      <c r="O776" s="79"/>
      <c r="P776" s="79"/>
      <c r="Q776" s="79"/>
      <c r="R776" s="79"/>
      <c r="S776" s="79"/>
      <c r="T776" s="79"/>
      <c r="U776" s="79"/>
      <c r="V776" s="79"/>
      <c r="W776" s="79"/>
      <c r="X776" s="79"/>
      <c r="Y776" s="79"/>
      <c r="Z776" s="79"/>
      <c r="AA776" s="79"/>
      <c r="AB776" s="79"/>
    </row>
    <row r="777" spans="1:28" ht="15.8" customHeight="1" x14ac:dyDescent="0.15">
      <c r="A777" s="79"/>
      <c r="B777" s="79"/>
      <c r="C777" s="79"/>
      <c r="D777" s="79"/>
      <c r="E777" s="79"/>
      <c r="F777" s="79"/>
      <c r="G777" s="79"/>
      <c r="H777" s="79"/>
      <c r="I777" s="79"/>
      <c r="J777" s="87"/>
      <c r="K777" s="87"/>
      <c r="L777" s="87"/>
      <c r="M777" s="87"/>
      <c r="N777" s="79"/>
      <c r="O777" s="79"/>
      <c r="P777" s="79"/>
      <c r="Q777" s="79"/>
      <c r="R777" s="79"/>
      <c r="S777" s="79"/>
      <c r="T777" s="79"/>
      <c r="U777" s="79"/>
      <c r="V777" s="79"/>
      <c r="W777" s="79"/>
      <c r="X777" s="79"/>
      <c r="Y777" s="79"/>
      <c r="Z777" s="79"/>
      <c r="AA777" s="79"/>
      <c r="AB777" s="79"/>
    </row>
    <row r="778" spans="1:28" ht="15.8" customHeight="1" x14ac:dyDescent="0.15">
      <c r="A778" s="79"/>
      <c r="B778" s="79"/>
      <c r="C778" s="79"/>
      <c r="D778" s="79"/>
      <c r="E778" s="79"/>
      <c r="F778" s="79"/>
      <c r="G778" s="79"/>
      <c r="H778" s="79"/>
      <c r="I778" s="79"/>
      <c r="J778" s="87"/>
      <c r="K778" s="87"/>
      <c r="L778" s="87"/>
      <c r="M778" s="87"/>
      <c r="N778" s="79"/>
      <c r="O778" s="79"/>
      <c r="P778" s="79"/>
      <c r="Q778" s="79"/>
      <c r="R778" s="79"/>
      <c r="S778" s="79"/>
      <c r="T778" s="79"/>
      <c r="U778" s="79"/>
      <c r="V778" s="79"/>
      <c r="W778" s="79"/>
      <c r="X778" s="79"/>
      <c r="Y778" s="79"/>
      <c r="Z778" s="79"/>
      <c r="AA778" s="79"/>
      <c r="AB778" s="79"/>
    </row>
    <row r="779" spans="1:28" ht="15.8" customHeight="1" x14ac:dyDescent="0.15">
      <c r="A779" s="79"/>
      <c r="B779" s="79"/>
      <c r="C779" s="79"/>
      <c r="D779" s="79"/>
      <c r="E779" s="79"/>
      <c r="F779" s="79"/>
      <c r="G779" s="79"/>
      <c r="H779" s="79"/>
      <c r="I779" s="79"/>
      <c r="J779" s="87"/>
      <c r="K779" s="87"/>
      <c r="L779" s="87"/>
      <c r="M779" s="87"/>
      <c r="N779" s="79"/>
      <c r="O779" s="79"/>
      <c r="P779" s="79"/>
      <c r="Q779" s="79"/>
      <c r="R779" s="79"/>
      <c r="S779" s="79"/>
      <c r="T779" s="79"/>
      <c r="U779" s="79"/>
      <c r="V779" s="79"/>
      <c r="W779" s="79"/>
      <c r="X779" s="79"/>
      <c r="Y779" s="79"/>
      <c r="Z779" s="79"/>
      <c r="AA779" s="79"/>
      <c r="AB779" s="79"/>
    </row>
    <row r="780" spans="1:28" ht="15.8" customHeight="1" x14ac:dyDescent="0.15">
      <c r="A780" s="79"/>
      <c r="B780" s="79"/>
      <c r="C780" s="79"/>
      <c r="D780" s="79"/>
      <c r="E780" s="79"/>
      <c r="F780" s="79"/>
      <c r="G780" s="79"/>
      <c r="H780" s="79"/>
      <c r="I780" s="79"/>
      <c r="J780" s="87"/>
      <c r="K780" s="87"/>
      <c r="L780" s="87"/>
      <c r="M780" s="87"/>
      <c r="N780" s="79"/>
      <c r="O780" s="79"/>
      <c r="P780" s="79"/>
      <c r="Q780" s="79"/>
      <c r="R780" s="79"/>
      <c r="S780" s="79"/>
      <c r="T780" s="79"/>
      <c r="U780" s="79"/>
      <c r="V780" s="79"/>
      <c r="W780" s="79"/>
      <c r="X780" s="79"/>
      <c r="Y780" s="79"/>
      <c r="Z780" s="79"/>
      <c r="AA780" s="79"/>
      <c r="AB780" s="79"/>
    </row>
    <row r="781" spans="1:28" ht="15.8" customHeight="1" x14ac:dyDescent="0.15">
      <c r="A781" s="79"/>
      <c r="B781" s="79"/>
      <c r="C781" s="79"/>
      <c r="D781" s="79"/>
      <c r="E781" s="79"/>
      <c r="F781" s="79"/>
      <c r="G781" s="79"/>
      <c r="H781" s="79"/>
      <c r="I781" s="79"/>
      <c r="J781" s="87"/>
      <c r="K781" s="87"/>
      <c r="L781" s="87"/>
      <c r="M781" s="87"/>
      <c r="N781" s="79"/>
      <c r="O781" s="79"/>
      <c r="P781" s="79"/>
      <c r="Q781" s="79"/>
      <c r="R781" s="79"/>
      <c r="S781" s="79"/>
      <c r="T781" s="79"/>
      <c r="U781" s="79"/>
      <c r="V781" s="79"/>
      <c r="W781" s="79"/>
      <c r="X781" s="79"/>
      <c r="Y781" s="79"/>
      <c r="Z781" s="79"/>
      <c r="AA781" s="79"/>
      <c r="AB781" s="79"/>
    </row>
    <row r="782" spans="1:28" ht="15.8" customHeight="1" x14ac:dyDescent="0.15">
      <c r="A782" s="79"/>
      <c r="B782" s="79"/>
      <c r="C782" s="79"/>
      <c r="D782" s="79"/>
      <c r="E782" s="79"/>
      <c r="F782" s="79"/>
      <c r="G782" s="79"/>
      <c r="H782" s="79"/>
      <c r="I782" s="79"/>
      <c r="J782" s="87"/>
      <c r="K782" s="87"/>
      <c r="L782" s="87"/>
      <c r="M782" s="87"/>
      <c r="N782" s="79"/>
      <c r="O782" s="79"/>
      <c r="P782" s="79"/>
      <c r="Q782" s="79"/>
      <c r="R782" s="79"/>
      <c r="S782" s="79"/>
      <c r="T782" s="79"/>
      <c r="U782" s="79"/>
      <c r="V782" s="79"/>
      <c r="W782" s="79"/>
      <c r="X782" s="79"/>
      <c r="Y782" s="79"/>
      <c r="Z782" s="79"/>
      <c r="AA782" s="79"/>
      <c r="AB782" s="79"/>
    </row>
    <row r="783" spans="1:28" ht="15.8" customHeight="1" x14ac:dyDescent="0.15">
      <c r="A783" s="79"/>
      <c r="B783" s="79"/>
      <c r="C783" s="79"/>
      <c r="D783" s="79"/>
      <c r="E783" s="79"/>
      <c r="F783" s="79"/>
      <c r="G783" s="79"/>
      <c r="H783" s="79"/>
      <c r="I783" s="79"/>
      <c r="J783" s="87"/>
      <c r="K783" s="87"/>
      <c r="L783" s="87"/>
      <c r="M783" s="87"/>
      <c r="N783" s="79"/>
      <c r="O783" s="79"/>
      <c r="P783" s="79"/>
      <c r="Q783" s="79"/>
      <c r="R783" s="79"/>
      <c r="S783" s="79"/>
      <c r="T783" s="79"/>
      <c r="U783" s="79"/>
      <c r="V783" s="79"/>
      <c r="W783" s="79"/>
      <c r="X783" s="79"/>
      <c r="Y783" s="79"/>
      <c r="Z783" s="79"/>
      <c r="AA783" s="79"/>
      <c r="AB783" s="79"/>
    </row>
    <row r="784" spans="1:28" ht="15.8" customHeight="1" x14ac:dyDescent="0.15">
      <c r="A784" s="79"/>
      <c r="B784" s="79"/>
      <c r="C784" s="79"/>
      <c r="D784" s="79"/>
      <c r="E784" s="79"/>
      <c r="F784" s="79"/>
      <c r="G784" s="79"/>
      <c r="H784" s="79"/>
      <c r="I784" s="79"/>
      <c r="J784" s="87"/>
      <c r="K784" s="87"/>
      <c r="L784" s="87"/>
      <c r="M784" s="87"/>
      <c r="N784" s="79"/>
      <c r="O784" s="79"/>
      <c r="P784" s="79"/>
      <c r="Q784" s="79"/>
      <c r="R784" s="79"/>
      <c r="S784" s="79"/>
      <c r="T784" s="79"/>
      <c r="U784" s="79"/>
      <c r="V784" s="79"/>
      <c r="W784" s="79"/>
      <c r="X784" s="79"/>
      <c r="Y784" s="79"/>
      <c r="Z784" s="79"/>
      <c r="AA784" s="79"/>
      <c r="AB784" s="79"/>
    </row>
    <row r="785" spans="1:28" ht="15.8" customHeight="1" x14ac:dyDescent="0.15">
      <c r="A785" s="79"/>
      <c r="B785" s="79"/>
      <c r="C785" s="79"/>
      <c r="D785" s="79"/>
      <c r="E785" s="79"/>
      <c r="F785" s="79"/>
      <c r="G785" s="79"/>
      <c r="H785" s="79"/>
      <c r="I785" s="79"/>
      <c r="J785" s="87"/>
      <c r="K785" s="87"/>
      <c r="L785" s="87"/>
      <c r="M785" s="87"/>
      <c r="N785" s="79"/>
      <c r="O785" s="79"/>
      <c r="P785" s="79"/>
      <c r="Q785" s="79"/>
      <c r="R785" s="79"/>
      <c r="S785" s="79"/>
      <c r="T785" s="79"/>
      <c r="U785" s="79"/>
      <c r="V785" s="79"/>
      <c r="W785" s="79"/>
      <c r="X785" s="79"/>
      <c r="Y785" s="79"/>
      <c r="Z785" s="79"/>
      <c r="AA785" s="79"/>
      <c r="AB785" s="79"/>
    </row>
    <row r="786" spans="1:28" ht="15.8" customHeight="1" x14ac:dyDescent="0.15">
      <c r="A786" s="79"/>
      <c r="B786" s="79"/>
      <c r="C786" s="79"/>
      <c r="D786" s="79"/>
      <c r="E786" s="79"/>
      <c r="F786" s="79"/>
      <c r="G786" s="79"/>
      <c r="H786" s="79"/>
      <c r="I786" s="79"/>
      <c r="J786" s="87"/>
      <c r="K786" s="87"/>
      <c r="L786" s="87"/>
      <c r="M786" s="87"/>
      <c r="N786" s="79"/>
      <c r="O786" s="79"/>
      <c r="P786" s="79"/>
      <c r="Q786" s="79"/>
      <c r="R786" s="79"/>
      <c r="S786" s="79"/>
      <c r="T786" s="79"/>
      <c r="U786" s="79"/>
      <c r="V786" s="79"/>
      <c r="W786" s="79"/>
      <c r="X786" s="79"/>
      <c r="Y786" s="79"/>
      <c r="Z786" s="79"/>
      <c r="AA786" s="79"/>
      <c r="AB786" s="79"/>
    </row>
    <row r="787" spans="1:28" ht="15.8" customHeight="1" x14ac:dyDescent="0.15">
      <c r="A787" s="79"/>
      <c r="B787" s="79"/>
      <c r="C787" s="79"/>
      <c r="D787" s="79"/>
      <c r="E787" s="79"/>
      <c r="F787" s="79"/>
      <c r="G787" s="79"/>
      <c r="H787" s="79"/>
      <c r="I787" s="79"/>
      <c r="J787" s="87"/>
      <c r="K787" s="87"/>
      <c r="L787" s="87"/>
      <c r="M787" s="87"/>
      <c r="N787" s="79"/>
      <c r="O787" s="79"/>
      <c r="P787" s="79"/>
      <c r="Q787" s="79"/>
      <c r="R787" s="79"/>
      <c r="S787" s="79"/>
      <c r="T787" s="79"/>
      <c r="U787" s="79"/>
      <c r="V787" s="79"/>
      <c r="W787" s="79"/>
      <c r="X787" s="79"/>
      <c r="Y787" s="79"/>
      <c r="Z787" s="79"/>
      <c r="AA787" s="79"/>
      <c r="AB787" s="79"/>
    </row>
    <row r="788" spans="1:28" ht="15.8" customHeight="1" x14ac:dyDescent="0.15">
      <c r="A788" s="79"/>
      <c r="B788" s="79"/>
      <c r="C788" s="79"/>
      <c r="D788" s="79"/>
      <c r="E788" s="79"/>
      <c r="F788" s="79"/>
      <c r="G788" s="79"/>
      <c r="H788" s="79"/>
      <c r="I788" s="79"/>
      <c r="J788" s="87"/>
      <c r="K788" s="87"/>
      <c r="L788" s="87"/>
      <c r="M788" s="87"/>
      <c r="N788" s="79"/>
      <c r="O788" s="79"/>
      <c r="P788" s="79"/>
      <c r="Q788" s="79"/>
      <c r="R788" s="79"/>
      <c r="S788" s="79"/>
      <c r="T788" s="79"/>
      <c r="U788" s="79"/>
      <c r="V788" s="79"/>
      <c r="W788" s="79"/>
      <c r="X788" s="79"/>
      <c r="Y788" s="79"/>
      <c r="Z788" s="79"/>
      <c r="AA788" s="79"/>
      <c r="AB788" s="79"/>
    </row>
    <row r="789" spans="1:28" ht="15.8" customHeight="1" x14ac:dyDescent="0.15">
      <c r="A789" s="79"/>
      <c r="B789" s="79"/>
      <c r="C789" s="79"/>
      <c r="D789" s="79"/>
      <c r="E789" s="79"/>
      <c r="F789" s="79"/>
      <c r="G789" s="79"/>
      <c r="H789" s="79"/>
      <c r="I789" s="79"/>
      <c r="J789" s="87"/>
      <c r="K789" s="87"/>
      <c r="L789" s="87"/>
      <c r="M789" s="87"/>
      <c r="N789" s="79"/>
      <c r="O789" s="79"/>
      <c r="P789" s="79"/>
      <c r="Q789" s="79"/>
      <c r="R789" s="79"/>
      <c r="S789" s="79"/>
      <c r="T789" s="79"/>
      <c r="U789" s="79"/>
      <c r="V789" s="79"/>
      <c r="W789" s="79"/>
      <c r="X789" s="79"/>
      <c r="Y789" s="79"/>
      <c r="Z789" s="79"/>
      <c r="AA789" s="79"/>
      <c r="AB789" s="79"/>
    </row>
    <row r="790" spans="1:28" ht="15.8" customHeight="1" x14ac:dyDescent="0.15">
      <c r="A790" s="79"/>
      <c r="B790" s="79"/>
      <c r="C790" s="79"/>
      <c r="D790" s="79"/>
      <c r="E790" s="79"/>
      <c r="F790" s="79"/>
      <c r="G790" s="79"/>
      <c r="H790" s="79"/>
      <c r="I790" s="79"/>
      <c r="J790" s="87"/>
      <c r="K790" s="87"/>
      <c r="L790" s="87"/>
      <c r="M790" s="87"/>
      <c r="N790" s="79"/>
      <c r="O790" s="79"/>
      <c r="P790" s="79"/>
      <c r="Q790" s="79"/>
      <c r="R790" s="79"/>
      <c r="S790" s="79"/>
      <c r="T790" s="79"/>
      <c r="U790" s="79"/>
      <c r="V790" s="79"/>
      <c r="W790" s="79"/>
      <c r="X790" s="79"/>
      <c r="Y790" s="79"/>
      <c r="Z790" s="79"/>
      <c r="AA790" s="79"/>
      <c r="AB790" s="79"/>
    </row>
    <row r="791" spans="1:28" ht="15.8" customHeight="1" x14ac:dyDescent="0.15">
      <c r="A791" s="79"/>
      <c r="B791" s="79"/>
      <c r="C791" s="79"/>
      <c r="D791" s="79"/>
      <c r="E791" s="79"/>
      <c r="F791" s="79"/>
      <c r="G791" s="79"/>
      <c r="H791" s="79"/>
      <c r="I791" s="79"/>
      <c r="J791" s="87"/>
      <c r="K791" s="87"/>
      <c r="L791" s="87"/>
      <c r="M791" s="87"/>
      <c r="N791" s="79"/>
      <c r="O791" s="79"/>
      <c r="P791" s="79"/>
      <c r="Q791" s="79"/>
      <c r="R791" s="79"/>
      <c r="S791" s="79"/>
      <c r="T791" s="79"/>
      <c r="U791" s="79"/>
      <c r="V791" s="79"/>
      <c r="W791" s="79"/>
      <c r="X791" s="79"/>
      <c r="Y791" s="79"/>
      <c r="Z791" s="79"/>
      <c r="AA791" s="79"/>
      <c r="AB791" s="79"/>
    </row>
    <row r="792" spans="1:28" ht="15.8" customHeight="1" x14ac:dyDescent="0.15">
      <c r="A792" s="79"/>
      <c r="B792" s="79"/>
      <c r="C792" s="79"/>
      <c r="D792" s="79"/>
      <c r="E792" s="79"/>
      <c r="F792" s="79"/>
      <c r="G792" s="79"/>
      <c r="H792" s="79"/>
      <c r="I792" s="79"/>
      <c r="J792" s="87"/>
      <c r="K792" s="87"/>
      <c r="L792" s="87"/>
      <c r="M792" s="87"/>
      <c r="N792" s="79"/>
      <c r="O792" s="79"/>
      <c r="P792" s="79"/>
      <c r="Q792" s="79"/>
      <c r="R792" s="79"/>
      <c r="S792" s="79"/>
      <c r="T792" s="79"/>
      <c r="U792" s="79"/>
      <c r="V792" s="79"/>
      <c r="W792" s="79"/>
      <c r="X792" s="79"/>
      <c r="Y792" s="79"/>
      <c r="Z792" s="79"/>
      <c r="AA792" s="79"/>
      <c r="AB792" s="79"/>
    </row>
    <row r="793" spans="1:28" ht="15.8" customHeight="1" x14ac:dyDescent="0.15">
      <c r="A793" s="79"/>
      <c r="B793" s="79"/>
      <c r="C793" s="79"/>
      <c r="D793" s="79"/>
      <c r="E793" s="79"/>
      <c r="F793" s="79"/>
      <c r="G793" s="79"/>
      <c r="H793" s="79"/>
      <c r="I793" s="79"/>
      <c r="J793" s="87"/>
      <c r="K793" s="87"/>
      <c r="L793" s="87"/>
      <c r="M793" s="87"/>
      <c r="N793" s="79"/>
      <c r="O793" s="79"/>
      <c r="P793" s="79"/>
      <c r="Q793" s="79"/>
      <c r="R793" s="79"/>
      <c r="S793" s="79"/>
      <c r="T793" s="79"/>
      <c r="U793" s="79"/>
      <c r="V793" s="79"/>
      <c r="W793" s="79"/>
      <c r="X793" s="79"/>
      <c r="Y793" s="79"/>
      <c r="Z793" s="79"/>
      <c r="AA793" s="79"/>
      <c r="AB793" s="79"/>
    </row>
    <row r="794" spans="1:28" ht="15.8" customHeight="1" x14ac:dyDescent="0.15">
      <c r="A794" s="79"/>
      <c r="B794" s="79"/>
      <c r="C794" s="79"/>
      <c r="D794" s="79"/>
      <c r="E794" s="79"/>
      <c r="F794" s="79"/>
      <c r="G794" s="79"/>
      <c r="H794" s="79"/>
      <c r="I794" s="79"/>
      <c r="J794" s="87"/>
      <c r="K794" s="87"/>
      <c r="L794" s="87"/>
      <c r="M794" s="87"/>
      <c r="N794" s="79"/>
      <c r="O794" s="79"/>
      <c r="P794" s="79"/>
      <c r="Q794" s="79"/>
      <c r="R794" s="79"/>
      <c r="S794" s="79"/>
      <c r="T794" s="79"/>
      <c r="U794" s="79"/>
      <c r="V794" s="79"/>
      <c r="W794" s="79"/>
      <c r="X794" s="79"/>
      <c r="Y794" s="79"/>
      <c r="Z794" s="79"/>
      <c r="AA794" s="79"/>
      <c r="AB794" s="79"/>
    </row>
    <row r="795" spans="1:28" ht="15.8" customHeight="1" x14ac:dyDescent="0.15">
      <c r="A795" s="79"/>
      <c r="B795" s="79"/>
      <c r="C795" s="79"/>
      <c r="D795" s="79"/>
      <c r="E795" s="79"/>
      <c r="F795" s="79"/>
      <c r="G795" s="79"/>
      <c r="H795" s="79"/>
      <c r="I795" s="79"/>
      <c r="J795" s="87"/>
      <c r="K795" s="87"/>
      <c r="L795" s="87"/>
      <c r="M795" s="87"/>
      <c r="N795" s="79"/>
      <c r="O795" s="79"/>
      <c r="P795" s="79"/>
      <c r="Q795" s="79"/>
      <c r="R795" s="79"/>
      <c r="S795" s="79"/>
      <c r="T795" s="79"/>
      <c r="U795" s="79"/>
      <c r="V795" s="79"/>
      <c r="W795" s="79"/>
      <c r="X795" s="79"/>
      <c r="Y795" s="79"/>
      <c r="Z795" s="79"/>
      <c r="AA795" s="79"/>
      <c r="AB795" s="79"/>
    </row>
    <row r="796" spans="1:28" ht="15.8" customHeight="1" x14ac:dyDescent="0.15">
      <c r="A796" s="79"/>
      <c r="B796" s="79"/>
      <c r="C796" s="79"/>
      <c r="D796" s="79"/>
      <c r="E796" s="79"/>
      <c r="F796" s="79"/>
      <c r="G796" s="79"/>
      <c r="H796" s="79"/>
      <c r="I796" s="79"/>
      <c r="J796" s="87"/>
      <c r="K796" s="87"/>
      <c r="L796" s="87"/>
      <c r="M796" s="87"/>
      <c r="N796" s="79"/>
      <c r="O796" s="79"/>
      <c r="P796" s="79"/>
      <c r="Q796" s="79"/>
      <c r="R796" s="79"/>
      <c r="S796" s="79"/>
      <c r="T796" s="79"/>
      <c r="U796" s="79"/>
      <c r="V796" s="79"/>
      <c r="W796" s="79"/>
      <c r="X796" s="79"/>
      <c r="Y796" s="79"/>
      <c r="Z796" s="79"/>
      <c r="AA796" s="79"/>
      <c r="AB796" s="79"/>
    </row>
    <row r="797" spans="1:28" ht="15.8" customHeight="1" x14ac:dyDescent="0.15">
      <c r="A797" s="79"/>
      <c r="B797" s="79"/>
      <c r="C797" s="79"/>
      <c r="D797" s="79"/>
      <c r="E797" s="79"/>
      <c r="F797" s="79"/>
      <c r="G797" s="79"/>
      <c r="H797" s="79"/>
      <c r="I797" s="79"/>
      <c r="J797" s="87"/>
      <c r="K797" s="87"/>
      <c r="L797" s="87"/>
      <c r="M797" s="87"/>
      <c r="N797" s="79"/>
      <c r="O797" s="79"/>
      <c r="P797" s="79"/>
      <c r="Q797" s="79"/>
      <c r="R797" s="79"/>
      <c r="S797" s="79"/>
      <c r="T797" s="79"/>
      <c r="U797" s="79"/>
      <c r="V797" s="79"/>
      <c r="W797" s="79"/>
      <c r="X797" s="79"/>
      <c r="Y797" s="79"/>
      <c r="Z797" s="79"/>
      <c r="AA797" s="79"/>
      <c r="AB797" s="79"/>
    </row>
    <row r="798" spans="1:28" ht="15.8" customHeight="1" x14ac:dyDescent="0.15">
      <c r="A798" s="79"/>
      <c r="B798" s="79"/>
      <c r="C798" s="79"/>
      <c r="D798" s="79"/>
      <c r="E798" s="79"/>
      <c r="F798" s="79"/>
      <c r="G798" s="79"/>
      <c r="H798" s="79"/>
      <c r="I798" s="79"/>
      <c r="J798" s="87"/>
      <c r="K798" s="87"/>
      <c r="L798" s="87"/>
      <c r="M798" s="87"/>
      <c r="N798" s="79"/>
      <c r="O798" s="79"/>
      <c r="P798" s="79"/>
      <c r="Q798" s="79"/>
      <c r="R798" s="79"/>
      <c r="S798" s="79"/>
      <c r="T798" s="79"/>
      <c r="U798" s="79"/>
      <c r="V798" s="79"/>
      <c r="W798" s="79"/>
      <c r="X798" s="79"/>
      <c r="Y798" s="79"/>
      <c r="Z798" s="79"/>
      <c r="AA798" s="79"/>
      <c r="AB798" s="79"/>
    </row>
    <row r="799" spans="1:28" ht="15.8" customHeight="1" x14ac:dyDescent="0.15">
      <c r="A799" s="79"/>
      <c r="B799" s="79"/>
      <c r="C799" s="79"/>
      <c r="D799" s="79"/>
      <c r="E799" s="79"/>
      <c r="F799" s="79"/>
      <c r="G799" s="79"/>
      <c r="H799" s="79"/>
      <c r="I799" s="79"/>
      <c r="J799" s="87"/>
      <c r="K799" s="87"/>
      <c r="L799" s="87"/>
      <c r="M799" s="87"/>
      <c r="N799" s="79"/>
      <c r="O799" s="79"/>
      <c r="P799" s="79"/>
      <c r="Q799" s="79"/>
      <c r="R799" s="79"/>
      <c r="S799" s="79"/>
      <c r="T799" s="79"/>
      <c r="U799" s="79"/>
      <c r="V799" s="79"/>
      <c r="W799" s="79"/>
      <c r="X799" s="79"/>
      <c r="Y799" s="79"/>
      <c r="Z799" s="79"/>
      <c r="AA799" s="79"/>
      <c r="AB799" s="79"/>
    </row>
    <row r="800" spans="1:28" ht="15.8" customHeight="1" x14ac:dyDescent="0.15">
      <c r="A800" s="79"/>
      <c r="B800" s="79"/>
      <c r="C800" s="79"/>
      <c r="D800" s="79"/>
      <c r="E800" s="79"/>
      <c r="F800" s="79"/>
      <c r="G800" s="79"/>
      <c r="H800" s="79"/>
      <c r="I800" s="79"/>
      <c r="J800" s="87"/>
      <c r="K800" s="87"/>
      <c r="L800" s="87"/>
      <c r="M800" s="87"/>
      <c r="N800" s="79"/>
      <c r="O800" s="79"/>
      <c r="P800" s="79"/>
      <c r="Q800" s="79"/>
      <c r="R800" s="79"/>
      <c r="S800" s="79"/>
      <c r="T800" s="79"/>
      <c r="U800" s="79"/>
      <c r="V800" s="79"/>
      <c r="W800" s="79"/>
      <c r="X800" s="79"/>
      <c r="Y800" s="79"/>
      <c r="Z800" s="79"/>
      <c r="AA800" s="79"/>
      <c r="AB800" s="79"/>
    </row>
    <row r="801" spans="1:28" ht="15.8" customHeight="1" x14ac:dyDescent="0.15">
      <c r="A801" s="79"/>
      <c r="B801" s="79"/>
      <c r="C801" s="79"/>
      <c r="D801" s="79"/>
      <c r="E801" s="79"/>
      <c r="F801" s="79"/>
      <c r="G801" s="79"/>
      <c r="H801" s="79"/>
      <c r="I801" s="79"/>
      <c r="J801" s="87"/>
      <c r="K801" s="87"/>
      <c r="L801" s="87"/>
      <c r="M801" s="87"/>
      <c r="N801" s="79"/>
      <c r="O801" s="79"/>
      <c r="P801" s="79"/>
      <c r="Q801" s="79"/>
      <c r="R801" s="79"/>
      <c r="S801" s="79"/>
      <c r="T801" s="79"/>
      <c r="U801" s="79"/>
      <c r="V801" s="79"/>
      <c r="W801" s="79"/>
      <c r="X801" s="79"/>
      <c r="Y801" s="79"/>
      <c r="Z801" s="79"/>
      <c r="AA801" s="79"/>
      <c r="AB801" s="79"/>
    </row>
    <row r="802" spans="1:28" ht="15.8" customHeight="1" x14ac:dyDescent="0.15">
      <c r="A802" s="79"/>
      <c r="B802" s="79"/>
      <c r="C802" s="79"/>
      <c r="D802" s="79"/>
      <c r="E802" s="79"/>
      <c r="F802" s="79"/>
      <c r="G802" s="79"/>
      <c r="H802" s="79"/>
      <c r="I802" s="79"/>
      <c r="J802" s="87"/>
      <c r="K802" s="87"/>
      <c r="L802" s="87"/>
      <c r="M802" s="87"/>
      <c r="N802" s="79"/>
      <c r="O802" s="79"/>
      <c r="P802" s="79"/>
      <c r="Q802" s="79"/>
      <c r="R802" s="79"/>
      <c r="S802" s="79"/>
      <c r="T802" s="79"/>
      <c r="U802" s="79"/>
      <c r="V802" s="79"/>
      <c r="W802" s="79"/>
      <c r="X802" s="79"/>
      <c r="Y802" s="79"/>
      <c r="Z802" s="79"/>
      <c r="AA802" s="79"/>
      <c r="AB802" s="79"/>
    </row>
    <row r="803" spans="1:28" ht="15.8" customHeight="1" x14ac:dyDescent="0.15">
      <c r="A803" s="79"/>
      <c r="B803" s="79"/>
      <c r="C803" s="79"/>
      <c r="D803" s="79"/>
      <c r="E803" s="79"/>
      <c r="F803" s="79"/>
      <c r="G803" s="79"/>
      <c r="H803" s="79"/>
      <c r="I803" s="79"/>
      <c r="J803" s="87"/>
      <c r="K803" s="87"/>
      <c r="L803" s="87"/>
      <c r="M803" s="87"/>
      <c r="N803" s="79"/>
      <c r="O803" s="79"/>
      <c r="P803" s="79"/>
      <c r="Q803" s="79"/>
      <c r="R803" s="79"/>
      <c r="S803" s="79"/>
      <c r="T803" s="79"/>
      <c r="U803" s="79"/>
      <c r="V803" s="79"/>
      <c r="W803" s="79"/>
      <c r="X803" s="79"/>
      <c r="Y803" s="79"/>
      <c r="Z803" s="79"/>
      <c r="AA803" s="79"/>
      <c r="AB803" s="79"/>
    </row>
    <row r="804" spans="1:28" ht="15.8" customHeight="1" x14ac:dyDescent="0.15">
      <c r="A804" s="79"/>
      <c r="B804" s="79"/>
      <c r="C804" s="79"/>
      <c r="D804" s="79"/>
      <c r="E804" s="79"/>
      <c r="F804" s="79"/>
      <c r="G804" s="79"/>
      <c r="H804" s="79"/>
      <c r="I804" s="79"/>
      <c r="J804" s="87"/>
      <c r="K804" s="87"/>
      <c r="L804" s="87"/>
      <c r="M804" s="87"/>
      <c r="N804" s="79"/>
      <c r="O804" s="79"/>
      <c r="P804" s="79"/>
      <c r="Q804" s="79"/>
      <c r="R804" s="79"/>
      <c r="S804" s="79"/>
      <c r="T804" s="79"/>
      <c r="U804" s="79"/>
      <c r="V804" s="79"/>
      <c r="W804" s="79"/>
      <c r="X804" s="79"/>
      <c r="Y804" s="79"/>
      <c r="Z804" s="79"/>
      <c r="AA804" s="79"/>
      <c r="AB804" s="79"/>
    </row>
    <row r="805" spans="1:28" ht="15.8" customHeight="1" x14ac:dyDescent="0.15">
      <c r="A805" s="79"/>
      <c r="B805" s="79"/>
      <c r="C805" s="79"/>
      <c r="D805" s="79"/>
      <c r="E805" s="79"/>
      <c r="F805" s="79"/>
      <c r="G805" s="79"/>
      <c r="H805" s="79"/>
      <c r="I805" s="79"/>
      <c r="J805" s="87"/>
      <c r="K805" s="87"/>
      <c r="L805" s="87"/>
      <c r="M805" s="87"/>
      <c r="N805" s="79"/>
      <c r="O805" s="79"/>
      <c r="P805" s="79"/>
      <c r="Q805" s="79"/>
      <c r="R805" s="79"/>
      <c r="S805" s="79"/>
      <c r="T805" s="79"/>
      <c r="U805" s="79"/>
      <c r="V805" s="79"/>
      <c r="W805" s="79"/>
      <c r="X805" s="79"/>
      <c r="Y805" s="79"/>
      <c r="Z805" s="79"/>
      <c r="AA805" s="79"/>
      <c r="AB805" s="79"/>
    </row>
    <row r="806" spans="1:28" ht="15.8" customHeight="1" x14ac:dyDescent="0.15">
      <c r="A806" s="79"/>
      <c r="B806" s="79"/>
      <c r="C806" s="79"/>
      <c r="D806" s="79"/>
      <c r="E806" s="79"/>
      <c r="F806" s="79"/>
      <c r="G806" s="79"/>
      <c r="H806" s="79"/>
      <c r="I806" s="79"/>
      <c r="J806" s="87"/>
      <c r="K806" s="87"/>
      <c r="L806" s="87"/>
      <c r="M806" s="87"/>
      <c r="N806" s="79"/>
      <c r="O806" s="79"/>
      <c r="P806" s="79"/>
      <c r="Q806" s="79"/>
      <c r="R806" s="79"/>
      <c r="S806" s="79"/>
      <c r="T806" s="79"/>
      <c r="U806" s="79"/>
      <c r="V806" s="79"/>
      <c r="W806" s="79"/>
      <c r="X806" s="79"/>
      <c r="Y806" s="79"/>
      <c r="Z806" s="79"/>
      <c r="AA806" s="79"/>
      <c r="AB806" s="79"/>
    </row>
    <row r="807" spans="1:28" ht="15.8" customHeight="1" x14ac:dyDescent="0.15">
      <c r="A807" s="79"/>
      <c r="B807" s="79"/>
      <c r="C807" s="79"/>
      <c r="D807" s="79"/>
      <c r="E807" s="79"/>
      <c r="F807" s="79"/>
      <c r="G807" s="79"/>
      <c r="H807" s="79"/>
      <c r="I807" s="79"/>
      <c r="J807" s="87"/>
      <c r="K807" s="87"/>
      <c r="L807" s="87"/>
      <c r="M807" s="87"/>
      <c r="N807" s="79"/>
      <c r="O807" s="79"/>
      <c r="P807" s="79"/>
      <c r="Q807" s="79"/>
      <c r="R807" s="79"/>
      <c r="S807" s="79"/>
      <c r="T807" s="79"/>
      <c r="U807" s="79"/>
      <c r="V807" s="79"/>
      <c r="W807" s="79"/>
      <c r="X807" s="79"/>
      <c r="Y807" s="79"/>
      <c r="Z807" s="79"/>
      <c r="AA807" s="79"/>
      <c r="AB807" s="79"/>
    </row>
    <row r="808" spans="1:28" ht="15.8" customHeight="1" x14ac:dyDescent="0.15">
      <c r="A808" s="79"/>
      <c r="B808" s="79"/>
      <c r="C808" s="79"/>
      <c r="D808" s="79"/>
      <c r="E808" s="79"/>
      <c r="F808" s="79"/>
      <c r="G808" s="79"/>
      <c r="H808" s="79"/>
      <c r="I808" s="79"/>
      <c r="J808" s="87"/>
      <c r="K808" s="87"/>
      <c r="L808" s="87"/>
      <c r="M808" s="87"/>
      <c r="N808" s="79"/>
      <c r="O808" s="79"/>
      <c r="P808" s="79"/>
      <c r="Q808" s="79"/>
      <c r="R808" s="79"/>
      <c r="S808" s="79"/>
      <c r="T808" s="79"/>
      <c r="U808" s="79"/>
      <c r="V808" s="79"/>
      <c r="W808" s="79"/>
      <c r="X808" s="79"/>
      <c r="Y808" s="79"/>
      <c r="Z808" s="79"/>
      <c r="AA808" s="79"/>
      <c r="AB808" s="79"/>
    </row>
    <row r="809" spans="1:28" ht="15.8" customHeight="1" x14ac:dyDescent="0.15">
      <c r="A809" s="79"/>
      <c r="B809" s="79"/>
      <c r="C809" s="79"/>
      <c r="D809" s="79"/>
      <c r="E809" s="79"/>
      <c r="F809" s="79"/>
      <c r="G809" s="79"/>
      <c r="H809" s="79"/>
      <c r="I809" s="79"/>
      <c r="J809" s="87"/>
      <c r="K809" s="87"/>
      <c r="L809" s="87"/>
      <c r="M809" s="87"/>
      <c r="N809" s="79"/>
      <c r="O809" s="79"/>
      <c r="P809" s="79"/>
      <c r="Q809" s="79"/>
      <c r="R809" s="79"/>
      <c r="S809" s="79"/>
      <c r="T809" s="79"/>
      <c r="U809" s="79"/>
      <c r="V809" s="79"/>
      <c r="W809" s="79"/>
      <c r="X809" s="79"/>
      <c r="Y809" s="79"/>
      <c r="Z809" s="79"/>
      <c r="AA809" s="79"/>
      <c r="AB809" s="79"/>
    </row>
    <row r="810" spans="1:28" ht="15.8" customHeight="1" x14ac:dyDescent="0.15">
      <c r="A810" s="79"/>
      <c r="B810" s="79"/>
      <c r="C810" s="79"/>
      <c r="D810" s="79"/>
      <c r="E810" s="79"/>
      <c r="F810" s="79"/>
      <c r="G810" s="79"/>
      <c r="H810" s="79"/>
      <c r="I810" s="79"/>
      <c r="J810" s="87"/>
      <c r="K810" s="87"/>
      <c r="L810" s="87"/>
      <c r="M810" s="87"/>
      <c r="N810" s="79"/>
      <c r="O810" s="79"/>
      <c r="P810" s="79"/>
      <c r="Q810" s="79"/>
      <c r="R810" s="79"/>
      <c r="S810" s="79"/>
      <c r="T810" s="79"/>
      <c r="U810" s="79"/>
      <c r="V810" s="79"/>
      <c r="W810" s="79"/>
      <c r="X810" s="79"/>
      <c r="Y810" s="79"/>
      <c r="Z810" s="79"/>
      <c r="AA810" s="79"/>
      <c r="AB810" s="79"/>
    </row>
    <row r="811" spans="1:28" ht="15.8" customHeight="1" x14ac:dyDescent="0.15">
      <c r="A811" s="79"/>
      <c r="B811" s="79"/>
      <c r="C811" s="79"/>
      <c r="D811" s="79"/>
      <c r="E811" s="79"/>
      <c r="F811" s="79"/>
      <c r="G811" s="79"/>
      <c r="H811" s="79"/>
      <c r="I811" s="79"/>
      <c r="J811" s="87"/>
      <c r="K811" s="87"/>
      <c r="L811" s="87"/>
      <c r="M811" s="87"/>
      <c r="N811" s="79"/>
      <c r="O811" s="79"/>
      <c r="P811" s="79"/>
      <c r="Q811" s="79"/>
      <c r="R811" s="79"/>
      <c r="S811" s="79"/>
      <c r="T811" s="79"/>
      <c r="U811" s="79"/>
      <c r="V811" s="79"/>
      <c r="W811" s="79"/>
      <c r="X811" s="79"/>
      <c r="Y811" s="79"/>
      <c r="Z811" s="79"/>
      <c r="AA811" s="79"/>
      <c r="AB811" s="79"/>
    </row>
    <row r="812" spans="1:28" ht="15.8" customHeight="1" x14ac:dyDescent="0.15">
      <c r="A812" s="79"/>
      <c r="B812" s="79"/>
      <c r="C812" s="79"/>
      <c r="D812" s="79"/>
      <c r="E812" s="79"/>
      <c r="F812" s="79"/>
      <c r="G812" s="79"/>
      <c r="H812" s="79"/>
      <c r="I812" s="79"/>
      <c r="J812" s="87"/>
      <c r="K812" s="87"/>
      <c r="L812" s="87"/>
      <c r="M812" s="87"/>
      <c r="N812" s="79"/>
      <c r="O812" s="79"/>
      <c r="P812" s="79"/>
      <c r="Q812" s="79"/>
      <c r="R812" s="79"/>
      <c r="S812" s="79"/>
      <c r="T812" s="79"/>
      <c r="U812" s="79"/>
      <c r="V812" s="79"/>
      <c r="W812" s="79"/>
      <c r="X812" s="79"/>
      <c r="Y812" s="79"/>
      <c r="Z812" s="79"/>
      <c r="AA812" s="79"/>
      <c r="AB812" s="79"/>
    </row>
    <row r="813" spans="1:28" ht="15.8" customHeight="1" x14ac:dyDescent="0.15">
      <c r="A813" s="79"/>
      <c r="B813" s="79"/>
      <c r="C813" s="79"/>
      <c r="D813" s="79"/>
      <c r="E813" s="79"/>
      <c r="F813" s="79"/>
      <c r="G813" s="79"/>
      <c r="H813" s="79"/>
      <c r="I813" s="79"/>
      <c r="J813" s="87"/>
      <c r="K813" s="87"/>
      <c r="L813" s="87"/>
      <c r="M813" s="87"/>
      <c r="N813" s="79"/>
      <c r="O813" s="79"/>
      <c r="P813" s="79"/>
      <c r="Q813" s="79"/>
      <c r="R813" s="79"/>
      <c r="S813" s="79"/>
      <c r="T813" s="79"/>
      <c r="U813" s="79"/>
      <c r="V813" s="79"/>
      <c r="W813" s="79"/>
      <c r="X813" s="79"/>
      <c r="Y813" s="79"/>
      <c r="Z813" s="79"/>
      <c r="AA813" s="79"/>
      <c r="AB813" s="79"/>
    </row>
    <row r="814" spans="1:28" ht="15.8" customHeight="1" x14ac:dyDescent="0.15">
      <c r="A814" s="79"/>
      <c r="B814" s="79"/>
      <c r="C814" s="79"/>
      <c r="D814" s="79"/>
      <c r="E814" s="79"/>
      <c r="F814" s="79"/>
      <c r="G814" s="79"/>
      <c r="H814" s="79"/>
      <c r="I814" s="79"/>
      <c r="J814" s="87"/>
      <c r="K814" s="87"/>
      <c r="L814" s="87"/>
      <c r="M814" s="87"/>
      <c r="N814" s="79"/>
      <c r="O814" s="79"/>
      <c r="P814" s="79"/>
      <c r="Q814" s="79"/>
      <c r="R814" s="79"/>
      <c r="S814" s="79"/>
      <c r="T814" s="79"/>
      <c r="U814" s="79"/>
      <c r="V814" s="79"/>
      <c r="W814" s="79"/>
      <c r="X814" s="79"/>
      <c r="Y814" s="79"/>
      <c r="Z814" s="79"/>
      <c r="AA814" s="79"/>
      <c r="AB814" s="79"/>
    </row>
    <row r="815" spans="1:28" ht="15.8" customHeight="1" x14ac:dyDescent="0.15">
      <c r="A815" s="79"/>
      <c r="B815" s="79"/>
      <c r="C815" s="79"/>
      <c r="D815" s="79"/>
      <c r="E815" s="79"/>
      <c r="F815" s="79"/>
      <c r="G815" s="79"/>
      <c r="H815" s="79"/>
      <c r="I815" s="79"/>
      <c r="J815" s="87"/>
      <c r="K815" s="87"/>
      <c r="L815" s="87"/>
      <c r="M815" s="87"/>
      <c r="N815" s="79"/>
      <c r="O815" s="79"/>
      <c r="P815" s="79"/>
      <c r="Q815" s="79"/>
      <c r="R815" s="79"/>
      <c r="S815" s="79"/>
      <c r="T815" s="79"/>
      <c r="U815" s="79"/>
      <c r="V815" s="79"/>
      <c r="W815" s="79"/>
      <c r="X815" s="79"/>
      <c r="Y815" s="79"/>
      <c r="Z815" s="79"/>
      <c r="AA815" s="79"/>
      <c r="AB815" s="79"/>
    </row>
    <row r="816" spans="1:28" ht="15.8" customHeight="1" x14ac:dyDescent="0.15">
      <c r="A816" s="79"/>
      <c r="B816" s="79"/>
      <c r="C816" s="79"/>
      <c r="D816" s="79"/>
      <c r="E816" s="79"/>
      <c r="F816" s="79"/>
      <c r="G816" s="79"/>
      <c r="H816" s="79"/>
      <c r="I816" s="79"/>
      <c r="J816" s="87"/>
      <c r="K816" s="87"/>
      <c r="L816" s="87"/>
      <c r="M816" s="87"/>
      <c r="N816" s="79"/>
      <c r="O816" s="79"/>
      <c r="P816" s="79"/>
      <c r="Q816" s="79"/>
      <c r="R816" s="79"/>
      <c r="S816" s="79"/>
      <c r="T816" s="79"/>
      <c r="U816" s="79"/>
      <c r="V816" s="79"/>
      <c r="W816" s="79"/>
      <c r="X816" s="79"/>
      <c r="Y816" s="79"/>
      <c r="Z816" s="79"/>
      <c r="AA816" s="79"/>
      <c r="AB816" s="79"/>
    </row>
    <row r="817" spans="1:28" ht="15.8" customHeight="1" x14ac:dyDescent="0.15">
      <c r="A817" s="79"/>
      <c r="B817" s="79"/>
      <c r="C817" s="79"/>
      <c r="D817" s="79"/>
      <c r="E817" s="79"/>
      <c r="F817" s="79"/>
      <c r="G817" s="79"/>
      <c r="H817" s="79"/>
      <c r="I817" s="79"/>
      <c r="J817" s="87"/>
      <c r="K817" s="87"/>
      <c r="L817" s="87"/>
      <c r="M817" s="87"/>
      <c r="N817" s="79"/>
      <c r="O817" s="79"/>
      <c r="P817" s="79"/>
      <c r="Q817" s="79"/>
      <c r="R817" s="79"/>
      <c r="S817" s="79"/>
      <c r="T817" s="79"/>
      <c r="U817" s="79"/>
      <c r="V817" s="79"/>
      <c r="W817" s="79"/>
      <c r="X817" s="79"/>
      <c r="Y817" s="79"/>
      <c r="Z817" s="79"/>
      <c r="AA817" s="79"/>
      <c r="AB817" s="79"/>
    </row>
    <row r="818" spans="1:28" ht="15.8" customHeight="1" x14ac:dyDescent="0.15">
      <c r="A818" s="79"/>
      <c r="B818" s="79"/>
      <c r="C818" s="79"/>
      <c r="D818" s="79"/>
      <c r="E818" s="79"/>
      <c r="F818" s="79"/>
      <c r="G818" s="79"/>
      <c r="H818" s="79"/>
      <c r="I818" s="79"/>
      <c r="J818" s="87"/>
      <c r="K818" s="87"/>
      <c r="L818" s="87"/>
      <c r="M818" s="87"/>
      <c r="N818" s="79"/>
      <c r="O818" s="79"/>
      <c r="P818" s="79"/>
      <c r="Q818" s="79"/>
      <c r="R818" s="79"/>
      <c r="S818" s="79"/>
      <c r="T818" s="79"/>
      <c r="U818" s="79"/>
      <c r="V818" s="79"/>
      <c r="W818" s="79"/>
      <c r="X818" s="79"/>
      <c r="Y818" s="79"/>
      <c r="Z818" s="79"/>
      <c r="AA818" s="79"/>
      <c r="AB818" s="79"/>
    </row>
    <row r="819" spans="1:28" ht="15.8" customHeight="1" x14ac:dyDescent="0.15">
      <c r="A819" s="79"/>
      <c r="B819" s="79"/>
      <c r="C819" s="79"/>
      <c r="D819" s="79"/>
      <c r="E819" s="79"/>
      <c r="F819" s="79"/>
      <c r="G819" s="79"/>
      <c r="H819" s="79"/>
      <c r="I819" s="79"/>
      <c r="J819" s="87"/>
      <c r="K819" s="87"/>
      <c r="L819" s="87"/>
      <c r="M819" s="87"/>
      <c r="N819" s="79"/>
      <c r="O819" s="79"/>
      <c r="P819" s="79"/>
      <c r="Q819" s="79"/>
      <c r="R819" s="79"/>
      <c r="S819" s="79"/>
      <c r="T819" s="79"/>
      <c r="U819" s="79"/>
      <c r="V819" s="79"/>
      <c r="W819" s="79"/>
      <c r="X819" s="79"/>
      <c r="Y819" s="79"/>
      <c r="Z819" s="79"/>
      <c r="AA819" s="79"/>
      <c r="AB819" s="79"/>
    </row>
    <row r="820" spans="1:28" ht="15.8" customHeight="1" x14ac:dyDescent="0.15">
      <c r="A820" s="79"/>
      <c r="B820" s="79"/>
      <c r="C820" s="79"/>
      <c r="D820" s="79"/>
      <c r="E820" s="79"/>
      <c r="F820" s="79"/>
      <c r="G820" s="79"/>
      <c r="H820" s="79"/>
      <c r="I820" s="79"/>
      <c r="J820" s="87"/>
      <c r="K820" s="87"/>
      <c r="L820" s="87"/>
      <c r="M820" s="87"/>
      <c r="N820" s="79"/>
      <c r="O820" s="79"/>
      <c r="P820" s="79"/>
      <c r="Q820" s="79"/>
      <c r="R820" s="79"/>
      <c r="S820" s="79"/>
      <c r="T820" s="79"/>
      <c r="U820" s="79"/>
      <c r="V820" s="79"/>
      <c r="W820" s="79"/>
      <c r="X820" s="79"/>
      <c r="Y820" s="79"/>
      <c r="Z820" s="79"/>
      <c r="AA820" s="79"/>
      <c r="AB820" s="79"/>
    </row>
    <row r="821" spans="1:28" ht="15.8" customHeight="1" x14ac:dyDescent="0.15">
      <c r="A821" s="79"/>
      <c r="B821" s="79"/>
      <c r="C821" s="79"/>
      <c r="D821" s="79"/>
      <c r="E821" s="79"/>
      <c r="F821" s="79"/>
      <c r="G821" s="79"/>
      <c r="H821" s="79"/>
      <c r="I821" s="79"/>
      <c r="J821" s="87"/>
      <c r="K821" s="87"/>
      <c r="L821" s="87"/>
      <c r="M821" s="87"/>
      <c r="N821" s="79"/>
      <c r="O821" s="79"/>
      <c r="P821" s="79"/>
      <c r="Q821" s="79"/>
      <c r="R821" s="79"/>
      <c r="S821" s="79"/>
      <c r="T821" s="79"/>
      <c r="U821" s="79"/>
      <c r="V821" s="79"/>
      <c r="W821" s="79"/>
      <c r="X821" s="79"/>
      <c r="Y821" s="79"/>
      <c r="Z821" s="79"/>
      <c r="AA821" s="79"/>
      <c r="AB821" s="79"/>
    </row>
    <row r="822" spans="1:28" ht="15.8" customHeight="1" x14ac:dyDescent="0.15">
      <c r="A822" s="79"/>
      <c r="B822" s="79"/>
      <c r="C822" s="79"/>
      <c r="D822" s="79"/>
      <c r="E822" s="79"/>
      <c r="F822" s="79"/>
      <c r="G822" s="79"/>
      <c r="H822" s="79"/>
      <c r="I822" s="79"/>
      <c r="J822" s="87"/>
      <c r="K822" s="87"/>
      <c r="L822" s="87"/>
      <c r="M822" s="87"/>
      <c r="N822" s="79"/>
      <c r="O822" s="79"/>
      <c r="P822" s="79"/>
      <c r="Q822" s="79"/>
      <c r="R822" s="79"/>
      <c r="S822" s="79"/>
      <c r="T822" s="79"/>
      <c r="U822" s="79"/>
      <c r="V822" s="79"/>
      <c r="W822" s="79"/>
      <c r="X822" s="79"/>
      <c r="Y822" s="79"/>
      <c r="Z822" s="79"/>
      <c r="AA822" s="79"/>
      <c r="AB822" s="79"/>
    </row>
    <row r="823" spans="1:28" ht="15.8" customHeight="1" x14ac:dyDescent="0.15">
      <c r="A823" s="79"/>
      <c r="B823" s="79"/>
      <c r="C823" s="79"/>
      <c r="D823" s="79"/>
      <c r="E823" s="79"/>
      <c r="F823" s="79"/>
      <c r="G823" s="79"/>
      <c r="H823" s="79"/>
      <c r="I823" s="79"/>
      <c r="J823" s="87"/>
      <c r="K823" s="87"/>
      <c r="L823" s="87"/>
      <c r="M823" s="87"/>
      <c r="N823" s="79"/>
      <c r="O823" s="79"/>
      <c r="P823" s="79"/>
      <c r="Q823" s="79"/>
      <c r="R823" s="79"/>
      <c r="S823" s="79"/>
      <c r="T823" s="79"/>
      <c r="U823" s="79"/>
      <c r="V823" s="79"/>
      <c r="W823" s="79"/>
      <c r="X823" s="79"/>
      <c r="Y823" s="79"/>
      <c r="Z823" s="79"/>
      <c r="AA823" s="79"/>
      <c r="AB823" s="79"/>
    </row>
    <row r="824" spans="1:28" ht="15.8" customHeight="1" x14ac:dyDescent="0.15">
      <c r="A824" s="79"/>
      <c r="B824" s="79"/>
      <c r="C824" s="79"/>
      <c r="D824" s="79"/>
      <c r="E824" s="79"/>
      <c r="F824" s="79"/>
      <c r="G824" s="79"/>
      <c r="H824" s="79"/>
      <c r="I824" s="79"/>
      <c r="J824" s="87"/>
      <c r="K824" s="87"/>
      <c r="L824" s="87"/>
      <c r="M824" s="87"/>
      <c r="N824" s="79"/>
      <c r="O824" s="79"/>
      <c r="P824" s="79"/>
      <c r="Q824" s="79"/>
      <c r="R824" s="79"/>
      <c r="S824" s="79"/>
      <c r="T824" s="79"/>
      <c r="U824" s="79"/>
      <c r="V824" s="79"/>
      <c r="W824" s="79"/>
      <c r="X824" s="79"/>
      <c r="Y824" s="79"/>
      <c r="Z824" s="79"/>
      <c r="AA824" s="79"/>
      <c r="AB824" s="79"/>
    </row>
    <row r="825" spans="1:28" ht="15.8" customHeight="1" x14ac:dyDescent="0.15">
      <c r="A825" s="79"/>
      <c r="B825" s="79"/>
      <c r="C825" s="79"/>
      <c r="D825" s="79"/>
      <c r="E825" s="79"/>
      <c r="F825" s="79"/>
      <c r="G825" s="79"/>
      <c r="H825" s="79"/>
      <c r="I825" s="79"/>
      <c r="J825" s="87"/>
      <c r="K825" s="87"/>
      <c r="L825" s="87"/>
      <c r="M825" s="87"/>
      <c r="N825" s="79"/>
      <c r="O825" s="79"/>
      <c r="P825" s="79"/>
      <c r="Q825" s="79"/>
      <c r="R825" s="79"/>
      <c r="S825" s="79"/>
      <c r="T825" s="79"/>
      <c r="U825" s="79"/>
      <c r="V825" s="79"/>
      <c r="W825" s="79"/>
      <c r="X825" s="79"/>
      <c r="Y825" s="79"/>
      <c r="Z825" s="79"/>
      <c r="AA825" s="79"/>
      <c r="AB825" s="79"/>
    </row>
    <row r="826" spans="1:28" ht="15.8" customHeight="1" x14ac:dyDescent="0.15">
      <c r="A826" s="79"/>
      <c r="B826" s="79"/>
      <c r="C826" s="79"/>
      <c r="D826" s="79"/>
      <c r="E826" s="79"/>
      <c r="F826" s="79"/>
      <c r="G826" s="79"/>
      <c r="H826" s="79"/>
      <c r="I826" s="79"/>
      <c r="J826" s="87"/>
      <c r="K826" s="87"/>
      <c r="L826" s="87"/>
      <c r="M826" s="87"/>
      <c r="N826" s="79"/>
      <c r="O826" s="79"/>
      <c r="P826" s="79"/>
      <c r="Q826" s="79"/>
      <c r="R826" s="79"/>
      <c r="S826" s="79"/>
      <c r="T826" s="79"/>
      <c r="U826" s="79"/>
      <c r="V826" s="79"/>
      <c r="W826" s="79"/>
      <c r="X826" s="79"/>
      <c r="Y826" s="79"/>
      <c r="Z826" s="79"/>
      <c r="AA826" s="79"/>
      <c r="AB826" s="79"/>
    </row>
    <row r="827" spans="1:28" ht="15.8" customHeight="1" x14ac:dyDescent="0.15">
      <c r="A827" s="79"/>
      <c r="B827" s="79"/>
      <c r="C827" s="79"/>
      <c r="D827" s="79"/>
      <c r="E827" s="79"/>
      <c r="F827" s="79"/>
      <c r="G827" s="79"/>
      <c r="H827" s="79"/>
      <c r="I827" s="79"/>
      <c r="J827" s="87"/>
      <c r="K827" s="87"/>
      <c r="L827" s="87"/>
      <c r="M827" s="87"/>
      <c r="N827" s="79"/>
      <c r="O827" s="79"/>
      <c r="P827" s="79"/>
      <c r="Q827" s="79"/>
      <c r="R827" s="79"/>
      <c r="S827" s="79"/>
      <c r="T827" s="79"/>
      <c r="U827" s="79"/>
      <c r="V827" s="79"/>
      <c r="W827" s="79"/>
      <c r="X827" s="79"/>
      <c r="Y827" s="79"/>
      <c r="Z827" s="79"/>
      <c r="AA827" s="79"/>
      <c r="AB827" s="79"/>
    </row>
    <row r="828" spans="1:28" ht="15.8" customHeight="1" x14ac:dyDescent="0.15">
      <c r="A828" s="79"/>
      <c r="B828" s="79"/>
      <c r="C828" s="79"/>
      <c r="D828" s="79"/>
      <c r="E828" s="79"/>
      <c r="F828" s="79"/>
      <c r="G828" s="79"/>
      <c r="H828" s="79"/>
      <c r="I828" s="79"/>
      <c r="J828" s="87"/>
      <c r="K828" s="87"/>
      <c r="L828" s="87"/>
      <c r="M828" s="87"/>
      <c r="N828" s="79"/>
      <c r="O828" s="79"/>
      <c r="P828" s="79"/>
      <c r="Q828" s="79"/>
      <c r="R828" s="79"/>
      <c r="S828" s="79"/>
      <c r="T828" s="79"/>
      <c r="U828" s="79"/>
      <c r="V828" s="79"/>
      <c r="W828" s="79"/>
      <c r="X828" s="79"/>
      <c r="Y828" s="79"/>
      <c r="Z828" s="79"/>
      <c r="AA828" s="79"/>
      <c r="AB828" s="79"/>
    </row>
    <row r="829" spans="1:28" ht="15.8" customHeight="1" x14ac:dyDescent="0.15">
      <c r="A829" s="79"/>
      <c r="B829" s="79"/>
      <c r="C829" s="79"/>
      <c r="D829" s="79"/>
      <c r="E829" s="79"/>
      <c r="F829" s="79"/>
      <c r="G829" s="79"/>
      <c r="H829" s="79"/>
      <c r="I829" s="79"/>
      <c r="J829" s="87"/>
      <c r="K829" s="87"/>
      <c r="L829" s="87"/>
      <c r="M829" s="87"/>
      <c r="N829" s="79"/>
      <c r="O829" s="79"/>
      <c r="P829" s="79"/>
      <c r="Q829" s="79"/>
      <c r="R829" s="79"/>
      <c r="S829" s="79"/>
      <c r="T829" s="79"/>
      <c r="U829" s="79"/>
      <c r="V829" s="79"/>
      <c r="W829" s="79"/>
      <c r="X829" s="79"/>
      <c r="Y829" s="79"/>
      <c r="Z829" s="79"/>
      <c r="AA829" s="79"/>
      <c r="AB829" s="79"/>
    </row>
    <row r="830" spans="1:28" ht="15.8" customHeight="1" x14ac:dyDescent="0.15">
      <c r="A830" s="79"/>
      <c r="B830" s="79"/>
      <c r="C830" s="79"/>
      <c r="D830" s="79"/>
      <c r="E830" s="79"/>
      <c r="F830" s="79"/>
      <c r="G830" s="79"/>
      <c r="H830" s="79"/>
      <c r="I830" s="79"/>
      <c r="J830" s="87"/>
      <c r="K830" s="87"/>
      <c r="L830" s="87"/>
      <c r="M830" s="87"/>
      <c r="N830" s="79"/>
      <c r="O830" s="79"/>
      <c r="P830" s="79"/>
      <c r="Q830" s="79"/>
      <c r="R830" s="79"/>
      <c r="S830" s="79"/>
      <c r="T830" s="79"/>
      <c r="U830" s="79"/>
      <c r="V830" s="79"/>
      <c r="W830" s="79"/>
      <c r="X830" s="79"/>
      <c r="Y830" s="79"/>
      <c r="Z830" s="79"/>
      <c r="AA830" s="79"/>
      <c r="AB830" s="79"/>
    </row>
    <row r="831" spans="1:28" ht="15.8" customHeight="1" x14ac:dyDescent="0.15">
      <c r="A831" s="79"/>
      <c r="B831" s="79"/>
      <c r="C831" s="79"/>
      <c r="D831" s="79"/>
      <c r="E831" s="79"/>
      <c r="F831" s="79"/>
      <c r="G831" s="79"/>
      <c r="H831" s="79"/>
      <c r="I831" s="79"/>
      <c r="J831" s="87"/>
      <c r="K831" s="87"/>
      <c r="L831" s="87"/>
      <c r="M831" s="87"/>
      <c r="N831" s="79"/>
      <c r="O831" s="79"/>
      <c r="P831" s="79"/>
      <c r="Q831" s="79"/>
      <c r="R831" s="79"/>
      <c r="S831" s="79"/>
      <c r="T831" s="79"/>
      <c r="U831" s="79"/>
      <c r="V831" s="79"/>
      <c r="W831" s="79"/>
      <c r="X831" s="79"/>
      <c r="Y831" s="79"/>
      <c r="Z831" s="79"/>
      <c r="AA831" s="79"/>
      <c r="AB831" s="79"/>
    </row>
    <row r="832" spans="1:28" ht="15.8" customHeight="1" x14ac:dyDescent="0.15">
      <c r="A832" s="79"/>
      <c r="B832" s="79"/>
      <c r="C832" s="79"/>
      <c r="D832" s="79"/>
      <c r="E832" s="79"/>
      <c r="F832" s="79"/>
      <c r="G832" s="79"/>
      <c r="H832" s="79"/>
      <c r="I832" s="79"/>
      <c r="J832" s="87"/>
      <c r="K832" s="87"/>
      <c r="L832" s="87"/>
      <c r="M832" s="87"/>
      <c r="N832" s="79"/>
      <c r="O832" s="79"/>
      <c r="P832" s="79"/>
      <c r="Q832" s="79"/>
      <c r="R832" s="79"/>
      <c r="S832" s="79"/>
      <c r="T832" s="79"/>
      <c r="U832" s="79"/>
      <c r="V832" s="79"/>
      <c r="W832" s="79"/>
      <c r="X832" s="79"/>
      <c r="Y832" s="79"/>
      <c r="Z832" s="79"/>
      <c r="AA832" s="79"/>
      <c r="AB832" s="79"/>
    </row>
    <row r="833" spans="1:28" ht="15.8" customHeight="1" x14ac:dyDescent="0.15">
      <c r="A833" s="79"/>
      <c r="B833" s="79"/>
      <c r="C833" s="79"/>
      <c r="D833" s="79"/>
      <c r="E833" s="79"/>
      <c r="F833" s="79"/>
      <c r="G833" s="79"/>
      <c r="H833" s="79"/>
      <c r="I833" s="79"/>
      <c r="J833" s="87"/>
      <c r="K833" s="87"/>
      <c r="L833" s="87"/>
      <c r="M833" s="87"/>
      <c r="N833" s="79"/>
      <c r="O833" s="79"/>
      <c r="P833" s="79"/>
      <c r="Q833" s="79"/>
      <c r="R833" s="79"/>
      <c r="S833" s="79"/>
      <c r="T833" s="79"/>
      <c r="U833" s="79"/>
      <c r="V833" s="79"/>
      <c r="W833" s="79"/>
      <c r="X833" s="79"/>
      <c r="Y833" s="79"/>
      <c r="Z833" s="79"/>
      <c r="AA833" s="79"/>
      <c r="AB833" s="79"/>
    </row>
    <row r="834" spans="1:28" ht="15.8" customHeight="1" x14ac:dyDescent="0.15">
      <c r="A834" s="79"/>
      <c r="B834" s="79"/>
      <c r="C834" s="79"/>
      <c r="D834" s="79"/>
      <c r="E834" s="79"/>
      <c r="F834" s="79"/>
      <c r="G834" s="79"/>
      <c r="H834" s="79"/>
      <c r="I834" s="79"/>
      <c r="J834" s="87"/>
      <c r="K834" s="87"/>
      <c r="L834" s="87"/>
      <c r="M834" s="87"/>
      <c r="N834" s="79"/>
      <c r="O834" s="79"/>
      <c r="P834" s="79"/>
      <c r="Q834" s="79"/>
      <c r="R834" s="79"/>
      <c r="S834" s="79"/>
      <c r="T834" s="79"/>
      <c r="U834" s="79"/>
      <c r="V834" s="79"/>
      <c r="W834" s="79"/>
      <c r="X834" s="79"/>
      <c r="Y834" s="79"/>
      <c r="Z834" s="79"/>
      <c r="AA834" s="79"/>
      <c r="AB834" s="79"/>
    </row>
    <row r="835" spans="1:28" ht="15.8" customHeight="1" x14ac:dyDescent="0.15">
      <c r="A835" s="79"/>
      <c r="B835" s="79"/>
      <c r="C835" s="79"/>
      <c r="D835" s="79"/>
      <c r="E835" s="79"/>
      <c r="F835" s="79"/>
      <c r="G835" s="79"/>
      <c r="H835" s="79"/>
      <c r="I835" s="79"/>
      <c r="J835" s="87"/>
      <c r="K835" s="87"/>
      <c r="L835" s="87"/>
      <c r="M835" s="87"/>
      <c r="N835" s="79"/>
      <c r="O835" s="79"/>
      <c r="P835" s="79"/>
      <c r="Q835" s="79"/>
      <c r="R835" s="79"/>
      <c r="S835" s="79"/>
      <c r="T835" s="79"/>
      <c r="U835" s="79"/>
      <c r="V835" s="79"/>
      <c r="W835" s="79"/>
      <c r="X835" s="79"/>
      <c r="Y835" s="79"/>
      <c r="Z835" s="79"/>
      <c r="AA835" s="79"/>
      <c r="AB835" s="79"/>
    </row>
    <row r="836" spans="1:28" ht="15.8" customHeight="1" x14ac:dyDescent="0.15">
      <c r="A836" s="79"/>
      <c r="B836" s="79"/>
      <c r="C836" s="79"/>
      <c r="D836" s="79"/>
      <c r="E836" s="79"/>
      <c r="F836" s="79"/>
      <c r="G836" s="79"/>
      <c r="H836" s="79"/>
      <c r="I836" s="79"/>
      <c r="J836" s="87"/>
      <c r="K836" s="87"/>
      <c r="L836" s="87"/>
      <c r="M836" s="87"/>
      <c r="N836" s="79"/>
      <c r="O836" s="79"/>
      <c r="P836" s="79"/>
      <c r="Q836" s="79"/>
      <c r="R836" s="79"/>
      <c r="S836" s="79"/>
      <c r="T836" s="79"/>
      <c r="U836" s="79"/>
      <c r="V836" s="79"/>
      <c r="W836" s="79"/>
      <c r="X836" s="79"/>
      <c r="Y836" s="79"/>
      <c r="Z836" s="79"/>
      <c r="AA836" s="79"/>
      <c r="AB836" s="79"/>
    </row>
    <row r="837" spans="1:28" ht="15.8" customHeight="1" x14ac:dyDescent="0.15">
      <c r="A837" s="79"/>
      <c r="B837" s="79"/>
      <c r="C837" s="79"/>
      <c r="D837" s="79"/>
      <c r="E837" s="79"/>
      <c r="F837" s="79"/>
      <c r="G837" s="79"/>
      <c r="H837" s="79"/>
      <c r="I837" s="79"/>
      <c r="J837" s="87"/>
      <c r="K837" s="87"/>
      <c r="L837" s="87"/>
      <c r="M837" s="87"/>
      <c r="N837" s="79"/>
      <c r="O837" s="79"/>
      <c r="P837" s="79"/>
      <c r="Q837" s="79"/>
      <c r="R837" s="79"/>
      <c r="S837" s="79"/>
      <c r="T837" s="79"/>
      <c r="U837" s="79"/>
      <c r="V837" s="79"/>
      <c r="W837" s="79"/>
      <c r="X837" s="79"/>
      <c r="Y837" s="79"/>
      <c r="Z837" s="79"/>
      <c r="AA837" s="79"/>
      <c r="AB837" s="79"/>
    </row>
    <row r="838" spans="1:28" ht="15.8" customHeight="1" x14ac:dyDescent="0.15">
      <c r="A838" s="79"/>
      <c r="B838" s="79"/>
      <c r="C838" s="79"/>
      <c r="D838" s="79"/>
      <c r="E838" s="79"/>
      <c r="F838" s="79"/>
      <c r="G838" s="79"/>
      <c r="H838" s="79"/>
      <c r="I838" s="79"/>
      <c r="J838" s="87"/>
      <c r="K838" s="87"/>
      <c r="L838" s="87"/>
      <c r="M838" s="87"/>
      <c r="N838" s="79"/>
      <c r="O838" s="79"/>
      <c r="P838" s="79"/>
      <c r="Q838" s="79"/>
      <c r="R838" s="79"/>
      <c r="S838" s="79"/>
      <c r="T838" s="79"/>
      <c r="U838" s="79"/>
      <c r="V838" s="79"/>
      <c r="W838" s="79"/>
      <c r="X838" s="79"/>
      <c r="Y838" s="79"/>
      <c r="Z838" s="79"/>
      <c r="AA838" s="79"/>
      <c r="AB838" s="79"/>
    </row>
    <row r="839" spans="1:28" ht="15.8" customHeight="1" x14ac:dyDescent="0.15">
      <c r="A839" s="79"/>
      <c r="B839" s="79"/>
      <c r="C839" s="79"/>
      <c r="D839" s="79"/>
      <c r="E839" s="79"/>
      <c r="F839" s="79"/>
      <c r="G839" s="79"/>
      <c r="H839" s="79"/>
      <c r="I839" s="79"/>
      <c r="J839" s="87"/>
      <c r="K839" s="87"/>
      <c r="L839" s="87"/>
      <c r="M839" s="87"/>
      <c r="N839" s="79"/>
      <c r="O839" s="79"/>
      <c r="P839" s="79"/>
      <c r="Q839" s="79"/>
      <c r="R839" s="79"/>
      <c r="S839" s="79"/>
      <c r="T839" s="79"/>
      <c r="U839" s="79"/>
      <c r="V839" s="79"/>
      <c r="W839" s="79"/>
      <c r="X839" s="79"/>
      <c r="Y839" s="79"/>
      <c r="Z839" s="79"/>
      <c r="AA839" s="79"/>
      <c r="AB839" s="79"/>
    </row>
    <row r="840" spans="1:28" ht="15.8" customHeight="1" x14ac:dyDescent="0.15">
      <c r="A840" s="79"/>
      <c r="B840" s="79"/>
      <c r="C840" s="79"/>
      <c r="D840" s="79"/>
      <c r="E840" s="79"/>
      <c r="F840" s="79"/>
      <c r="G840" s="79"/>
      <c r="H840" s="79"/>
      <c r="I840" s="79"/>
      <c r="J840" s="87"/>
      <c r="K840" s="87"/>
      <c r="L840" s="87"/>
      <c r="M840" s="87"/>
      <c r="N840" s="79"/>
      <c r="O840" s="79"/>
      <c r="P840" s="79"/>
      <c r="Q840" s="79"/>
      <c r="R840" s="79"/>
      <c r="S840" s="79"/>
      <c r="T840" s="79"/>
      <c r="U840" s="79"/>
      <c r="V840" s="79"/>
      <c r="W840" s="79"/>
      <c r="X840" s="79"/>
      <c r="Y840" s="79"/>
      <c r="Z840" s="79"/>
      <c r="AA840" s="79"/>
      <c r="AB840" s="79"/>
    </row>
    <row r="841" spans="1:28" ht="15.8" customHeight="1" x14ac:dyDescent="0.15">
      <c r="A841" s="79"/>
      <c r="B841" s="79"/>
      <c r="C841" s="79"/>
      <c r="D841" s="79"/>
      <c r="E841" s="79"/>
      <c r="F841" s="79"/>
      <c r="G841" s="79"/>
      <c r="H841" s="79"/>
      <c r="I841" s="79"/>
      <c r="J841" s="87"/>
      <c r="K841" s="87"/>
      <c r="L841" s="87"/>
      <c r="M841" s="87"/>
      <c r="N841" s="79"/>
      <c r="O841" s="79"/>
      <c r="P841" s="79"/>
      <c r="Q841" s="79"/>
      <c r="R841" s="79"/>
      <c r="S841" s="79"/>
      <c r="T841" s="79"/>
      <c r="U841" s="79"/>
      <c r="V841" s="79"/>
      <c r="W841" s="79"/>
      <c r="X841" s="79"/>
      <c r="Y841" s="79"/>
      <c r="Z841" s="79"/>
      <c r="AA841" s="79"/>
      <c r="AB841" s="79"/>
    </row>
    <row r="842" spans="1:28" ht="15.8" customHeight="1" x14ac:dyDescent="0.15">
      <c r="A842" s="79"/>
      <c r="B842" s="79"/>
      <c r="C842" s="79"/>
      <c r="D842" s="79"/>
      <c r="E842" s="79"/>
      <c r="F842" s="79"/>
      <c r="G842" s="79"/>
      <c r="H842" s="79"/>
      <c r="I842" s="79"/>
      <c r="J842" s="87"/>
      <c r="K842" s="87"/>
      <c r="L842" s="87"/>
      <c r="M842" s="87"/>
      <c r="N842" s="79"/>
      <c r="O842" s="79"/>
      <c r="P842" s="79"/>
      <c r="Q842" s="79"/>
      <c r="R842" s="79"/>
      <c r="S842" s="79"/>
      <c r="T842" s="79"/>
      <c r="U842" s="79"/>
      <c r="V842" s="79"/>
      <c r="W842" s="79"/>
      <c r="X842" s="79"/>
      <c r="Y842" s="79"/>
      <c r="Z842" s="79"/>
      <c r="AA842" s="79"/>
      <c r="AB842" s="79"/>
    </row>
    <row r="843" spans="1:28" ht="15.8" customHeight="1" x14ac:dyDescent="0.15">
      <c r="A843" s="79"/>
      <c r="B843" s="79"/>
      <c r="C843" s="79"/>
      <c r="D843" s="79"/>
      <c r="E843" s="79"/>
      <c r="F843" s="79"/>
      <c r="G843" s="79"/>
      <c r="H843" s="79"/>
      <c r="I843" s="79"/>
      <c r="J843" s="87"/>
      <c r="K843" s="87"/>
      <c r="L843" s="87"/>
      <c r="M843" s="87"/>
      <c r="N843" s="79"/>
      <c r="O843" s="79"/>
      <c r="P843" s="79"/>
      <c r="Q843" s="79"/>
      <c r="R843" s="79"/>
      <c r="S843" s="79"/>
      <c r="T843" s="79"/>
      <c r="U843" s="79"/>
      <c r="V843" s="79"/>
      <c r="W843" s="79"/>
      <c r="X843" s="79"/>
      <c r="Y843" s="79"/>
      <c r="Z843" s="79"/>
      <c r="AA843" s="79"/>
      <c r="AB843" s="79"/>
    </row>
    <row r="844" spans="1:28" ht="15.8" customHeight="1" x14ac:dyDescent="0.15">
      <c r="A844" s="79"/>
      <c r="B844" s="79"/>
      <c r="C844" s="79"/>
      <c r="D844" s="79"/>
      <c r="E844" s="79"/>
      <c r="F844" s="79"/>
      <c r="G844" s="79"/>
      <c r="H844" s="79"/>
      <c r="I844" s="79"/>
      <c r="J844" s="87"/>
      <c r="K844" s="87"/>
      <c r="L844" s="87"/>
      <c r="M844" s="87"/>
      <c r="N844" s="79"/>
      <c r="O844" s="79"/>
      <c r="P844" s="79"/>
      <c r="Q844" s="79"/>
      <c r="R844" s="79"/>
      <c r="S844" s="79"/>
      <c r="T844" s="79"/>
      <c r="U844" s="79"/>
      <c r="V844" s="79"/>
      <c r="W844" s="79"/>
      <c r="X844" s="79"/>
      <c r="Y844" s="79"/>
      <c r="Z844" s="79"/>
      <c r="AA844" s="79"/>
      <c r="AB844" s="79"/>
    </row>
    <row r="845" spans="1:28" ht="15.8" customHeight="1" x14ac:dyDescent="0.15">
      <c r="A845" s="79"/>
      <c r="B845" s="79"/>
      <c r="C845" s="79"/>
      <c r="D845" s="79"/>
      <c r="E845" s="79"/>
      <c r="F845" s="79"/>
      <c r="G845" s="79"/>
      <c r="H845" s="79"/>
      <c r="I845" s="79"/>
      <c r="J845" s="87"/>
      <c r="K845" s="87"/>
      <c r="L845" s="87"/>
      <c r="M845" s="87"/>
      <c r="N845" s="79"/>
      <c r="O845" s="79"/>
      <c r="P845" s="79"/>
      <c r="Q845" s="79"/>
      <c r="R845" s="79"/>
      <c r="S845" s="79"/>
      <c r="T845" s="79"/>
      <c r="U845" s="79"/>
      <c r="V845" s="79"/>
      <c r="W845" s="79"/>
      <c r="X845" s="79"/>
      <c r="Y845" s="79"/>
      <c r="Z845" s="79"/>
      <c r="AA845" s="79"/>
      <c r="AB845" s="79"/>
    </row>
    <row r="846" spans="1:28" ht="15.8" customHeight="1" x14ac:dyDescent="0.15">
      <c r="A846" s="79"/>
      <c r="B846" s="79"/>
      <c r="C846" s="79"/>
      <c r="D846" s="79"/>
      <c r="E846" s="79"/>
      <c r="F846" s="79"/>
      <c r="G846" s="79"/>
      <c r="H846" s="79"/>
      <c r="I846" s="79"/>
      <c r="J846" s="87"/>
      <c r="K846" s="87"/>
      <c r="L846" s="87"/>
      <c r="M846" s="87"/>
      <c r="N846" s="79"/>
      <c r="O846" s="79"/>
      <c r="P846" s="79"/>
      <c r="Q846" s="79"/>
      <c r="R846" s="79"/>
      <c r="S846" s="79"/>
      <c r="T846" s="79"/>
      <c r="U846" s="79"/>
      <c r="V846" s="79"/>
      <c r="W846" s="79"/>
      <c r="X846" s="79"/>
      <c r="Y846" s="79"/>
      <c r="Z846" s="79"/>
      <c r="AA846" s="79"/>
      <c r="AB846" s="79"/>
    </row>
    <row r="847" spans="1:28" ht="15.8" customHeight="1" x14ac:dyDescent="0.15">
      <c r="A847" s="79"/>
      <c r="B847" s="79"/>
      <c r="C847" s="79"/>
      <c r="D847" s="79"/>
      <c r="E847" s="79"/>
      <c r="F847" s="79"/>
      <c r="G847" s="79"/>
      <c r="H847" s="79"/>
      <c r="I847" s="79"/>
      <c r="J847" s="87"/>
      <c r="K847" s="87"/>
      <c r="L847" s="87"/>
      <c r="M847" s="87"/>
      <c r="N847" s="79"/>
      <c r="O847" s="79"/>
      <c r="P847" s="79"/>
      <c r="Q847" s="79"/>
      <c r="R847" s="79"/>
      <c r="S847" s="79"/>
      <c r="T847" s="79"/>
      <c r="U847" s="79"/>
      <c r="V847" s="79"/>
      <c r="W847" s="79"/>
      <c r="X847" s="79"/>
      <c r="Y847" s="79"/>
      <c r="Z847" s="79"/>
      <c r="AA847" s="79"/>
      <c r="AB847" s="79"/>
    </row>
    <row r="848" spans="1:28" ht="15.8" customHeight="1" x14ac:dyDescent="0.15">
      <c r="A848" s="79"/>
      <c r="B848" s="79"/>
      <c r="C848" s="79"/>
      <c r="D848" s="79"/>
      <c r="E848" s="79"/>
      <c r="F848" s="79"/>
      <c r="G848" s="79"/>
      <c r="H848" s="79"/>
      <c r="I848" s="79"/>
      <c r="J848" s="87"/>
      <c r="K848" s="87"/>
      <c r="L848" s="87"/>
      <c r="M848" s="87"/>
      <c r="N848" s="79"/>
      <c r="O848" s="79"/>
      <c r="P848" s="79"/>
      <c r="Q848" s="79"/>
      <c r="R848" s="79"/>
      <c r="S848" s="79"/>
      <c r="T848" s="79"/>
      <c r="U848" s="79"/>
      <c r="V848" s="79"/>
      <c r="W848" s="79"/>
      <c r="X848" s="79"/>
      <c r="Y848" s="79"/>
      <c r="Z848" s="79"/>
      <c r="AA848" s="79"/>
      <c r="AB848" s="79"/>
    </row>
    <row r="849" spans="1:28" ht="15.8" customHeight="1" x14ac:dyDescent="0.15">
      <c r="A849" s="79"/>
      <c r="B849" s="79"/>
      <c r="C849" s="79"/>
      <c r="D849" s="79"/>
      <c r="E849" s="79"/>
      <c r="F849" s="79"/>
      <c r="G849" s="79"/>
      <c r="H849" s="79"/>
      <c r="I849" s="79"/>
      <c r="J849" s="87"/>
      <c r="K849" s="87"/>
      <c r="L849" s="87"/>
      <c r="M849" s="87"/>
      <c r="N849" s="79"/>
      <c r="O849" s="79"/>
      <c r="P849" s="79"/>
      <c r="Q849" s="79"/>
      <c r="R849" s="79"/>
      <c r="S849" s="79"/>
      <c r="T849" s="79"/>
      <c r="U849" s="79"/>
      <c r="V849" s="79"/>
      <c r="W849" s="79"/>
      <c r="X849" s="79"/>
      <c r="Y849" s="79"/>
      <c r="Z849" s="79"/>
      <c r="AA849" s="79"/>
      <c r="AB849" s="79"/>
    </row>
    <row r="850" spans="1:28" ht="15.8" customHeight="1" x14ac:dyDescent="0.15">
      <c r="A850" s="79"/>
      <c r="B850" s="79"/>
      <c r="C850" s="79"/>
      <c r="D850" s="79"/>
      <c r="E850" s="79"/>
      <c r="F850" s="79"/>
      <c r="G850" s="79"/>
      <c r="H850" s="79"/>
      <c r="I850" s="79"/>
      <c r="J850" s="87"/>
      <c r="K850" s="87"/>
      <c r="L850" s="87"/>
      <c r="M850" s="87"/>
      <c r="N850" s="79"/>
      <c r="O850" s="79"/>
      <c r="P850" s="79"/>
      <c r="Q850" s="79"/>
      <c r="R850" s="79"/>
      <c r="S850" s="79"/>
      <c r="T850" s="79"/>
      <c r="U850" s="79"/>
      <c r="V850" s="79"/>
      <c r="W850" s="79"/>
      <c r="X850" s="79"/>
      <c r="Y850" s="79"/>
      <c r="Z850" s="79"/>
      <c r="AA850" s="79"/>
      <c r="AB850" s="79"/>
    </row>
    <row r="851" spans="1:28" ht="15.8" customHeight="1" x14ac:dyDescent="0.15">
      <c r="A851" s="79"/>
      <c r="B851" s="79"/>
      <c r="C851" s="79"/>
      <c r="D851" s="79"/>
      <c r="E851" s="79"/>
      <c r="F851" s="79"/>
      <c r="G851" s="79"/>
      <c r="H851" s="79"/>
      <c r="I851" s="79"/>
      <c r="J851" s="87"/>
      <c r="K851" s="87"/>
      <c r="L851" s="87"/>
      <c r="M851" s="87"/>
      <c r="N851" s="79"/>
      <c r="O851" s="79"/>
      <c r="P851" s="79"/>
      <c r="Q851" s="79"/>
      <c r="R851" s="79"/>
      <c r="S851" s="79"/>
      <c r="T851" s="79"/>
      <c r="U851" s="79"/>
      <c r="V851" s="79"/>
      <c r="W851" s="79"/>
      <c r="X851" s="79"/>
      <c r="Y851" s="79"/>
      <c r="Z851" s="79"/>
      <c r="AA851" s="79"/>
      <c r="AB851" s="79"/>
    </row>
    <row r="852" spans="1:28" ht="15.8" customHeight="1" x14ac:dyDescent="0.15">
      <c r="A852" s="79"/>
      <c r="B852" s="79"/>
      <c r="C852" s="79"/>
      <c r="D852" s="79"/>
      <c r="E852" s="79"/>
      <c r="F852" s="79"/>
      <c r="G852" s="79"/>
      <c r="H852" s="79"/>
      <c r="I852" s="79"/>
      <c r="J852" s="87"/>
      <c r="K852" s="87"/>
      <c r="L852" s="87"/>
      <c r="M852" s="87"/>
      <c r="N852" s="79"/>
      <c r="O852" s="79"/>
      <c r="P852" s="79"/>
      <c r="Q852" s="79"/>
      <c r="R852" s="79"/>
      <c r="S852" s="79"/>
      <c r="T852" s="79"/>
      <c r="U852" s="79"/>
      <c r="V852" s="79"/>
      <c r="W852" s="79"/>
      <c r="X852" s="79"/>
      <c r="Y852" s="79"/>
      <c r="Z852" s="79"/>
      <c r="AA852" s="79"/>
      <c r="AB852" s="79"/>
    </row>
    <row r="853" spans="1:28" ht="15.8" customHeight="1" x14ac:dyDescent="0.15">
      <c r="A853" s="79"/>
      <c r="B853" s="79"/>
      <c r="C853" s="79"/>
      <c r="D853" s="79"/>
      <c r="E853" s="79"/>
      <c r="F853" s="79"/>
      <c r="G853" s="79"/>
      <c r="H853" s="79"/>
      <c r="I853" s="79"/>
      <c r="J853" s="87"/>
      <c r="K853" s="87"/>
      <c r="L853" s="87"/>
      <c r="M853" s="87"/>
      <c r="N853" s="79"/>
      <c r="O853" s="79"/>
      <c r="P853" s="79"/>
      <c r="Q853" s="79"/>
      <c r="R853" s="79"/>
      <c r="S853" s="79"/>
      <c r="T853" s="79"/>
      <c r="U853" s="79"/>
      <c r="V853" s="79"/>
      <c r="W853" s="79"/>
      <c r="X853" s="79"/>
      <c r="Y853" s="79"/>
      <c r="Z853" s="79"/>
      <c r="AA853" s="79"/>
      <c r="AB853" s="79"/>
    </row>
    <row r="854" spans="1:28" ht="15.8" customHeight="1" x14ac:dyDescent="0.15">
      <c r="A854" s="79"/>
      <c r="B854" s="79"/>
      <c r="C854" s="79"/>
      <c r="D854" s="79"/>
      <c r="E854" s="79"/>
      <c r="F854" s="79"/>
      <c r="G854" s="79"/>
      <c r="H854" s="79"/>
      <c r="I854" s="79"/>
      <c r="J854" s="87"/>
      <c r="K854" s="87"/>
      <c r="L854" s="87"/>
      <c r="M854" s="87"/>
      <c r="N854" s="79"/>
      <c r="O854" s="79"/>
      <c r="P854" s="79"/>
      <c r="Q854" s="79"/>
      <c r="R854" s="79"/>
      <c r="S854" s="79"/>
      <c r="T854" s="79"/>
      <c r="U854" s="79"/>
      <c r="V854" s="79"/>
      <c r="W854" s="79"/>
      <c r="X854" s="79"/>
      <c r="Y854" s="79"/>
      <c r="Z854" s="79"/>
      <c r="AA854" s="79"/>
      <c r="AB854" s="79"/>
    </row>
    <row r="855" spans="1:28" ht="15.8" customHeight="1" x14ac:dyDescent="0.15">
      <c r="A855" s="79"/>
      <c r="B855" s="79"/>
      <c r="C855" s="79"/>
      <c r="D855" s="79"/>
      <c r="E855" s="79"/>
      <c r="F855" s="79"/>
      <c r="G855" s="79"/>
      <c r="H855" s="79"/>
      <c r="I855" s="79"/>
      <c r="J855" s="87"/>
      <c r="K855" s="87"/>
      <c r="L855" s="87"/>
      <c r="M855" s="87"/>
      <c r="N855" s="79"/>
      <c r="O855" s="79"/>
      <c r="P855" s="79"/>
      <c r="Q855" s="79"/>
      <c r="R855" s="79"/>
      <c r="S855" s="79"/>
      <c r="T855" s="79"/>
      <c r="U855" s="79"/>
      <c r="V855" s="79"/>
      <c r="W855" s="79"/>
      <c r="X855" s="79"/>
      <c r="Y855" s="79"/>
      <c r="Z855" s="79"/>
      <c r="AA855" s="79"/>
      <c r="AB855" s="79"/>
    </row>
    <row r="856" spans="1:28" ht="15.8" customHeight="1" x14ac:dyDescent="0.15">
      <c r="A856" s="79"/>
      <c r="B856" s="79"/>
      <c r="C856" s="79"/>
      <c r="D856" s="79"/>
      <c r="E856" s="79"/>
      <c r="F856" s="79"/>
      <c r="G856" s="79"/>
      <c r="H856" s="79"/>
      <c r="I856" s="79"/>
      <c r="J856" s="87"/>
      <c r="K856" s="87"/>
      <c r="L856" s="87"/>
      <c r="M856" s="87"/>
      <c r="N856" s="79"/>
      <c r="O856" s="79"/>
      <c r="P856" s="79"/>
      <c r="Q856" s="79"/>
      <c r="R856" s="79"/>
      <c r="S856" s="79"/>
      <c r="T856" s="79"/>
      <c r="U856" s="79"/>
      <c r="V856" s="79"/>
      <c r="W856" s="79"/>
      <c r="X856" s="79"/>
      <c r="Y856" s="79"/>
      <c r="Z856" s="79"/>
      <c r="AA856" s="79"/>
      <c r="AB856" s="79"/>
    </row>
    <row r="857" spans="1:28" ht="15.8" customHeight="1" x14ac:dyDescent="0.15">
      <c r="A857" s="79"/>
      <c r="B857" s="79"/>
      <c r="C857" s="79"/>
      <c r="D857" s="79"/>
      <c r="E857" s="79"/>
      <c r="F857" s="79"/>
      <c r="G857" s="79"/>
      <c r="H857" s="79"/>
      <c r="I857" s="79"/>
      <c r="J857" s="87"/>
      <c r="K857" s="87"/>
      <c r="L857" s="87"/>
      <c r="M857" s="87"/>
      <c r="N857" s="79"/>
      <c r="O857" s="79"/>
      <c r="P857" s="79"/>
      <c r="Q857" s="79"/>
      <c r="R857" s="79"/>
      <c r="S857" s="79"/>
      <c r="T857" s="79"/>
      <c r="U857" s="79"/>
      <c r="V857" s="79"/>
      <c r="W857" s="79"/>
      <c r="X857" s="79"/>
      <c r="Y857" s="79"/>
      <c r="Z857" s="79"/>
      <c r="AA857" s="79"/>
      <c r="AB857" s="79"/>
    </row>
    <row r="858" spans="1:28" ht="15.8" customHeight="1" x14ac:dyDescent="0.15">
      <c r="A858" s="79"/>
      <c r="B858" s="79"/>
      <c r="C858" s="79"/>
      <c r="D858" s="79"/>
      <c r="E858" s="79"/>
      <c r="F858" s="79"/>
      <c r="G858" s="79"/>
      <c r="H858" s="79"/>
      <c r="I858" s="79"/>
      <c r="J858" s="87"/>
      <c r="K858" s="87"/>
      <c r="L858" s="87"/>
      <c r="M858" s="87"/>
      <c r="N858" s="79"/>
      <c r="O858" s="79"/>
      <c r="P858" s="79"/>
      <c r="Q858" s="79"/>
      <c r="R858" s="79"/>
      <c r="S858" s="79"/>
      <c r="T858" s="79"/>
      <c r="U858" s="79"/>
      <c r="V858" s="79"/>
      <c r="W858" s="79"/>
      <c r="X858" s="79"/>
      <c r="Y858" s="79"/>
      <c r="Z858" s="79"/>
      <c r="AA858" s="79"/>
      <c r="AB858" s="79"/>
    </row>
    <row r="859" spans="1:28" ht="15.8" customHeight="1" x14ac:dyDescent="0.15">
      <c r="A859" s="79"/>
      <c r="B859" s="79"/>
      <c r="C859" s="79"/>
      <c r="D859" s="79"/>
      <c r="E859" s="79"/>
      <c r="F859" s="79"/>
      <c r="G859" s="79"/>
      <c r="H859" s="79"/>
      <c r="I859" s="79"/>
      <c r="J859" s="87"/>
      <c r="K859" s="87"/>
      <c r="L859" s="87"/>
      <c r="M859" s="87"/>
      <c r="N859" s="79"/>
      <c r="O859" s="79"/>
      <c r="P859" s="79"/>
      <c r="Q859" s="79"/>
      <c r="R859" s="79"/>
      <c r="S859" s="79"/>
      <c r="T859" s="79"/>
      <c r="U859" s="79"/>
      <c r="V859" s="79"/>
      <c r="W859" s="79"/>
      <c r="X859" s="79"/>
      <c r="Y859" s="79"/>
      <c r="Z859" s="79"/>
      <c r="AA859" s="79"/>
      <c r="AB859" s="79"/>
    </row>
    <row r="860" spans="1:28" ht="15.8" customHeight="1" x14ac:dyDescent="0.15">
      <c r="A860" s="79"/>
      <c r="B860" s="79"/>
      <c r="C860" s="79"/>
      <c r="D860" s="79"/>
      <c r="E860" s="79"/>
      <c r="F860" s="79"/>
      <c r="G860" s="79"/>
      <c r="H860" s="79"/>
      <c r="I860" s="79"/>
      <c r="J860" s="87"/>
      <c r="K860" s="87"/>
      <c r="L860" s="87"/>
      <c r="M860" s="87"/>
      <c r="N860" s="79"/>
      <c r="O860" s="79"/>
      <c r="P860" s="79"/>
      <c r="Q860" s="79"/>
      <c r="R860" s="79"/>
      <c r="S860" s="79"/>
      <c r="T860" s="79"/>
      <c r="U860" s="79"/>
      <c r="V860" s="79"/>
      <c r="W860" s="79"/>
      <c r="X860" s="79"/>
      <c r="Y860" s="79"/>
      <c r="Z860" s="79"/>
      <c r="AA860" s="79"/>
      <c r="AB860" s="79"/>
    </row>
    <row r="861" spans="1:28" ht="15.8" customHeight="1" x14ac:dyDescent="0.15">
      <c r="A861" s="79"/>
      <c r="B861" s="79"/>
      <c r="C861" s="79"/>
      <c r="D861" s="79"/>
      <c r="E861" s="79"/>
      <c r="F861" s="79"/>
      <c r="G861" s="79"/>
      <c r="H861" s="79"/>
      <c r="I861" s="79"/>
      <c r="J861" s="87"/>
      <c r="K861" s="87"/>
      <c r="L861" s="87"/>
      <c r="M861" s="87"/>
      <c r="N861" s="79"/>
      <c r="O861" s="79"/>
      <c r="P861" s="79"/>
      <c r="Q861" s="79"/>
      <c r="R861" s="79"/>
      <c r="S861" s="79"/>
      <c r="T861" s="79"/>
      <c r="U861" s="79"/>
      <c r="V861" s="79"/>
      <c r="W861" s="79"/>
      <c r="X861" s="79"/>
      <c r="Y861" s="79"/>
      <c r="Z861" s="79"/>
      <c r="AA861" s="79"/>
      <c r="AB861" s="79"/>
    </row>
    <row r="862" spans="1:28" ht="15.8" customHeight="1" x14ac:dyDescent="0.15">
      <c r="A862" s="79"/>
      <c r="B862" s="79"/>
      <c r="C862" s="79"/>
      <c r="D862" s="79"/>
      <c r="E862" s="79"/>
      <c r="F862" s="79"/>
      <c r="G862" s="79"/>
      <c r="H862" s="79"/>
      <c r="I862" s="79"/>
      <c r="J862" s="87"/>
      <c r="K862" s="87"/>
      <c r="L862" s="87"/>
      <c r="M862" s="87"/>
      <c r="N862" s="79"/>
      <c r="O862" s="79"/>
      <c r="P862" s="79"/>
      <c r="Q862" s="79"/>
      <c r="R862" s="79"/>
      <c r="S862" s="79"/>
      <c r="T862" s="79"/>
      <c r="U862" s="79"/>
      <c r="V862" s="79"/>
      <c r="W862" s="79"/>
      <c r="X862" s="79"/>
      <c r="Y862" s="79"/>
      <c r="Z862" s="79"/>
      <c r="AA862" s="79"/>
      <c r="AB862" s="79"/>
    </row>
    <row r="863" spans="1:28" ht="15.8" customHeight="1" x14ac:dyDescent="0.15">
      <c r="A863" s="79"/>
      <c r="B863" s="79"/>
      <c r="C863" s="79"/>
      <c r="D863" s="79"/>
      <c r="E863" s="79"/>
      <c r="F863" s="79"/>
      <c r="G863" s="79"/>
      <c r="H863" s="79"/>
      <c r="I863" s="79"/>
      <c r="J863" s="87"/>
      <c r="K863" s="87"/>
      <c r="L863" s="87"/>
      <c r="M863" s="87"/>
      <c r="N863" s="79"/>
      <c r="O863" s="79"/>
      <c r="P863" s="79"/>
      <c r="Q863" s="79"/>
      <c r="R863" s="79"/>
      <c r="S863" s="79"/>
      <c r="T863" s="79"/>
      <c r="U863" s="79"/>
      <c r="V863" s="79"/>
      <c r="W863" s="79"/>
      <c r="X863" s="79"/>
      <c r="Y863" s="79"/>
      <c r="Z863" s="79"/>
      <c r="AA863" s="79"/>
      <c r="AB863" s="79"/>
    </row>
    <row r="864" spans="1:28" ht="15.8" customHeight="1" x14ac:dyDescent="0.15">
      <c r="A864" s="79"/>
      <c r="B864" s="79"/>
      <c r="C864" s="79"/>
      <c r="D864" s="79"/>
      <c r="E864" s="79"/>
      <c r="F864" s="79"/>
      <c r="G864" s="79"/>
      <c r="H864" s="79"/>
      <c r="I864" s="79"/>
      <c r="J864" s="87"/>
      <c r="K864" s="87"/>
      <c r="L864" s="87"/>
      <c r="M864" s="87"/>
      <c r="N864" s="79"/>
      <c r="O864" s="79"/>
      <c r="P864" s="79"/>
      <c r="Q864" s="79"/>
      <c r="R864" s="79"/>
      <c r="S864" s="79"/>
      <c r="T864" s="79"/>
      <c r="U864" s="79"/>
      <c r="V864" s="79"/>
      <c r="W864" s="79"/>
      <c r="X864" s="79"/>
      <c r="Y864" s="79"/>
      <c r="Z864" s="79"/>
      <c r="AA864" s="79"/>
      <c r="AB864" s="79"/>
    </row>
    <row r="865" spans="1:28" ht="15.8" customHeight="1" x14ac:dyDescent="0.15">
      <c r="A865" s="79"/>
      <c r="B865" s="79"/>
      <c r="C865" s="79"/>
      <c r="D865" s="79"/>
      <c r="E865" s="79"/>
      <c r="F865" s="79"/>
      <c r="G865" s="79"/>
      <c r="H865" s="79"/>
      <c r="I865" s="79"/>
      <c r="J865" s="87"/>
      <c r="K865" s="87"/>
      <c r="L865" s="87"/>
      <c r="M865" s="87"/>
      <c r="N865" s="79"/>
      <c r="O865" s="79"/>
      <c r="P865" s="79"/>
      <c r="Q865" s="79"/>
      <c r="R865" s="79"/>
      <c r="S865" s="79"/>
      <c r="T865" s="79"/>
      <c r="U865" s="79"/>
      <c r="V865" s="79"/>
      <c r="W865" s="79"/>
      <c r="X865" s="79"/>
      <c r="Y865" s="79"/>
      <c r="Z865" s="79"/>
      <c r="AA865" s="79"/>
      <c r="AB865" s="79"/>
    </row>
    <row r="866" spans="1:28" ht="15.8" customHeight="1" x14ac:dyDescent="0.15">
      <c r="A866" s="79"/>
      <c r="B866" s="79"/>
      <c r="C866" s="79"/>
      <c r="D866" s="79"/>
      <c r="E866" s="79"/>
      <c r="F866" s="79"/>
      <c r="G866" s="79"/>
      <c r="H866" s="79"/>
      <c r="I866" s="79"/>
      <c r="J866" s="87"/>
      <c r="K866" s="87"/>
      <c r="L866" s="87"/>
      <c r="M866" s="87"/>
      <c r="N866" s="79"/>
      <c r="O866" s="79"/>
      <c r="P866" s="79"/>
      <c r="Q866" s="79"/>
      <c r="R866" s="79"/>
      <c r="S866" s="79"/>
      <c r="T866" s="79"/>
      <c r="U866" s="79"/>
      <c r="V866" s="79"/>
      <c r="W866" s="79"/>
      <c r="X866" s="79"/>
      <c r="Y866" s="79"/>
      <c r="Z866" s="79"/>
      <c r="AA866" s="79"/>
      <c r="AB866" s="79"/>
    </row>
    <row r="867" spans="1:28" ht="15.8" customHeight="1" x14ac:dyDescent="0.15">
      <c r="A867" s="79"/>
      <c r="B867" s="79"/>
      <c r="C867" s="79"/>
      <c r="D867" s="79"/>
      <c r="E867" s="79"/>
      <c r="F867" s="79"/>
      <c r="G867" s="79"/>
      <c r="H867" s="79"/>
      <c r="I867" s="79"/>
      <c r="J867" s="87"/>
      <c r="K867" s="87"/>
      <c r="L867" s="87"/>
      <c r="M867" s="87"/>
      <c r="N867" s="79"/>
      <c r="O867" s="79"/>
      <c r="P867" s="79"/>
      <c r="Q867" s="79"/>
      <c r="R867" s="79"/>
      <c r="S867" s="79"/>
      <c r="T867" s="79"/>
      <c r="U867" s="79"/>
      <c r="V867" s="79"/>
      <c r="W867" s="79"/>
      <c r="X867" s="79"/>
      <c r="Y867" s="79"/>
      <c r="Z867" s="79"/>
      <c r="AA867" s="79"/>
      <c r="AB867" s="79"/>
    </row>
    <row r="868" spans="1:28" ht="15.8" customHeight="1" x14ac:dyDescent="0.15">
      <c r="A868" s="79"/>
      <c r="B868" s="79"/>
      <c r="C868" s="79"/>
      <c r="D868" s="79"/>
      <c r="E868" s="79"/>
      <c r="F868" s="79"/>
      <c r="G868" s="79"/>
      <c r="H868" s="79"/>
      <c r="I868" s="79"/>
      <c r="J868" s="87"/>
      <c r="K868" s="87"/>
      <c r="L868" s="87"/>
      <c r="M868" s="87"/>
      <c r="N868" s="79"/>
      <c r="O868" s="79"/>
      <c r="P868" s="79"/>
      <c r="Q868" s="79"/>
      <c r="R868" s="79"/>
      <c r="S868" s="79"/>
      <c r="T868" s="79"/>
      <c r="U868" s="79"/>
      <c r="V868" s="79"/>
      <c r="W868" s="79"/>
      <c r="X868" s="79"/>
      <c r="Y868" s="79"/>
      <c r="Z868" s="79"/>
      <c r="AA868" s="79"/>
      <c r="AB868" s="79"/>
    </row>
    <row r="869" spans="1:28" ht="15.8" customHeight="1" x14ac:dyDescent="0.15">
      <c r="A869" s="79"/>
      <c r="B869" s="79"/>
      <c r="C869" s="79"/>
      <c r="D869" s="79"/>
      <c r="E869" s="79"/>
      <c r="F869" s="79"/>
      <c r="G869" s="79"/>
      <c r="H869" s="79"/>
      <c r="I869" s="79"/>
      <c r="J869" s="87"/>
      <c r="K869" s="87"/>
      <c r="L869" s="87"/>
      <c r="M869" s="87"/>
      <c r="N869" s="79"/>
      <c r="O869" s="79"/>
      <c r="P869" s="79"/>
      <c r="Q869" s="79"/>
      <c r="R869" s="79"/>
      <c r="S869" s="79"/>
      <c r="T869" s="79"/>
      <c r="U869" s="79"/>
      <c r="V869" s="79"/>
      <c r="W869" s="79"/>
      <c r="X869" s="79"/>
      <c r="Y869" s="79"/>
      <c r="Z869" s="79"/>
      <c r="AA869" s="79"/>
      <c r="AB869" s="79"/>
    </row>
    <row r="870" spans="1:28" ht="15.8" customHeight="1" x14ac:dyDescent="0.15">
      <c r="A870" s="79"/>
      <c r="B870" s="79"/>
      <c r="C870" s="79"/>
      <c r="D870" s="79"/>
      <c r="E870" s="79"/>
      <c r="F870" s="79"/>
      <c r="G870" s="79"/>
      <c r="H870" s="79"/>
      <c r="I870" s="79"/>
      <c r="J870" s="87"/>
      <c r="K870" s="87"/>
      <c r="L870" s="87"/>
      <c r="M870" s="87"/>
      <c r="N870" s="79"/>
      <c r="O870" s="79"/>
      <c r="P870" s="79"/>
      <c r="Q870" s="79"/>
      <c r="R870" s="79"/>
      <c r="S870" s="79"/>
      <c r="T870" s="79"/>
      <c r="U870" s="79"/>
      <c r="V870" s="79"/>
      <c r="W870" s="79"/>
      <c r="X870" s="79"/>
      <c r="Y870" s="79"/>
      <c r="Z870" s="79"/>
      <c r="AA870" s="79"/>
      <c r="AB870" s="79"/>
    </row>
    <row r="871" spans="1:28" ht="15.8" customHeight="1" x14ac:dyDescent="0.15">
      <c r="A871" s="79"/>
      <c r="B871" s="79"/>
      <c r="C871" s="79"/>
      <c r="D871" s="79"/>
      <c r="E871" s="79"/>
      <c r="F871" s="79"/>
      <c r="G871" s="79"/>
      <c r="H871" s="79"/>
      <c r="I871" s="79"/>
      <c r="J871" s="87"/>
      <c r="K871" s="87"/>
      <c r="L871" s="87"/>
      <c r="M871" s="87"/>
      <c r="N871" s="79"/>
      <c r="O871" s="79"/>
      <c r="P871" s="79"/>
      <c r="Q871" s="79"/>
      <c r="R871" s="79"/>
      <c r="S871" s="79"/>
      <c r="T871" s="79"/>
      <c r="U871" s="79"/>
      <c r="V871" s="79"/>
      <c r="W871" s="79"/>
      <c r="X871" s="79"/>
      <c r="Y871" s="79"/>
      <c r="Z871" s="79"/>
      <c r="AA871" s="79"/>
      <c r="AB871" s="79"/>
    </row>
    <row r="872" spans="1:28" ht="15.8" customHeight="1" x14ac:dyDescent="0.15">
      <c r="A872" s="79"/>
      <c r="B872" s="79"/>
      <c r="C872" s="79"/>
      <c r="D872" s="79"/>
      <c r="E872" s="79"/>
      <c r="F872" s="79"/>
      <c r="G872" s="79"/>
      <c r="H872" s="79"/>
      <c r="I872" s="79"/>
      <c r="J872" s="87"/>
      <c r="K872" s="87"/>
      <c r="L872" s="87"/>
      <c r="M872" s="87"/>
      <c r="N872" s="79"/>
      <c r="O872" s="79"/>
      <c r="P872" s="79"/>
      <c r="Q872" s="79"/>
      <c r="R872" s="79"/>
      <c r="S872" s="79"/>
      <c r="T872" s="79"/>
      <c r="U872" s="79"/>
      <c r="V872" s="79"/>
      <c r="W872" s="79"/>
      <c r="X872" s="79"/>
      <c r="Y872" s="79"/>
      <c r="Z872" s="79"/>
      <c r="AA872" s="79"/>
      <c r="AB872" s="79"/>
    </row>
    <row r="873" spans="1:28" ht="15.8" customHeight="1" x14ac:dyDescent="0.15">
      <c r="A873" s="79"/>
      <c r="B873" s="79"/>
      <c r="C873" s="79"/>
      <c r="D873" s="79"/>
      <c r="E873" s="79"/>
      <c r="F873" s="79"/>
      <c r="G873" s="79"/>
      <c r="H873" s="79"/>
      <c r="I873" s="79"/>
      <c r="J873" s="87"/>
      <c r="K873" s="87"/>
      <c r="L873" s="87"/>
      <c r="M873" s="87"/>
      <c r="N873" s="79"/>
      <c r="O873" s="79"/>
      <c r="P873" s="79"/>
      <c r="Q873" s="79"/>
      <c r="R873" s="79"/>
      <c r="S873" s="79"/>
      <c r="T873" s="79"/>
      <c r="U873" s="79"/>
      <c r="V873" s="79"/>
      <c r="W873" s="79"/>
      <c r="X873" s="79"/>
      <c r="Y873" s="79"/>
      <c r="Z873" s="79"/>
      <c r="AA873" s="79"/>
      <c r="AB873" s="79"/>
    </row>
    <row r="874" spans="1:28" ht="15.8" customHeight="1" x14ac:dyDescent="0.15">
      <c r="A874" s="79"/>
      <c r="B874" s="79"/>
      <c r="C874" s="79"/>
      <c r="D874" s="79"/>
      <c r="E874" s="79"/>
      <c r="F874" s="79"/>
      <c r="G874" s="79"/>
      <c r="H874" s="79"/>
      <c r="I874" s="79"/>
      <c r="J874" s="87"/>
      <c r="K874" s="87"/>
      <c r="L874" s="87"/>
      <c r="M874" s="87"/>
      <c r="N874" s="79"/>
      <c r="O874" s="79"/>
      <c r="P874" s="79"/>
      <c r="Q874" s="79"/>
      <c r="R874" s="79"/>
      <c r="S874" s="79"/>
      <c r="T874" s="79"/>
      <c r="U874" s="79"/>
      <c r="V874" s="79"/>
      <c r="W874" s="79"/>
      <c r="X874" s="79"/>
      <c r="Y874" s="79"/>
      <c r="Z874" s="79"/>
      <c r="AA874" s="79"/>
      <c r="AB874" s="79"/>
    </row>
    <row r="875" spans="1:28" ht="15.8" customHeight="1" x14ac:dyDescent="0.15">
      <c r="A875" s="79"/>
      <c r="B875" s="79"/>
      <c r="C875" s="79"/>
      <c r="D875" s="79"/>
      <c r="E875" s="79"/>
      <c r="F875" s="79"/>
      <c r="G875" s="79"/>
      <c r="H875" s="79"/>
      <c r="I875" s="79"/>
      <c r="J875" s="87"/>
      <c r="K875" s="87"/>
      <c r="L875" s="87"/>
      <c r="M875" s="87"/>
      <c r="N875" s="79"/>
      <c r="O875" s="79"/>
      <c r="P875" s="79"/>
      <c r="Q875" s="79"/>
      <c r="R875" s="79"/>
      <c r="S875" s="79"/>
      <c r="T875" s="79"/>
      <c r="U875" s="79"/>
      <c r="V875" s="79"/>
      <c r="W875" s="79"/>
      <c r="X875" s="79"/>
      <c r="Y875" s="79"/>
      <c r="Z875" s="79"/>
      <c r="AA875" s="79"/>
      <c r="AB875" s="79"/>
    </row>
    <row r="876" spans="1:28" ht="15.8" customHeight="1" x14ac:dyDescent="0.15">
      <c r="A876" s="79"/>
      <c r="B876" s="79"/>
      <c r="C876" s="79"/>
      <c r="D876" s="79"/>
      <c r="E876" s="79"/>
      <c r="F876" s="79"/>
      <c r="G876" s="79"/>
      <c r="H876" s="79"/>
      <c r="I876" s="79"/>
      <c r="J876" s="87"/>
      <c r="K876" s="87"/>
      <c r="L876" s="87"/>
      <c r="M876" s="87"/>
      <c r="N876" s="79"/>
      <c r="O876" s="79"/>
      <c r="P876" s="79"/>
      <c r="Q876" s="79"/>
      <c r="R876" s="79"/>
      <c r="S876" s="79"/>
      <c r="T876" s="79"/>
      <c r="U876" s="79"/>
      <c r="V876" s="79"/>
      <c r="W876" s="79"/>
      <c r="X876" s="79"/>
      <c r="Y876" s="79"/>
      <c r="Z876" s="79"/>
      <c r="AA876" s="79"/>
      <c r="AB876" s="79"/>
    </row>
    <row r="877" spans="1:28" ht="15.8" customHeight="1" x14ac:dyDescent="0.15">
      <c r="A877" s="79"/>
      <c r="B877" s="79"/>
      <c r="C877" s="79"/>
      <c r="D877" s="79"/>
      <c r="E877" s="79"/>
      <c r="F877" s="79"/>
      <c r="G877" s="79"/>
      <c r="H877" s="79"/>
      <c r="I877" s="79"/>
      <c r="J877" s="87"/>
      <c r="K877" s="87"/>
      <c r="L877" s="87"/>
      <c r="M877" s="87"/>
      <c r="N877" s="79"/>
      <c r="O877" s="79"/>
      <c r="P877" s="79"/>
      <c r="Q877" s="79"/>
      <c r="R877" s="79"/>
      <c r="S877" s="79"/>
      <c r="T877" s="79"/>
      <c r="U877" s="79"/>
      <c r="V877" s="79"/>
      <c r="W877" s="79"/>
      <c r="X877" s="79"/>
      <c r="Y877" s="79"/>
      <c r="Z877" s="79"/>
      <c r="AA877" s="79"/>
      <c r="AB877" s="79"/>
    </row>
    <row r="878" spans="1:28" ht="15.8" customHeight="1" x14ac:dyDescent="0.15">
      <c r="A878" s="79"/>
      <c r="B878" s="79"/>
      <c r="C878" s="79"/>
      <c r="D878" s="79"/>
      <c r="E878" s="79"/>
      <c r="F878" s="79"/>
      <c r="G878" s="79"/>
      <c r="H878" s="79"/>
      <c r="I878" s="79"/>
      <c r="J878" s="87"/>
      <c r="K878" s="87"/>
      <c r="L878" s="87"/>
      <c r="M878" s="87"/>
      <c r="N878" s="79"/>
      <c r="O878" s="79"/>
      <c r="P878" s="79"/>
      <c r="Q878" s="79"/>
      <c r="R878" s="79"/>
      <c r="S878" s="79"/>
      <c r="T878" s="79"/>
      <c r="U878" s="79"/>
      <c r="V878" s="79"/>
      <c r="W878" s="79"/>
      <c r="X878" s="79"/>
      <c r="Y878" s="79"/>
      <c r="Z878" s="79"/>
      <c r="AA878" s="79"/>
      <c r="AB878" s="79"/>
    </row>
    <row r="879" spans="1:28" ht="15.8" customHeight="1" x14ac:dyDescent="0.15">
      <c r="A879" s="79"/>
      <c r="B879" s="79"/>
      <c r="C879" s="79"/>
      <c r="D879" s="79"/>
      <c r="E879" s="79"/>
      <c r="F879" s="79"/>
      <c r="G879" s="79"/>
      <c r="H879" s="79"/>
      <c r="I879" s="79"/>
      <c r="J879" s="87"/>
      <c r="K879" s="87"/>
      <c r="L879" s="87"/>
      <c r="M879" s="87"/>
      <c r="N879" s="79"/>
      <c r="O879" s="79"/>
      <c r="P879" s="79"/>
      <c r="Q879" s="79"/>
      <c r="R879" s="79"/>
      <c r="S879" s="79"/>
      <c r="T879" s="79"/>
      <c r="U879" s="79"/>
      <c r="V879" s="79"/>
      <c r="W879" s="79"/>
      <c r="X879" s="79"/>
      <c r="Y879" s="79"/>
      <c r="Z879" s="79"/>
      <c r="AA879" s="79"/>
      <c r="AB879" s="79"/>
    </row>
    <row r="880" spans="1:28" ht="15.8" customHeight="1" x14ac:dyDescent="0.15">
      <c r="A880" s="79"/>
      <c r="B880" s="79"/>
      <c r="C880" s="79"/>
      <c r="D880" s="79"/>
      <c r="E880" s="79"/>
      <c r="F880" s="79"/>
      <c r="G880" s="79"/>
      <c r="H880" s="79"/>
      <c r="I880" s="79"/>
      <c r="J880" s="87"/>
      <c r="K880" s="87"/>
      <c r="L880" s="87"/>
      <c r="M880" s="87"/>
      <c r="N880" s="79"/>
      <c r="O880" s="79"/>
      <c r="P880" s="79"/>
      <c r="Q880" s="79"/>
      <c r="R880" s="79"/>
      <c r="S880" s="79"/>
      <c r="T880" s="79"/>
      <c r="U880" s="79"/>
      <c r="V880" s="79"/>
      <c r="W880" s="79"/>
      <c r="X880" s="79"/>
      <c r="Y880" s="79"/>
      <c r="Z880" s="79"/>
      <c r="AA880" s="79"/>
      <c r="AB880" s="79"/>
    </row>
    <row r="881" spans="1:28" ht="15.8" customHeight="1" x14ac:dyDescent="0.15">
      <c r="A881" s="79"/>
      <c r="B881" s="79"/>
      <c r="C881" s="79"/>
      <c r="D881" s="79"/>
      <c r="E881" s="79"/>
      <c r="F881" s="79"/>
      <c r="G881" s="79"/>
      <c r="H881" s="79"/>
      <c r="I881" s="79"/>
      <c r="J881" s="87"/>
      <c r="K881" s="87"/>
      <c r="L881" s="87"/>
      <c r="M881" s="87"/>
      <c r="N881" s="79"/>
      <c r="O881" s="79"/>
      <c r="P881" s="79"/>
      <c r="Q881" s="79"/>
      <c r="R881" s="79"/>
      <c r="S881" s="79"/>
      <c r="T881" s="79"/>
      <c r="U881" s="79"/>
      <c r="V881" s="79"/>
      <c r="W881" s="79"/>
      <c r="X881" s="79"/>
      <c r="Y881" s="79"/>
      <c r="Z881" s="79"/>
      <c r="AA881" s="79"/>
      <c r="AB881" s="79"/>
    </row>
    <row r="882" spans="1:28" ht="15.8" customHeight="1" x14ac:dyDescent="0.15">
      <c r="A882" s="79"/>
      <c r="B882" s="79"/>
      <c r="C882" s="79"/>
      <c r="D882" s="79"/>
      <c r="E882" s="79"/>
      <c r="F882" s="79"/>
      <c r="G882" s="79"/>
      <c r="H882" s="79"/>
      <c r="I882" s="79"/>
      <c r="J882" s="87"/>
      <c r="K882" s="87"/>
      <c r="L882" s="87"/>
      <c r="M882" s="87"/>
      <c r="N882" s="79"/>
      <c r="O882" s="79"/>
      <c r="P882" s="79"/>
      <c r="Q882" s="79"/>
      <c r="R882" s="79"/>
      <c r="S882" s="79"/>
      <c r="T882" s="79"/>
      <c r="U882" s="79"/>
      <c r="V882" s="79"/>
      <c r="W882" s="79"/>
      <c r="X882" s="79"/>
      <c r="Y882" s="79"/>
      <c r="Z882" s="79"/>
      <c r="AA882" s="79"/>
      <c r="AB882" s="79"/>
    </row>
    <row r="883" spans="1:28" ht="15.8" customHeight="1" x14ac:dyDescent="0.15">
      <c r="A883" s="79"/>
      <c r="B883" s="79"/>
      <c r="C883" s="79"/>
      <c r="D883" s="79"/>
      <c r="E883" s="79"/>
      <c r="F883" s="79"/>
      <c r="G883" s="79"/>
      <c r="H883" s="79"/>
      <c r="I883" s="79"/>
      <c r="J883" s="87"/>
      <c r="K883" s="87"/>
      <c r="L883" s="87"/>
      <c r="M883" s="87"/>
      <c r="N883" s="79"/>
      <c r="O883" s="79"/>
      <c r="P883" s="79"/>
      <c r="Q883" s="79"/>
      <c r="R883" s="79"/>
      <c r="S883" s="79"/>
      <c r="T883" s="79"/>
      <c r="U883" s="79"/>
      <c r="V883" s="79"/>
      <c r="W883" s="79"/>
      <c r="X883" s="79"/>
      <c r="Y883" s="79"/>
      <c r="Z883" s="79"/>
      <c r="AA883" s="79"/>
      <c r="AB883" s="79"/>
    </row>
    <row r="884" spans="1:28" ht="15.8" customHeight="1" x14ac:dyDescent="0.15">
      <c r="A884" s="79"/>
      <c r="B884" s="79"/>
      <c r="C884" s="79"/>
      <c r="D884" s="79"/>
      <c r="E884" s="79"/>
      <c r="F884" s="79"/>
      <c r="G884" s="79"/>
      <c r="H884" s="79"/>
      <c r="I884" s="79"/>
      <c r="J884" s="87"/>
      <c r="K884" s="87"/>
      <c r="L884" s="87"/>
      <c r="M884" s="87"/>
      <c r="N884" s="79"/>
      <c r="O884" s="79"/>
      <c r="P884" s="79"/>
      <c r="Q884" s="79"/>
      <c r="R884" s="79"/>
      <c r="S884" s="79"/>
      <c r="T884" s="79"/>
      <c r="U884" s="79"/>
      <c r="V884" s="79"/>
      <c r="W884" s="79"/>
      <c r="X884" s="79"/>
      <c r="Y884" s="79"/>
      <c r="Z884" s="79"/>
      <c r="AA884" s="79"/>
      <c r="AB884" s="79"/>
    </row>
    <row r="885" spans="1:28" ht="15.8" customHeight="1" x14ac:dyDescent="0.15">
      <c r="A885" s="79"/>
      <c r="B885" s="79"/>
      <c r="C885" s="79"/>
      <c r="D885" s="79"/>
      <c r="E885" s="79"/>
      <c r="F885" s="79"/>
      <c r="G885" s="79"/>
      <c r="H885" s="79"/>
      <c r="I885" s="79"/>
      <c r="J885" s="87"/>
      <c r="K885" s="87"/>
      <c r="L885" s="87"/>
      <c r="M885" s="87"/>
      <c r="N885" s="79"/>
      <c r="O885" s="79"/>
      <c r="P885" s="79"/>
      <c r="Q885" s="79"/>
      <c r="R885" s="79"/>
      <c r="S885" s="79"/>
      <c r="T885" s="79"/>
      <c r="U885" s="79"/>
      <c r="V885" s="79"/>
      <c r="W885" s="79"/>
      <c r="X885" s="79"/>
      <c r="Y885" s="79"/>
      <c r="Z885" s="79"/>
      <c r="AA885" s="79"/>
      <c r="AB885" s="79"/>
    </row>
    <row r="886" spans="1:28" ht="15.8" customHeight="1" x14ac:dyDescent="0.15">
      <c r="A886" s="79"/>
      <c r="B886" s="79"/>
      <c r="C886" s="79"/>
      <c r="D886" s="79"/>
      <c r="E886" s="79"/>
      <c r="F886" s="79"/>
      <c r="G886" s="79"/>
      <c r="H886" s="79"/>
      <c r="I886" s="79"/>
      <c r="J886" s="87"/>
      <c r="K886" s="87"/>
      <c r="L886" s="87"/>
      <c r="M886" s="87"/>
      <c r="N886" s="79"/>
      <c r="O886" s="79"/>
      <c r="P886" s="79"/>
      <c r="Q886" s="79"/>
      <c r="R886" s="79"/>
      <c r="S886" s="79"/>
      <c r="T886" s="79"/>
      <c r="U886" s="79"/>
      <c r="V886" s="79"/>
      <c r="W886" s="79"/>
      <c r="X886" s="79"/>
      <c r="Y886" s="79"/>
      <c r="Z886" s="79"/>
      <c r="AA886" s="79"/>
      <c r="AB886" s="79"/>
    </row>
    <row r="887" spans="1:28" ht="15.8" customHeight="1" x14ac:dyDescent="0.15">
      <c r="A887" s="79"/>
      <c r="B887" s="79"/>
      <c r="C887" s="79"/>
      <c r="D887" s="79"/>
      <c r="E887" s="79"/>
      <c r="F887" s="79"/>
      <c r="G887" s="79"/>
      <c r="H887" s="79"/>
      <c r="I887" s="79"/>
      <c r="J887" s="87"/>
      <c r="K887" s="87"/>
      <c r="L887" s="87"/>
      <c r="M887" s="87"/>
      <c r="N887" s="79"/>
      <c r="O887" s="79"/>
      <c r="P887" s="79"/>
      <c r="Q887" s="79"/>
      <c r="R887" s="79"/>
      <c r="S887" s="79"/>
      <c r="T887" s="79"/>
      <c r="U887" s="79"/>
      <c r="V887" s="79"/>
      <c r="W887" s="79"/>
      <c r="X887" s="79"/>
      <c r="Y887" s="79"/>
      <c r="Z887" s="79"/>
      <c r="AA887" s="79"/>
      <c r="AB887" s="79"/>
    </row>
    <row r="888" spans="1:28" ht="15.8" customHeight="1" x14ac:dyDescent="0.15">
      <c r="A888" s="79"/>
      <c r="B888" s="79"/>
      <c r="C888" s="79"/>
      <c r="D888" s="79"/>
      <c r="E888" s="79"/>
      <c r="F888" s="79"/>
      <c r="G888" s="79"/>
      <c r="H888" s="79"/>
      <c r="I888" s="79"/>
      <c r="J888" s="87"/>
      <c r="K888" s="87"/>
      <c r="L888" s="87"/>
      <c r="M888" s="87"/>
      <c r="N888" s="79"/>
      <c r="O888" s="79"/>
      <c r="P888" s="79"/>
      <c r="Q888" s="79"/>
      <c r="R888" s="79"/>
      <c r="S888" s="79"/>
      <c r="T888" s="79"/>
      <c r="U888" s="79"/>
      <c r="V888" s="79"/>
      <c r="W888" s="79"/>
      <c r="X888" s="79"/>
      <c r="Y888" s="79"/>
      <c r="Z888" s="79"/>
      <c r="AA888" s="79"/>
      <c r="AB888" s="79"/>
    </row>
    <row r="889" spans="1:28" ht="15.8" customHeight="1" x14ac:dyDescent="0.15">
      <c r="A889" s="79"/>
      <c r="B889" s="79"/>
      <c r="C889" s="79"/>
      <c r="D889" s="79"/>
      <c r="E889" s="79"/>
      <c r="F889" s="79"/>
      <c r="G889" s="79"/>
      <c r="H889" s="79"/>
      <c r="I889" s="79"/>
      <c r="J889" s="87"/>
      <c r="K889" s="87"/>
      <c r="L889" s="87"/>
      <c r="M889" s="87"/>
      <c r="N889" s="79"/>
      <c r="O889" s="79"/>
      <c r="P889" s="79"/>
      <c r="Q889" s="79"/>
      <c r="R889" s="79"/>
      <c r="S889" s="79"/>
      <c r="T889" s="79"/>
      <c r="U889" s="79"/>
      <c r="V889" s="79"/>
      <c r="W889" s="79"/>
      <c r="X889" s="79"/>
      <c r="Y889" s="79"/>
      <c r="Z889" s="79"/>
      <c r="AA889" s="79"/>
      <c r="AB889" s="79"/>
    </row>
    <row r="890" spans="1:28" ht="15.8" customHeight="1" x14ac:dyDescent="0.15">
      <c r="A890" s="79"/>
      <c r="B890" s="79"/>
      <c r="C890" s="79"/>
      <c r="D890" s="79"/>
      <c r="E890" s="79"/>
      <c r="F890" s="79"/>
      <c r="G890" s="79"/>
      <c r="H890" s="79"/>
      <c r="I890" s="79"/>
      <c r="J890" s="87"/>
      <c r="K890" s="87"/>
      <c r="L890" s="87"/>
      <c r="M890" s="87"/>
      <c r="N890" s="79"/>
      <c r="O890" s="79"/>
      <c r="P890" s="79"/>
      <c r="Q890" s="79"/>
      <c r="R890" s="79"/>
      <c r="S890" s="79"/>
      <c r="T890" s="79"/>
      <c r="U890" s="79"/>
      <c r="V890" s="79"/>
      <c r="W890" s="79"/>
      <c r="X890" s="79"/>
      <c r="Y890" s="79"/>
      <c r="Z890" s="79"/>
      <c r="AA890" s="79"/>
      <c r="AB890" s="79"/>
    </row>
    <row r="891" spans="1:28" ht="15.8" customHeight="1" x14ac:dyDescent="0.15">
      <c r="A891" s="79"/>
      <c r="B891" s="79"/>
      <c r="C891" s="79"/>
      <c r="D891" s="79"/>
      <c r="E891" s="79"/>
      <c r="F891" s="79"/>
      <c r="G891" s="79"/>
      <c r="H891" s="79"/>
      <c r="I891" s="79"/>
      <c r="J891" s="87"/>
      <c r="K891" s="87"/>
      <c r="L891" s="87"/>
      <c r="M891" s="87"/>
      <c r="N891" s="79"/>
      <c r="O891" s="79"/>
      <c r="P891" s="79"/>
      <c r="Q891" s="79"/>
      <c r="R891" s="79"/>
      <c r="S891" s="79"/>
      <c r="T891" s="79"/>
      <c r="U891" s="79"/>
      <c r="V891" s="79"/>
      <c r="W891" s="79"/>
      <c r="X891" s="79"/>
      <c r="Y891" s="79"/>
      <c r="Z891" s="79"/>
      <c r="AA891" s="79"/>
      <c r="AB891" s="79"/>
    </row>
    <row r="892" spans="1:28" ht="15.8" customHeight="1" x14ac:dyDescent="0.15">
      <c r="A892" s="79"/>
      <c r="B892" s="79"/>
      <c r="C892" s="79"/>
      <c r="D892" s="79"/>
      <c r="E892" s="79"/>
      <c r="F892" s="79"/>
      <c r="G892" s="79"/>
      <c r="H892" s="79"/>
      <c r="I892" s="79"/>
      <c r="J892" s="87"/>
      <c r="K892" s="87"/>
      <c r="L892" s="87"/>
      <c r="M892" s="87"/>
      <c r="N892" s="79"/>
      <c r="O892" s="79"/>
      <c r="P892" s="79"/>
      <c r="Q892" s="79"/>
      <c r="R892" s="79"/>
      <c r="S892" s="79"/>
      <c r="T892" s="79"/>
      <c r="U892" s="79"/>
      <c r="V892" s="79"/>
      <c r="W892" s="79"/>
      <c r="X892" s="79"/>
      <c r="Y892" s="79"/>
      <c r="Z892" s="79"/>
      <c r="AA892" s="79"/>
      <c r="AB892" s="79"/>
    </row>
    <row r="893" spans="1:28" ht="15.8" customHeight="1" x14ac:dyDescent="0.15">
      <c r="A893" s="79"/>
      <c r="B893" s="79"/>
      <c r="C893" s="79"/>
      <c r="D893" s="79"/>
      <c r="E893" s="79"/>
      <c r="F893" s="79"/>
      <c r="G893" s="79"/>
      <c r="H893" s="79"/>
      <c r="I893" s="79"/>
      <c r="J893" s="87"/>
      <c r="K893" s="87"/>
      <c r="L893" s="87"/>
      <c r="M893" s="87"/>
      <c r="N893" s="79"/>
      <c r="O893" s="79"/>
      <c r="P893" s="79"/>
      <c r="Q893" s="79"/>
      <c r="R893" s="79"/>
      <c r="S893" s="79"/>
      <c r="T893" s="79"/>
      <c r="U893" s="79"/>
      <c r="V893" s="79"/>
      <c r="W893" s="79"/>
      <c r="X893" s="79"/>
      <c r="Y893" s="79"/>
      <c r="Z893" s="79"/>
      <c r="AA893" s="79"/>
      <c r="AB893" s="79"/>
    </row>
    <row r="894" spans="1:28" ht="15.8" customHeight="1" x14ac:dyDescent="0.15">
      <c r="A894" s="79"/>
      <c r="B894" s="79"/>
      <c r="C894" s="79"/>
      <c r="D894" s="79"/>
      <c r="E894" s="79"/>
      <c r="F894" s="79"/>
      <c r="G894" s="79"/>
      <c r="H894" s="79"/>
      <c r="I894" s="79"/>
      <c r="J894" s="87"/>
      <c r="K894" s="87"/>
      <c r="L894" s="87"/>
      <c r="M894" s="87"/>
      <c r="N894" s="79"/>
      <c r="O894" s="79"/>
      <c r="P894" s="79"/>
      <c r="Q894" s="79"/>
      <c r="R894" s="79"/>
      <c r="S894" s="79"/>
      <c r="T894" s="79"/>
      <c r="U894" s="79"/>
      <c r="V894" s="79"/>
      <c r="W894" s="79"/>
      <c r="X894" s="79"/>
      <c r="Y894" s="79"/>
      <c r="Z894" s="79"/>
      <c r="AA894" s="79"/>
      <c r="AB894" s="79"/>
    </row>
    <row r="895" spans="1:28" ht="15.8" customHeight="1" x14ac:dyDescent="0.15">
      <c r="A895" s="79"/>
      <c r="B895" s="79"/>
      <c r="C895" s="79"/>
      <c r="D895" s="79"/>
      <c r="E895" s="79"/>
      <c r="F895" s="79"/>
      <c r="G895" s="79"/>
      <c r="H895" s="79"/>
      <c r="I895" s="79"/>
      <c r="J895" s="87"/>
      <c r="K895" s="87"/>
      <c r="L895" s="87"/>
      <c r="M895" s="87"/>
      <c r="N895" s="79"/>
      <c r="O895" s="79"/>
      <c r="P895" s="79"/>
      <c r="Q895" s="79"/>
      <c r="R895" s="79"/>
      <c r="S895" s="79"/>
      <c r="T895" s="79"/>
      <c r="U895" s="79"/>
      <c r="V895" s="79"/>
      <c r="W895" s="79"/>
      <c r="X895" s="79"/>
      <c r="Y895" s="79"/>
      <c r="Z895" s="79"/>
      <c r="AA895" s="79"/>
      <c r="AB895" s="79"/>
    </row>
    <row r="896" spans="1:28" ht="15.8" customHeight="1" x14ac:dyDescent="0.15">
      <c r="A896" s="79"/>
      <c r="B896" s="79"/>
      <c r="C896" s="79"/>
      <c r="D896" s="79"/>
      <c r="E896" s="79"/>
      <c r="F896" s="79"/>
      <c r="G896" s="79"/>
      <c r="H896" s="79"/>
      <c r="I896" s="79"/>
      <c r="J896" s="87"/>
      <c r="K896" s="87"/>
      <c r="L896" s="87"/>
      <c r="M896" s="87"/>
      <c r="N896" s="79"/>
      <c r="O896" s="79"/>
      <c r="P896" s="79"/>
      <c r="Q896" s="79"/>
      <c r="R896" s="79"/>
      <c r="S896" s="79"/>
      <c r="T896" s="79"/>
      <c r="U896" s="79"/>
      <c r="V896" s="79"/>
      <c r="W896" s="79"/>
      <c r="X896" s="79"/>
      <c r="Y896" s="79"/>
      <c r="Z896" s="79"/>
      <c r="AA896" s="79"/>
      <c r="AB896" s="79"/>
    </row>
    <row r="897" spans="1:28" ht="15.8" customHeight="1" x14ac:dyDescent="0.15">
      <c r="A897" s="79"/>
      <c r="B897" s="79"/>
      <c r="C897" s="79"/>
      <c r="D897" s="79"/>
      <c r="E897" s="79"/>
      <c r="F897" s="79"/>
      <c r="G897" s="79"/>
      <c r="H897" s="79"/>
      <c r="I897" s="79"/>
      <c r="J897" s="87"/>
      <c r="K897" s="87"/>
      <c r="L897" s="87"/>
      <c r="M897" s="87"/>
      <c r="N897" s="79"/>
      <c r="O897" s="79"/>
      <c r="P897" s="79"/>
      <c r="Q897" s="79"/>
      <c r="R897" s="79"/>
      <c r="S897" s="79"/>
      <c r="T897" s="79"/>
      <c r="U897" s="79"/>
      <c r="V897" s="79"/>
      <c r="W897" s="79"/>
      <c r="X897" s="79"/>
      <c r="Y897" s="79"/>
      <c r="Z897" s="79"/>
      <c r="AA897" s="79"/>
      <c r="AB897" s="79"/>
    </row>
    <row r="898" spans="1:28" ht="15.8" customHeight="1" x14ac:dyDescent="0.15">
      <c r="A898" s="79"/>
      <c r="B898" s="79"/>
      <c r="C898" s="79"/>
      <c r="D898" s="79"/>
      <c r="E898" s="79"/>
      <c r="F898" s="79"/>
      <c r="G898" s="79"/>
      <c r="H898" s="79"/>
      <c r="I898" s="79"/>
      <c r="J898" s="87"/>
      <c r="K898" s="87"/>
      <c r="L898" s="87"/>
      <c r="M898" s="87"/>
      <c r="N898" s="79"/>
      <c r="O898" s="79"/>
      <c r="P898" s="79"/>
      <c r="Q898" s="79"/>
      <c r="R898" s="79"/>
      <c r="S898" s="79"/>
      <c r="T898" s="79"/>
      <c r="U898" s="79"/>
      <c r="V898" s="79"/>
      <c r="W898" s="79"/>
      <c r="X898" s="79"/>
      <c r="Y898" s="79"/>
      <c r="Z898" s="79"/>
      <c r="AA898" s="79"/>
      <c r="AB898" s="79"/>
    </row>
    <row r="899" spans="1:28" ht="15.8" customHeight="1" x14ac:dyDescent="0.15">
      <c r="A899" s="79"/>
      <c r="B899" s="79"/>
      <c r="C899" s="79"/>
      <c r="D899" s="79"/>
      <c r="E899" s="79"/>
      <c r="F899" s="79"/>
      <c r="G899" s="79"/>
      <c r="H899" s="79"/>
      <c r="I899" s="79"/>
      <c r="J899" s="87"/>
      <c r="K899" s="87"/>
      <c r="L899" s="87"/>
      <c r="M899" s="87"/>
      <c r="N899" s="79"/>
      <c r="O899" s="79"/>
      <c r="P899" s="79"/>
      <c r="Q899" s="79"/>
      <c r="R899" s="79"/>
      <c r="S899" s="79"/>
      <c r="T899" s="79"/>
      <c r="U899" s="79"/>
      <c r="V899" s="79"/>
      <c r="W899" s="79"/>
      <c r="X899" s="79"/>
      <c r="Y899" s="79"/>
      <c r="Z899" s="79"/>
      <c r="AA899" s="79"/>
      <c r="AB899" s="79"/>
    </row>
    <row r="900" spans="1:28" ht="15.8" customHeight="1" x14ac:dyDescent="0.15">
      <c r="A900" s="79"/>
      <c r="B900" s="79"/>
      <c r="C900" s="79"/>
      <c r="D900" s="79"/>
      <c r="E900" s="79"/>
      <c r="F900" s="79"/>
      <c r="G900" s="79"/>
      <c r="H900" s="79"/>
      <c r="I900" s="79"/>
      <c r="J900" s="87"/>
      <c r="K900" s="87"/>
      <c r="L900" s="87"/>
      <c r="M900" s="87"/>
      <c r="N900" s="79"/>
      <c r="O900" s="79"/>
      <c r="P900" s="79"/>
      <c r="Q900" s="79"/>
      <c r="R900" s="79"/>
      <c r="S900" s="79"/>
      <c r="T900" s="79"/>
      <c r="U900" s="79"/>
      <c r="V900" s="79"/>
      <c r="W900" s="79"/>
      <c r="X900" s="79"/>
      <c r="Y900" s="79"/>
      <c r="Z900" s="79"/>
      <c r="AA900" s="79"/>
      <c r="AB900" s="79"/>
    </row>
    <row r="901" spans="1:28" ht="15.8" customHeight="1" x14ac:dyDescent="0.15">
      <c r="A901" s="79"/>
      <c r="B901" s="79"/>
      <c r="C901" s="79"/>
      <c r="D901" s="79"/>
      <c r="E901" s="79"/>
      <c r="F901" s="79"/>
      <c r="G901" s="79"/>
      <c r="H901" s="79"/>
      <c r="I901" s="79"/>
      <c r="J901" s="87"/>
      <c r="K901" s="87"/>
      <c r="L901" s="87"/>
      <c r="M901" s="87"/>
      <c r="N901" s="79"/>
      <c r="O901" s="79"/>
      <c r="P901" s="79"/>
      <c r="Q901" s="79"/>
      <c r="R901" s="79"/>
      <c r="S901" s="79"/>
      <c r="T901" s="79"/>
      <c r="U901" s="79"/>
      <c r="V901" s="79"/>
      <c r="W901" s="79"/>
      <c r="X901" s="79"/>
      <c r="Y901" s="79"/>
      <c r="Z901" s="79"/>
      <c r="AA901" s="79"/>
      <c r="AB901" s="79"/>
    </row>
    <row r="902" spans="1:28" ht="15.8" customHeight="1" x14ac:dyDescent="0.15">
      <c r="A902" s="79"/>
      <c r="B902" s="79"/>
      <c r="C902" s="79"/>
      <c r="D902" s="79"/>
      <c r="E902" s="79"/>
      <c r="F902" s="79"/>
      <c r="G902" s="79"/>
      <c r="H902" s="79"/>
      <c r="I902" s="79"/>
      <c r="J902" s="87"/>
      <c r="K902" s="87"/>
      <c r="L902" s="87"/>
      <c r="M902" s="87"/>
      <c r="N902" s="79"/>
      <c r="O902" s="79"/>
      <c r="P902" s="79"/>
      <c r="Q902" s="79"/>
      <c r="R902" s="79"/>
      <c r="S902" s="79"/>
      <c r="T902" s="79"/>
      <c r="U902" s="79"/>
      <c r="V902" s="79"/>
      <c r="W902" s="79"/>
      <c r="X902" s="79"/>
      <c r="Y902" s="79"/>
      <c r="Z902" s="79"/>
      <c r="AA902" s="79"/>
      <c r="AB902" s="79"/>
    </row>
    <row r="903" spans="1:28" ht="15.8" customHeight="1" x14ac:dyDescent="0.15">
      <c r="A903" s="79"/>
      <c r="B903" s="79"/>
      <c r="C903" s="79"/>
      <c r="D903" s="79"/>
      <c r="E903" s="79"/>
      <c r="F903" s="79"/>
      <c r="G903" s="79"/>
      <c r="H903" s="79"/>
      <c r="I903" s="79"/>
      <c r="J903" s="87"/>
      <c r="K903" s="87"/>
      <c r="L903" s="87"/>
      <c r="M903" s="87"/>
      <c r="N903" s="79"/>
      <c r="O903" s="79"/>
      <c r="P903" s="79"/>
      <c r="Q903" s="79"/>
      <c r="R903" s="79"/>
      <c r="S903" s="79"/>
      <c r="T903" s="79"/>
      <c r="U903" s="79"/>
      <c r="V903" s="79"/>
      <c r="W903" s="79"/>
      <c r="X903" s="79"/>
      <c r="Y903" s="79"/>
      <c r="Z903" s="79"/>
      <c r="AA903" s="79"/>
      <c r="AB903" s="79"/>
    </row>
    <row r="904" spans="1:28" ht="15.8" customHeight="1" x14ac:dyDescent="0.15">
      <c r="A904" s="79"/>
      <c r="B904" s="79"/>
      <c r="C904" s="79"/>
      <c r="D904" s="79"/>
      <c r="E904" s="79"/>
      <c r="F904" s="79"/>
      <c r="G904" s="79"/>
      <c r="H904" s="79"/>
      <c r="I904" s="79"/>
      <c r="J904" s="87"/>
      <c r="K904" s="87"/>
      <c r="L904" s="87"/>
      <c r="M904" s="87"/>
      <c r="N904" s="79"/>
      <c r="O904" s="79"/>
      <c r="P904" s="79"/>
      <c r="Q904" s="79"/>
      <c r="R904" s="79"/>
      <c r="S904" s="79"/>
      <c r="T904" s="79"/>
      <c r="U904" s="79"/>
      <c r="V904" s="79"/>
      <c r="W904" s="79"/>
      <c r="X904" s="79"/>
      <c r="Y904" s="79"/>
      <c r="Z904" s="79"/>
      <c r="AA904" s="79"/>
      <c r="AB904" s="79"/>
    </row>
    <row r="905" spans="1:28" ht="15.8" customHeight="1" x14ac:dyDescent="0.15">
      <c r="A905" s="79"/>
      <c r="B905" s="79"/>
      <c r="C905" s="79"/>
      <c r="D905" s="79"/>
      <c r="E905" s="79"/>
      <c r="F905" s="79"/>
      <c r="G905" s="79"/>
      <c r="H905" s="79"/>
      <c r="I905" s="79"/>
      <c r="J905" s="87"/>
      <c r="K905" s="87"/>
      <c r="L905" s="87"/>
      <c r="M905" s="87"/>
      <c r="N905" s="79"/>
      <c r="O905" s="79"/>
      <c r="P905" s="79"/>
      <c r="Q905" s="79"/>
      <c r="R905" s="79"/>
      <c r="S905" s="79"/>
      <c r="T905" s="79"/>
      <c r="U905" s="79"/>
      <c r="V905" s="79"/>
      <c r="W905" s="79"/>
      <c r="X905" s="79"/>
      <c r="Y905" s="79"/>
      <c r="Z905" s="79"/>
      <c r="AA905" s="79"/>
      <c r="AB905" s="79"/>
    </row>
    <row r="906" spans="1:28" ht="15.8" customHeight="1" x14ac:dyDescent="0.15">
      <c r="A906" s="79"/>
      <c r="B906" s="79"/>
      <c r="C906" s="79"/>
      <c r="D906" s="79"/>
      <c r="E906" s="79"/>
      <c r="F906" s="79"/>
      <c r="G906" s="79"/>
      <c r="H906" s="79"/>
      <c r="I906" s="79"/>
      <c r="J906" s="87"/>
      <c r="K906" s="87"/>
      <c r="L906" s="87"/>
      <c r="M906" s="87"/>
      <c r="N906" s="79"/>
      <c r="O906" s="79"/>
      <c r="P906" s="79"/>
      <c r="Q906" s="79"/>
      <c r="R906" s="79"/>
      <c r="S906" s="79"/>
      <c r="T906" s="79"/>
      <c r="U906" s="79"/>
      <c r="V906" s="79"/>
      <c r="W906" s="79"/>
      <c r="X906" s="79"/>
      <c r="Y906" s="79"/>
      <c r="Z906" s="79"/>
      <c r="AA906" s="79"/>
      <c r="AB906" s="79"/>
    </row>
    <row r="907" spans="1:28" ht="15.8" customHeight="1" x14ac:dyDescent="0.15">
      <c r="A907" s="79"/>
      <c r="B907" s="79"/>
      <c r="C907" s="79"/>
      <c r="D907" s="79"/>
      <c r="E907" s="79"/>
      <c r="F907" s="79"/>
      <c r="G907" s="79"/>
      <c r="H907" s="79"/>
      <c r="I907" s="79"/>
      <c r="J907" s="87"/>
      <c r="K907" s="87"/>
      <c r="L907" s="87"/>
      <c r="M907" s="87"/>
      <c r="N907" s="79"/>
      <c r="O907" s="79"/>
      <c r="P907" s="79"/>
      <c r="Q907" s="79"/>
      <c r="R907" s="79"/>
      <c r="S907" s="79"/>
      <c r="T907" s="79"/>
      <c r="U907" s="79"/>
      <c r="V907" s="79"/>
      <c r="W907" s="79"/>
      <c r="X907" s="79"/>
      <c r="Y907" s="79"/>
      <c r="Z907" s="79"/>
      <c r="AA907" s="79"/>
      <c r="AB907" s="79"/>
    </row>
    <row r="908" spans="1:28" ht="15.8" customHeight="1" x14ac:dyDescent="0.15">
      <c r="A908" s="79"/>
      <c r="B908" s="79"/>
      <c r="C908" s="79"/>
      <c r="D908" s="79"/>
      <c r="E908" s="79"/>
      <c r="F908" s="79"/>
      <c r="G908" s="79"/>
      <c r="H908" s="79"/>
      <c r="I908" s="79"/>
      <c r="J908" s="87"/>
      <c r="K908" s="87"/>
      <c r="L908" s="87"/>
      <c r="M908" s="87"/>
      <c r="N908" s="79"/>
      <c r="O908" s="79"/>
      <c r="P908" s="79"/>
      <c r="Q908" s="79"/>
      <c r="R908" s="79"/>
      <c r="S908" s="79"/>
      <c r="T908" s="79"/>
      <c r="U908" s="79"/>
      <c r="V908" s="79"/>
      <c r="W908" s="79"/>
      <c r="X908" s="79"/>
      <c r="Y908" s="79"/>
      <c r="Z908" s="79"/>
      <c r="AA908" s="79"/>
      <c r="AB908" s="79"/>
    </row>
    <row r="909" spans="1:28" ht="15.8" customHeight="1" x14ac:dyDescent="0.15">
      <c r="A909" s="79"/>
      <c r="B909" s="79"/>
      <c r="C909" s="79"/>
      <c r="D909" s="79"/>
      <c r="E909" s="79"/>
      <c r="F909" s="79"/>
      <c r="G909" s="79"/>
      <c r="H909" s="79"/>
      <c r="I909" s="79"/>
      <c r="J909" s="87"/>
      <c r="K909" s="87"/>
      <c r="L909" s="87"/>
      <c r="M909" s="87"/>
      <c r="N909" s="79"/>
      <c r="O909" s="79"/>
      <c r="P909" s="79"/>
      <c r="Q909" s="79"/>
      <c r="R909" s="79"/>
      <c r="S909" s="79"/>
      <c r="T909" s="79"/>
      <c r="U909" s="79"/>
      <c r="V909" s="79"/>
      <c r="W909" s="79"/>
      <c r="X909" s="79"/>
      <c r="Y909" s="79"/>
      <c r="Z909" s="79"/>
      <c r="AA909" s="79"/>
      <c r="AB909" s="79"/>
    </row>
    <row r="910" spans="1:28" ht="15.8" customHeight="1" x14ac:dyDescent="0.15">
      <c r="A910" s="79"/>
      <c r="B910" s="79"/>
      <c r="C910" s="79"/>
      <c r="D910" s="79"/>
      <c r="E910" s="79"/>
      <c r="F910" s="79"/>
      <c r="G910" s="79"/>
      <c r="H910" s="79"/>
      <c r="I910" s="79"/>
      <c r="J910" s="87"/>
      <c r="K910" s="87"/>
      <c r="L910" s="87"/>
      <c r="M910" s="87"/>
      <c r="N910" s="79"/>
      <c r="O910" s="79"/>
      <c r="P910" s="79"/>
      <c r="Q910" s="79"/>
      <c r="R910" s="79"/>
      <c r="S910" s="79"/>
      <c r="T910" s="79"/>
      <c r="U910" s="79"/>
      <c r="V910" s="79"/>
      <c r="W910" s="79"/>
      <c r="X910" s="79"/>
      <c r="Y910" s="79"/>
      <c r="Z910" s="79"/>
      <c r="AA910" s="79"/>
      <c r="AB910" s="79"/>
    </row>
    <row r="911" spans="1:28" ht="15.8" customHeight="1" x14ac:dyDescent="0.15">
      <c r="A911" s="79"/>
      <c r="B911" s="79"/>
      <c r="C911" s="79"/>
      <c r="D911" s="79"/>
      <c r="E911" s="79"/>
      <c r="F911" s="79"/>
      <c r="G911" s="79"/>
      <c r="H911" s="79"/>
      <c r="I911" s="79"/>
      <c r="J911" s="87"/>
      <c r="K911" s="87"/>
      <c r="L911" s="87"/>
      <c r="M911" s="87"/>
      <c r="N911" s="79"/>
      <c r="O911" s="79"/>
      <c r="P911" s="79"/>
      <c r="Q911" s="79"/>
      <c r="R911" s="79"/>
      <c r="S911" s="79"/>
      <c r="T911" s="79"/>
      <c r="U911" s="79"/>
      <c r="V911" s="79"/>
      <c r="W911" s="79"/>
      <c r="X911" s="79"/>
      <c r="Y911" s="79"/>
      <c r="Z911" s="79"/>
      <c r="AA911" s="79"/>
      <c r="AB911" s="79"/>
    </row>
    <row r="912" spans="1:28" ht="15.8" customHeight="1" x14ac:dyDescent="0.15">
      <c r="A912" s="79"/>
      <c r="B912" s="79"/>
      <c r="C912" s="79"/>
      <c r="D912" s="79"/>
      <c r="E912" s="79"/>
      <c r="F912" s="79"/>
      <c r="G912" s="79"/>
      <c r="H912" s="79"/>
      <c r="I912" s="79"/>
      <c r="J912" s="87"/>
      <c r="K912" s="87"/>
      <c r="L912" s="87"/>
      <c r="M912" s="87"/>
      <c r="N912" s="79"/>
      <c r="O912" s="79"/>
      <c r="P912" s="79"/>
      <c r="Q912" s="79"/>
      <c r="R912" s="79"/>
      <c r="S912" s="79"/>
      <c r="T912" s="79"/>
      <c r="U912" s="79"/>
      <c r="V912" s="79"/>
      <c r="W912" s="79"/>
      <c r="X912" s="79"/>
      <c r="Y912" s="79"/>
      <c r="Z912" s="79"/>
      <c r="AA912" s="79"/>
      <c r="AB912" s="79"/>
    </row>
    <row r="913" spans="1:28" ht="15.8" customHeight="1" x14ac:dyDescent="0.15">
      <c r="A913" s="79"/>
      <c r="B913" s="79"/>
      <c r="C913" s="79"/>
      <c r="D913" s="79"/>
      <c r="E913" s="79"/>
      <c r="F913" s="79"/>
      <c r="G913" s="79"/>
      <c r="H913" s="79"/>
      <c r="I913" s="79"/>
      <c r="J913" s="87"/>
      <c r="K913" s="87"/>
      <c r="L913" s="87"/>
      <c r="M913" s="87"/>
      <c r="N913" s="79"/>
      <c r="O913" s="79"/>
      <c r="P913" s="79"/>
      <c r="Q913" s="79"/>
      <c r="R913" s="79"/>
      <c r="S913" s="79"/>
      <c r="T913" s="79"/>
      <c r="U913" s="79"/>
      <c r="V913" s="79"/>
      <c r="W913" s="79"/>
      <c r="X913" s="79"/>
      <c r="Y913" s="79"/>
      <c r="Z913" s="79"/>
      <c r="AA913" s="79"/>
      <c r="AB913" s="79"/>
    </row>
    <row r="914" spans="1:28" ht="15.8" customHeight="1" x14ac:dyDescent="0.15">
      <c r="A914" s="79"/>
      <c r="B914" s="79"/>
      <c r="C914" s="79"/>
      <c r="D914" s="79"/>
      <c r="E914" s="79"/>
      <c r="F914" s="79"/>
      <c r="G914" s="79"/>
      <c r="H914" s="79"/>
      <c r="I914" s="79"/>
      <c r="J914" s="87"/>
      <c r="K914" s="87"/>
      <c r="L914" s="87"/>
      <c r="M914" s="87"/>
      <c r="N914" s="79"/>
      <c r="O914" s="79"/>
      <c r="P914" s="79"/>
      <c r="Q914" s="79"/>
      <c r="R914" s="79"/>
      <c r="S914" s="79"/>
      <c r="T914" s="79"/>
      <c r="U914" s="79"/>
      <c r="V914" s="79"/>
      <c r="W914" s="79"/>
      <c r="X914" s="79"/>
      <c r="Y914" s="79"/>
      <c r="Z914" s="79"/>
      <c r="AA914" s="79"/>
      <c r="AB914" s="79"/>
    </row>
    <row r="915" spans="1:28" ht="15.8" customHeight="1" x14ac:dyDescent="0.15">
      <c r="A915" s="79"/>
      <c r="B915" s="79"/>
      <c r="C915" s="79"/>
      <c r="D915" s="79"/>
      <c r="E915" s="79"/>
      <c r="F915" s="79"/>
      <c r="G915" s="79"/>
      <c r="H915" s="79"/>
      <c r="I915" s="79"/>
      <c r="J915" s="87"/>
      <c r="K915" s="87"/>
      <c r="L915" s="87"/>
      <c r="M915" s="87"/>
      <c r="N915" s="79"/>
      <c r="O915" s="79"/>
      <c r="P915" s="79"/>
      <c r="Q915" s="79"/>
      <c r="R915" s="79"/>
      <c r="S915" s="79"/>
      <c r="T915" s="79"/>
      <c r="U915" s="79"/>
      <c r="V915" s="79"/>
      <c r="W915" s="79"/>
      <c r="X915" s="79"/>
      <c r="Y915" s="79"/>
      <c r="Z915" s="79"/>
      <c r="AA915" s="79"/>
      <c r="AB915" s="79"/>
    </row>
    <row r="916" spans="1:28" ht="15.8" customHeight="1" x14ac:dyDescent="0.15">
      <c r="A916" s="79"/>
      <c r="B916" s="79"/>
      <c r="C916" s="79"/>
      <c r="D916" s="79"/>
      <c r="E916" s="79"/>
      <c r="F916" s="79"/>
      <c r="G916" s="79"/>
      <c r="H916" s="79"/>
      <c r="I916" s="79"/>
      <c r="J916" s="87"/>
      <c r="K916" s="87"/>
      <c r="L916" s="87"/>
      <c r="M916" s="87"/>
      <c r="N916" s="79"/>
      <c r="O916" s="79"/>
      <c r="P916" s="79"/>
      <c r="Q916" s="79"/>
      <c r="R916" s="79"/>
      <c r="S916" s="79"/>
      <c r="T916" s="79"/>
      <c r="U916" s="79"/>
      <c r="V916" s="79"/>
      <c r="W916" s="79"/>
      <c r="X916" s="79"/>
      <c r="Y916" s="79"/>
      <c r="Z916" s="79"/>
      <c r="AA916" s="79"/>
      <c r="AB916" s="79"/>
    </row>
    <row r="917" spans="1:28" ht="15.8" customHeight="1" x14ac:dyDescent="0.15">
      <c r="A917" s="79"/>
      <c r="B917" s="79"/>
      <c r="C917" s="79"/>
      <c r="D917" s="79"/>
      <c r="E917" s="79"/>
      <c r="F917" s="79"/>
      <c r="G917" s="79"/>
      <c r="H917" s="79"/>
      <c r="I917" s="79"/>
      <c r="J917" s="87"/>
      <c r="K917" s="87"/>
      <c r="L917" s="87"/>
      <c r="M917" s="87"/>
      <c r="N917" s="79"/>
      <c r="O917" s="79"/>
      <c r="P917" s="79"/>
      <c r="Q917" s="79"/>
      <c r="R917" s="79"/>
      <c r="S917" s="79"/>
      <c r="T917" s="79"/>
      <c r="U917" s="79"/>
      <c r="V917" s="79"/>
      <c r="W917" s="79"/>
      <c r="X917" s="79"/>
      <c r="Y917" s="79"/>
      <c r="Z917" s="79"/>
      <c r="AA917" s="79"/>
      <c r="AB917" s="79"/>
    </row>
    <row r="918" spans="1:28" ht="15.8" customHeight="1" x14ac:dyDescent="0.15">
      <c r="A918" s="79"/>
      <c r="B918" s="79"/>
      <c r="C918" s="79"/>
      <c r="D918" s="79"/>
      <c r="E918" s="79"/>
      <c r="F918" s="79"/>
      <c r="G918" s="79"/>
      <c r="H918" s="79"/>
      <c r="I918" s="79"/>
      <c r="J918" s="87"/>
      <c r="K918" s="87"/>
      <c r="L918" s="87"/>
      <c r="M918" s="87"/>
      <c r="N918" s="79"/>
      <c r="O918" s="79"/>
      <c r="P918" s="79"/>
      <c r="Q918" s="79"/>
      <c r="R918" s="79"/>
      <c r="S918" s="79"/>
      <c r="T918" s="79"/>
      <c r="U918" s="79"/>
      <c r="V918" s="79"/>
      <c r="W918" s="79"/>
      <c r="X918" s="79"/>
      <c r="Y918" s="79"/>
      <c r="Z918" s="79"/>
      <c r="AA918" s="79"/>
      <c r="AB918" s="79"/>
    </row>
    <row r="919" spans="1:28" ht="15.8" customHeight="1" x14ac:dyDescent="0.15">
      <c r="A919" s="79"/>
      <c r="B919" s="79"/>
      <c r="C919" s="79"/>
      <c r="D919" s="79"/>
      <c r="E919" s="79"/>
      <c r="F919" s="79"/>
      <c r="G919" s="79"/>
      <c r="H919" s="79"/>
      <c r="I919" s="79"/>
      <c r="J919" s="87"/>
      <c r="K919" s="87"/>
      <c r="L919" s="87"/>
      <c r="M919" s="87"/>
      <c r="N919" s="79"/>
      <c r="O919" s="79"/>
      <c r="P919" s="79"/>
      <c r="Q919" s="79"/>
      <c r="R919" s="79"/>
      <c r="S919" s="79"/>
      <c r="T919" s="79"/>
      <c r="U919" s="79"/>
      <c r="V919" s="79"/>
      <c r="W919" s="79"/>
      <c r="X919" s="79"/>
      <c r="Y919" s="79"/>
      <c r="Z919" s="79"/>
      <c r="AA919" s="79"/>
      <c r="AB919" s="79"/>
    </row>
    <row r="920" spans="1:28" ht="15.8" customHeight="1" x14ac:dyDescent="0.15">
      <c r="A920" s="79"/>
      <c r="B920" s="79"/>
      <c r="C920" s="79"/>
      <c r="D920" s="79"/>
      <c r="E920" s="79"/>
      <c r="F920" s="79"/>
      <c r="G920" s="79"/>
      <c r="H920" s="79"/>
      <c r="I920" s="79"/>
      <c r="J920" s="87"/>
      <c r="K920" s="87"/>
      <c r="L920" s="87"/>
      <c r="M920" s="87"/>
      <c r="N920" s="79"/>
      <c r="O920" s="79"/>
      <c r="P920" s="79"/>
      <c r="Q920" s="79"/>
      <c r="R920" s="79"/>
      <c r="S920" s="79"/>
      <c r="T920" s="79"/>
      <c r="U920" s="79"/>
      <c r="V920" s="79"/>
      <c r="W920" s="79"/>
      <c r="X920" s="79"/>
      <c r="Y920" s="79"/>
      <c r="Z920" s="79"/>
      <c r="AA920" s="79"/>
      <c r="AB920" s="79"/>
    </row>
    <row r="921" spans="1:28" ht="15.8" customHeight="1" x14ac:dyDescent="0.15">
      <c r="A921" s="79"/>
      <c r="B921" s="79"/>
      <c r="C921" s="79"/>
      <c r="D921" s="79"/>
      <c r="E921" s="79"/>
      <c r="F921" s="79"/>
      <c r="G921" s="79"/>
      <c r="H921" s="79"/>
      <c r="I921" s="79"/>
      <c r="J921" s="87"/>
      <c r="K921" s="87"/>
      <c r="L921" s="87"/>
      <c r="M921" s="87"/>
      <c r="N921" s="79"/>
      <c r="O921" s="79"/>
      <c r="P921" s="79"/>
      <c r="Q921" s="79"/>
      <c r="R921" s="79"/>
      <c r="S921" s="79"/>
      <c r="T921" s="79"/>
      <c r="U921" s="79"/>
      <c r="V921" s="79"/>
      <c r="W921" s="79"/>
      <c r="X921" s="79"/>
      <c r="Y921" s="79"/>
      <c r="Z921" s="79"/>
      <c r="AA921" s="79"/>
      <c r="AB921" s="79"/>
    </row>
    <row r="922" spans="1:28" ht="15.8" customHeight="1" x14ac:dyDescent="0.15">
      <c r="A922" s="79"/>
      <c r="B922" s="79"/>
      <c r="C922" s="79"/>
      <c r="D922" s="79"/>
      <c r="E922" s="79"/>
      <c r="F922" s="79"/>
      <c r="G922" s="79"/>
      <c r="H922" s="79"/>
      <c r="I922" s="79"/>
      <c r="J922" s="87"/>
      <c r="K922" s="87"/>
      <c r="L922" s="87"/>
      <c r="M922" s="87"/>
      <c r="N922" s="79"/>
      <c r="O922" s="79"/>
      <c r="P922" s="79"/>
      <c r="Q922" s="79"/>
      <c r="R922" s="79"/>
      <c r="S922" s="79"/>
      <c r="T922" s="79"/>
      <c r="U922" s="79"/>
      <c r="V922" s="79"/>
      <c r="W922" s="79"/>
      <c r="X922" s="79"/>
      <c r="Y922" s="79"/>
      <c r="Z922" s="79"/>
      <c r="AA922" s="79"/>
      <c r="AB922" s="79"/>
    </row>
    <row r="923" spans="1:28" ht="15.8" customHeight="1" x14ac:dyDescent="0.15">
      <c r="A923" s="79"/>
      <c r="B923" s="79"/>
      <c r="C923" s="79"/>
      <c r="D923" s="79"/>
      <c r="E923" s="79"/>
      <c r="F923" s="79"/>
      <c r="G923" s="79"/>
      <c r="H923" s="79"/>
      <c r="I923" s="79"/>
      <c r="J923" s="87"/>
      <c r="K923" s="87"/>
      <c r="L923" s="87"/>
      <c r="M923" s="87"/>
      <c r="N923" s="79"/>
      <c r="O923" s="79"/>
      <c r="P923" s="79"/>
      <c r="Q923" s="79"/>
      <c r="R923" s="79"/>
      <c r="S923" s="79"/>
      <c r="T923" s="79"/>
      <c r="U923" s="79"/>
      <c r="V923" s="79"/>
      <c r="W923" s="79"/>
      <c r="X923" s="79"/>
      <c r="Y923" s="79"/>
      <c r="Z923" s="79"/>
      <c r="AA923" s="79"/>
      <c r="AB923" s="79"/>
    </row>
    <row r="924" spans="1:28" ht="15.8" customHeight="1" x14ac:dyDescent="0.15">
      <c r="A924" s="79"/>
      <c r="B924" s="79"/>
      <c r="C924" s="79"/>
      <c r="D924" s="79"/>
      <c r="E924" s="79"/>
      <c r="F924" s="79"/>
      <c r="G924" s="79"/>
      <c r="H924" s="79"/>
      <c r="I924" s="79"/>
      <c r="J924" s="87"/>
      <c r="K924" s="87"/>
      <c r="L924" s="87"/>
      <c r="M924" s="87"/>
      <c r="N924" s="79"/>
      <c r="O924" s="79"/>
      <c r="P924" s="79"/>
      <c r="Q924" s="79"/>
      <c r="R924" s="79"/>
      <c r="S924" s="79"/>
      <c r="T924" s="79"/>
      <c r="U924" s="79"/>
      <c r="V924" s="79"/>
      <c r="W924" s="79"/>
      <c r="X924" s="79"/>
      <c r="Y924" s="79"/>
      <c r="Z924" s="79"/>
      <c r="AA924" s="79"/>
      <c r="AB924" s="79"/>
    </row>
    <row r="925" spans="1:28" ht="15.8" customHeight="1" x14ac:dyDescent="0.15">
      <c r="A925" s="79"/>
      <c r="B925" s="79"/>
      <c r="C925" s="79"/>
      <c r="D925" s="79"/>
      <c r="E925" s="79"/>
      <c r="F925" s="79"/>
      <c r="G925" s="79"/>
      <c r="H925" s="79"/>
      <c r="I925" s="79"/>
      <c r="J925" s="87"/>
      <c r="K925" s="87"/>
      <c r="L925" s="87"/>
      <c r="M925" s="87"/>
      <c r="N925" s="79"/>
      <c r="O925" s="79"/>
      <c r="P925" s="79"/>
      <c r="Q925" s="79"/>
      <c r="R925" s="79"/>
      <c r="S925" s="79"/>
      <c r="T925" s="79"/>
      <c r="U925" s="79"/>
      <c r="V925" s="79"/>
      <c r="W925" s="79"/>
      <c r="X925" s="79"/>
      <c r="Y925" s="79"/>
      <c r="Z925" s="79"/>
      <c r="AA925" s="79"/>
      <c r="AB925" s="79"/>
    </row>
    <row r="926" spans="1:28" ht="15.8" customHeight="1" x14ac:dyDescent="0.15">
      <c r="A926" s="79"/>
      <c r="B926" s="79"/>
      <c r="C926" s="79"/>
      <c r="D926" s="79"/>
      <c r="E926" s="79"/>
      <c r="F926" s="79"/>
      <c r="G926" s="79"/>
      <c r="H926" s="79"/>
      <c r="I926" s="79"/>
      <c r="J926" s="87"/>
      <c r="K926" s="87"/>
      <c r="L926" s="87"/>
      <c r="M926" s="87"/>
      <c r="N926" s="79"/>
      <c r="O926" s="79"/>
      <c r="P926" s="79"/>
      <c r="Q926" s="79"/>
      <c r="R926" s="79"/>
      <c r="S926" s="79"/>
      <c r="T926" s="79"/>
      <c r="U926" s="79"/>
      <c r="V926" s="79"/>
      <c r="W926" s="79"/>
      <c r="X926" s="79"/>
      <c r="Y926" s="79"/>
      <c r="Z926" s="79"/>
      <c r="AA926" s="79"/>
      <c r="AB926" s="79"/>
    </row>
    <row r="927" spans="1:28" ht="15.8" customHeight="1" x14ac:dyDescent="0.15">
      <c r="A927" s="79"/>
      <c r="B927" s="79"/>
      <c r="C927" s="79"/>
      <c r="D927" s="79"/>
      <c r="E927" s="79"/>
      <c r="F927" s="79"/>
      <c r="G927" s="79"/>
      <c r="H927" s="79"/>
      <c r="I927" s="79"/>
      <c r="J927" s="87"/>
      <c r="K927" s="87"/>
      <c r="L927" s="87"/>
      <c r="M927" s="87"/>
      <c r="N927" s="79"/>
      <c r="O927" s="79"/>
      <c r="P927" s="79"/>
      <c r="Q927" s="79"/>
      <c r="R927" s="79"/>
      <c r="S927" s="79"/>
      <c r="T927" s="79"/>
      <c r="U927" s="79"/>
      <c r="V927" s="79"/>
      <c r="W927" s="79"/>
      <c r="X927" s="79"/>
      <c r="Y927" s="79"/>
      <c r="Z927" s="79"/>
      <c r="AA927" s="79"/>
      <c r="AB927" s="79"/>
    </row>
    <row r="928" spans="1:28" ht="15.8" customHeight="1" x14ac:dyDescent="0.15">
      <c r="A928" s="79"/>
      <c r="B928" s="79"/>
      <c r="C928" s="79"/>
      <c r="D928" s="79"/>
      <c r="E928" s="79"/>
      <c r="F928" s="79"/>
      <c r="G928" s="79"/>
      <c r="H928" s="79"/>
      <c r="I928" s="79"/>
      <c r="J928" s="87"/>
      <c r="K928" s="87"/>
      <c r="L928" s="87"/>
      <c r="M928" s="87"/>
      <c r="N928" s="79"/>
      <c r="O928" s="79"/>
      <c r="P928" s="79"/>
      <c r="Q928" s="79"/>
      <c r="R928" s="79"/>
      <c r="S928" s="79"/>
      <c r="T928" s="79"/>
      <c r="U928" s="79"/>
      <c r="V928" s="79"/>
      <c r="W928" s="79"/>
      <c r="X928" s="79"/>
      <c r="Y928" s="79"/>
      <c r="Z928" s="79"/>
      <c r="AA928" s="79"/>
      <c r="AB928" s="79"/>
    </row>
    <row r="929" spans="1:28" ht="15.8" customHeight="1" x14ac:dyDescent="0.15">
      <c r="A929" s="79"/>
      <c r="B929" s="79"/>
      <c r="C929" s="79"/>
      <c r="D929" s="79"/>
      <c r="E929" s="79"/>
      <c r="F929" s="79"/>
      <c r="G929" s="79"/>
      <c r="H929" s="79"/>
      <c r="I929" s="79"/>
      <c r="J929" s="87"/>
      <c r="K929" s="87"/>
      <c r="L929" s="87"/>
      <c r="M929" s="87"/>
      <c r="N929" s="79"/>
      <c r="O929" s="79"/>
      <c r="P929" s="79"/>
      <c r="Q929" s="79"/>
      <c r="R929" s="79"/>
      <c r="S929" s="79"/>
      <c r="T929" s="79"/>
      <c r="U929" s="79"/>
      <c r="V929" s="79"/>
      <c r="W929" s="79"/>
      <c r="X929" s="79"/>
      <c r="Y929" s="79"/>
      <c r="Z929" s="79"/>
      <c r="AA929" s="79"/>
      <c r="AB929" s="79"/>
    </row>
    <row r="930" spans="1:28" ht="15.8" customHeight="1" x14ac:dyDescent="0.15">
      <c r="A930" s="79"/>
      <c r="B930" s="79"/>
      <c r="C930" s="79"/>
      <c r="D930" s="79"/>
      <c r="E930" s="79"/>
      <c r="F930" s="79"/>
      <c r="G930" s="79"/>
      <c r="H930" s="79"/>
      <c r="I930" s="79"/>
      <c r="J930" s="87"/>
      <c r="K930" s="87"/>
      <c r="L930" s="87"/>
      <c r="M930" s="87"/>
      <c r="N930" s="79"/>
      <c r="O930" s="79"/>
      <c r="P930" s="79"/>
      <c r="Q930" s="79"/>
      <c r="R930" s="79"/>
      <c r="S930" s="79"/>
      <c r="T930" s="79"/>
      <c r="U930" s="79"/>
      <c r="V930" s="79"/>
      <c r="W930" s="79"/>
      <c r="X930" s="79"/>
      <c r="Y930" s="79"/>
      <c r="Z930" s="79"/>
      <c r="AA930" s="79"/>
      <c r="AB930" s="79"/>
    </row>
    <row r="931" spans="1:28" ht="15.8" customHeight="1" x14ac:dyDescent="0.15">
      <c r="A931" s="79"/>
      <c r="B931" s="79"/>
      <c r="C931" s="79"/>
      <c r="D931" s="79"/>
      <c r="E931" s="79"/>
      <c r="F931" s="79"/>
      <c r="G931" s="79"/>
      <c r="H931" s="79"/>
      <c r="I931" s="79"/>
      <c r="J931" s="87"/>
      <c r="K931" s="87"/>
      <c r="L931" s="87"/>
      <c r="M931" s="87"/>
      <c r="N931" s="79"/>
      <c r="O931" s="79"/>
      <c r="P931" s="79"/>
      <c r="Q931" s="79"/>
      <c r="R931" s="79"/>
      <c r="S931" s="79"/>
      <c r="T931" s="79"/>
      <c r="U931" s="79"/>
      <c r="V931" s="79"/>
      <c r="W931" s="79"/>
      <c r="X931" s="79"/>
      <c r="Y931" s="79"/>
      <c r="Z931" s="79"/>
      <c r="AA931" s="79"/>
      <c r="AB931" s="79"/>
    </row>
    <row r="932" spans="1:28" ht="15.8" customHeight="1" x14ac:dyDescent="0.15">
      <c r="A932" s="79"/>
      <c r="B932" s="79"/>
      <c r="C932" s="79"/>
      <c r="D932" s="79"/>
      <c r="E932" s="79"/>
      <c r="F932" s="79"/>
      <c r="G932" s="79"/>
      <c r="H932" s="79"/>
      <c r="I932" s="79"/>
      <c r="J932" s="87"/>
      <c r="K932" s="87"/>
      <c r="L932" s="87"/>
      <c r="M932" s="87"/>
      <c r="N932" s="79"/>
      <c r="O932" s="79"/>
      <c r="P932" s="79"/>
      <c r="Q932" s="79"/>
      <c r="R932" s="79"/>
      <c r="S932" s="79"/>
      <c r="T932" s="79"/>
      <c r="U932" s="79"/>
      <c r="V932" s="79"/>
      <c r="W932" s="79"/>
      <c r="X932" s="79"/>
      <c r="Y932" s="79"/>
      <c r="Z932" s="79"/>
      <c r="AA932" s="79"/>
      <c r="AB932" s="79"/>
    </row>
    <row r="933" spans="1:28" ht="15.8" customHeight="1" x14ac:dyDescent="0.15">
      <c r="A933" s="79"/>
      <c r="B933" s="79"/>
      <c r="C933" s="79"/>
      <c r="D933" s="79"/>
      <c r="E933" s="79"/>
      <c r="F933" s="79"/>
      <c r="G933" s="79"/>
      <c r="H933" s="79"/>
      <c r="I933" s="79"/>
      <c r="J933" s="87"/>
      <c r="K933" s="87"/>
      <c r="L933" s="87"/>
      <c r="M933" s="87"/>
      <c r="N933" s="79"/>
      <c r="O933" s="79"/>
      <c r="P933" s="79"/>
      <c r="Q933" s="79"/>
      <c r="R933" s="79"/>
      <c r="S933" s="79"/>
      <c r="T933" s="79"/>
      <c r="U933" s="79"/>
      <c r="V933" s="79"/>
      <c r="W933" s="79"/>
      <c r="X933" s="79"/>
      <c r="Y933" s="79"/>
      <c r="Z933" s="79"/>
      <c r="AA933" s="79"/>
      <c r="AB933" s="79"/>
    </row>
    <row r="934" spans="1:28" ht="15.8" customHeight="1" x14ac:dyDescent="0.15">
      <c r="A934" s="79"/>
      <c r="B934" s="79"/>
      <c r="C934" s="79"/>
      <c r="D934" s="79"/>
      <c r="E934" s="79"/>
      <c r="F934" s="79"/>
      <c r="G934" s="79"/>
      <c r="H934" s="79"/>
      <c r="I934" s="79"/>
      <c r="J934" s="87"/>
      <c r="K934" s="87"/>
      <c r="L934" s="87"/>
      <c r="M934" s="87"/>
      <c r="N934" s="79"/>
      <c r="O934" s="79"/>
      <c r="P934" s="79"/>
      <c r="Q934" s="79"/>
      <c r="R934" s="79"/>
      <c r="S934" s="79"/>
      <c r="T934" s="79"/>
      <c r="U934" s="79"/>
      <c r="V934" s="79"/>
      <c r="W934" s="79"/>
      <c r="X934" s="79"/>
      <c r="Y934" s="79"/>
      <c r="Z934" s="79"/>
      <c r="AA934" s="79"/>
      <c r="AB934" s="79"/>
    </row>
    <row r="935" spans="1:28" ht="15.8" customHeight="1" x14ac:dyDescent="0.15">
      <c r="A935" s="79"/>
      <c r="B935" s="79"/>
      <c r="C935" s="79"/>
      <c r="D935" s="79"/>
      <c r="E935" s="79"/>
      <c r="F935" s="79"/>
      <c r="G935" s="79"/>
      <c r="H935" s="79"/>
      <c r="I935" s="79"/>
      <c r="J935" s="87"/>
      <c r="K935" s="87"/>
      <c r="L935" s="87"/>
      <c r="M935" s="87"/>
      <c r="N935" s="79"/>
      <c r="O935" s="79"/>
      <c r="P935" s="79"/>
      <c r="Q935" s="79"/>
      <c r="R935" s="79"/>
      <c r="S935" s="79"/>
      <c r="T935" s="79"/>
      <c r="U935" s="79"/>
      <c r="V935" s="79"/>
      <c r="W935" s="79"/>
      <c r="X935" s="79"/>
      <c r="Y935" s="79"/>
      <c r="Z935" s="79"/>
      <c r="AA935" s="79"/>
      <c r="AB935" s="79"/>
    </row>
    <row r="936" spans="1:28" ht="15.8" customHeight="1" x14ac:dyDescent="0.15">
      <c r="A936" s="79"/>
      <c r="B936" s="79"/>
      <c r="C936" s="79"/>
      <c r="D936" s="79"/>
      <c r="E936" s="79"/>
      <c r="F936" s="79"/>
      <c r="G936" s="79"/>
      <c r="H936" s="79"/>
      <c r="I936" s="79"/>
      <c r="J936" s="87"/>
      <c r="K936" s="87"/>
      <c r="L936" s="87"/>
      <c r="M936" s="87"/>
      <c r="N936" s="79"/>
      <c r="O936" s="79"/>
      <c r="P936" s="79"/>
      <c r="Q936" s="79"/>
      <c r="R936" s="79"/>
      <c r="S936" s="79"/>
      <c r="T936" s="79"/>
      <c r="U936" s="79"/>
      <c r="V936" s="79"/>
      <c r="W936" s="79"/>
      <c r="X936" s="79"/>
      <c r="Y936" s="79"/>
      <c r="Z936" s="79"/>
      <c r="AA936" s="79"/>
      <c r="AB936" s="79"/>
    </row>
    <row r="937" spans="1:28" ht="15.8" customHeight="1" x14ac:dyDescent="0.15">
      <c r="A937" s="79"/>
      <c r="B937" s="79"/>
      <c r="C937" s="79"/>
      <c r="D937" s="79"/>
      <c r="E937" s="79"/>
      <c r="F937" s="79"/>
      <c r="G937" s="79"/>
      <c r="H937" s="79"/>
      <c r="I937" s="79"/>
      <c r="J937" s="87"/>
      <c r="K937" s="87"/>
      <c r="L937" s="87"/>
      <c r="M937" s="87"/>
      <c r="N937" s="79"/>
      <c r="O937" s="79"/>
      <c r="P937" s="79"/>
      <c r="Q937" s="79"/>
      <c r="R937" s="79"/>
      <c r="S937" s="79"/>
      <c r="T937" s="79"/>
      <c r="U937" s="79"/>
      <c r="V937" s="79"/>
      <c r="W937" s="79"/>
      <c r="X937" s="79"/>
      <c r="Y937" s="79"/>
      <c r="Z937" s="79"/>
      <c r="AA937" s="79"/>
      <c r="AB937" s="79"/>
    </row>
    <row r="938" spans="1:28" ht="15.8" customHeight="1" x14ac:dyDescent="0.15">
      <c r="A938" s="79"/>
      <c r="B938" s="79"/>
      <c r="C938" s="79"/>
      <c r="D938" s="79"/>
      <c r="E938" s="79"/>
      <c r="F938" s="79"/>
      <c r="G938" s="79"/>
      <c r="H938" s="79"/>
      <c r="I938" s="79"/>
      <c r="J938" s="87"/>
      <c r="K938" s="87"/>
      <c r="L938" s="87"/>
      <c r="M938" s="87"/>
      <c r="N938" s="79"/>
      <c r="O938" s="79"/>
      <c r="P938" s="79"/>
      <c r="Q938" s="79"/>
      <c r="R938" s="79"/>
      <c r="S938" s="79"/>
      <c r="T938" s="79"/>
      <c r="U938" s="79"/>
      <c r="V938" s="79"/>
      <c r="W938" s="79"/>
      <c r="X938" s="79"/>
      <c r="Y938" s="79"/>
      <c r="Z938" s="79"/>
      <c r="AA938" s="79"/>
      <c r="AB938" s="79"/>
    </row>
    <row r="939" spans="1:28" ht="15.8" customHeight="1" x14ac:dyDescent="0.15">
      <c r="A939" s="79"/>
      <c r="B939" s="79"/>
      <c r="C939" s="79"/>
      <c r="D939" s="79"/>
      <c r="E939" s="79"/>
      <c r="F939" s="79"/>
      <c r="G939" s="79"/>
      <c r="H939" s="79"/>
      <c r="I939" s="79"/>
      <c r="J939" s="87"/>
      <c r="K939" s="87"/>
      <c r="L939" s="87"/>
      <c r="M939" s="87"/>
      <c r="N939" s="79"/>
      <c r="O939" s="79"/>
      <c r="P939" s="79"/>
      <c r="Q939" s="79"/>
      <c r="R939" s="79"/>
      <c r="S939" s="79"/>
      <c r="T939" s="79"/>
      <c r="U939" s="79"/>
      <c r="V939" s="79"/>
      <c r="W939" s="79"/>
      <c r="X939" s="79"/>
      <c r="Y939" s="79"/>
      <c r="Z939" s="79"/>
      <c r="AA939" s="79"/>
      <c r="AB939" s="79"/>
    </row>
    <row r="940" spans="1:28" ht="15.8" customHeight="1" x14ac:dyDescent="0.15">
      <c r="A940" s="79"/>
      <c r="B940" s="79"/>
      <c r="C940" s="79"/>
      <c r="D940" s="79"/>
      <c r="E940" s="79"/>
      <c r="F940" s="79"/>
      <c r="G940" s="79"/>
      <c r="H940" s="79"/>
      <c r="I940" s="79"/>
      <c r="J940" s="87"/>
      <c r="K940" s="87"/>
      <c r="L940" s="87"/>
      <c r="M940" s="87"/>
      <c r="N940" s="79"/>
      <c r="O940" s="79"/>
      <c r="P940" s="79"/>
      <c r="Q940" s="79"/>
      <c r="R940" s="79"/>
      <c r="S940" s="79"/>
      <c r="T940" s="79"/>
      <c r="U940" s="79"/>
      <c r="V940" s="79"/>
      <c r="W940" s="79"/>
      <c r="X940" s="79"/>
      <c r="Y940" s="79"/>
      <c r="Z940" s="79"/>
      <c r="AA940" s="79"/>
      <c r="AB940" s="79"/>
    </row>
    <row r="941" spans="1:28" ht="15.8" customHeight="1" x14ac:dyDescent="0.15">
      <c r="A941" s="79"/>
      <c r="B941" s="79"/>
      <c r="C941" s="79"/>
      <c r="D941" s="79"/>
      <c r="E941" s="79"/>
      <c r="F941" s="79"/>
      <c r="G941" s="79"/>
      <c r="H941" s="79"/>
      <c r="I941" s="79"/>
      <c r="J941" s="87"/>
      <c r="K941" s="87"/>
      <c r="L941" s="87"/>
      <c r="M941" s="87"/>
      <c r="N941" s="79"/>
      <c r="O941" s="79"/>
      <c r="P941" s="79"/>
      <c r="Q941" s="79"/>
      <c r="R941" s="79"/>
      <c r="S941" s="79"/>
      <c r="T941" s="79"/>
      <c r="U941" s="79"/>
      <c r="V941" s="79"/>
      <c r="W941" s="79"/>
      <c r="X941" s="79"/>
      <c r="Y941" s="79"/>
      <c r="Z941" s="79"/>
      <c r="AA941" s="79"/>
      <c r="AB941" s="79"/>
    </row>
    <row r="942" spans="1:28" ht="15.8" customHeight="1" x14ac:dyDescent="0.15">
      <c r="A942" s="79"/>
      <c r="B942" s="79"/>
      <c r="C942" s="79"/>
      <c r="D942" s="79"/>
      <c r="E942" s="79"/>
      <c r="F942" s="79"/>
      <c r="G942" s="79"/>
      <c r="H942" s="79"/>
      <c r="I942" s="79"/>
      <c r="J942" s="87"/>
      <c r="K942" s="87"/>
      <c r="L942" s="87"/>
      <c r="M942" s="87"/>
      <c r="N942" s="79"/>
      <c r="O942" s="79"/>
      <c r="P942" s="79"/>
      <c r="Q942" s="79"/>
      <c r="R942" s="79"/>
      <c r="S942" s="79"/>
      <c r="T942" s="79"/>
      <c r="U942" s="79"/>
      <c r="V942" s="79"/>
      <c r="W942" s="79"/>
      <c r="X942" s="79"/>
      <c r="Y942" s="79"/>
      <c r="Z942" s="79"/>
      <c r="AA942" s="79"/>
      <c r="AB942" s="79"/>
    </row>
    <row r="943" spans="1:28" ht="15.8" customHeight="1" x14ac:dyDescent="0.15">
      <c r="A943" s="79"/>
      <c r="B943" s="79"/>
      <c r="C943" s="79"/>
      <c r="D943" s="79"/>
      <c r="E943" s="79"/>
      <c r="F943" s="79"/>
      <c r="G943" s="79"/>
      <c r="H943" s="79"/>
      <c r="I943" s="79"/>
      <c r="J943" s="87"/>
      <c r="K943" s="87"/>
      <c r="L943" s="87"/>
      <c r="M943" s="87"/>
      <c r="N943" s="79"/>
      <c r="O943" s="79"/>
      <c r="P943" s="79"/>
      <c r="Q943" s="79"/>
      <c r="R943" s="79"/>
      <c r="S943" s="79"/>
      <c r="T943" s="79"/>
      <c r="U943" s="79"/>
      <c r="V943" s="79"/>
      <c r="W943" s="79"/>
      <c r="X943" s="79"/>
      <c r="Y943" s="79"/>
      <c r="Z943" s="79"/>
      <c r="AA943" s="79"/>
      <c r="AB943" s="79"/>
    </row>
    <row r="944" spans="1:28" ht="15.8" customHeight="1" x14ac:dyDescent="0.15">
      <c r="A944" s="79"/>
      <c r="B944" s="79"/>
      <c r="C944" s="79"/>
      <c r="D944" s="79"/>
      <c r="E944" s="79"/>
      <c r="F944" s="79"/>
      <c r="G944" s="79"/>
      <c r="H944" s="79"/>
      <c r="I944" s="79"/>
      <c r="J944" s="87"/>
      <c r="K944" s="87"/>
      <c r="L944" s="87"/>
      <c r="M944" s="87"/>
      <c r="N944" s="79"/>
      <c r="O944" s="79"/>
      <c r="P944" s="79"/>
      <c r="Q944" s="79"/>
      <c r="R944" s="79"/>
      <c r="S944" s="79"/>
      <c r="T944" s="79"/>
      <c r="U944" s="79"/>
      <c r="V944" s="79"/>
      <c r="W944" s="79"/>
      <c r="X944" s="79"/>
      <c r="Y944" s="79"/>
      <c r="Z944" s="79"/>
      <c r="AA944" s="79"/>
      <c r="AB944" s="79"/>
    </row>
    <row r="945" spans="1:28" ht="15.8" customHeight="1" x14ac:dyDescent="0.15">
      <c r="A945" s="79"/>
      <c r="B945" s="79"/>
      <c r="C945" s="79"/>
      <c r="D945" s="79"/>
      <c r="E945" s="79"/>
      <c r="F945" s="79"/>
      <c r="G945" s="79"/>
      <c r="H945" s="79"/>
      <c r="I945" s="79"/>
      <c r="J945" s="87"/>
      <c r="K945" s="87"/>
      <c r="L945" s="87"/>
      <c r="M945" s="87"/>
      <c r="N945" s="79"/>
      <c r="O945" s="79"/>
      <c r="P945" s="79"/>
      <c r="Q945" s="79"/>
      <c r="R945" s="79"/>
      <c r="S945" s="79"/>
      <c r="T945" s="79"/>
      <c r="U945" s="79"/>
      <c r="V945" s="79"/>
      <c r="W945" s="79"/>
      <c r="X945" s="79"/>
      <c r="Y945" s="79"/>
      <c r="Z945" s="79"/>
      <c r="AA945" s="79"/>
      <c r="AB945" s="79"/>
    </row>
    <row r="946" spans="1:28" ht="15.8" customHeight="1" x14ac:dyDescent="0.15">
      <c r="A946" s="79"/>
      <c r="B946" s="79"/>
      <c r="C946" s="79"/>
      <c r="D946" s="79"/>
      <c r="E946" s="79"/>
      <c r="F946" s="79"/>
      <c r="G946" s="79"/>
      <c r="H946" s="79"/>
      <c r="I946" s="79"/>
      <c r="J946" s="87"/>
      <c r="K946" s="87"/>
      <c r="L946" s="87"/>
      <c r="M946" s="87"/>
      <c r="N946" s="79"/>
      <c r="O946" s="79"/>
      <c r="P946" s="79"/>
      <c r="Q946" s="79"/>
      <c r="R946" s="79"/>
      <c r="S946" s="79"/>
      <c r="T946" s="79"/>
      <c r="U946" s="79"/>
      <c r="V946" s="79"/>
      <c r="W946" s="79"/>
      <c r="X946" s="79"/>
      <c r="Y946" s="79"/>
      <c r="Z946" s="79"/>
      <c r="AA946" s="79"/>
      <c r="AB946" s="79"/>
    </row>
    <row r="947" spans="1:28" ht="15.8" customHeight="1" x14ac:dyDescent="0.15">
      <c r="A947" s="79"/>
      <c r="B947" s="79"/>
      <c r="C947" s="79"/>
      <c r="D947" s="79"/>
      <c r="E947" s="79"/>
      <c r="F947" s="79"/>
      <c r="G947" s="79"/>
      <c r="H947" s="79"/>
      <c r="I947" s="79"/>
      <c r="J947" s="87"/>
      <c r="K947" s="87"/>
      <c r="L947" s="87"/>
      <c r="M947" s="87"/>
      <c r="N947" s="79"/>
      <c r="O947" s="79"/>
      <c r="P947" s="79"/>
      <c r="Q947" s="79"/>
      <c r="R947" s="79"/>
      <c r="S947" s="79"/>
      <c r="T947" s="79"/>
      <c r="U947" s="79"/>
      <c r="V947" s="79"/>
      <c r="W947" s="79"/>
      <c r="X947" s="79"/>
      <c r="Y947" s="79"/>
      <c r="Z947" s="79"/>
      <c r="AA947" s="79"/>
      <c r="AB947" s="79"/>
    </row>
    <row r="948" spans="1:28" ht="15.8" customHeight="1" x14ac:dyDescent="0.15">
      <c r="A948" s="79"/>
      <c r="B948" s="79"/>
      <c r="C948" s="79"/>
      <c r="D948" s="79"/>
      <c r="E948" s="79"/>
      <c r="F948" s="79"/>
      <c r="G948" s="79"/>
      <c r="H948" s="79"/>
      <c r="I948" s="79"/>
      <c r="J948" s="87"/>
      <c r="K948" s="87"/>
      <c r="L948" s="87"/>
      <c r="M948" s="87"/>
      <c r="N948" s="79"/>
      <c r="O948" s="79"/>
      <c r="P948" s="79"/>
      <c r="Q948" s="79"/>
      <c r="R948" s="79"/>
      <c r="S948" s="79"/>
      <c r="T948" s="79"/>
      <c r="U948" s="79"/>
      <c r="V948" s="79"/>
      <c r="W948" s="79"/>
      <c r="X948" s="79"/>
      <c r="Y948" s="79"/>
      <c r="Z948" s="79"/>
      <c r="AA948" s="79"/>
      <c r="AB948" s="79"/>
    </row>
    <row r="949" spans="1:28" ht="15.8" customHeight="1" x14ac:dyDescent="0.15">
      <c r="A949" s="79"/>
      <c r="B949" s="79"/>
      <c r="C949" s="79"/>
      <c r="D949" s="79"/>
      <c r="E949" s="79"/>
      <c r="F949" s="79"/>
      <c r="G949" s="79"/>
      <c r="H949" s="79"/>
      <c r="I949" s="79"/>
      <c r="J949" s="87"/>
      <c r="K949" s="87"/>
      <c r="L949" s="87"/>
      <c r="M949" s="87"/>
      <c r="N949" s="79"/>
      <c r="O949" s="79"/>
      <c r="P949" s="79"/>
      <c r="Q949" s="79"/>
      <c r="R949" s="79"/>
      <c r="S949" s="79"/>
      <c r="T949" s="79"/>
      <c r="U949" s="79"/>
      <c r="V949" s="79"/>
      <c r="W949" s="79"/>
      <c r="X949" s="79"/>
      <c r="Y949" s="79"/>
      <c r="Z949" s="79"/>
      <c r="AA949" s="79"/>
      <c r="AB949" s="79"/>
    </row>
    <row r="950" spans="1:28" ht="15.8" customHeight="1" x14ac:dyDescent="0.15">
      <c r="A950" s="79"/>
      <c r="B950" s="79"/>
      <c r="C950" s="79"/>
      <c r="D950" s="79"/>
      <c r="E950" s="79"/>
      <c r="F950" s="79"/>
      <c r="G950" s="79"/>
      <c r="H950" s="79"/>
      <c r="I950" s="79"/>
      <c r="J950" s="87"/>
      <c r="K950" s="87"/>
      <c r="L950" s="87"/>
      <c r="M950" s="87"/>
      <c r="N950" s="79"/>
      <c r="O950" s="79"/>
      <c r="P950" s="79"/>
      <c r="Q950" s="79"/>
      <c r="R950" s="79"/>
      <c r="S950" s="79"/>
      <c r="T950" s="79"/>
      <c r="U950" s="79"/>
      <c r="V950" s="79"/>
      <c r="W950" s="79"/>
      <c r="X950" s="79"/>
      <c r="Y950" s="79"/>
      <c r="Z950" s="79"/>
      <c r="AA950" s="79"/>
      <c r="AB950" s="79"/>
    </row>
    <row r="951" spans="1:28" ht="15.8" customHeight="1" x14ac:dyDescent="0.15">
      <c r="A951" s="79"/>
      <c r="B951" s="79"/>
      <c r="C951" s="79"/>
      <c r="D951" s="79"/>
      <c r="E951" s="79"/>
      <c r="F951" s="79"/>
      <c r="G951" s="79"/>
      <c r="H951" s="79"/>
      <c r="I951" s="79"/>
      <c r="J951" s="87"/>
      <c r="K951" s="87"/>
      <c r="L951" s="87"/>
      <c r="M951" s="87"/>
      <c r="N951" s="79"/>
      <c r="O951" s="79"/>
      <c r="P951" s="79"/>
      <c r="Q951" s="79"/>
      <c r="R951" s="79"/>
      <c r="S951" s="79"/>
      <c r="T951" s="79"/>
      <c r="U951" s="79"/>
      <c r="V951" s="79"/>
      <c r="W951" s="79"/>
      <c r="X951" s="79"/>
      <c r="Y951" s="79"/>
      <c r="Z951" s="79"/>
      <c r="AA951" s="79"/>
      <c r="AB951" s="79"/>
    </row>
    <row r="952" spans="1:28" ht="15.8" customHeight="1" x14ac:dyDescent="0.15">
      <c r="A952" s="79"/>
      <c r="B952" s="79"/>
      <c r="C952" s="79"/>
      <c r="D952" s="79"/>
      <c r="E952" s="79"/>
      <c r="F952" s="79"/>
      <c r="G952" s="79"/>
      <c r="H952" s="79"/>
      <c r="I952" s="79"/>
      <c r="J952" s="87"/>
      <c r="K952" s="87"/>
      <c r="L952" s="87"/>
      <c r="M952" s="87"/>
      <c r="N952" s="79"/>
      <c r="O952" s="79"/>
      <c r="P952" s="79"/>
      <c r="Q952" s="79"/>
      <c r="R952" s="79"/>
      <c r="S952" s="79"/>
      <c r="T952" s="79"/>
      <c r="U952" s="79"/>
      <c r="V952" s="79"/>
      <c r="W952" s="79"/>
      <c r="X952" s="79"/>
      <c r="Y952" s="79"/>
      <c r="Z952" s="79"/>
      <c r="AA952" s="79"/>
      <c r="AB952" s="79"/>
    </row>
    <row r="953" spans="1:28" ht="15.8" customHeight="1" x14ac:dyDescent="0.15">
      <c r="A953" s="79"/>
      <c r="B953" s="79"/>
      <c r="C953" s="79"/>
      <c r="D953" s="79"/>
      <c r="E953" s="79"/>
      <c r="F953" s="79"/>
      <c r="G953" s="79"/>
      <c r="H953" s="79"/>
      <c r="I953" s="79"/>
      <c r="J953" s="87"/>
      <c r="K953" s="87"/>
      <c r="L953" s="87"/>
      <c r="M953" s="87"/>
      <c r="N953" s="79"/>
      <c r="O953" s="79"/>
      <c r="P953" s="79"/>
      <c r="Q953" s="79"/>
      <c r="R953" s="79"/>
      <c r="S953" s="79"/>
      <c r="T953" s="79"/>
      <c r="U953" s="79"/>
      <c r="V953" s="79"/>
      <c r="W953" s="79"/>
      <c r="X953" s="79"/>
      <c r="Y953" s="79"/>
      <c r="Z953" s="79"/>
      <c r="AA953" s="79"/>
      <c r="AB953" s="79"/>
    </row>
    <row r="954" spans="1:28" ht="15.8" customHeight="1" x14ac:dyDescent="0.15">
      <c r="A954" s="79"/>
      <c r="B954" s="79"/>
      <c r="C954" s="79"/>
      <c r="D954" s="79"/>
      <c r="E954" s="79"/>
      <c r="F954" s="79"/>
      <c r="G954" s="79"/>
      <c r="H954" s="79"/>
      <c r="I954" s="79"/>
      <c r="J954" s="87"/>
      <c r="K954" s="87"/>
      <c r="L954" s="87"/>
      <c r="M954" s="87"/>
      <c r="N954" s="79"/>
      <c r="O954" s="79"/>
      <c r="P954" s="79"/>
      <c r="Q954" s="79"/>
      <c r="R954" s="79"/>
      <c r="S954" s="79"/>
      <c r="T954" s="79"/>
      <c r="U954" s="79"/>
      <c r="V954" s="79"/>
      <c r="W954" s="79"/>
      <c r="X954" s="79"/>
      <c r="Y954" s="79"/>
      <c r="Z954" s="79"/>
      <c r="AA954" s="79"/>
      <c r="AB954" s="79"/>
    </row>
    <row r="955" spans="1:28" ht="15.8" customHeight="1" x14ac:dyDescent="0.15">
      <c r="A955" s="79"/>
      <c r="B955" s="79"/>
      <c r="C955" s="79"/>
      <c r="D955" s="79"/>
      <c r="E955" s="79"/>
      <c r="F955" s="79"/>
      <c r="G955" s="79"/>
      <c r="H955" s="79"/>
      <c r="I955" s="79"/>
      <c r="J955" s="87"/>
      <c r="K955" s="87"/>
      <c r="L955" s="87"/>
      <c r="M955" s="87"/>
      <c r="N955" s="79"/>
      <c r="O955" s="79"/>
      <c r="P955" s="79"/>
      <c r="Q955" s="79"/>
      <c r="R955" s="79"/>
      <c r="S955" s="79"/>
      <c r="T955" s="79"/>
      <c r="U955" s="79"/>
      <c r="V955" s="79"/>
      <c r="W955" s="79"/>
      <c r="X955" s="79"/>
      <c r="Y955" s="79"/>
      <c r="Z955" s="79"/>
      <c r="AA955" s="79"/>
      <c r="AB955" s="79"/>
    </row>
    <row r="956" spans="1:28" ht="15.8" customHeight="1" x14ac:dyDescent="0.15">
      <c r="A956" s="79"/>
      <c r="B956" s="79"/>
      <c r="C956" s="79"/>
      <c r="D956" s="79"/>
      <c r="E956" s="79"/>
      <c r="F956" s="79"/>
      <c r="G956" s="79"/>
      <c r="H956" s="79"/>
      <c r="I956" s="79"/>
      <c r="J956" s="87"/>
      <c r="K956" s="87"/>
      <c r="L956" s="87"/>
      <c r="M956" s="87"/>
      <c r="N956" s="79"/>
      <c r="O956" s="79"/>
      <c r="P956" s="79"/>
      <c r="Q956" s="79"/>
      <c r="R956" s="79"/>
      <c r="S956" s="79"/>
      <c r="T956" s="79"/>
      <c r="U956" s="79"/>
      <c r="V956" s="79"/>
      <c r="W956" s="79"/>
      <c r="X956" s="79"/>
      <c r="Y956" s="79"/>
      <c r="Z956" s="79"/>
      <c r="AA956" s="79"/>
      <c r="AB956" s="79"/>
    </row>
    <row r="957" spans="1:28" ht="15.8" customHeight="1" x14ac:dyDescent="0.15">
      <c r="A957" s="79"/>
      <c r="B957" s="79"/>
      <c r="C957" s="79"/>
      <c r="D957" s="79"/>
      <c r="E957" s="79"/>
      <c r="F957" s="79"/>
      <c r="G957" s="79"/>
      <c r="H957" s="79"/>
      <c r="I957" s="79"/>
      <c r="J957" s="87"/>
      <c r="K957" s="87"/>
      <c r="L957" s="87"/>
      <c r="M957" s="87"/>
      <c r="N957" s="79"/>
      <c r="O957" s="79"/>
      <c r="P957" s="79"/>
      <c r="Q957" s="79"/>
      <c r="R957" s="79"/>
      <c r="S957" s="79"/>
      <c r="T957" s="79"/>
      <c r="U957" s="79"/>
      <c r="V957" s="79"/>
      <c r="W957" s="79"/>
      <c r="X957" s="79"/>
      <c r="Y957" s="79"/>
      <c r="Z957" s="79"/>
      <c r="AA957" s="79"/>
      <c r="AB957" s="79"/>
    </row>
    <row r="958" spans="1:28" ht="15.8" customHeight="1" x14ac:dyDescent="0.15">
      <c r="A958" s="79"/>
      <c r="B958" s="79"/>
      <c r="C958" s="79"/>
      <c r="D958" s="79"/>
      <c r="E958" s="79"/>
      <c r="F958" s="79"/>
      <c r="G958" s="79"/>
      <c r="H958" s="79"/>
      <c r="I958" s="79"/>
      <c r="J958" s="87"/>
      <c r="K958" s="87"/>
      <c r="L958" s="87"/>
      <c r="M958" s="87"/>
      <c r="N958" s="79"/>
      <c r="O958" s="79"/>
      <c r="P958" s="79"/>
      <c r="Q958" s="79"/>
      <c r="R958" s="79"/>
      <c r="S958" s="79"/>
      <c r="T958" s="79"/>
      <c r="U958" s="79"/>
      <c r="V958" s="79"/>
      <c r="W958" s="79"/>
      <c r="X958" s="79"/>
      <c r="Y958" s="79"/>
      <c r="Z958" s="79"/>
      <c r="AA958" s="79"/>
      <c r="AB958" s="79"/>
    </row>
    <row r="959" spans="1:28" ht="15.8" customHeight="1" x14ac:dyDescent="0.15">
      <c r="A959" s="79"/>
      <c r="B959" s="79"/>
      <c r="C959" s="79"/>
      <c r="D959" s="79"/>
      <c r="E959" s="79"/>
      <c r="F959" s="79"/>
      <c r="G959" s="79"/>
      <c r="H959" s="79"/>
      <c r="I959" s="79"/>
      <c r="J959" s="87"/>
      <c r="K959" s="87"/>
      <c r="L959" s="87"/>
      <c r="M959" s="87"/>
      <c r="N959" s="79"/>
      <c r="O959" s="79"/>
      <c r="P959" s="79"/>
      <c r="Q959" s="79"/>
      <c r="R959" s="79"/>
      <c r="S959" s="79"/>
      <c r="T959" s="79"/>
      <c r="U959" s="79"/>
      <c r="V959" s="79"/>
      <c r="W959" s="79"/>
      <c r="X959" s="79"/>
      <c r="Y959" s="79"/>
      <c r="Z959" s="79"/>
      <c r="AA959" s="79"/>
      <c r="AB959" s="79"/>
    </row>
    <row r="960" spans="1:28" ht="15.8" customHeight="1" x14ac:dyDescent="0.15">
      <c r="A960" s="79"/>
      <c r="B960" s="79"/>
      <c r="C960" s="79"/>
      <c r="D960" s="79"/>
      <c r="E960" s="79"/>
      <c r="F960" s="79"/>
      <c r="G960" s="79"/>
      <c r="H960" s="79"/>
      <c r="I960" s="79"/>
      <c r="J960" s="87"/>
      <c r="K960" s="87"/>
      <c r="L960" s="87"/>
      <c r="M960" s="87"/>
      <c r="N960" s="79"/>
      <c r="O960" s="79"/>
      <c r="P960" s="79"/>
      <c r="Q960" s="79"/>
      <c r="R960" s="79"/>
      <c r="S960" s="79"/>
      <c r="T960" s="79"/>
      <c r="U960" s="79"/>
      <c r="V960" s="79"/>
      <c r="W960" s="79"/>
      <c r="X960" s="79"/>
      <c r="Y960" s="79"/>
      <c r="Z960" s="79"/>
      <c r="AA960" s="79"/>
      <c r="AB960" s="79"/>
    </row>
    <row r="961" spans="1:28" ht="15.8" customHeight="1" x14ac:dyDescent="0.15">
      <c r="A961" s="79"/>
      <c r="B961" s="79"/>
      <c r="C961" s="79"/>
      <c r="D961" s="79"/>
      <c r="E961" s="79"/>
      <c r="F961" s="79"/>
      <c r="G961" s="79"/>
      <c r="H961" s="79"/>
      <c r="I961" s="79"/>
      <c r="J961" s="87"/>
      <c r="K961" s="87"/>
      <c r="L961" s="87"/>
      <c r="M961" s="87"/>
      <c r="N961" s="79"/>
      <c r="O961" s="79"/>
      <c r="P961" s="79"/>
      <c r="Q961" s="79"/>
      <c r="R961" s="79"/>
      <c r="S961" s="79"/>
      <c r="T961" s="79"/>
      <c r="U961" s="79"/>
      <c r="V961" s="79"/>
      <c r="W961" s="79"/>
      <c r="X961" s="79"/>
      <c r="Y961" s="79"/>
      <c r="Z961" s="79"/>
      <c r="AA961" s="79"/>
      <c r="AB961" s="79"/>
    </row>
    <row r="962" spans="1:28" ht="15.8" customHeight="1" x14ac:dyDescent="0.15">
      <c r="A962" s="79"/>
      <c r="B962" s="79"/>
      <c r="C962" s="79"/>
      <c r="D962" s="79"/>
      <c r="E962" s="79"/>
      <c r="F962" s="79"/>
      <c r="G962" s="79"/>
      <c r="H962" s="79"/>
      <c r="I962" s="79"/>
      <c r="J962" s="87"/>
      <c r="K962" s="87"/>
      <c r="L962" s="87"/>
      <c r="M962" s="87"/>
      <c r="N962" s="79"/>
      <c r="O962" s="79"/>
      <c r="P962" s="79"/>
      <c r="Q962" s="79"/>
      <c r="R962" s="79"/>
      <c r="S962" s="79"/>
      <c r="T962" s="79"/>
      <c r="U962" s="79"/>
      <c r="V962" s="79"/>
      <c r="W962" s="79"/>
      <c r="X962" s="79"/>
      <c r="Y962" s="79"/>
      <c r="Z962" s="79"/>
      <c r="AA962" s="79"/>
      <c r="AB962" s="79"/>
    </row>
    <row r="963" spans="1:28" ht="15.8" customHeight="1" x14ac:dyDescent="0.15">
      <c r="A963" s="79"/>
      <c r="B963" s="79"/>
      <c r="C963" s="79"/>
      <c r="D963" s="79"/>
      <c r="E963" s="79"/>
      <c r="F963" s="79"/>
      <c r="G963" s="79"/>
      <c r="H963" s="79"/>
      <c r="I963" s="79"/>
      <c r="J963" s="87"/>
      <c r="K963" s="87"/>
      <c r="L963" s="87"/>
      <c r="M963" s="87"/>
      <c r="N963" s="79"/>
      <c r="O963" s="79"/>
      <c r="P963" s="79"/>
      <c r="Q963" s="79"/>
      <c r="R963" s="79"/>
      <c r="S963" s="79"/>
      <c r="T963" s="79"/>
      <c r="U963" s="79"/>
      <c r="V963" s="79"/>
      <c r="W963" s="79"/>
      <c r="X963" s="79"/>
      <c r="Y963" s="79"/>
      <c r="Z963" s="79"/>
      <c r="AA963" s="79"/>
      <c r="AB963" s="79"/>
    </row>
    <row r="964" spans="1:28" ht="15.8" customHeight="1" x14ac:dyDescent="0.15">
      <c r="A964" s="79"/>
      <c r="B964" s="79"/>
      <c r="C964" s="79"/>
      <c r="D964" s="79"/>
      <c r="E964" s="79"/>
      <c r="F964" s="79"/>
      <c r="G964" s="79"/>
      <c r="H964" s="79"/>
      <c r="I964" s="79"/>
      <c r="J964" s="87"/>
      <c r="K964" s="87"/>
      <c r="L964" s="87"/>
      <c r="M964" s="87"/>
      <c r="N964" s="79"/>
      <c r="O964" s="79"/>
      <c r="P964" s="79"/>
      <c r="Q964" s="79"/>
      <c r="R964" s="79"/>
      <c r="S964" s="79"/>
      <c r="T964" s="79"/>
      <c r="U964" s="79"/>
      <c r="V964" s="79"/>
      <c r="W964" s="79"/>
      <c r="X964" s="79"/>
      <c r="Y964" s="79"/>
      <c r="Z964" s="79"/>
      <c r="AA964" s="79"/>
      <c r="AB964" s="79"/>
    </row>
    <row r="965" spans="1:28" ht="15.8" customHeight="1" x14ac:dyDescent="0.15">
      <c r="A965" s="79"/>
      <c r="B965" s="79"/>
      <c r="C965" s="79"/>
      <c r="D965" s="79"/>
      <c r="E965" s="79"/>
      <c r="F965" s="79"/>
      <c r="G965" s="79"/>
      <c r="H965" s="79"/>
      <c r="I965" s="79"/>
      <c r="J965" s="87"/>
      <c r="K965" s="87"/>
      <c r="L965" s="87"/>
      <c r="M965" s="87"/>
      <c r="N965" s="79"/>
      <c r="O965" s="79"/>
      <c r="P965" s="79"/>
      <c r="Q965" s="79"/>
      <c r="R965" s="79"/>
      <c r="S965" s="79"/>
      <c r="T965" s="79"/>
      <c r="U965" s="79"/>
      <c r="V965" s="79"/>
      <c r="W965" s="79"/>
      <c r="X965" s="79"/>
      <c r="Y965" s="79"/>
      <c r="Z965" s="79"/>
      <c r="AA965" s="79"/>
      <c r="AB965" s="79"/>
    </row>
    <row r="966" spans="1:28" ht="15.8" customHeight="1" x14ac:dyDescent="0.15">
      <c r="A966" s="79"/>
      <c r="B966" s="79"/>
      <c r="C966" s="79"/>
      <c r="D966" s="79"/>
      <c r="E966" s="79"/>
      <c r="F966" s="79"/>
      <c r="G966" s="79"/>
      <c r="H966" s="79"/>
      <c r="I966" s="79"/>
      <c r="J966" s="87"/>
      <c r="K966" s="87"/>
      <c r="L966" s="87"/>
      <c r="M966" s="87"/>
      <c r="N966" s="79"/>
      <c r="O966" s="79"/>
      <c r="P966" s="79"/>
      <c r="Q966" s="79"/>
      <c r="R966" s="79"/>
      <c r="S966" s="79"/>
      <c r="T966" s="79"/>
      <c r="U966" s="79"/>
      <c r="V966" s="79"/>
      <c r="W966" s="79"/>
      <c r="X966" s="79"/>
      <c r="Y966" s="79"/>
      <c r="Z966" s="79"/>
      <c r="AA966" s="79"/>
      <c r="AB966" s="79"/>
    </row>
    <row r="967" spans="1:28" ht="15.8" customHeight="1" x14ac:dyDescent="0.15">
      <c r="A967" s="79"/>
      <c r="B967" s="79"/>
      <c r="C967" s="79"/>
      <c r="D967" s="79"/>
      <c r="E967" s="79"/>
      <c r="F967" s="79"/>
      <c r="G967" s="79"/>
      <c r="H967" s="79"/>
      <c r="I967" s="79"/>
      <c r="J967" s="87"/>
      <c r="K967" s="87"/>
      <c r="L967" s="87"/>
      <c r="M967" s="87"/>
      <c r="N967" s="79"/>
      <c r="O967" s="79"/>
      <c r="P967" s="79"/>
      <c r="Q967" s="79"/>
      <c r="R967" s="79"/>
      <c r="S967" s="79"/>
      <c r="T967" s="79"/>
      <c r="U967" s="79"/>
      <c r="V967" s="79"/>
      <c r="W967" s="79"/>
      <c r="X967" s="79"/>
      <c r="Y967" s="79"/>
      <c r="Z967" s="79"/>
      <c r="AA967" s="79"/>
      <c r="AB967" s="79"/>
    </row>
    <row r="968" spans="1:28" ht="15.8" customHeight="1" x14ac:dyDescent="0.15">
      <c r="A968" s="79"/>
      <c r="B968" s="79"/>
      <c r="C968" s="79"/>
      <c r="D968" s="79"/>
      <c r="E968" s="79"/>
      <c r="F968" s="79"/>
      <c r="G968" s="79"/>
      <c r="H968" s="79"/>
      <c r="I968" s="79"/>
      <c r="J968" s="87"/>
      <c r="K968" s="87"/>
      <c r="L968" s="87"/>
      <c r="M968" s="87"/>
      <c r="N968" s="79"/>
      <c r="O968" s="79"/>
      <c r="P968" s="79"/>
      <c r="Q968" s="79"/>
      <c r="R968" s="79"/>
      <c r="S968" s="79"/>
      <c r="T968" s="79"/>
      <c r="U968" s="79"/>
      <c r="V968" s="79"/>
      <c r="W968" s="79"/>
      <c r="X968" s="79"/>
      <c r="Y968" s="79"/>
      <c r="Z968" s="79"/>
      <c r="AA968" s="79"/>
      <c r="AB968" s="79"/>
    </row>
    <row r="969" spans="1:28" ht="15.8" customHeight="1" x14ac:dyDescent="0.15">
      <c r="A969" s="79"/>
      <c r="B969" s="79"/>
      <c r="C969" s="79"/>
      <c r="D969" s="79"/>
      <c r="E969" s="79"/>
      <c r="F969" s="79"/>
      <c r="G969" s="79"/>
      <c r="H969" s="79"/>
      <c r="I969" s="79"/>
      <c r="J969" s="87"/>
      <c r="K969" s="87"/>
      <c r="L969" s="87"/>
      <c r="M969" s="87"/>
      <c r="N969" s="79"/>
      <c r="O969" s="79"/>
      <c r="P969" s="79"/>
      <c r="Q969" s="79"/>
      <c r="R969" s="79"/>
      <c r="S969" s="79"/>
      <c r="T969" s="79"/>
      <c r="U969" s="79"/>
      <c r="V969" s="79"/>
      <c r="W969" s="79"/>
      <c r="X969" s="79"/>
      <c r="Y969" s="79"/>
      <c r="Z969" s="79"/>
      <c r="AA969" s="79"/>
      <c r="AB969" s="79"/>
    </row>
    <row r="970" spans="1:28" ht="15.8" customHeight="1" x14ac:dyDescent="0.15">
      <c r="A970" s="79"/>
      <c r="B970" s="79"/>
      <c r="C970" s="79"/>
      <c r="D970" s="79"/>
      <c r="E970" s="79"/>
      <c r="F970" s="79"/>
      <c r="G970" s="79"/>
      <c r="H970" s="79"/>
      <c r="I970" s="79"/>
      <c r="J970" s="87"/>
      <c r="K970" s="87"/>
      <c r="L970" s="87"/>
      <c r="M970" s="87"/>
      <c r="N970" s="79"/>
      <c r="O970" s="79"/>
      <c r="P970" s="79"/>
      <c r="Q970" s="79"/>
      <c r="R970" s="79"/>
      <c r="S970" s="79"/>
      <c r="T970" s="79"/>
      <c r="U970" s="79"/>
      <c r="V970" s="79"/>
      <c r="W970" s="79"/>
      <c r="X970" s="79"/>
      <c r="Y970" s="79"/>
      <c r="Z970" s="79"/>
      <c r="AA970" s="79"/>
      <c r="AB970" s="79"/>
    </row>
    <row r="971" spans="1:28" ht="15.8" customHeight="1" x14ac:dyDescent="0.15">
      <c r="A971" s="79"/>
      <c r="B971" s="79"/>
      <c r="C971" s="79"/>
      <c r="D971" s="79"/>
      <c r="E971" s="79"/>
      <c r="F971" s="79"/>
      <c r="G971" s="79"/>
      <c r="H971" s="79"/>
      <c r="I971" s="79"/>
      <c r="J971" s="87"/>
      <c r="K971" s="87"/>
      <c r="L971" s="87"/>
      <c r="M971" s="87"/>
      <c r="N971" s="79"/>
      <c r="O971" s="79"/>
      <c r="P971" s="79"/>
      <c r="Q971" s="79"/>
      <c r="R971" s="79"/>
      <c r="S971" s="79"/>
      <c r="T971" s="79"/>
      <c r="U971" s="79"/>
      <c r="V971" s="79"/>
      <c r="W971" s="79"/>
      <c r="X971" s="79"/>
      <c r="Y971" s="79"/>
      <c r="Z971" s="79"/>
      <c r="AA971" s="79"/>
      <c r="AB971" s="79"/>
    </row>
    <row r="972" spans="1:28" ht="15.8" customHeight="1" x14ac:dyDescent="0.15">
      <c r="A972" s="79"/>
      <c r="B972" s="79"/>
      <c r="C972" s="79"/>
      <c r="D972" s="79"/>
      <c r="E972" s="79"/>
      <c r="F972" s="79"/>
      <c r="G972" s="79"/>
      <c r="H972" s="79"/>
      <c r="I972" s="79"/>
      <c r="J972" s="87"/>
      <c r="K972" s="87"/>
      <c r="L972" s="87"/>
      <c r="M972" s="87"/>
      <c r="N972" s="79"/>
      <c r="O972" s="79"/>
      <c r="P972" s="79"/>
      <c r="Q972" s="79"/>
      <c r="R972" s="79"/>
      <c r="S972" s="79"/>
      <c r="T972" s="79"/>
      <c r="U972" s="79"/>
      <c r="V972" s="79"/>
      <c r="W972" s="79"/>
      <c r="X972" s="79"/>
      <c r="Y972" s="79"/>
      <c r="Z972" s="79"/>
      <c r="AA972" s="79"/>
      <c r="AB972" s="79"/>
    </row>
    <row r="973" spans="1:28" ht="15.8" customHeight="1" x14ac:dyDescent="0.15">
      <c r="A973" s="79"/>
      <c r="B973" s="79"/>
      <c r="C973" s="79"/>
      <c r="D973" s="79"/>
      <c r="E973" s="79"/>
      <c r="F973" s="79"/>
      <c r="G973" s="79"/>
      <c r="H973" s="79"/>
      <c r="I973" s="79"/>
      <c r="J973" s="87"/>
      <c r="K973" s="87"/>
      <c r="L973" s="87"/>
      <c r="M973" s="87"/>
      <c r="N973" s="79"/>
      <c r="O973" s="79"/>
      <c r="P973" s="79"/>
      <c r="Q973" s="79"/>
      <c r="R973" s="79"/>
      <c r="S973" s="79"/>
      <c r="T973" s="79"/>
      <c r="U973" s="79"/>
      <c r="V973" s="79"/>
      <c r="W973" s="79"/>
      <c r="X973" s="79"/>
      <c r="Y973" s="79"/>
      <c r="Z973" s="79"/>
      <c r="AA973" s="79"/>
      <c r="AB973" s="79"/>
    </row>
    <row r="974" spans="1:28" ht="15.8" customHeight="1" x14ac:dyDescent="0.15">
      <c r="A974" s="79"/>
      <c r="B974" s="79"/>
      <c r="C974" s="79"/>
      <c r="D974" s="79"/>
      <c r="E974" s="79"/>
      <c r="F974" s="79"/>
      <c r="G974" s="79"/>
      <c r="H974" s="79"/>
      <c r="I974" s="79"/>
      <c r="J974" s="87"/>
      <c r="K974" s="87"/>
      <c r="L974" s="87"/>
      <c r="M974" s="87"/>
      <c r="N974" s="79"/>
      <c r="O974" s="79"/>
      <c r="P974" s="79"/>
      <c r="Q974" s="79"/>
      <c r="R974" s="79"/>
      <c r="S974" s="79"/>
      <c r="T974" s="79"/>
      <c r="U974" s="79"/>
      <c r="V974" s="79"/>
      <c r="W974" s="79"/>
      <c r="X974" s="79"/>
      <c r="Y974" s="79"/>
      <c r="Z974" s="79"/>
      <c r="AA974" s="79"/>
      <c r="AB974" s="79"/>
    </row>
    <row r="975" spans="1:28" ht="15.8" customHeight="1" x14ac:dyDescent="0.15">
      <c r="A975" s="79"/>
      <c r="B975" s="79"/>
      <c r="C975" s="79"/>
      <c r="D975" s="79"/>
      <c r="E975" s="79"/>
      <c r="F975" s="79"/>
      <c r="G975" s="79"/>
      <c r="H975" s="79"/>
      <c r="I975" s="79"/>
      <c r="J975" s="87"/>
      <c r="K975" s="87"/>
      <c r="L975" s="87"/>
      <c r="M975" s="87"/>
      <c r="N975" s="79"/>
      <c r="O975" s="79"/>
      <c r="P975" s="79"/>
      <c r="Q975" s="79"/>
      <c r="R975" s="79"/>
      <c r="S975" s="79"/>
      <c r="T975" s="79"/>
      <c r="U975" s="79"/>
      <c r="V975" s="79"/>
      <c r="W975" s="79"/>
      <c r="X975" s="79"/>
      <c r="Y975" s="79"/>
      <c r="Z975" s="79"/>
      <c r="AA975" s="79"/>
      <c r="AB975" s="79"/>
    </row>
    <row r="976" spans="1:28" ht="15.8" customHeight="1" x14ac:dyDescent="0.15">
      <c r="A976" s="79"/>
      <c r="B976" s="79"/>
      <c r="C976" s="79"/>
      <c r="D976" s="79"/>
      <c r="E976" s="79"/>
      <c r="F976" s="79"/>
      <c r="G976" s="79"/>
      <c r="H976" s="79"/>
      <c r="I976" s="79"/>
      <c r="J976" s="87"/>
      <c r="K976" s="87"/>
      <c r="L976" s="87"/>
      <c r="M976" s="87"/>
      <c r="N976" s="79"/>
      <c r="O976" s="79"/>
      <c r="P976" s="79"/>
      <c r="Q976" s="79"/>
      <c r="R976" s="79"/>
      <c r="S976" s="79"/>
      <c r="T976" s="79"/>
      <c r="U976" s="79"/>
      <c r="V976" s="79"/>
      <c r="W976" s="79"/>
      <c r="X976" s="79"/>
      <c r="Y976" s="79"/>
      <c r="Z976" s="79"/>
      <c r="AA976" s="79"/>
      <c r="AB976" s="79"/>
    </row>
    <row r="977" spans="1:28" ht="15.8" customHeight="1" x14ac:dyDescent="0.15">
      <c r="A977" s="79"/>
      <c r="B977" s="79"/>
      <c r="C977" s="79"/>
      <c r="D977" s="79"/>
      <c r="E977" s="79"/>
      <c r="F977" s="79"/>
      <c r="G977" s="79"/>
      <c r="H977" s="79"/>
      <c r="I977" s="79"/>
      <c r="J977" s="87"/>
      <c r="K977" s="87"/>
      <c r="L977" s="87"/>
      <c r="M977" s="87"/>
      <c r="N977" s="79"/>
      <c r="O977" s="79"/>
      <c r="P977" s="79"/>
      <c r="Q977" s="79"/>
      <c r="R977" s="79"/>
      <c r="S977" s="79"/>
      <c r="T977" s="79"/>
      <c r="U977" s="79"/>
      <c r="V977" s="79"/>
      <c r="W977" s="79"/>
      <c r="X977" s="79"/>
      <c r="Y977" s="79"/>
      <c r="Z977" s="79"/>
      <c r="AA977" s="79"/>
      <c r="AB977" s="79"/>
    </row>
    <row r="978" spans="1:28" ht="15.8" customHeight="1" x14ac:dyDescent="0.15">
      <c r="A978" s="79"/>
      <c r="B978" s="79"/>
      <c r="C978" s="79"/>
      <c r="D978" s="79"/>
      <c r="E978" s="79"/>
      <c r="F978" s="79"/>
      <c r="G978" s="79"/>
      <c r="H978" s="79"/>
      <c r="I978" s="79"/>
      <c r="J978" s="87"/>
      <c r="K978" s="87"/>
      <c r="L978" s="87"/>
      <c r="M978" s="87"/>
      <c r="N978" s="79"/>
      <c r="O978" s="79"/>
      <c r="P978" s="79"/>
      <c r="Q978" s="79"/>
      <c r="R978" s="79"/>
      <c r="S978" s="79"/>
      <c r="T978" s="79"/>
      <c r="U978" s="79"/>
      <c r="V978" s="79"/>
      <c r="W978" s="79"/>
      <c r="X978" s="79"/>
      <c r="Y978" s="79"/>
      <c r="Z978" s="79"/>
      <c r="AA978" s="79"/>
      <c r="AB978" s="79"/>
    </row>
    <row r="979" spans="1:28" ht="15.8" customHeight="1" x14ac:dyDescent="0.15">
      <c r="A979" s="79"/>
      <c r="B979" s="79"/>
      <c r="C979" s="79"/>
      <c r="D979" s="79"/>
      <c r="E979" s="79"/>
      <c r="F979" s="79"/>
      <c r="G979" s="79"/>
      <c r="H979" s="79"/>
      <c r="I979" s="79"/>
      <c r="J979" s="87"/>
      <c r="K979" s="87"/>
      <c r="L979" s="87"/>
      <c r="M979" s="87"/>
      <c r="N979" s="79"/>
      <c r="O979" s="79"/>
      <c r="P979" s="79"/>
      <c r="Q979" s="79"/>
      <c r="R979" s="79"/>
      <c r="S979" s="79"/>
      <c r="T979" s="79"/>
      <c r="U979" s="79"/>
      <c r="V979" s="79"/>
      <c r="W979" s="79"/>
      <c r="X979" s="79"/>
      <c r="Y979" s="79"/>
      <c r="Z979" s="79"/>
      <c r="AA979" s="79"/>
      <c r="AB979" s="79"/>
    </row>
    <row r="980" spans="1:28" ht="15.8" customHeight="1" x14ac:dyDescent="0.15">
      <c r="A980" s="79"/>
      <c r="B980" s="79"/>
      <c r="C980" s="79"/>
      <c r="D980" s="79"/>
      <c r="E980" s="79"/>
      <c r="F980" s="79"/>
      <c r="G980" s="79"/>
      <c r="H980" s="79"/>
      <c r="I980" s="79"/>
      <c r="J980" s="87"/>
      <c r="K980" s="87"/>
      <c r="L980" s="87"/>
      <c r="M980" s="87"/>
      <c r="N980" s="79"/>
      <c r="O980" s="79"/>
      <c r="P980" s="79"/>
      <c r="Q980" s="79"/>
      <c r="R980" s="79"/>
      <c r="S980" s="79"/>
      <c r="T980" s="79"/>
      <c r="U980" s="79"/>
      <c r="V980" s="79"/>
      <c r="W980" s="79"/>
      <c r="X980" s="79"/>
      <c r="Y980" s="79"/>
      <c r="Z980" s="79"/>
      <c r="AA980" s="79"/>
      <c r="AB980" s="79"/>
    </row>
    <row r="981" spans="1:28" ht="15.8" customHeight="1" x14ac:dyDescent="0.15">
      <c r="A981" s="79"/>
      <c r="B981" s="79"/>
      <c r="C981" s="79"/>
      <c r="D981" s="79"/>
      <c r="E981" s="79"/>
      <c r="F981" s="79"/>
      <c r="G981" s="79"/>
      <c r="H981" s="79"/>
      <c r="I981" s="79"/>
      <c r="J981" s="87"/>
      <c r="K981" s="87"/>
      <c r="L981" s="87"/>
      <c r="M981" s="87"/>
      <c r="N981" s="79"/>
      <c r="O981" s="79"/>
      <c r="P981" s="79"/>
      <c r="Q981" s="79"/>
      <c r="R981" s="79"/>
      <c r="S981" s="79"/>
      <c r="T981" s="79"/>
      <c r="U981" s="79"/>
      <c r="V981" s="79"/>
      <c r="W981" s="79"/>
      <c r="X981" s="79"/>
      <c r="Y981" s="79"/>
      <c r="Z981" s="79"/>
      <c r="AA981" s="79"/>
      <c r="AB981" s="79"/>
    </row>
    <row r="982" spans="1:28" ht="15.8" customHeight="1" x14ac:dyDescent="0.15">
      <c r="A982" s="79"/>
      <c r="B982" s="79"/>
      <c r="C982" s="79"/>
      <c r="D982" s="79"/>
      <c r="E982" s="79"/>
      <c r="F982" s="79"/>
      <c r="G982" s="79"/>
      <c r="H982" s="79"/>
      <c r="I982" s="79"/>
      <c r="J982" s="87"/>
      <c r="K982" s="87"/>
      <c r="L982" s="87"/>
      <c r="M982" s="87"/>
      <c r="N982" s="79"/>
      <c r="O982" s="79"/>
      <c r="P982" s="79"/>
      <c r="Q982" s="79"/>
      <c r="R982" s="79"/>
      <c r="S982" s="79"/>
      <c r="T982" s="79"/>
      <c r="U982" s="79"/>
      <c r="V982" s="79"/>
      <c r="W982" s="79"/>
      <c r="X982" s="79"/>
      <c r="Y982" s="79"/>
      <c r="Z982" s="79"/>
      <c r="AA982" s="79"/>
      <c r="AB982" s="79"/>
    </row>
    <row r="983" spans="1:28" ht="15.8" customHeight="1" x14ac:dyDescent="0.15">
      <c r="A983" s="79"/>
      <c r="B983" s="79"/>
      <c r="C983" s="79"/>
      <c r="D983" s="79"/>
      <c r="E983" s="79"/>
      <c r="F983" s="79"/>
      <c r="G983" s="79"/>
      <c r="H983" s="79"/>
      <c r="I983" s="79"/>
      <c r="J983" s="87"/>
      <c r="K983" s="87"/>
      <c r="L983" s="87"/>
      <c r="M983" s="87"/>
      <c r="N983" s="79"/>
      <c r="O983" s="79"/>
      <c r="P983" s="79"/>
      <c r="Q983" s="79"/>
      <c r="R983" s="79"/>
      <c r="S983" s="79"/>
      <c r="T983" s="79"/>
      <c r="U983" s="79"/>
      <c r="V983" s="79"/>
      <c r="W983" s="79"/>
      <c r="X983" s="79"/>
      <c r="Y983" s="79"/>
      <c r="Z983" s="79"/>
      <c r="AA983" s="79"/>
      <c r="AB983" s="79"/>
    </row>
    <row r="984" spans="1:28" ht="15.8" customHeight="1" x14ac:dyDescent="0.15">
      <c r="A984" s="79"/>
      <c r="B984" s="79"/>
      <c r="C984" s="79"/>
      <c r="D984" s="79"/>
      <c r="E984" s="79"/>
      <c r="F984" s="79"/>
      <c r="G984" s="79"/>
      <c r="H984" s="79"/>
      <c r="I984" s="79"/>
      <c r="J984" s="87"/>
      <c r="K984" s="87"/>
      <c r="L984" s="87"/>
      <c r="M984" s="87"/>
      <c r="N984" s="79"/>
      <c r="O984" s="79"/>
      <c r="P984" s="79"/>
      <c r="Q984" s="79"/>
      <c r="R984" s="79"/>
      <c r="S984" s="79"/>
      <c r="T984" s="79"/>
      <c r="U984" s="79"/>
      <c r="V984" s="79"/>
      <c r="W984" s="79"/>
      <c r="X984" s="79"/>
      <c r="Y984" s="79"/>
      <c r="Z984" s="79"/>
      <c r="AA984" s="79"/>
      <c r="AB984" s="79"/>
    </row>
    <row r="985" spans="1:28" ht="15.8" customHeight="1" x14ac:dyDescent="0.15">
      <c r="A985" s="79"/>
      <c r="B985" s="79"/>
      <c r="C985" s="79"/>
      <c r="D985" s="79"/>
      <c r="E985" s="79"/>
      <c r="F985" s="79"/>
      <c r="G985" s="79"/>
      <c r="H985" s="79"/>
      <c r="I985" s="79"/>
      <c r="J985" s="87"/>
      <c r="K985" s="87"/>
      <c r="L985" s="87"/>
      <c r="M985" s="87"/>
      <c r="N985" s="79"/>
      <c r="O985" s="79"/>
      <c r="P985" s="79"/>
      <c r="Q985" s="79"/>
      <c r="R985" s="79"/>
      <c r="S985" s="79"/>
      <c r="T985" s="79"/>
      <c r="U985" s="79"/>
      <c r="V985" s="79"/>
      <c r="W985" s="79"/>
      <c r="X985" s="79"/>
      <c r="Y985" s="79"/>
      <c r="Z985" s="79"/>
      <c r="AA985" s="79"/>
      <c r="AB985" s="79"/>
    </row>
    <row r="986" spans="1:28" ht="15.8" customHeight="1" x14ac:dyDescent="0.15">
      <c r="A986" s="79"/>
      <c r="B986" s="79"/>
      <c r="C986" s="79"/>
      <c r="D986" s="79"/>
      <c r="E986" s="79"/>
      <c r="F986" s="79"/>
      <c r="G986" s="79"/>
      <c r="H986" s="79"/>
      <c r="I986" s="79"/>
      <c r="J986" s="87"/>
      <c r="K986" s="87"/>
      <c r="L986" s="87"/>
      <c r="M986" s="87"/>
      <c r="N986" s="79"/>
      <c r="O986" s="79"/>
      <c r="P986" s="79"/>
      <c r="Q986" s="79"/>
      <c r="R986" s="79"/>
      <c r="S986" s="79"/>
      <c r="T986" s="79"/>
      <c r="U986" s="79"/>
      <c r="V986" s="79"/>
      <c r="W986" s="79"/>
      <c r="X986" s="79"/>
      <c r="Y986" s="79"/>
      <c r="Z986" s="79"/>
      <c r="AA986" s="79"/>
      <c r="AB986" s="79"/>
    </row>
    <row r="987" spans="1:28" ht="15.8" customHeight="1" x14ac:dyDescent="0.15">
      <c r="A987" s="79"/>
      <c r="B987" s="79"/>
      <c r="C987" s="79"/>
      <c r="D987" s="79"/>
      <c r="E987" s="79"/>
      <c r="F987" s="79"/>
      <c r="G987" s="79"/>
      <c r="H987" s="79"/>
      <c r="I987" s="79"/>
      <c r="J987" s="87"/>
      <c r="K987" s="87"/>
      <c r="L987" s="87"/>
      <c r="M987" s="87"/>
      <c r="N987" s="79"/>
      <c r="O987" s="79"/>
      <c r="P987" s="79"/>
      <c r="Q987" s="79"/>
      <c r="R987" s="79"/>
      <c r="S987" s="79"/>
      <c r="T987" s="79"/>
      <c r="U987" s="79"/>
      <c r="V987" s="79"/>
      <c r="W987" s="79"/>
      <c r="X987" s="79"/>
      <c r="Y987" s="79"/>
      <c r="Z987" s="79"/>
      <c r="AA987" s="79"/>
      <c r="AB987" s="79"/>
    </row>
    <row r="988" spans="1:28" ht="15.8" customHeight="1" x14ac:dyDescent="0.15">
      <c r="A988" s="79"/>
      <c r="B988" s="79"/>
      <c r="C988" s="79"/>
      <c r="D988" s="79"/>
      <c r="E988" s="79"/>
      <c r="F988" s="79"/>
      <c r="G988" s="79"/>
      <c r="H988" s="79"/>
      <c r="I988" s="79"/>
      <c r="J988" s="87"/>
      <c r="K988" s="87"/>
      <c r="L988" s="87"/>
      <c r="M988" s="87"/>
      <c r="N988" s="79"/>
      <c r="O988" s="79"/>
      <c r="P988" s="79"/>
      <c r="Q988" s="79"/>
      <c r="R988" s="79"/>
      <c r="S988" s="79"/>
      <c r="T988" s="79"/>
      <c r="U988" s="79"/>
      <c r="V988" s="79"/>
      <c r="W988" s="79"/>
      <c r="X988" s="79"/>
      <c r="Y988" s="79"/>
      <c r="Z988" s="79"/>
      <c r="AA988" s="79"/>
      <c r="AB988" s="79"/>
    </row>
    <row r="989" spans="1:28" ht="15.8" customHeight="1" x14ac:dyDescent="0.15">
      <c r="A989" s="79"/>
      <c r="B989" s="79"/>
      <c r="C989" s="79"/>
      <c r="D989" s="79"/>
      <c r="E989" s="79"/>
      <c r="F989" s="79"/>
      <c r="G989" s="79"/>
      <c r="H989" s="79"/>
      <c r="I989" s="79"/>
      <c r="J989" s="87"/>
      <c r="K989" s="87"/>
      <c r="L989" s="87"/>
      <c r="M989" s="87"/>
      <c r="N989" s="79"/>
      <c r="O989" s="79"/>
      <c r="P989" s="79"/>
      <c r="Q989" s="79"/>
      <c r="R989" s="79"/>
      <c r="S989" s="79"/>
      <c r="T989" s="79"/>
      <c r="U989" s="79"/>
      <c r="V989" s="79"/>
      <c r="W989" s="79"/>
      <c r="X989" s="79"/>
      <c r="Y989" s="79"/>
      <c r="Z989" s="79"/>
      <c r="AA989" s="79"/>
      <c r="AB989" s="79"/>
    </row>
    <row r="990" spans="1:28" ht="15.8" customHeight="1" x14ac:dyDescent="0.15">
      <c r="A990" s="79"/>
      <c r="B990" s="79"/>
      <c r="C990" s="79"/>
      <c r="D990" s="79"/>
      <c r="E990" s="79"/>
      <c r="F990" s="79"/>
      <c r="G990" s="79"/>
      <c r="H990" s="79"/>
      <c r="I990" s="79"/>
      <c r="J990" s="87"/>
      <c r="K990" s="87"/>
      <c r="L990" s="87"/>
      <c r="M990" s="87"/>
      <c r="N990" s="79"/>
      <c r="O990" s="79"/>
      <c r="P990" s="79"/>
      <c r="Q990" s="79"/>
      <c r="R990" s="79"/>
      <c r="S990" s="79"/>
      <c r="T990" s="79"/>
      <c r="U990" s="79"/>
      <c r="V990" s="79"/>
      <c r="W990" s="79"/>
      <c r="X990" s="79"/>
      <c r="Y990" s="79"/>
      <c r="Z990" s="79"/>
      <c r="AA990" s="79"/>
      <c r="AB990" s="79"/>
    </row>
    <row r="991" spans="1:28" ht="15.8" customHeight="1" x14ac:dyDescent="0.15">
      <c r="A991" s="79"/>
      <c r="B991" s="79"/>
      <c r="C991" s="79"/>
      <c r="D991" s="79"/>
      <c r="E991" s="79"/>
      <c r="F991" s="79"/>
      <c r="G991" s="79"/>
      <c r="H991" s="79"/>
      <c r="I991" s="79"/>
      <c r="J991" s="87"/>
      <c r="K991" s="87"/>
      <c r="L991" s="87"/>
      <c r="M991" s="87"/>
      <c r="N991" s="79"/>
      <c r="O991" s="79"/>
      <c r="P991" s="79"/>
      <c r="Q991" s="79"/>
      <c r="R991" s="79"/>
      <c r="S991" s="79"/>
      <c r="T991" s="79"/>
      <c r="U991" s="79"/>
      <c r="V991" s="79"/>
      <c r="W991" s="79"/>
      <c r="X991" s="79"/>
      <c r="Y991" s="79"/>
      <c r="Z991" s="79"/>
      <c r="AA991" s="79"/>
      <c r="AB991" s="79"/>
    </row>
    <row r="992" spans="1:28" ht="15.8" customHeight="1" x14ac:dyDescent="0.15">
      <c r="A992" s="79"/>
      <c r="B992" s="79"/>
      <c r="C992" s="79"/>
      <c r="D992" s="79"/>
      <c r="E992" s="79"/>
      <c r="F992" s="79"/>
      <c r="G992" s="79"/>
      <c r="H992" s="79"/>
      <c r="I992" s="79"/>
      <c r="J992" s="87"/>
      <c r="K992" s="87"/>
      <c r="L992" s="87"/>
      <c r="M992" s="87"/>
      <c r="N992" s="79"/>
      <c r="O992" s="79"/>
      <c r="P992" s="79"/>
      <c r="Q992" s="79"/>
      <c r="R992" s="79"/>
      <c r="S992" s="79"/>
      <c r="T992" s="79"/>
      <c r="U992" s="79"/>
      <c r="V992" s="79"/>
      <c r="W992" s="79"/>
      <c r="X992" s="79"/>
      <c r="Y992" s="79"/>
      <c r="Z992" s="79"/>
      <c r="AA992" s="79"/>
      <c r="AB992" s="79"/>
    </row>
    <row r="993" spans="1:28" ht="15.8" customHeight="1" x14ac:dyDescent="0.15">
      <c r="A993" s="79"/>
      <c r="B993" s="79"/>
      <c r="C993" s="79"/>
      <c r="D993" s="79"/>
      <c r="E993" s="79"/>
      <c r="F993" s="79"/>
      <c r="G993" s="79"/>
      <c r="H993" s="79"/>
      <c r="I993" s="79"/>
      <c r="J993" s="87"/>
      <c r="K993" s="87"/>
      <c r="L993" s="87"/>
      <c r="M993" s="87"/>
      <c r="N993" s="79"/>
      <c r="O993" s="79"/>
      <c r="P993" s="79"/>
      <c r="Q993" s="79"/>
      <c r="R993" s="79"/>
      <c r="S993" s="79"/>
      <c r="T993" s="79"/>
      <c r="U993" s="79"/>
      <c r="V993" s="79"/>
      <c r="W993" s="79"/>
      <c r="X993" s="79"/>
      <c r="Y993" s="79"/>
      <c r="Z993" s="79"/>
      <c r="AA993" s="79"/>
      <c r="AB993" s="79"/>
    </row>
    <row r="994" spans="1:28" ht="15.8" customHeight="1" x14ac:dyDescent="0.15">
      <c r="A994" s="79"/>
      <c r="B994" s="79"/>
      <c r="C994" s="79"/>
      <c r="D994" s="79"/>
      <c r="E994" s="79"/>
      <c r="F994" s="79"/>
      <c r="G994" s="79"/>
      <c r="H994" s="79"/>
      <c r="I994" s="79"/>
      <c r="J994" s="87"/>
      <c r="K994" s="87"/>
      <c r="L994" s="87"/>
      <c r="M994" s="87"/>
      <c r="N994" s="79"/>
      <c r="O994" s="79"/>
      <c r="P994" s="79"/>
      <c r="Q994" s="79"/>
      <c r="R994" s="79"/>
      <c r="S994" s="79"/>
      <c r="T994" s="79"/>
      <c r="U994" s="79"/>
      <c r="V994" s="79"/>
      <c r="W994" s="79"/>
      <c r="X994" s="79"/>
      <c r="Y994" s="79"/>
      <c r="Z994" s="79"/>
      <c r="AA994" s="79"/>
      <c r="AB994" s="79"/>
    </row>
    <row r="995" spans="1:28" ht="15.8" customHeight="1" x14ac:dyDescent="0.15">
      <c r="A995" s="79"/>
      <c r="B995" s="79"/>
      <c r="C995" s="79"/>
      <c r="D995" s="79"/>
      <c r="E995" s="79"/>
      <c r="F995" s="79"/>
      <c r="G995" s="79"/>
      <c r="H995" s="79"/>
      <c r="I995" s="79"/>
      <c r="J995" s="87"/>
      <c r="K995" s="87"/>
      <c r="L995" s="87"/>
      <c r="M995" s="87"/>
      <c r="N995" s="79"/>
      <c r="O995" s="79"/>
      <c r="P995" s="79"/>
      <c r="Q995" s="79"/>
      <c r="R995" s="79"/>
      <c r="S995" s="79"/>
      <c r="T995" s="79"/>
      <c r="U995" s="79"/>
      <c r="V995" s="79"/>
      <c r="W995" s="79"/>
      <c r="X995" s="79"/>
      <c r="Y995" s="79"/>
      <c r="Z995" s="79"/>
      <c r="AA995" s="79"/>
      <c r="AB995" s="79"/>
    </row>
    <row r="996" spans="1:28" ht="15.8" customHeight="1" x14ac:dyDescent="0.15">
      <c r="A996" s="79"/>
      <c r="B996" s="79"/>
      <c r="C996" s="79"/>
      <c r="D996" s="79"/>
      <c r="E996" s="79"/>
      <c r="F996" s="79"/>
      <c r="G996" s="79"/>
      <c r="H996" s="79"/>
      <c r="I996" s="79"/>
      <c r="J996" s="87"/>
      <c r="K996" s="87"/>
      <c r="L996" s="87"/>
      <c r="M996" s="87"/>
      <c r="N996" s="79"/>
      <c r="O996" s="79"/>
      <c r="P996" s="79"/>
      <c r="Q996" s="79"/>
      <c r="R996" s="79"/>
      <c r="S996" s="79"/>
      <c r="T996" s="79"/>
      <c r="U996" s="79"/>
      <c r="V996" s="79"/>
      <c r="W996" s="79"/>
      <c r="X996" s="79"/>
      <c r="Y996" s="79"/>
      <c r="Z996" s="79"/>
      <c r="AA996" s="79"/>
      <c r="AB996" s="79"/>
    </row>
  </sheetData>
  <mergeCells count="21">
    <mergeCell ref="B2:Z2"/>
    <mergeCell ref="B3:B4"/>
    <mergeCell ref="C3:C4"/>
    <mergeCell ref="D3:D4"/>
    <mergeCell ref="E3:E4"/>
    <mergeCell ref="F3:F4"/>
    <mergeCell ref="H3:H4"/>
    <mergeCell ref="O3:Z3"/>
    <mergeCell ref="I3:I4"/>
    <mergeCell ref="J3:M3"/>
    <mergeCell ref="B5:B71"/>
    <mergeCell ref="C5:C33"/>
    <mergeCell ref="D5:D33"/>
    <mergeCell ref="E40:E44"/>
    <mergeCell ref="G3:G4"/>
    <mergeCell ref="C49:C71"/>
    <mergeCell ref="D49:D71"/>
    <mergeCell ref="C35:C46"/>
    <mergeCell ref="D35:D46"/>
    <mergeCell ref="E57:E58"/>
    <mergeCell ref="E59:E60"/>
  </mergeCells>
  <pageMargins left="0.35433070866141736" right="0.23622047244094491" top="0.74803149606299213" bottom="0.74803149606299213" header="0" footer="0"/>
  <pageSetup paperSize="9" scale="3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C118"/>
  <sheetViews>
    <sheetView showGridLines="0" topLeftCell="A3" zoomScale="78" zoomScaleNormal="78" workbookViewId="0">
      <selection activeCell="B7" sqref="B7"/>
    </sheetView>
  </sheetViews>
  <sheetFormatPr baseColWidth="10" defaultColWidth="11.59765625" defaultRowHeight="15.65" x14ac:dyDescent="0.25"/>
  <cols>
    <col min="1" max="1" width="208.19921875" style="331" bestFit="1" customWidth="1"/>
    <col min="2" max="3" width="15.19921875" bestFit="1" customWidth="1"/>
  </cols>
  <sheetData>
    <row r="1" spans="1:3" s="326" customFormat="1" x14ac:dyDescent="0.25">
      <c r="A1" s="331"/>
      <c r="B1" s="825"/>
      <c r="C1" s="825"/>
    </row>
    <row r="2" spans="1:3" s="326" customFormat="1" x14ac:dyDescent="0.25">
      <c r="A2" s="331"/>
      <c r="B2" s="825"/>
      <c r="C2" s="825"/>
    </row>
    <row r="3" spans="1:3" x14ac:dyDescent="0.25">
      <c r="A3" s="496" t="s">
        <v>142</v>
      </c>
      <c r="B3" s="825" t="s">
        <v>150</v>
      </c>
      <c r="C3" s="825"/>
    </row>
    <row r="4" spans="1:3" x14ac:dyDescent="0.25">
      <c r="A4" s="261"/>
      <c r="B4" s="825"/>
      <c r="C4" s="825"/>
    </row>
    <row r="5" spans="1:3" x14ac:dyDescent="0.25">
      <c r="A5" s="401" t="s">
        <v>255</v>
      </c>
      <c r="B5" s="825" t="s">
        <v>234</v>
      </c>
      <c r="C5" s="825" t="s">
        <v>348</v>
      </c>
    </row>
    <row r="6" spans="1:3" x14ac:dyDescent="0.25">
      <c r="A6" s="209" t="s">
        <v>282</v>
      </c>
      <c r="B6" s="211">
        <v>33046574.999999996</v>
      </c>
      <c r="C6" s="211">
        <v>22031050</v>
      </c>
    </row>
    <row r="7" spans="1:3" x14ac:dyDescent="0.25">
      <c r="A7" s="209" t="s">
        <v>286</v>
      </c>
      <c r="B7" s="211">
        <v>840000</v>
      </c>
      <c r="C7" s="211">
        <v>840000</v>
      </c>
    </row>
    <row r="8" spans="1:3" x14ac:dyDescent="0.25">
      <c r="A8" s="209" t="s">
        <v>296</v>
      </c>
      <c r="B8" s="211">
        <v>61000</v>
      </c>
      <c r="C8" s="211">
        <v>0</v>
      </c>
    </row>
    <row r="9" spans="1:3" x14ac:dyDescent="0.25">
      <c r="A9" s="209" t="s">
        <v>326</v>
      </c>
      <c r="B9" s="211">
        <v>237500</v>
      </c>
      <c r="C9" s="211">
        <v>237500</v>
      </c>
    </row>
    <row r="10" spans="1:3" x14ac:dyDescent="0.25">
      <c r="A10" s="209" t="s">
        <v>278</v>
      </c>
      <c r="B10" s="211">
        <v>787500</v>
      </c>
      <c r="C10" s="211">
        <v>837500</v>
      </c>
    </row>
    <row r="11" spans="1:3" x14ac:dyDescent="0.25">
      <c r="A11" s="209" t="s">
        <v>277</v>
      </c>
      <c r="B11" s="211">
        <v>1939055.8362964555</v>
      </c>
      <c r="C11" s="211">
        <v>1939055.8362964555</v>
      </c>
    </row>
    <row r="12" spans="1:3" x14ac:dyDescent="0.25">
      <c r="A12" s="209" t="s">
        <v>283</v>
      </c>
      <c r="B12" s="211">
        <v>881600</v>
      </c>
      <c r="C12" s="211">
        <v>0</v>
      </c>
    </row>
    <row r="13" spans="1:3" x14ac:dyDescent="0.25">
      <c r="A13" s="209" t="s">
        <v>310</v>
      </c>
      <c r="B13" s="211">
        <v>2000000</v>
      </c>
      <c r="C13" s="211">
        <v>2000000</v>
      </c>
    </row>
    <row r="14" spans="1:3" x14ac:dyDescent="0.25">
      <c r="A14" s="209" t="s">
        <v>154</v>
      </c>
      <c r="B14" s="211">
        <v>41215104</v>
      </c>
      <c r="C14" s="211">
        <v>35827680</v>
      </c>
    </row>
    <row r="15" spans="1:3" x14ac:dyDescent="0.25">
      <c r="A15" s="209" t="s">
        <v>333</v>
      </c>
      <c r="B15" s="211">
        <v>1680000</v>
      </c>
      <c r="C15" s="211">
        <v>1680000</v>
      </c>
    </row>
    <row r="16" spans="1:3" x14ac:dyDescent="0.25">
      <c r="A16" s="209" t="s">
        <v>315</v>
      </c>
      <c r="B16" s="211">
        <v>630000</v>
      </c>
      <c r="C16" s="211">
        <v>630000</v>
      </c>
    </row>
    <row r="17" spans="1:3" x14ac:dyDescent="0.25">
      <c r="A17" s="209" t="s">
        <v>155</v>
      </c>
      <c r="B17" s="211">
        <v>910896</v>
      </c>
      <c r="C17" s="211">
        <v>985712</v>
      </c>
    </row>
    <row r="18" spans="1:3" x14ac:dyDescent="0.25">
      <c r="A18" s="209" t="s">
        <v>171</v>
      </c>
      <c r="B18" s="211">
        <v>5454400</v>
      </c>
      <c r="C18" s="211">
        <v>4513600</v>
      </c>
    </row>
    <row r="19" spans="1:3" x14ac:dyDescent="0.25">
      <c r="A19" s="209" t="s">
        <v>267</v>
      </c>
      <c r="B19" s="211">
        <v>2604000</v>
      </c>
      <c r="C19" s="211">
        <v>2338000</v>
      </c>
    </row>
    <row r="20" spans="1:3" x14ac:dyDescent="0.25">
      <c r="A20" s="209" t="s">
        <v>271</v>
      </c>
      <c r="B20" s="211">
        <v>2160000</v>
      </c>
      <c r="C20" s="211">
        <v>2160000</v>
      </c>
    </row>
    <row r="21" spans="1:3" x14ac:dyDescent="0.25">
      <c r="A21" s="486" t="s">
        <v>302</v>
      </c>
      <c r="B21" s="211">
        <v>900000</v>
      </c>
      <c r="C21" s="211">
        <v>900000</v>
      </c>
    </row>
    <row r="22" spans="1:3" x14ac:dyDescent="0.25">
      <c r="A22" s="209" t="s">
        <v>324</v>
      </c>
      <c r="B22" s="211">
        <v>37500</v>
      </c>
      <c r="C22" s="211">
        <v>37500</v>
      </c>
    </row>
    <row r="23" spans="1:3" x14ac:dyDescent="0.25">
      <c r="A23" s="209" t="s">
        <v>156</v>
      </c>
      <c r="B23" s="211">
        <v>10460000</v>
      </c>
      <c r="C23" s="211">
        <v>11400000</v>
      </c>
    </row>
    <row r="24" spans="1:3" x14ac:dyDescent="0.25">
      <c r="A24" s="209" t="s">
        <v>157</v>
      </c>
      <c r="B24" s="211">
        <v>29193970.103999998</v>
      </c>
      <c r="C24" s="211">
        <v>64015208.711999997</v>
      </c>
    </row>
    <row r="25" spans="1:3" x14ac:dyDescent="0.25">
      <c r="A25" s="209" t="s">
        <v>172</v>
      </c>
      <c r="B25" s="211">
        <v>7623750</v>
      </c>
      <c r="C25" s="211">
        <v>0</v>
      </c>
    </row>
    <row r="26" spans="1:3" x14ac:dyDescent="0.25">
      <c r="A26" s="209" t="s">
        <v>184</v>
      </c>
      <c r="B26" s="211">
        <v>2956807.0595062692</v>
      </c>
      <c r="C26" s="211">
        <v>2956807.0595062692</v>
      </c>
    </row>
    <row r="27" spans="1:3" x14ac:dyDescent="0.25">
      <c r="A27" s="209" t="s">
        <v>300</v>
      </c>
      <c r="B27" s="211">
        <v>350000</v>
      </c>
      <c r="C27" s="211">
        <v>0</v>
      </c>
    </row>
    <row r="28" spans="1:3" x14ac:dyDescent="0.25">
      <c r="A28" s="209" t="s">
        <v>182</v>
      </c>
      <c r="B28" s="211">
        <v>530000</v>
      </c>
      <c r="C28" s="211">
        <v>530000</v>
      </c>
    </row>
    <row r="29" spans="1:3" x14ac:dyDescent="0.25">
      <c r="A29" s="209" t="s">
        <v>265</v>
      </c>
      <c r="B29" s="211">
        <v>573527.17305694148</v>
      </c>
      <c r="C29" s="211">
        <v>523527.17305694148</v>
      </c>
    </row>
    <row r="30" spans="1:3" x14ac:dyDescent="0.25">
      <c r="A30" s="209" t="s">
        <v>311</v>
      </c>
      <c r="B30" s="211">
        <v>100000</v>
      </c>
      <c r="C30" s="211">
        <v>0</v>
      </c>
    </row>
    <row r="31" spans="1:3" x14ac:dyDescent="0.25">
      <c r="A31" s="209" t="s">
        <v>334</v>
      </c>
      <c r="B31" s="211">
        <v>486250</v>
      </c>
      <c r="C31" s="211">
        <v>486250</v>
      </c>
    </row>
    <row r="32" spans="1:3" x14ac:dyDescent="0.25">
      <c r="A32" s="209" t="s">
        <v>336</v>
      </c>
      <c r="B32" s="211">
        <v>480000</v>
      </c>
      <c r="C32" s="211">
        <v>480000</v>
      </c>
    </row>
    <row r="33" spans="1:3" x14ac:dyDescent="0.25">
      <c r="A33" s="209" t="s">
        <v>281</v>
      </c>
      <c r="B33" s="211">
        <v>540000</v>
      </c>
      <c r="C33" s="211">
        <v>570000</v>
      </c>
    </row>
    <row r="34" spans="1:3" x14ac:dyDescent="0.25">
      <c r="A34" s="209" t="s">
        <v>158</v>
      </c>
      <c r="B34" s="211">
        <v>181565500</v>
      </c>
      <c r="C34" s="211">
        <v>272348250</v>
      </c>
    </row>
    <row r="35" spans="1:3" x14ac:dyDescent="0.25">
      <c r="A35" s="209" t="s">
        <v>268</v>
      </c>
      <c r="B35" s="211">
        <v>9960000</v>
      </c>
      <c r="C35" s="211">
        <v>9960000</v>
      </c>
    </row>
    <row r="36" spans="1:3" x14ac:dyDescent="0.25">
      <c r="A36" s="209" t="s">
        <v>294</v>
      </c>
      <c r="B36" s="211">
        <v>720000</v>
      </c>
      <c r="C36" s="211">
        <v>720000</v>
      </c>
    </row>
    <row r="37" spans="1:3" x14ac:dyDescent="0.25">
      <c r="A37" s="209" t="s">
        <v>174</v>
      </c>
      <c r="B37" s="211">
        <v>13680000</v>
      </c>
      <c r="C37" s="211">
        <v>13680000</v>
      </c>
    </row>
    <row r="38" spans="1:3" x14ac:dyDescent="0.25">
      <c r="A38" s="209" t="s">
        <v>181</v>
      </c>
      <c r="B38" s="211">
        <v>70500</v>
      </c>
      <c r="C38" s="211">
        <v>67500</v>
      </c>
    </row>
    <row r="39" spans="1:3" x14ac:dyDescent="0.25">
      <c r="A39" s="209" t="s">
        <v>159</v>
      </c>
      <c r="B39" s="211">
        <v>3120000</v>
      </c>
      <c r="C39" s="211">
        <v>1985000</v>
      </c>
    </row>
    <row r="40" spans="1:3" x14ac:dyDescent="0.25">
      <c r="A40" s="209" t="s">
        <v>293</v>
      </c>
      <c r="B40" s="211">
        <v>1250000</v>
      </c>
      <c r="C40" s="211">
        <v>1250000</v>
      </c>
    </row>
    <row r="41" spans="1:3" x14ac:dyDescent="0.25">
      <c r="A41" s="209" t="s">
        <v>321</v>
      </c>
      <c r="B41" s="211">
        <v>50000</v>
      </c>
      <c r="C41" s="211">
        <v>0</v>
      </c>
    </row>
    <row r="42" spans="1:3" x14ac:dyDescent="0.25">
      <c r="A42" s="209" t="s">
        <v>307</v>
      </c>
      <c r="B42" s="211">
        <v>2880000</v>
      </c>
      <c r="C42" s="211">
        <v>2880000</v>
      </c>
    </row>
    <row r="43" spans="1:3" x14ac:dyDescent="0.25">
      <c r="A43" s="209" t="s">
        <v>323</v>
      </c>
      <c r="B43" s="211">
        <v>750000</v>
      </c>
      <c r="C43" s="211">
        <v>0</v>
      </c>
    </row>
    <row r="44" spans="1:3" x14ac:dyDescent="0.25">
      <c r="A44" s="209" t="s">
        <v>290</v>
      </c>
      <c r="B44" s="211">
        <v>2400000</v>
      </c>
      <c r="C44" s="211">
        <v>2400000</v>
      </c>
    </row>
    <row r="45" spans="1:3" x14ac:dyDescent="0.25">
      <c r="A45" s="209" t="s">
        <v>179</v>
      </c>
      <c r="B45" s="211">
        <v>2100000</v>
      </c>
      <c r="C45" s="211">
        <v>2100000</v>
      </c>
    </row>
    <row r="46" spans="1:3" x14ac:dyDescent="0.25">
      <c r="A46" s="209" t="s">
        <v>263</v>
      </c>
      <c r="B46" s="211">
        <v>39950000</v>
      </c>
      <c r="C46" s="211">
        <v>35225000</v>
      </c>
    </row>
    <row r="47" spans="1:3" x14ac:dyDescent="0.25">
      <c r="A47" s="209" t="s">
        <v>167</v>
      </c>
      <c r="B47" s="211">
        <v>32000000</v>
      </c>
      <c r="C47" s="211">
        <v>28864000</v>
      </c>
    </row>
    <row r="48" spans="1:3" x14ac:dyDescent="0.25">
      <c r="A48" s="209" t="s">
        <v>312</v>
      </c>
      <c r="B48" s="211">
        <v>100000</v>
      </c>
      <c r="C48" s="211">
        <v>0</v>
      </c>
    </row>
    <row r="49" spans="1:3" x14ac:dyDescent="0.25">
      <c r="A49" s="209" t="s">
        <v>301</v>
      </c>
      <c r="B49" s="211">
        <v>40000</v>
      </c>
      <c r="C49" s="211">
        <v>40000</v>
      </c>
    </row>
    <row r="50" spans="1:3" x14ac:dyDescent="0.25">
      <c r="A50" s="209" t="s">
        <v>332</v>
      </c>
      <c r="B50" s="211">
        <v>450000</v>
      </c>
      <c r="C50" s="211">
        <v>450000</v>
      </c>
    </row>
    <row r="51" spans="1:3" x14ac:dyDescent="0.25">
      <c r="A51" s="209" t="s">
        <v>314</v>
      </c>
      <c r="B51" s="211">
        <v>1180000</v>
      </c>
      <c r="C51" s="211">
        <v>1180000</v>
      </c>
    </row>
    <row r="52" spans="1:3" x14ac:dyDescent="0.25">
      <c r="A52" s="209" t="s">
        <v>317</v>
      </c>
      <c r="B52" s="211">
        <v>147800</v>
      </c>
      <c r="C52" s="211">
        <v>1600</v>
      </c>
    </row>
    <row r="53" spans="1:3" x14ac:dyDescent="0.25">
      <c r="A53" s="209" t="s">
        <v>319</v>
      </c>
      <c r="B53" s="211">
        <v>100000</v>
      </c>
      <c r="C53" s="211">
        <v>0</v>
      </c>
    </row>
    <row r="54" spans="1:3" x14ac:dyDescent="0.25">
      <c r="A54" s="209" t="s">
        <v>327</v>
      </c>
      <c r="B54" s="211">
        <v>105000</v>
      </c>
      <c r="C54" s="211">
        <v>0</v>
      </c>
    </row>
    <row r="55" spans="1:3" x14ac:dyDescent="0.25">
      <c r="A55" s="209" t="s">
        <v>335</v>
      </c>
      <c r="B55" s="211">
        <v>60000</v>
      </c>
      <c r="C55" s="211">
        <v>0</v>
      </c>
    </row>
    <row r="56" spans="1:3" x14ac:dyDescent="0.25">
      <c r="A56" s="209" t="s">
        <v>160</v>
      </c>
      <c r="B56" s="211">
        <v>20983140</v>
      </c>
      <c r="C56" s="211">
        <v>22706580</v>
      </c>
    </row>
    <row r="57" spans="1:3" x14ac:dyDescent="0.25">
      <c r="A57" s="209" t="s">
        <v>329</v>
      </c>
      <c r="B57" s="211">
        <v>600000</v>
      </c>
      <c r="C57" s="211">
        <v>600000</v>
      </c>
    </row>
    <row r="58" spans="1:3" x14ac:dyDescent="0.25">
      <c r="A58" s="209" t="s">
        <v>284</v>
      </c>
      <c r="B58" s="211">
        <v>1200000</v>
      </c>
      <c r="C58" s="211">
        <v>1950000</v>
      </c>
    </row>
    <row r="59" spans="1:3" x14ac:dyDescent="0.25">
      <c r="A59" s="209" t="s">
        <v>264</v>
      </c>
      <c r="B59" s="211">
        <v>9410000</v>
      </c>
      <c r="C59" s="211">
        <v>9740000</v>
      </c>
    </row>
    <row r="60" spans="1:3" x14ac:dyDescent="0.25">
      <c r="A60" s="209" t="s">
        <v>173</v>
      </c>
      <c r="B60" s="211">
        <v>115200000</v>
      </c>
      <c r="C60" s="211">
        <v>116400000</v>
      </c>
    </row>
    <row r="61" spans="1:3" x14ac:dyDescent="0.25">
      <c r="A61" s="209" t="s">
        <v>183</v>
      </c>
      <c r="B61" s="211">
        <v>326390.85972018173</v>
      </c>
      <c r="C61" s="211">
        <v>326390.85972018173</v>
      </c>
    </row>
    <row r="62" spans="1:3" x14ac:dyDescent="0.25">
      <c r="A62" s="209" t="s">
        <v>161</v>
      </c>
      <c r="B62" s="211">
        <v>208800325</v>
      </c>
      <c r="C62" s="211">
        <v>329705115</v>
      </c>
    </row>
    <row r="63" spans="1:3" x14ac:dyDescent="0.25">
      <c r="A63" s="209" t="s">
        <v>162</v>
      </c>
      <c r="B63" s="211">
        <v>64518850</v>
      </c>
      <c r="C63" s="211">
        <v>64518850</v>
      </c>
    </row>
    <row r="64" spans="1:3" x14ac:dyDescent="0.25">
      <c r="A64" s="209" t="s">
        <v>273</v>
      </c>
      <c r="B64" s="211">
        <v>84000000</v>
      </c>
      <c r="C64" s="211">
        <v>98000000</v>
      </c>
    </row>
    <row r="65" spans="1:3" x14ac:dyDescent="0.25">
      <c r="A65" s="209" t="s">
        <v>320</v>
      </c>
      <c r="B65" s="211">
        <v>45000</v>
      </c>
      <c r="C65" s="211">
        <v>45000</v>
      </c>
    </row>
    <row r="66" spans="1:3" x14ac:dyDescent="0.25">
      <c r="A66" s="209" t="s">
        <v>276</v>
      </c>
      <c r="B66" s="211">
        <v>430160000.00000006</v>
      </c>
      <c r="C66" s="211">
        <v>430160000.00000006</v>
      </c>
    </row>
    <row r="67" spans="1:3" x14ac:dyDescent="0.25">
      <c r="A67" s="209" t="s">
        <v>275</v>
      </c>
      <c r="B67" s="211">
        <v>8494000</v>
      </c>
      <c r="C67" s="211">
        <v>8494000</v>
      </c>
    </row>
    <row r="68" spans="1:3" x14ac:dyDescent="0.25">
      <c r="A68" s="209" t="s">
        <v>328</v>
      </c>
      <c r="B68" s="211">
        <v>560000</v>
      </c>
      <c r="C68" s="211">
        <v>500000</v>
      </c>
    </row>
    <row r="69" spans="1:3" x14ac:dyDescent="0.25">
      <c r="A69" s="209" t="s">
        <v>288</v>
      </c>
      <c r="B69" s="211">
        <v>280000</v>
      </c>
      <c r="C69" s="211">
        <v>0</v>
      </c>
    </row>
    <row r="70" spans="1:3" x14ac:dyDescent="0.25">
      <c r="A70" s="209" t="s">
        <v>170</v>
      </c>
      <c r="B70" s="211">
        <v>98650045.904708952</v>
      </c>
      <c r="C70" s="211">
        <v>98650045.904708952</v>
      </c>
    </row>
    <row r="71" spans="1:3" x14ac:dyDescent="0.25">
      <c r="A71" s="209" t="s">
        <v>163</v>
      </c>
      <c r="B71" s="211">
        <v>567658050</v>
      </c>
      <c r="C71" s="211">
        <v>378438700</v>
      </c>
    </row>
    <row r="72" spans="1:3" x14ac:dyDescent="0.25">
      <c r="A72" s="209" t="s">
        <v>299</v>
      </c>
      <c r="B72" s="211">
        <v>18750</v>
      </c>
      <c r="C72" s="211">
        <v>1875</v>
      </c>
    </row>
    <row r="73" spans="1:3" x14ac:dyDescent="0.25">
      <c r="A73" s="209" t="s">
        <v>316</v>
      </c>
      <c r="B73" s="211">
        <v>7500000</v>
      </c>
      <c r="C73" s="211">
        <v>7500000</v>
      </c>
    </row>
    <row r="74" spans="1:3" x14ac:dyDescent="0.25">
      <c r="A74" s="209" t="s">
        <v>295</v>
      </c>
      <c r="B74" s="211">
        <v>4800000</v>
      </c>
      <c r="C74" s="211">
        <v>4800000</v>
      </c>
    </row>
    <row r="75" spans="1:3" x14ac:dyDescent="0.25">
      <c r="A75" s="209" t="s">
        <v>331</v>
      </c>
      <c r="B75" s="211">
        <v>3000000</v>
      </c>
      <c r="C75" s="211">
        <v>2000000</v>
      </c>
    </row>
    <row r="76" spans="1:3" x14ac:dyDescent="0.25">
      <c r="A76" s="209" t="s">
        <v>272</v>
      </c>
      <c r="B76" s="211">
        <v>14772250</v>
      </c>
      <c r="C76" s="211">
        <v>18272250</v>
      </c>
    </row>
    <row r="77" spans="1:3" x14ac:dyDescent="0.25">
      <c r="A77" s="209" t="s">
        <v>298</v>
      </c>
      <c r="B77" s="211">
        <v>60000000</v>
      </c>
      <c r="C77" s="211">
        <v>90000000</v>
      </c>
    </row>
    <row r="78" spans="1:3" x14ac:dyDescent="0.25">
      <c r="A78" s="209" t="s">
        <v>164</v>
      </c>
      <c r="B78" s="211">
        <v>355124100</v>
      </c>
      <c r="C78" s="211">
        <v>565217370</v>
      </c>
    </row>
    <row r="79" spans="1:3" x14ac:dyDescent="0.25">
      <c r="A79" s="209" t="s">
        <v>291</v>
      </c>
      <c r="B79" s="211">
        <v>700000</v>
      </c>
      <c r="C79" s="211">
        <v>700000</v>
      </c>
    </row>
    <row r="80" spans="1:3" x14ac:dyDescent="0.25">
      <c r="A80" s="209" t="s">
        <v>304</v>
      </c>
      <c r="B80" s="211">
        <v>900000</v>
      </c>
      <c r="C80" s="211">
        <v>900000</v>
      </c>
    </row>
    <row r="81" spans="1:3" x14ac:dyDescent="0.25">
      <c r="A81" s="209" t="s">
        <v>306</v>
      </c>
      <c r="B81" s="211">
        <v>200000</v>
      </c>
      <c r="C81" s="211">
        <v>200000</v>
      </c>
    </row>
    <row r="82" spans="1:3" x14ac:dyDescent="0.25">
      <c r="A82" s="209" t="s">
        <v>308</v>
      </c>
      <c r="B82" s="211">
        <v>1350000</v>
      </c>
      <c r="C82" s="211">
        <v>1350000</v>
      </c>
    </row>
    <row r="83" spans="1:3" x14ac:dyDescent="0.25">
      <c r="A83" s="209" t="s">
        <v>177</v>
      </c>
      <c r="B83" s="211">
        <v>5175000</v>
      </c>
      <c r="C83" s="211">
        <v>5850000</v>
      </c>
    </row>
    <row r="84" spans="1:3" x14ac:dyDescent="0.25">
      <c r="A84" s="209" t="s">
        <v>349</v>
      </c>
      <c r="B84" s="211">
        <v>2000000</v>
      </c>
      <c r="C84" s="211">
        <v>2000000</v>
      </c>
    </row>
    <row r="85" spans="1:3" x14ac:dyDescent="0.25">
      <c r="A85" s="209" t="s">
        <v>309</v>
      </c>
      <c r="B85" s="211">
        <v>2000000</v>
      </c>
      <c r="C85" s="211">
        <v>2000000</v>
      </c>
    </row>
    <row r="86" spans="1:3" x14ac:dyDescent="0.25">
      <c r="A86" s="209" t="s">
        <v>350</v>
      </c>
      <c r="B86" s="211">
        <v>3200000</v>
      </c>
      <c r="C86" s="211">
        <v>3200000</v>
      </c>
    </row>
    <row r="87" spans="1:3" x14ac:dyDescent="0.25">
      <c r="A87" s="209" t="s">
        <v>165</v>
      </c>
      <c r="B87" s="211">
        <v>38412000</v>
      </c>
      <c r="C87" s="211">
        <v>45528000</v>
      </c>
    </row>
    <row r="88" spans="1:3" x14ac:dyDescent="0.25">
      <c r="A88" s="209" t="s">
        <v>318</v>
      </c>
      <c r="B88" s="211">
        <v>6750000</v>
      </c>
      <c r="C88" s="211">
        <v>6750000</v>
      </c>
    </row>
    <row r="89" spans="1:3" x14ac:dyDescent="0.25">
      <c r="A89" s="209" t="s">
        <v>279</v>
      </c>
      <c r="B89" s="211">
        <v>2771524</v>
      </c>
      <c r="C89" s="211">
        <v>2564044</v>
      </c>
    </row>
    <row r="90" spans="1:3" x14ac:dyDescent="0.25">
      <c r="A90" s="209" t="s">
        <v>337</v>
      </c>
      <c r="B90" s="211">
        <v>400000</v>
      </c>
      <c r="C90" s="211">
        <v>400000</v>
      </c>
    </row>
    <row r="91" spans="1:3" x14ac:dyDescent="0.25">
      <c r="A91" s="209" t="s">
        <v>292</v>
      </c>
      <c r="B91" s="211">
        <v>1800000</v>
      </c>
      <c r="C91" s="211">
        <v>1800000</v>
      </c>
    </row>
    <row r="92" spans="1:3" x14ac:dyDescent="0.25">
      <c r="A92" s="209" t="s">
        <v>266</v>
      </c>
      <c r="B92" s="211">
        <v>1125000</v>
      </c>
      <c r="C92" s="211">
        <v>1170000</v>
      </c>
    </row>
    <row r="93" spans="1:3" x14ac:dyDescent="0.25">
      <c r="A93" s="209" t="s">
        <v>168</v>
      </c>
      <c r="B93" s="211">
        <v>7900000</v>
      </c>
      <c r="C93" s="211">
        <v>7900000</v>
      </c>
    </row>
    <row r="94" spans="1:3" x14ac:dyDescent="0.25">
      <c r="A94" s="209" t="s">
        <v>322</v>
      </c>
      <c r="B94" s="211">
        <v>1200000</v>
      </c>
      <c r="C94" s="211">
        <v>960000</v>
      </c>
    </row>
    <row r="95" spans="1:3" x14ac:dyDescent="0.25">
      <c r="A95" s="209" t="s">
        <v>169</v>
      </c>
      <c r="B95" s="211">
        <v>270000</v>
      </c>
      <c r="C95" s="211">
        <v>285000</v>
      </c>
    </row>
    <row r="96" spans="1:3" x14ac:dyDescent="0.25">
      <c r="A96" s="209" t="s">
        <v>287</v>
      </c>
      <c r="B96" s="211">
        <v>440000</v>
      </c>
      <c r="C96" s="211">
        <v>440000</v>
      </c>
    </row>
    <row r="97" spans="1:3" x14ac:dyDescent="0.25">
      <c r="A97" s="209" t="s">
        <v>313</v>
      </c>
      <c r="B97" s="211">
        <v>240000</v>
      </c>
      <c r="C97" s="211">
        <v>400000</v>
      </c>
    </row>
    <row r="98" spans="1:3" x14ac:dyDescent="0.25">
      <c r="A98" s="209" t="s">
        <v>285</v>
      </c>
      <c r="B98" s="211">
        <v>990000</v>
      </c>
      <c r="C98" s="211">
        <v>1530000</v>
      </c>
    </row>
    <row r="99" spans="1:3" x14ac:dyDescent="0.25">
      <c r="A99" s="209" t="s">
        <v>280</v>
      </c>
      <c r="B99" s="211">
        <v>330000</v>
      </c>
      <c r="C99" s="211">
        <v>550000</v>
      </c>
    </row>
    <row r="100" spans="1:3" x14ac:dyDescent="0.25">
      <c r="A100" s="209" t="s">
        <v>330</v>
      </c>
      <c r="B100" s="211">
        <v>7500000</v>
      </c>
      <c r="C100" s="211">
        <v>7500000</v>
      </c>
    </row>
    <row r="101" spans="1:3" x14ac:dyDescent="0.25">
      <c r="A101" s="209" t="s">
        <v>166</v>
      </c>
      <c r="B101" s="211">
        <v>124913700</v>
      </c>
      <c r="C101" s="211">
        <v>126415800</v>
      </c>
    </row>
    <row r="102" spans="1:3" x14ac:dyDescent="0.25">
      <c r="A102" s="209" t="s">
        <v>289</v>
      </c>
      <c r="B102" s="211">
        <v>94000000</v>
      </c>
      <c r="C102" s="211">
        <v>94000000</v>
      </c>
    </row>
    <row r="103" spans="1:3" x14ac:dyDescent="0.25">
      <c r="A103" s="209" t="s">
        <v>185</v>
      </c>
      <c r="B103" s="211">
        <v>30607923.941607848</v>
      </c>
      <c r="C103" s="211">
        <v>25648752.134164877</v>
      </c>
    </row>
    <row r="104" spans="1:3" x14ac:dyDescent="0.25">
      <c r="A104" s="209" t="s">
        <v>269</v>
      </c>
      <c r="B104" s="211">
        <v>24966752.5</v>
      </c>
      <c r="C104" s="211">
        <v>20127338.5</v>
      </c>
    </row>
    <row r="105" spans="1:3" x14ac:dyDescent="0.25">
      <c r="A105" s="209" t="s">
        <v>270</v>
      </c>
      <c r="B105" s="211">
        <v>9040000</v>
      </c>
      <c r="C105" s="211">
        <v>9040000</v>
      </c>
    </row>
    <row r="106" spans="1:3" x14ac:dyDescent="0.25">
      <c r="A106" s="209" t="s">
        <v>176</v>
      </c>
      <c r="B106" s="211">
        <v>46625000</v>
      </c>
      <c r="C106" s="211">
        <v>41875000</v>
      </c>
    </row>
    <row r="107" spans="1:3" x14ac:dyDescent="0.25">
      <c r="A107" s="209" t="s">
        <v>303</v>
      </c>
      <c r="B107" s="211">
        <v>150000</v>
      </c>
      <c r="C107" s="211">
        <v>0</v>
      </c>
    </row>
    <row r="108" spans="1:3" x14ac:dyDescent="0.25">
      <c r="A108" s="209" t="s">
        <v>178</v>
      </c>
      <c r="B108" s="211">
        <v>2100000</v>
      </c>
      <c r="C108" s="211">
        <v>0</v>
      </c>
    </row>
    <row r="109" spans="1:3" x14ac:dyDescent="0.25">
      <c r="A109" s="209" t="s">
        <v>175</v>
      </c>
      <c r="B109" s="211">
        <v>750000</v>
      </c>
      <c r="C109" s="211">
        <v>675000</v>
      </c>
    </row>
    <row r="110" spans="1:3" x14ac:dyDescent="0.25">
      <c r="A110" s="209" t="s">
        <v>180</v>
      </c>
      <c r="B110" s="211">
        <v>930000</v>
      </c>
      <c r="C110" s="211">
        <v>620000</v>
      </c>
    </row>
    <row r="111" spans="1:3" x14ac:dyDescent="0.25">
      <c r="A111" s="209" t="s">
        <v>297</v>
      </c>
      <c r="B111" s="211">
        <v>9082000</v>
      </c>
      <c r="C111" s="211">
        <v>1635000</v>
      </c>
    </row>
    <row r="112" spans="1:3" x14ac:dyDescent="0.25">
      <c r="A112" s="209" t="s">
        <v>325</v>
      </c>
      <c r="B112" s="211">
        <v>6325697.1200000001</v>
      </c>
      <c r="C112" s="211">
        <v>6325697.1200000001</v>
      </c>
    </row>
    <row r="113" spans="1:3" x14ac:dyDescent="0.25">
      <c r="A113" s="209" t="s">
        <v>141</v>
      </c>
      <c r="B113" s="211">
        <v>2932603734.4988966</v>
      </c>
      <c r="C113" s="211">
        <v>3199436549.2994537</v>
      </c>
    </row>
    <row r="114" spans="1:3" x14ac:dyDescent="0.25">
      <c r="A114" s="825"/>
      <c r="B114" s="825"/>
      <c r="C114" s="825"/>
    </row>
    <row r="115" spans="1:3" x14ac:dyDescent="0.25">
      <c r="A115" s="825"/>
      <c r="B115" s="825"/>
      <c r="C115" s="825"/>
    </row>
    <row r="116" spans="1:3" x14ac:dyDescent="0.25">
      <c r="A116" s="825"/>
      <c r="B116" s="825"/>
      <c r="C116" s="825"/>
    </row>
    <row r="117" spans="1:3" x14ac:dyDescent="0.25">
      <c r="B117" s="229"/>
      <c r="C117" s="229"/>
    </row>
    <row r="118" spans="1:3" x14ac:dyDescent="0.25">
      <c r="B118" s="229"/>
      <c r="C118" s="22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B0F0"/>
  </sheetPr>
  <dimension ref="A1:I76"/>
  <sheetViews>
    <sheetView topLeftCell="A28" zoomScale="70" zoomScaleNormal="70" workbookViewId="0">
      <selection activeCell="B7" sqref="B7"/>
    </sheetView>
  </sheetViews>
  <sheetFormatPr baseColWidth="10" defaultColWidth="11.59765625" defaultRowHeight="15.65" x14ac:dyDescent="0.25"/>
  <cols>
    <col min="1" max="1" width="31.59765625" bestFit="1" customWidth="1"/>
    <col min="2" max="2" width="77" bestFit="1" customWidth="1"/>
    <col min="3" max="3" width="79.09765625" bestFit="1" customWidth="1"/>
    <col min="4" max="4" width="57.3984375" bestFit="1" customWidth="1"/>
    <col min="5" max="5" width="12.09765625" bestFit="1" customWidth="1"/>
    <col min="6" max="6" width="14.3984375" customWidth="1"/>
    <col min="7" max="7" width="15" bestFit="1" customWidth="1"/>
    <col min="8" max="8" width="24.09765625" bestFit="1" customWidth="1"/>
    <col min="9" max="9" width="19.796875" bestFit="1" customWidth="1"/>
  </cols>
  <sheetData>
    <row r="1" spans="1:8" x14ac:dyDescent="0.25">
      <c r="A1" s="193" t="s">
        <v>142</v>
      </c>
      <c r="B1" s="825" t="s">
        <v>137</v>
      </c>
      <c r="C1" s="825"/>
      <c r="D1" s="825"/>
      <c r="E1" s="825"/>
      <c r="F1" s="825"/>
      <c r="G1" s="825"/>
      <c r="H1" s="825"/>
    </row>
    <row r="3" spans="1:8" hidden="1" x14ac:dyDescent="0.25">
      <c r="A3" s="193" t="s">
        <v>234</v>
      </c>
      <c r="B3" s="193" t="s">
        <v>144</v>
      </c>
      <c r="C3" s="825"/>
      <c r="D3" s="825"/>
      <c r="E3" s="825"/>
      <c r="F3" s="825"/>
      <c r="G3" s="825"/>
      <c r="H3" s="825"/>
    </row>
    <row r="4" spans="1:8" s="213" customFormat="1" ht="31.25" x14ac:dyDescent="0.25">
      <c r="A4" s="212" t="s">
        <v>191</v>
      </c>
      <c r="B4" s="213" t="s">
        <v>203</v>
      </c>
      <c r="C4" s="213" t="s">
        <v>199</v>
      </c>
      <c r="D4" s="213" t="s">
        <v>193</v>
      </c>
      <c r="E4" s="213" t="s">
        <v>141</v>
      </c>
      <c r="F4" s="421" t="s">
        <v>352</v>
      </c>
      <c r="G4" s="421" t="s">
        <v>353</v>
      </c>
      <c r="H4" s="420" t="s">
        <v>354</v>
      </c>
    </row>
    <row r="5" spans="1:8" ht="62.5" x14ac:dyDescent="0.25">
      <c r="A5" s="223" t="s">
        <v>129</v>
      </c>
      <c r="B5" s="230">
        <v>250000</v>
      </c>
      <c r="C5" s="230">
        <v>6973395.8940466996</v>
      </c>
      <c r="D5" s="230">
        <v>289283220.80799997</v>
      </c>
      <c r="E5" s="230">
        <v>296506616.70204669</v>
      </c>
      <c r="F5" s="825"/>
      <c r="G5" s="825" t="e">
        <f>+GETPIVOTDATA("2025 S/",$A$3,"USA","Predios de agricultura familiar con producción destinada al autoconsumo y productos de exportación, con título o sin título de propiedad.")/F5</f>
        <v>#DIV/0!</v>
      </c>
      <c r="H5" s="825"/>
    </row>
    <row r="6" spans="1:8" x14ac:dyDescent="0.25">
      <c r="A6" s="209" t="s">
        <v>123</v>
      </c>
      <c r="B6" s="230">
        <v>400225</v>
      </c>
      <c r="C6" s="230">
        <v>66785375.000000007</v>
      </c>
      <c r="D6" s="230">
        <v>420000</v>
      </c>
      <c r="E6" s="230">
        <v>67605600</v>
      </c>
      <c r="F6" s="825"/>
      <c r="G6" s="825"/>
      <c r="H6" s="825"/>
    </row>
    <row r="7" spans="1:8" x14ac:dyDescent="0.25">
      <c r="A7" s="209" t="s">
        <v>138</v>
      </c>
      <c r="B7" s="230">
        <v>56825000</v>
      </c>
      <c r="C7" s="230">
        <v>340000</v>
      </c>
      <c r="D7" s="230"/>
      <c r="E7" s="230">
        <v>57165000</v>
      </c>
      <c r="F7" s="825"/>
      <c r="G7" s="825"/>
      <c r="H7" s="825"/>
    </row>
    <row r="8" spans="1:8" x14ac:dyDescent="0.25">
      <c r="A8" s="209" t="s">
        <v>136</v>
      </c>
      <c r="B8" s="230"/>
      <c r="C8" s="230">
        <v>1165126.5258785102</v>
      </c>
      <c r="D8" s="230">
        <v>26938149.999999996</v>
      </c>
      <c r="E8" s="230">
        <v>28103276.525878508</v>
      </c>
      <c r="F8" s="825"/>
      <c r="G8" s="825"/>
      <c r="H8" s="825"/>
    </row>
    <row r="9" spans="1:8" x14ac:dyDescent="0.25">
      <c r="A9" s="209" t="s">
        <v>126</v>
      </c>
      <c r="B9" s="230">
        <v>250000</v>
      </c>
      <c r="C9" s="230">
        <v>463305.81406844506</v>
      </c>
      <c r="D9" s="230">
        <v>15094895</v>
      </c>
      <c r="E9" s="230">
        <v>15808200.814068444</v>
      </c>
      <c r="F9" s="825"/>
      <c r="G9" s="825"/>
      <c r="H9" s="825"/>
    </row>
    <row r="10" spans="1:8" x14ac:dyDescent="0.25">
      <c r="A10" s="209" t="s">
        <v>125</v>
      </c>
      <c r="B10" s="230">
        <v>250000</v>
      </c>
      <c r="C10" s="230">
        <v>95985.4989476232</v>
      </c>
      <c r="D10" s="230">
        <v>6342025</v>
      </c>
      <c r="E10" s="230">
        <v>6688010.4989476232</v>
      </c>
      <c r="F10" s="825"/>
      <c r="G10" s="825"/>
      <c r="H10" s="825"/>
    </row>
    <row r="11" spans="1:8" x14ac:dyDescent="0.25">
      <c r="A11" s="209" t="s">
        <v>122</v>
      </c>
      <c r="B11" s="230">
        <v>2730000</v>
      </c>
      <c r="C11" s="230"/>
      <c r="D11" s="230"/>
      <c r="E11" s="230">
        <v>2730000</v>
      </c>
      <c r="F11" s="825"/>
      <c r="G11" s="825"/>
      <c r="H11" s="825"/>
    </row>
    <row r="12" spans="1:8" x14ac:dyDescent="0.25">
      <c r="A12" s="209" t="s">
        <v>131</v>
      </c>
      <c r="B12" s="230">
        <v>2140647.1721468801</v>
      </c>
      <c r="C12" s="230">
        <v>388741.58619903837</v>
      </c>
      <c r="D12" s="230"/>
      <c r="E12" s="230">
        <v>2529388.7583459183</v>
      </c>
      <c r="F12" s="825"/>
      <c r="G12" s="825"/>
      <c r="H12" s="825"/>
    </row>
    <row r="13" spans="1:8" x14ac:dyDescent="0.25">
      <c r="A13" s="209" t="s">
        <v>121</v>
      </c>
      <c r="B13" s="230">
        <v>450000</v>
      </c>
      <c r="C13" s="230">
        <v>450000</v>
      </c>
      <c r="D13" s="230"/>
      <c r="E13" s="230">
        <v>900000</v>
      </c>
      <c r="F13" s="825"/>
      <c r="G13" s="825"/>
      <c r="H13" s="825"/>
    </row>
    <row r="14" spans="1:8" x14ac:dyDescent="0.25">
      <c r="A14" s="209" t="s">
        <v>141</v>
      </c>
      <c r="B14" s="211">
        <v>63295872.172146879</v>
      </c>
      <c r="C14" s="211">
        <v>76661930.31914033</v>
      </c>
      <c r="D14" s="211">
        <v>338078290.80799997</v>
      </c>
      <c r="E14" s="211">
        <v>478036093.29928714</v>
      </c>
      <c r="F14" s="825"/>
      <c r="G14" s="825"/>
      <c r="H14" s="825"/>
    </row>
    <row r="16" spans="1:8" s="417" customFormat="1" x14ac:dyDescent="0.25">
      <c r="A16" s="825"/>
      <c r="B16" s="825"/>
      <c r="C16" s="825"/>
      <c r="D16" s="825"/>
      <c r="E16" s="825"/>
      <c r="F16" s="825"/>
      <c r="G16" s="825"/>
      <c r="H16" s="825"/>
    </row>
    <row r="17" spans="1:9" s="417" customFormat="1" x14ac:dyDescent="0.25">
      <c r="A17" s="825"/>
      <c r="B17" s="825"/>
      <c r="C17" s="825"/>
      <c r="D17" s="825"/>
      <c r="E17" s="825"/>
      <c r="F17" s="825"/>
      <c r="G17" s="825"/>
      <c r="H17" s="825"/>
      <c r="I17" s="825"/>
    </row>
    <row r="18" spans="1:9" x14ac:dyDescent="0.25">
      <c r="A18" s="193" t="s">
        <v>142</v>
      </c>
      <c r="B18" s="825" t="s">
        <v>132</v>
      </c>
      <c r="C18" s="825"/>
      <c r="D18" s="825"/>
      <c r="E18" s="825"/>
      <c r="F18" s="825"/>
      <c r="G18" s="825"/>
      <c r="H18" s="825"/>
      <c r="I18" s="825"/>
    </row>
    <row r="19" spans="1:9" x14ac:dyDescent="0.25">
      <c r="A19" s="825"/>
      <c r="B19" s="825"/>
      <c r="C19" s="825"/>
      <c r="D19" s="825"/>
      <c r="E19" s="825"/>
      <c r="F19" s="825"/>
      <c r="G19" s="825"/>
      <c r="H19" s="825"/>
      <c r="I19" s="825"/>
    </row>
    <row r="20" spans="1:9" hidden="1" x14ac:dyDescent="0.25">
      <c r="A20" s="193" t="s">
        <v>234</v>
      </c>
      <c r="B20" s="193" t="s">
        <v>144</v>
      </c>
      <c r="C20" s="825"/>
      <c r="D20" s="825"/>
      <c r="E20" s="825"/>
      <c r="F20" s="825"/>
      <c r="G20" s="825"/>
      <c r="H20" s="825"/>
      <c r="I20" s="825"/>
    </row>
    <row r="21" spans="1:9" x14ac:dyDescent="0.25">
      <c r="A21" s="212" t="s">
        <v>191</v>
      </c>
      <c r="B21" s="213" t="s">
        <v>203</v>
      </c>
      <c r="C21" s="213" t="s">
        <v>199</v>
      </c>
      <c r="D21" s="213" t="s">
        <v>193</v>
      </c>
      <c r="E21" s="213" t="s">
        <v>141</v>
      </c>
      <c r="F21" s="193"/>
      <c r="G21" s="193"/>
      <c r="H21" s="193"/>
      <c r="I21" s="193"/>
    </row>
    <row r="22" spans="1:9" s="231" customFormat="1" ht="14.95" customHeight="1" x14ac:dyDescent="0.25">
      <c r="A22" s="227" t="s">
        <v>129</v>
      </c>
      <c r="B22" s="230">
        <v>500000</v>
      </c>
      <c r="C22" s="230">
        <v>20410639.082625899</v>
      </c>
      <c r="D22" s="230">
        <v>275426796</v>
      </c>
      <c r="E22" s="230">
        <v>296337435.08262593</v>
      </c>
    </row>
    <row r="23" spans="1:9" x14ac:dyDescent="0.25">
      <c r="A23" s="209" t="s">
        <v>123</v>
      </c>
      <c r="B23" s="211">
        <v>8666368.75</v>
      </c>
      <c r="C23" s="211">
        <v>158373750.00000003</v>
      </c>
      <c r="D23" s="211">
        <v>150000</v>
      </c>
      <c r="E23" s="211">
        <v>167190118.75000003</v>
      </c>
      <c r="F23" s="825"/>
      <c r="G23" s="825"/>
      <c r="H23" s="825"/>
      <c r="I23" s="825"/>
    </row>
    <row r="24" spans="1:9" x14ac:dyDescent="0.25">
      <c r="A24" s="209" t="s">
        <v>130</v>
      </c>
      <c r="B24" s="211">
        <v>1404000</v>
      </c>
      <c r="C24" s="211">
        <v>17600000</v>
      </c>
      <c r="D24" s="211">
        <v>11220000</v>
      </c>
      <c r="E24" s="211">
        <v>30224000</v>
      </c>
      <c r="F24" s="825"/>
      <c r="G24" s="825"/>
      <c r="H24" s="825"/>
      <c r="I24" s="825"/>
    </row>
    <row r="25" spans="1:9" x14ac:dyDescent="0.25">
      <c r="A25" s="209" t="s">
        <v>126</v>
      </c>
      <c r="B25" s="211">
        <v>500000</v>
      </c>
      <c r="C25" s="211">
        <v>877848.59269436693</v>
      </c>
      <c r="D25" s="211">
        <v>27361340</v>
      </c>
      <c r="E25" s="211">
        <v>28739188.592694368</v>
      </c>
      <c r="F25" s="825"/>
      <c r="G25" s="825"/>
      <c r="H25" s="825"/>
      <c r="I25" s="825"/>
    </row>
    <row r="26" spans="1:9" x14ac:dyDescent="0.25">
      <c r="A26" s="209" t="s">
        <v>125</v>
      </c>
      <c r="B26" s="211">
        <v>500000</v>
      </c>
      <c r="C26" s="211">
        <v>1265813.36155174</v>
      </c>
      <c r="D26" s="211">
        <v>22268505</v>
      </c>
      <c r="E26" s="211">
        <v>24034318.361551739</v>
      </c>
      <c r="F26" s="825"/>
      <c r="G26" s="825"/>
      <c r="H26" s="825"/>
      <c r="I26" s="825"/>
    </row>
    <row r="27" spans="1:9" x14ac:dyDescent="0.25">
      <c r="A27" s="209" t="s">
        <v>133</v>
      </c>
      <c r="B27" s="211">
        <v>9430000</v>
      </c>
      <c r="C27" s="211">
        <v>240000</v>
      </c>
      <c r="D27" s="211"/>
      <c r="E27" s="211">
        <v>9670000</v>
      </c>
      <c r="F27" s="825"/>
      <c r="G27" s="825"/>
      <c r="H27" s="825"/>
      <c r="I27" s="825"/>
    </row>
    <row r="28" spans="1:9" x14ac:dyDescent="0.25">
      <c r="A28" s="209" t="s">
        <v>131</v>
      </c>
      <c r="B28" s="211">
        <v>2818524.6352960919</v>
      </c>
      <c r="C28" s="211">
        <v>259741.49440690081</v>
      </c>
      <c r="D28" s="211"/>
      <c r="E28" s="211">
        <v>3078266.1297029927</v>
      </c>
      <c r="F28" s="825"/>
      <c r="G28" s="825"/>
      <c r="H28" s="825"/>
      <c r="I28" s="825"/>
    </row>
    <row r="29" spans="1:9" x14ac:dyDescent="0.25">
      <c r="A29" s="209" t="s">
        <v>122</v>
      </c>
      <c r="B29" s="211">
        <v>2480000</v>
      </c>
      <c r="C29" s="211"/>
      <c r="D29" s="211"/>
      <c r="E29" s="211">
        <v>2480000</v>
      </c>
      <c r="F29" s="825"/>
      <c r="G29" s="825"/>
      <c r="H29" s="825"/>
      <c r="I29" s="825"/>
    </row>
    <row r="30" spans="1:9" x14ac:dyDescent="0.25">
      <c r="A30" s="209" t="s">
        <v>127</v>
      </c>
      <c r="B30" s="211"/>
      <c r="C30" s="211">
        <v>1287867.1328671698</v>
      </c>
      <c r="D30" s="211"/>
      <c r="E30" s="211">
        <v>1287867.1328671698</v>
      </c>
      <c r="F30" s="825"/>
      <c r="G30" s="825"/>
      <c r="H30" s="825"/>
      <c r="I30" s="825"/>
    </row>
    <row r="31" spans="1:9" x14ac:dyDescent="0.25">
      <c r="A31" s="209" t="s">
        <v>141</v>
      </c>
      <c r="B31" s="211">
        <v>26298893.385296091</v>
      </c>
      <c r="C31" s="211">
        <v>200315659.6641461</v>
      </c>
      <c r="D31" s="211">
        <v>336426641</v>
      </c>
      <c r="E31" s="211">
        <v>563041194.04944241</v>
      </c>
      <c r="F31" s="825"/>
      <c r="G31" s="825"/>
      <c r="H31" s="825"/>
      <c r="I31" s="825"/>
    </row>
    <row r="33" spans="1:5" s="417" customFormat="1" x14ac:dyDescent="0.25">
      <c r="A33" s="825"/>
      <c r="B33" s="825"/>
      <c r="C33" s="825"/>
      <c r="D33" s="825"/>
      <c r="E33" s="825"/>
    </row>
    <row r="34" spans="1:5" s="417" customFormat="1" x14ac:dyDescent="0.25">
      <c r="A34" s="825"/>
      <c r="B34" s="825"/>
      <c r="C34" s="825"/>
      <c r="D34" s="825"/>
      <c r="E34" s="825"/>
    </row>
    <row r="35" spans="1:5" x14ac:dyDescent="0.25">
      <c r="A35" s="419" t="s">
        <v>142</v>
      </c>
      <c r="B35" s="825" t="s">
        <v>134</v>
      </c>
      <c r="C35" s="825"/>
      <c r="D35" s="825"/>
      <c r="E35" s="825"/>
    </row>
    <row r="36" spans="1:5" x14ac:dyDescent="0.25">
      <c r="A36" s="825"/>
      <c r="B36" s="825"/>
      <c r="C36" s="825"/>
      <c r="D36" s="825"/>
      <c r="E36" s="825"/>
    </row>
    <row r="37" spans="1:5" hidden="1" x14ac:dyDescent="0.25">
      <c r="A37" s="193" t="s">
        <v>234</v>
      </c>
      <c r="B37" s="193" t="s">
        <v>144</v>
      </c>
      <c r="C37" s="825"/>
      <c r="D37" s="825"/>
      <c r="E37" s="825"/>
    </row>
    <row r="38" spans="1:5" x14ac:dyDescent="0.25">
      <c r="A38" s="212" t="s">
        <v>191</v>
      </c>
      <c r="B38" s="213" t="s">
        <v>203</v>
      </c>
      <c r="C38" s="213" t="s">
        <v>199</v>
      </c>
      <c r="D38" s="213" t="s">
        <v>193</v>
      </c>
      <c r="E38" s="213" t="s">
        <v>141</v>
      </c>
    </row>
    <row r="39" spans="1:5" ht="62.5" x14ac:dyDescent="0.25">
      <c r="A39" s="223" t="s">
        <v>129</v>
      </c>
      <c r="B39" s="211">
        <v>250000</v>
      </c>
      <c r="C39" s="211">
        <v>6328530.9793106997</v>
      </c>
      <c r="D39" s="211">
        <v>253874491.296</v>
      </c>
      <c r="E39" s="211">
        <v>260453022.2753107</v>
      </c>
    </row>
    <row r="40" spans="1:5" x14ac:dyDescent="0.25">
      <c r="A40" s="209" t="s">
        <v>130</v>
      </c>
      <c r="B40" s="211">
        <v>4237000</v>
      </c>
      <c r="C40" s="211">
        <v>63060000</v>
      </c>
      <c r="D40" s="211">
        <v>2070000</v>
      </c>
      <c r="E40" s="211">
        <v>69367000</v>
      </c>
    </row>
    <row r="41" spans="1:5" x14ac:dyDescent="0.25">
      <c r="A41" s="209" t="s">
        <v>135</v>
      </c>
      <c r="B41" s="211">
        <v>51895000</v>
      </c>
      <c r="C41" s="211">
        <v>90000</v>
      </c>
      <c r="D41" s="211"/>
      <c r="E41" s="211">
        <v>51985000</v>
      </c>
    </row>
    <row r="42" spans="1:5" x14ac:dyDescent="0.25">
      <c r="A42" s="209" t="s">
        <v>123</v>
      </c>
      <c r="B42" s="211">
        <v>769682.5</v>
      </c>
      <c r="C42" s="211">
        <v>36865625</v>
      </c>
      <c r="D42" s="211">
        <v>150000</v>
      </c>
      <c r="E42" s="211">
        <v>37785307.5</v>
      </c>
    </row>
    <row r="43" spans="1:5" x14ac:dyDescent="0.25">
      <c r="A43" s="209" t="s">
        <v>126</v>
      </c>
      <c r="B43" s="211">
        <v>150000</v>
      </c>
      <c r="C43" s="211">
        <v>259945.79468684702</v>
      </c>
      <c r="D43" s="211">
        <v>13014490</v>
      </c>
      <c r="E43" s="211">
        <v>13424435.794686846</v>
      </c>
    </row>
    <row r="44" spans="1:5" x14ac:dyDescent="0.25">
      <c r="A44" s="209" t="s">
        <v>136</v>
      </c>
      <c r="B44" s="211"/>
      <c r="C44" s="211">
        <v>398956.71568803</v>
      </c>
      <c r="D44" s="211">
        <v>7830024.9999999991</v>
      </c>
      <c r="E44" s="211">
        <v>8228981.7156880293</v>
      </c>
    </row>
    <row r="45" spans="1:5" x14ac:dyDescent="0.25">
      <c r="A45" s="209" t="s">
        <v>131</v>
      </c>
      <c r="B45" s="211">
        <v>3585968.2534539253</v>
      </c>
      <c r="C45" s="211">
        <v>790280.93387184164</v>
      </c>
      <c r="D45" s="211"/>
      <c r="E45" s="211">
        <v>4376249.1873257672</v>
      </c>
    </row>
    <row r="46" spans="1:5" x14ac:dyDescent="0.25">
      <c r="A46" s="209" t="s">
        <v>122</v>
      </c>
      <c r="B46" s="211">
        <v>2230000</v>
      </c>
      <c r="C46" s="211"/>
      <c r="D46" s="211"/>
      <c r="E46" s="211">
        <v>2230000</v>
      </c>
    </row>
    <row r="47" spans="1:5" x14ac:dyDescent="0.25">
      <c r="A47" s="209" t="s">
        <v>127</v>
      </c>
      <c r="B47" s="211"/>
      <c r="C47" s="211">
        <v>730350.61126599868</v>
      </c>
      <c r="D47" s="211"/>
      <c r="E47" s="211">
        <v>730350.61126599868</v>
      </c>
    </row>
    <row r="48" spans="1:5" x14ac:dyDescent="0.25">
      <c r="A48" s="209" t="s">
        <v>141</v>
      </c>
      <c r="B48" s="211">
        <v>63117650.753453925</v>
      </c>
      <c r="C48" s="211">
        <v>108523690.0348234</v>
      </c>
      <c r="D48" s="211">
        <v>276939006.296</v>
      </c>
      <c r="E48" s="211">
        <v>448580347.08427739</v>
      </c>
    </row>
    <row r="49" spans="1:5" s="417" customFormat="1" x14ac:dyDescent="0.25">
      <c r="A49" s="209"/>
      <c r="B49" s="211"/>
      <c r="C49" s="211"/>
      <c r="D49" s="211"/>
      <c r="E49" s="211"/>
    </row>
    <row r="50" spans="1:5" s="417" customFormat="1" x14ac:dyDescent="0.25">
      <c r="A50" s="209"/>
      <c r="B50" s="211"/>
      <c r="C50" s="211"/>
      <c r="D50" s="211"/>
      <c r="E50" s="211"/>
    </row>
    <row r="52" spans="1:5" x14ac:dyDescent="0.25">
      <c r="A52" s="419" t="s">
        <v>142</v>
      </c>
      <c r="B52" s="825" t="s">
        <v>120</v>
      </c>
      <c r="C52" s="825"/>
      <c r="D52" s="825"/>
      <c r="E52" s="825"/>
    </row>
    <row r="53" spans="1:5" x14ac:dyDescent="0.25">
      <c r="A53" s="825"/>
      <c r="B53" s="825"/>
      <c r="C53" s="825"/>
      <c r="D53" s="825"/>
      <c r="E53" s="825"/>
    </row>
    <row r="54" spans="1:5" hidden="1" x14ac:dyDescent="0.25">
      <c r="A54" s="193" t="s">
        <v>234</v>
      </c>
      <c r="B54" s="193" t="s">
        <v>144</v>
      </c>
      <c r="C54" s="825"/>
      <c r="D54" s="825"/>
      <c r="E54" s="825"/>
    </row>
    <row r="55" spans="1:5" x14ac:dyDescent="0.25">
      <c r="A55" s="212" t="s">
        <v>191</v>
      </c>
      <c r="B55" s="213" t="s">
        <v>203</v>
      </c>
      <c r="C55" s="213" t="s">
        <v>199</v>
      </c>
      <c r="D55" s="213" t="s">
        <v>193</v>
      </c>
      <c r="E55" s="213" t="s">
        <v>141</v>
      </c>
    </row>
    <row r="56" spans="1:5" ht="62.5" x14ac:dyDescent="0.25">
      <c r="A56" s="223" t="s">
        <v>129</v>
      </c>
      <c r="B56" s="211">
        <v>1750000</v>
      </c>
      <c r="C56" s="211">
        <v>51977568.7891666</v>
      </c>
      <c r="D56" s="211">
        <v>755597102</v>
      </c>
      <c r="E56" s="211">
        <v>809324670.78916657</v>
      </c>
    </row>
    <row r="57" spans="1:5" x14ac:dyDescent="0.25">
      <c r="A57" s="209" t="s">
        <v>123</v>
      </c>
      <c r="B57" s="211">
        <v>17530476.25</v>
      </c>
      <c r="C57" s="211">
        <v>267932500.00000003</v>
      </c>
      <c r="D57" s="211">
        <v>450000</v>
      </c>
      <c r="E57" s="211">
        <v>285912976.25</v>
      </c>
    </row>
    <row r="58" spans="1:5" x14ac:dyDescent="0.25">
      <c r="A58" s="209" t="s">
        <v>130</v>
      </c>
      <c r="B58" s="211">
        <v>3668400</v>
      </c>
      <c r="C58" s="211">
        <v>90888750</v>
      </c>
      <c r="D58" s="211">
        <v>2490000</v>
      </c>
      <c r="E58" s="211">
        <v>97047150</v>
      </c>
    </row>
    <row r="59" spans="1:5" x14ac:dyDescent="0.25">
      <c r="A59" s="209" t="s">
        <v>126</v>
      </c>
      <c r="B59" s="211">
        <v>1750000</v>
      </c>
      <c r="C59" s="211">
        <v>5860260.5324035706</v>
      </c>
      <c r="D59" s="211">
        <v>43816475</v>
      </c>
      <c r="E59" s="211">
        <v>51426735.532403573</v>
      </c>
    </row>
    <row r="60" spans="1:5" x14ac:dyDescent="0.25">
      <c r="A60" s="209" t="s">
        <v>125</v>
      </c>
      <c r="B60" s="211">
        <v>1750000</v>
      </c>
      <c r="C60" s="211">
        <v>2572668.3236399</v>
      </c>
      <c r="D60" s="211">
        <v>30885819</v>
      </c>
      <c r="E60" s="211">
        <v>35208487.323639899</v>
      </c>
    </row>
    <row r="61" spans="1:5" x14ac:dyDescent="0.25">
      <c r="A61" s="209" t="s">
        <v>131</v>
      </c>
      <c r="B61" s="211">
        <v>22062783.880710952</v>
      </c>
      <c r="C61" s="211">
        <v>2016163.5156622401</v>
      </c>
      <c r="D61" s="211"/>
      <c r="E61" s="211">
        <v>24078947.396373194</v>
      </c>
    </row>
    <row r="62" spans="1:5" x14ac:dyDescent="0.25">
      <c r="A62" s="209" t="s">
        <v>124</v>
      </c>
      <c r="B62" s="211">
        <v>7830000</v>
      </c>
      <c r="C62" s="211">
        <v>810000</v>
      </c>
      <c r="D62" s="211"/>
      <c r="E62" s="211">
        <v>8640000</v>
      </c>
    </row>
    <row r="63" spans="1:5" x14ac:dyDescent="0.25">
      <c r="A63" s="209" t="s">
        <v>122</v>
      </c>
      <c r="B63" s="211">
        <v>4430000</v>
      </c>
      <c r="C63" s="211"/>
      <c r="D63" s="211"/>
      <c r="E63" s="211">
        <v>4430000</v>
      </c>
    </row>
    <row r="64" spans="1:5" x14ac:dyDescent="0.25">
      <c r="A64" s="209" t="s">
        <v>128</v>
      </c>
      <c r="B64" s="211">
        <v>1620000</v>
      </c>
      <c r="C64" s="211">
        <v>180000</v>
      </c>
      <c r="D64" s="211"/>
      <c r="E64" s="211">
        <v>1800000</v>
      </c>
    </row>
    <row r="65" spans="1:5" x14ac:dyDescent="0.25">
      <c r="A65" s="209" t="s">
        <v>121</v>
      </c>
      <c r="B65" s="211">
        <v>750000</v>
      </c>
      <c r="C65" s="211">
        <v>370000</v>
      </c>
      <c r="D65" s="211"/>
      <c r="E65" s="211">
        <v>1120000</v>
      </c>
    </row>
    <row r="66" spans="1:5" x14ac:dyDescent="0.25">
      <c r="A66" s="209" t="s">
        <v>127</v>
      </c>
      <c r="B66" s="211"/>
      <c r="C66" s="211">
        <v>349608.48124971718</v>
      </c>
      <c r="D66" s="211"/>
      <c r="E66" s="211">
        <v>349608.48124971718</v>
      </c>
    </row>
    <row r="67" spans="1:5" x14ac:dyDescent="0.25">
      <c r="A67" s="209" t="s">
        <v>141</v>
      </c>
      <c r="B67" s="211">
        <v>63141660.130710952</v>
      </c>
      <c r="C67" s="211">
        <v>422957519.64212203</v>
      </c>
      <c r="D67" s="211">
        <v>833239396</v>
      </c>
      <c r="E67" s="211">
        <v>1319338575.7728329</v>
      </c>
    </row>
    <row r="68" spans="1:5" s="417" customFormat="1" x14ac:dyDescent="0.25">
      <c r="A68" s="209"/>
      <c r="B68" s="211"/>
      <c r="C68" s="211"/>
      <c r="D68" s="211"/>
      <c r="E68" s="211"/>
    </row>
    <row r="69" spans="1:5" s="417" customFormat="1" x14ac:dyDescent="0.25">
      <c r="A69" s="209"/>
      <c r="B69" s="211"/>
      <c r="C69" s="211"/>
      <c r="D69" s="211"/>
      <c r="E69" s="211"/>
    </row>
    <row r="70" spans="1:5" s="417" customFormat="1" x14ac:dyDescent="0.25">
      <c r="A70" s="209"/>
      <c r="B70" s="211"/>
      <c r="C70" s="211"/>
      <c r="D70" s="211"/>
      <c r="E70" s="211"/>
    </row>
    <row r="71" spans="1:5" x14ac:dyDescent="0.25">
      <c r="A71" s="419" t="s">
        <v>142</v>
      </c>
      <c r="B71" s="825" t="s">
        <v>139</v>
      </c>
      <c r="C71" s="825"/>
      <c r="D71" s="825"/>
      <c r="E71" s="825"/>
    </row>
    <row r="72" spans="1:5" x14ac:dyDescent="0.25">
      <c r="A72" s="825"/>
      <c r="B72" s="825"/>
      <c r="C72" s="825"/>
      <c r="D72" s="825"/>
      <c r="E72" s="825"/>
    </row>
    <row r="73" spans="1:5" hidden="1" x14ac:dyDescent="0.25">
      <c r="A73" s="193" t="s">
        <v>234</v>
      </c>
      <c r="B73" s="193" t="s">
        <v>144</v>
      </c>
      <c r="C73" s="825"/>
      <c r="D73" s="825"/>
      <c r="E73" s="825"/>
    </row>
    <row r="74" spans="1:5" ht="31.25" x14ac:dyDescent="0.25">
      <c r="A74" s="212" t="s">
        <v>191</v>
      </c>
      <c r="B74" s="213" t="s">
        <v>203</v>
      </c>
      <c r="C74" s="213" t="s">
        <v>199</v>
      </c>
      <c r="D74" s="213" t="s">
        <v>193</v>
      </c>
      <c r="E74" s="213" t="s">
        <v>141</v>
      </c>
    </row>
    <row r="75" spans="1:5" x14ac:dyDescent="0.25">
      <c r="A75" s="209" t="s">
        <v>140</v>
      </c>
      <c r="B75" s="211">
        <v>31052447.120000001</v>
      </c>
      <c r="C75" s="211">
        <v>10555077.173056941</v>
      </c>
      <c r="D75" s="211">
        <v>82000000</v>
      </c>
      <c r="E75" s="211">
        <v>123607524.29305694</v>
      </c>
    </row>
    <row r="76" spans="1:5" x14ac:dyDescent="0.25">
      <c r="A76" s="209" t="s">
        <v>141</v>
      </c>
      <c r="B76" s="211">
        <v>31052447.120000001</v>
      </c>
      <c r="C76" s="211">
        <v>10555077.173056941</v>
      </c>
      <c r="D76" s="211">
        <v>82000000</v>
      </c>
      <c r="E76" s="211">
        <v>123607524.29305694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B0F0"/>
  </sheetPr>
  <dimension ref="A1:U282"/>
  <sheetViews>
    <sheetView topLeftCell="C9" zoomScale="70" zoomScaleNormal="70" workbookViewId="0">
      <selection activeCell="C9" sqref="C9"/>
    </sheetView>
  </sheetViews>
  <sheetFormatPr baseColWidth="10" defaultColWidth="11.59765625" defaultRowHeight="15.65" x14ac:dyDescent="0.25"/>
  <cols>
    <col min="1" max="1" width="85.8984375" style="329" bestFit="1" customWidth="1"/>
    <col min="2" max="2" width="44.09765625" bestFit="1" customWidth="1"/>
    <col min="3" max="3" width="43" bestFit="1" customWidth="1"/>
    <col min="4" max="4" width="33.09765625" bestFit="1" customWidth="1"/>
    <col min="5" max="5" width="12.09765625" bestFit="1" customWidth="1"/>
    <col min="6" max="6" width="6.09765625" customWidth="1"/>
    <col min="7" max="14" width="6.09765625" style="417" customWidth="1"/>
    <col min="15" max="15" width="14.59765625" customWidth="1"/>
  </cols>
  <sheetData>
    <row r="1" spans="1:21" s="287" customFormat="1" ht="14.95" customHeight="1" x14ac:dyDescent="0.25">
      <c r="A1" s="394" t="s">
        <v>142</v>
      </c>
      <c r="B1" s="825" t="s">
        <v>137</v>
      </c>
    </row>
    <row r="3" spans="1:21" hidden="1" x14ac:dyDescent="0.25">
      <c r="A3" s="394" t="s">
        <v>234</v>
      </c>
      <c r="B3" s="193" t="s">
        <v>144</v>
      </c>
      <c r="C3" s="825"/>
      <c r="D3" s="825"/>
      <c r="E3" s="825"/>
      <c r="F3" s="825"/>
      <c r="G3" s="825"/>
      <c r="H3" s="825"/>
      <c r="I3" s="825"/>
      <c r="J3" s="825"/>
      <c r="K3" s="825"/>
      <c r="L3" s="825"/>
      <c r="M3" s="825"/>
      <c r="N3" s="825"/>
      <c r="O3" s="825"/>
      <c r="P3" s="825"/>
      <c r="Q3" s="825"/>
      <c r="R3" s="825"/>
      <c r="S3" s="825"/>
      <c r="T3" s="825"/>
      <c r="U3" s="825"/>
    </row>
    <row r="4" spans="1:21" s="213" customFormat="1" ht="14.95" customHeight="1" x14ac:dyDescent="0.25">
      <c r="A4" s="330" t="s">
        <v>355</v>
      </c>
      <c r="B4" s="213" t="s">
        <v>203</v>
      </c>
      <c r="C4" s="213" t="s">
        <v>199</v>
      </c>
      <c r="D4" s="213" t="s">
        <v>193</v>
      </c>
      <c r="E4" s="329" t="s">
        <v>141</v>
      </c>
    </row>
    <row r="5" spans="1:21" ht="31.25" x14ac:dyDescent="0.25">
      <c r="A5" s="227" t="s">
        <v>129</v>
      </c>
      <c r="B5" s="230">
        <v>250000</v>
      </c>
      <c r="C5" s="230">
        <v>6973395.8940466996</v>
      </c>
      <c r="D5" s="230">
        <v>289283220.80799997</v>
      </c>
      <c r="E5" s="230">
        <v>296506616.70204669</v>
      </c>
      <c r="F5" s="825"/>
      <c r="G5" s="825"/>
      <c r="H5" s="825"/>
      <c r="I5" s="825"/>
      <c r="J5" s="825"/>
      <c r="K5" s="825"/>
      <c r="L5" s="825"/>
      <c r="M5" s="825"/>
      <c r="N5" s="825"/>
      <c r="O5" s="422">
        <v>29503008.3081</v>
      </c>
      <c r="P5" s="422">
        <v>6658884.0181</v>
      </c>
      <c r="Q5" s="422">
        <v>8382632.7600000007</v>
      </c>
      <c r="R5" s="422">
        <v>7487839.075906001</v>
      </c>
      <c r="S5" s="422">
        <v>3545324.3205700004</v>
      </c>
      <c r="T5" s="422">
        <v>3428328.1335239997</v>
      </c>
      <c r="U5" s="825"/>
    </row>
    <row r="6" spans="1:21" x14ac:dyDescent="0.25">
      <c r="A6" s="227" t="s">
        <v>123</v>
      </c>
      <c r="B6" s="230">
        <v>400225</v>
      </c>
      <c r="C6" s="230">
        <v>66785375.000000007</v>
      </c>
      <c r="D6" s="230">
        <v>420000</v>
      </c>
      <c r="E6" s="230">
        <v>67605600</v>
      </c>
      <c r="F6" s="825"/>
      <c r="G6" s="825"/>
      <c r="H6" s="825"/>
      <c r="I6" s="825"/>
      <c r="J6" s="825"/>
      <c r="K6" s="825"/>
      <c r="L6" s="825"/>
      <c r="M6" s="825"/>
      <c r="N6" s="825"/>
      <c r="O6" s="825"/>
      <c r="P6" s="825"/>
      <c r="Q6" s="825"/>
      <c r="R6" s="825"/>
      <c r="S6" s="825"/>
      <c r="T6" s="825"/>
      <c r="U6" s="825"/>
    </row>
    <row r="7" spans="1:21" x14ac:dyDescent="0.25">
      <c r="A7" s="227" t="s">
        <v>138</v>
      </c>
      <c r="B7" s="230">
        <v>56825000</v>
      </c>
      <c r="C7" s="230">
        <v>340000</v>
      </c>
      <c r="D7" s="230"/>
      <c r="E7" s="230">
        <v>57165000</v>
      </c>
      <c r="F7" s="825"/>
      <c r="G7" s="825"/>
      <c r="H7" s="825"/>
      <c r="I7" s="825"/>
      <c r="J7" s="825"/>
      <c r="K7" s="825"/>
      <c r="L7" s="825"/>
      <c r="M7" s="825"/>
      <c r="N7" s="825"/>
      <c r="O7" s="825"/>
      <c r="P7" s="825"/>
      <c r="Q7" s="825"/>
      <c r="R7" s="825"/>
      <c r="S7" s="825"/>
      <c r="T7" s="825"/>
      <c r="U7" s="825"/>
    </row>
    <row r="8" spans="1:21" x14ac:dyDescent="0.25">
      <c r="A8" s="227" t="s">
        <v>136</v>
      </c>
      <c r="B8" s="230"/>
      <c r="C8" s="230">
        <v>1165126.5258785102</v>
      </c>
      <c r="D8" s="230">
        <v>26938149.999999996</v>
      </c>
      <c r="E8" s="230">
        <v>28103276.525878508</v>
      </c>
      <c r="F8" s="825"/>
      <c r="G8" s="825"/>
      <c r="H8" s="825"/>
      <c r="I8" s="825"/>
      <c r="J8" s="825"/>
      <c r="K8" s="825"/>
      <c r="L8" s="825"/>
      <c r="M8" s="825"/>
      <c r="N8" s="825"/>
      <c r="O8" s="825"/>
      <c r="P8" s="825"/>
      <c r="Q8" s="825"/>
      <c r="R8" s="825"/>
      <c r="S8" s="825"/>
      <c r="T8" s="825"/>
      <c r="U8" s="825"/>
    </row>
    <row r="9" spans="1:21" x14ac:dyDescent="0.25">
      <c r="A9" s="227" t="s">
        <v>126</v>
      </c>
      <c r="B9" s="230">
        <v>250000</v>
      </c>
      <c r="C9" s="230">
        <v>463305.81406844506</v>
      </c>
      <c r="D9" s="230">
        <v>15094895</v>
      </c>
      <c r="E9" s="230">
        <v>15808200.814068444</v>
      </c>
      <c r="F9" s="825"/>
      <c r="G9" s="825"/>
      <c r="H9" s="825"/>
      <c r="I9" s="825"/>
      <c r="J9" s="825"/>
      <c r="K9" s="825"/>
      <c r="L9" s="825"/>
      <c r="M9" s="825"/>
      <c r="N9" s="825"/>
      <c r="O9" s="422">
        <v>395342.01</v>
      </c>
      <c r="P9" s="422">
        <v>395342.01</v>
      </c>
      <c r="Q9" s="423">
        <f t="shared" ref="Q9" si="0">+P9*35%</f>
        <v>138369.7035</v>
      </c>
      <c r="R9" s="423">
        <f t="shared" ref="R9" si="1">+P9*35%</f>
        <v>138369.7035</v>
      </c>
      <c r="S9" s="423">
        <f t="shared" ref="S9" si="2">+P9*30%</f>
        <v>118602.603</v>
      </c>
      <c r="T9" s="424"/>
      <c r="U9" s="424"/>
    </row>
    <row r="10" spans="1:21" x14ac:dyDescent="0.25">
      <c r="A10" s="227" t="s">
        <v>125</v>
      </c>
      <c r="B10" s="230">
        <v>250000</v>
      </c>
      <c r="C10" s="230">
        <v>95985.4989476232</v>
      </c>
      <c r="D10" s="230">
        <v>6342025</v>
      </c>
      <c r="E10" s="230">
        <v>6688010.4989476232</v>
      </c>
      <c r="F10" s="825"/>
      <c r="G10" s="825"/>
      <c r="H10" s="825"/>
      <c r="I10" s="825"/>
      <c r="J10" s="825"/>
      <c r="K10" s="825"/>
      <c r="L10" s="825"/>
      <c r="M10" s="825"/>
      <c r="N10" s="825"/>
      <c r="O10" s="825"/>
      <c r="P10" s="825"/>
      <c r="Q10" s="825"/>
      <c r="R10" s="825"/>
      <c r="S10" s="825"/>
      <c r="T10" s="825"/>
      <c r="U10" s="825"/>
    </row>
    <row r="11" spans="1:21" x14ac:dyDescent="0.25">
      <c r="A11" s="227" t="s">
        <v>122</v>
      </c>
      <c r="B11" s="230">
        <v>2730000</v>
      </c>
      <c r="C11" s="230"/>
      <c r="D11" s="230"/>
      <c r="E11" s="230">
        <v>2730000</v>
      </c>
      <c r="F11" s="825"/>
      <c r="G11" s="825"/>
      <c r="H11" s="825"/>
      <c r="I11" s="825"/>
      <c r="J11" s="825"/>
      <c r="K11" s="825"/>
      <c r="L11" s="825"/>
      <c r="M11" s="825"/>
      <c r="N11" s="825"/>
      <c r="O11" s="825"/>
      <c r="P11" s="825"/>
      <c r="Q11" s="825"/>
      <c r="R11" s="825"/>
      <c r="S11" s="825"/>
      <c r="T11" s="825"/>
      <c r="U11" s="825"/>
    </row>
    <row r="12" spans="1:21" x14ac:dyDescent="0.25">
      <c r="A12" s="227" t="s">
        <v>131</v>
      </c>
      <c r="B12" s="230">
        <v>2140647.1721468801</v>
      </c>
      <c r="C12" s="230">
        <v>388741.58619903837</v>
      </c>
      <c r="D12" s="230"/>
      <c r="E12" s="230">
        <v>2529388.7583459183</v>
      </c>
      <c r="F12" s="825"/>
      <c r="G12" s="825"/>
      <c r="H12" s="825"/>
      <c r="I12" s="825"/>
      <c r="J12" s="825"/>
      <c r="K12" s="825"/>
      <c r="L12" s="825"/>
      <c r="M12" s="825"/>
      <c r="N12" s="825"/>
      <c r="O12" s="825"/>
      <c r="P12" s="825"/>
      <c r="Q12" s="825"/>
      <c r="R12" s="825"/>
      <c r="S12" s="825"/>
      <c r="T12" s="825"/>
      <c r="U12" s="825"/>
    </row>
    <row r="13" spans="1:21" x14ac:dyDescent="0.25">
      <c r="A13" s="227" t="s">
        <v>121</v>
      </c>
      <c r="B13" s="230">
        <v>450000</v>
      </c>
      <c r="C13" s="230">
        <v>450000</v>
      </c>
      <c r="D13" s="230"/>
      <c r="E13" s="230">
        <v>900000</v>
      </c>
      <c r="F13" s="825"/>
      <c r="G13" s="825"/>
      <c r="H13" s="825"/>
      <c r="I13" s="825"/>
      <c r="J13" s="825"/>
      <c r="K13" s="825"/>
      <c r="L13" s="825"/>
      <c r="M13" s="825"/>
      <c r="N13" s="825"/>
      <c r="O13" s="825"/>
      <c r="P13" s="825"/>
      <c r="Q13" s="825"/>
      <c r="R13" s="825"/>
      <c r="S13" s="825"/>
      <c r="T13" s="825"/>
      <c r="U13" s="825"/>
    </row>
    <row r="14" spans="1:21" x14ac:dyDescent="0.25">
      <c r="A14" s="227" t="s">
        <v>141</v>
      </c>
      <c r="B14" s="211">
        <v>63295872.172146879</v>
      </c>
      <c r="C14" s="211">
        <v>76661930.31914033</v>
      </c>
      <c r="D14" s="211">
        <v>338078290.80799997</v>
      </c>
      <c r="E14" s="211">
        <v>478036093.29928714</v>
      </c>
      <c r="F14" s="825"/>
      <c r="G14" s="825"/>
      <c r="H14" s="825"/>
      <c r="I14" s="825"/>
      <c r="J14" s="825"/>
      <c r="K14" s="825"/>
      <c r="L14" s="825"/>
      <c r="M14" s="825"/>
      <c r="N14" s="825"/>
      <c r="O14" s="425">
        <f>SUM(O5:O13)</f>
        <v>29898350.318100002</v>
      </c>
      <c r="P14" s="825"/>
      <c r="Q14" s="825"/>
      <c r="R14" s="825"/>
      <c r="S14" s="825"/>
      <c r="T14" s="825"/>
      <c r="U14" s="825"/>
    </row>
    <row r="15" spans="1:21" x14ac:dyDescent="0.25">
      <c r="A15" s="825"/>
      <c r="B15" s="825"/>
      <c r="C15" s="825"/>
      <c r="D15" s="825"/>
      <c r="E15" s="825"/>
      <c r="F15" s="825"/>
      <c r="G15" s="825"/>
      <c r="H15" s="825"/>
      <c r="I15" s="825"/>
      <c r="J15" s="825"/>
      <c r="K15" s="825"/>
      <c r="L15" s="825"/>
      <c r="M15" s="825"/>
      <c r="N15" s="825"/>
      <c r="O15" s="825"/>
      <c r="P15" s="825"/>
      <c r="Q15" s="825"/>
      <c r="R15" s="825"/>
      <c r="S15" s="825"/>
      <c r="T15" s="825"/>
      <c r="U15" s="825"/>
    </row>
    <row r="16" spans="1:21" x14ac:dyDescent="0.25">
      <c r="A16" s="825"/>
      <c r="B16" s="825"/>
      <c r="C16" s="825"/>
      <c r="D16" s="825"/>
      <c r="E16" s="825"/>
      <c r="F16" s="825"/>
      <c r="G16" s="825"/>
      <c r="H16" s="825"/>
      <c r="I16" s="825"/>
      <c r="J16" s="825"/>
      <c r="K16" s="825"/>
      <c r="L16" s="825"/>
      <c r="M16" s="825"/>
      <c r="N16" s="825"/>
      <c r="O16" s="825"/>
      <c r="P16" s="825"/>
      <c r="Q16" s="825"/>
      <c r="R16" s="825"/>
      <c r="S16" s="825"/>
      <c r="T16" s="825"/>
      <c r="U16" s="825"/>
    </row>
    <row r="17" spans="1:1" x14ac:dyDescent="0.25">
      <c r="A17" s="825"/>
    </row>
    <row r="18" spans="1:1" x14ac:dyDescent="0.25">
      <c r="A18" s="825"/>
    </row>
    <row r="19" spans="1:1" x14ac:dyDescent="0.25">
      <c r="A19" s="825"/>
    </row>
    <row r="20" spans="1:1" x14ac:dyDescent="0.25">
      <c r="A20" s="825"/>
    </row>
    <row r="21" spans="1:1" x14ac:dyDescent="0.25">
      <c r="A21" s="825"/>
    </row>
    <row r="22" spans="1:1" x14ac:dyDescent="0.25">
      <c r="A22" s="825"/>
    </row>
    <row r="23" spans="1:1" x14ac:dyDescent="0.25">
      <c r="A23" s="825"/>
    </row>
    <row r="24" spans="1:1" x14ac:dyDescent="0.25">
      <c r="A24" s="825"/>
    </row>
    <row r="25" spans="1:1" x14ac:dyDescent="0.25">
      <c r="A25" s="825"/>
    </row>
    <row r="26" spans="1:1" x14ac:dyDescent="0.25">
      <c r="A26" s="825"/>
    </row>
    <row r="27" spans="1:1" x14ac:dyDescent="0.25">
      <c r="A27" s="825"/>
    </row>
    <row r="28" spans="1:1" x14ac:dyDescent="0.25">
      <c r="A28" s="825"/>
    </row>
    <row r="29" spans="1:1" x14ac:dyDescent="0.25">
      <c r="A29" s="825"/>
    </row>
    <row r="30" spans="1:1" x14ac:dyDescent="0.25">
      <c r="A30" s="825"/>
    </row>
    <row r="31" spans="1:1" x14ac:dyDescent="0.25">
      <c r="A31" s="825"/>
    </row>
    <row r="32" spans="1:1" x14ac:dyDescent="0.25">
      <c r="A32" s="825"/>
    </row>
    <row r="33" spans="1:1" x14ac:dyDescent="0.25">
      <c r="A33" s="825"/>
    </row>
    <row r="34" spans="1:1" x14ac:dyDescent="0.25">
      <c r="A34" s="825"/>
    </row>
    <row r="35" spans="1:1" x14ac:dyDescent="0.25">
      <c r="A35" s="825"/>
    </row>
    <row r="36" spans="1:1" x14ac:dyDescent="0.25">
      <c r="A36" s="825"/>
    </row>
    <row r="37" spans="1:1" x14ac:dyDescent="0.25">
      <c r="A37" s="825"/>
    </row>
    <row r="38" spans="1:1" x14ac:dyDescent="0.25">
      <c r="A38" s="825"/>
    </row>
    <row r="39" spans="1:1" x14ac:dyDescent="0.25">
      <c r="A39" s="825"/>
    </row>
    <row r="40" spans="1:1" x14ac:dyDescent="0.25">
      <c r="A40" s="825"/>
    </row>
    <row r="41" spans="1:1" x14ac:dyDescent="0.25">
      <c r="A41" s="825"/>
    </row>
    <row r="42" spans="1:1" x14ac:dyDescent="0.25">
      <c r="A42" s="825"/>
    </row>
    <row r="43" spans="1:1" x14ac:dyDescent="0.25">
      <c r="A43" s="825"/>
    </row>
    <row r="44" spans="1:1" x14ac:dyDescent="0.25">
      <c r="A44" s="825"/>
    </row>
    <row r="45" spans="1:1" x14ac:dyDescent="0.25">
      <c r="A45" s="825"/>
    </row>
    <row r="46" spans="1:1" x14ac:dyDescent="0.25">
      <c r="A46" s="825"/>
    </row>
    <row r="47" spans="1:1" x14ac:dyDescent="0.25">
      <c r="A47" s="825"/>
    </row>
    <row r="48" spans="1:1" x14ac:dyDescent="0.25">
      <c r="A48" s="825"/>
    </row>
    <row r="49" spans="1:5" x14ac:dyDescent="0.25">
      <c r="A49" s="825"/>
      <c r="B49" s="825"/>
      <c r="C49" s="825"/>
      <c r="D49" s="825"/>
      <c r="E49" s="825"/>
    </row>
    <row r="50" spans="1:5" x14ac:dyDescent="0.25">
      <c r="A50" s="825"/>
      <c r="B50" s="825"/>
      <c r="C50" s="825"/>
      <c r="D50" s="825"/>
      <c r="E50" s="825"/>
    </row>
    <row r="51" spans="1:5" x14ac:dyDescent="0.25">
      <c r="A51" s="825"/>
      <c r="B51" s="825"/>
      <c r="C51" s="825"/>
      <c r="D51" s="825"/>
      <c r="E51" s="825"/>
    </row>
    <row r="52" spans="1:5" x14ac:dyDescent="0.25">
      <c r="A52" s="825"/>
      <c r="B52" s="825"/>
      <c r="C52" s="825"/>
      <c r="D52" s="825"/>
      <c r="E52" s="825"/>
    </row>
    <row r="56" spans="1:5" s="417" customFormat="1" ht="14.95" customHeight="1" x14ac:dyDescent="0.25">
      <c r="A56" s="330" t="s">
        <v>142</v>
      </c>
      <c r="B56" s="825" t="s">
        <v>132</v>
      </c>
      <c r="C56" s="825"/>
      <c r="D56" s="825"/>
      <c r="E56" s="825"/>
    </row>
    <row r="57" spans="1:5" s="417" customFormat="1" x14ac:dyDescent="0.25">
      <c r="A57" s="329"/>
      <c r="B57" s="825"/>
      <c r="C57" s="825"/>
      <c r="D57" s="825"/>
      <c r="E57" s="825"/>
    </row>
    <row r="58" spans="1:5" s="417" customFormat="1" hidden="1" x14ac:dyDescent="0.25">
      <c r="A58" s="394" t="s">
        <v>234</v>
      </c>
      <c r="B58" s="193" t="s">
        <v>144</v>
      </c>
      <c r="C58" s="825"/>
      <c r="D58" s="825"/>
      <c r="E58" s="825"/>
    </row>
    <row r="59" spans="1:5" s="213" customFormat="1" ht="14.95" customHeight="1" x14ac:dyDescent="0.25">
      <c r="A59" s="330" t="s">
        <v>356</v>
      </c>
      <c r="B59" s="213" t="s">
        <v>203</v>
      </c>
      <c r="C59" s="213" t="s">
        <v>199</v>
      </c>
      <c r="D59" s="213" t="s">
        <v>193</v>
      </c>
      <c r="E59" s="329" t="s">
        <v>141</v>
      </c>
    </row>
    <row r="60" spans="1:5" s="417" customFormat="1" ht="31.25" x14ac:dyDescent="0.25">
      <c r="A60" s="227" t="s">
        <v>129</v>
      </c>
      <c r="B60" s="230">
        <v>500000</v>
      </c>
      <c r="C60" s="230">
        <v>20410639.082625899</v>
      </c>
      <c r="D60" s="230">
        <v>275426796</v>
      </c>
      <c r="E60" s="230">
        <v>296337435.08262593</v>
      </c>
    </row>
    <row r="61" spans="1:5" s="417" customFormat="1" x14ac:dyDescent="0.25">
      <c r="A61" s="227" t="s">
        <v>195</v>
      </c>
      <c r="B61" s="230"/>
      <c r="C61" s="230"/>
      <c r="D61" s="230">
        <v>99417074.999999985</v>
      </c>
      <c r="E61" s="230">
        <v>99417074.999999985</v>
      </c>
    </row>
    <row r="62" spans="1:5" s="417" customFormat="1" x14ac:dyDescent="0.25">
      <c r="A62" s="227" t="s">
        <v>194</v>
      </c>
      <c r="B62" s="230"/>
      <c r="C62" s="230"/>
      <c r="D62" s="230">
        <v>91815156</v>
      </c>
      <c r="E62" s="230">
        <v>91815156</v>
      </c>
    </row>
    <row r="63" spans="1:5" s="417" customFormat="1" x14ac:dyDescent="0.25">
      <c r="A63" s="227" t="s">
        <v>196</v>
      </c>
      <c r="B63" s="230"/>
      <c r="C63" s="230"/>
      <c r="D63" s="230">
        <v>72914565</v>
      </c>
      <c r="E63" s="230">
        <v>72914565</v>
      </c>
    </row>
    <row r="64" spans="1:5" s="417" customFormat="1" x14ac:dyDescent="0.25">
      <c r="A64" s="227" t="s">
        <v>202</v>
      </c>
      <c r="B64" s="230"/>
      <c r="C64" s="230">
        <v>20410639.082625899</v>
      </c>
      <c r="D64" s="230"/>
      <c r="E64" s="230">
        <v>20410639.082625899</v>
      </c>
    </row>
    <row r="65" spans="1:5" s="417" customFormat="1" x14ac:dyDescent="0.25">
      <c r="A65" s="227" t="s">
        <v>198</v>
      </c>
      <c r="B65" s="230"/>
      <c r="C65" s="230"/>
      <c r="D65" s="230">
        <v>8460000</v>
      </c>
      <c r="E65" s="230">
        <v>8460000</v>
      </c>
    </row>
    <row r="66" spans="1:5" s="417" customFormat="1" x14ac:dyDescent="0.25">
      <c r="A66" s="227" t="s">
        <v>197</v>
      </c>
      <c r="B66" s="230"/>
      <c r="C66" s="230"/>
      <c r="D66" s="230">
        <v>2820000</v>
      </c>
      <c r="E66" s="230">
        <v>2820000</v>
      </c>
    </row>
    <row r="67" spans="1:5" s="417" customFormat="1" x14ac:dyDescent="0.25">
      <c r="A67" s="227" t="s">
        <v>204</v>
      </c>
      <c r="B67" s="230">
        <v>500000</v>
      </c>
      <c r="C67" s="230"/>
      <c r="D67" s="230"/>
      <c r="E67" s="230">
        <v>500000</v>
      </c>
    </row>
    <row r="68" spans="1:5" s="417" customFormat="1" x14ac:dyDescent="0.25">
      <c r="A68" s="227" t="s">
        <v>123</v>
      </c>
      <c r="B68" s="230">
        <v>8666368.75</v>
      </c>
      <c r="C68" s="230">
        <v>158373750.00000003</v>
      </c>
      <c r="D68" s="230">
        <v>150000</v>
      </c>
      <c r="E68" s="230">
        <v>167190118.75000003</v>
      </c>
    </row>
    <row r="69" spans="1:5" s="417" customFormat="1" x14ac:dyDescent="0.25">
      <c r="A69" s="227" t="s">
        <v>200</v>
      </c>
      <c r="B69" s="211"/>
      <c r="C69" s="211">
        <v>136480000.00000003</v>
      </c>
      <c r="D69" s="211"/>
      <c r="E69" s="211">
        <v>136480000.00000003</v>
      </c>
    </row>
    <row r="70" spans="1:5" s="417" customFormat="1" x14ac:dyDescent="0.25">
      <c r="A70" s="414" t="s">
        <v>276</v>
      </c>
      <c r="B70" s="211"/>
      <c r="C70" s="211">
        <v>136480000.00000003</v>
      </c>
      <c r="D70" s="211"/>
      <c r="E70" s="211">
        <v>136480000.00000003</v>
      </c>
    </row>
    <row r="71" spans="1:5" s="417" customFormat="1" x14ac:dyDescent="0.25">
      <c r="A71" s="227" t="s">
        <v>201</v>
      </c>
      <c r="B71" s="230"/>
      <c r="C71" s="230">
        <v>21656250</v>
      </c>
      <c r="D71" s="230"/>
      <c r="E71" s="230">
        <v>21656250</v>
      </c>
    </row>
    <row r="72" spans="1:5" s="417" customFormat="1" x14ac:dyDescent="0.25">
      <c r="A72" s="227" t="s">
        <v>204</v>
      </c>
      <c r="B72" s="230">
        <v>8666368.75</v>
      </c>
      <c r="C72" s="230"/>
      <c r="D72" s="230"/>
      <c r="E72" s="230">
        <v>8666368.75</v>
      </c>
    </row>
    <row r="73" spans="1:5" s="417" customFormat="1" x14ac:dyDescent="0.25">
      <c r="A73" s="227" t="s">
        <v>202</v>
      </c>
      <c r="B73" s="230"/>
      <c r="C73" s="230">
        <v>237500</v>
      </c>
      <c r="D73" s="230"/>
      <c r="E73" s="230">
        <v>237500</v>
      </c>
    </row>
    <row r="74" spans="1:5" s="417" customFormat="1" x14ac:dyDescent="0.25">
      <c r="A74" s="227" t="s">
        <v>197</v>
      </c>
      <c r="B74" s="230"/>
      <c r="C74" s="230"/>
      <c r="D74" s="230">
        <v>150000</v>
      </c>
      <c r="E74" s="230">
        <v>150000</v>
      </c>
    </row>
    <row r="75" spans="1:5" s="417" customFormat="1" x14ac:dyDescent="0.25">
      <c r="A75" s="227" t="s">
        <v>130</v>
      </c>
      <c r="B75" s="230">
        <v>1404000</v>
      </c>
      <c r="C75" s="230">
        <v>17600000</v>
      </c>
      <c r="D75" s="230">
        <v>11220000</v>
      </c>
      <c r="E75" s="230">
        <v>30224000</v>
      </c>
    </row>
    <row r="76" spans="1:5" s="417" customFormat="1" x14ac:dyDescent="0.25">
      <c r="A76" s="227" t="s">
        <v>201</v>
      </c>
      <c r="B76" s="230"/>
      <c r="C76" s="230">
        <v>15500000</v>
      </c>
      <c r="D76" s="230"/>
      <c r="E76" s="230">
        <v>15500000</v>
      </c>
    </row>
    <row r="77" spans="1:5" s="417" customFormat="1" x14ac:dyDescent="0.25">
      <c r="A77" s="227" t="s">
        <v>198</v>
      </c>
      <c r="B77" s="230"/>
      <c r="C77" s="230"/>
      <c r="D77" s="230">
        <v>10800000</v>
      </c>
      <c r="E77" s="230">
        <v>10800000</v>
      </c>
    </row>
    <row r="78" spans="1:5" s="417" customFormat="1" x14ac:dyDescent="0.25">
      <c r="A78" s="227" t="s">
        <v>202</v>
      </c>
      <c r="B78" s="230"/>
      <c r="C78" s="230">
        <v>2100000</v>
      </c>
      <c r="D78" s="230"/>
      <c r="E78" s="230">
        <v>2100000</v>
      </c>
    </row>
    <row r="79" spans="1:5" s="417" customFormat="1" x14ac:dyDescent="0.25">
      <c r="A79" s="227" t="s">
        <v>205</v>
      </c>
      <c r="B79" s="230">
        <v>675000</v>
      </c>
      <c r="C79" s="230"/>
      <c r="D79" s="230"/>
      <c r="E79" s="230">
        <v>675000</v>
      </c>
    </row>
    <row r="80" spans="1:5" s="417" customFormat="1" x14ac:dyDescent="0.25">
      <c r="A80" s="227" t="s">
        <v>204</v>
      </c>
      <c r="B80" s="230">
        <v>504000</v>
      </c>
      <c r="C80" s="230"/>
      <c r="D80" s="230"/>
      <c r="E80" s="230">
        <v>504000</v>
      </c>
    </row>
    <row r="81" spans="1:5" s="417" customFormat="1" x14ac:dyDescent="0.25">
      <c r="A81" s="227" t="s">
        <v>197</v>
      </c>
      <c r="B81" s="230"/>
      <c r="C81" s="230"/>
      <c r="D81" s="230">
        <v>420000</v>
      </c>
      <c r="E81" s="230">
        <v>420000</v>
      </c>
    </row>
    <row r="82" spans="1:5" s="417" customFormat="1" x14ac:dyDescent="0.25">
      <c r="A82" s="227" t="s">
        <v>195</v>
      </c>
      <c r="B82" s="230">
        <v>225000</v>
      </c>
      <c r="C82" s="230"/>
      <c r="D82" s="230"/>
      <c r="E82" s="230">
        <v>225000</v>
      </c>
    </row>
    <row r="83" spans="1:5" s="417" customFormat="1" x14ac:dyDescent="0.25">
      <c r="A83" s="227" t="s">
        <v>126</v>
      </c>
      <c r="B83" s="230">
        <v>500000</v>
      </c>
      <c r="C83" s="230">
        <v>877848.59269436693</v>
      </c>
      <c r="D83" s="230">
        <v>27361340</v>
      </c>
      <c r="E83" s="230">
        <v>28739188.592694368</v>
      </c>
    </row>
    <row r="84" spans="1:5" s="417" customFormat="1" x14ac:dyDescent="0.25">
      <c r="A84" s="227" t="s">
        <v>196</v>
      </c>
      <c r="B84" s="230"/>
      <c r="C84" s="230"/>
      <c r="D84" s="230">
        <v>13370000</v>
      </c>
      <c r="E84" s="230">
        <v>13370000</v>
      </c>
    </row>
    <row r="85" spans="1:5" s="417" customFormat="1" x14ac:dyDescent="0.25">
      <c r="A85" s="227" t="s">
        <v>198</v>
      </c>
      <c r="B85" s="230"/>
      <c r="C85" s="230"/>
      <c r="D85" s="230">
        <v>7200000</v>
      </c>
      <c r="E85" s="230">
        <v>7200000</v>
      </c>
    </row>
    <row r="86" spans="1:5" s="417" customFormat="1" x14ac:dyDescent="0.25">
      <c r="A86" s="227" t="s">
        <v>195</v>
      </c>
      <c r="B86" s="230"/>
      <c r="C86" s="230"/>
      <c r="D86" s="230">
        <v>4592400</v>
      </c>
      <c r="E86" s="230">
        <v>4592400</v>
      </c>
    </row>
    <row r="87" spans="1:5" s="417" customFormat="1" x14ac:dyDescent="0.25">
      <c r="A87" s="227" t="s">
        <v>194</v>
      </c>
      <c r="B87" s="230"/>
      <c r="C87" s="230"/>
      <c r="D87" s="230">
        <v>2198940</v>
      </c>
      <c r="E87" s="230">
        <v>2198940</v>
      </c>
    </row>
    <row r="88" spans="1:5" s="417" customFormat="1" x14ac:dyDescent="0.25">
      <c r="A88" s="227" t="s">
        <v>202</v>
      </c>
      <c r="B88" s="230"/>
      <c r="C88" s="230">
        <v>877848.59269436693</v>
      </c>
      <c r="D88" s="230"/>
      <c r="E88" s="230">
        <v>877848.59269436693</v>
      </c>
    </row>
    <row r="89" spans="1:5" s="417" customFormat="1" x14ac:dyDescent="0.25">
      <c r="A89" s="227" t="s">
        <v>204</v>
      </c>
      <c r="B89" s="230">
        <v>500000</v>
      </c>
      <c r="C89" s="230"/>
      <c r="D89" s="230"/>
      <c r="E89" s="230">
        <v>500000</v>
      </c>
    </row>
    <row r="90" spans="1:5" s="417" customFormat="1" x14ac:dyDescent="0.25">
      <c r="A90" s="227" t="s">
        <v>125</v>
      </c>
      <c r="B90" s="230">
        <v>500000</v>
      </c>
      <c r="C90" s="230">
        <v>1265813.36155174</v>
      </c>
      <c r="D90" s="230">
        <v>22268505</v>
      </c>
      <c r="E90" s="230">
        <v>24034318.361551739</v>
      </c>
    </row>
    <row r="91" spans="1:5" s="417" customFormat="1" x14ac:dyDescent="0.25">
      <c r="A91" s="227" t="s">
        <v>195</v>
      </c>
      <c r="B91" s="230"/>
      <c r="C91" s="230"/>
      <c r="D91" s="230">
        <v>12064725</v>
      </c>
      <c r="E91" s="230">
        <v>12064725</v>
      </c>
    </row>
    <row r="92" spans="1:5" s="417" customFormat="1" x14ac:dyDescent="0.25">
      <c r="A92" s="227" t="s">
        <v>196</v>
      </c>
      <c r="B92" s="230"/>
      <c r="C92" s="230"/>
      <c r="D92" s="230">
        <v>6156300.0000000009</v>
      </c>
      <c r="E92" s="230">
        <v>6156300.0000000009</v>
      </c>
    </row>
    <row r="93" spans="1:5" s="417" customFormat="1" x14ac:dyDescent="0.25">
      <c r="A93" s="227" t="s">
        <v>198</v>
      </c>
      <c r="B93" s="230"/>
      <c r="C93" s="230"/>
      <c r="D93" s="230">
        <v>3000000</v>
      </c>
      <c r="E93" s="230">
        <v>3000000</v>
      </c>
    </row>
    <row r="94" spans="1:5" s="417" customFormat="1" x14ac:dyDescent="0.25">
      <c r="A94" s="227" t="s">
        <v>202</v>
      </c>
      <c r="B94" s="230"/>
      <c r="C94" s="230">
        <v>1265813.36155174</v>
      </c>
      <c r="D94" s="230"/>
      <c r="E94" s="230">
        <v>1265813.36155174</v>
      </c>
    </row>
    <row r="95" spans="1:5" s="417" customFormat="1" x14ac:dyDescent="0.25">
      <c r="A95" s="227" t="s">
        <v>194</v>
      </c>
      <c r="B95" s="230"/>
      <c r="C95" s="230"/>
      <c r="D95" s="230">
        <v>1047480</v>
      </c>
      <c r="E95" s="230">
        <v>1047480</v>
      </c>
    </row>
    <row r="96" spans="1:5" s="417" customFormat="1" x14ac:dyDescent="0.25">
      <c r="A96" s="227" t="s">
        <v>204</v>
      </c>
      <c r="B96" s="230">
        <v>500000</v>
      </c>
      <c r="C96" s="230"/>
      <c r="D96" s="230"/>
      <c r="E96" s="230">
        <v>500000</v>
      </c>
    </row>
    <row r="97" spans="1:5" s="417" customFormat="1" x14ac:dyDescent="0.25">
      <c r="A97" s="227" t="s">
        <v>133</v>
      </c>
      <c r="B97" s="230">
        <v>9430000</v>
      </c>
      <c r="C97" s="230">
        <v>240000</v>
      </c>
      <c r="D97" s="230"/>
      <c r="E97" s="230">
        <v>9670000</v>
      </c>
    </row>
    <row r="98" spans="1:5" s="417" customFormat="1" x14ac:dyDescent="0.25">
      <c r="A98" s="227" t="s">
        <v>195</v>
      </c>
      <c r="B98" s="230">
        <v>5000000</v>
      </c>
      <c r="C98" s="230"/>
      <c r="D98" s="230"/>
      <c r="E98" s="230">
        <v>5000000</v>
      </c>
    </row>
    <row r="99" spans="1:5" s="417" customFormat="1" x14ac:dyDescent="0.25">
      <c r="A99" s="227" t="s">
        <v>204</v>
      </c>
      <c r="B99" s="230">
        <v>3830000</v>
      </c>
      <c r="C99" s="230"/>
      <c r="D99" s="230"/>
      <c r="E99" s="230">
        <v>3830000</v>
      </c>
    </row>
    <row r="100" spans="1:5" s="417" customFormat="1" x14ac:dyDescent="0.25">
      <c r="A100" s="227" t="s">
        <v>205</v>
      </c>
      <c r="B100" s="230">
        <v>600000</v>
      </c>
      <c r="C100" s="230"/>
      <c r="D100" s="230"/>
      <c r="E100" s="230">
        <v>600000</v>
      </c>
    </row>
    <row r="101" spans="1:5" s="417" customFormat="1" x14ac:dyDescent="0.25">
      <c r="A101" s="227" t="s">
        <v>201</v>
      </c>
      <c r="B101" s="230"/>
      <c r="C101" s="230">
        <v>240000</v>
      </c>
      <c r="D101" s="230"/>
      <c r="E101" s="230">
        <v>240000</v>
      </c>
    </row>
    <row r="102" spans="1:5" s="417" customFormat="1" x14ac:dyDescent="0.25">
      <c r="A102" s="227" t="s">
        <v>131</v>
      </c>
      <c r="B102" s="230">
        <v>2818524.6352960919</v>
      </c>
      <c r="C102" s="230">
        <v>259741.49440690081</v>
      </c>
      <c r="D102" s="230"/>
      <c r="E102" s="230">
        <v>3078266.1297029927</v>
      </c>
    </row>
    <row r="103" spans="1:5" s="417" customFormat="1" x14ac:dyDescent="0.25">
      <c r="A103" s="195" t="s">
        <v>204</v>
      </c>
      <c r="B103" s="211">
        <v>2818524.6352960919</v>
      </c>
      <c r="C103" s="211"/>
      <c r="D103" s="211"/>
      <c r="E103" s="211">
        <v>2818524.6352960919</v>
      </c>
    </row>
    <row r="104" spans="1:5" s="417" customFormat="1" x14ac:dyDescent="0.25">
      <c r="A104" s="227" t="s">
        <v>202</v>
      </c>
      <c r="B104" s="230"/>
      <c r="C104" s="230">
        <v>259741.49440690081</v>
      </c>
      <c r="D104" s="230"/>
      <c r="E104" s="230">
        <v>259741.49440690081</v>
      </c>
    </row>
    <row r="105" spans="1:5" s="417" customFormat="1" x14ac:dyDescent="0.25">
      <c r="A105" s="227" t="s">
        <v>122</v>
      </c>
      <c r="B105" s="230">
        <v>2480000</v>
      </c>
      <c r="C105" s="230"/>
      <c r="D105" s="230"/>
      <c r="E105" s="230">
        <v>2480000</v>
      </c>
    </row>
    <row r="106" spans="1:5" s="417" customFormat="1" x14ac:dyDescent="0.25">
      <c r="A106" s="227" t="s">
        <v>205</v>
      </c>
      <c r="B106" s="230">
        <v>1400000</v>
      </c>
      <c r="C106" s="230"/>
      <c r="D106" s="230"/>
      <c r="E106" s="230">
        <v>1400000</v>
      </c>
    </row>
    <row r="107" spans="1:5" s="417" customFormat="1" x14ac:dyDescent="0.25">
      <c r="A107" s="227" t="s">
        <v>195</v>
      </c>
      <c r="B107" s="230">
        <v>600000</v>
      </c>
      <c r="C107" s="230"/>
      <c r="D107" s="230"/>
      <c r="E107" s="230">
        <v>600000</v>
      </c>
    </row>
    <row r="108" spans="1:5" x14ac:dyDescent="0.25">
      <c r="A108" s="227" t="s">
        <v>204</v>
      </c>
      <c r="B108" s="230">
        <v>480000</v>
      </c>
      <c r="C108" s="230"/>
      <c r="D108" s="230"/>
      <c r="E108" s="230">
        <v>480000</v>
      </c>
    </row>
    <row r="109" spans="1:5" x14ac:dyDescent="0.25">
      <c r="A109" s="227" t="s">
        <v>127</v>
      </c>
      <c r="B109" s="230"/>
      <c r="C109" s="230">
        <v>1287867.1328671698</v>
      </c>
      <c r="D109" s="230"/>
      <c r="E109" s="230">
        <v>1287867.1328671698</v>
      </c>
    </row>
    <row r="110" spans="1:5" x14ac:dyDescent="0.25">
      <c r="A110" s="227" t="s">
        <v>202</v>
      </c>
      <c r="B110" s="230"/>
      <c r="C110" s="230">
        <v>1287867.1328671698</v>
      </c>
      <c r="D110" s="230"/>
      <c r="E110" s="230">
        <v>1287867.1328671698</v>
      </c>
    </row>
    <row r="111" spans="1:5" x14ac:dyDescent="0.25">
      <c r="A111" s="227" t="s">
        <v>141</v>
      </c>
      <c r="B111" s="211">
        <v>26298893.385296091</v>
      </c>
      <c r="C111" s="211">
        <v>200315659.6641461</v>
      </c>
      <c r="D111" s="211">
        <v>336426641</v>
      </c>
      <c r="E111" s="211">
        <v>563041194.04944229</v>
      </c>
    </row>
    <row r="112" spans="1:5" s="417" customFormat="1" ht="14.95" customHeight="1" x14ac:dyDescent="0.25">
      <c r="A112" s="330" t="s">
        <v>142</v>
      </c>
      <c r="B112" s="231" t="s">
        <v>134</v>
      </c>
      <c r="C112" s="825"/>
      <c r="D112" s="825"/>
      <c r="E112" s="825"/>
    </row>
    <row r="113" spans="1:5" s="417" customFormat="1" x14ac:dyDescent="0.25">
      <c r="A113" s="329"/>
      <c r="B113" s="825"/>
      <c r="C113" s="825"/>
      <c r="D113" s="825"/>
      <c r="E113" s="825"/>
    </row>
    <row r="114" spans="1:5" s="417" customFormat="1" hidden="1" x14ac:dyDescent="0.25">
      <c r="A114" s="394" t="s">
        <v>234</v>
      </c>
      <c r="B114" s="193" t="s">
        <v>144</v>
      </c>
      <c r="C114" s="825"/>
      <c r="D114" s="825"/>
      <c r="E114" s="825"/>
    </row>
    <row r="115" spans="1:5" s="213" customFormat="1" ht="14.95" customHeight="1" x14ac:dyDescent="0.25">
      <c r="A115" s="330" t="s">
        <v>356</v>
      </c>
      <c r="B115" s="213" t="s">
        <v>203</v>
      </c>
      <c r="C115" s="213" t="s">
        <v>199</v>
      </c>
      <c r="D115" s="213" t="s">
        <v>193</v>
      </c>
      <c r="E115" s="329" t="s">
        <v>141</v>
      </c>
    </row>
    <row r="116" spans="1:5" s="417" customFormat="1" ht="31.25" x14ac:dyDescent="0.25">
      <c r="A116" s="227" t="s">
        <v>129</v>
      </c>
      <c r="B116" s="230">
        <v>250000</v>
      </c>
      <c r="C116" s="230">
        <v>6328530.9793106997</v>
      </c>
      <c r="D116" s="230">
        <v>253874491.296</v>
      </c>
      <c r="E116" s="230">
        <v>260453022.2753107</v>
      </c>
    </row>
    <row r="117" spans="1:5" s="417" customFormat="1" x14ac:dyDescent="0.25">
      <c r="A117" s="227" t="s">
        <v>194</v>
      </c>
      <c r="B117" s="230"/>
      <c r="C117" s="230"/>
      <c r="D117" s="230">
        <v>93619434</v>
      </c>
      <c r="E117" s="230">
        <v>93619434</v>
      </c>
    </row>
    <row r="118" spans="1:5" s="417" customFormat="1" x14ac:dyDescent="0.25">
      <c r="A118" s="227" t="s">
        <v>195</v>
      </c>
      <c r="B118" s="230"/>
      <c r="C118" s="230"/>
      <c r="D118" s="230">
        <v>84846525</v>
      </c>
      <c r="E118" s="230">
        <v>84846525</v>
      </c>
    </row>
    <row r="119" spans="1:5" s="417" customFormat="1" x14ac:dyDescent="0.25">
      <c r="A119" s="227" t="s">
        <v>196</v>
      </c>
      <c r="B119" s="230"/>
      <c r="C119" s="230"/>
      <c r="D119" s="230">
        <v>67532450</v>
      </c>
      <c r="E119" s="230">
        <v>67532450</v>
      </c>
    </row>
    <row r="120" spans="1:5" s="417" customFormat="1" x14ac:dyDescent="0.25">
      <c r="A120" s="227" t="s">
        <v>197</v>
      </c>
      <c r="B120" s="230"/>
      <c r="C120" s="230"/>
      <c r="D120" s="230">
        <v>7156082.2959999992</v>
      </c>
      <c r="E120" s="230">
        <v>7156082.2959999992</v>
      </c>
    </row>
    <row r="121" spans="1:5" s="417" customFormat="1" x14ac:dyDescent="0.25">
      <c r="A121" s="227" t="s">
        <v>202</v>
      </c>
      <c r="B121" s="230"/>
      <c r="C121" s="230">
        <v>6328530.9793106997</v>
      </c>
      <c r="D121" s="230"/>
      <c r="E121" s="230">
        <v>6328530.9793106997</v>
      </c>
    </row>
    <row r="122" spans="1:5" s="417" customFormat="1" x14ac:dyDescent="0.25">
      <c r="A122" s="227" t="s">
        <v>198</v>
      </c>
      <c r="B122" s="230"/>
      <c r="C122" s="230"/>
      <c r="D122" s="230">
        <v>720000</v>
      </c>
      <c r="E122" s="230">
        <v>720000</v>
      </c>
    </row>
    <row r="123" spans="1:5" s="417" customFormat="1" x14ac:dyDescent="0.25">
      <c r="A123" s="227" t="s">
        <v>204</v>
      </c>
      <c r="B123" s="230">
        <v>250000</v>
      </c>
      <c r="C123" s="230"/>
      <c r="D123" s="230"/>
      <c r="E123" s="230">
        <v>250000</v>
      </c>
    </row>
    <row r="124" spans="1:5" s="417" customFormat="1" x14ac:dyDescent="0.25">
      <c r="A124" s="227" t="s">
        <v>130</v>
      </c>
      <c r="B124" s="230">
        <v>4237000</v>
      </c>
      <c r="C124" s="230">
        <v>63060000</v>
      </c>
      <c r="D124" s="230">
        <v>2070000</v>
      </c>
      <c r="E124" s="230">
        <v>69367000</v>
      </c>
    </row>
    <row r="125" spans="1:5" s="417" customFormat="1" x14ac:dyDescent="0.25">
      <c r="A125" s="227" t="s">
        <v>201</v>
      </c>
      <c r="B125" s="230"/>
      <c r="C125" s="230">
        <v>59925000</v>
      </c>
      <c r="D125" s="230"/>
      <c r="E125" s="230">
        <v>59925000</v>
      </c>
    </row>
    <row r="126" spans="1:5" s="417" customFormat="1" x14ac:dyDescent="0.25">
      <c r="A126" s="227" t="s">
        <v>202</v>
      </c>
      <c r="B126" s="230"/>
      <c r="C126" s="230">
        <v>3135000</v>
      </c>
      <c r="D126" s="230"/>
      <c r="E126" s="230">
        <v>3135000</v>
      </c>
    </row>
    <row r="127" spans="1:5" s="417" customFormat="1" x14ac:dyDescent="0.25">
      <c r="A127" s="227" t="s">
        <v>204</v>
      </c>
      <c r="B127" s="230">
        <v>2632000</v>
      </c>
      <c r="C127" s="230"/>
      <c r="D127" s="230"/>
      <c r="E127" s="230">
        <v>2632000</v>
      </c>
    </row>
    <row r="128" spans="1:5" s="417" customFormat="1" x14ac:dyDescent="0.25">
      <c r="A128" s="227" t="s">
        <v>198</v>
      </c>
      <c r="B128" s="230"/>
      <c r="C128" s="230"/>
      <c r="D128" s="230">
        <v>1440000</v>
      </c>
      <c r="E128" s="230">
        <v>1440000</v>
      </c>
    </row>
    <row r="129" spans="1:5" s="417" customFormat="1" x14ac:dyDescent="0.25">
      <c r="A129" s="227" t="s">
        <v>205</v>
      </c>
      <c r="B129" s="230">
        <v>900000</v>
      </c>
      <c r="C129" s="230"/>
      <c r="D129" s="230"/>
      <c r="E129" s="230">
        <v>900000</v>
      </c>
    </row>
    <row r="130" spans="1:5" s="417" customFormat="1" x14ac:dyDescent="0.25">
      <c r="A130" s="227" t="s">
        <v>195</v>
      </c>
      <c r="B130" s="230">
        <v>705000</v>
      </c>
      <c r="C130" s="230"/>
      <c r="D130" s="230"/>
      <c r="E130" s="230">
        <v>705000</v>
      </c>
    </row>
    <row r="131" spans="1:5" s="417" customFormat="1" x14ac:dyDescent="0.25">
      <c r="A131" s="227" t="s">
        <v>197</v>
      </c>
      <c r="B131" s="230"/>
      <c r="C131" s="230"/>
      <c r="D131" s="230">
        <v>630000</v>
      </c>
      <c r="E131" s="230">
        <v>630000</v>
      </c>
    </row>
    <row r="132" spans="1:5" s="417" customFormat="1" x14ac:dyDescent="0.25">
      <c r="A132" s="227" t="s">
        <v>135</v>
      </c>
      <c r="B132" s="230">
        <v>51895000</v>
      </c>
      <c r="C132" s="230">
        <v>90000</v>
      </c>
      <c r="D132" s="230"/>
      <c r="E132" s="230">
        <v>51985000</v>
      </c>
    </row>
    <row r="133" spans="1:5" s="417" customFormat="1" x14ac:dyDescent="0.25">
      <c r="A133" s="227" t="s">
        <v>204</v>
      </c>
      <c r="B133" s="230">
        <v>51080000</v>
      </c>
      <c r="C133" s="230"/>
      <c r="D133" s="230"/>
      <c r="E133" s="230">
        <v>51080000</v>
      </c>
    </row>
    <row r="134" spans="1:5" s="417" customFormat="1" x14ac:dyDescent="0.25">
      <c r="A134" s="227" t="s">
        <v>195</v>
      </c>
      <c r="B134" s="230">
        <v>500000</v>
      </c>
      <c r="C134" s="230"/>
      <c r="D134" s="230"/>
      <c r="E134" s="230">
        <v>500000</v>
      </c>
    </row>
    <row r="135" spans="1:5" s="417" customFormat="1" x14ac:dyDescent="0.25">
      <c r="A135" s="227" t="s">
        <v>205</v>
      </c>
      <c r="B135" s="230">
        <v>315000</v>
      </c>
      <c r="C135" s="230"/>
      <c r="D135" s="230"/>
      <c r="E135" s="230">
        <v>315000</v>
      </c>
    </row>
    <row r="136" spans="1:5" s="417" customFormat="1" x14ac:dyDescent="0.25">
      <c r="A136" s="227" t="s">
        <v>201</v>
      </c>
      <c r="B136" s="230"/>
      <c r="C136" s="230">
        <v>90000</v>
      </c>
      <c r="D136" s="230"/>
      <c r="E136" s="230">
        <v>90000</v>
      </c>
    </row>
    <row r="137" spans="1:5" s="417" customFormat="1" x14ac:dyDescent="0.25">
      <c r="A137" s="227" t="s">
        <v>123</v>
      </c>
      <c r="B137" s="230">
        <v>769682.5</v>
      </c>
      <c r="C137" s="230">
        <v>36865625</v>
      </c>
      <c r="D137" s="230">
        <v>150000</v>
      </c>
      <c r="E137" s="230">
        <v>37785307.5</v>
      </c>
    </row>
    <row r="138" spans="1:5" s="417" customFormat="1" x14ac:dyDescent="0.25">
      <c r="A138" s="227" t="s">
        <v>200</v>
      </c>
      <c r="B138" s="211"/>
      <c r="C138" s="211">
        <v>26240000.000000004</v>
      </c>
      <c r="D138" s="211"/>
      <c r="E138" s="211">
        <v>26240000.000000004</v>
      </c>
    </row>
    <row r="139" spans="1:5" s="417" customFormat="1" x14ac:dyDescent="0.25">
      <c r="A139" s="414" t="s">
        <v>276</v>
      </c>
      <c r="B139" s="211"/>
      <c r="C139" s="211">
        <v>26240000.000000004</v>
      </c>
      <c r="D139" s="211"/>
      <c r="E139" s="211">
        <v>26240000.000000004</v>
      </c>
    </row>
    <row r="140" spans="1:5" s="417" customFormat="1" x14ac:dyDescent="0.25">
      <c r="A140" s="227" t="s">
        <v>201</v>
      </c>
      <c r="B140" s="230"/>
      <c r="C140" s="230">
        <v>10388125</v>
      </c>
      <c r="D140" s="230"/>
      <c r="E140" s="230">
        <v>10388125</v>
      </c>
    </row>
    <row r="141" spans="1:5" s="417" customFormat="1" x14ac:dyDescent="0.25">
      <c r="A141" s="227" t="s">
        <v>204</v>
      </c>
      <c r="B141" s="230">
        <v>769682.5</v>
      </c>
      <c r="C141" s="230"/>
      <c r="D141" s="230"/>
      <c r="E141" s="230">
        <v>769682.5</v>
      </c>
    </row>
    <row r="142" spans="1:5" s="417" customFormat="1" x14ac:dyDescent="0.25">
      <c r="A142" s="227" t="s">
        <v>202</v>
      </c>
      <c r="B142" s="230"/>
      <c r="C142" s="230">
        <v>237500</v>
      </c>
      <c r="D142" s="230"/>
      <c r="E142" s="230">
        <v>237500</v>
      </c>
    </row>
    <row r="143" spans="1:5" s="417" customFormat="1" x14ac:dyDescent="0.25">
      <c r="A143" s="227" t="s">
        <v>197</v>
      </c>
      <c r="B143" s="230"/>
      <c r="C143" s="230"/>
      <c r="D143" s="230">
        <v>150000</v>
      </c>
      <c r="E143" s="230">
        <v>150000</v>
      </c>
    </row>
    <row r="144" spans="1:5" s="417" customFormat="1" x14ac:dyDescent="0.25">
      <c r="A144" s="227" t="s">
        <v>126</v>
      </c>
      <c r="B144" s="230">
        <v>150000</v>
      </c>
      <c r="C144" s="230">
        <v>259945.79468684702</v>
      </c>
      <c r="D144" s="230">
        <v>13014490</v>
      </c>
      <c r="E144" s="230">
        <v>13424435.794686846</v>
      </c>
    </row>
    <row r="145" spans="1:5" s="417" customFormat="1" x14ac:dyDescent="0.25">
      <c r="A145" s="227" t="s">
        <v>196</v>
      </c>
      <c r="B145" s="230"/>
      <c r="C145" s="230"/>
      <c r="D145" s="230">
        <v>5622000</v>
      </c>
      <c r="E145" s="230">
        <v>5622000</v>
      </c>
    </row>
    <row r="146" spans="1:5" s="417" customFormat="1" x14ac:dyDescent="0.25">
      <c r="A146" s="227" t="s">
        <v>195</v>
      </c>
      <c r="B146" s="230"/>
      <c r="C146" s="230"/>
      <c r="D146" s="230">
        <v>3915150</v>
      </c>
      <c r="E146" s="230">
        <v>3915150</v>
      </c>
    </row>
    <row r="147" spans="1:5" s="417" customFormat="1" x14ac:dyDescent="0.25">
      <c r="A147" s="227" t="s">
        <v>198</v>
      </c>
      <c r="B147" s="230"/>
      <c r="C147" s="230"/>
      <c r="D147" s="230">
        <v>2400000</v>
      </c>
      <c r="E147" s="230">
        <v>2400000</v>
      </c>
    </row>
    <row r="148" spans="1:5" s="417" customFormat="1" x14ac:dyDescent="0.25">
      <c r="A148" s="227" t="s">
        <v>194</v>
      </c>
      <c r="B148" s="230"/>
      <c r="C148" s="230"/>
      <c r="D148" s="230">
        <v>1077340</v>
      </c>
      <c r="E148" s="230">
        <v>1077340</v>
      </c>
    </row>
    <row r="149" spans="1:5" s="417" customFormat="1" x14ac:dyDescent="0.25">
      <c r="A149" s="227" t="s">
        <v>202</v>
      </c>
      <c r="B149" s="230"/>
      <c r="C149" s="230">
        <v>259945.79468684702</v>
      </c>
      <c r="D149" s="230"/>
      <c r="E149" s="230">
        <v>259945.79468684702</v>
      </c>
    </row>
    <row r="150" spans="1:5" s="417" customFormat="1" x14ac:dyDescent="0.25">
      <c r="A150" s="227" t="s">
        <v>204</v>
      </c>
      <c r="B150" s="230">
        <v>150000</v>
      </c>
      <c r="C150" s="230"/>
      <c r="D150" s="230"/>
      <c r="E150" s="230">
        <v>150000</v>
      </c>
    </row>
    <row r="151" spans="1:5" s="417" customFormat="1" x14ac:dyDescent="0.25">
      <c r="A151" s="227" t="s">
        <v>136</v>
      </c>
      <c r="B151" s="230"/>
      <c r="C151" s="230">
        <v>398956.71568803</v>
      </c>
      <c r="D151" s="230">
        <v>7830024.9999999991</v>
      </c>
      <c r="E151" s="230">
        <v>8228981.7156880293</v>
      </c>
    </row>
    <row r="152" spans="1:5" s="417" customFormat="1" x14ac:dyDescent="0.25">
      <c r="A152" s="227" t="s">
        <v>195</v>
      </c>
      <c r="B152" s="230"/>
      <c r="C152" s="230"/>
      <c r="D152" s="230">
        <v>6969224.9999999991</v>
      </c>
      <c r="E152" s="230">
        <v>6969224.9999999991</v>
      </c>
    </row>
    <row r="153" spans="1:5" s="417" customFormat="1" x14ac:dyDescent="0.25">
      <c r="A153" s="227" t="s">
        <v>197</v>
      </c>
      <c r="B153" s="230"/>
      <c r="C153" s="230"/>
      <c r="D153" s="230">
        <v>860800</v>
      </c>
      <c r="E153" s="230">
        <v>860800</v>
      </c>
    </row>
    <row r="154" spans="1:5" s="417" customFormat="1" x14ac:dyDescent="0.25">
      <c r="A154" s="227" t="s">
        <v>202</v>
      </c>
      <c r="B154" s="230"/>
      <c r="C154" s="230">
        <v>398956.71568803</v>
      </c>
      <c r="D154" s="230"/>
      <c r="E154" s="230">
        <v>398956.71568803</v>
      </c>
    </row>
    <row r="155" spans="1:5" s="417" customFormat="1" x14ac:dyDescent="0.25">
      <c r="A155" s="227" t="s">
        <v>131</v>
      </c>
      <c r="B155" s="230">
        <v>3585968.2534539253</v>
      </c>
      <c r="C155" s="230">
        <v>790280.93387184164</v>
      </c>
      <c r="D155" s="230"/>
      <c r="E155" s="230">
        <v>4376249.1873257672</v>
      </c>
    </row>
    <row r="156" spans="1:5" s="417" customFormat="1" x14ac:dyDescent="0.25">
      <c r="A156" s="195" t="s">
        <v>204</v>
      </c>
      <c r="B156" s="211">
        <v>3585968.2534539253</v>
      </c>
      <c r="C156" s="211"/>
      <c r="D156" s="211"/>
      <c r="E156" s="211">
        <v>3585968.2534539253</v>
      </c>
    </row>
    <row r="157" spans="1:5" s="417" customFormat="1" x14ac:dyDescent="0.25">
      <c r="A157" s="227" t="s">
        <v>202</v>
      </c>
      <c r="B157" s="230"/>
      <c r="C157" s="230">
        <v>790280.93387184164</v>
      </c>
      <c r="D157" s="230"/>
      <c r="E157" s="230">
        <v>790280.93387184164</v>
      </c>
    </row>
    <row r="158" spans="1:5" s="417" customFormat="1" x14ac:dyDescent="0.25">
      <c r="A158" s="227" t="s">
        <v>122</v>
      </c>
      <c r="B158" s="230">
        <v>2230000</v>
      </c>
      <c r="C158" s="230"/>
      <c r="D158" s="230"/>
      <c r="E158" s="230">
        <v>2230000</v>
      </c>
    </row>
    <row r="159" spans="1:5" s="417" customFormat="1" x14ac:dyDescent="0.25">
      <c r="A159" s="227" t="s">
        <v>205</v>
      </c>
      <c r="B159" s="230">
        <v>1150000</v>
      </c>
      <c r="C159" s="230"/>
      <c r="D159" s="230"/>
      <c r="E159" s="230">
        <v>1150000</v>
      </c>
    </row>
    <row r="160" spans="1:5" s="417" customFormat="1" x14ac:dyDescent="0.25">
      <c r="A160" s="227" t="s">
        <v>195</v>
      </c>
      <c r="B160" s="230">
        <v>600000</v>
      </c>
      <c r="C160" s="230"/>
      <c r="D160" s="230"/>
      <c r="E160" s="230">
        <v>600000</v>
      </c>
    </row>
    <row r="161" spans="1:5" s="417" customFormat="1" x14ac:dyDescent="0.25">
      <c r="A161" s="227" t="s">
        <v>204</v>
      </c>
      <c r="B161" s="230">
        <v>480000</v>
      </c>
      <c r="C161" s="230"/>
      <c r="D161" s="230"/>
      <c r="E161" s="230">
        <v>480000</v>
      </c>
    </row>
    <row r="162" spans="1:5" s="417" customFormat="1" x14ac:dyDescent="0.25">
      <c r="A162" s="227" t="s">
        <v>127</v>
      </c>
      <c r="B162" s="230"/>
      <c r="C162" s="230">
        <v>730350.61126599868</v>
      </c>
      <c r="D162" s="230"/>
      <c r="E162" s="230">
        <v>730350.61126599868</v>
      </c>
    </row>
    <row r="163" spans="1:5" s="417" customFormat="1" x14ac:dyDescent="0.25">
      <c r="A163" s="227" t="s">
        <v>202</v>
      </c>
      <c r="B163" s="230"/>
      <c r="C163" s="230">
        <v>730350.61126599868</v>
      </c>
      <c r="D163" s="230"/>
      <c r="E163" s="230">
        <v>730350.61126599868</v>
      </c>
    </row>
    <row r="164" spans="1:5" x14ac:dyDescent="0.25">
      <c r="A164" s="227" t="s">
        <v>141</v>
      </c>
      <c r="B164" s="211">
        <v>63117650.753453925</v>
      </c>
      <c r="C164" s="211">
        <v>108523690.03482342</v>
      </c>
      <c r="D164" s="211">
        <v>276939006.296</v>
      </c>
      <c r="E164" s="211">
        <v>448580347.08427739</v>
      </c>
    </row>
    <row r="165" spans="1:5" s="417" customFormat="1" ht="14.95" customHeight="1" x14ac:dyDescent="0.25">
      <c r="A165" s="330" t="s">
        <v>142</v>
      </c>
      <c r="B165" s="213" t="s">
        <v>120</v>
      </c>
      <c r="C165" s="825"/>
      <c r="D165" s="825"/>
      <c r="E165" s="825"/>
    </row>
    <row r="166" spans="1:5" s="417" customFormat="1" x14ac:dyDescent="0.25">
      <c r="A166" s="329"/>
      <c r="B166" s="825"/>
      <c r="C166" s="825"/>
      <c r="D166" s="825"/>
      <c r="E166" s="825"/>
    </row>
    <row r="167" spans="1:5" s="417" customFormat="1" hidden="1" x14ac:dyDescent="0.25">
      <c r="A167" s="394" t="s">
        <v>234</v>
      </c>
      <c r="B167" s="193" t="s">
        <v>144</v>
      </c>
      <c r="C167" s="825"/>
      <c r="D167" s="825"/>
      <c r="E167" s="825"/>
    </row>
    <row r="168" spans="1:5" s="213" customFormat="1" ht="14.95" customHeight="1" x14ac:dyDescent="0.25">
      <c r="A168" s="330" t="s">
        <v>356</v>
      </c>
      <c r="B168" s="213" t="s">
        <v>203</v>
      </c>
      <c r="C168" s="213" t="s">
        <v>199</v>
      </c>
      <c r="D168" s="213" t="s">
        <v>193</v>
      </c>
      <c r="E168" s="329" t="s">
        <v>141</v>
      </c>
    </row>
    <row r="169" spans="1:5" s="417" customFormat="1" ht="31.25" x14ac:dyDescent="0.25">
      <c r="A169" s="227" t="s">
        <v>129</v>
      </c>
      <c r="B169" s="230">
        <v>1750000</v>
      </c>
      <c r="C169" s="230">
        <v>51977568.7891666</v>
      </c>
      <c r="D169" s="230">
        <v>755597102</v>
      </c>
      <c r="E169" s="230">
        <v>809324670.78916657</v>
      </c>
    </row>
    <row r="170" spans="1:5" s="417" customFormat="1" x14ac:dyDescent="0.25">
      <c r="A170" s="227" t="s">
        <v>194</v>
      </c>
      <c r="B170" s="230"/>
      <c r="C170" s="230"/>
      <c r="D170" s="230">
        <v>355549366</v>
      </c>
      <c r="E170" s="230">
        <v>355549366</v>
      </c>
    </row>
    <row r="171" spans="1:5" s="417" customFormat="1" x14ac:dyDescent="0.25">
      <c r="A171" s="227" t="s">
        <v>195</v>
      </c>
      <c r="B171" s="230"/>
      <c r="C171" s="230"/>
      <c r="D171" s="230">
        <v>250803089.99999997</v>
      </c>
      <c r="E171" s="230">
        <v>250803089.99999997</v>
      </c>
    </row>
    <row r="172" spans="1:5" s="417" customFormat="1" x14ac:dyDescent="0.25">
      <c r="A172" s="227" t="s">
        <v>196</v>
      </c>
      <c r="B172" s="230"/>
      <c r="C172" s="230"/>
      <c r="D172" s="230">
        <v>144252646</v>
      </c>
      <c r="E172" s="230">
        <v>144252646</v>
      </c>
    </row>
    <row r="173" spans="1:5" s="417" customFormat="1" x14ac:dyDescent="0.25">
      <c r="A173" s="227" t="s">
        <v>202</v>
      </c>
      <c r="B173" s="230"/>
      <c r="C173" s="230">
        <v>51977568.7891666</v>
      </c>
      <c r="D173" s="230"/>
      <c r="E173" s="230">
        <v>51977568.7891666</v>
      </c>
    </row>
    <row r="174" spans="1:5" s="417" customFormat="1" x14ac:dyDescent="0.25">
      <c r="A174" s="227" t="s">
        <v>197</v>
      </c>
      <c r="B174" s="230"/>
      <c r="C174" s="230"/>
      <c r="D174" s="230">
        <v>3840000.0000000005</v>
      </c>
      <c r="E174" s="230">
        <v>3840000.0000000005</v>
      </c>
    </row>
    <row r="175" spans="1:5" s="417" customFormat="1" x14ac:dyDescent="0.25">
      <c r="A175" s="227" t="s">
        <v>204</v>
      </c>
      <c r="B175" s="230">
        <v>1750000</v>
      </c>
      <c r="C175" s="230"/>
      <c r="D175" s="230"/>
      <c r="E175" s="230">
        <v>1750000</v>
      </c>
    </row>
    <row r="176" spans="1:5" s="417" customFormat="1" x14ac:dyDescent="0.25">
      <c r="A176" s="227" t="s">
        <v>198</v>
      </c>
      <c r="B176" s="230"/>
      <c r="C176" s="230"/>
      <c r="D176" s="230">
        <v>1152000.0000000002</v>
      </c>
      <c r="E176" s="230">
        <v>1152000.0000000002</v>
      </c>
    </row>
    <row r="177" spans="1:5" s="417" customFormat="1" x14ac:dyDescent="0.25">
      <c r="A177" s="227" t="s">
        <v>123</v>
      </c>
      <c r="B177" s="230">
        <v>17530476.25</v>
      </c>
      <c r="C177" s="230">
        <v>267932500.00000003</v>
      </c>
      <c r="D177" s="230">
        <v>450000</v>
      </c>
      <c r="E177" s="230">
        <v>285912976.25</v>
      </c>
    </row>
    <row r="178" spans="1:5" s="417" customFormat="1" x14ac:dyDescent="0.25">
      <c r="A178" s="227" t="s">
        <v>200</v>
      </c>
      <c r="B178" s="230"/>
      <c r="C178" s="230">
        <v>264120000.00000003</v>
      </c>
      <c r="D178" s="230"/>
      <c r="E178" s="230">
        <v>264120000.00000003</v>
      </c>
    </row>
    <row r="179" spans="1:5" s="417" customFormat="1" x14ac:dyDescent="0.25">
      <c r="A179" s="414" t="s">
        <v>273</v>
      </c>
      <c r="B179" s="230"/>
      <c r="C179" s="230">
        <v>35000000</v>
      </c>
      <c r="D179" s="230"/>
      <c r="E179" s="230">
        <v>35000000</v>
      </c>
    </row>
    <row r="180" spans="1:5" s="417" customFormat="1" x14ac:dyDescent="0.25">
      <c r="A180" s="414" t="s">
        <v>276</v>
      </c>
      <c r="B180" s="230"/>
      <c r="C180" s="230">
        <v>229120000.00000003</v>
      </c>
      <c r="D180" s="230"/>
      <c r="E180" s="230">
        <v>229120000.00000003</v>
      </c>
    </row>
    <row r="181" spans="1:5" s="417" customFormat="1" x14ac:dyDescent="0.25">
      <c r="A181" s="227" t="s">
        <v>204</v>
      </c>
      <c r="B181" s="230">
        <v>17530476.25</v>
      </c>
      <c r="C181" s="230"/>
      <c r="D181" s="230"/>
      <c r="E181" s="230">
        <v>17530476.25</v>
      </c>
    </row>
    <row r="182" spans="1:5" s="417" customFormat="1" x14ac:dyDescent="0.25">
      <c r="A182" s="227" t="s">
        <v>201</v>
      </c>
      <c r="B182" s="230"/>
      <c r="C182" s="230">
        <v>3500000</v>
      </c>
      <c r="D182" s="230"/>
      <c r="E182" s="230">
        <v>3500000</v>
      </c>
    </row>
    <row r="183" spans="1:5" s="417" customFormat="1" x14ac:dyDescent="0.25">
      <c r="A183" s="227" t="s">
        <v>197</v>
      </c>
      <c r="B183" s="230"/>
      <c r="C183" s="230"/>
      <c r="D183" s="230">
        <v>450000</v>
      </c>
      <c r="E183" s="230">
        <v>450000</v>
      </c>
    </row>
    <row r="184" spans="1:5" s="417" customFormat="1" x14ac:dyDescent="0.25">
      <c r="A184" s="227" t="s">
        <v>202</v>
      </c>
      <c r="B184" s="230"/>
      <c r="C184" s="230">
        <v>312500</v>
      </c>
      <c r="D184" s="230"/>
      <c r="E184" s="230">
        <v>312500</v>
      </c>
    </row>
    <row r="185" spans="1:5" s="417" customFormat="1" x14ac:dyDescent="0.25">
      <c r="A185" s="227" t="s">
        <v>130</v>
      </c>
      <c r="B185" s="230">
        <v>3668400</v>
      </c>
      <c r="C185" s="230">
        <v>90888750</v>
      </c>
      <c r="D185" s="230">
        <v>2490000</v>
      </c>
      <c r="E185" s="230">
        <v>97047150</v>
      </c>
    </row>
    <row r="186" spans="1:5" s="417" customFormat="1" x14ac:dyDescent="0.25">
      <c r="A186" s="227" t="s">
        <v>201</v>
      </c>
      <c r="B186" s="230"/>
      <c r="C186" s="230">
        <v>86400000</v>
      </c>
      <c r="D186" s="230"/>
      <c r="E186" s="230">
        <v>86400000</v>
      </c>
    </row>
    <row r="187" spans="1:5" s="417" customFormat="1" x14ac:dyDescent="0.25">
      <c r="A187" s="227" t="s">
        <v>202</v>
      </c>
      <c r="B187" s="230"/>
      <c r="C187" s="230">
        <v>4488750</v>
      </c>
      <c r="D187" s="230"/>
      <c r="E187" s="230">
        <v>4488750</v>
      </c>
    </row>
    <row r="188" spans="1:5" s="417" customFormat="1" x14ac:dyDescent="0.25">
      <c r="A188" s="227" t="s">
        <v>204</v>
      </c>
      <c r="B188" s="230">
        <v>2318400</v>
      </c>
      <c r="C188" s="230"/>
      <c r="D188" s="230"/>
      <c r="E188" s="230">
        <v>2318400</v>
      </c>
    </row>
    <row r="189" spans="1:5" s="417" customFormat="1" x14ac:dyDescent="0.25">
      <c r="A189" s="227" t="s">
        <v>198</v>
      </c>
      <c r="B189" s="230"/>
      <c r="C189" s="230"/>
      <c r="D189" s="230">
        <v>1440000</v>
      </c>
      <c r="E189" s="230">
        <v>1440000</v>
      </c>
    </row>
    <row r="190" spans="1:5" s="417" customFormat="1" x14ac:dyDescent="0.25">
      <c r="A190" s="227" t="s">
        <v>197</v>
      </c>
      <c r="B190" s="230"/>
      <c r="C190" s="230"/>
      <c r="D190" s="230">
        <v>1050000</v>
      </c>
      <c r="E190" s="230">
        <v>1050000</v>
      </c>
    </row>
    <row r="191" spans="1:5" s="417" customFormat="1" x14ac:dyDescent="0.25">
      <c r="A191" s="227" t="s">
        <v>195</v>
      </c>
      <c r="B191" s="230">
        <v>750000</v>
      </c>
      <c r="C191" s="230"/>
      <c r="D191" s="230"/>
      <c r="E191" s="230">
        <v>750000</v>
      </c>
    </row>
    <row r="192" spans="1:5" s="417" customFormat="1" x14ac:dyDescent="0.25">
      <c r="A192" s="227" t="s">
        <v>205</v>
      </c>
      <c r="B192" s="230">
        <v>600000</v>
      </c>
      <c r="C192" s="230"/>
      <c r="D192" s="230"/>
      <c r="E192" s="230">
        <v>600000</v>
      </c>
    </row>
    <row r="193" spans="1:5" s="417" customFormat="1" x14ac:dyDescent="0.25">
      <c r="A193" s="227" t="s">
        <v>126</v>
      </c>
      <c r="B193" s="230">
        <v>1750000</v>
      </c>
      <c r="C193" s="230">
        <v>5860260.5324035706</v>
      </c>
      <c r="D193" s="230">
        <v>43816475</v>
      </c>
      <c r="E193" s="230">
        <v>51426735.532403573</v>
      </c>
    </row>
    <row r="194" spans="1:5" s="417" customFormat="1" x14ac:dyDescent="0.25">
      <c r="A194" s="227" t="s">
        <v>196</v>
      </c>
      <c r="B194" s="230"/>
      <c r="C194" s="230"/>
      <c r="D194" s="230">
        <v>21754000</v>
      </c>
      <c r="E194" s="230">
        <v>21754000</v>
      </c>
    </row>
    <row r="195" spans="1:5" s="417" customFormat="1" x14ac:dyDescent="0.25">
      <c r="A195" s="227" t="s">
        <v>194</v>
      </c>
      <c r="B195" s="230"/>
      <c r="C195" s="230"/>
      <c r="D195" s="230">
        <v>7923100</v>
      </c>
      <c r="E195" s="230">
        <v>7923100</v>
      </c>
    </row>
    <row r="196" spans="1:5" s="417" customFormat="1" x14ac:dyDescent="0.25">
      <c r="A196" s="227" t="s">
        <v>195</v>
      </c>
      <c r="B196" s="230"/>
      <c r="C196" s="230"/>
      <c r="D196" s="230">
        <v>7659375</v>
      </c>
      <c r="E196" s="230">
        <v>7659375</v>
      </c>
    </row>
    <row r="197" spans="1:5" s="417" customFormat="1" x14ac:dyDescent="0.25">
      <c r="A197" s="227" t="s">
        <v>198</v>
      </c>
      <c r="B197" s="230"/>
      <c r="C197" s="230"/>
      <c r="D197" s="230">
        <v>6480000</v>
      </c>
      <c r="E197" s="230">
        <v>6480000</v>
      </c>
    </row>
    <row r="198" spans="1:5" s="417" customFormat="1" x14ac:dyDescent="0.25">
      <c r="A198" s="227" t="s">
        <v>202</v>
      </c>
      <c r="B198" s="230"/>
      <c r="C198" s="230">
        <v>5860260.5324035706</v>
      </c>
      <c r="D198" s="230"/>
      <c r="E198" s="230">
        <v>5860260.5324035706</v>
      </c>
    </row>
    <row r="199" spans="1:5" s="417" customFormat="1" x14ac:dyDescent="0.25">
      <c r="A199" s="227" t="s">
        <v>204</v>
      </c>
      <c r="B199" s="230">
        <v>1750000</v>
      </c>
      <c r="C199" s="230"/>
      <c r="D199" s="230"/>
      <c r="E199" s="230">
        <v>1750000</v>
      </c>
    </row>
    <row r="200" spans="1:5" s="417" customFormat="1" x14ac:dyDescent="0.25">
      <c r="A200" s="227" t="s">
        <v>125</v>
      </c>
      <c r="B200" s="230">
        <v>1750000</v>
      </c>
      <c r="C200" s="230">
        <v>2572668.3236399</v>
      </c>
      <c r="D200" s="230">
        <v>30885819</v>
      </c>
      <c r="E200" s="230">
        <v>35208487.323639899</v>
      </c>
    </row>
    <row r="201" spans="1:5" s="417" customFormat="1" x14ac:dyDescent="0.25">
      <c r="A201" s="227" t="s">
        <v>195</v>
      </c>
      <c r="B201" s="230"/>
      <c r="C201" s="230"/>
      <c r="D201" s="230">
        <v>18534075</v>
      </c>
      <c r="E201" s="230">
        <v>18534075</v>
      </c>
    </row>
    <row r="202" spans="1:5" s="417" customFormat="1" x14ac:dyDescent="0.25">
      <c r="A202" s="227" t="s">
        <v>196</v>
      </c>
      <c r="B202" s="230"/>
      <c r="C202" s="230"/>
      <c r="D202" s="230">
        <v>9103500</v>
      </c>
      <c r="E202" s="230">
        <v>9103500</v>
      </c>
    </row>
    <row r="203" spans="1:5" s="417" customFormat="1" x14ac:dyDescent="0.25">
      <c r="A203" s="227" t="s">
        <v>202</v>
      </c>
      <c r="B203" s="230"/>
      <c r="C203" s="230">
        <v>2572668.3236399</v>
      </c>
      <c r="D203" s="230"/>
      <c r="E203" s="230">
        <v>2572668.3236399</v>
      </c>
    </row>
    <row r="204" spans="1:5" s="417" customFormat="1" x14ac:dyDescent="0.25">
      <c r="A204" s="227" t="s">
        <v>198</v>
      </c>
      <c r="B204" s="230"/>
      <c r="C204" s="230"/>
      <c r="D204" s="230">
        <v>1800000</v>
      </c>
      <c r="E204" s="230">
        <v>1800000</v>
      </c>
    </row>
    <row r="205" spans="1:5" s="417" customFormat="1" x14ac:dyDescent="0.25">
      <c r="A205" s="227" t="s">
        <v>204</v>
      </c>
      <c r="B205" s="230">
        <v>1750000</v>
      </c>
      <c r="C205" s="230"/>
      <c r="D205" s="230"/>
      <c r="E205" s="230">
        <v>1750000</v>
      </c>
    </row>
    <row r="206" spans="1:5" s="417" customFormat="1" x14ac:dyDescent="0.25">
      <c r="A206" s="227" t="s">
        <v>194</v>
      </c>
      <c r="B206" s="230"/>
      <c r="C206" s="230"/>
      <c r="D206" s="230">
        <v>1448244</v>
      </c>
      <c r="E206" s="230">
        <v>1448244</v>
      </c>
    </row>
    <row r="207" spans="1:5" s="417" customFormat="1" x14ac:dyDescent="0.25">
      <c r="A207" s="227" t="s">
        <v>131</v>
      </c>
      <c r="B207" s="230">
        <v>22062783.880710952</v>
      </c>
      <c r="C207" s="230">
        <v>2016163.5156622401</v>
      </c>
      <c r="D207" s="230"/>
      <c r="E207" s="230">
        <v>24078947.396373194</v>
      </c>
    </row>
    <row r="208" spans="1:5" s="417" customFormat="1" x14ac:dyDescent="0.25">
      <c r="A208" s="195" t="s">
        <v>204</v>
      </c>
      <c r="B208" s="211">
        <v>22062783.880710952</v>
      </c>
      <c r="C208" s="211"/>
      <c r="D208" s="211"/>
      <c r="E208" s="211">
        <v>22062783.880710952</v>
      </c>
    </row>
    <row r="209" spans="1:5" s="417" customFormat="1" x14ac:dyDescent="0.25">
      <c r="A209" s="227" t="s">
        <v>202</v>
      </c>
      <c r="B209" s="230"/>
      <c r="C209" s="230">
        <v>2016163.5156622401</v>
      </c>
      <c r="D209" s="230"/>
      <c r="E209" s="230">
        <v>2016163.5156622401</v>
      </c>
    </row>
    <row r="210" spans="1:5" s="417" customFormat="1" x14ac:dyDescent="0.25">
      <c r="A210" s="227" t="s">
        <v>124</v>
      </c>
      <c r="B210" s="230">
        <v>7830000</v>
      </c>
      <c r="C210" s="230">
        <v>810000</v>
      </c>
      <c r="D210" s="230"/>
      <c r="E210" s="230">
        <v>8640000</v>
      </c>
    </row>
    <row r="211" spans="1:5" s="417" customFormat="1" x14ac:dyDescent="0.25">
      <c r="A211" s="227" t="s">
        <v>204</v>
      </c>
      <c r="B211" s="230">
        <v>5400000</v>
      </c>
      <c r="C211" s="230"/>
      <c r="D211" s="230"/>
      <c r="E211" s="230">
        <v>5400000</v>
      </c>
    </row>
    <row r="212" spans="1:5" s="417" customFormat="1" x14ac:dyDescent="0.25">
      <c r="A212" s="227" t="s">
        <v>205</v>
      </c>
      <c r="B212" s="230">
        <v>2430000</v>
      </c>
      <c r="C212" s="230"/>
      <c r="D212" s="230"/>
      <c r="E212" s="230">
        <v>2430000</v>
      </c>
    </row>
    <row r="213" spans="1:5" s="417" customFormat="1" x14ac:dyDescent="0.25">
      <c r="A213" s="227" t="s">
        <v>201</v>
      </c>
      <c r="B213" s="230"/>
      <c r="C213" s="230">
        <v>810000</v>
      </c>
      <c r="D213" s="230"/>
      <c r="E213" s="230">
        <v>810000</v>
      </c>
    </row>
    <row r="214" spans="1:5" s="417" customFormat="1" x14ac:dyDescent="0.25">
      <c r="A214" s="227" t="s">
        <v>122</v>
      </c>
      <c r="B214" s="230">
        <v>4430000</v>
      </c>
      <c r="C214" s="230"/>
      <c r="D214" s="230"/>
      <c r="E214" s="230">
        <v>4430000</v>
      </c>
    </row>
    <row r="215" spans="1:5" s="417" customFormat="1" x14ac:dyDescent="0.25">
      <c r="A215" s="227" t="s">
        <v>205</v>
      </c>
      <c r="B215" s="230">
        <v>2450000</v>
      </c>
      <c r="C215" s="230"/>
      <c r="D215" s="230"/>
      <c r="E215" s="230">
        <v>2450000</v>
      </c>
    </row>
    <row r="216" spans="1:5" s="417" customFormat="1" x14ac:dyDescent="0.25">
      <c r="A216" s="227" t="s">
        <v>195</v>
      </c>
      <c r="B216" s="230">
        <v>1260000</v>
      </c>
      <c r="C216" s="230"/>
      <c r="D216" s="230"/>
      <c r="E216" s="230">
        <v>1260000</v>
      </c>
    </row>
    <row r="217" spans="1:5" x14ac:dyDescent="0.25">
      <c r="A217" s="227" t="s">
        <v>204</v>
      </c>
      <c r="B217" s="230">
        <v>720000</v>
      </c>
      <c r="C217" s="230"/>
      <c r="D217" s="230"/>
      <c r="E217" s="230">
        <v>720000</v>
      </c>
    </row>
    <row r="218" spans="1:5" x14ac:dyDescent="0.25">
      <c r="A218" s="227" t="s">
        <v>128</v>
      </c>
      <c r="B218" s="230">
        <v>1620000</v>
      </c>
      <c r="C218" s="230">
        <v>180000</v>
      </c>
      <c r="D218" s="230"/>
      <c r="E218" s="230">
        <v>1800000</v>
      </c>
    </row>
    <row r="219" spans="1:5" x14ac:dyDescent="0.25">
      <c r="A219" s="227" t="s">
        <v>205</v>
      </c>
      <c r="B219" s="230">
        <v>1620000</v>
      </c>
      <c r="C219" s="230"/>
      <c r="D219" s="230"/>
      <c r="E219" s="230">
        <v>1620000</v>
      </c>
    </row>
    <row r="220" spans="1:5" x14ac:dyDescent="0.25">
      <c r="A220" s="195" t="s">
        <v>201</v>
      </c>
      <c r="B220" s="211"/>
      <c r="C220" s="211">
        <v>180000</v>
      </c>
      <c r="D220" s="211"/>
      <c r="E220" s="211">
        <v>180000</v>
      </c>
    </row>
    <row r="221" spans="1:5" x14ac:dyDescent="0.25">
      <c r="A221" s="227" t="s">
        <v>121</v>
      </c>
      <c r="B221" s="230">
        <v>750000</v>
      </c>
      <c r="C221" s="230">
        <v>370000</v>
      </c>
      <c r="D221" s="230"/>
      <c r="E221" s="230">
        <v>1120000</v>
      </c>
    </row>
    <row r="222" spans="1:5" x14ac:dyDescent="0.25">
      <c r="A222" s="227" t="s">
        <v>195</v>
      </c>
      <c r="B222" s="230">
        <v>750000</v>
      </c>
      <c r="C222" s="230"/>
      <c r="D222" s="230"/>
      <c r="E222" s="230">
        <v>750000</v>
      </c>
    </row>
    <row r="223" spans="1:5" x14ac:dyDescent="0.25">
      <c r="A223" s="227" t="s">
        <v>202</v>
      </c>
      <c r="B223" s="230"/>
      <c r="C223" s="230">
        <v>370000</v>
      </c>
      <c r="D223" s="230"/>
      <c r="E223" s="230">
        <v>370000</v>
      </c>
    </row>
    <row r="224" spans="1:5" x14ac:dyDescent="0.25">
      <c r="A224" s="227" t="s">
        <v>127</v>
      </c>
      <c r="B224" s="230"/>
      <c r="C224" s="230">
        <v>349608.48124971718</v>
      </c>
      <c r="D224" s="230"/>
      <c r="E224" s="230">
        <v>349608.48124971718</v>
      </c>
    </row>
    <row r="225" spans="1:5" x14ac:dyDescent="0.25">
      <c r="A225" s="227" t="s">
        <v>202</v>
      </c>
      <c r="B225" s="230"/>
      <c r="C225" s="230">
        <v>349608.48124971718</v>
      </c>
      <c r="D225" s="230"/>
      <c r="E225" s="230">
        <v>349608.48124971718</v>
      </c>
    </row>
    <row r="226" spans="1:5" x14ac:dyDescent="0.25">
      <c r="A226" s="227" t="s">
        <v>141</v>
      </c>
      <c r="B226" s="211">
        <v>63141660.130710952</v>
      </c>
      <c r="C226" s="211">
        <v>422957519.64212203</v>
      </c>
      <c r="D226" s="211">
        <v>833239396</v>
      </c>
      <c r="E226" s="211">
        <v>1319338575.7728329</v>
      </c>
    </row>
    <row r="228" spans="1:5" s="417" customFormat="1" x14ac:dyDescent="0.25">
      <c r="A228" s="394" t="s">
        <v>142</v>
      </c>
      <c r="B228" s="825" t="s">
        <v>137</v>
      </c>
      <c r="C228" s="825"/>
      <c r="D228" s="825"/>
      <c r="E228" s="825"/>
    </row>
    <row r="229" spans="1:5" s="417" customFormat="1" x14ac:dyDescent="0.25">
      <c r="A229" s="329"/>
      <c r="B229" s="825"/>
      <c r="C229" s="825"/>
      <c r="D229" s="825"/>
      <c r="E229" s="825"/>
    </row>
    <row r="230" spans="1:5" s="417" customFormat="1" hidden="1" x14ac:dyDescent="0.25">
      <c r="A230" s="394" t="s">
        <v>234</v>
      </c>
      <c r="B230" s="193" t="s">
        <v>144</v>
      </c>
      <c r="C230" s="825"/>
      <c r="D230" s="825"/>
      <c r="E230" s="825"/>
    </row>
    <row r="231" spans="1:5" s="213" customFormat="1" ht="14.95" customHeight="1" x14ac:dyDescent="0.25">
      <c r="A231" s="330" t="s">
        <v>356</v>
      </c>
      <c r="B231" s="213" t="s">
        <v>203</v>
      </c>
      <c r="C231" s="213" t="s">
        <v>199</v>
      </c>
      <c r="D231" s="213" t="s">
        <v>193</v>
      </c>
      <c r="E231" s="329" t="s">
        <v>141</v>
      </c>
    </row>
    <row r="232" spans="1:5" s="417" customFormat="1" ht="31.25" x14ac:dyDescent="0.25">
      <c r="A232" s="227" t="s">
        <v>129</v>
      </c>
      <c r="B232" s="211">
        <v>250000</v>
      </c>
      <c r="C232" s="211">
        <v>6973395.8940466996</v>
      </c>
      <c r="D232" s="211">
        <v>289283220.80799997</v>
      </c>
      <c r="E232" s="211">
        <v>296506616.70204669</v>
      </c>
    </row>
    <row r="233" spans="1:5" s="417" customFormat="1" x14ac:dyDescent="0.25">
      <c r="A233" s="227" t="s">
        <v>195</v>
      </c>
      <c r="B233" s="211"/>
      <c r="C233" s="211"/>
      <c r="D233" s="211">
        <v>101739075</v>
      </c>
      <c r="E233" s="211">
        <v>101739075</v>
      </c>
    </row>
    <row r="234" spans="1:5" s="417" customFormat="1" x14ac:dyDescent="0.25">
      <c r="A234" s="227" t="s">
        <v>194</v>
      </c>
      <c r="B234" s="211"/>
      <c r="C234" s="211"/>
      <c r="D234" s="211">
        <v>94510398</v>
      </c>
      <c r="E234" s="211">
        <v>94510398</v>
      </c>
    </row>
    <row r="235" spans="1:5" s="417" customFormat="1" x14ac:dyDescent="0.25">
      <c r="A235" s="227" t="s">
        <v>196</v>
      </c>
      <c r="B235" s="211"/>
      <c r="C235" s="211"/>
      <c r="D235" s="211">
        <v>65995860</v>
      </c>
      <c r="E235" s="211">
        <v>65995860</v>
      </c>
    </row>
    <row r="236" spans="1:5" s="417" customFormat="1" x14ac:dyDescent="0.25">
      <c r="A236" s="227" t="s">
        <v>197</v>
      </c>
      <c r="B236" s="211"/>
      <c r="C236" s="211"/>
      <c r="D236" s="211">
        <v>25837887.807999998</v>
      </c>
      <c r="E236" s="211">
        <v>25837887.807999998</v>
      </c>
    </row>
    <row r="237" spans="1:5" s="417" customFormat="1" x14ac:dyDescent="0.25">
      <c r="A237" s="227" t="s">
        <v>202</v>
      </c>
      <c r="B237" s="211"/>
      <c r="C237" s="211">
        <v>6973395.8940466996</v>
      </c>
      <c r="D237" s="211"/>
      <c r="E237" s="211">
        <v>6973395.8940466996</v>
      </c>
    </row>
    <row r="238" spans="1:5" s="417" customFormat="1" x14ac:dyDescent="0.25">
      <c r="A238" s="227" t="s">
        <v>198</v>
      </c>
      <c r="B238" s="211"/>
      <c r="C238" s="211"/>
      <c r="D238" s="211">
        <v>1200000</v>
      </c>
      <c r="E238" s="211">
        <v>1200000</v>
      </c>
    </row>
    <row r="239" spans="1:5" s="417" customFormat="1" x14ac:dyDescent="0.25">
      <c r="A239" s="227" t="s">
        <v>204</v>
      </c>
      <c r="B239" s="211">
        <v>250000</v>
      </c>
      <c r="C239" s="211"/>
      <c r="D239" s="211"/>
      <c r="E239" s="211">
        <v>250000</v>
      </c>
    </row>
    <row r="240" spans="1:5" s="417" customFormat="1" x14ac:dyDescent="0.25">
      <c r="A240" s="227" t="s">
        <v>123</v>
      </c>
      <c r="B240" s="211">
        <v>400225</v>
      </c>
      <c r="C240" s="211">
        <v>66785375.000000007</v>
      </c>
      <c r="D240" s="211">
        <v>420000</v>
      </c>
      <c r="E240" s="211">
        <v>67605600</v>
      </c>
    </row>
    <row r="241" spans="1:5" s="417" customFormat="1" x14ac:dyDescent="0.25">
      <c r="A241" s="227" t="s">
        <v>200</v>
      </c>
      <c r="B241" s="211"/>
      <c r="C241" s="211">
        <v>38320000.000000007</v>
      </c>
      <c r="D241" s="211"/>
      <c r="E241" s="211">
        <v>38320000.000000007</v>
      </c>
    </row>
    <row r="242" spans="1:5" s="417" customFormat="1" x14ac:dyDescent="0.25">
      <c r="A242" s="414" t="s">
        <v>276</v>
      </c>
      <c r="B242" s="211"/>
      <c r="C242" s="211">
        <v>38320000.000000007</v>
      </c>
      <c r="D242" s="211"/>
      <c r="E242" s="211">
        <v>38320000.000000007</v>
      </c>
    </row>
    <row r="243" spans="1:5" s="417" customFormat="1" x14ac:dyDescent="0.25">
      <c r="A243" s="227" t="s">
        <v>201</v>
      </c>
      <c r="B243" s="211"/>
      <c r="C243" s="211">
        <v>28227875</v>
      </c>
      <c r="D243" s="211"/>
      <c r="E243" s="211">
        <v>28227875</v>
      </c>
    </row>
    <row r="244" spans="1:5" s="417" customFormat="1" x14ac:dyDescent="0.25">
      <c r="A244" s="227" t="s">
        <v>204</v>
      </c>
      <c r="B244" s="211">
        <v>400225</v>
      </c>
      <c r="C244" s="211"/>
      <c r="D244" s="211"/>
      <c r="E244" s="211">
        <v>400225</v>
      </c>
    </row>
    <row r="245" spans="1:5" s="417" customFormat="1" x14ac:dyDescent="0.25">
      <c r="A245" s="227" t="s">
        <v>197</v>
      </c>
      <c r="B245" s="211"/>
      <c r="C245" s="211"/>
      <c r="D245" s="211">
        <v>375000</v>
      </c>
      <c r="E245" s="211">
        <v>375000</v>
      </c>
    </row>
    <row r="246" spans="1:5" s="417" customFormat="1" x14ac:dyDescent="0.25">
      <c r="A246" s="227" t="s">
        <v>202</v>
      </c>
      <c r="B246" s="211"/>
      <c r="C246" s="211">
        <v>237500</v>
      </c>
      <c r="D246" s="211"/>
      <c r="E246" s="211">
        <v>237500</v>
      </c>
    </row>
    <row r="247" spans="1:5" s="417" customFormat="1" x14ac:dyDescent="0.25">
      <c r="A247" s="227" t="s">
        <v>194</v>
      </c>
      <c r="B247" s="211"/>
      <c r="C247" s="211"/>
      <c r="D247" s="211">
        <v>45000</v>
      </c>
      <c r="E247" s="211">
        <v>45000</v>
      </c>
    </row>
    <row r="248" spans="1:5" s="417" customFormat="1" x14ac:dyDescent="0.25">
      <c r="A248" s="227" t="s">
        <v>138</v>
      </c>
      <c r="B248" s="211">
        <v>56825000</v>
      </c>
      <c r="C248" s="211">
        <v>340000</v>
      </c>
      <c r="D248" s="211"/>
      <c r="E248" s="211">
        <v>57165000</v>
      </c>
    </row>
    <row r="249" spans="1:5" s="417" customFormat="1" x14ac:dyDescent="0.25">
      <c r="A249" s="227" t="s">
        <v>204</v>
      </c>
      <c r="B249" s="211">
        <v>55000000</v>
      </c>
      <c r="C249" s="211"/>
      <c r="D249" s="211"/>
      <c r="E249" s="211">
        <v>55000000</v>
      </c>
    </row>
    <row r="250" spans="1:5" s="417" customFormat="1" x14ac:dyDescent="0.25">
      <c r="A250" s="227" t="s">
        <v>195</v>
      </c>
      <c r="B250" s="211">
        <v>1000000</v>
      </c>
      <c r="C250" s="211"/>
      <c r="D250" s="211"/>
      <c r="E250" s="211">
        <v>1000000</v>
      </c>
    </row>
    <row r="251" spans="1:5" s="417" customFormat="1" x14ac:dyDescent="0.25">
      <c r="A251" s="227" t="s">
        <v>205</v>
      </c>
      <c r="B251" s="211">
        <v>825000</v>
      </c>
      <c r="C251" s="211"/>
      <c r="D251" s="211"/>
      <c r="E251" s="211">
        <v>825000</v>
      </c>
    </row>
    <row r="252" spans="1:5" s="417" customFormat="1" x14ac:dyDescent="0.25">
      <c r="A252" s="227" t="s">
        <v>201</v>
      </c>
      <c r="B252" s="211"/>
      <c r="C252" s="211">
        <v>240000</v>
      </c>
      <c r="D252" s="211"/>
      <c r="E252" s="211">
        <v>240000</v>
      </c>
    </row>
    <row r="253" spans="1:5" s="417" customFormat="1" x14ac:dyDescent="0.25">
      <c r="A253" s="227" t="s">
        <v>202</v>
      </c>
      <c r="B253" s="211"/>
      <c r="C253" s="211">
        <v>100000</v>
      </c>
      <c r="D253" s="211"/>
      <c r="E253" s="211">
        <v>100000</v>
      </c>
    </row>
    <row r="254" spans="1:5" s="417" customFormat="1" x14ac:dyDescent="0.25">
      <c r="A254" s="227" t="s">
        <v>136</v>
      </c>
      <c r="B254" s="211"/>
      <c r="C254" s="211">
        <v>1165126.5258785102</v>
      </c>
      <c r="D254" s="211">
        <v>26938149.999999996</v>
      </c>
      <c r="E254" s="211">
        <v>28103276.525878508</v>
      </c>
    </row>
    <row r="255" spans="1:5" s="417" customFormat="1" x14ac:dyDescent="0.25">
      <c r="A255" s="227" t="s">
        <v>195</v>
      </c>
      <c r="B255" s="211"/>
      <c r="C255" s="211"/>
      <c r="D255" s="211">
        <v>26077349.999999996</v>
      </c>
      <c r="E255" s="211">
        <v>26077349.999999996</v>
      </c>
    </row>
    <row r="256" spans="1:5" s="417" customFormat="1" x14ac:dyDescent="0.25">
      <c r="A256" s="227" t="s">
        <v>202</v>
      </c>
      <c r="B256" s="211"/>
      <c r="C256" s="211">
        <v>1165126.5258785102</v>
      </c>
      <c r="D256" s="211"/>
      <c r="E256" s="211">
        <v>1165126.5258785102</v>
      </c>
    </row>
    <row r="257" spans="1:5" s="417" customFormat="1" x14ac:dyDescent="0.25">
      <c r="A257" s="227" t="s">
        <v>197</v>
      </c>
      <c r="B257" s="211"/>
      <c r="C257" s="211"/>
      <c r="D257" s="211">
        <v>860800</v>
      </c>
      <c r="E257" s="211">
        <v>860800</v>
      </c>
    </row>
    <row r="258" spans="1:5" s="417" customFormat="1" x14ac:dyDescent="0.25">
      <c r="A258" s="227" t="s">
        <v>126</v>
      </c>
      <c r="B258" s="211">
        <v>250000</v>
      </c>
      <c r="C258" s="211">
        <v>463305.81406844506</v>
      </c>
      <c r="D258" s="211">
        <v>15094895</v>
      </c>
      <c r="E258" s="211">
        <v>15808200.814068446</v>
      </c>
    </row>
    <row r="259" spans="1:5" s="417" customFormat="1" x14ac:dyDescent="0.25">
      <c r="A259" s="227" t="s">
        <v>196</v>
      </c>
      <c r="B259" s="211"/>
      <c r="C259" s="211"/>
      <c r="D259" s="211">
        <v>6948000</v>
      </c>
      <c r="E259" s="211">
        <v>6948000</v>
      </c>
    </row>
    <row r="260" spans="1:5" s="417" customFormat="1" x14ac:dyDescent="0.25">
      <c r="A260" s="227" t="s">
        <v>198</v>
      </c>
      <c r="B260" s="211"/>
      <c r="C260" s="211"/>
      <c r="D260" s="211">
        <v>4800000</v>
      </c>
      <c r="E260" s="211">
        <v>4800000</v>
      </c>
    </row>
    <row r="261" spans="1:5" s="417" customFormat="1" x14ac:dyDescent="0.25">
      <c r="A261" s="227" t="s">
        <v>195</v>
      </c>
      <c r="B261" s="211"/>
      <c r="C261" s="211"/>
      <c r="D261" s="211">
        <v>1893075</v>
      </c>
      <c r="E261" s="211">
        <v>1893075</v>
      </c>
    </row>
    <row r="262" spans="1:5" s="417" customFormat="1" x14ac:dyDescent="0.25">
      <c r="A262" s="227" t="s">
        <v>194</v>
      </c>
      <c r="B262" s="211"/>
      <c r="C262" s="211"/>
      <c r="D262" s="211">
        <v>1453820.0000000002</v>
      </c>
      <c r="E262" s="211">
        <v>1453820.0000000002</v>
      </c>
    </row>
    <row r="263" spans="1:5" s="417" customFormat="1" x14ac:dyDescent="0.25">
      <c r="A263" s="227" t="s">
        <v>202</v>
      </c>
      <c r="B263" s="211"/>
      <c r="C263" s="211">
        <v>463305.81406844506</v>
      </c>
      <c r="D263" s="211"/>
      <c r="E263" s="211">
        <v>463305.81406844506</v>
      </c>
    </row>
    <row r="264" spans="1:5" s="417" customFormat="1" x14ac:dyDescent="0.25">
      <c r="A264" s="227" t="s">
        <v>204</v>
      </c>
      <c r="B264" s="211">
        <v>250000</v>
      </c>
      <c r="C264" s="211"/>
      <c r="D264" s="211"/>
      <c r="E264" s="211">
        <v>250000</v>
      </c>
    </row>
    <row r="265" spans="1:5" s="417" customFormat="1" x14ac:dyDescent="0.25">
      <c r="A265" s="227" t="s">
        <v>125</v>
      </c>
      <c r="B265" s="211">
        <v>250000</v>
      </c>
      <c r="C265" s="211">
        <v>95985.4989476232</v>
      </c>
      <c r="D265" s="211">
        <v>6342025</v>
      </c>
      <c r="E265" s="211">
        <v>6688010.4989476232</v>
      </c>
    </row>
    <row r="266" spans="1:5" s="417" customFormat="1" x14ac:dyDescent="0.25">
      <c r="A266" s="227" t="s">
        <v>195</v>
      </c>
      <c r="B266" s="211"/>
      <c r="C266" s="211"/>
      <c r="D266" s="211">
        <v>3176625</v>
      </c>
      <c r="E266" s="211">
        <v>3176625</v>
      </c>
    </row>
    <row r="267" spans="1:5" s="417" customFormat="1" x14ac:dyDescent="0.25">
      <c r="A267" s="227" t="s">
        <v>196</v>
      </c>
      <c r="B267" s="211"/>
      <c r="C267" s="211"/>
      <c r="D267" s="211">
        <v>1689600.0000000002</v>
      </c>
      <c r="E267" s="211">
        <v>1689600.0000000002</v>
      </c>
    </row>
    <row r="268" spans="1:5" s="417" customFormat="1" x14ac:dyDescent="0.25">
      <c r="A268" s="227" t="s">
        <v>198</v>
      </c>
      <c r="B268" s="211"/>
      <c r="C268" s="211"/>
      <c r="D268" s="211">
        <v>1200000</v>
      </c>
      <c r="E268" s="211">
        <v>1200000</v>
      </c>
    </row>
    <row r="269" spans="1:5" s="417" customFormat="1" x14ac:dyDescent="0.25">
      <c r="A269" s="227" t="s">
        <v>194</v>
      </c>
      <c r="B269" s="211"/>
      <c r="C269" s="211"/>
      <c r="D269" s="211">
        <v>275800</v>
      </c>
      <c r="E269" s="211">
        <v>275800</v>
      </c>
    </row>
    <row r="270" spans="1:5" s="417" customFormat="1" x14ac:dyDescent="0.25">
      <c r="A270" s="227" t="s">
        <v>204</v>
      </c>
      <c r="B270" s="211">
        <v>250000</v>
      </c>
      <c r="C270" s="211"/>
      <c r="D270" s="211"/>
      <c r="E270" s="211">
        <v>250000</v>
      </c>
    </row>
    <row r="271" spans="1:5" s="417" customFormat="1" x14ac:dyDescent="0.25">
      <c r="A271" s="227" t="s">
        <v>202</v>
      </c>
      <c r="B271" s="211"/>
      <c r="C271" s="211">
        <v>95985.4989476232</v>
      </c>
      <c r="D271" s="211"/>
      <c r="E271" s="211">
        <v>95985.4989476232</v>
      </c>
    </row>
    <row r="272" spans="1:5" s="417" customFormat="1" x14ac:dyDescent="0.25">
      <c r="A272" s="227" t="s">
        <v>122</v>
      </c>
      <c r="B272" s="211">
        <v>2730000</v>
      </c>
      <c r="C272" s="211"/>
      <c r="D272" s="211"/>
      <c r="E272" s="211">
        <v>2730000</v>
      </c>
    </row>
    <row r="273" spans="1:5" s="417" customFormat="1" x14ac:dyDescent="0.25">
      <c r="A273" s="227" t="s">
        <v>205</v>
      </c>
      <c r="B273" s="211">
        <v>1200000</v>
      </c>
      <c r="C273" s="211"/>
      <c r="D273" s="211"/>
      <c r="E273" s="211">
        <v>1200000</v>
      </c>
    </row>
    <row r="274" spans="1:5" s="417" customFormat="1" x14ac:dyDescent="0.25">
      <c r="A274" s="227" t="s">
        <v>195</v>
      </c>
      <c r="B274" s="211">
        <v>1050000</v>
      </c>
      <c r="C274" s="211"/>
      <c r="D274" s="211"/>
      <c r="E274" s="211">
        <v>1050000</v>
      </c>
    </row>
    <row r="275" spans="1:5" s="417" customFormat="1" x14ac:dyDescent="0.25">
      <c r="A275" s="227" t="s">
        <v>204</v>
      </c>
      <c r="B275" s="211">
        <v>480000</v>
      </c>
      <c r="C275" s="211"/>
      <c r="D275" s="211"/>
      <c r="E275" s="211">
        <v>480000</v>
      </c>
    </row>
    <row r="276" spans="1:5" s="417" customFormat="1" x14ac:dyDescent="0.25">
      <c r="A276" s="227" t="s">
        <v>131</v>
      </c>
      <c r="B276" s="211">
        <v>2140647.1721468801</v>
      </c>
      <c r="C276" s="211">
        <v>388741.58619903837</v>
      </c>
      <c r="D276" s="211"/>
      <c r="E276" s="211">
        <v>2529388.7583459183</v>
      </c>
    </row>
    <row r="277" spans="1:5" s="417" customFormat="1" x14ac:dyDescent="0.25">
      <c r="A277" s="195" t="s">
        <v>204</v>
      </c>
      <c r="B277" s="211">
        <v>2140647.1721468801</v>
      </c>
      <c r="C277" s="211"/>
      <c r="D277" s="211"/>
      <c r="E277" s="211">
        <v>2140647.1721468801</v>
      </c>
    </row>
    <row r="278" spans="1:5" s="417" customFormat="1" x14ac:dyDescent="0.25">
      <c r="A278" s="227" t="s">
        <v>202</v>
      </c>
      <c r="B278" s="211"/>
      <c r="C278" s="211">
        <v>388741.58619903837</v>
      </c>
      <c r="D278" s="211"/>
      <c r="E278" s="211">
        <v>388741.58619903837</v>
      </c>
    </row>
    <row r="279" spans="1:5" s="417" customFormat="1" x14ac:dyDescent="0.25">
      <c r="A279" s="227" t="s">
        <v>121</v>
      </c>
      <c r="B279" s="211">
        <v>450000</v>
      </c>
      <c r="C279" s="211">
        <v>450000</v>
      </c>
      <c r="D279" s="211"/>
      <c r="E279" s="211">
        <v>900000</v>
      </c>
    </row>
    <row r="280" spans="1:5" x14ac:dyDescent="0.25">
      <c r="A280" s="227" t="s">
        <v>202</v>
      </c>
      <c r="B280" s="211"/>
      <c r="C280" s="211">
        <v>450000</v>
      </c>
      <c r="D280" s="211"/>
      <c r="E280" s="211">
        <v>450000</v>
      </c>
    </row>
    <row r="281" spans="1:5" x14ac:dyDescent="0.25">
      <c r="A281" s="227" t="s">
        <v>195</v>
      </c>
      <c r="B281" s="211">
        <v>450000</v>
      </c>
      <c r="C281" s="211"/>
      <c r="D281" s="211"/>
      <c r="E281" s="211">
        <v>450000</v>
      </c>
    </row>
    <row r="282" spans="1:5" x14ac:dyDescent="0.25">
      <c r="A282" s="227" t="s">
        <v>141</v>
      </c>
      <c r="B282" s="211">
        <v>63295872.172146879</v>
      </c>
      <c r="C282" s="211">
        <v>76661930.31914033</v>
      </c>
      <c r="D282" s="211">
        <v>338078290.80799997</v>
      </c>
      <c r="E282" s="211">
        <v>478036093.2992872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C000"/>
  </sheetPr>
  <dimension ref="A1:Z1006"/>
  <sheetViews>
    <sheetView showGridLines="0" topLeftCell="G16" zoomScale="69" zoomScaleNormal="69" workbookViewId="0">
      <selection activeCell="I48" sqref="I48"/>
    </sheetView>
  </sheetViews>
  <sheetFormatPr baseColWidth="10" defaultColWidth="11.19921875" defaultRowHeight="14.95" customHeight="1" x14ac:dyDescent="0.25"/>
  <cols>
    <col min="1" max="1" width="14.69921875" customWidth="1"/>
    <col min="2" max="2" width="4.19921875" customWidth="1"/>
    <col min="3" max="3" width="37.296875" customWidth="1"/>
    <col min="4" max="4" width="3.8984375" customWidth="1"/>
    <col min="5" max="5" width="37.296875" customWidth="1"/>
    <col min="6" max="6" width="5.8984375" customWidth="1"/>
    <col min="7" max="7" width="37.296875" customWidth="1"/>
    <col min="8" max="8" width="3.8984375" customWidth="1"/>
    <col min="9" max="9" width="37.296875" customWidth="1"/>
    <col min="10" max="10" width="5.8984375" customWidth="1"/>
    <col min="11" max="11" width="37.296875" customWidth="1"/>
    <col min="12" max="12" width="3.8984375" customWidth="1"/>
    <col min="13" max="13" width="37.296875" customWidth="1"/>
    <col min="14" max="14" width="5.8984375" customWidth="1"/>
    <col min="15" max="15" width="37.296875" customWidth="1"/>
    <col min="16" max="16" width="3.8984375" customWidth="1"/>
    <col min="17" max="17" width="37.296875" customWidth="1"/>
    <col min="18" max="19" width="10.796875" customWidth="1"/>
    <col min="20" max="20" width="20.796875" customWidth="1"/>
    <col min="21" max="26" width="10.796875" customWidth="1"/>
  </cols>
  <sheetData>
    <row r="1" spans="1:26" ht="55.2"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29.25" customHeight="1" x14ac:dyDescent="0.25">
      <c r="A3" s="1400" t="s">
        <v>388</v>
      </c>
      <c r="B3" s="1"/>
      <c r="C3" s="1401" t="s">
        <v>389</v>
      </c>
      <c r="D3" s="1397"/>
      <c r="E3" s="1397"/>
      <c r="F3" s="1397"/>
      <c r="G3" s="1397"/>
      <c r="H3" s="1397"/>
      <c r="I3" s="1397"/>
      <c r="J3" s="1397"/>
      <c r="K3" s="1397"/>
      <c r="L3" s="1397"/>
      <c r="M3" s="1397"/>
      <c r="N3" s="1397"/>
      <c r="O3" s="1397"/>
      <c r="P3" s="1397"/>
      <c r="Q3" s="1397"/>
      <c r="R3" s="1"/>
      <c r="S3" s="1"/>
      <c r="T3" s="1"/>
      <c r="U3" s="1"/>
      <c r="V3" s="1"/>
      <c r="W3" s="1"/>
      <c r="X3" s="1"/>
      <c r="Y3" s="1"/>
      <c r="Z3" s="1"/>
    </row>
    <row r="4" spans="1:26" ht="11.25" customHeight="1" x14ac:dyDescent="0.25">
      <c r="A4" s="1397"/>
      <c r="B4" s="1"/>
      <c r="C4" s="4"/>
      <c r="D4" s="1"/>
      <c r="E4" s="1"/>
      <c r="F4" s="1"/>
      <c r="G4" s="1"/>
      <c r="H4" s="1"/>
      <c r="I4" s="1"/>
      <c r="J4" s="1"/>
      <c r="K4" s="1"/>
      <c r="L4" s="1"/>
      <c r="M4" s="1"/>
      <c r="N4" s="1"/>
      <c r="O4" s="1"/>
      <c r="P4" s="1"/>
      <c r="Q4" s="1"/>
      <c r="R4" s="1"/>
      <c r="S4" s="1"/>
      <c r="T4" s="1"/>
      <c r="U4" s="1"/>
      <c r="V4" s="1"/>
      <c r="W4" s="1"/>
      <c r="X4" s="1"/>
      <c r="Y4" s="1"/>
      <c r="Z4" s="1"/>
    </row>
    <row r="5" spans="1:26" ht="51.8" customHeight="1" x14ac:dyDescent="0.25">
      <c r="A5" s="1397"/>
      <c r="B5" s="1"/>
      <c r="C5" s="1402" t="s">
        <v>390</v>
      </c>
      <c r="D5" s="1397"/>
      <c r="E5" s="1397"/>
      <c r="F5" s="1397"/>
      <c r="G5" s="1397"/>
      <c r="H5" s="1"/>
      <c r="I5" s="1402" t="s">
        <v>391</v>
      </c>
      <c r="J5" s="1397"/>
      <c r="K5" s="1397"/>
      <c r="L5" s="1"/>
      <c r="M5" s="1402" t="s">
        <v>392</v>
      </c>
      <c r="N5" s="1403"/>
      <c r="O5" s="1403"/>
      <c r="P5" s="1403"/>
      <c r="Q5" s="1403"/>
      <c r="R5" s="1"/>
      <c r="S5" s="1"/>
      <c r="T5" s="1"/>
      <c r="U5" s="1"/>
      <c r="V5" s="1"/>
      <c r="W5" s="1"/>
      <c r="X5" s="1"/>
      <c r="Y5" s="1"/>
      <c r="Z5" s="1"/>
    </row>
    <row r="6" spans="1:26" ht="11.25" customHeight="1" x14ac:dyDescent="0.25">
      <c r="A6" s="1397"/>
      <c r="B6" s="1"/>
      <c r="C6" s="4"/>
      <c r="D6" s="1"/>
      <c r="E6" s="1"/>
      <c r="F6" s="1"/>
      <c r="G6" s="1"/>
      <c r="H6" s="1"/>
      <c r="I6" s="1"/>
      <c r="J6" s="1"/>
      <c r="K6" s="1"/>
      <c r="L6" s="1"/>
      <c r="M6" s="1"/>
      <c r="N6" s="1"/>
      <c r="O6" s="1"/>
      <c r="P6" s="1"/>
      <c r="Q6" s="1"/>
      <c r="R6" s="1"/>
      <c r="S6" s="1"/>
      <c r="T6" s="1"/>
      <c r="U6" s="1"/>
      <c r="V6" s="1"/>
      <c r="W6" s="1"/>
      <c r="X6" s="1"/>
      <c r="Y6" s="1"/>
      <c r="Z6" s="1"/>
    </row>
    <row r="7" spans="1:26" ht="39.1" customHeight="1" x14ac:dyDescent="0.25">
      <c r="A7" s="1397"/>
      <c r="B7" s="1"/>
      <c r="C7" s="171" t="str">
        <f>'1.Metas Política SM'!E5</f>
        <v>Ubicar a la Región dentro de los 8 primeros puestos en Competitividad</v>
      </c>
      <c r="D7" s="1"/>
      <c r="E7" s="171" t="str">
        <f>'1.Metas Política SM'!E14</f>
        <v>Incrementar el rendimiento promedio regional a 2.5 t  de cacao por hectárea.</v>
      </c>
      <c r="F7" s="1"/>
      <c r="G7" s="171" t="str">
        <f>'1.Metas Política SM'!E24</f>
        <v>Incrementar el rendimiento promedio regional a 40 t de naranja por hectárea.</v>
      </c>
      <c r="H7" s="1"/>
      <c r="I7" s="172" t="str">
        <f>'1.Metas Política SM'!E36</f>
        <v xml:space="preserve">Reducir la Tasa deforestación a menos de 4,800 hectáreas por año </v>
      </c>
      <c r="J7" s="1"/>
      <c r="K7" s="172" t="str">
        <f>'1.Metas Política SM'!E45</f>
        <v>Incrementar a 24 el número de unidades hidrográficas que implementen alguna modalidad de gestión sostenible</v>
      </c>
      <c r="L7" s="1"/>
      <c r="M7" s="171" t="str">
        <f>+'1.Metas Política SM'!E49</f>
        <v>Ubicar a San Martín dentro de las 9 regiones con mayor Indice de Desarrollo Humano Sostenible</v>
      </c>
      <c r="N7" s="366"/>
      <c r="O7" s="171" t="str">
        <f>'1.Metas Política SM'!E61</f>
        <v>Incrementar a 99% el acceso al servicio de energía eléctrica</v>
      </c>
      <c r="P7" s="366"/>
      <c r="Q7" s="171" t="e">
        <f>'1.Metas Política SM'!#REF!</f>
        <v>#REF!</v>
      </c>
      <c r="R7" s="1"/>
      <c r="S7" s="1"/>
      <c r="T7" s="1"/>
      <c r="U7" s="1"/>
      <c r="V7" s="1"/>
      <c r="W7" s="1"/>
      <c r="X7" s="1"/>
      <c r="Y7" s="1"/>
      <c r="Z7" s="1"/>
    </row>
    <row r="8" spans="1:26" ht="11.25" customHeight="1" x14ac:dyDescent="0.25">
      <c r="A8" s="1397"/>
      <c r="B8" s="1"/>
      <c r="C8" s="1"/>
      <c r="D8" s="1"/>
      <c r="E8" s="1"/>
      <c r="F8" s="1"/>
      <c r="G8" s="1"/>
      <c r="H8" s="1"/>
      <c r="I8" s="1"/>
      <c r="J8" s="1"/>
      <c r="K8" s="1"/>
      <c r="L8" s="1"/>
      <c r="M8" s="366"/>
      <c r="N8" s="366"/>
      <c r="O8" s="366"/>
      <c r="P8" s="366"/>
      <c r="Q8" s="366"/>
      <c r="R8" s="1"/>
      <c r="S8" s="1"/>
      <c r="T8" s="1"/>
      <c r="U8" s="1"/>
      <c r="V8" s="1"/>
      <c r="W8" s="1"/>
      <c r="X8" s="1"/>
      <c r="Y8" s="1"/>
      <c r="Z8" s="1"/>
    </row>
    <row r="9" spans="1:26" ht="27.7" customHeight="1" x14ac:dyDescent="0.25">
      <c r="A9" s="1397"/>
      <c r="B9" s="1"/>
      <c r="C9" s="171" t="str">
        <f>'1.Metas Política SM'!E7</f>
        <v>Incrementar a 147.4 millones de dólares las exportaciones de la región San Martín</v>
      </c>
      <c r="D9" s="1"/>
      <c r="E9" s="171" t="str">
        <f>'1.Metas Política SM'!E16</f>
        <v>Incrementar el  rendimiento promedio regional a 8 t de maíz por hectárea.</v>
      </c>
      <c r="F9" s="1"/>
      <c r="G9" s="171" t="str">
        <f>'1.Metas Política SM'!E25</f>
        <v>Incrementar el rendimiento promedio regional a 20 t de limón tahití por hectárea.</v>
      </c>
      <c r="H9" s="1"/>
      <c r="I9" s="172" t="str">
        <f>'1.Metas Política SM'!E39</f>
        <v>Restaurar 299,566 ha. de paisajes forestales.</v>
      </c>
      <c r="J9" s="1"/>
      <c r="K9" s="172" t="str">
        <f>'1.Metas Política SM'!E35</f>
        <v>Reducir en un 15 % la emisión de GEI en el sector USSCUS</v>
      </c>
      <c r="L9" s="1"/>
      <c r="M9" s="171" t="str">
        <f>'1.Metas Política SM'!E51</f>
        <v>Reducir a 2% la proporción de desnutrición crónica infantil en niños menores de 5 años.</v>
      </c>
      <c r="N9" s="366"/>
      <c r="O9" s="171" t="e">
        <f>'1.Metas Política SM'!#REF!</f>
        <v>#REF!</v>
      </c>
      <c r="P9" s="366"/>
      <c r="Q9" s="171" t="str">
        <f>'1.Metas Política SM'!E67</f>
        <v>Incrementar a 40 % la tasa neta de matrículas en educación superior (17 a 24 años)</v>
      </c>
      <c r="R9" s="1"/>
      <c r="S9" s="1"/>
      <c r="T9" s="1"/>
      <c r="U9" s="1"/>
      <c r="V9" s="1"/>
      <c r="W9" s="1"/>
      <c r="X9" s="1"/>
      <c r="Y9" s="1"/>
      <c r="Z9" s="1"/>
    </row>
    <row r="10" spans="1:26" ht="11.25" customHeight="1" x14ac:dyDescent="0.25">
      <c r="A10" s="1397"/>
      <c r="B10" s="1"/>
      <c r="C10" s="1"/>
      <c r="D10" s="1"/>
      <c r="E10" s="1"/>
      <c r="F10" s="1"/>
      <c r="G10" s="1"/>
      <c r="H10" s="1"/>
      <c r="I10" s="1"/>
      <c r="J10" s="1"/>
      <c r="K10" s="1"/>
      <c r="L10" s="1"/>
      <c r="M10" s="366"/>
      <c r="N10" s="366"/>
      <c r="O10" s="366"/>
      <c r="P10" s="366"/>
      <c r="Q10" s="366"/>
      <c r="R10" s="1"/>
      <c r="S10" s="1"/>
      <c r="T10" s="1"/>
      <c r="U10" s="1"/>
      <c r="V10" s="1"/>
      <c r="W10" s="1"/>
      <c r="X10" s="1"/>
      <c r="Y10" s="1"/>
      <c r="Z10" s="1"/>
    </row>
    <row r="11" spans="1:26" ht="27.7" customHeight="1" x14ac:dyDescent="0.25">
      <c r="A11" s="1397"/>
      <c r="B11" s="1"/>
      <c r="C11" s="171" t="str">
        <f>'1.Metas Política SM'!E9</f>
        <v>Incrementar el PBI agropecuario a 2,387,850 miles de soles</v>
      </c>
      <c r="D11" s="1"/>
      <c r="E11" s="171" t="str">
        <f>'1.Metas Política SM'!E18</f>
        <v>Incrementar el rendimiento promedio regional a 10 t de arroz por hectárea.</v>
      </c>
      <c r="F11" s="1"/>
      <c r="G11" s="171" t="str">
        <f>'1.Metas Política SM'!E27</f>
        <v>Incrementar el rendimiento promedio regional a 20 litros de leche/vaca/día.</v>
      </c>
      <c r="H11" s="1"/>
      <c r="I11" s="172" t="s">
        <v>393</v>
      </c>
      <c r="J11" s="1"/>
      <c r="K11" s="1"/>
      <c r="L11" s="1"/>
      <c r="M11" s="171" t="str">
        <f>'1.Metas Política SM'!E54</f>
        <v>Reducir a 18% la proporción niños de 6 a 35 meses con anemia.</v>
      </c>
      <c r="N11" s="366"/>
      <c r="O11" s="171" t="str">
        <f>'1.Metas Política SM'!E63</f>
        <v>Incrementar a 52% el porcentaje de estudiantes de 4° grado de primaria que logran comprender textos escritos.</v>
      </c>
      <c r="P11" s="366"/>
      <c r="Q11" s="171" t="str">
        <f>'1.Metas Política SM'!E69</f>
        <v>Incrementar a 50 % el porcentaje de mujeres que alcanzan nivel de educación superior.</v>
      </c>
      <c r="R11" s="1"/>
      <c r="S11" s="1"/>
      <c r="T11" s="1"/>
      <c r="U11" s="1"/>
      <c r="V11" s="1"/>
      <c r="W11" s="1"/>
      <c r="X11" s="1"/>
      <c r="Y11" s="1"/>
      <c r="Z11" s="1"/>
    </row>
    <row r="12" spans="1:26" ht="11.25" customHeight="1" x14ac:dyDescent="0.25">
      <c r="A12" s="1397"/>
      <c r="B12" s="1"/>
      <c r="C12" s="1"/>
      <c r="D12" s="1"/>
      <c r="E12" s="1"/>
      <c r="F12" s="1"/>
      <c r="G12" s="1"/>
      <c r="H12" s="1"/>
      <c r="I12" s="1"/>
      <c r="J12" s="1"/>
      <c r="K12" s="1"/>
      <c r="L12" s="1"/>
      <c r="M12" s="366"/>
      <c r="N12" s="366"/>
      <c r="O12" s="366"/>
      <c r="P12" s="366"/>
      <c r="Q12" s="366"/>
      <c r="R12" s="1"/>
      <c r="S12" s="1"/>
      <c r="T12" s="1"/>
      <c r="U12" s="1"/>
      <c r="V12" s="1"/>
      <c r="W12" s="1"/>
      <c r="X12" s="1"/>
      <c r="Y12" s="1"/>
      <c r="Z12" s="1"/>
    </row>
    <row r="13" spans="1:26" ht="22.6" customHeight="1" x14ac:dyDescent="0.25">
      <c r="A13" s="1397"/>
      <c r="B13" s="1"/>
      <c r="C13" s="171" t="str">
        <f>'1.Metas Política SM'!E11</f>
        <v xml:space="preserve">Incrementar el PBI del sector pesca y acuicultura  a 5,281.3 miles de soles. </v>
      </c>
      <c r="D13" s="1"/>
      <c r="E13" s="171" t="str">
        <f>'1.Metas Política SM'!E20</f>
        <v>Incrementar el rendimiento promedio regional a 20 t de palma por hectárea.</v>
      </c>
      <c r="F13" s="1"/>
      <c r="G13" s="171" t="str">
        <f>'1.Metas Política SM'!E29</f>
        <v>Incrementar el rendimiento promedio regional a 300 kilos de carne por cabeza.</v>
      </c>
      <c r="H13" s="1"/>
      <c r="I13" s="1"/>
      <c r="J13" s="1"/>
      <c r="K13" s="1"/>
      <c r="L13" s="1"/>
      <c r="M13" s="171" t="str">
        <f>'1.Metas Política SM'!E57</f>
        <v>Incrementar a 91% el acceso al servicio de Agua potable</v>
      </c>
      <c r="N13" s="366"/>
      <c r="O13" s="171" t="str">
        <f>'1.Metas Política SM'!E65</f>
        <v>Incrementar a 38% el porcentaje de estudiantes de 4° grado de primaria que logran el aprendizaje en pruebas de matemáticas</v>
      </c>
      <c r="P13" s="366"/>
      <c r="Q13" s="171" t="str">
        <f>'1.Metas Política SM'!E71</f>
        <v xml:space="preserve">Reducir al 25% el porcentaje de violencia de género e integrantes del grupo familiar en la Región San Martín. </v>
      </c>
      <c r="R13" s="1"/>
      <c r="S13" s="1"/>
      <c r="T13" s="1"/>
      <c r="U13" s="1"/>
      <c r="V13" s="1"/>
      <c r="W13" s="1"/>
      <c r="X13" s="1"/>
      <c r="Y13" s="1"/>
      <c r="Z13" s="1"/>
    </row>
    <row r="14" spans="1:26" ht="11.25" customHeight="1" x14ac:dyDescent="0.25">
      <c r="A14" s="1397"/>
      <c r="B14" s="1"/>
      <c r="C14" s="1"/>
      <c r="D14" s="1"/>
      <c r="E14" s="1"/>
      <c r="F14" s="1"/>
      <c r="G14" s="1"/>
      <c r="H14" s="1"/>
      <c r="I14" s="1"/>
      <c r="J14" s="1"/>
      <c r="K14" s="1"/>
      <c r="L14" s="1"/>
      <c r="M14" s="366"/>
      <c r="N14" s="366"/>
      <c r="O14" s="366"/>
      <c r="P14" s="366"/>
      <c r="Q14" s="366"/>
      <c r="R14" s="1"/>
      <c r="S14" s="1"/>
      <c r="T14" s="1"/>
      <c r="U14" s="1"/>
      <c r="V14" s="1"/>
      <c r="W14" s="1"/>
      <c r="X14" s="1"/>
      <c r="Y14" s="1"/>
      <c r="Z14" s="1"/>
    </row>
    <row r="15" spans="1:26" ht="30.75" customHeight="1" x14ac:dyDescent="0.25">
      <c r="A15" s="1397"/>
      <c r="B15" s="1"/>
      <c r="C15" s="171" t="str">
        <f>'1.Metas Política SM'!E13</f>
        <v>Incrementar el rendimiento promedio regional a 80 quintales de café por hectárea</v>
      </c>
      <c r="D15" s="1"/>
      <c r="E15" s="171" t="str">
        <f>'1.Metas Política SM'!E22</f>
        <v>Incrementar el rendimiento promedio regional a 15 t de plátano por hectárea.</v>
      </c>
      <c r="F15" s="1"/>
      <c r="G15" s="171" t="str">
        <f>'1.Metas Política SM'!E31</f>
        <v>Incrementar a 1,468,919 de arribos de ciudadanos nacionales y extranjeros a establecimientos de hospedaje (Miles de arribos).</v>
      </c>
      <c r="H15" s="1"/>
      <c r="I15" s="1"/>
      <c r="J15" s="1"/>
      <c r="K15" s="1"/>
      <c r="L15" s="1"/>
      <c r="M15" s="171" t="str">
        <f>'1.Metas Política SM'!E59</f>
        <v>Incrementar a 71% el acceso al servicio de saneamiento</v>
      </c>
      <c r="N15" s="366"/>
      <c r="O15" s="366"/>
      <c r="P15" s="366"/>
      <c r="Q15" s="366"/>
      <c r="R15" s="1"/>
      <c r="S15" s="1"/>
      <c r="T15" s="1"/>
      <c r="U15" s="1"/>
      <c r="V15" s="1"/>
      <c r="W15" s="1"/>
      <c r="X15" s="1"/>
      <c r="Y15" s="1"/>
      <c r="Z15" s="1"/>
    </row>
    <row r="16" spans="1:26" ht="11.2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27.7" customHeight="1" x14ac:dyDescent="0.25">
      <c r="A17" s="1"/>
      <c r="B17" s="1"/>
      <c r="C17" s="1"/>
      <c r="D17" s="1"/>
      <c r="E17" s="171" t="str">
        <f>'1.Metas Política SM'!E33</f>
        <v>Incremento a 10,000,000 S/. de inversiones en Bionegocios</v>
      </c>
      <c r="F17" s="1"/>
      <c r="G17" s="1"/>
      <c r="H17" s="1"/>
      <c r="I17" s="1"/>
      <c r="J17" s="1"/>
      <c r="K17" s="1"/>
      <c r="L17" s="1"/>
      <c r="M17" s="1"/>
      <c r="N17" s="1"/>
      <c r="O17" s="1"/>
      <c r="P17" s="1"/>
      <c r="Q17" s="1"/>
      <c r="R17" s="1"/>
      <c r="S17" s="1"/>
      <c r="T17" s="1"/>
      <c r="U17" s="1"/>
      <c r="V17" s="1"/>
      <c r="W17" s="1"/>
      <c r="X17" s="1"/>
      <c r="Y17" s="1"/>
      <c r="Z17" s="1"/>
    </row>
    <row r="18" spans="1:26" ht="11.25" customHeight="1" x14ac:dyDescent="0.25">
      <c r="A18" s="1"/>
      <c r="B18" s="1"/>
      <c r="C18" s="4"/>
      <c r="D18" s="1"/>
      <c r="E18" s="1"/>
      <c r="F18" s="1"/>
      <c r="G18" s="1"/>
      <c r="H18" s="1"/>
      <c r="I18" s="1"/>
      <c r="J18" s="1"/>
      <c r="K18" s="1"/>
      <c r="L18" s="1"/>
      <c r="M18" s="1"/>
      <c r="N18" s="1"/>
      <c r="O18" s="1"/>
      <c r="P18" s="1"/>
      <c r="Q18" s="1"/>
      <c r="R18" s="1"/>
      <c r="S18" s="1"/>
      <c r="T18" s="1"/>
      <c r="U18" s="1"/>
      <c r="V18" s="1"/>
      <c r="W18" s="1"/>
      <c r="X18" s="1"/>
      <c r="Y18" s="1"/>
      <c r="Z18" s="1"/>
    </row>
    <row r="19" spans="1:26" ht="35.15" customHeight="1" x14ac:dyDescent="0.25">
      <c r="A19" s="1411" t="s">
        <v>394</v>
      </c>
      <c r="B19" s="173"/>
      <c r="C19" s="1399" t="s">
        <v>395</v>
      </c>
      <c r="D19" s="1397"/>
      <c r="E19" s="1397"/>
      <c r="F19" s="1"/>
      <c r="G19" s="1399" t="s">
        <v>396</v>
      </c>
      <c r="H19" s="1397"/>
      <c r="I19" s="1397"/>
      <c r="J19" s="1"/>
      <c r="K19" s="1399" t="s">
        <v>397</v>
      </c>
      <c r="L19" s="1397"/>
      <c r="M19" s="1397"/>
      <c r="N19" s="1"/>
      <c r="O19" s="1399" t="s">
        <v>398</v>
      </c>
      <c r="P19" s="1397"/>
      <c r="Q19" s="1397"/>
      <c r="R19" s="1"/>
      <c r="S19" s="1"/>
      <c r="T19" s="1"/>
      <c r="U19" s="1"/>
      <c r="V19" s="1"/>
      <c r="W19" s="1"/>
      <c r="X19" s="1"/>
      <c r="Y19" s="1"/>
      <c r="Z19" s="1"/>
    </row>
    <row r="20" spans="1:26" ht="14.95" customHeight="1" x14ac:dyDescent="0.25">
      <c r="A20" s="1412"/>
      <c r="B20" s="173"/>
      <c r="C20" s="1"/>
      <c r="D20" s="1"/>
      <c r="E20" s="1"/>
      <c r="F20" s="1"/>
      <c r="G20" s="1"/>
      <c r="H20" s="1"/>
      <c r="I20" s="1"/>
      <c r="J20" s="1"/>
      <c r="K20" s="1"/>
      <c r="L20" s="1"/>
      <c r="M20" s="1"/>
      <c r="N20" s="1"/>
      <c r="O20" s="1"/>
      <c r="P20" s="1"/>
      <c r="Q20" s="1"/>
      <c r="R20" s="1"/>
      <c r="S20" s="1"/>
      <c r="T20" s="1"/>
      <c r="U20" s="1"/>
      <c r="V20" s="1"/>
      <c r="W20" s="1"/>
      <c r="X20" s="1"/>
      <c r="Y20" s="1"/>
      <c r="Z20" s="1"/>
    </row>
    <row r="21" spans="1:26" ht="30.75" customHeight="1" x14ac:dyDescent="0.25">
      <c r="A21" s="1412"/>
      <c r="B21" s="173"/>
      <c r="C21" s="495" t="str">
        <f>'4. Intervenciones UDT - HCBM'!F10</f>
        <v>Predios de agricultura familiar con producción destinada al autoconsumo y productos de exportación, con título o sin título de propiedad.</v>
      </c>
      <c r="D21" s="366"/>
      <c r="E21" s="495" t="str">
        <f>'4. Intervenciones UDT - HCBM'!F37</f>
        <v xml:space="preserve">Predios privados dedicados a la producción comercial (arroz) </v>
      </c>
      <c r="F21" s="366"/>
      <c r="G21" s="495" t="str">
        <f>'6. Intervenciones UDT- AM'!G10</f>
        <v>Predios de agricultura familiar con producción destinada al autoconsumo y productos de exportación, con título o sin título de propiedad.</v>
      </c>
      <c r="H21" s="366"/>
      <c r="I21" s="495" t="str">
        <f>'6. Intervenciones UDT- AM'!F36</f>
        <v xml:space="preserve">Predios privados dedicados a la producción comercial (arroz) </v>
      </c>
      <c r="J21" s="366"/>
      <c r="K21" s="495" t="str">
        <f>'5. Intervenciones UDT - AH'!F10</f>
        <v>Predios de agricultura familiar con producción destinada al autoconsumo y productos de exportación, con título o sin título de propiedad.</v>
      </c>
      <c r="L21" s="366"/>
      <c r="M21" s="495" t="str">
        <f>'5. Intervenciones UDT - AH'!F37</f>
        <v xml:space="preserve">Predios privados dedicados a la producción comercial (arroz) </v>
      </c>
      <c r="N21" s="366"/>
      <c r="O21" s="495" t="str">
        <f>'7. Intervenciones UDT- BH'!F10</f>
        <v>Predios de agricultura familiar con producción destinada al autoconsumo y productos de exportación, con título o sin título de propiedad.</v>
      </c>
      <c r="P21" s="366"/>
      <c r="Q21" s="495" t="str">
        <f>'7. Intervenciones UDT- BH'!F38</f>
        <v>Predios privados para ganadería de leche y carne</v>
      </c>
      <c r="R21" s="366"/>
      <c r="S21" s="366"/>
      <c r="T21" s="366"/>
      <c r="U21" s="366"/>
      <c r="V21" s="366"/>
      <c r="W21" s="366"/>
      <c r="X21" s="366"/>
      <c r="Y21" s="366"/>
      <c r="Z21" s="366"/>
    </row>
    <row r="22" spans="1:26" ht="18" customHeight="1" x14ac:dyDescent="0.25">
      <c r="A22" s="1412"/>
      <c r="B22" s="173"/>
      <c r="C22" s="475" t="str">
        <f>'4. Intervenciones UDT - HCBM'!D18</f>
        <v>Otorgamiento de derechos sobre la tierra/bosques</v>
      </c>
      <c r="D22" s="366"/>
      <c r="E22" s="475" t="str">
        <f>'4. Intervenciones UDT - HCBM'!D45</f>
        <v>Otorgamiento de derechos sobre la tierra/bosques</v>
      </c>
      <c r="F22" s="366"/>
      <c r="G22" s="475" t="str">
        <f>'6. Intervenciones UDT- AM'!D18</f>
        <v>Otorgamiento de derechos sobre la tierra/bosques</v>
      </c>
      <c r="H22" s="366"/>
      <c r="I22" s="475" t="str">
        <f>'6. Intervenciones UDT- AM'!D44</f>
        <v>Otorgamiento de derechos sobre la tierra/bosques</v>
      </c>
      <c r="J22" s="366"/>
      <c r="K22" s="475" t="str">
        <f>'5. Intervenciones UDT - AH'!D18</f>
        <v>Otorgamiento de derechos sobre la tierra/bosques</v>
      </c>
      <c r="L22" s="366"/>
      <c r="M22" s="475" t="str">
        <f>'5. Intervenciones UDT - AH'!D45</f>
        <v>Otorgamiento de derechos sobre la tierra/bosques</v>
      </c>
      <c r="N22" s="366"/>
      <c r="O22" s="475" t="str">
        <f>'7. Intervenciones UDT- BH'!D18</f>
        <v>Otorgamiento de derechos sobre la tierra/bosques</v>
      </c>
      <c r="P22" s="366"/>
      <c r="Q22" s="475" t="str">
        <f>'7. Intervenciones UDT- BH'!D46</f>
        <v>Otorgamiento de derechos sobre la tierra/bosques</v>
      </c>
      <c r="R22" s="366"/>
      <c r="S22" s="366"/>
      <c r="T22" s="366"/>
      <c r="U22" s="366"/>
      <c r="V22" s="366"/>
      <c r="W22" s="366"/>
      <c r="X22" s="366"/>
      <c r="Y22" s="366"/>
      <c r="Z22" s="366"/>
    </row>
    <row r="23" spans="1:26" ht="23.95" customHeight="1" x14ac:dyDescent="0.25">
      <c r="A23" s="1412"/>
      <c r="B23" s="173"/>
      <c r="C23" s="475" t="str">
        <f>'4. Intervenciones UDT - HCBM'!D19</f>
        <v>Asistencia técnica con enfoque bajo en emisiones</v>
      </c>
      <c r="D23" s="366"/>
      <c r="E23" s="475" t="str">
        <f>'4. Intervenciones UDT - HCBM'!D46</f>
        <v>Promoción y desarrollo de proveedores de semillas mejoradas</v>
      </c>
      <c r="F23" s="366"/>
      <c r="G23" s="475" t="str">
        <f>'6. Intervenciones UDT- AM'!D19</f>
        <v>Asistencia técnica con enfoque bajo en emisiones</v>
      </c>
      <c r="H23" s="366"/>
      <c r="I23" s="475" t="str">
        <f>'6. Intervenciones UDT- AM'!D45</f>
        <v>Promoción y desarrollo de proveedores de semillas mejoradas</v>
      </c>
      <c r="J23" s="366"/>
      <c r="K23" s="475" t="str">
        <f>'5. Intervenciones UDT - AH'!D19</f>
        <v>Asistencia técnica con enfoque bajo en emisiones</v>
      </c>
      <c r="L23" s="366"/>
      <c r="M23" s="475" t="str">
        <f>'5. Intervenciones UDT - AH'!D46</f>
        <v>Promoción y desarrollo de proveedores de semillas mejoradas</v>
      </c>
      <c r="N23" s="366"/>
      <c r="O23" s="475" t="str">
        <f>'7. Intervenciones UDT- BH'!D19</f>
        <v>Asistencia técnica con enfoque bajo en emisiones</v>
      </c>
      <c r="P23" s="366"/>
      <c r="Q23" s="475" t="str">
        <f>'7. Intervenciones UDT- BH'!D47</f>
        <v xml:space="preserve">Asistencia técnica para el mejoramiento de pastos y ganadería </v>
      </c>
      <c r="R23" s="366"/>
      <c r="S23" s="366"/>
      <c r="T23" s="366"/>
      <c r="U23" s="366"/>
      <c r="V23" s="366"/>
      <c r="W23" s="366"/>
      <c r="X23" s="366"/>
      <c r="Y23" s="366"/>
      <c r="Z23" s="366"/>
    </row>
    <row r="24" spans="1:26" ht="24.65" customHeight="1" x14ac:dyDescent="0.25">
      <c r="A24" s="1412"/>
      <c r="B24" s="173"/>
      <c r="C24" s="11" t="str">
        <f>'4. Intervenciones UDT - HCBM'!D20</f>
        <v>Manejo, conservación y recuperación de suelos degradados</v>
      </c>
      <c r="D24" s="366"/>
      <c r="E24" s="475" t="str">
        <f>'4. Intervenciones UDT - HCBM'!D47</f>
        <v>Promoción de Sistemas de producción sostenibles</v>
      </c>
      <c r="F24" s="366"/>
      <c r="G24" s="484" t="str">
        <f>'6. Intervenciones UDT- AM'!D20</f>
        <v>Manejo, conservación y recuperación de suelos degradados</v>
      </c>
      <c r="H24" s="366"/>
      <c r="I24" s="475" t="str">
        <f>'6. Intervenciones UDT- AM'!D46</f>
        <v>Promoción de Sistemas de producción sostenibles</v>
      </c>
      <c r="J24" s="366"/>
      <c r="K24" s="11" t="str">
        <f>'5. Intervenciones UDT - AH'!D20</f>
        <v>Manejo, conservación y recuperación de suelos degradados</v>
      </c>
      <c r="L24" s="366"/>
      <c r="M24" s="475" t="str">
        <f>'5. Intervenciones UDT - AH'!D47</f>
        <v>Promoción de Sistemas de producción sostenibles</v>
      </c>
      <c r="N24" s="366"/>
      <c r="O24" s="11" t="str">
        <f>'7. Intervenciones UDT- BH'!D20</f>
        <v>Manejo, conservación y recuperación de suelos degradados</v>
      </c>
      <c r="P24" s="366"/>
      <c r="Q24" s="11" t="str">
        <f>'7. Intervenciones UDT- BH'!D48</f>
        <v>Manejo, conservación y recuperación de suelos degradados</v>
      </c>
      <c r="R24" s="366"/>
      <c r="S24" s="366"/>
      <c r="T24" s="366"/>
      <c r="U24" s="366"/>
      <c r="V24" s="366"/>
      <c r="W24" s="366"/>
      <c r="X24" s="366"/>
      <c r="Y24" s="366"/>
      <c r="Z24" s="366"/>
    </row>
    <row r="25" spans="1:26" ht="27.7" customHeight="1" x14ac:dyDescent="0.25">
      <c r="A25" s="1412"/>
      <c r="B25" s="173"/>
      <c r="C25" s="484" t="str">
        <f>'4. Intervenciones UDT - HCBM'!D21</f>
        <v>Fertilización de áreas productivas de acuerdo a la etapa fenológica del cultivo</v>
      </c>
      <c r="D25" s="366"/>
      <c r="E25" s="495" t="str">
        <f>'4. Intervenciones UDT - HCBM'!D48</f>
        <v xml:space="preserve">Reconversión y diversificación productiva </v>
      </c>
      <c r="F25" s="366"/>
      <c r="G25" s="484" t="str">
        <f>'6. Intervenciones UDT- AM'!D21</f>
        <v>Fertilización de áreas productivas de acuerdo a la etapa fenológica del cultivo</v>
      </c>
      <c r="H25" s="366"/>
      <c r="I25" s="475" t="str">
        <f>'6. Intervenciones UDT- AM'!D47</f>
        <v xml:space="preserve">Reconversión y diversificación productiva </v>
      </c>
      <c r="J25" s="366"/>
      <c r="K25" s="484" t="str">
        <f>'5. Intervenciones UDT - AH'!D21</f>
        <v>Fertilización de áreas productivas de acuerdo a la etapa fenológica del cultivo</v>
      </c>
      <c r="L25" s="366"/>
      <c r="M25" s="475" t="str">
        <f>'5. Intervenciones UDT - AH'!D48</f>
        <v xml:space="preserve">Reconversión y diversificación productiva </v>
      </c>
      <c r="N25" s="366"/>
      <c r="O25" s="484" t="str">
        <f>'7. Intervenciones UDT- BH'!D21</f>
        <v>Fertilización de áreas productivas de acuerdo a la etapa fenológica del cultivo</v>
      </c>
      <c r="P25" s="366"/>
      <c r="Q25" s="475" t="str">
        <f>'7. Intervenciones UDT- BH'!D49</f>
        <v>Mejoramiento genético de ganado bovino</v>
      </c>
      <c r="R25" s="366"/>
      <c r="S25" s="366"/>
      <c r="T25" s="366"/>
      <c r="U25" s="366"/>
      <c r="V25" s="366"/>
      <c r="W25" s="366"/>
      <c r="X25" s="366"/>
      <c r="Y25" s="366"/>
      <c r="Z25" s="366"/>
    </row>
    <row r="26" spans="1:26" ht="26.35" customHeight="1" x14ac:dyDescent="0.25">
      <c r="A26" s="1412"/>
      <c r="B26" s="173"/>
      <c r="C26" s="484" t="str">
        <f>'4. Intervenciones UDT - HCBM'!D22</f>
        <v>Instalación de sistemas de fertirriego</v>
      </c>
      <c r="D26" s="366"/>
      <c r="E26" s="475" t="str">
        <f>'4. Intervenciones UDT - HCBM'!D49</f>
        <v>Programa de acceso al financiamiento agropecuario condicionado</v>
      </c>
      <c r="F26" s="366"/>
      <c r="G26" s="484" t="str">
        <f>'6. Intervenciones UDT- AM'!D22</f>
        <v>Instalación de sistemas de fertirriego</v>
      </c>
      <c r="H26" s="366"/>
      <c r="I26" s="475" t="str">
        <f>'6. Intervenciones UDT- AM'!D48</f>
        <v>Programa de acceso al financiamiento agropecuario condicionado</v>
      </c>
      <c r="J26" s="366"/>
      <c r="K26" s="484" t="str">
        <f>'5. Intervenciones UDT - AH'!D22</f>
        <v>Instalación de sistemas de fertirriego</v>
      </c>
      <c r="L26" s="366"/>
      <c r="M26" s="475" t="str">
        <f>'5. Intervenciones UDT - AH'!D49</f>
        <v>Programa de acceso al financiamiento agropecuario condicionado</v>
      </c>
      <c r="N26" s="366"/>
      <c r="O26" s="484" t="str">
        <f>'7. Intervenciones UDT- BH'!D22</f>
        <v>Instalación de sistemas de fertirriego</v>
      </c>
      <c r="P26" s="366"/>
      <c r="Q26" s="475" t="str">
        <f>'7. Intervenciones UDT- BH'!D50</f>
        <v>Programa de acceso al financiamiento agropecuario condicionado</v>
      </c>
      <c r="R26" s="366"/>
      <c r="S26" s="366"/>
      <c r="T26" s="366"/>
      <c r="U26" s="366"/>
      <c r="V26" s="366"/>
      <c r="W26" s="366"/>
      <c r="X26" s="366"/>
      <c r="Y26" s="366"/>
      <c r="Z26" s="366"/>
    </row>
    <row r="27" spans="1:26" ht="22.6" customHeight="1" x14ac:dyDescent="0.25">
      <c r="A27" s="1412"/>
      <c r="B27" s="173"/>
      <c r="C27" s="475" t="str">
        <f>'4. Intervenciones UDT - HCBM'!D23</f>
        <v xml:space="preserve">Reconversión y diversificación productiva </v>
      </c>
      <c r="D27" s="366"/>
      <c r="E27" s="475" t="str">
        <f>'4. Intervenciones UDT - HCBM'!D50</f>
        <v>Promoción de modelos asociativos sostenibles</v>
      </c>
      <c r="F27" s="366"/>
      <c r="G27" s="475" t="str">
        <f>'6. Intervenciones UDT- AM'!D23</f>
        <v xml:space="preserve">Reconversión y diversificación productiva </v>
      </c>
      <c r="H27" s="366"/>
      <c r="I27" s="475" t="str">
        <f>'6. Intervenciones UDT- AM'!D49</f>
        <v>Promoción de modelos asociativos sostenibles</v>
      </c>
      <c r="J27" s="366"/>
      <c r="K27" s="475" t="str">
        <f>'5. Intervenciones UDT - AH'!D23</f>
        <v xml:space="preserve">Reconversión y diversificación productiva </v>
      </c>
      <c r="L27" s="366"/>
      <c r="M27" s="475" t="str">
        <f>'5. Intervenciones UDT - AH'!D50</f>
        <v>Promoción de modelos asociativos sostenibles</v>
      </c>
      <c r="N27" s="366"/>
      <c r="O27" s="475" t="str">
        <f>'7. Intervenciones UDT- BH'!D23</f>
        <v xml:space="preserve">Reconversión y diversificación productiva </v>
      </c>
      <c r="P27" s="366"/>
      <c r="Q27" s="475" t="str">
        <f>'7. Intervenciones UDT- BH'!D51</f>
        <v>Promoción de modelos asociativos sostenibles</v>
      </c>
      <c r="R27" s="366"/>
      <c r="S27" s="366"/>
      <c r="T27" s="366"/>
      <c r="U27" s="366"/>
      <c r="V27" s="366"/>
      <c r="W27" s="366"/>
      <c r="X27" s="366"/>
      <c r="Y27" s="366"/>
      <c r="Z27" s="366"/>
    </row>
    <row r="28" spans="1:26" ht="26.5" customHeight="1" x14ac:dyDescent="0.25">
      <c r="A28" s="1412"/>
      <c r="B28" s="173"/>
      <c r="C28" s="475" t="str">
        <f>'4. Intervenciones UDT - HCBM'!D24</f>
        <v>Promoción de agricultura familiar con enfoque de mercado</v>
      </c>
      <c r="D28" s="366"/>
      <c r="E28" s="475" t="str">
        <f>'4. Intervenciones UDT - HCBM'!D51</f>
        <v>Implementación de infraestructura productiva baja en emisiones</v>
      </c>
      <c r="F28" s="366"/>
      <c r="G28" s="475" t="str">
        <f>'6. Intervenciones UDT- AM'!D24</f>
        <v>Promoción de agricultura familiar con enfoque de mercado</v>
      </c>
      <c r="H28" s="366"/>
      <c r="I28" s="475" t="str">
        <f>'6. Intervenciones UDT- AM'!D50</f>
        <v>Implementación de infraestructura productiva baja en emisiones</v>
      </c>
      <c r="J28" s="366"/>
      <c r="K28" s="475" t="str">
        <f>'5. Intervenciones UDT - AH'!D24</f>
        <v>Promoción de agricultura familiar con enfoque de mercado</v>
      </c>
      <c r="L28" s="366"/>
      <c r="M28" s="475" t="str">
        <f>'5. Intervenciones UDT - AH'!D51</f>
        <v>Implementación de infraestructura productiva baja en emisiones</v>
      </c>
      <c r="N28" s="366"/>
      <c r="O28" s="475" t="str">
        <f>'7. Intervenciones UDT- BH'!D24</f>
        <v>Promoción de agricultura familiar con enfoque de mercado</v>
      </c>
      <c r="P28" s="366"/>
      <c r="Q28" s="475" t="str">
        <f>'7. Intervenciones UDT- BH'!D52</f>
        <v>Implementación de infraestructura productiva baja en emisiones</v>
      </c>
      <c r="R28" s="366"/>
      <c r="S28" s="366"/>
      <c r="T28" s="366"/>
      <c r="U28" s="366"/>
      <c r="V28" s="366"/>
      <c r="W28" s="366"/>
      <c r="X28" s="366"/>
      <c r="Y28" s="366"/>
      <c r="Z28" s="366"/>
    </row>
    <row r="29" spans="1:26" ht="29.25" customHeight="1" x14ac:dyDescent="0.25">
      <c r="A29" s="1412"/>
      <c r="B29" s="173"/>
      <c r="C29" s="475" t="str">
        <f>'4. Intervenciones UDT - HCBM'!D25</f>
        <v>Asistencia técnica para el desarrollo de la acuicultura</v>
      </c>
      <c r="D29" s="366"/>
      <c r="E29" s="484" t="str">
        <f>'4. Intervenciones UDT - HCBM'!D52</f>
        <v>Promoción y acceso a los Mecanismos de Retribución por Servicios Eco sistémicos (MERESE)</v>
      </c>
      <c r="F29" s="366"/>
      <c r="G29" s="475" t="str">
        <f>'6. Intervenciones UDT- AM'!D25</f>
        <v>Asistencia técnica para el desarrollo de la acuicultura</v>
      </c>
      <c r="H29" s="366"/>
      <c r="I29" s="484" t="str">
        <f>'6. Intervenciones UDT- AM'!D51</f>
        <v>Promoción y acceso a los Mecanismos de Retribución por Servicios Eco sistémicos (MERESE)</v>
      </c>
      <c r="J29" s="366"/>
      <c r="K29" s="475" t="str">
        <f>'5. Intervenciones UDT - AH'!D25</f>
        <v>Asistencia técnica para el desarrollo de la acuicultura</v>
      </c>
      <c r="L29" s="366"/>
      <c r="M29" s="484" t="str">
        <f>'5. Intervenciones UDT - AH'!D52</f>
        <v>Promoción y acceso a los Mecanismos de Retribución por Servicios Eco sistémicos (MERESE)</v>
      </c>
      <c r="N29" s="366"/>
      <c r="O29" s="475" t="str">
        <f>'7. Intervenciones UDT- BH'!D25</f>
        <v>Asistencia técnica para el desarrollo de la acuicultura</v>
      </c>
      <c r="P29" s="366"/>
      <c r="Q29" s="484" t="str">
        <f>'7. Intervenciones UDT- BH'!D53</f>
        <v>Promoción y acceso a los Mecanismos de Retribución por Servicios Eco sistémicos (MERESE)</v>
      </c>
      <c r="R29" s="366"/>
      <c r="S29" s="366"/>
      <c r="T29" s="366"/>
      <c r="U29" s="366"/>
      <c r="V29" s="366"/>
      <c r="W29" s="366"/>
      <c r="X29" s="366"/>
      <c r="Y29" s="366"/>
      <c r="Z29" s="366"/>
    </row>
    <row r="30" spans="1:26" ht="20.25" customHeight="1" x14ac:dyDescent="0.25">
      <c r="A30" s="1412"/>
      <c r="B30" s="173"/>
      <c r="C30" s="475" t="str">
        <f>'4. Intervenciones UDT - HCBM'!D26</f>
        <v xml:space="preserve">Incentivos financieros para la acuicultura </v>
      </c>
      <c r="D30" s="366"/>
      <c r="E30" s="825"/>
      <c r="F30" s="366"/>
      <c r="G30" s="475" t="str">
        <f>'6. Intervenciones UDT- AM'!D26</f>
        <v xml:space="preserve">Incentivos financieros para la acuicultura </v>
      </c>
      <c r="H30" s="366"/>
      <c r="I30" s="366"/>
      <c r="J30" s="366"/>
      <c r="K30" s="475" t="str">
        <f>'5. Intervenciones UDT - AH'!D26</f>
        <v xml:space="preserve">Incentivos financieros para la acuicultura </v>
      </c>
      <c r="L30" s="366"/>
      <c r="M30" s="366"/>
      <c r="N30" s="366"/>
      <c r="O30" s="475" t="str">
        <f>'7. Intervenciones UDT- BH'!D26</f>
        <v xml:space="preserve">Incentivos financieros para la acuicultura </v>
      </c>
      <c r="P30" s="366"/>
      <c r="Q30" s="825"/>
      <c r="R30" s="366"/>
      <c r="S30" s="366"/>
      <c r="T30" s="366"/>
      <c r="U30" s="366"/>
      <c r="V30" s="366"/>
      <c r="W30" s="366"/>
      <c r="X30" s="366"/>
      <c r="Y30" s="366"/>
      <c r="Z30" s="366"/>
    </row>
    <row r="31" spans="1:26" ht="21.1" customHeight="1" x14ac:dyDescent="0.25">
      <c r="A31" s="1412"/>
      <c r="B31" s="173"/>
      <c r="C31" s="475" t="str">
        <f>'4. Intervenciones UDT - HCBM'!D27</f>
        <v>Programa de acceso al financiamiento agropecuario condicionado</v>
      </c>
      <c r="D31" s="366"/>
      <c r="E31" s="495" t="str">
        <f>'4. Intervenciones UDT - HCBM'!F57</f>
        <v>Predios privados para ganadería de leche y carne</v>
      </c>
      <c r="F31" s="366"/>
      <c r="G31" s="475" t="str">
        <f>'6. Intervenciones UDT- AM'!D27</f>
        <v>Programa de acceso al financiamiento agropecuario condicionado</v>
      </c>
      <c r="H31" s="366"/>
      <c r="I31" s="495" t="str">
        <f>'6. Intervenciones UDT- AM'!F55</f>
        <v>Predios privados para ganadería de leche y carne</v>
      </c>
      <c r="J31" s="366"/>
      <c r="K31" s="475" t="str">
        <f>'5. Intervenciones UDT - AH'!D27</f>
        <v>Programa de acceso al financiamiento agropecuario condicionado</v>
      </c>
      <c r="L31" s="366"/>
      <c r="M31" s="495" t="str">
        <f>'5. Intervenciones UDT - AH'!F56</f>
        <v>Predios privados para ganadería de leche y carne</v>
      </c>
      <c r="N31" s="366"/>
      <c r="O31" s="475" t="str">
        <f>'7. Intervenciones UDT- BH'!D27</f>
        <v>Programa de acceso al financiamiento agropecuario condicionado</v>
      </c>
      <c r="P31" s="366"/>
      <c r="Q31" s="495" t="str">
        <f>'7. Intervenciones UDT- BH'!F57</f>
        <v>Empresas comercializadoras de palma y sus derivados.</v>
      </c>
      <c r="R31" s="366"/>
      <c r="S31" s="366"/>
      <c r="T31" s="366"/>
      <c r="U31" s="366"/>
      <c r="V31" s="366"/>
      <c r="W31" s="366"/>
      <c r="X31" s="366"/>
      <c r="Y31" s="366"/>
      <c r="Z31" s="366"/>
    </row>
    <row r="32" spans="1:26" ht="25.5" customHeight="1" x14ac:dyDescent="0.25">
      <c r="A32" s="1412"/>
      <c r="B32" s="173"/>
      <c r="C32" s="475" t="str">
        <f>'4. Intervenciones UDT - HCBM'!D28</f>
        <v xml:space="preserve">Implementación de infraestructura productiva con énfasis a la agro exportación </v>
      </c>
      <c r="D32" s="366"/>
      <c r="E32" s="475" t="str">
        <f>'4. Intervenciones UDT - HCBM'!D65</f>
        <v>Otorgamiento de derechos sobre la tierra/bosques</v>
      </c>
      <c r="F32" s="366"/>
      <c r="G32" s="475" t="str">
        <f>'6. Intervenciones UDT- AM'!D28</f>
        <v xml:space="preserve">Implementación de infraestructura productiva con énfasis a la agro exportación </v>
      </c>
      <c r="H32" s="366"/>
      <c r="I32" s="475" t="str">
        <f>'6. Intervenciones UDT- AM'!D63</f>
        <v>Otorgamiento de derechos sobre la tierra/bosques</v>
      </c>
      <c r="J32" s="366"/>
      <c r="K32" s="475" t="str">
        <f>'5. Intervenciones UDT - AH'!D28</f>
        <v xml:space="preserve">Implementación de infraestructura productiva con énfasis a la agro exportación </v>
      </c>
      <c r="L32" s="366"/>
      <c r="M32" s="475" t="str">
        <f>'5. Intervenciones UDT - AH'!D64</f>
        <v>Otorgamiento de derechos sobre la tierra/bosques</v>
      </c>
      <c r="N32" s="366"/>
      <c r="O32" s="475" t="str">
        <f>'7. Intervenciones UDT- BH'!D28</f>
        <v xml:space="preserve">Implementación de infraestructura productiva con énfasis a la agro exportación </v>
      </c>
      <c r="P32" s="366"/>
      <c r="Q32" s="475" t="str">
        <f>'7. Intervenciones UDT- BH'!D65</f>
        <v>Otorgamiento de derechos sobre la tierra/bosques</v>
      </c>
      <c r="R32" s="366"/>
      <c r="S32" s="366"/>
      <c r="T32" s="366"/>
      <c r="U32" s="366"/>
      <c r="V32" s="366"/>
      <c r="W32" s="366"/>
      <c r="X32" s="366"/>
      <c r="Y32" s="366"/>
      <c r="Z32" s="366"/>
    </row>
    <row r="33" spans="1:26" ht="27.7" customHeight="1" x14ac:dyDescent="0.25">
      <c r="A33" s="1412"/>
      <c r="B33" s="173"/>
      <c r="C33" s="11" t="str">
        <f>'4. Intervenciones UDT - HCBM'!D29</f>
        <v xml:space="preserve">Fortalecimiento de capacidades en gestión de la calidad en las distintas cadenas de valor </v>
      </c>
      <c r="D33" s="366"/>
      <c r="E33" s="475" t="str">
        <f>'4. Intervenciones UDT - HCBM'!D66</f>
        <v xml:space="preserve">Asistencia técnica para el mejoramiento de pastos y ganadería </v>
      </c>
      <c r="F33" s="366"/>
      <c r="G33" s="484" t="str">
        <f>'6. Intervenciones UDT- AM'!D29</f>
        <v xml:space="preserve">Fortalecimiento de capacidades en gestión de la calidad en las distintas cadenas de valor </v>
      </c>
      <c r="H33" s="366"/>
      <c r="I33" s="475" t="str">
        <f>'6. Intervenciones UDT- AM'!D64</f>
        <v xml:space="preserve">Asistencia técnica para el mejoramiento de pastos y ganadería </v>
      </c>
      <c r="J33" s="366"/>
      <c r="K33" s="11" t="str">
        <f>'5. Intervenciones UDT - AH'!D29</f>
        <v xml:space="preserve">Fortalecimiento de capacidades en gestión de la calidad en las distintas cadenas de valor </v>
      </c>
      <c r="L33" s="366"/>
      <c r="M33" s="475" t="str">
        <f>'5. Intervenciones UDT - AH'!D65</f>
        <v xml:space="preserve">Asistencia técnica para el mejoramiento de pastos y ganadería </v>
      </c>
      <c r="N33" s="366"/>
      <c r="O33" s="475" t="str">
        <f>'7. Intervenciones UDT- BH'!D29</f>
        <v xml:space="preserve">Fortalecimiento de capacidades en gestión de la calidad en las distintas cadenas de valor </v>
      </c>
      <c r="P33" s="366"/>
      <c r="Q33" s="475" t="str">
        <f>'7. Intervenciones UDT- BH'!D66</f>
        <v>Acceso a financiamiento para modelos de asociación con pequeños productores</v>
      </c>
      <c r="R33" s="366"/>
      <c r="S33" s="366"/>
      <c r="T33" s="366"/>
      <c r="U33" s="366"/>
      <c r="V33" s="366"/>
      <c r="W33" s="366"/>
      <c r="X33" s="366"/>
      <c r="Y33" s="366"/>
      <c r="Z33" s="366"/>
    </row>
    <row r="34" spans="1:26" ht="23.95" customHeight="1" x14ac:dyDescent="0.25">
      <c r="A34" s="1412"/>
      <c r="B34" s="173"/>
      <c r="C34" s="11" t="str">
        <f>'4. Intervenciones UDT - HCBM'!D30</f>
        <v>Promoción de modelos asociativos sostenibles</v>
      </c>
      <c r="D34" s="366"/>
      <c r="E34" s="11" t="str">
        <f>'4. Intervenciones UDT - HCBM'!D67</f>
        <v>Manejo, conservación y recuperación de suelos degradados</v>
      </c>
      <c r="F34" s="366"/>
      <c r="G34" s="484" t="str">
        <f>'6. Intervenciones UDT- AM'!D30</f>
        <v>Promoción de modelos asociativos sostenibles</v>
      </c>
      <c r="H34" s="366"/>
      <c r="I34" s="11" t="str">
        <f>'6. Intervenciones UDT- AM'!D65</f>
        <v>Manejo, conservación y recuperación de suelos degradados</v>
      </c>
      <c r="J34" s="366"/>
      <c r="K34" s="11" t="str">
        <f>'5. Intervenciones UDT - AH'!D30</f>
        <v>Promoción de modelos asociativos sostenibles</v>
      </c>
      <c r="L34" s="366"/>
      <c r="M34" s="11" t="str">
        <f>'5. Intervenciones UDT - AH'!D66</f>
        <v>Manejo, conservación y recuperación de suelos degradados</v>
      </c>
      <c r="N34" s="366"/>
      <c r="O34" s="475" t="str">
        <f>'7. Intervenciones UDT- BH'!D30</f>
        <v>Promoción de modelos asociativos sostenibles</v>
      </c>
      <c r="P34" s="366"/>
      <c r="Q34" s="475" t="str">
        <f>'7. Intervenciones UDT- BH'!D67</f>
        <v>Acompañamiento de acuerdos comerciales entre empresas y medianos productores</v>
      </c>
      <c r="R34" s="366"/>
      <c r="S34" s="366"/>
      <c r="T34" s="366"/>
      <c r="U34" s="366"/>
      <c r="V34" s="366"/>
      <c r="W34" s="366"/>
      <c r="X34" s="366"/>
      <c r="Y34" s="366"/>
      <c r="Z34" s="366"/>
    </row>
    <row r="35" spans="1:26" ht="30.1" customHeight="1" x14ac:dyDescent="0.25">
      <c r="A35" s="1412"/>
      <c r="B35" s="173"/>
      <c r="C35" s="11" t="str">
        <f>'4. Intervenciones UDT - HCBM'!D31</f>
        <v>Certificación orgánica y  Comercio Justo</v>
      </c>
      <c r="D35" s="366"/>
      <c r="E35" s="475" t="str">
        <f>'4. Intervenciones UDT - HCBM'!D68</f>
        <v>Mejoramiento genético de ganado bovino</v>
      </c>
      <c r="F35" s="366"/>
      <c r="G35" s="484" t="str">
        <f>'6. Intervenciones UDT- AM'!D31</f>
        <v>Certificación orgánica y  Comercio Justo</v>
      </c>
      <c r="H35" s="366"/>
      <c r="I35" s="475" t="str">
        <f>'6. Intervenciones UDT- AM'!D66</f>
        <v>Mejoramiento genético de ganado bovino</v>
      </c>
      <c r="J35" s="366"/>
      <c r="K35" s="11" t="str">
        <f>'5. Intervenciones UDT - AH'!D31</f>
        <v>Certificación orgánica y  Comercio Justo</v>
      </c>
      <c r="L35" s="366"/>
      <c r="M35" s="475" t="str">
        <f>'5. Intervenciones UDT - AH'!D67</f>
        <v>Mejoramiento genético de ganado bovino</v>
      </c>
      <c r="N35" s="366"/>
      <c r="O35" s="11" t="str">
        <f>'7. Intervenciones UDT- BH'!D31</f>
        <v>Certificación orgánica y  Comercio Justo</v>
      </c>
      <c r="P35" s="366"/>
      <c r="Q35" s="475" t="str">
        <f>'7. Intervenciones UDT- BH'!D68</f>
        <v>Ampliación de estudios de HCS y HCV para nuevas áreas potenciales para asociación con pequeños productores</v>
      </c>
      <c r="R35" s="366"/>
      <c r="S35" s="366"/>
      <c r="T35" s="366"/>
      <c r="U35" s="366"/>
      <c r="V35" s="366"/>
      <c r="W35" s="366"/>
      <c r="X35" s="366"/>
      <c r="Y35" s="366"/>
      <c r="Z35" s="366"/>
    </row>
    <row r="36" spans="1:26" ht="30.1" customHeight="1" x14ac:dyDescent="0.25">
      <c r="A36" s="1412"/>
      <c r="B36" s="173"/>
      <c r="C36" s="484" t="str">
        <f>'4. Intervenciones UDT - HCBM'!D32</f>
        <v>Promoción y acceso a los Mecanismos de Retribución por Servicios Eco sistémicos (MERESE)</v>
      </c>
      <c r="D36" s="366"/>
      <c r="E36" s="475" t="str">
        <f>'4. Intervenciones UDT - HCBM'!D69</f>
        <v>Programa de acceso al financiamiento agropecuario condicionado</v>
      </c>
      <c r="F36" s="366"/>
      <c r="G36" s="484" t="str">
        <f>'6. Intervenciones UDT- AM'!D32</f>
        <v>Promoción y acceso a los Mecanismos de Retribución por Servicios Eco sistémicos (MERESE)</v>
      </c>
      <c r="H36" s="366"/>
      <c r="I36" s="475" t="str">
        <f>'6. Intervenciones UDT- AM'!D67</f>
        <v>Programa de acceso al financiamiento agropecuario condicionado</v>
      </c>
      <c r="J36" s="366"/>
      <c r="K36" s="484" t="str">
        <f>'5. Intervenciones UDT - AH'!D32</f>
        <v>Promoción y acceso a los Mecanismos de Retribución por Servicios Eco sistémicos (MERESE)</v>
      </c>
      <c r="L36" s="366"/>
      <c r="M36" s="475" t="str">
        <f>'5. Intervenciones UDT - AH'!D68</f>
        <v>Programa de acceso al financiamiento agropecuario condicionado</v>
      </c>
      <c r="N36" s="366"/>
      <c r="O36" s="11" t="str">
        <f>'7. Intervenciones UDT- BH'!D32</f>
        <v>Certificación RSPO</v>
      </c>
      <c r="P36" s="366"/>
      <c r="Q36" s="825"/>
      <c r="R36" s="366"/>
      <c r="S36" s="366"/>
      <c r="T36" s="366"/>
      <c r="U36" s="366"/>
      <c r="V36" s="366"/>
      <c r="W36" s="366"/>
      <c r="X36" s="366"/>
      <c r="Y36" s="366"/>
      <c r="Z36" s="366"/>
    </row>
    <row r="37" spans="1:26" ht="33.799999999999997" customHeight="1" x14ac:dyDescent="0.25">
      <c r="A37" s="1412"/>
      <c r="B37" s="173"/>
      <c r="C37" s="366"/>
      <c r="D37" s="366"/>
      <c r="E37" s="475" t="str">
        <f>'4. Intervenciones UDT - HCBM'!D70</f>
        <v>Promoción de modelos asociativos sostenibles</v>
      </c>
      <c r="F37" s="366"/>
      <c r="G37" s="366"/>
      <c r="H37" s="366"/>
      <c r="I37" s="475" t="str">
        <f>'6. Intervenciones UDT- AM'!D68</f>
        <v>Promoción de modelos asociativos sostenibles</v>
      </c>
      <c r="J37" s="366"/>
      <c r="K37" s="11" t="str">
        <f>'5. Intervenciones UDT - AH'!D33</f>
        <v>Certificación RSPO</v>
      </c>
      <c r="L37" s="366"/>
      <c r="M37" s="475" t="str">
        <f>'5. Intervenciones UDT - AH'!D69</f>
        <v>Promoción de modelos asociativos sostenibles</v>
      </c>
      <c r="N37" s="366"/>
      <c r="O37" s="475" t="str">
        <f>'7. Intervenciones UDT- BH'!D33</f>
        <v>Promoción y desarrollo de proveedores de semillas mejoradas</v>
      </c>
      <c r="P37" s="366"/>
      <c r="Q37" s="495" t="str">
        <f>'7. Intervenciones UDT- BH'!F72</f>
        <v>Territorios de comunidades nativas</v>
      </c>
      <c r="R37" s="366"/>
      <c r="S37" s="366"/>
      <c r="T37" s="366"/>
      <c r="U37" s="366"/>
      <c r="V37" s="366"/>
      <c r="W37" s="366"/>
      <c r="X37" s="366"/>
      <c r="Y37" s="366"/>
      <c r="Z37" s="366"/>
    </row>
    <row r="38" spans="1:26" ht="33.799999999999997" customHeight="1" x14ac:dyDescent="0.25">
      <c r="A38" s="1412"/>
      <c r="B38" s="173"/>
      <c r="C38" s="495" t="str">
        <f>'4. Intervenciones UDT - HCBM'!F76</f>
        <v>Territorios de comunidades nativas</v>
      </c>
      <c r="D38" s="366"/>
      <c r="E38" s="475" t="str">
        <f>'4. Intervenciones UDT - HCBM'!D71</f>
        <v>Implementación de infraestructura productiva baja en emisiones</v>
      </c>
      <c r="F38" s="366"/>
      <c r="G38" s="495" t="str">
        <f>'6. Intervenciones UDT- AM'!F74</f>
        <v>Territorios de comunidades nativas</v>
      </c>
      <c r="H38" s="366"/>
      <c r="I38" s="475" t="str">
        <f>'6. Intervenciones UDT- AM'!D69</f>
        <v>Implementación de infraestructura productiva baja en emisiones</v>
      </c>
      <c r="J38" s="366"/>
      <c r="K38" s="366"/>
      <c r="L38" s="366"/>
      <c r="M38" s="475" t="str">
        <f>'5. Intervenciones UDT - AH'!D70</f>
        <v>Implementación de infraestructura productiva baja en emisiones</v>
      </c>
      <c r="N38" s="366"/>
      <c r="O38" s="484" t="str">
        <f>'7. Intervenciones UDT- BH'!D34</f>
        <v>Promoción y acceso a los Mecanismos de Retribución por Servicios Eco sistémicos (MERESE)</v>
      </c>
      <c r="P38" s="366"/>
      <c r="Q38" s="475" t="str">
        <f>'7. Intervenciones UDT- BH'!D80</f>
        <v xml:space="preserve">Concluir reconocimiento y titulación </v>
      </c>
      <c r="R38" s="366"/>
      <c r="S38" s="366"/>
      <c r="T38" s="366"/>
      <c r="U38" s="366"/>
      <c r="V38" s="366"/>
      <c r="W38" s="366"/>
      <c r="X38" s="366"/>
      <c r="Y38" s="366"/>
      <c r="Z38" s="366"/>
    </row>
    <row r="39" spans="1:26" ht="30.75" customHeight="1" x14ac:dyDescent="0.25">
      <c r="A39" s="1412"/>
      <c r="B39" s="173"/>
      <c r="C39" s="475" t="str">
        <f>'4. Intervenciones UDT - HCBM'!D84</f>
        <v xml:space="preserve">Concluir reconocimiento y titulación </v>
      </c>
      <c r="D39" s="366"/>
      <c r="E39" s="11" t="str">
        <f>'4. Intervenciones UDT - HCBM'!D72</f>
        <v>Promoción y acceso a los Mecanismos de Retribución por Servicios Eco sistémicos (MERESE)</v>
      </c>
      <c r="F39" s="366"/>
      <c r="G39" s="475" t="str">
        <f>'6. Intervenciones UDT- AM'!D82</f>
        <v>Solución de conflictos en las CCNN</v>
      </c>
      <c r="H39" s="366"/>
      <c r="I39" s="11" t="str">
        <f>'6. Intervenciones UDT- AM'!D70</f>
        <v>Promoción y acceso a los Mecanismos de Retribución por Servicios Eco sistémicos (MERESE)</v>
      </c>
      <c r="J39" s="366"/>
      <c r="K39" s="495" t="str">
        <f>'5. Intervenciones UDT - AH'!F90</f>
        <v xml:space="preserve">Concesiones para conservación y ecoturismo </v>
      </c>
      <c r="L39" s="366"/>
      <c r="M39" s="11" t="str">
        <f>'5. Intervenciones UDT - AH'!D71</f>
        <v>Promoción y acceso a los Mecanismos de Retribución por Servicios Eco sistémicos (MERESE)</v>
      </c>
      <c r="N39" s="366"/>
      <c r="O39" s="366"/>
      <c r="P39" s="366"/>
      <c r="Q39" s="475" t="str">
        <f>'7. Intervenciones UDT- BH'!D81</f>
        <v xml:space="preserve">Asistencia técnica para el manejo agroforestal </v>
      </c>
      <c r="R39" s="366"/>
      <c r="S39" s="366"/>
      <c r="T39" s="366"/>
      <c r="U39" s="366"/>
      <c r="V39" s="366"/>
      <c r="W39" s="366"/>
      <c r="X39" s="366"/>
      <c r="Y39" s="366"/>
      <c r="Z39" s="366"/>
    </row>
    <row r="40" spans="1:26" ht="22.6" customHeight="1" x14ac:dyDescent="0.25">
      <c r="A40" s="1412"/>
      <c r="B40" s="173"/>
      <c r="C40" s="488" t="str">
        <f>'4. Intervenciones UDT - HCBM'!D85</f>
        <v xml:space="preserve">Asistencia técnica para el manejo agroforestal </v>
      </c>
      <c r="D40" s="366"/>
      <c r="E40" s="825"/>
      <c r="F40" s="366"/>
      <c r="G40" s="475" t="str">
        <f>'6. Intervenciones UDT- AM'!D83</f>
        <v xml:space="preserve">Asistencia técnica para el manejo agroforestal </v>
      </c>
      <c r="H40" s="366"/>
      <c r="I40" s="366"/>
      <c r="J40" s="366"/>
      <c r="K40" s="475" t="str">
        <f>'5. Intervenciones UDT - AH'!D98</f>
        <v>Incentivos financieros para promoción del ecoturismo y turismo comunitario</v>
      </c>
      <c r="L40" s="366"/>
      <c r="M40" s="825"/>
      <c r="N40" s="366"/>
      <c r="O40" s="495" t="str">
        <f>'7. Intervenciones UDT- BH'!F91</f>
        <v xml:space="preserve">Concesiones para conservación y ecoturismo </v>
      </c>
      <c r="P40" s="366"/>
      <c r="Q40" s="475" t="str">
        <f>'7. Intervenciones UDT- BH'!D82</f>
        <v xml:space="preserve">Promoción de Bionegocios con productos forestales no maderables </v>
      </c>
      <c r="R40" s="366"/>
      <c r="S40" s="366"/>
      <c r="T40" s="366"/>
      <c r="U40" s="366"/>
      <c r="V40" s="366"/>
      <c r="W40" s="366"/>
      <c r="X40" s="366"/>
      <c r="Y40" s="366"/>
      <c r="Z40" s="366"/>
    </row>
    <row r="41" spans="1:26" ht="31.6" customHeight="1" x14ac:dyDescent="0.25">
      <c r="A41" s="1412"/>
      <c r="B41" s="173"/>
      <c r="C41" s="475" t="str">
        <f>'4. Intervenciones UDT - HCBM'!D86</f>
        <v xml:space="preserve">Promoción de Bionegocios con productos forestales no maderables </v>
      </c>
      <c r="D41" s="366"/>
      <c r="E41" s="495" t="str">
        <f>'4. Intervenciones UDT - HCBM'!F95</f>
        <v xml:space="preserve">Concesiones para conservación y ecoturismo </v>
      </c>
      <c r="F41" s="366"/>
      <c r="G41" s="475" t="str">
        <f>'6. Intervenciones UDT- AM'!D84</f>
        <v xml:space="preserve">Promoción de Bionegocios con productos forestales no maderables </v>
      </c>
      <c r="H41" s="366"/>
      <c r="I41" s="495" t="str">
        <f>'6. Intervenciones UDT- AM'!F93</f>
        <v xml:space="preserve">Concesiones para conservación y ecoturismo </v>
      </c>
      <c r="J41" s="366"/>
      <c r="K41" s="484" t="str">
        <f>'5. Intervenciones UDT - AH'!D99</f>
        <v>Asistencia técnica para la gestión del turismo y acciones integradas para el desarrollo de las organizaciones  o emprendimientos comunitarios</v>
      </c>
      <c r="L41" s="366"/>
      <c r="M41" s="495" t="str">
        <f>'5. Intervenciones UDT - AH'!F75</f>
        <v>Empresas comercializadoras de palma y sus derivados.</v>
      </c>
      <c r="N41" s="366"/>
      <c r="O41" s="475" t="str">
        <f>'7. Intervenciones UDT- BH'!D99</f>
        <v>Incentivos financieros para promoción del ecoturismo y turismo comunitario</v>
      </c>
      <c r="P41" s="366"/>
      <c r="Q41" s="475" t="str">
        <f>'7. Intervenciones UDT- BH'!D83</f>
        <v>Fortalecimiento de capacidades</v>
      </c>
      <c r="R41" s="366"/>
      <c r="S41" s="366"/>
      <c r="T41" s="366"/>
      <c r="U41" s="366"/>
      <c r="V41" s="366"/>
      <c r="W41" s="366"/>
      <c r="X41" s="366"/>
      <c r="Y41" s="366"/>
      <c r="Z41" s="366"/>
    </row>
    <row r="42" spans="1:26" ht="32.299999999999997" customHeight="1" x14ac:dyDescent="0.25">
      <c r="A42" s="1412"/>
      <c r="B42" s="173"/>
      <c r="C42" s="475" t="str">
        <f>'4. Intervenciones UDT - HCBM'!D87</f>
        <v>Fortalecimiento de capacidades</v>
      </c>
      <c r="D42" s="366"/>
      <c r="E42" s="475" t="str">
        <f>'4. Intervenciones UDT - HCBM'!D103</f>
        <v>Incentivos financieros para promoción del ecoturismo y turismo comunitario</v>
      </c>
      <c r="F42" s="366"/>
      <c r="G42" s="475" t="str">
        <f>'6. Intervenciones UDT- AM'!D85</f>
        <v>Fortalecimiento de capacidades</v>
      </c>
      <c r="H42" s="366"/>
      <c r="I42" s="475" t="str">
        <f>'6. Intervenciones UDT- AM'!D101</f>
        <v>Incentivos financieros para la promoción del ecoturismo y turismo comunitario</v>
      </c>
      <c r="J42" s="366"/>
      <c r="K42" s="475" t="str">
        <f>'5. Intervenciones UDT - AH'!D100</f>
        <v xml:space="preserve">Promoción de Bionegocios con productos forestales no maderables </v>
      </c>
      <c r="L42" s="366"/>
      <c r="M42" s="475" t="str">
        <f>'5. Intervenciones UDT - AH'!D83</f>
        <v>Otorgamiento de derechos sobre la tierra/bosques</v>
      </c>
      <c r="N42" s="366"/>
      <c r="O42" s="11" t="str">
        <f>'7. Intervenciones UDT- BH'!D100</f>
        <v>Asistencia técnica para la gestión del turismo y acciones integradas para el desarrollo de las organizaciones  o emprendimientos comunitarios</v>
      </c>
      <c r="P42" s="366"/>
      <c r="Q42" s="475" t="str">
        <f>'7. Intervenciones UDT- BH'!D84</f>
        <v>Identificación y apertura de mercado para productos del bosque.</v>
      </c>
      <c r="R42" s="366"/>
      <c r="S42" s="366"/>
      <c r="T42" s="366"/>
      <c r="U42" s="366"/>
      <c r="V42" s="366"/>
      <c r="W42" s="366"/>
      <c r="X42" s="366"/>
      <c r="Y42" s="366"/>
      <c r="Z42" s="366"/>
    </row>
    <row r="43" spans="1:26" ht="34.5" customHeight="1" x14ac:dyDescent="0.25">
      <c r="A43" s="1412"/>
      <c r="B43" s="173"/>
      <c r="C43" s="475" t="str">
        <f>'4. Intervenciones UDT - HCBM'!D88</f>
        <v>Identificación y apertura de mercado para productos del bosque.</v>
      </c>
      <c r="D43" s="366"/>
      <c r="E43" s="484" t="str">
        <f>'4. Intervenciones UDT - HCBM'!D104</f>
        <v>Asistencia técnica para la gestión del turismo y acciones integradas para el desarrollo de las organizaciones  o emprendimientos comunitarios</v>
      </c>
      <c r="F43" s="366"/>
      <c r="G43" s="475" t="str">
        <f>'6. Intervenciones UDT- AM'!D86</f>
        <v>Identificación y apertura de mercado para productos del bosque.</v>
      </c>
      <c r="H43" s="366"/>
      <c r="I43" s="484" t="str">
        <f>'6. Intervenciones UDT- AM'!D102</f>
        <v>Asistencia técnica para la gestión del turismo y acciones integradas para el desarrollo de las organizaciones  o emprendimientos comunitarios</v>
      </c>
      <c r="J43" s="366"/>
      <c r="K43" s="484" t="str">
        <f>'5. Intervenciones UDT - AH'!D101</f>
        <v xml:space="preserve"> Promoción de mercados turísticos</v>
      </c>
      <c r="L43" s="366"/>
      <c r="M43" s="475" t="str">
        <f>'5. Intervenciones UDT - AH'!D84</f>
        <v>Acceso a financiamiento para modelos de asociación con pequeños productores</v>
      </c>
      <c r="N43" s="366"/>
      <c r="O43" s="475" t="str">
        <f>'7. Intervenciones UDT- BH'!D101</f>
        <v xml:space="preserve">Promoción de Bionegocios con productos forestales no maderables </v>
      </c>
      <c r="P43" s="366"/>
      <c r="Q43" s="475" t="str">
        <f>'7. Intervenciones UDT- BH'!D85</f>
        <v>Transferencias de incentivos por conservación de bosques</v>
      </c>
      <c r="R43" s="366"/>
      <c r="S43" s="366"/>
      <c r="T43" s="366"/>
      <c r="U43" s="366"/>
      <c r="V43" s="366"/>
      <c r="W43" s="366"/>
      <c r="X43" s="366"/>
      <c r="Y43" s="366"/>
      <c r="Z43" s="366"/>
    </row>
    <row r="44" spans="1:26" ht="27" customHeight="1" x14ac:dyDescent="0.25">
      <c r="A44" s="1412"/>
      <c r="B44" s="173"/>
      <c r="C44" s="475" t="str">
        <f>'4. Intervenciones UDT - HCBM'!D89</f>
        <v>Transferencias de Incentivos para protección de bosques</v>
      </c>
      <c r="D44" s="366"/>
      <c r="E44" s="475" t="str">
        <f>'4. Intervenciones UDT - HCBM'!D105</f>
        <v xml:space="preserve">Promoción de Bionegocios con productos forestales no maderables </v>
      </c>
      <c r="F44" s="366"/>
      <c r="G44" s="475" t="str">
        <f>'6. Intervenciones UDT- AM'!D87</f>
        <v>Transferencias de incentivos por conservación de bosques</v>
      </c>
      <c r="H44" s="366"/>
      <c r="I44" s="475" t="str">
        <f>'6. Intervenciones UDT- AM'!D103</f>
        <v xml:space="preserve">Promoción de Bionegocios con productos forestales no maderables </v>
      </c>
      <c r="J44" s="366"/>
      <c r="K44" s="366"/>
      <c r="L44" s="366"/>
      <c r="M44" s="475" t="str">
        <f>'5. Intervenciones UDT - AH'!D85</f>
        <v>Acompañamiento de acuerdos comerciales entre empresas y medianos productores</v>
      </c>
      <c r="N44" s="366"/>
      <c r="O44" s="11" t="str">
        <f>'7. Intervenciones UDT- BH'!D102</f>
        <v xml:space="preserve"> Promoción de mercados turísticos</v>
      </c>
      <c r="P44" s="366"/>
      <c r="Q44" s="11" t="str">
        <f>'7. Intervenciones UDT- BH'!D86</f>
        <v>Infraestructura comunitaria ( Tambos, Cobertizos, almacenes, cocinas mejoradas, Baños)</v>
      </c>
      <c r="R44" s="366"/>
      <c r="S44" s="366"/>
      <c r="T44" s="366"/>
      <c r="U44" s="366"/>
      <c r="V44" s="366"/>
      <c r="W44" s="366"/>
      <c r="X44" s="366"/>
      <c r="Y44" s="366"/>
      <c r="Z44" s="366"/>
    </row>
    <row r="45" spans="1:26" ht="27.7" customHeight="1" x14ac:dyDescent="0.25">
      <c r="A45" s="1412"/>
      <c r="B45" s="173"/>
      <c r="C45" s="11" t="str">
        <f>'4. Intervenciones UDT - HCBM'!D90</f>
        <v>Infraestructura comunitaria ( Tambos, Cobertizos, almacenes, cocinas mejoradas, Baños)</v>
      </c>
      <c r="D45" s="366"/>
      <c r="E45" s="484" t="str">
        <f>'4. Intervenciones UDT - HCBM'!D106</f>
        <v xml:space="preserve"> Promoción de mercados turísticos</v>
      </c>
      <c r="F45" s="366"/>
      <c r="G45" s="484" t="str">
        <f>'6. Intervenciones UDT- AM'!D88</f>
        <v>Infraestructura comunitaria ( Tambos, Cobertizos, almacenes, cocinas mejoradas, Baños)</v>
      </c>
      <c r="H45" s="366"/>
      <c r="I45" s="484" t="str">
        <f>'6. Intervenciones UDT- AM'!D104</f>
        <v xml:space="preserve"> Promoción de mercados turísticos</v>
      </c>
      <c r="J45" s="366"/>
      <c r="K45" s="495" t="str">
        <f>'5. Intervenciones UDT - AH'!F119</f>
        <v>Área de Conservación Regional Bosque Shunte y Mishollo</v>
      </c>
      <c r="L45" s="366"/>
      <c r="M45" s="475" t="str">
        <f>'5. Intervenciones UDT - AH'!D86</f>
        <v>Ampliación de estudios de HCS y HCV para nuevas áreas potenciales para asociación con pequeños productores</v>
      </c>
      <c r="N45" s="366"/>
      <c r="O45" s="366"/>
      <c r="P45" s="366"/>
      <c r="Q45" s="475" t="str">
        <f>'7. Intervenciones UDT- BH'!D87</f>
        <v>Servicios básicos de calidad</v>
      </c>
      <c r="R45" s="366"/>
      <c r="S45" s="366"/>
      <c r="T45" s="366"/>
      <c r="U45" s="366"/>
      <c r="V45" s="366"/>
      <c r="W45" s="366"/>
      <c r="X45" s="366"/>
      <c r="Y45" s="366"/>
      <c r="Z45" s="366"/>
    </row>
    <row r="46" spans="1:26" ht="21.1" customHeight="1" x14ac:dyDescent="0.25">
      <c r="A46" s="1412"/>
      <c r="B46" s="173"/>
      <c r="C46" s="475" t="str">
        <f>'4. Intervenciones UDT - HCBM'!D91</f>
        <v>Servicios básicos de calidad</v>
      </c>
      <c r="D46" s="366"/>
      <c r="E46" s="825"/>
      <c r="F46" s="366"/>
      <c r="G46" s="475" t="str">
        <f>'6. Intervenciones UDT- AM'!D89</f>
        <v>Servicios básicos de calidad</v>
      </c>
      <c r="H46" s="366"/>
      <c r="I46" s="366"/>
      <c r="J46" s="366"/>
      <c r="K46" s="475" t="str">
        <f>'5. Intervenciones UDT - AH'!D127</f>
        <v>Elaborar lineamientos de uso de recursos y demarcación de límites</v>
      </c>
      <c r="L46" s="366"/>
      <c r="M46" s="825"/>
      <c r="N46" s="366"/>
      <c r="O46" s="495" t="str">
        <f>'7. Intervenciones UDT- BH'!F126</f>
        <v>ZOCRES</v>
      </c>
      <c r="P46" s="366"/>
      <c r="Q46" s="366"/>
      <c r="R46" s="366"/>
      <c r="S46" s="366"/>
      <c r="T46" s="366"/>
      <c r="U46" s="366"/>
      <c r="V46" s="366"/>
      <c r="W46" s="366"/>
      <c r="X46" s="366"/>
      <c r="Y46" s="366"/>
      <c r="Z46" s="366"/>
    </row>
    <row r="47" spans="1:26" ht="32.950000000000003" customHeight="1" x14ac:dyDescent="0.25">
      <c r="A47" s="1412"/>
      <c r="B47" s="173"/>
      <c r="C47" s="366"/>
      <c r="D47" s="366"/>
      <c r="E47" s="495" t="str">
        <f>'4. Intervenciones UDT - HCBM'!F110</f>
        <v xml:space="preserve">Concesiones Forestales Maderables </v>
      </c>
      <c r="F47" s="366"/>
      <c r="G47" s="366"/>
      <c r="H47" s="366"/>
      <c r="I47" s="366"/>
      <c r="J47" s="366"/>
      <c r="K47" s="475" t="str">
        <f>'5. Intervenciones UDT - AH'!D128</f>
        <v>Fortalecer el control y vigilancia</v>
      </c>
      <c r="L47" s="366"/>
      <c r="M47" s="495" t="str">
        <f>'5. Intervenciones UDT - AH'!F105</f>
        <v xml:space="preserve">Concesiones Forestales Maderables </v>
      </c>
      <c r="N47" s="366"/>
      <c r="O47" s="475" t="str">
        <f>'7. Intervenciones UDT- BH'!D134</f>
        <v>Adecuación de ZoCRE a unidad de ordenamiento forestal y/o titulo habilitante forestal y de fauna silvestre de acuerdo a LFFS (Ley No 29763)</v>
      </c>
      <c r="P47" s="366"/>
      <c r="Q47" s="495" t="str">
        <f>'7. Intervenciones UDT- BH'!F107</f>
        <v xml:space="preserve">ACR Cordillera Escalera </v>
      </c>
      <c r="R47" s="366"/>
      <c r="S47" s="366"/>
      <c r="T47" s="366"/>
      <c r="U47" s="366"/>
      <c r="V47" s="366"/>
      <c r="W47" s="366"/>
      <c r="X47" s="366"/>
      <c r="Y47" s="366"/>
      <c r="Z47" s="366"/>
    </row>
    <row r="48" spans="1:26" ht="32.950000000000003" customHeight="1" x14ac:dyDescent="0.25">
      <c r="A48" s="1412"/>
      <c r="B48" s="173"/>
      <c r="C48" s="495" t="str">
        <f>'4. Intervenciones UDT - HCBM'!F124</f>
        <v>Parque Nacional Cordillera Azul</v>
      </c>
      <c r="D48" s="366"/>
      <c r="E48" s="484" t="str">
        <f>'4. Intervenciones UDT - HCBM'!D118</f>
        <v>Exclusión y compensación de concesiones forestales maderables a solicitud del concesionario</v>
      </c>
      <c r="F48" s="366"/>
      <c r="G48" s="495" t="str">
        <f>'6. Intervenciones UDT- AM'!F108</f>
        <v>Bosque de Protección Alto Mayo</v>
      </c>
      <c r="H48" s="366"/>
      <c r="I48" s="495" t="str">
        <f>'6. Intervenciones UDT- AM'!F126</f>
        <v>ZOCRES</v>
      </c>
      <c r="J48" s="366"/>
      <c r="K48" s="484" t="str">
        <f>'5. Intervenciones UDT - AH'!D129</f>
        <v>Sensibilización para el fortalecimiento del control y vigilancia en zona de amortiguamiento</v>
      </c>
      <c r="L48" s="366"/>
      <c r="M48" s="475" t="str">
        <f>'5. Intervenciones UDT - AH'!D113</f>
        <v>Exclusión y compensación de concesiones forestales maderables a solicitud del concesionario</v>
      </c>
      <c r="N48" s="366"/>
      <c r="O48" s="484" t="str">
        <f>'7. Intervenciones UDT- BH'!D135</f>
        <v>Fortalecimiento de capacidades de los responsables de la administración de las nuevas categorías de ordenamiento forestal y títulos habilitantes forestales</v>
      </c>
      <c r="P48" s="366"/>
      <c r="Q48" s="475" t="str">
        <f>'7. Intervenciones UDT- BH'!D115</f>
        <v>Fortalecer el control y vigilancia</v>
      </c>
      <c r="R48" s="366"/>
      <c r="S48" s="366"/>
      <c r="T48" s="366"/>
      <c r="U48" s="366"/>
      <c r="V48" s="366"/>
      <c r="W48" s="366"/>
      <c r="X48" s="366"/>
      <c r="Y48" s="366"/>
      <c r="Z48" s="366"/>
    </row>
    <row r="49" spans="1:26" ht="29.25" customHeight="1" x14ac:dyDescent="0.25">
      <c r="A49" s="1412"/>
      <c r="B49" s="173"/>
      <c r="C49" s="484" t="str">
        <f>'4. Intervenciones UDT - HCBM'!D132</f>
        <v>Sensibilización para el fortalecimiento del control y vigilancia en zona de amortiguamiento</v>
      </c>
      <c r="D49" s="366"/>
      <c r="E49" s="475" t="str">
        <f>'4. Intervenciones UDT - HCBM'!D119</f>
        <v>Incentivos financieros para manejo forestal sostenible</v>
      </c>
      <c r="F49" s="366"/>
      <c r="G49" s="475" t="str">
        <f>'6. Intervenciones UDT- AM'!D116</f>
        <v>Fortalecer el control y vigilancia</v>
      </c>
      <c r="H49" s="366"/>
      <c r="I49" s="475" t="str">
        <f>'6. Intervenciones UDT- AM'!D134</f>
        <v>Adecuación de ZoCRE a unidad de ordenamiento forestal y/o titulo habilitante forestal y de fauna silvestre de acuerdo a LFFS (Ley No 29763)</v>
      </c>
      <c r="J49" s="366"/>
      <c r="K49" s="475" t="str">
        <f>'5. Intervenciones UDT - AH'!D130</f>
        <v>Promoción de agroforestería sostenible en zona de amortiguamiento</v>
      </c>
      <c r="L49" s="366"/>
      <c r="M49" s="475" t="str">
        <f>'5. Intervenciones UDT - AH'!D114</f>
        <v>Incentivos financieros para manejo forestal sostenible</v>
      </c>
      <c r="N49" s="366"/>
      <c r="O49" s="475" t="str">
        <f>'7. Intervenciones UDT- BH'!D136</f>
        <v>Elaboración del plan/declaración de manejo de las nuevas categorías de ordenamiento forestal y títulos habilitantes forestales</v>
      </c>
      <c r="P49" s="366"/>
      <c r="Q49" s="475" t="str">
        <f>'7. Intervenciones UDT- BH'!D116</f>
        <v>Sensibilización para el fortalecimiento del control y vigilancia en zona de amortiguamiento</v>
      </c>
      <c r="R49" s="366"/>
      <c r="S49" s="366"/>
      <c r="T49" s="366"/>
      <c r="U49" s="366"/>
      <c r="V49" s="366"/>
      <c r="W49" s="366"/>
      <c r="X49" s="366"/>
      <c r="Y49" s="366"/>
      <c r="Z49" s="366"/>
    </row>
    <row r="50" spans="1:26" ht="36.700000000000003" customHeight="1" x14ac:dyDescent="0.25">
      <c r="A50" s="1412"/>
      <c r="B50" s="173"/>
      <c r="C50" s="475" t="str">
        <f>'4. Intervenciones UDT - HCBM'!D133</f>
        <v>Fortalecer el control y vigilancia</v>
      </c>
      <c r="D50" s="366"/>
      <c r="E50" s="484" t="str">
        <f>'4. Intervenciones UDT - HCBM'!D120</f>
        <v>Nuevos mecanismos de pagos de deudas por sanciones</v>
      </c>
      <c r="F50" s="366"/>
      <c r="G50" s="477" t="str">
        <f>'6. Intervenciones UDT- AM'!D117</f>
        <v>Sensibilización para el fortalecimiento del control y vigilancia en zona de amortiguamiento</v>
      </c>
      <c r="H50" s="366"/>
      <c r="I50" s="484" t="str">
        <f>'6. Intervenciones UDT- AM'!D135</f>
        <v>Fortalecimiento de capacidades de los responsables de la administración de las nuevas categorías de ordenamiento forestal y títulos habilitantes forestales</v>
      </c>
      <c r="J50" s="366"/>
      <c r="K50" s="484" t="str">
        <f>'5. Intervenciones UDT - AH'!D131</f>
        <v>Promoción y difusión de circuitos turísticos en zona de amortiguamiento</v>
      </c>
      <c r="L50" s="366"/>
      <c r="M50" s="484" t="str">
        <f>'5. Intervenciones UDT - AH'!D115</f>
        <v>Nuevos mecanismos de pagos de deudas por sanciones</v>
      </c>
      <c r="N50" s="366"/>
      <c r="O50" s="475" t="str">
        <f>'7. Intervenciones UDT- BH'!D137</f>
        <v>Inscripción en el catastro forestal y en registros públicos</v>
      </c>
      <c r="P50" s="366"/>
      <c r="Q50" s="11" t="str">
        <f>'7. Intervenciones UDT- BH'!D117</f>
        <v>Promover la planificación comunal en centros poblados del interior en base a la zonificación y zona de amortiguamiento teniendo como base al Plan Maestro (incluye acuerdos de conservación)</v>
      </c>
      <c r="R50" s="366"/>
      <c r="S50" s="366"/>
      <c r="T50" s="366"/>
      <c r="U50" s="366"/>
      <c r="V50" s="366"/>
      <c r="W50" s="366"/>
      <c r="X50" s="366"/>
      <c r="Y50" s="366"/>
      <c r="Z50" s="366"/>
    </row>
    <row r="51" spans="1:26" ht="41.3" customHeight="1" x14ac:dyDescent="0.25">
      <c r="A51" s="1412"/>
      <c r="B51" s="173"/>
      <c r="C51" s="475" t="str">
        <f>'4. Intervenciones UDT - HCBM'!D134</f>
        <v>Promover acuerdos de conservación con cadena de valor para aquellos productos sostenibles con el parque.</v>
      </c>
      <c r="D51" s="366"/>
      <c r="E51" s="825"/>
      <c r="F51" s="366"/>
      <c r="G51" s="475" t="str">
        <f>'6. Intervenciones UDT- AM'!D118</f>
        <v>Promover acuerdos de conservación con cadena de valor para aquellos productos sostenibles con el ANP</v>
      </c>
      <c r="H51" s="366"/>
      <c r="I51" s="475" t="str">
        <f>'6. Intervenciones UDT- AM'!D136</f>
        <v>Elaboración del plan/declaración de manejo de las nuevas categorías de ordenamiento forestal y títulos habilitantes forestales</v>
      </c>
      <c r="J51" s="366"/>
      <c r="K51" s="475" t="str">
        <f>'5. Intervenciones UDT - AH'!D132</f>
        <v>Promover la planificación comunal en centros poblados del interior en base a la zonificación y zona de amortiguamiento teniendo como base al Plan Maestro (incluye acuerdos de conservación)</v>
      </c>
      <c r="L51" s="366"/>
      <c r="M51" s="825"/>
      <c r="N51" s="366"/>
      <c r="O51" s="366"/>
      <c r="P51" s="366"/>
      <c r="Q51" s="475" t="str">
        <f>'7. Intervenciones UDT- BH'!D118</f>
        <v>Promoción y difusión de circuitos turísticos en zona de amortiguamiento</v>
      </c>
      <c r="R51" s="366"/>
      <c r="S51" s="366"/>
      <c r="T51" s="366"/>
      <c r="U51" s="366"/>
      <c r="V51" s="366"/>
      <c r="W51" s="366"/>
      <c r="X51" s="366"/>
      <c r="Y51" s="366"/>
      <c r="Z51" s="366"/>
    </row>
    <row r="52" spans="1:26" ht="31.6" customHeight="1" x14ac:dyDescent="0.25">
      <c r="A52" s="1412"/>
      <c r="B52" s="173"/>
      <c r="C52" s="475" t="str">
        <f>'4. Intervenciones UDT - HCBM'!D135</f>
        <v>Promoción del turismo comunitario en zona de amortiguamiento y al interior del parque</v>
      </c>
      <c r="D52" s="366"/>
      <c r="E52" s="495" t="str">
        <f>'4. Intervenciones UDT - HCBM'!F153</f>
        <v>ZOCRES</v>
      </c>
      <c r="F52" s="366"/>
      <c r="G52" s="475" t="str">
        <f>'6. Intervenciones UDT- AM'!D119</f>
        <v>Promoción del turismo comunitario en zona de amortiguamiento y al interior del ANP</v>
      </c>
      <c r="H52" s="366"/>
      <c r="I52" s="475" t="str">
        <f>'6. Intervenciones UDT- AM'!D137</f>
        <v>Inscripción en el catastro forestal y en registros públicos</v>
      </c>
      <c r="J52" s="366"/>
      <c r="K52" s="475" t="str">
        <f>'5. Intervenciones UDT - AH'!D133</f>
        <v>Recuperación de la red hídrica en la zona de influencia de la ACR</v>
      </c>
      <c r="L52" s="366"/>
      <c r="M52" s="495" t="str">
        <f>'5. Intervenciones UDT - AH'!F140</f>
        <v>Tierras sin categoría territorial asignada</v>
      </c>
      <c r="N52" s="366"/>
      <c r="O52" s="495" t="str">
        <f>'7. Intervenciones UDT- BH'!F141</f>
        <v>Tierras sin categoría territorial asignada</v>
      </c>
      <c r="P52" s="366"/>
      <c r="Q52" s="475" t="str">
        <f>'7. Intervenciones UDT- BH'!D119</f>
        <v>Promoción de agroforestería sostenible en zona de amortiguamiento</v>
      </c>
      <c r="R52" s="366"/>
      <c r="S52" s="366"/>
      <c r="T52" s="366"/>
      <c r="U52" s="366"/>
      <c r="V52" s="366"/>
      <c r="W52" s="366"/>
      <c r="X52" s="366"/>
      <c r="Y52" s="366"/>
      <c r="Z52" s="366"/>
    </row>
    <row r="53" spans="1:26" ht="30.1" customHeight="1" x14ac:dyDescent="0.25">
      <c r="A53" s="1412"/>
      <c r="B53" s="173"/>
      <c r="C53" s="475" t="str">
        <f>'4. Intervenciones UDT - HCBM'!D136</f>
        <v>Promoción de agroforestería sostenible en zona de amortiguamiento y al interior del parque</v>
      </c>
      <c r="D53" s="366"/>
      <c r="E53" s="475" t="str">
        <f>'4. Intervenciones UDT - HCBM'!D161</f>
        <v>Adecuación de ZoCRE a unidad de ordenamiento forestal y/o titulo habilitante forestal y de fauna silvestre de acuerdo a LFFS (Ley No 29763)</v>
      </c>
      <c r="F53" s="366"/>
      <c r="G53" s="475" t="str">
        <f>'6. Intervenciones UDT- AM'!D120</f>
        <v>Promoción de agroforestería sostenible en zona de amortiguamiento y al interior del BPAM</v>
      </c>
      <c r="H53" s="366"/>
      <c r="I53" s="366"/>
      <c r="J53" s="366"/>
      <c r="K53" s="475" t="str">
        <f>'5. Intervenciones UDT - AH'!D134</f>
        <v>Incentivos financieros para promoción del ecoturismo y turismo comunitario</v>
      </c>
      <c r="L53" s="366"/>
      <c r="M53" s="475" t="str">
        <f>'5. Intervenciones UDT - AH'!D148</f>
        <v>Creación y establecimiento de unidades de ordenamiento forestal, otorgamiento de títulos habilitantes forestales y tenencia de la tierra</v>
      </c>
      <c r="N53" s="366"/>
      <c r="O53" s="475" t="str">
        <f>'7. Intervenciones UDT- BH'!D149</f>
        <v>Creación y establecimiento de unidades de ordenamiento forestal, otorgamiento de títulos habilitantes forestales y tenencia de la tierra</v>
      </c>
      <c r="P53" s="366"/>
      <c r="Q53" s="475" t="str">
        <f>'7. Intervenciones UDT- BH'!D120</f>
        <v>Recuperación de la red hídrica en la zona de influencia de la ACR</v>
      </c>
      <c r="R53" s="366"/>
      <c r="S53" s="366"/>
      <c r="T53" s="366"/>
      <c r="U53" s="366"/>
      <c r="V53" s="366"/>
      <c r="W53" s="366"/>
      <c r="X53" s="366"/>
      <c r="Y53" s="366"/>
      <c r="Z53" s="366"/>
    </row>
    <row r="54" spans="1:26" ht="32.950000000000003" customHeight="1" x14ac:dyDescent="0.25">
      <c r="A54" s="1412"/>
      <c r="B54" s="173"/>
      <c r="C54" s="366"/>
      <c r="D54" s="366"/>
      <c r="E54" s="484" t="str">
        <f>'4. Intervenciones UDT - HCBM'!D162</f>
        <v>Fortalecimiento de capacidades de los responsables de la administración de las nuevas categorías de ordenamiento forestal y títulos habilitantes forestales</v>
      </c>
      <c r="F54" s="366"/>
      <c r="G54" s="475" t="str">
        <f>'6. Intervenciones UDT- AM'!D121</f>
        <v>Asistencia técnica para el desarrollo agroforestal diseñados e implementados junto a SERNANP</v>
      </c>
      <c r="H54" s="366"/>
      <c r="I54" s="495" t="str">
        <f>'6. Intervenciones UDT- AM'!F141</f>
        <v>Tierras sin categoría territorial asignada</v>
      </c>
      <c r="J54" s="366"/>
      <c r="K54" s="825"/>
      <c r="L54" s="366"/>
      <c r="M54" s="11" t="str">
        <f>'5. Intervenciones UDT - AH'!D149</f>
        <v>Fortalecimiento de capacidades de los responsables de la administración de las nuevas categorías de ordenamiento forestal y títulos habilitantes forestales</v>
      </c>
      <c r="N54" s="366"/>
      <c r="O54" s="11" t="str">
        <f>'7. Intervenciones UDT- BH'!D150</f>
        <v>Fortalecimiento de capacidades de los responsables de la administración de las nuevas categorías de ordenamiento forestal y títulos habilitantes forestales</v>
      </c>
      <c r="P54" s="366"/>
      <c r="Q54" s="475" t="str">
        <f>'7. Intervenciones UDT- BH'!D121</f>
        <v>Incentivos financieros para promoción del ecoturismo y turismo comunitario</v>
      </c>
      <c r="R54" s="366"/>
      <c r="S54" s="366"/>
      <c r="T54" s="366"/>
      <c r="U54" s="366"/>
      <c r="V54" s="366"/>
      <c r="W54" s="366"/>
      <c r="X54" s="366"/>
      <c r="Y54" s="366"/>
      <c r="Z54" s="366"/>
    </row>
    <row r="55" spans="1:26" ht="32.299999999999997" customHeight="1" x14ac:dyDescent="0.25">
      <c r="A55" s="1412"/>
      <c r="B55" s="173"/>
      <c r="C55" s="495" t="str">
        <f>'4. Intervenciones UDT - HCBM'!F139</f>
        <v>Parque Nacional del Río Abiseo</v>
      </c>
      <c r="D55" s="366"/>
      <c r="E55" s="475" t="str">
        <f>'4. Intervenciones UDT - HCBM'!D163</f>
        <v>Elaboración del plan/declaración de manejo de las nuevas categorías de ordenamiento forestal y títulos habilitantes forestales</v>
      </c>
      <c r="F55" s="366"/>
      <c r="G55" s="475" t="str">
        <f>'6. Intervenciones UDT- AM'!D122</f>
        <v>Incentivos financieros para promoción del ecoturismo y turismo comunitario</v>
      </c>
      <c r="H55" s="366"/>
      <c r="I55" s="475" t="str">
        <f>'6. Intervenciones UDT- AM'!D149</f>
        <v>Creación y establecimiento de unidades de ordenamiento forestal, otorgamiento de títulos habilitantes forestales y tenencia de la tierra</v>
      </c>
      <c r="J55" s="366"/>
      <c r="K55" s="366"/>
      <c r="L55" s="366"/>
      <c r="M55" s="475" t="str">
        <f>'5. Intervenciones UDT - AH'!D150</f>
        <v>Elaboración del plan/declaración de manejo de las nuevas categorías de ordenamiento forestal y títulos habilitantes forestales</v>
      </c>
      <c r="N55" s="366"/>
      <c r="O55" s="475" t="str">
        <f>'7. Intervenciones UDT- BH'!D151</f>
        <v>Elaboración del plan/declaración de manejo de las nuevas categorías de ordenamiento forestal y títulos habilitantes forestales</v>
      </c>
      <c r="P55" s="366"/>
      <c r="Q55" s="475" t="str">
        <f>'7. Intervenciones UDT- BH'!D122</f>
        <v>Asistencia técnica para el desarrollo agroforestal diseñados e implementados</v>
      </c>
      <c r="R55" s="366"/>
      <c r="S55" s="366"/>
      <c r="T55" s="366"/>
      <c r="U55" s="366"/>
      <c r="V55" s="366"/>
      <c r="W55" s="366"/>
      <c r="X55" s="366"/>
      <c r="Y55" s="366"/>
      <c r="Z55" s="366"/>
    </row>
    <row r="56" spans="1:26" ht="32.950000000000003" customHeight="1" x14ac:dyDescent="0.25">
      <c r="A56" s="1412"/>
      <c r="B56" s="173"/>
      <c r="C56" s="475" t="str">
        <f>'4. Intervenciones UDT - HCBM'!D147</f>
        <v>Promover acuerdos de conservación con cadena de valor para aquellos productos sostenibles con el parque.</v>
      </c>
      <c r="D56" s="366"/>
      <c r="E56" s="475" t="str">
        <f>'4. Intervenciones UDT - HCBM'!D164</f>
        <v>Inscripción en el catastro forestal y en registros públicos</v>
      </c>
      <c r="F56" s="366"/>
      <c r="G56" s="366"/>
      <c r="H56" s="366"/>
      <c r="I56" s="11" t="str">
        <f>'6. Intervenciones UDT- AM'!D150</f>
        <v>Fortalecimiento de capacidades de los responsables de la administración de las nuevas categorías de ordenamiento forestal y títulos habilitantes forestales</v>
      </c>
      <c r="J56" s="366"/>
      <c r="K56" s="366"/>
      <c r="L56" s="366"/>
      <c r="M56" s="475" t="str">
        <f>'5. Intervenciones UDT - AH'!D151</f>
        <v>Inscripción en el catastro forestal y en registros públicos</v>
      </c>
      <c r="N56" s="366"/>
      <c r="O56" s="475" t="str">
        <f>'7. Intervenciones UDT- BH'!D152</f>
        <v>Inscripción en el catastro forestal y en registros públicos</v>
      </c>
      <c r="P56" s="366"/>
      <c r="Q56" s="366"/>
      <c r="R56" s="366"/>
      <c r="S56" s="366"/>
      <c r="T56" s="366"/>
      <c r="U56" s="366"/>
      <c r="V56" s="366"/>
      <c r="W56" s="366"/>
      <c r="X56" s="366"/>
      <c r="Y56" s="366"/>
      <c r="Z56" s="366"/>
    </row>
    <row r="57" spans="1:26" s="243" customFormat="1" ht="31.6" customHeight="1" x14ac:dyDescent="0.25">
      <c r="A57" s="1412"/>
      <c r="B57" s="173"/>
      <c r="C57" s="476" t="str">
        <f>'4. Intervenciones UDT - HCBM'!D148</f>
        <v>Promoción del turismo comunitario en zona de amortiguamiento y al interior del parque</v>
      </c>
      <c r="D57" s="366"/>
      <c r="E57" s="366"/>
      <c r="F57" s="366"/>
      <c r="G57" s="366"/>
      <c r="H57" s="366"/>
      <c r="I57" s="475" t="str">
        <f>'6. Intervenciones UDT- AM'!D151</f>
        <v>Elaboración del plan/declaración de manejo de las nuevas categorías de ordenamiento forestal y títulos habilitantes forestales</v>
      </c>
      <c r="J57" s="366"/>
      <c r="K57" s="366"/>
      <c r="L57" s="366"/>
      <c r="M57" s="475" t="str">
        <f>'5. Intervenciones UDT - AH'!D152</f>
        <v>Restauración de áreas degradadas</v>
      </c>
      <c r="N57" s="366"/>
      <c r="O57" s="475" t="str">
        <f>'7. Intervenciones UDT- BH'!D153</f>
        <v>Restauración de áreas degradadas</v>
      </c>
      <c r="P57" s="366"/>
      <c r="Q57" s="366"/>
      <c r="R57" s="366"/>
      <c r="S57" s="366"/>
      <c r="T57" s="366"/>
      <c r="U57" s="366"/>
      <c r="V57" s="366"/>
      <c r="W57" s="366"/>
      <c r="X57" s="366"/>
      <c r="Y57" s="366"/>
      <c r="Z57" s="366"/>
    </row>
    <row r="58" spans="1:26" ht="23.95" customHeight="1" x14ac:dyDescent="0.25">
      <c r="A58" s="1412"/>
      <c r="B58" s="173"/>
      <c r="C58" s="476" t="str">
        <f>'4. Intervenciones UDT - HCBM'!D149</f>
        <v>Promoción de agroforestería sostenible en zona de amortiguamiento del parque</v>
      </c>
      <c r="D58" s="366"/>
      <c r="E58" s="495" t="str">
        <f>'4. Intervenciones UDT - HCBM'!F168</f>
        <v>Tierras sin categoría territorial asignada</v>
      </c>
      <c r="F58" s="366"/>
      <c r="G58" s="366"/>
      <c r="H58" s="366"/>
      <c r="I58" s="475" t="str">
        <f>'6. Intervenciones UDT- AM'!D152</f>
        <v>Inscripción en el catastro forestal y en registros públicos</v>
      </c>
      <c r="J58" s="366"/>
      <c r="K58" s="366"/>
      <c r="L58" s="366"/>
      <c r="M58" s="366"/>
      <c r="N58" s="366"/>
      <c r="O58" s="366"/>
      <c r="P58" s="366"/>
      <c r="Q58" s="366"/>
      <c r="R58" s="366"/>
      <c r="S58" s="366"/>
      <c r="T58" s="366"/>
      <c r="U58" s="366"/>
      <c r="V58" s="366"/>
      <c r="W58" s="366"/>
      <c r="X58" s="366"/>
      <c r="Y58" s="366"/>
      <c r="Z58" s="366"/>
    </row>
    <row r="59" spans="1:26" s="367" customFormat="1" ht="31.6" customHeight="1" x14ac:dyDescent="0.25">
      <c r="A59" s="1412"/>
      <c r="B59" s="173"/>
      <c r="C59" s="366"/>
      <c r="D59" s="366"/>
      <c r="E59" s="475" t="str">
        <f>'4. Intervenciones UDT - HCBM'!D176</f>
        <v>Creación y establecimiento de unidades de ordenamiento forestal, otorgamiento de títulos habilitantes forestales y tenencia de la tierra</v>
      </c>
      <c r="F59" s="366"/>
      <c r="G59" s="366"/>
      <c r="H59" s="366"/>
      <c r="I59" s="484" t="str">
        <f>'6. Intervenciones UDT- AM'!D153</f>
        <v>Restauración de áreas degradadas</v>
      </c>
      <c r="J59" s="366"/>
      <c r="K59" s="366"/>
      <c r="L59" s="366"/>
      <c r="M59" s="366"/>
      <c r="N59" s="366"/>
      <c r="O59" s="366"/>
      <c r="P59" s="366"/>
      <c r="Q59" s="366"/>
      <c r="R59" s="366"/>
      <c r="S59" s="366"/>
      <c r="T59" s="366"/>
      <c r="U59" s="366"/>
      <c r="V59" s="366"/>
      <c r="W59" s="366"/>
      <c r="X59" s="366"/>
      <c r="Y59" s="366"/>
      <c r="Z59" s="366"/>
    </row>
    <row r="60" spans="1:26" s="367" customFormat="1" ht="31.6" customHeight="1" x14ac:dyDescent="0.25">
      <c r="A60" s="1412"/>
      <c r="B60" s="173"/>
      <c r="C60" s="366"/>
      <c r="D60" s="366"/>
      <c r="E60" s="11" t="str">
        <f>'4. Intervenciones UDT - HCBM'!D177</f>
        <v>Fortalecimiento de capacidades de los responsables de la administración de las nuevas categorías de ordenamiento forestal y títulos habilitantes forestales</v>
      </c>
      <c r="F60" s="366"/>
      <c r="G60" s="366"/>
      <c r="H60" s="366"/>
      <c r="I60" s="366"/>
      <c r="J60" s="366"/>
      <c r="K60" s="366"/>
      <c r="L60" s="366"/>
      <c r="M60" s="366"/>
      <c r="N60" s="366"/>
      <c r="O60" s="366"/>
      <c r="P60" s="366"/>
      <c r="Q60" s="366"/>
      <c r="R60" s="366"/>
      <c r="S60" s="366"/>
      <c r="T60" s="366"/>
      <c r="U60" s="366"/>
      <c r="V60" s="366"/>
      <c r="W60" s="366"/>
      <c r="X60" s="366"/>
      <c r="Y60" s="366"/>
      <c r="Z60" s="366"/>
    </row>
    <row r="61" spans="1:26" s="367" customFormat="1" ht="31.6" customHeight="1" x14ac:dyDescent="0.25">
      <c r="A61" s="1412"/>
      <c r="B61" s="173"/>
      <c r="C61" s="366"/>
      <c r="D61" s="366"/>
      <c r="E61" s="475" t="str">
        <f>'4. Intervenciones UDT - HCBM'!D178</f>
        <v>Elaboración del plan/declaración de manejo de las nuevas categorías de ordenamiento forestal y títulos habilitantes forestales</v>
      </c>
      <c r="F61" s="366"/>
      <c r="G61" s="366"/>
      <c r="H61" s="366"/>
      <c r="I61" s="366"/>
      <c r="J61" s="366"/>
      <c r="K61" s="366"/>
      <c r="L61" s="366"/>
      <c r="M61" s="366"/>
      <c r="N61" s="366"/>
      <c r="O61" s="366"/>
      <c r="P61" s="366"/>
      <c r="Q61" s="366"/>
      <c r="R61" s="366"/>
      <c r="S61" s="366"/>
      <c r="T61" s="366"/>
      <c r="U61" s="366"/>
      <c r="V61" s="366"/>
      <c r="W61" s="366"/>
      <c r="X61" s="366"/>
      <c r="Y61" s="366"/>
      <c r="Z61" s="366"/>
    </row>
    <row r="62" spans="1:26" s="367" customFormat="1" ht="23.95" customHeight="1" x14ac:dyDescent="0.25">
      <c r="A62" s="1412"/>
      <c r="B62" s="173"/>
      <c r="C62" s="366"/>
      <c r="D62" s="366"/>
      <c r="E62" s="475" t="str">
        <f>'4. Intervenciones UDT - HCBM'!D179</f>
        <v>Inscripción en el catastro forestal y en registros públicos</v>
      </c>
      <c r="F62" s="366"/>
      <c r="G62" s="366"/>
      <c r="H62" s="366"/>
      <c r="I62" s="366"/>
      <c r="J62" s="366"/>
      <c r="K62" s="366"/>
      <c r="L62" s="366"/>
      <c r="M62" s="366"/>
      <c r="N62" s="366"/>
      <c r="O62" s="366"/>
      <c r="P62" s="366"/>
      <c r="Q62" s="366"/>
      <c r="R62" s="366"/>
      <c r="S62" s="366"/>
      <c r="T62" s="366"/>
      <c r="U62" s="366"/>
      <c r="V62" s="366"/>
      <c r="W62" s="366"/>
      <c r="X62" s="366"/>
      <c r="Y62" s="366"/>
      <c r="Z62" s="366"/>
    </row>
    <row r="63" spans="1:26" s="367" customFormat="1" ht="23.95" customHeight="1" x14ac:dyDescent="0.25">
      <c r="A63" s="1412"/>
      <c r="B63" s="173"/>
      <c r="C63" s="366"/>
      <c r="D63" s="366"/>
      <c r="E63" s="484" t="str">
        <f>'4. Intervenciones UDT - HCBM'!D180</f>
        <v>Restauración de áreas degradadas</v>
      </c>
      <c r="F63" s="366"/>
      <c r="G63" s="366"/>
      <c r="H63" s="366"/>
      <c r="I63" s="366"/>
      <c r="J63" s="366"/>
      <c r="K63" s="366"/>
      <c r="L63" s="366"/>
      <c r="M63" s="366"/>
      <c r="N63" s="366"/>
      <c r="O63" s="366"/>
      <c r="P63" s="366"/>
      <c r="Q63" s="366"/>
      <c r="R63" s="366"/>
      <c r="S63" s="366"/>
      <c r="T63" s="366"/>
      <c r="U63" s="366"/>
      <c r="V63" s="366"/>
      <c r="W63" s="366"/>
      <c r="X63" s="366"/>
      <c r="Y63" s="366"/>
      <c r="Z63" s="366"/>
    </row>
    <row r="64" spans="1:26" ht="18" customHeight="1" x14ac:dyDescent="0.25">
      <c r="A64" s="1412"/>
      <c r="B64" s="173"/>
      <c r="C64" s="366"/>
      <c r="D64" s="366"/>
      <c r="E64" s="366"/>
      <c r="F64" s="366"/>
      <c r="G64" s="366"/>
      <c r="H64" s="366"/>
      <c r="I64" s="366"/>
      <c r="J64" s="366"/>
      <c r="K64" s="366"/>
      <c r="L64" s="366"/>
      <c r="M64" s="366"/>
      <c r="N64" s="366"/>
      <c r="O64" s="366"/>
      <c r="P64" s="366"/>
      <c r="Q64" s="366"/>
      <c r="R64" s="366"/>
      <c r="S64" s="366"/>
      <c r="T64" s="366"/>
      <c r="U64" s="366"/>
      <c r="V64" s="366"/>
      <c r="W64" s="366"/>
      <c r="X64" s="366"/>
      <c r="Y64" s="366"/>
      <c r="Z64" s="366"/>
    </row>
    <row r="65" spans="1:26" s="667" customFormat="1" ht="28.55" customHeight="1" x14ac:dyDescent="0.25">
      <c r="A65" s="1412"/>
      <c r="B65" s="763"/>
      <c r="C65" s="1404" t="s">
        <v>399</v>
      </c>
      <c r="D65" s="1405"/>
      <c r="E65" s="1406"/>
      <c r="F65" s="497"/>
      <c r="G65" s="1407" t="s">
        <v>400</v>
      </c>
      <c r="H65" s="1405"/>
      <c r="I65" s="1406"/>
      <c r="J65" s="497"/>
      <c r="K65" s="1407" t="s">
        <v>401</v>
      </c>
      <c r="L65" s="1405"/>
      <c r="M65" s="1406"/>
      <c r="N65" s="497"/>
      <c r="O65" s="1407" t="s">
        <v>402</v>
      </c>
      <c r="P65" s="1405"/>
      <c r="Q65" s="1406"/>
      <c r="R65" s="497"/>
      <c r="S65" s="497"/>
      <c r="T65" s="497"/>
      <c r="U65" s="497"/>
      <c r="V65" s="497"/>
      <c r="W65" s="497"/>
      <c r="X65" s="497"/>
      <c r="Y65" s="497"/>
      <c r="Z65" s="497"/>
    </row>
    <row r="66" spans="1:26" ht="30.1" customHeight="1" x14ac:dyDescent="0.25">
      <c r="A66" s="1412"/>
      <c r="B66" s="173"/>
      <c r="C66" s="1389" t="str">
        <f>'4. Intervenciones UDT - HCBM'!D188</f>
        <v>Acuerdos con rondas campesinas y rondas nativas para cumplimiento de compromisos de no deforestación y tráfico de tierras e invasiones</v>
      </c>
      <c r="D66" s="1390"/>
      <c r="E66" s="1391"/>
      <c r="F66" s="366"/>
      <c r="G66" s="1389" t="str">
        <f>'6. Intervenciones UDT- AM'!D161</f>
        <v>Acuerdos con rondas campesinas y rondas nativas para cumplimiento de compromisos de no deforestación y tráfico de tierras e invasiones</v>
      </c>
      <c r="H66" s="1390"/>
      <c r="I66" s="1391"/>
      <c r="J66" s="366"/>
      <c r="K66" s="1389" t="str">
        <f>'5. Intervenciones UDT - AH'!D159</f>
        <v>Acuerdos con rondas campesinas para cumplimiento de compromisos de no deforestación y tráfico de tierras e invasiones</v>
      </c>
      <c r="L66" s="1390"/>
      <c r="M66" s="1391"/>
      <c r="N66" s="366"/>
      <c r="O66" s="1389" t="str">
        <f>'7. Intervenciones UDT- BH'!D160</f>
        <v>Acuerdos con rondas campesinas y rondas nativas para cumplimiento de compromisos de no deforestación y tráfico de tierras e invasiones</v>
      </c>
      <c r="P66" s="1390"/>
      <c r="Q66" s="1391"/>
      <c r="R66" s="366"/>
      <c r="S66" s="366"/>
      <c r="T66" s="366"/>
      <c r="U66" s="366"/>
      <c r="V66" s="366"/>
      <c r="W66" s="366"/>
      <c r="X66" s="366"/>
      <c r="Y66" s="366"/>
      <c r="Z66" s="366"/>
    </row>
    <row r="67" spans="1:26" ht="39.75" customHeight="1" x14ac:dyDescent="0.25">
      <c r="A67" s="1412"/>
      <c r="B67" s="173"/>
      <c r="C67" s="1392" t="str">
        <f>'4. Intervenciones UDT - HCBM'!D189</f>
        <v>Fortalecimiento del monitoreo de la cobertura de bosques y control de la tala ilegal (deforestación, extracción de especies forestales de valor comercial y forestales para tutores de cultivos)</v>
      </c>
      <c r="D67" s="1393"/>
      <c r="E67" s="1394"/>
      <c r="F67" s="366"/>
      <c r="G67" s="1392" t="str">
        <f>'6. Intervenciones UDT- AM'!D162</f>
        <v>Fortalecimiento del monitoreo de la cobertura de bosques y control de la tala ilegal (deforestación, extracción de especies forestales de valor comercial y forestales para tutores de cultivos)</v>
      </c>
      <c r="H67" s="1393"/>
      <c r="I67" s="1394"/>
      <c r="J67" s="366"/>
      <c r="K67" s="1389" t="str">
        <f>'5. Intervenciones UDT - AH'!D160</f>
        <v>Mejora de programas de desarrollo alternativo con salvaguardas ambientales</v>
      </c>
      <c r="L67" s="1390"/>
      <c r="M67" s="1391"/>
      <c r="N67" s="366"/>
      <c r="O67" s="1389" t="str">
        <f>'7. Intervenciones UDT- BH'!D161</f>
        <v>Mejoramiento de vías de acceso</v>
      </c>
      <c r="P67" s="1390"/>
      <c r="Q67" s="1391"/>
      <c r="R67" s="366"/>
      <c r="S67" s="366"/>
      <c r="T67" s="366"/>
      <c r="U67" s="366"/>
      <c r="V67" s="366"/>
      <c r="W67" s="366"/>
      <c r="X67" s="366"/>
      <c r="Y67" s="366"/>
      <c r="Z67" s="366"/>
    </row>
    <row r="68" spans="1:26" ht="26.35" customHeight="1" x14ac:dyDescent="0.25">
      <c r="A68" s="1412"/>
      <c r="B68" s="173"/>
      <c r="C68" s="1389" t="str">
        <f>'4. Intervenciones UDT - HCBM'!D190</f>
        <v>Mejoramiento de vías de acceso</v>
      </c>
      <c r="D68" s="1390"/>
      <c r="E68" s="1391"/>
      <c r="F68" s="366"/>
      <c r="G68" s="1389" t="str">
        <f>'6. Intervenciones UDT- AM'!D163</f>
        <v>Mejoramiento de vías de acceso</v>
      </c>
      <c r="H68" s="1390"/>
      <c r="I68" s="1391"/>
      <c r="J68" s="366"/>
      <c r="K68" s="1389" t="str">
        <f>'5. Intervenciones UDT - AH'!D161</f>
        <v>Mejoramiento de vías de acceso</v>
      </c>
      <c r="L68" s="1390"/>
      <c r="M68" s="1391"/>
      <c r="N68" s="366"/>
      <c r="O68" s="1392" t="str">
        <f>'7. Intervenciones UDT- BH'!D162</f>
        <v>Restauración ecológica del paisaje</v>
      </c>
      <c r="P68" s="1393"/>
      <c r="Q68" s="1394"/>
      <c r="R68" s="366"/>
      <c r="S68" s="366"/>
      <c r="T68" s="366"/>
      <c r="U68" s="366"/>
      <c r="V68" s="366"/>
      <c r="W68" s="366"/>
      <c r="X68" s="366"/>
      <c r="Y68" s="366"/>
      <c r="Z68" s="366"/>
    </row>
    <row r="69" spans="1:26" ht="21.75" customHeight="1" x14ac:dyDescent="0.25">
      <c r="A69" s="1412"/>
      <c r="B69" s="173"/>
      <c r="C69" s="1392" t="str">
        <f>'4. Intervenciones UDT - HCBM'!D191</f>
        <v>Restauración ecológica del paisaje</v>
      </c>
      <c r="D69" s="1393"/>
      <c r="E69" s="1394"/>
      <c r="F69" s="366"/>
      <c r="G69" s="1392" t="str">
        <f>'6. Intervenciones UDT- AM'!D164</f>
        <v>Restauración ecológica del paisaje</v>
      </c>
      <c r="H69" s="1393"/>
      <c r="I69" s="1394"/>
      <c r="J69" s="366"/>
      <c r="K69" s="1392" t="str">
        <f>'5. Intervenciones UDT - AH'!D162</f>
        <v>Restauración ecológica del paisaje</v>
      </c>
      <c r="L69" s="1393"/>
      <c r="M69" s="1394"/>
      <c r="N69" s="366"/>
      <c r="O69" s="1389" t="str">
        <f>'7. Intervenciones UDT- BH'!D163</f>
        <v>Mejor cobertura y calidad de servicios de educación y salud</v>
      </c>
      <c r="P69" s="1390"/>
      <c r="Q69" s="1391"/>
      <c r="R69" s="366"/>
      <c r="S69" s="366"/>
      <c r="T69" s="366"/>
      <c r="U69" s="366"/>
      <c r="V69" s="366"/>
      <c r="W69" s="366"/>
      <c r="X69" s="366"/>
      <c r="Y69" s="366"/>
      <c r="Z69" s="366"/>
    </row>
    <row r="70" spans="1:26" ht="22.6" customHeight="1" x14ac:dyDescent="0.25">
      <c r="A70" s="1412"/>
      <c r="B70" s="173"/>
      <c r="C70" s="1389" t="str">
        <f>'4. Intervenciones UDT - HCBM'!D192</f>
        <v>Mejor cobertura y calidad de servicios de educación y salud</v>
      </c>
      <c r="D70" s="1390"/>
      <c r="E70" s="1391"/>
      <c r="F70" s="366"/>
      <c r="G70" s="1389" t="str">
        <f>'6. Intervenciones UDT- AM'!D165</f>
        <v>Mejor cobertura y calidad de servicios de educación y salud</v>
      </c>
      <c r="H70" s="1390"/>
      <c r="I70" s="1391"/>
      <c r="J70" s="366"/>
      <c r="K70" s="1389" t="str">
        <f>'5. Intervenciones UDT - AH'!D163</f>
        <v>Mejor cobertura y calidad de servicios de educación y salud</v>
      </c>
      <c r="L70" s="1390"/>
      <c r="M70" s="1391"/>
      <c r="N70" s="366"/>
      <c r="O70" s="1389" t="str">
        <f>'7. Intervenciones UDT- BH'!D164</f>
        <v>Programa de servicios públicos móviles</v>
      </c>
      <c r="P70" s="1390"/>
      <c r="Q70" s="1391"/>
      <c r="R70" s="366"/>
      <c r="S70" s="366"/>
      <c r="T70" s="366"/>
      <c r="U70" s="366"/>
      <c r="V70" s="366"/>
      <c r="W70" s="366"/>
      <c r="X70" s="366"/>
      <c r="Y70" s="366"/>
      <c r="Z70" s="366"/>
    </row>
    <row r="71" spans="1:26" ht="24.8" customHeight="1" x14ac:dyDescent="0.25">
      <c r="A71" s="1412"/>
      <c r="B71" s="173"/>
      <c r="C71" s="1389" t="str">
        <f>'4. Intervenciones UDT - HCBM'!D193</f>
        <v>Programa de servicios públicos móviles</v>
      </c>
      <c r="D71" s="1390"/>
      <c r="E71" s="1391"/>
      <c r="F71" s="366"/>
      <c r="G71" s="1389" t="str">
        <f>'6. Intervenciones UDT- AM'!D166</f>
        <v>Programa de servicios públicos móviles</v>
      </c>
      <c r="H71" s="1390"/>
      <c r="I71" s="1391"/>
      <c r="J71" s="366"/>
      <c r="K71" s="1389" t="str">
        <f>'5. Intervenciones UDT - AH'!D164</f>
        <v>Programa de servicios públicos móviles</v>
      </c>
      <c r="L71" s="1390"/>
      <c r="M71" s="1391"/>
      <c r="N71" s="366"/>
      <c r="O71" s="1392" t="str">
        <f>'7. Intervenciones UDT- BH'!D165</f>
        <v xml:space="preserve">Promoción Marca "San Martín Región" y "Aliados por la Conservación" </v>
      </c>
      <c r="P71" s="1393"/>
      <c r="Q71" s="1394"/>
      <c r="R71" s="366"/>
      <c r="S71" s="366"/>
      <c r="T71" s="366"/>
      <c r="U71" s="366"/>
      <c r="V71" s="366"/>
      <c r="W71" s="366"/>
      <c r="X71" s="366"/>
      <c r="Y71" s="366"/>
      <c r="Z71" s="366"/>
    </row>
    <row r="72" spans="1:26" ht="24.8" customHeight="1" x14ac:dyDescent="0.25">
      <c r="A72" s="1412"/>
      <c r="B72" s="173"/>
      <c r="C72" s="1392" t="str">
        <f>'4. Intervenciones UDT - HCBM'!D194</f>
        <v xml:space="preserve">Promoción Marca "San Martín Región" y "Aliados por la Conservación" </v>
      </c>
      <c r="D72" s="1393"/>
      <c r="E72" s="1394"/>
      <c r="F72" s="366"/>
      <c r="G72" s="1392" t="str">
        <f>'6. Intervenciones UDT- AM'!D167</f>
        <v xml:space="preserve">Promoción Marca "San Martín Región" y "Aliados por la Conservación" </v>
      </c>
      <c r="H72" s="1393"/>
      <c r="I72" s="1394"/>
      <c r="J72" s="366"/>
      <c r="K72" s="1392" t="str">
        <f>'5. Intervenciones UDT - AH'!D165</f>
        <v xml:space="preserve">Promoción Marca "San Martín Región" y "Aliados por la Conservación" </v>
      </c>
      <c r="L72" s="1393"/>
      <c r="M72" s="1394"/>
      <c r="N72" s="366"/>
      <c r="O72" s="366"/>
      <c r="P72" s="366"/>
      <c r="Q72" s="366"/>
      <c r="R72" s="366"/>
      <c r="S72" s="366"/>
      <c r="T72" s="366"/>
      <c r="U72" s="366"/>
      <c r="V72" s="366"/>
      <c r="W72" s="366"/>
      <c r="X72" s="366"/>
      <c r="Y72" s="366"/>
      <c r="Z72" s="366"/>
    </row>
    <row r="73" spans="1:26" ht="24.8" customHeight="1" x14ac:dyDescent="0.25">
      <c r="A73" s="1412"/>
      <c r="B73" s="173"/>
      <c r="C73" s="366"/>
      <c r="D73" s="366"/>
      <c r="E73" s="366"/>
      <c r="F73" s="366"/>
      <c r="G73" s="1398"/>
      <c r="H73" s="1398"/>
      <c r="I73" s="1398"/>
      <c r="J73" s="366"/>
      <c r="K73" s="1398"/>
      <c r="L73" s="1398"/>
      <c r="M73" s="1398"/>
      <c r="N73" s="366"/>
      <c r="O73" s="366"/>
      <c r="P73" s="366"/>
      <c r="Q73" s="366"/>
      <c r="R73" s="366"/>
      <c r="S73" s="366"/>
      <c r="T73" s="366"/>
      <c r="U73" s="366"/>
      <c r="V73" s="366"/>
      <c r="W73" s="366"/>
      <c r="X73" s="366"/>
      <c r="Y73" s="366"/>
      <c r="Z73" s="366"/>
    </row>
    <row r="74" spans="1:26" ht="32.950000000000003" customHeight="1" x14ac:dyDescent="0.25">
      <c r="A74" s="1412"/>
      <c r="B74" s="173"/>
      <c r="C74" s="366"/>
      <c r="D74" s="366"/>
      <c r="E74" s="366"/>
      <c r="F74" s="366"/>
      <c r="G74" s="366"/>
      <c r="H74" s="366"/>
      <c r="I74" s="366"/>
      <c r="J74" s="366"/>
      <c r="K74" s="366"/>
      <c r="L74" s="366"/>
      <c r="M74" s="366"/>
      <c r="N74" s="366"/>
      <c r="O74" s="366"/>
      <c r="P74" s="366"/>
      <c r="Q74" s="366"/>
      <c r="R74" s="366"/>
      <c r="S74" s="366"/>
      <c r="T74" s="366"/>
      <c r="U74" s="366"/>
      <c r="V74" s="366"/>
      <c r="W74" s="366"/>
      <c r="X74" s="366"/>
      <c r="Y74" s="366"/>
      <c r="Z74" s="366"/>
    </row>
    <row r="75" spans="1:26" ht="22.6" customHeight="1" x14ac:dyDescent="0.25">
      <c r="A75" s="1412"/>
      <c r="B75" s="173"/>
      <c r="C75" s="1399" t="s">
        <v>403</v>
      </c>
      <c r="D75" s="1397"/>
      <c r="E75" s="1397"/>
      <c r="F75" s="1397"/>
      <c r="G75" s="1397"/>
      <c r="H75" s="1397"/>
      <c r="I75" s="1397"/>
      <c r="J75" s="1397"/>
      <c r="K75" s="1397"/>
      <c r="L75" s="1397"/>
      <c r="M75" s="1397"/>
      <c r="N75" s="1397"/>
      <c r="O75" s="1397"/>
      <c r="P75" s="1397"/>
      <c r="Q75" s="1397"/>
      <c r="R75" s="366"/>
      <c r="S75" s="366"/>
      <c r="T75" s="366"/>
      <c r="U75" s="366"/>
      <c r="V75" s="366"/>
      <c r="W75" s="366"/>
      <c r="X75" s="366"/>
      <c r="Y75" s="366"/>
      <c r="Z75" s="366"/>
    </row>
    <row r="76" spans="1:26" ht="14.95" customHeight="1" x14ac:dyDescent="0.25">
      <c r="A76" s="1412"/>
      <c r="B76" s="173"/>
      <c r="C76" s="366"/>
      <c r="D76" s="366"/>
      <c r="E76" s="366"/>
      <c r="F76" s="366"/>
      <c r="G76" s="366"/>
      <c r="H76" s="366"/>
      <c r="I76" s="366"/>
      <c r="J76" s="366"/>
      <c r="K76" s="366"/>
      <c r="L76" s="366"/>
      <c r="M76" s="366"/>
      <c r="N76" s="366"/>
      <c r="O76" s="366"/>
      <c r="P76" s="366"/>
      <c r="Q76" s="366"/>
      <c r="R76" s="366"/>
      <c r="S76" s="366"/>
      <c r="T76" s="366"/>
      <c r="U76" s="366"/>
      <c r="V76" s="366"/>
      <c r="W76" s="366"/>
      <c r="X76" s="366"/>
      <c r="Y76" s="366"/>
      <c r="Z76" s="366"/>
    </row>
    <row r="77" spans="1:26" ht="37.549999999999997" customHeight="1" x14ac:dyDescent="0.25">
      <c r="A77" s="1412"/>
      <c r="B77" s="173"/>
      <c r="C77" s="491" t="str">
        <f>+'3.Intervenciones Transv. Region'!D9</f>
        <v>Zonificación Agroecológica</v>
      </c>
      <c r="D77" s="366"/>
      <c r="E77" s="15" t="str">
        <f>+'3.Intervenciones Transv. Region'!D14</f>
        <v>Implementación del FONDESAM</v>
      </c>
      <c r="F77" s="366"/>
      <c r="G77" s="491" t="str">
        <f>+'3.Intervenciones Transv. Region'!D18</f>
        <v>Programa de emprendimiento rural juvenil, para promover el empalme generacional.</v>
      </c>
      <c r="H77" s="366"/>
      <c r="I77" s="491" t="str">
        <f>+'3.Intervenciones Transv. Region'!D22</f>
        <v xml:space="preserve">
Promoción de emprendimientos agroindustriales de la pequeña empresa sobre la base de los productos del biocomercio </v>
      </c>
      <c r="J77" s="366"/>
      <c r="K77" s="491" t="str">
        <f>+'3.Intervenciones Transv. Region'!D25</f>
        <v>Promover servicios de asesoramiento empresarial en inversiones y facilitación del crédito</v>
      </c>
      <c r="L77" s="366"/>
      <c r="M77" s="15" t="str">
        <f>+'3.Intervenciones Transv. Region'!D30</f>
        <v>Programa de capacitación para funcionarios del gobierno regional sobre ética y anticorrupción.</v>
      </c>
      <c r="N77" s="366"/>
      <c r="O77" s="493" t="str">
        <f>+'3.Intervenciones Transv. Region'!D35</f>
        <v>Implementación de la mesa regional de control y vigilancia forestal y de fauna silvestre.</v>
      </c>
      <c r="P77" s="366"/>
      <c r="Q77" s="493" t="str">
        <f>+'3.Intervenciones Transv. Region'!D40</f>
        <v>Fortalecimiento de las fiscalías especializadas en materia ambiental regionales. (A)</v>
      </c>
      <c r="R77" s="366"/>
      <c r="S77" s="366"/>
      <c r="T77" s="366"/>
      <c r="U77" s="366"/>
      <c r="V77" s="366"/>
      <c r="W77" s="366"/>
      <c r="X77" s="366"/>
      <c r="Y77" s="366"/>
      <c r="Z77" s="366"/>
    </row>
    <row r="78" spans="1:26" s="308" customFormat="1" ht="37.549999999999997" customHeight="1" x14ac:dyDescent="0.25">
      <c r="A78" s="1412"/>
      <c r="B78" s="173"/>
      <c r="C78" s="491" t="str">
        <f>+'3.Intervenciones Transv. Region'!D10</f>
        <v>Zonificación forestal, bosques sin categoría asignada, incluyendo ZOCREs actuales y propuestas.</v>
      </c>
      <c r="D78" s="366"/>
      <c r="E78" s="15" t="str">
        <f>+'3.Intervenciones Transv. Region'!D15</f>
        <v>Programa de Gestión Empresarial</v>
      </c>
      <c r="F78" s="366"/>
      <c r="G78" s="15"/>
      <c r="H78" s="366"/>
      <c r="I78" s="491" t="str">
        <f>+'3.Intervenciones Transv. Region'!D23</f>
        <v>Promoción de productos derivados y gestión de calidad</v>
      </c>
      <c r="J78" s="366"/>
      <c r="K78" s="491" t="str">
        <f>+'3.Intervenciones Transv. Region'!D26</f>
        <v>Diseño de productos financieros para la producción baja en emisiones</v>
      </c>
      <c r="L78" s="366"/>
      <c r="M78" s="492" t="str">
        <f>+'3.Intervenciones Transv. Region'!D31</f>
        <v>Simplificación administrativa de tramites de derechos sobre la tierra y los recursos naturales.</v>
      </c>
      <c r="N78" s="366"/>
      <c r="O78" s="491" t="str">
        <f>+'3.Intervenciones Transv. Region'!D36</f>
        <v>Capacitación a comunidades nativas, campesinas y custodios forestales.</v>
      </c>
      <c r="P78" s="366"/>
      <c r="Q78" s="493" t="str">
        <f>+'3.Intervenciones Transv. Region'!D42</f>
        <v>Implementación de operativos coordinados para el control forestal.</v>
      </c>
      <c r="R78" s="366"/>
      <c r="S78" s="366"/>
      <c r="T78" s="366"/>
      <c r="U78" s="366"/>
      <c r="V78" s="366"/>
      <c r="W78" s="366"/>
      <c r="X78" s="366"/>
      <c r="Y78" s="366"/>
      <c r="Z78" s="366"/>
    </row>
    <row r="79" spans="1:26" ht="43.5" customHeight="1" x14ac:dyDescent="0.25">
      <c r="A79" s="1412"/>
      <c r="B79" s="173"/>
      <c r="C79" s="491" t="str">
        <f>+'3.Intervenciones Transv. Region'!D11</f>
        <v>Promoción de actividad agrícola, pecuaria y acuícola adaptada al cambio climático.</v>
      </c>
      <c r="D79" s="366"/>
      <c r="E79" s="15" t="str">
        <f>+'3.Intervenciones Transv. Region'!D16</f>
        <v>Implementación de la "Marca San Martín Región"</v>
      </c>
      <c r="F79" s="366"/>
      <c r="G79" s="491" t="str">
        <f>+'3.Intervenciones Transv. Region'!D19</f>
        <v>Mejorar la competitividad de la oferta e identificación de la demanda turística.</v>
      </c>
      <c r="H79" s="366"/>
      <c r="I79" s="15"/>
      <c r="J79" s="366"/>
      <c r="K79" s="491" t="str">
        <f>+'3.Intervenciones Transv. Region'!D27</f>
        <v>Promoción y Desarrollo de alianzas comerciales entre grandes, medianas, pequeñas empresas y productores organizados y no organizados para producción baja en emisiones.</v>
      </c>
      <c r="L79" s="366"/>
      <c r="M79" s="322" t="str">
        <f>+'3.Intervenciones Transv. Region'!D32</f>
        <v xml:space="preserve">Implementar un clasificador de cargos acorde a la normativa vigente para lograr la competitividad de los funcionarios públicos. </v>
      </c>
      <c r="N79" s="366"/>
      <c r="O79" s="491" t="str">
        <f>+'3.Intervenciones Transv. Region'!D37</f>
        <v>Equipamiento a rondas y custodios forestales.</v>
      </c>
      <c r="P79" s="366"/>
      <c r="Q79" s="15" t="str">
        <f>+'3.Intervenciones Transv. Region'!D43</f>
        <v>Elaboración, aprobación e implementación de procedimiento regional integrado del cambio de uso actual para tierras A y C (Articulo No 38 LFFS Ley No 29763) con procedimientos de otorgamiento de la propiedad agraria (titulación de predios y adjudicaciones)</v>
      </c>
      <c r="R79" s="366"/>
      <c r="S79" s="366"/>
      <c r="T79" s="366"/>
      <c r="U79" s="366"/>
      <c r="V79" s="366"/>
      <c r="W79" s="366"/>
      <c r="X79" s="366"/>
      <c r="Y79" s="366"/>
      <c r="Z79" s="366"/>
    </row>
    <row r="80" spans="1:26" ht="32.450000000000003" customHeight="1" x14ac:dyDescent="0.25">
      <c r="A80" s="1412"/>
      <c r="B80" s="173"/>
      <c r="C80" s="491" t="str">
        <f>+'3.Intervenciones Transv. Region'!D12</f>
        <v>Aprovechamiento del recurso forestal maderable, provenientes de sistemas agroforestales sostenibles.</v>
      </c>
      <c r="D80" s="366"/>
      <c r="E80" s="15"/>
      <c r="F80" s="366"/>
      <c r="G80" s="491" t="str">
        <f>+'3.Intervenciones Transv. Region'!D20</f>
        <v>Promoción de la planificación comunal en centros poblados.</v>
      </c>
      <c r="H80" s="366"/>
      <c r="I80" s="491" t="str">
        <f>+'3.Intervenciones Transv. Region'!D24</f>
        <v>Implementación del Sistema de formalización del uso de la tierra y Recursos Naturales.</v>
      </c>
      <c r="J80" s="366"/>
      <c r="K80" s="491" t="str">
        <f>+'3.Intervenciones Transv. Region'!D28</f>
        <v>Estrategia de promoción de productos regionales bajos en emisiones.</v>
      </c>
      <c r="L80" s="366"/>
      <c r="M80" s="493" t="str">
        <f>+'3.Intervenciones Transv. Region'!D33</f>
        <v>Fortalecimiento de la oficina de control interno del Gobierno Regional San Martín y la fiscalía anticorrupción regional.</v>
      </c>
      <c r="N80" s="366"/>
      <c r="O80" s="15" t="str">
        <f>+'3.Intervenciones Transv. Region'!D38</f>
        <v>Implementación de unidad de control forestal y de fauna silvestre en el ARA (gastos corrientes).</v>
      </c>
      <c r="P80" s="366"/>
      <c r="Q80" s="825"/>
      <c r="R80" s="366"/>
      <c r="S80" s="366"/>
      <c r="T80" s="366"/>
      <c r="U80" s="366"/>
      <c r="V80" s="366"/>
      <c r="W80" s="366"/>
      <c r="X80" s="366"/>
      <c r="Y80" s="366"/>
      <c r="Z80" s="366"/>
    </row>
    <row r="81" spans="1:26" s="308" customFormat="1" ht="32.450000000000003" customHeight="1" x14ac:dyDescent="0.25">
      <c r="A81" s="1412"/>
      <c r="B81" s="309"/>
      <c r="C81" s="15" t="str">
        <f>+'3.Intervenciones Transv. Region'!D13</f>
        <v>Programa de incentivos a la restauración comunitaria con salvaguardas sociales y ambientales</v>
      </c>
      <c r="D81" s="366"/>
      <c r="E81" s="491" t="str">
        <f>+'3.Intervenciones Transv. Region'!D17</f>
        <v>Fortalecimiento de la equidad de género y poblaciones vulnerables</v>
      </c>
      <c r="F81" s="366"/>
      <c r="G81" s="491" t="str">
        <f>+'3.Intervenciones Transv. Region'!D21</f>
        <v>Fortalecer los procesos de Investigación, innovación, y transferencia tecnológica para la producción baja en emisiones.</v>
      </c>
      <c r="H81" s="366"/>
      <c r="I81" s="15"/>
      <c r="J81" s="366"/>
      <c r="K81" s="15" t="str">
        <f>+'3.Intervenciones Transv. Region'!D29</f>
        <v>Acuerdo regional de producción baja en emisiones e implementación de iniciativa de campeones por los bosques tropicales (TFC) en el marco de la coalición público privada por una producción sostenible.</v>
      </c>
      <c r="L81" s="366"/>
      <c r="M81" s="15" t="str">
        <f>+'3.Intervenciones Transv. Region'!D34</f>
        <v xml:space="preserve">Campañas de difusión y promoción para prevenir actos de corrupcion en los procesos del codigo de ética de la gestión pública. </v>
      </c>
      <c r="N81" s="366"/>
      <c r="O81" s="15" t="str">
        <f>+'3.Intervenciones Transv. Region'!D39</f>
        <v>Implementación de unidad de control forestal y de fauna silvestre en el ARA (gastos de inversión).</v>
      </c>
      <c r="P81" s="366"/>
      <c r="Q81" s="825"/>
      <c r="R81" s="366"/>
      <c r="S81" s="366"/>
      <c r="T81" s="366"/>
      <c r="U81" s="366"/>
      <c r="V81" s="366"/>
      <c r="W81" s="366"/>
      <c r="X81" s="366"/>
      <c r="Y81" s="366"/>
      <c r="Z81" s="366"/>
    </row>
    <row r="82" spans="1:26" ht="23.1" customHeight="1" x14ac:dyDescent="0.25">
      <c r="A82" s="1"/>
      <c r="B82" s="1"/>
      <c r="C82" s="1"/>
      <c r="D82" s="1"/>
      <c r="E82" s="1"/>
      <c r="F82" s="1"/>
      <c r="G82" s="1"/>
      <c r="H82" s="1"/>
      <c r="I82" s="1"/>
      <c r="J82" s="1"/>
      <c r="K82" s="1"/>
      <c r="L82" s="1"/>
      <c r="M82" s="1"/>
      <c r="N82" s="1"/>
      <c r="O82" s="1"/>
      <c r="P82" s="1"/>
      <c r="Q82" s="825"/>
      <c r="R82" s="1"/>
      <c r="S82" s="1"/>
      <c r="T82" s="1"/>
      <c r="U82" s="1"/>
      <c r="V82" s="1"/>
      <c r="W82" s="1"/>
      <c r="X82" s="1"/>
      <c r="Y82" s="1"/>
      <c r="Z82" s="1"/>
    </row>
    <row r="83" spans="1:26" ht="40.6" customHeight="1" x14ac:dyDescent="0.25">
      <c r="A83" s="174" t="s">
        <v>404</v>
      </c>
      <c r="B83" s="1"/>
      <c r="C83" s="1409" t="s">
        <v>405</v>
      </c>
      <c r="D83" s="1397"/>
      <c r="E83" s="1397"/>
      <c r="F83" s="1397"/>
      <c r="G83" s="1397"/>
      <c r="H83" s="1397"/>
      <c r="I83" s="1397"/>
      <c r="J83" s="1397"/>
      <c r="K83" s="1397"/>
      <c r="L83" s="1397"/>
      <c r="M83" s="1397"/>
      <c r="N83" s="1397"/>
      <c r="O83" s="1397"/>
      <c r="P83" s="1397"/>
      <c r="Q83" s="1397"/>
      <c r="R83" s="1"/>
      <c r="S83" s="1"/>
      <c r="T83" s="1"/>
      <c r="U83" s="1"/>
      <c r="V83" s="1"/>
      <c r="W83" s="1"/>
      <c r="X83" s="1"/>
      <c r="Y83" s="1"/>
      <c r="Z83" s="1"/>
    </row>
    <row r="84" spans="1:26" ht="15.6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9.4" customHeight="1" x14ac:dyDescent="0.25">
      <c r="A85" s="829" t="s">
        <v>406</v>
      </c>
      <c r="B85" s="1"/>
      <c r="C85" s="1410" t="s">
        <v>407</v>
      </c>
      <c r="D85" s="1397"/>
      <c r="E85" s="1397"/>
      <c r="F85" s="1"/>
      <c r="G85" s="1396" t="s">
        <v>408</v>
      </c>
      <c r="H85" s="1397"/>
      <c r="I85" s="1397"/>
      <c r="J85" s="1"/>
      <c r="K85" s="1396" t="s">
        <v>409</v>
      </c>
      <c r="L85" s="1397"/>
      <c r="M85" s="1397"/>
      <c r="N85" s="1"/>
      <c r="O85" s="1396" t="s">
        <v>410</v>
      </c>
      <c r="P85" s="1397"/>
      <c r="Q85" s="1397"/>
      <c r="R85" s="1"/>
      <c r="S85" s="1395"/>
      <c r="T85" s="1386"/>
      <c r="U85" s="1386"/>
      <c r="V85" s="1"/>
      <c r="W85" s="1"/>
      <c r="X85" s="1"/>
      <c r="Y85" s="1"/>
      <c r="Z85" s="1"/>
    </row>
    <row r="86" spans="1:26" ht="15.6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65" x14ac:dyDescent="0.25">
      <c r="A87" s="1408" t="s">
        <v>411</v>
      </c>
      <c r="B87" s="366"/>
      <c r="C87" s="175" t="s">
        <v>412</v>
      </c>
      <c r="D87" s="366"/>
      <c r="E87" s="175" t="s">
        <v>413</v>
      </c>
      <c r="F87" s="366"/>
      <c r="G87" s="176" t="s">
        <v>414</v>
      </c>
      <c r="H87" s="366"/>
      <c r="I87" s="177" t="s">
        <v>415</v>
      </c>
      <c r="J87" s="366"/>
      <c r="K87" s="176" t="s">
        <v>416</v>
      </c>
      <c r="L87" s="178"/>
      <c r="M87" s="176" t="s">
        <v>417</v>
      </c>
      <c r="N87" s="366"/>
      <c r="O87" s="176" t="s">
        <v>418</v>
      </c>
      <c r="P87" s="366"/>
      <c r="Q87" s="176" t="s">
        <v>419</v>
      </c>
      <c r="R87" s="366"/>
      <c r="S87" s="366"/>
      <c r="T87" s="366"/>
      <c r="U87" s="366"/>
      <c r="V87" s="366"/>
      <c r="W87" s="366"/>
      <c r="X87" s="366"/>
      <c r="Y87" s="366"/>
      <c r="Z87" s="366"/>
    </row>
    <row r="88" spans="1:26" ht="15.65" x14ac:dyDescent="0.25">
      <c r="A88" s="1397"/>
      <c r="B88" s="366"/>
      <c r="C88" s="366"/>
      <c r="D88" s="366"/>
      <c r="E88" s="366"/>
      <c r="F88" s="366"/>
      <c r="G88" s="178"/>
      <c r="H88" s="178"/>
      <c r="I88" s="178"/>
      <c r="J88" s="366"/>
      <c r="K88" s="178"/>
      <c r="L88" s="178"/>
      <c r="M88" s="178"/>
      <c r="N88" s="366"/>
      <c r="O88" s="178"/>
      <c r="P88" s="366"/>
      <c r="Q88" s="178"/>
      <c r="R88" s="366"/>
      <c r="S88" s="366"/>
      <c r="T88" s="366"/>
      <c r="U88" s="366"/>
      <c r="V88" s="366"/>
      <c r="W88" s="366"/>
      <c r="X88" s="366"/>
      <c r="Y88" s="366"/>
      <c r="Z88" s="366"/>
    </row>
    <row r="89" spans="1:26" ht="21.75" x14ac:dyDescent="0.25">
      <c r="A89" s="1397"/>
      <c r="B89" s="366"/>
      <c r="C89" s="175" t="s">
        <v>420</v>
      </c>
      <c r="D89" s="366"/>
      <c r="E89" s="175" t="s">
        <v>421</v>
      </c>
      <c r="F89" s="366"/>
      <c r="G89" s="176" t="s">
        <v>422</v>
      </c>
      <c r="H89" s="366"/>
      <c r="I89" s="176" t="s">
        <v>423</v>
      </c>
      <c r="J89" s="366"/>
      <c r="K89" s="176" t="s">
        <v>424</v>
      </c>
      <c r="L89" s="178"/>
      <c r="M89" s="176" t="s">
        <v>412</v>
      </c>
      <c r="N89" s="366"/>
      <c r="O89" s="176" t="s">
        <v>425</v>
      </c>
      <c r="P89" s="366"/>
      <c r="Q89" s="176" t="s">
        <v>423</v>
      </c>
      <c r="R89" s="366"/>
      <c r="S89" s="366"/>
      <c r="T89" s="366"/>
      <c r="U89" s="366"/>
      <c r="V89" s="366"/>
      <c r="W89" s="366"/>
      <c r="X89" s="366"/>
      <c r="Y89" s="366"/>
      <c r="Z89" s="366"/>
    </row>
    <row r="90" spans="1:26" ht="15.65" x14ac:dyDescent="0.25">
      <c r="A90" s="1397"/>
      <c r="B90" s="366"/>
      <c r="C90" s="366"/>
      <c r="D90" s="366"/>
      <c r="E90" s="366"/>
      <c r="F90" s="366"/>
      <c r="G90" s="178"/>
      <c r="H90" s="178"/>
      <c r="I90" s="178"/>
      <c r="J90" s="366"/>
      <c r="K90" s="178"/>
      <c r="L90" s="178"/>
      <c r="M90" s="178"/>
      <c r="N90" s="366"/>
      <c r="O90" s="178"/>
      <c r="P90" s="366"/>
      <c r="Q90" s="178"/>
      <c r="R90" s="366"/>
      <c r="S90" s="366"/>
      <c r="T90" s="366"/>
      <c r="U90" s="366"/>
      <c r="V90" s="366"/>
      <c r="W90" s="366"/>
      <c r="X90" s="366"/>
      <c r="Y90" s="366"/>
      <c r="Z90" s="366"/>
    </row>
    <row r="91" spans="1:26" ht="21.75" x14ac:dyDescent="0.25">
      <c r="A91" s="1397"/>
      <c r="B91" s="366"/>
      <c r="C91" s="175" t="s">
        <v>426</v>
      </c>
      <c r="D91" s="366"/>
      <c r="E91" s="175" t="s">
        <v>427</v>
      </c>
      <c r="F91" s="366"/>
      <c r="G91" s="176" t="s">
        <v>425</v>
      </c>
      <c r="H91" s="366"/>
      <c r="I91" s="176" t="s">
        <v>428</v>
      </c>
      <c r="J91" s="366"/>
      <c r="K91" s="176" t="s">
        <v>429</v>
      </c>
      <c r="L91" s="178"/>
      <c r="M91" s="176" t="s">
        <v>430</v>
      </c>
      <c r="N91" s="366"/>
      <c r="O91" s="176" t="s">
        <v>417</v>
      </c>
      <c r="P91" s="366"/>
      <c r="Q91" s="176" t="s">
        <v>412</v>
      </c>
      <c r="R91" s="366"/>
      <c r="S91" s="366"/>
      <c r="T91" s="366"/>
      <c r="U91" s="366"/>
      <c r="V91" s="366"/>
      <c r="W91" s="366"/>
      <c r="X91" s="366"/>
      <c r="Y91" s="366"/>
      <c r="Z91" s="366"/>
    </row>
    <row r="92" spans="1:26" ht="15.65" x14ac:dyDescent="0.25">
      <c r="A92" s="1397"/>
      <c r="B92" s="366"/>
      <c r="C92" s="366"/>
      <c r="D92" s="366"/>
      <c r="E92" s="366"/>
      <c r="F92" s="366"/>
      <c r="G92" s="178"/>
      <c r="H92" s="178"/>
      <c r="I92" s="178"/>
      <c r="J92" s="366"/>
      <c r="K92" s="366"/>
      <c r="L92" s="366"/>
      <c r="M92" s="366"/>
      <c r="N92" s="366"/>
      <c r="O92" s="178"/>
      <c r="P92" s="178"/>
      <c r="Q92" s="178"/>
      <c r="R92" s="366"/>
      <c r="S92" s="366"/>
      <c r="T92" s="366"/>
      <c r="U92" s="366"/>
      <c r="V92" s="366"/>
      <c r="W92" s="366"/>
      <c r="X92" s="366"/>
      <c r="Y92" s="366"/>
      <c r="Z92" s="366"/>
    </row>
    <row r="93" spans="1:26" ht="21.75" x14ac:dyDescent="0.25">
      <c r="A93" s="1397"/>
      <c r="B93" s="366"/>
      <c r="C93" s="175" t="s">
        <v>431</v>
      </c>
      <c r="D93" s="366"/>
      <c r="E93" s="175" t="s">
        <v>432</v>
      </c>
      <c r="F93" s="366"/>
      <c r="G93" s="176" t="s">
        <v>427</v>
      </c>
      <c r="H93" s="366"/>
      <c r="I93" s="176" t="s">
        <v>433</v>
      </c>
      <c r="J93" s="366"/>
      <c r="K93" s="366"/>
      <c r="L93" s="366"/>
      <c r="M93" s="175" t="s">
        <v>434</v>
      </c>
      <c r="N93" s="366"/>
      <c r="O93" s="176" t="s">
        <v>435</v>
      </c>
      <c r="P93" s="178"/>
      <c r="Q93" s="177" t="s">
        <v>415</v>
      </c>
      <c r="R93" s="366"/>
      <c r="S93" s="366"/>
      <c r="T93" s="366"/>
      <c r="U93" s="366"/>
      <c r="V93" s="366"/>
      <c r="W93" s="366"/>
      <c r="X93" s="366"/>
      <c r="Y93" s="366"/>
      <c r="Z93" s="366"/>
    </row>
    <row r="94" spans="1:26" ht="15.65" x14ac:dyDescent="0.25">
      <c r="A94" s="1397"/>
      <c r="B94" s="366"/>
      <c r="C94" s="366"/>
      <c r="D94" s="366"/>
      <c r="E94" s="366"/>
      <c r="F94" s="366"/>
      <c r="G94" s="178"/>
      <c r="H94" s="178"/>
      <c r="I94" s="178"/>
      <c r="J94" s="366"/>
      <c r="K94" s="366"/>
      <c r="L94" s="366"/>
      <c r="M94" s="366"/>
      <c r="N94" s="366"/>
      <c r="O94" s="178"/>
      <c r="P94" s="178"/>
      <c r="Q94" s="178"/>
      <c r="R94" s="366"/>
      <c r="S94" s="366"/>
      <c r="T94" s="366"/>
      <c r="U94" s="366"/>
      <c r="V94" s="366"/>
      <c r="W94" s="366"/>
      <c r="X94" s="366"/>
      <c r="Y94" s="366"/>
      <c r="Z94" s="366"/>
    </row>
    <row r="95" spans="1:26" ht="21.75" x14ac:dyDescent="0.25">
      <c r="A95" s="1397"/>
      <c r="B95" s="366"/>
      <c r="C95" s="175" t="s">
        <v>436</v>
      </c>
      <c r="D95" s="366"/>
      <c r="E95" s="175" t="s">
        <v>437</v>
      </c>
      <c r="F95" s="366"/>
      <c r="G95" s="176" t="s">
        <v>412</v>
      </c>
      <c r="H95" s="366"/>
      <c r="I95" s="176" t="s">
        <v>438</v>
      </c>
      <c r="J95" s="366"/>
      <c r="K95" s="366"/>
      <c r="L95" s="366"/>
      <c r="M95" s="366"/>
      <c r="N95" s="366"/>
      <c r="O95" s="176" t="s">
        <v>414</v>
      </c>
      <c r="P95" s="178"/>
      <c r="Q95" s="175" t="s">
        <v>439</v>
      </c>
      <c r="R95" s="366"/>
      <c r="S95" s="366"/>
      <c r="T95" s="366"/>
      <c r="U95" s="366"/>
      <c r="V95" s="366"/>
      <c r="W95" s="366"/>
      <c r="X95" s="366"/>
      <c r="Y95" s="366"/>
      <c r="Z95" s="366"/>
    </row>
    <row r="96" spans="1:26" ht="15.65" x14ac:dyDescent="0.25">
      <c r="A96" s="1397"/>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row>
    <row r="97" spans="1:26" ht="14.45" customHeight="1" x14ac:dyDescent="0.25">
      <c r="A97" s="1397"/>
      <c r="B97" s="366"/>
      <c r="C97" s="177" t="s">
        <v>440</v>
      </c>
      <c r="D97" s="366"/>
      <c r="E97" s="175" t="s">
        <v>422</v>
      </c>
      <c r="F97" s="366"/>
      <c r="G97" s="176" t="s">
        <v>441</v>
      </c>
      <c r="H97" s="366"/>
      <c r="I97" s="176" t="s">
        <v>442</v>
      </c>
      <c r="J97" s="366"/>
      <c r="K97" s="366"/>
      <c r="L97" s="366"/>
      <c r="M97" s="366"/>
      <c r="N97" s="366"/>
      <c r="O97" s="366"/>
      <c r="P97" s="366"/>
      <c r="Q97" s="366"/>
      <c r="R97" s="366"/>
      <c r="S97" s="366"/>
      <c r="T97" s="366"/>
      <c r="U97" s="366"/>
      <c r="V97" s="366"/>
      <c r="W97" s="366"/>
      <c r="X97" s="366"/>
      <c r="Y97" s="366"/>
      <c r="Z97" s="366"/>
    </row>
    <row r="98" spans="1:26" ht="15.65" x14ac:dyDescent="0.25">
      <c r="A98" s="1397"/>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row>
    <row r="99" spans="1:26" ht="16" customHeight="1" x14ac:dyDescent="0.25">
      <c r="A99" s="1397"/>
      <c r="B99" s="366"/>
      <c r="C99" s="176" t="s">
        <v>443</v>
      </c>
      <c r="D99" s="366"/>
      <c r="E99" s="177" t="s">
        <v>444</v>
      </c>
      <c r="F99" s="366"/>
      <c r="G99" s="176" t="s">
        <v>437</v>
      </c>
      <c r="H99" s="366"/>
      <c r="I99" s="366"/>
      <c r="J99" s="366"/>
      <c r="K99" s="366"/>
      <c r="L99" s="366"/>
      <c r="M99" s="366"/>
      <c r="N99" s="366"/>
      <c r="O99" s="366"/>
      <c r="P99" s="366"/>
      <c r="Q99" s="366"/>
      <c r="R99" s="366"/>
      <c r="S99" s="366"/>
      <c r="T99" s="366"/>
      <c r="U99" s="366"/>
      <c r="V99" s="366"/>
      <c r="W99" s="366"/>
      <c r="X99" s="366"/>
      <c r="Y99" s="366"/>
      <c r="Z99" s="366"/>
    </row>
    <row r="100" spans="1:26" ht="15.65" x14ac:dyDescent="0.25">
      <c r="A100" s="1397"/>
      <c r="B100" s="366"/>
      <c r="C100" s="178"/>
      <c r="D100" s="178"/>
      <c r="E100" s="178"/>
      <c r="F100" s="366"/>
      <c r="G100" s="366"/>
      <c r="H100" s="366"/>
      <c r="I100" s="366"/>
      <c r="J100" s="366"/>
      <c r="K100" s="366"/>
      <c r="L100" s="366"/>
      <c r="M100" s="366"/>
      <c r="N100" s="366"/>
      <c r="O100" s="366"/>
      <c r="P100" s="366"/>
      <c r="Q100" s="366"/>
      <c r="R100" s="366"/>
      <c r="S100" s="366"/>
      <c r="T100" s="366"/>
      <c r="U100" s="366"/>
      <c r="V100" s="366"/>
      <c r="W100" s="366"/>
      <c r="X100" s="366"/>
      <c r="Y100" s="366"/>
      <c r="Z100" s="366"/>
    </row>
    <row r="101" spans="1:26" ht="15.65" x14ac:dyDescent="0.25">
      <c r="A101" s="1397"/>
      <c r="B101" s="366"/>
      <c r="C101" s="176" t="s">
        <v>445</v>
      </c>
      <c r="D101" s="366"/>
      <c r="E101" s="175" t="s">
        <v>442</v>
      </c>
      <c r="F101" s="366"/>
      <c r="G101" s="366"/>
      <c r="H101" s="366"/>
      <c r="I101" s="366"/>
      <c r="J101" s="366"/>
      <c r="K101" s="366"/>
      <c r="L101" s="366"/>
      <c r="M101" s="366"/>
      <c r="N101" s="366"/>
      <c r="O101" s="366"/>
      <c r="P101" s="366"/>
      <c r="Q101" s="366"/>
      <c r="R101" s="366"/>
      <c r="S101" s="366"/>
      <c r="T101" s="366"/>
      <c r="U101" s="366"/>
      <c r="V101" s="366"/>
      <c r="W101" s="366"/>
      <c r="X101" s="366"/>
      <c r="Y101" s="366"/>
      <c r="Z101" s="366"/>
    </row>
    <row r="102" spans="1:26" ht="15.65" x14ac:dyDescent="0.25">
      <c r="A102" s="1397"/>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row>
    <row r="103" spans="1:26" ht="21.75" x14ac:dyDescent="0.25">
      <c r="A103" s="1397"/>
      <c r="B103" s="366"/>
      <c r="C103" s="176" t="s">
        <v>446</v>
      </c>
      <c r="D103" s="178"/>
      <c r="E103" s="176" t="s">
        <v>447</v>
      </c>
      <c r="F103" s="366"/>
      <c r="G103" s="366"/>
      <c r="H103" s="366"/>
      <c r="I103" s="366"/>
      <c r="J103" s="366"/>
      <c r="K103" s="366"/>
      <c r="L103" s="366"/>
      <c r="M103" s="366"/>
      <c r="N103" s="366"/>
      <c r="O103" s="366"/>
      <c r="P103" s="366"/>
      <c r="Q103" s="366"/>
      <c r="R103" s="366"/>
      <c r="S103" s="366"/>
      <c r="T103" s="366"/>
      <c r="U103" s="366"/>
      <c r="V103" s="366"/>
      <c r="W103" s="366"/>
      <c r="X103" s="366"/>
      <c r="Y103" s="366"/>
      <c r="Z103" s="366"/>
    </row>
    <row r="104" spans="1:26" ht="15.65" x14ac:dyDescent="0.25">
      <c r="A104" s="1397"/>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row>
    <row r="105" spans="1:26" ht="21.75" x14ac:dyDescent="0.25">
      <c r="A105" s="1397"/>
      <c r="B105" s="366"/>
      <c r="C105" s="176" t="s">
        <v>448</v>
      </c>
      <c r="D105" s="178"/>
      <c r="E105" s="176" t="s">
        <v>449</v>
      </c>
      <c r="F105" s="366"/>
      <c r="G105" s="366"/>
      <c r="H105" s="366"/>
      <c r="I105" s="366"/>
      <c r="J105" s="366"/>
      <c r="K105" s="366"/>
      <c r="L105" s="366"/>
      <c r="M105" s="366"/>
      <c r="N105" s="366"/>
      <c r="O105" s="366"/>
      <c r="P105" s="366"/>
      <c r="Q105" s="366"/>
      <c r="R105" s="366"/>
      <c r="S105" s="366"/>
      <c r="T105" s="366"/>
      <c r="U105" s="366"/>
      <c r="V105" s="366"/>
      <c r="W105" s="366"/>
      <c r="X105" s="366"/>
      <c r="Y105" s="366"/>
      <c r="Z105" s="366"/>
    </row>
    <row r="106" spans="1:26" ht="15.6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3"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1.2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1.2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1.2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1.25"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1.25"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1.25"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sheetData>
  <mergeCells count="51">
    <mergeCell ref="O66:Q66"/>
    <mergeCell ref="O70:Q70"/>
    <mergeCell ref="O71:Q71"/>
    <mergeCell ref="G65:I65"/>
    <mergeCell ref="K65:M65"/>
    <mergeCell ref="O68:Q68"/>
    <mergeCell ref="O69:Q69"/>
    <mergeCell ref="C66:E66"/>
    <mergeCell ref="G66:I66"/>
    <mergeCell ref="K67:M67"/>
    <mergeCell ref="G68:I68"/>
    <mergeCell ref="K68:M68"/>
    <mergeCell ref="C67:E67"/>
    <mergeCell ref="C65:E65"/>
    <mergeCell ref="K66:M66"/>
    <mergeCell ref="O67:Q67"/>
    <mergeCell ref="O65:Q65"/>
    <mergeCell ref="A87:A105"/>
    <mergeCell ref="K70:M70"/>
    <mergeCell ref="C71:E71"/>
    <mergeCell ref="G71:I71"/>
    <mergeCell ref="K71:M71"/>
    <mergeCell ref="C72:E72"/>
    <mergeCell ref="G72:I72"/>
    <mergeCell ref="G73:I73"/>
    <mergeCell ref="C75:Q75"/>
    <mergeCell ref="C83:Q83"/>
    <mergeCell ref="C85:E85"/>
    <mergeCell ref="A19:A81"/>
    <mergeCell ref="C19:E19"/>
    <mergeCell ref="O19:Q19"/>
    <mergeCell ref="A3:A15"/>
    <mergeCell ref="C3:Q3"/>
    <mergeCell ref="C5:G5"/>
    <mergeCell ref="I5:K5"/>
    <mergeCell ref="M5:Q5"/>
    <mergeCell ref="G19:I19"/>
    <mergeCell ref="K19:M19"/>
    <mergeCell ref="C70:E70"/>
    <mergeCell ref="G70:I70"/>
    <mergeCell ref="G67:I67"/>
    <mergeCell ref="C68:E68"/>
    <mergeCell ref="S85:U85"/>
    <mergeCell ref="G85:I85"/>
    <mergeCell ref="K85:M85"/>
    <mergeCell ref="O85:Q85"/>
    <mergeCell ref="K72:M72"/>
    <mergeCell ref="K73:M73"/>
    <mergeCell ref="C69:E69"/>
    <mergeCell ref="G69:I69"/>
    <mergeCell ref="K69:M69"/>
  </mergeCells>
  <pageMargins left="0" right="0" top="0" bottom="0" header="0" footer="0"/>
  <pageSetup paperSize="9" orientation="landscape" r:id="rId1"/>
  <rowBreaks count="2" manualBreakCount="2">
    <brk id="17" man="1"/>
    <brk id="10" man="1"/>
  </rowBreaks>
  <colBreaks count="1" manualBreakCount="1">
    <brk id="7" man="1"/>
  </col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dimension ref="A1:AC1028"/>
  <sheetViews>
    <sheetView showGridLines="0" topLeftCell="E1" zoomScale="87" zoomScaleNormal="87" workbookViewId="0">
      <selection activeCell="I16" sqref="I16"/>
    </sheetView>
  </sheetViews>
  <sheetFormatPr baseColWidth="10" defaultColWidth="11.19921875" defaultRowHeight="14.95" customHeight="1" x14ac:dyDescent="0.25"/>
  <cols>
    <col min="1" max="1" width="0" style="325" hidden="1" customWidth="1"/>
    <col min="2" max="2" width="11.09765625" style="287" hidden="1" customWidth="1"/>
    <col min="3" max="3" width="4.09765625" customWidth="1"/>
    <col min="4" max="4" width="31.296875" customWidth="1"/>
    <col min="5" max="5" width="72.09765625" customWidth="1"/>
    <col min="6" max="6" width="15" customWidth="1"/>
    <col min="7" max="7" width="18.69921875" customWidth="1"/>
    <col min="8" max="8" width="13.3984375" customWidth="1"/>
    <col min="9" max="9" width="17.69921875" customWidth="1"/>
    <col min="10" max="10" width="14.8984375" customWidth="1"/>
    <col min="11" max="11" width="11.796875" style="229" customWidth="1"/>
    <col min="12" max="12" width="36.59765625" style="195" hidden="1" customWidth="1"/>
    <col min="13" max="13" width="16.09765625" hidden="1" customWidth="1"/>
    <col min="14" max="14" width="13" customWidth="1"/>
    <col min="15" max="15" width="12.3984375" customWidth="1"/>
    <col min="16" max="16" width="11" customWidth="1"/>
    <col min="17" max="17" width="11.19921875" customWidth="1"/>
    <col min="18" max="18" width="11.3984375" customWidth="1"/>
    <col min="19" max="20" width="11.19921875" customWidth="1"/>
    <col min="21" max="21" width="8.8984375" hidden="1" customWidth="1"/>
    <col min="22" max="22" width="18" customWidth="1"/>
    <col min="23" max="23" width="19.796875" customWidth="1"/>
    <col min="24" max="24" width="19.3984375" customWidth="1"/>
    <col min="25" max="25" width="13.796875" customWidth="1"/>
    <col min="26" max="26" width="10.796875" hidden="1" customWidth="1"/>
    <col min="27" max="27" width="10.796875" customWidth="1"/>
  </cols>
  <sheetData>
    <row r="1" spans="1:29" s="1186" customFormat="1" ht="14.95" customHeight="1" x14ac:dyDescent="0.25">
      <c r="B1" s="287"/>
      <c r="K1" s="229"/>
      <c r="L1" s="195"/>
    </row>
    <row r="2" spans="1:29" ht="15.8" customHeight="1" x14ac:dyDescent="0.3">
      <c r="A2" s="825"/>
      <c r="C2" s="825"/>
      <c r="D2" s="21"/>
      <c r="E2" s="17"/>
      <c r="F2" s="825"/>
      <c r="G2" s="825"/>
      <c r="H2" s="21"/>
      <c r="I2" s="825"/>
      <c r="J2" s="825"/>
      <c r="M2" s="825"/>
      <c r="N2" s="825"/>
      <c r="O2" s="825"/>
      <c r="P2" s="825"/>
      <c r="Q2" s="825"/>
      <c r="R2" s="825"/>
      <c r="S2" s="825"/>
      <c r="T2" s="825"/>
      <c r="U2" s="825"/>
      <c r="V2" s="825"/>
      <c r="W2" s="825"/>
      <c r="X2" s="825"/>
      <c r="Y2" s="825"/>
      <c r="Z2" s="825"/>
      <c r="AA2" s="825"/>
      <c r="AB2" s="825"/>
      <c r="AC2" s="825"/>
    </row>
    <row r="3" spans="1:29" s="1186" customFormat="1" ht="15.8" customHeight="1" x14ac:dyDescent="0.3">
      <c r="B3" s="287"/>
      <c r="D3" s="21"/>
      <c r="E3" s="17"/>
      <c r="H3" s="21"/>
      <c r="K3" s="229"/>
      <c r="L3" s="195"/>
    </row>
    <row r="4" spans="1:29" s="1186" customFormat="1" ht="15.8" customHeight="1" x14ac:dyDescent="0.3">
      <c r="B4" s="287"/>
      <c r="D4" s="21"/>
      <c r="E4" s="17"/>
      <c r="H4" s="21"/>
      <c r="K4" s="229"/>
      <c r="L4" s="195"/>
    </row>
    <row r="5" spans="1:29" s="1186" customFormat="1" ht="15.8" customHeight="1" x14ac:dyDescent="0.3">
      <c r="B5" s="287"/>
      <c r="D5" s="21"/>
      <c r="E5" s="17"/>
      <c r="H5" s="21"/>
      <c r="K5" s="229"/>
      <c r="L5" s="195"/>
    </row>
    <row r="6" spans="1:29" ht="22.6" customHeight="1" x14ac:dyDescent="0.25">
      <c r="A6" s="273"/>
      <c r="B6" s="349"/>
      <c r="C6" s="931" t="s">
        <v>140</v>
      </c>
      <c r="D6" s="932"/>
      <c r="E6" s="932"/>
      <c r="F6" s="932"/>
      <c r="G6" s="932"/>
      <c r="H6" s="932"/>
      <c r="I6" s="932"/>
      <c r="J6" s="932"/>
      <c r="K6" s="932"/>
      <c r="L6" s="932"/>
      <c r="M6" s="932"/>
      <c r="N6" s="932"/>
      <c r="O6" s="932"/>
      <c r="P6" s="932"/>
      <c r="Q6" s="932"/>
      <c r="R6" s="932"/>
      <c r="S6" s="932"/>
      <c r="T6" s="932"/>
      <c r="U6" s="933"/>
      <c r="V6" s="934"/>
      <c r="W6" s="934"/>
      <c r="X6" s="934"/>
      <c r="Y6" s="934"/>
      <c r="Z6" s="934"/>
      <c r="AA6" s="934"/>
      <c r="AB6" s="825"/>
      <c r="AC6" s="825"/>
    </row>
    <row r="7" spans="1:29" s="327" customFormat="1" ht="27.7" customHeight="1" x14ac:dyDescent="0.25">
      <c r="A7" s="806"/>
      <c r="B7" s="807"/>
      <c r="C7" s="1415" t="s">
        <v>964</v>
      </c>
      <c r="D7" s="1416" t="s">
        <v>965</v>
      </c>
      <c r="E7" s="1418" t="s">
        <v>468</v>
      </c>
      <c r="F7" s="1418" t="s">
        <v>470</v>
      </c>
      <c r="G7" s="1418" t="s">
        <v>966</v>
      </c>
      <c r="H7" s="1418" t="s">
        <v>967</v>
      </c>
      <c r="I7" s="1418" t="s">
        <v>968</v>
      </c>
      <c r="J7" s="1418" t="s">
        <v>969</v>
      </c>
      <c r="K7" s="1421" t="s">
        <v>970</v>
      </c>
      <c r="L7" s="1434" t="s">
        <v>971</v>
      </c>
      <c r="M7" s="1432" t="s">
        <v>972</v>
      </c>
      <c r="N7" s="1423" t="s">
        <v>973</v>
      </c>
      <c r="O7" s="1424"/>
      <c r="P7" s="1423" t="s">
        <v>974</v>
      </c>
      <c r="Q7" s="1425"/>
      <c r="R7" s="1425"/>
      <c r="S7" s="1425"/>
      <c r="T7" s="1425"/>
      <c r="U7" s="1413" t="s">
        <v>975</v>
      </c>
      <c r="V7" s="1413" t="s">
        <v>976</v>
      </c>
      <c r="W7" s="1414"/>
      <c r="X7" s="1414"/>
      <c r="Y7" s="1414"/>
      <c r="Z7" s="935"/>
      <c r="AA7" s="1413" t="s">
        <v>977</v>
      </c>
    </row>
    <row r="8" spans="1:29" s="327" customFormat="1" ht="32.6" x14ac:dyDescent="0.25">
      <c r="A8" s="806"/>
      <c r="B8" s="807"/>
      <c r="C8" s="1414"/>
      <c r="D8" s="1417"/>
      <c r="E8" s="1419"/>
      <c r="F8" s="1420"/>
      <c r="G8" s="1420"/>
      <c r="H8" s="1420"/>
      <c r="I8" s="1420"/>
      <c r="J8" s="1420"/>
      <c r="K8" s="1422"/>
      <c r="L8" s="1435"/>
      <c r="M8" s="1433"/>
      <c r="N8" s="941" t="s">
        <v>978</v>
      </c>
      <c r="O8" s="941" t="s">
        <v>979</v>
      </c>
      <c r="P8" s="941" t="s">
        <v>980</v>
      </c>
      <c r="Q8" s="941" t="s">
        <v>981</v>
      </c>
      <c r="R8" s="941" t="s">
        <v>982</v>
      </c>
      <c r="S8" s="941" t="s">
        <v>983</v>
      </c>
      <c r="T8" s="942" t="s">
        <v>984</v>
      </c>
      <c r="U8" s="1414"/>
      <c r="V8" s="935" t="s">
        <v>985</v>
      </c>
      <c r="W8" s="935" t="s">
        <v>986</v>
      </c>
      <c r="X8" s="935" t="s">
        <v>987</v>
      </c>
      <c r="Y8" s="935" t="s">
        <v>988</v>
      </c>
      <c r="Z8" s="935"/>
      <c r="AA8" s="1414"/>
    </row>
    <row r="9" spans="1:29" ht="60.8" customHeight="1" x14ac:dyDescent="0.25">
      <c r="A9" s="764" t="s">
        <v>259</v>
      </c>
      <c r="B9" s="765" t="s">
        <v>254</v>
      </c>
      <c r="C9" s="766">
        <v>1</v>
      </c>
      <c r="D9" s="789" t="s">
        <v>297</v>
      </c>
      <c r="E9" s="789" t="s">
        <v>989</v>
      </c>
      <c r="F9" s="258" t="s">
        <v>990</v>
      </c>
      <c r="G9" s="898" t="str">
        <f>+'8. BASE  CONSOLIDADA'!O270</f>
        <v>TRANSVERSAL REGIONAL</v>
      </c>
      <c r="H9" s="898" t="str">
        <f>+'8. BASE  CONSOLIDADA'!P270</f>
        <v>C19</v>
      </c>
      <c r="I9" s="74">
        <v>1</v>
      </c>
      <c r="J9" s="74"/>
      <c r="K9" s="899">
        <f>6600000+(77*14000)+(96000*5)+(77*3000*4)</f>
        <v>9082000</v>
      </c>
      <c r="L9" s="792" t="s">
        <v>991</v>
      </c>
      <c r="M9" s="416" t="s">
        <v>992</v>
      </c>
      <c r="N9" s="899">
        <f>+K9*I9</f>
        <v>9082000</v>
      </c>
      <c r="O9" s="899">
        <f>+(96000*5)+(77*3000*5)</f>
        <v>1635000</v>
      </c>
      <c r="P9" s="899">
        <f>1078000+96000+2200000</f>
        <v>3374000</v>
      </c>
      <c r="Q9" s="899">
        <f>96000+2200000+231000</f>
        <v>2527000</v>
      </c>
      <c r="R9" s="899">
        <f>96000+2200000+231000</f>
        <v>2527000</v>
      </c>
      <c r="S9" s="899">
        <f>96000+231000</f>
        <v>327000</v>
      </c>
      <c r="T9" s="899">
        <f>96000+231000</f>
        <v>327000</v>
      </c>
      <c r="U9" s="900"/>
      <c r="V9" s="74"/>
      <c r="W9" s="74" t="s">
        <v>148</v>
      </c>
      <c r="X9" s="74"/>
      <c r="Y9" s="74"/>
      <c r="Z9" s="74" t="str">
        <f>+B9</f>
        <v>RE</v>
      </c>
      <c r="AA9" s="74">
        <v>3</v>
      </c>
      <c r="AB9" s="825"/>
      <c r="AC9" s="825"/>
    </row>
    <row r="10" spans="1:29" ht="56.4" customHeight="1" x14ac:dyDescent="0.25">
      <c r="A10" s="764" t="s">
        <v>259</v>
      </c>
      <c r="B10" s="765"/>
      <c r="C10" s="766">
        <v>2</v>
      </c>
      <c r="D10" s="789" t="s">
        <v>325</v>
      </c>
      <c r="E10" s="789" t="s">
        <v>993</v>
      </c>
      <c r="F10" s="1361" t="s">
        <v>2755</v>
      </c>
      <c r="G10" s="898" t="str">
        <f>+'8. BASE  CONSOLIDADA'!O271</f>
        <v>TRANSVERSAL REGIONAL</v>
      </c>
      <c r="H10" s="898" t="str">
        <f>+'8. BASE  CONSOLIDADA'!P271</f>
        <v>C19</v>
      </c>
      <c r="I10" s="899">
        <f>790712.14/2</f>
        <v>395356.07</v>
      </c>
      <c r="J10" s="899">
        <f>790712.14/2</f>
        <v>395356.07</v>
      </c>
      <c r="K10" s="1362">
        <v>16</v>
      </c>
      <c r="L10" s="792" t="s">
        <v>995</v>
      </c>
      <c r="M10" s="416" t="s">
        <v>996</v>
      </c>
      <c r="N10" s="899">
        <f>$K$10*I10</f>
        <v>6325697.1200000001</v>
      </c>
      <c r="O10" s="899">
        <f>$K$10*J10</f>
        <v>6325697.1200000001</v>
      </c>
      <c r="P10" s="899">
        <f t="shared" ref="P10:T10" si="0">+$N$10*0.2</f>
        <v>1265139.4240000001</v>
      </c>
      <c r="Q10" s="899">
        <f t="shared" si="0"/>
        <v>1265139.4240000001</v>
      </c>
      <c r="R10" s="899">
        <f t="shared" si="0"/>
        <v>1265139.4240000001</v>
      </c>
      <c r="S10" s="899">
        <f t="shared" si="0"/>
        <v>1265139.4240000001</v>
      </c>
      <c r="T10" s="899">
        <f t="shared" si="0"/>
        <v>1265139.4240000001</v>
      </c>
      <c r="U10" s="900"/>
      <c r="V10" s="74"/>
      <c r="W10" s="74" t="s">
        <v>148</v>
      </c>
      <c r="X10" s="74"/>
      <c r="Y10" s="74"/>
      <c r="Z10" s="74"/>
      <c r="AA10" s="74">
        <v>3</v>
      </c>
      <c r="AB10" s="825"/>
      <c r="AC10" s="825"/>
    </row>
    <row r="11" spans="1:29" ht="154.9" customHeight="1" x14ac:dyDescent="0.25">
      <c r="A11" s="764" t="s">
        <v>259</v>
      </c>
      <c r="B11" s="765" t="s">
        <v>254</v>
      </c>
      <c r="C11" s="766">
        <v>3</v>
      </c>
      <c r="D11" s="789" t="s">
        <v>298</v>
      </c>
      <c r="E11" s="789" t="s">
        <v>997</v>
      </c>
      <c r="F11" s="258" t="s">
        <v>998</v>
      </c>
      <c r="G11" s="898" t="str">
        <f>+'8. BASE  CONSOLIDADA'!O272</f>
        <v>TRANSVERSAL REGIONAL</v>
      </c>
      <c r="H11" s="898" t="str">
        <f>+'8. BASE  CONSOLIDADA'!P272</f>
        <v>C19</v>
      </c>
      <c r="I11" s="74">
        <f>2*5</f>
        <v>10</v>
      </c>
      <c r="J11" s="74">
        <f>3*5</f>
        <v>15</v>
      </c>
      <c r="K11" s="899">
        <v>6000000</v>
      </c>
      <c r="L11" s="792" t="s">
        <v>999</v>
      </c>
      <c r="M11" s="416" t="s">
        <v>1000</v>
      </c>
      <c r="N11" s="899">
        <f t="shared" ref="N11:N14" si="1">+K11*I11</f>
        <v>60000000</v>
      </c>
      <c r="O11" s="899">
        <f t="shared" ref="O11:O14" si="2">+K11*J11</f>
        <v>90000000</v>
      </c>
      <c r="P11" s="899">
        <f t="shared" ref="P11:T11" si="3">+$N$11*0.2</f>
        <v>12000000</v>
      </c>
      <c r="Q11" s="899">
        <f t="shared" si="3"/>
        <v>12000000</v>
      </c>
      <c r="R11" s="899">
        <f t="shared" si="3"/>
        <v>12000000</v>
      </c>
      <c r="S11" s="899">
        <f t="shared" si="3"/>
        <v>12000000</v>
      </c>
      <c r="T11" s="899">
        <f t="shared" si="3"/>
        <v>12000000</v>
      </c>
      <c r="U11" s="900"/>
      <c r="V11" s="74"/>
      <c r="W11" s="74"/>
      <c r="X11" s="74" t="s">
        <v>148</v>
      </c>
      <c r="Y11" s="74"/>
      <c r="Z11" s="74" t="str">
        <f t="shared" ref="Z11:Z15" si="4">+B11</f>
        <v>RE</v>
      </c>
      <c r="AA11" s="74">
        <v>3</v>
      </c>
      <c r="AB11" s="825"/>
      <c r="AC11" s="825"/>
    </row>
    <row r="12" spans="1:29" ht="42.8" customHeight="1" x14ac:dyDescent="0.25">
      <c r="A12" s="767" t="s">
        <v>260</v>
      </c>
      <c r="B12" s="768" t="s">
        <v>254</v>
      </c>
      <c r="C12" s="766">
        <v>4</v>
      </c>
      <c r="D12" s="789" t="s">
        <v>310</v>
      </c>
      <c r="E12" s="789" t="s">
        <v>1001</v>
      </c>
      <c r="F12" s="258" t="s">
        <v>1002</v>
      </c>
      <c r="G12" s="898" t="str">
        <f>+'8. BASE  CONSOLIDADA'!O273</f>
        <v>TRANSVERSAL REGIONAL</v>
      </c>
      <c r="H12" s="898" t="str">
        <f>+'8. BASE  CONSOLIDADA'!P273</f>
        <v>C19</v>
      </c>
      <c r="I12" s="74">
        <v>10</v>
      </c>
      <c r="J12" s="74">
        <v>10</v>
      </c>
      <c r="K12" s="899">
        <v>200000</v>
      </c>
      <c r="L12" s="792" t="s">
        <v>1003</v>
      </c>
      <c r="M12" s="416" t="s">
        <v>1004</v>
      </c>
      <c r="N12" s="899">
        <f t="shared" si="1"/>
        <v>2000000</v>
      </c>
      <c r="O12" s="899">
        <f t="shared" si="2"/>
        <v>2000000</v>
      </c>
      <c r="P12" s="899">
        <f t="shared" ref="P12:T12" si="5">+$N$12*0.2</f>
        <v>400000</v>
      </c>
      <c r="Q12" s="899">
        <f t="shared" si="5"/>
        <v>400000</v>
      </c>
      <c r="R12" s="899">
        <f t="shared" si="5"/>
        <v>400000</v>
      </c>
      <c r="S12" s="899">
        <f t="shared" si="5"/>
        <v>400000</v>
      </c>
      <c r="T12" s="899">
        <f t="shared" si="5"/>
        <v>400000</v>
      </c>
      <c r="U12" s="900"/>
      <c r="V12" s="74" t="s">
        <v>148</v>
      </c>
      <c r="W12" s="74"/>
      <c r="X12" s="74" t="s">
        <v>148</v>
      </c>
      <c r="Y12" s="74"/>
      <c r="Z12" s="74" t="str">
        <f t="shared" si="4"/>
        <v>RE</v>
      </c>
      <c r="AA12" s="74">
        <v>2</v>
      </c>
      <c r="AB12" s="825"/>
      <c r="AC12" s="825"/>
    </row>
    <row r="13" spans="1:29" ht="41.95" customHeight="1" x14ac:dyDescent="0.25">
      <c r="A13" s="769" t="s">
        <v>257</v>
      </c>
      <c r="B13" s="770" t="s">
        <v>254</v>
      </c>
      <c r="C13" s="766">
        <v>5</v>
      </c>
      <c r="D13" s="789" t="s">
        <v>331</v>
      </c>
      <c r="E13" s="789" t="s">
        <v>1005</v>
      </c>
      <c r="F13" s="258" t="s">
        <v>1006</v>
      </c>
      <c r="G13" s="898" t="str">
        <f>+'8. BASE  CONSOLIDADA'!O274</f>
        <v>TRANSVERSAL REGIONAL</v>
      </c>
      <c r="H13" s="898" t="str">
        <f>+'8. BASE  CONSOLIDADA'!P274</f>
        <v>C19</v>
      </c>
      <c r="I13" s="74">
        <v>30</v>
      </c>
      <c r="J13" s="74">
        <v>20</v>
      </c>
      <c r="K13" s="899">
        <v>100000</v>
      </c>
      <c r="L13" s="792" t="s">
        <v>1007</v>
      </c>
      <c r="M13" s="416" t="s">
        <v>1008</v>
      </c>
      <c r="N13" s="899">
        <f t="shared" si="1"/>
        <v>3000000</v>
      </c>
      <c r="O13" s="899">
        <f t="shared" si="2"/>
        <v>2000000</v>
      </c>
      <c r="P13" s="899">
        <f t="shared" ref="P13:T13" si="6">+$N$13*0.2</f>
        <v>600000</v>
      </c>
      <c r="Q13" s="899">
        <f t="shared" si="6"/>
        <v>600000</v>
      </c>
      <c r="R13" s="899">
        <f t="shared" si="6"/>
        <v>600000</v>
      </c>
      <c r="S13" s="899">
        <f t="shared" si="6"/>
        <v>600000</v>
      </c>
      <c r="T13" s="899">
        <f t="shared" si="6"/>
        <v>600000</v>
      </c>
      <c r="U13" s="900"/>
      <c r="V13" s="74"/>
      <c r="W13" s="74" t="s">
        <v>148</v>
      </c>
      <c r="X13" s="74" t="s">
        <v>148</v>
      </c>
      <c r="Y13" s="74"/>
      <c r="Z13" s="74" t="str">
        <f t="shared" si="4"/>
        <v>RE</v>
      </c>
      <c r="AA13" s="74">
        <v>3</v>
      </c>
      <c r="AB13" s="825"/>
      <c r="AC13" s="825"/>
    </row>
    <row r="14" spans="1:29" s="272" customFormat="1" ht="71.5" customHeight="1" x14ac:dyDescent="0.25">
      <c r="A14" s="769" t="s">
        <v>257</v>
      </c>
      <c r="B14" s="770" t="s">
        <v>254</v>
      </c>
      <c r="C14" s="766">
        <v>6</v>
      </c>
      <c r="D14" s="790" t="s">
        <v>319</v>
      </c>
      <c r="E14" s="901" t="s">
        <v>1009</v>
      </c>
      <c r="F14" s="270" t="s">
        <v>1010</v>
      </c>
      <c r="G14" s="902" t="str">
        <f>+'8. BASE  CONSOLIDADA'!O275</f>
        <v>TRANSVERSAL REGIONAL</v>
      </c>
      <c r="H14" s="902" t="str">
        <f>+'8. BASE  CONSOLIDADA'!P275</f>
        <v>C19</v>
      </c>
      <c r="I14" s="903">
        <v>1</v>
      </c>
      <c r="J14" s="903"/>
      <c r="K14" s="904">
        <v>100000</v>
      </c>
      <c r="L14" s="790" t="s">
        <v>1011</v>
      </c>
      <c r="M14" s="270" t="s">
        <v>54</v>
      </c>
      <c r="N14" s="904">
        <f t="shared" si="1"/>
        <v>100000</v>
      </c>
      <c r="O14" s="904">
        <f t="shared" si="2"/>
        <v>0</v>
      </c>
      <c r="P14" s="904">
        <f>+N14</f>
        <v>100000</v>
      </c>
      <c r="Q14" s="904"/>
      <c r="R14" s="904"/>
      <c r="S14" s="904"/>
      <c r="T14" s="904"/>
      <c r="U14" s="905"/>
      <c r="V14" s="903" t="s">
        <v>148</v>
      </c>
      <c r="W14" s="903" t="s">
        <v>148</v>
      </c>
      <c r="X14" s="903"/>
      <c r="Y14" s="903"/>
      <c r="Z14" s="903" t="str">
        <f t="shared" si="4"/>
        <v>RE</v>
      </c>
      <c r="AA14" s="903">
        <v>3</v>
      </c>
    </row>
    <row r="15" spans="1:29" ht="50.3" customHeight="1" x14ac:dyDescent="0.25">
      <c r="A15" s="764" t="s">
        <v>259</v>
      </c>
      <c r="B15" s="765" t="s">
        <v>254</v>
      </c>
      <c r="C15" s="766">
        <v>7</v>
      </c>
      <c r="D15" s="789" t="s">
        <v>295</v>
      </c>
      <c r="E15" s="875" t="s">
        <v>1012</v>
      </c>
      <c r="F15" s="1363" t="s">
        <v>994</v>
      </c>
      <c r="G15" s="898" t="str">
        <f>+'8. BASE  CONSOLIDADA'!O276</f>
        <v>TRANSVERSAL REGIONAL</v>
      </c>
      <c r="H15" s="898" t="str">
        <f>+'8. BASE  CONSOLIDADA'!P276</f>
        <v>C19</v>
      </c>
      <c r="I15" s="74">
        <f t="shared" ref="I15:J15" si="7">10*2</f>
        <v>20</v>
      </c>
      <c r="J15" s="1364">
        <f t="shared" si="7"/>
        <v>20</v>
      </c>
      <c r="K15" s="1365">
        <v>4000</v>
      </c>
      <c r="L15" s="792" t="s">
        <v>1013</v>
      </c>
      <c r="M15" s="416" t="s">
        <v>54</v>
      </c>
      <c r="N15" s="899">
        <f>+K15*I15*60</f>
        <v>4800000</v>
      </c>
      <c r="O15" s="899">
        <f>+K15*J15*60</f>
        <v>4800000</v>
      </c>
      <c r="P15" s="899">
        <f t="shared" ref="P15:T15" si="8">+$N$15*0.2</f>
        <v>960000</v>
      </c>
      <c r="Q15" s="899">
        <f t="shared" si="8"/>
        <v>960000</v>
      </c>
      <c r="R15" s="899">
        <f t="shared" si="8"/>
        <v>960000</v>
      </c>
      <c r="S15" s="899">
        <f t="shared" si="8"/>
        <v>960000</v>
      </c>
      <c r="T15" s="899">
        <f t="shared" si="8"/>
        <v>960000</v>
      </c>
      <c r="U15" s="900"/>
      <c r="V15" s="74"/>
      <c r="W15" s="74"/>
      <c r="X15" s="74" t="s">
        <v>148</v>
      </c>
      <c r="Y15" s="74"/>
      <c r="Z15" s="74" t="str">
        <f t="shared" si="4"/>
        <v>RE</v>
      </c>
      <c r="AA15" s="74">
        <v>2</v>
      </c>
      <c r="AB15" s="825"/>
      <c r="AC15" s="825"/>
    </row>
    <row r="16" spans="1:29" s="272" customFormat="1" ht="75.75" customHeight="1" x14ac:dyDescent="0.25">
      <c r="A16" s="764" t="s">
        <v>259</v>
      </c>
      <c r="B16" s="771"/>
      <c r="C16" s="766">
        <v>8</v>
      </c>
      <c r="D16" s="790" t="s">
        <v>312</v>
      </c>
      <c r="E16" s="790" t="s">
        <v>1014</v>
      </c>
      <c r="F16" s="270" t="s">
        <v>1010</v>
      </c>
      <c r="G16" s="902" t="str">
        <f>+'8. BASE  CONSOLIDADA'!O277</f>
        <v>TRANSVERSAL REGIONAL</v>
      </c>
      <c r="H16" s="902" t="str">
        <f>+'8. BASE  CONSOLIDADA'!P277</f>
        <v>C19</v>
      </c>
      <c r="I16" s="903">
        <v>1</v>
      </c>
      <c r="J16" s="903"/>
      <c r="K16" s="904">
        <v>100000</v>
      </c>
      <c r="L16" s="790" t="s">
        <v>1015</v>
      </c>
      <c r="M16" s="270" t="s">
        <v>1016</v>
      </c>
      <c r="N16" s="904">
        <f>+K16*I16</f>
        <v>100000</v>
      </c>
      <c r="O16" s="904">
        <f>+K16*J16</f>
        <v>0</v>
      </c>
      <c r="P16" s="904">
        <f>+N16</f>
        <v>100000</v>
      </c>
      <c r="Q16" s="904"/>
      <c r="R16" s="904"/>
      <c r="S16" s="904"/>
      <c r="T16" s="904"/>
      <c r="U16" s="905"/>
      <c r="V16" s="903" t="s">
        <v>148</v>
      </c>
      <c r="W16" s="903" t="s">
        <v>148</v>
      </c>
      <c r="X16" s="903"/>
      <c r="Y16" s="903"/>
      <c r="Z16" s="903"/>
      <c r="AA16" s="903">
        <v>2</v>
      </c>
    </row>
    <row r="17" spans="1:29" ht="41.3" customHeight="1" x14ac:dyDescent="0.25">
      <c r="A17" s="764" t="s">
        <v>259</v>
      </c>
      <c r="B17" s="765" t="s">
        <v>254</v>
      </c>
      <c r="C17" s="766">
        <v>9</v>
      </c>
      <c r="D17" s="789" t="s">
        <v>293</v>
      </c>
      <c r="E17" s="789" t="s">
        <v>1017</v>
      </c>
      <c r="F17" s="258" t="s">
        <v>1018</v>
      </c>
      <c r="G17" s="898" t="str">
        <f>+'8. BASE  CONSOLIDADA'!O278</f>
        <v>TRANSVERSAL REGIONAL</v>
      </c>
      <c r="H17" s="898" t="str">
        <f>+'8. BASE  CONSOLIDADA'!P278</f>
        <v>C19</v>
      </c>
      <c r="I17" s="74">
        <f>10*5</f>
        <v>50</v>
      </c>
      <c r="J17" s="74">
        <v>50</v>
      </c>
      <c r="K17" s="899">
        <v>5000</v>
      </c>
      <c r="L17" s="792" t="s">
        <v>1019</v>
      </c>
      <c r="M17" s="416" t="s">
        <v>1020</v>
      </c>
      <c r="N17" s="899">
        <f>+K17*I17*5</f>
        <v>1250000</v>
      </c>
      <c r="O17" s="899">
        <f>+K17*J17*5</f>
        <v>1250000</v>
      </c>
      <c r="P17" s="899">
        <f t="shared" ref="P17:T17" si="9">+$N$17*0.2</f>
        <v>250000</v>
      </c>
      <c r="Q17" s="899">
        <f t="shared" si="9"/>
        <v>250000</v>
      </c>
      <c r="R17" s="899">
        <f t="shared" si="9"/>
        <v>250000</v>
      </c>
      <c r="S17" s="899">
        <f t="shared" si="9"/>
        <v>250000</v>
      </c>
      <c r="T17" s="899">
        <f t="shared" si="9"/>
        <v>250000</v>
      </c>
      <c r="U17" s="900"/>
      <c r="V17" s="74"/>
      <c r="W17" s="74" t="s">
        <v>148</v>
      </c>
      <c r="X17" s="74"/>
      <c r="Y17" s="74"/>
      <c r="Z17" s="74" t="str">
        <f t="shared" ref="Z17:Z18" si="10">+B17</f>
        <v>RE</v>
      </c>
      <c r="AA17" s="74">
        <v>2</v>
      </c>
      <c r="AB17" s="825"/>
      <c r="AC17" s="825"/>
    </row>
    <row r="18" spans="1:29" ht="42.8" customHeight="1" x14ac:dyDescent="0.25">
      <c r="A18" s="767" t="s">
        <v>260</v>
      </c>
      <c r="B18" s="768" t="s">
        <v>254</v>
      </c>
      <c r="C18" s="766">
        <v>10</v>
      </c>
      <c r="D18" s="789" t="s">
        <v>316</v>
      </c>
      <c r="E18" s="789" t="s">
        <v>1021</v>
      </c>
      <c r="F18" s="258" t="s">
        <v>1022</v>
      </c>
      <c r="G18" s="898" t="str">
        <f>+'8. BASE  CONSOLIDADA'!O279</f>
        <v>TRANSVERSAL REGIONAL</v>
      </c>
      <c r="H18" s="898" t="str">
        <f>+'8. BASE  CONSOLIDADA'!P279</f>
        <v>C19</v>
      </c>
      <c r="I18" s="74">
        <f t="shared" ref="I18:J18" si="11">50*5</f>
        <v>250</v>
      </c>
      <c r="J18" s="74">
        <f t="shared" si="11"/>
        <v>250</v>
      </c>
      <c r="K18" s="899">
        <v>30000</v>
      </c>
      <c r="L18" s="792" t="s">
        <v>1023</v>
      </c>
      <c r="M18" s="416" t="s">
        <v>1024</v>
      </c>
      <c r="N18" s="899">
        <f>+K18*I18</f>
        <v>7500000</v>
      </c>
      <c r="O18" s="899">
        <f>+K18*J18</f>
        <v>7500000</v>
      </c>
      <c r="P18" s="899">
        <f t="shared" ref="P18:T18" si="12">+$N$18*0.2</f>
        <v>1500000</v>
      </c>
      <c r="Q18" s="899">
        <f t="shared" si="12"/>
        <v>1500000</v>
      </c>
      <c r="R18" s="899">
        <f t="shared" si="12"/>
        <v>1500000</v>
      </c>
      <c r="S18" s="899">
        <f t="shared" si="12"/>
        <v>1500000</v>
      </c>
      <c r="T18" s="899">
        <f t="shared" si="12"/>
        <v>1500000</v>
      </c>
      <c r="U18" s="900"/>
      <c r="V18" s="74" t="s">
        <v>148</v>
      </c>
      <c r="W18" s="74"/>
      <c r="X18" s="74"/>
      <c r="Y18" s="74"/>
      <c r="Z18" s="74" t="str">
        <f t="shared" si="10"/>
        <v>RE</v>
      </c>
      <c r="AA18" s="74">
        <v>2</v>
      </c>
      <c r="AB18" s="825"/>
      <c r="AC18" s="825"/>
    </row>
    <row r="19" spans="1:29" ht="89.35" customHeight="1" x14ac:dyDescent="0.25">
      <c r="A19" s="767" t="s">
        <v>260</v>
      </c>
      <c r="B19" s="772"/>
      <c r="C19" s="766">
        <v>11</v>
      </c>
      <c r="D19" s="789" t="s">
        <v>328</v>
      </c>
      <c r="E19" s="789" t="s">
        <v>1025</v>
      </c>
      <c r="F19" s="258" t="s">
        <v>1026</v>
      </c>
      <c r="G19" s="898" t="str">
        <f>+'8. BASE  CONSOLIDADA'!O280</f>
        <v>TRANSVERSAL REGIONAL</v>
      </c>
      <c r="H19" s="898" t="str">
        <f>+'8. BASE  CONSOLIDADA'!P280</f>
        <v>C19</v>
      </c>
      <c r="I19" s="74">
        <v>50</v>
      </c>
      <c r="J19" s="74">
        <v>50</v>
      </c>
      <c r="K19" s="899">
        <f>2000+60000</f>
        <v>62000</v>
      </c>
      <c r="L19" s="792" t="s">
        <v>1027</v>
      </c>
      <c r="M19" s="416" t="s">
        <v>1028</v>
      </c>
      <c r="N19" s="899">
        <f>+(50*2000*5)+60000</f>
        <v>560000</v>
      </c>
      <c r="O19" s="899">
        <f>2000*J19*5</f>
        <v>500000</v>
      </c>
      <c r="P19" s="899">
        <v>160000</v>
      </c>
      <c r="Q19" s="899">
        <v>100000</v>
      </c>
      <c r="R19" s="899">
        <v>100000</v>
      </c>
      <c r="S19" s="899">
        <v>100000</v>
      </c>
      <c r="T19" s="899">
        <v>100000</v>
      </c>
      <c r="U19" s="900"/>
      <c r="V19" s="74"/>
      <c r="W19" s="74"/>
      <c r="X19" s="74" t="s">
        <v>148</v>
      </c>
      <c r="Y19" s="74"/>
      <c r="Z19" s="74"/>
      <c r="AA19" s="74">
        <v>2</v>
      </c>
      <c r="AB19" s="825"/>
      <c r="AC19" s="825"/>
    </row>
    <row r="20" spans="1:29" ht="47.25" customHeight="1" x14ac:dyDescent="0.25">
      <c r="A20" s="764" t="s">
        <v>259</v>
      </c>
      <c r="B20" s="771"/>
      <c r="C20" s="766">
        <v>12</v>
      </c>
      <c r="D20" s="789" t="s">
        <v>309</v>
      </c>
      <c r="E20" s="789" t="s">
        <v>1029</v>
      </c>
      <c r="F20" s="258" t="s">
        <v>1030</v>
      </c>
      <c r="G20" s="898" t="str">
        <f>+'8. BASE  CONSOLIDADA'!O281</f>
        <v>TRANSVERSAL REGIONAL</v>
      </c>
      <c r="H20" s="898" t="str">
        <f>+'8. BASE  CONSOLIDADA'!P281</f>
        <v>C19</v>
      </c>
      <c r="I20" s="74">
        <v>100</v>
      </c>
      <c r="J20" s="74">
        <v>100</v>
      </c>
      <c r="K20" s="899">
        <v>20000</v>
      </c>
      <c r="L20" s="792" t="s">
        <v>1031</v>
      </c>
      <c r="M20" s="416" t="s">
        <v>1032</v>
      </c>
      <c r="N20" s="899">
        <f t="shared" ref="N20:N22" si="13">+K20*I20</f>
        <v>2000000</v>
      </c>
      <c r="O20" s="899">
        <f t="shared" ref="O20:O22" si="14">+K20*J20</f>
        <v>2000000</v>
      </c>
      <c r="P20" s="899">
        <f t="shared" ref="P20:T20" si="15">+$N$20*0.2</f>
        <v>400000</v>
      </c>
      <c r="Q20" s="899">
        <f t="shared" si="15"/>
        <v>400000</v>
      </c>
      <c r="R20" s="899">
        <f t="shared" si="15"/>
        <v>400000</v>
      </c>
      <c r="S20" s="899">
        <f t="shared" si="15"/>
        <v>400000</v>
      </c>
      <c r="T20" s="899">
        <f t="shared" si="15"/>
        <v>400000</v>
      </c>
      <c r="U20" s="73"/>
      <c r="V20" s="74"/>
      <c r="W20" s="74" t="s">
        <v>148</v>
      </c>
      <c r="X20" s="74"/>
      <c r="Y20" s="74"/>
      <c r="Z20" s="74"/>
      <c r="AA20" s="74">
        <v>2</v>
      </c>
      <c r="AB20" s="825"/>
      <c r="AC20" s="825"/>
    </row>
    <row r="21" spans="1:29" ht="139.94999999999999" customHeight="1" x14ac:dyDescent="0.25">
      <c r="A21" s="764" t="s">
        <v>259</v>
      </c>
      <c r="B21" s="765" t="s">
        <v>254</v>
      </c>
      <c r="C21" s="766">
        <v>13</v>
      </c>
      <c r="D21" s="789" t="s">
        <v>294</v>
      </c>
      <c r="E21" s="789" t="s">
        <v>1033</v>
      </c>
      <c r="F21" s="258" t="s">
        <v>1034</v>
      </c>
      <c r="G21" s="898" t="str">
        <f>+'8. BASE  CONSOLIDADA'!O282</f>
        <v>TRANSVERSAL REGIONAL</v>
      </c>
      <c r="H21" s="898" t="str">
        <f>+'8. BASE  CONSOLIDADA'!P282</f>
        <v>C19</v>
      </c>
      <c r="I21" s="74">
        <v>10</v>
      </c>
      <c r="J21" s="74">
        <v>10</v>
      </c>
      <c r="K21" s="906">
        <v>72000</v>
      </c>
      <c r="L21" s="792" t="s">
        <v>1035</v>
      </c>
      <c r="M21" s="416"/>
      <c r="N21" s="899">
        <f t="shared" si="13"/>
        <v>720000</v>
      </c>
      <c r="O21" s="899">
        <f t="shared" si="14"/>
        <v>720000</v>
      </c>
      <c r="P21" s="899">
        <f t="shared" ref="P21:T21" si="16">+$N$21*0.2</f>
        <v>144000</v>
      </c>
      <c r="Q21" s="899">
        <f t="shared" si="16"/>
        <v>144000</v>
      </c>
      <c r="R21" s="899">
        <f t="shared" si="16"/>
        <v>144000</v>
      </c>
      <c r="S21" s="899">
        <f t="shared" si="16"/>
        <v>144000</v>
      </c>
      <c r="T21" s="899">
        <f t="shared" si="16"/>
        <v>144000</v>
      </c>
      <c r="U21" s="73"/>
      <c r="V21" s="74"/>
      <c r="W21" s="74" t="s">
        <v>148</v>
      </c>
      <c r="X21" s="74"/>
      <c r="Y21" s="74"/>
      <c r="Z21" s="74"/>
      <c r="AA21" s="74">
        <v>3</v>
      </c>
      <c r="AB21" s="825"/>
      <c r="AC21" s="825"/>
    </row>
    <row r="22" spans="1:29" ht="93.1" customHeight="1" x14ac:dyDescent="0.25">
      <c r="A22" s="767" t="s">
        <v>260</v>
      </c>
      <c r="B22" s="768"/>
      <c r="C22" s="766">
        <v>14</v>
      </c>
      <c r="D22" s="789" t="s">
        <v>305</v>
      </c>
      <c r="E22" s="792" t="s">
        <v>1036</v>
      </c>
      <c r="F22" s="258" t="s">
        <v>1022</v>
      </c>
      <c r="G22" s="898" t="str">
        <f>+'8. BASE  CONSOLIDADA'!O283</f>
        <v>TRANSVERSAL REGIONAL</v>
      </c>
      <c r="H22" s="898" t="str">
        <f>+'8. BASE  CONSOLIDADA'!P283</f>
        <v>C19</v>
      </c>
      <c r="I22" s="74">
        <f t="shared" ref="I22:J22" si="17">5*5</f>
        <v>25</v>
      </c>
      <c r="J22" s="74">
        <f t="shared" si="17"/>
        <v>25</v>
      </c>
      <c r="K22" s="906">
        <v>80000</v>
      </c>
      <c r="L22" s="792" t="s">
        <v>1037</v>
      </c>
      <c r="M22" s="416" t="s">
        <v>1038</v>
      </c>
      <c r="N22" s="899">
        <f t="shared" si="13"/>
        <v>2000000</v>
      </c>
      <c r="O22" s="899">
        <f t="shared" si="14"/>
        <v>2000000</v>
      </c>
      <c r="P22" s="899">
        <f t="shared" ref="P22:T22" si="18">+$N$22*0.2</f>
        <v>400000</v>
      </c>
      <c r="Q22" s="899">
        <f t="shared" si="18"/>
        <v>400000</v>
      </c>
      <c r="R22" s="899">
        <f t="shared" si="18"/>
        <v>400000</v>
      </c>
      <c r="S22" s="899">
        <f t="shared" si="18"/>
        <v>400000</v>
      </c>
      <c r="T22" s="899">
        <f t="shared" si="18"/>
        <v>400000</v>
      </c>
      <c r="U22" s="73"/>
      <c r="V22" s="74" t="s">
        <v>148</v>
      </c>
      <c r="W22" s="74"/>
      <c r="X22" s="74"/>
      <c r="Y22" s="74"/>
      <c r="Z22" s="74"/>
      <c r="AA22" s="74">
        <v>3</v>
      </c>
      <c r="AB22" s="825"/>
      <c r="AC22" s="825"/>
    </row>
    <row r="23" spans="1:29" ht="70.5" customHeight="1" x14ac:dyDescent="0.25">
      <c r="A23" s="767" t="s">
        <v>260</v>
      </c>
      <c r="B23" s="768" t="s">
        <v>254</v>
      </c>
      <c r="C23" s="766">
        <v>15</v>
      </c>
      <c r="D23" s="789" t="s">
        <v>318</v>
      </c>
      <c r="E23" s="789" t="s">
        <v>1039</v>
      </c>
      <c r="F23" s="258" t="s">
        <v>1040</v>
      </c>
      <c r="G23" s="898" t="str">
        <f>+'8. BASE  CONSOLIDADA'!O284</f>
        <v>TRANSVERSAL REGIONAL</v>
      </c>
      <c r="H23" s="898" t="str">
        <f>+'8. BASE  CONSOLIDADA'!P284</f>
        <v>C19</v>
      </c>
      <c r="I23" s="77">
        <f t="shared" ref="I23:J23" si="19">3*10</f>
        <v>30</v>
      </c>
      <c r="J23" s="77">
        <f t="shared" si="19"/>
        <v>30</v>
      </c>
      <c r="K23" s="880">
        <v>45000</v>
      </c>
      <c r="L23" s="792" t="s">
        <v>1041</v>
      </c>
      <c r="M23" s="416" t="s">
        <v>1042</v>
      </c>
      <c r="N23" s="880">
        <f>+I23*K23*5</f>
        <v>6750000</v>
      </c>
      <c r="O23" s="880">
        <f>+K23*J23*5</f>
        <v>6750000</v>
      </c>
      <c r="P23" s="880">
        <f t="shared" ref="P23:T23" si="20">+$N$23*0.2</f>
        <v>1350000</v>
      </c>
      <c r="Q23" s="880">
        <f t="shared" si="20"/>
        <v>1350000</v>
      </c>
      <c r="R23" s="880">
        <f t="shared" si="20"/>
        <v>1350000</v>
      </c>
      <c r="S23" s="880">
        <f t="shared" si="20"/>
        <v>1350000</v>
      </c>
      <c r="T23" s="880">
        <f t="shared" si="20"/>
        <v>1350000</v>
      </c>
      <c r="U23" s="73"/>
      <c r="V23" s="73" t="s">
        <v>148</v>
      </c>
      <c r="W23" s="74"/>
      <c r="X23" s="74"/>
      <c r="Y23" s="74"/>
      <c r="Z23" s="74"/>
      <c r="AA23" s="74">
        <v>3</v>
      </c>
      <c r="AB23" s="825"/>
      <c r="AC23" s="825"/>
    </row>
    <row r="24" spans="1:29" s="72" customFormat="1" ht="80.5" customHeight="1" x14ac:dyDescent="0.25">
      <c r="A24" s="773" t="s">
        <v>256</v>
      </c>
      <c r="B24" s="774"/>
      <c r="C24" s="766">
        <v>16</v>
      </c>
      <c r="D24" s="789" t="s">
        <v>327</v>
      </c>
      <c r="E24" s="789" t="s">
        <v>1043</v>
      </c>
      <c r="F24" s="258" t="s">
        <v>1044</v>
      </c>
      <c r="G24" s="898" t="str">
        <f>+'8. BASE  CONSOLIDADA'!O285</f>
        <v>TRANSVERSAL REGIONAL</v>
      </c>
      <c r="H24" s="898" t="str">
        <f>+'8. BASE  CONSOLIDADA'!P285</f>
        <v>C19</v>
      </c>
      <c r="I24" s="77">
        <v>1</v>
      </c>
      <c r="J24" s="77"/>
      <c r="K24" s="880">
        <v>105000</v>
      </c>
      <c r="L24" s="792" t="s">
        <v>1045</v>
      </c>
      <c r="M24" s="416" t="s">
        <v>1046</v>
      </c>
      <c r="N24" s="907">
        <f>+K24*I24</f>
        <v>105000</v>
      </c>
      <c r="O24" s="907"/>
      <c r="P24" s="908">
        <f>+N24</f>
        <v>105000</v>
      </c>
      <c r="Q24" s="908"/>
      <c r="R24" s="908"/>
      <c r="S24" s="908"/>
      <c r="T24" s="908"/>
      <c r="U24" s="73"/>
      <c r="V24" s="73"/>
      <c r="W24" s="74" t="s">
        <v>148</v>
      </c>
      <c r="X24" s="74"/>
      <c r="Y24" s="74"/>
      <c r="Z24" s="74"/>
      <c r="AA24" s="74">
        <v>3</v>
      </c>
      <c r="AB24" s="825"/>
      <c r="AC24" s="825"/>
    </row>
    <row r="25" spans="1:29" s="272" customFormat="1" ht="58.6" customHeight="1" x14ac:dyDescent="0.25">
      <c r="A25" s="767" t="s">
        <v>260</v>
      </c>
      <c r="B25" s="775" t="s">
        <v>1047</v>
      </c>
      <c r="C25" s="766">
        <v>17</v>
      </c>
      <c r="D25" s="789" t="s">
        <v>330</v>
      </c>
      <c r="E25" s="790" t="s">
        <v>1048</v>
      </c>
      <c r="F25" s="270" t="s">
        <v>1049</v>
      </c>
      <c r="G25" s="298" t="s">
        <v>1050</v>
      </c>
      <c r="H25" s="299"/>
      <c r="I25" s="300">
        <v>5</v>
      </c>
      <c r="J25" s="300">
        <v>5</v>
      </c>
      <c r="K25" s="881">
        <v>1500000</v>
      </c>
      <c r="L25" s="875" t="s">
        <v>1051</v>
      </c>
      <c r="M25" s="302" t="s">
        <v>1052</v>
      </c>
      <c r="N25" s="909">
        <f>+I25*K25</f>
        <v>7500000</v>
      </c>
      <c r="O25" s="909">
        <f>+J25*K25</f>
        <v>7500000</v>
      </c>
      <c r="P25" s="888">
        <f>+$N$25*0.2</f>
        <v>1500000</v>
      </c>
      <c r="Q25" s="888">
        <f t="shared" ref="Q25:T25" si="21">+$N$25*0.2</f>
        <v>1500000</v>
      </c>
      <c r="R25" s="888">
        <f t="shared" si="21"/>
        <v>1500000</v>
      </c>
      <c r="S25" s="888">
        <f t="shared" si="21"/>
        <v>1500000</v>
      </c>
      <c r="T25" s="888">
        <f t="shared" si="21"/>
        <v>1500000</v>
      </c>
      <c r="U25" s="271"/>
      <c r="V25" s="270"/>
      <c r="W25" s="270" t="s">
        <v>148</v>
      </c>
      <c r="X25" s="270"/>
      <c r="Y25" s="270"/>
      <c r="Z25" s="270"/>
      <c r="AA25" s="270">
        <v>2</v>
      </c>
      <c r="AB25" s="825"/>
    </row>
    <row r="26" spans="1:29" s="276" customFormat="1" ht="68.95" customHeight="1" x14ac:dyDescent="0.25">
      <c r="A26" s="769" t="s">
        <v>257</v>
      </c>
      <c r="B26" s="770"/>
      <c r="C26" s="776">
        <v>18</v>
      </c>
      <c r="D26" s="910" t="s">
        <v>300</v>
      </c>
      <c r="E26" s="910" t="s">
        <v>1053</v>
      </c>
      <c r="F26" s="416" t="s">
        <v>1054</v>
      </c>
      <c r="G26" s="416" t="s">
        <v>1050</v>
      </c>
      <c r="H26" s="911"/>
      <c r="I26" s="74">
        <v>10</v>
      </c>
      <c r="J26" s="74">
        <v>0</v>
      </c>
      <c r="K26" s="899">
        <v>35000</v>
      </c>
      <c r="L26" s="792" t="s">
        <v>1055</v>
      </c>
      <c r="M26" s="74" t="s">
        <v>1056</v>
      </c>
      <c r="N26" s="909">
        <f>+K26*I26</f>
        <v>350000</v>
      </c>
      <c r="O26" s="909">
        <f>+K26*J26</f>
        <v>0</v>
      </c>
      <c r="P26" s="888">
        <f>+$N$26*0.2</f>
        <v>70000</v>
      </c>
      <c r="Q26" s="888">
        <f t="shared" ref="Q26:T26" si="22">+$N$26*0.2</f>
        <v>70000</v>
      </c>
      <c r="R26" s="888">
        <f t="shared" si="22"/>
        <v>70000</v>
      </c>
      <c r="S26" s="888">
        <f t="shared" si="22"/>
        <v>70000</v>
      </c>
      <c r="T26" s="888">
        <f t="shared" si="22"/>
        <v>70000</v>
      </c>
      <c r="U26" s="912"/>
      <c r="V26" s="300"/>
      <c r="W26" s="300" t="s">
        <v>148</v>
      </c>
      <c r="X26" s="300"/>
      <c r="Y26" s="300"/>
      <c r="Z26" s="300"/>
      <c r="AA26" s="300">
        <v>3</v>
      </c>
      <c r="AB26" s="825"/>
    </row>
    <row r="27" spans="1:29" s="276" customFormat="1" ht="83.25" customHeight="1" x14ac:dyDescent="0.25">
      <c r="A27" s="767" t="s">
        <v>260</v>
      </c>
      <c r="B27" s="768"/>
      <c r="C27" s="776">
        <v>19</v>
      </c>
      <c r="D27" s="910" t="s">
        <v>322</v>
      </c>
      <c r="E27" s="789" t="s">
        <v>1057</v>
      </c>
      <c r="F27" s="416" t="s">
        <v>1058</v>
      </c>
      <c r="G27" s="416" t="s">
        <v>1050</v>
      </c>
      <c r="H27" s="911"/>
      <c r="I27" s="300">
        <v>50</v>
      </c>
      <c r="J27" s="300">
        <v>40</v>
      </c>
      <c r="K27" s="899">
        <v>24000</v>
      </c>
      <c r="L27" s="875" t="s">
        <v>1059</v>
      </c>
      <c r="M27" s="300" t="s">
        <v>1060</v>
      </c>
      <c r="N27" s="909">
        <f>+K27*I27</f>
        <v>1200000</v>
      </c>
      <c r="O27" s="909">
        <f>+K27*J27</f>
        <v>960000</v>
      </c>
      <c r="P27" s="888">
        <f>+$N$27*0.2</f>
        <v>240000</v>
      </c>
      <c r="Q27" s="888">
        <f t="shared" ref="Q27:T27" si="23">+$N$27*0.2</f>
        <v>240000</v>
      </c>
      <c r="R27" s="888">
        <f t="shared" si="23"/>
        <v>240000</v>
      </c>
      <c r="S27" s="888">
        <f t="shared" si="23"/>
        <v>240000</v>
      </c>
      <c r="T27" s="888">
        <f t="shared" si="23"/>
        <v>240000</v>
      </c>
      <c r="U27" s="912"/>
      <c r="V27" s="300" t="s">
        <v>148</v>
      </c>
      <c r="W27" s="300"/>
      <c r="X27" s="300"/>
      <c r="Y27" s="300"/>
      <c r="Z27" s="300"/>
      <c r="AA27" s="300">
        <v>2</v>
      </c>
      <c r="AB27" s="825"/>
    </row>
    <row r="28" spans="1:29" s="276" customFormat="1" ht="65.25" x14ac:dyDescent="0.25">
      <c r="A28" s="767" t="s">
        <v>260</v>
      </c>
      <c r="B28" s="768"/>
      <c r="C28" s="776">
        <v>20</v>
      </c>
      <c r="D28" s="792" t="s">
        <v>336</v>
      </c>
      <c r="E28" s="875" t="s">
        <v>1061</v>
      </c>
      <c r="F28" s="416" t="s">
        <v>1062</v>
      </c>
      <c r="G28" s="416" t="s">
        <v>1050</v>
      </c>
      <c r="H28" s="911"/>
      <c r="I28" s="300">
        <v>8</v>
      </c>
      <c r="J28" s="300">
        <v>8</v>
      </c>
      <c r="K28" s="881">
        <f>30000+48000</f>
        <v>78000</v>
      </c>
      <c r="L28" s="875" t="s">
        <v>1063</v>
      </c>
      <c r="M28" s="300" t="s">
        <v>1064</v>
      </c>
      <c r="N28" s="881">
        <f>30000*8+(4000*60)</f>
        <v>480000</v>
      </c>
      <c r="O28" s="881">
        <f>30000*8+(4000*60)</f>
        <v>480000</v>
      </c>
      <c r="P28" s="881">
        <f>60000+48000</f>
        <v>108000</v>
      </c>
      <c r="Q28" s="881">
        <f>60000+48000</f>
        <v>108000</v>
      </c>
      <c r="R28" s="881">
        <f>60000+48000</f>
        <v>108000</v>
      </c>
      <c r="S28" s="881">
        <f>60000+48000</f>
        <v>108000</v>
      </c>
      <c r="T28" s="881">
        <v>48000</v>
      </c>
      <c r="U28" s="912"/>
      <c r="V28" s="300"/>
      <c r="W28" s="300" t="s">
        <v>148</v>
      </c>
      <c r="X28" s="300"/>
      <c r="Y28" s="300"/>
      <c r="Z28" s="300"/>
      <c r="AA28" s="300">
        <v>2</v>
      </c>
      <c r="AB28" s="825"/>
    </row>
    <row r="29" spans="1:29" s="277" customFormat="1" ht="66.099999999999994" customHeight="1" x14ac:dyDescent="0.25">
      <c r="A29" s="764" t="s">
        <v>259</v>
      </c>
      <c r="B29" s="765"/>
      <c r="C29" s="776">
        <v>21</v>
      </c>
      <c r="D29" s="790" t="s">
        <v>296</v>
      </c>
      <c r="E29" s="790" t="s">
        <v>1065</v>
      </c>
      <c r="F29" s="270" t="s">
        <v>1066</v>
      </c>
      <c r="G29" s="270" t="s">
        <v>1050</v>
      </c>
      <c r="H29" s="913"/>
      <c r="I29" s="914">
        <v>1</v>
      </c>
      <c r="J29" s="914">
        <v>0</v>
      </c>
      <c r="K29" s="915">
        <f>+(3000*4)*2+30000+5000+2000</f>
        <v>61000</v>
      </c>
      <c r="L29" s="901" t="s">
        <v>1067</v>
      </c>
      <c r="M29" s="302" t="s">
        <v>1068</v>
      </c>
      <c r="N29" s="881">
        <f>+K29*I29</f>
        <v>61000</v>
      </c>
      <c r="O29" s="916"/>
      <c r="P29" s="881">
        <f>+N29*0.5</f>
        <v>30500</v>
      </c>
      <c r="Q29" s="881">
        <f>+N29*0.5</f>
        <v>30500</v>
      </c>
      <c r="R29" s="916"/>
      <c r="S29" s="916"/>
      <c r="T29" s="916"/>
      <c r="U29" s="917"/>
      <c r="V29" s="914"/>
      <c r="W29" s="914" t="s">
        <v>148</v>
      </c>
      <c r="X29" s="914"/>
      <c r="Y29" s="914"/>
      <c r="Z29" s="914"/>
      <c r="AA29" s="914">
        <v>3</v>
      </c>
      <c r="AB29" s="825"/>
    </row>
    <row r="30" spans="1:29" s="278" customFormat="1" ht="35.5" customHeight="1" x14ac:dyDescent="0.25">
      <c r="A30" s="777" t="s">
        <v>261</v>
      </c>
      <c r="B30" s="778"/>
      <c r="C30" s="776">
        <v>22</v>
      </c>
      <c r="D30" s="792" t="s">
        <v>299</v>
      </c>
      <c r="E30" s="792" t="s">
        <v>1069</v>
      </c>
      <c r="F30" s="416" t="s">
        <v>1070</v>
      </c>
      <c r="G30" s="416" t="s">
        <v>1050</v>
      </c>
      <c r="H30" s="918"/>
      <c r="I30" s="300">
        <f>15*5</f>
        <v>75</v>
      </c>
      <c r="J30" s="300">
        <v>75</v>
      </c>
      <c r="K30" s="881">
        <v>25</v>
      </c>
      <c r="L30" s="875" t="s">
        <v>1071</v>
      </c>
      <c r="M30" s="300" t="s">
        <v>1072</v>
      </c>
      <c r="N30" s="881">
        <f>+K30*I30*10</f>
        <v>18750</v>
      </c>
      <c r="O30" s="881">
        <f>+K30*J30</f>
        <v>1875</v>
      </c>
      <c r="P30" s="881">
        <f>+$N$30*0.2</f>
        <v>3750</v>
      </c>
      <c r="Q30" s="881">
        <f t="shared" ref="Q30:T30" si="24">+$N$30*0.2</f>
        <v>3750</v>
      </c>
      <c r="R30" s="881">
        <f t="shared" si="24"/>
        <v>3750</v>
      </c>
      <c r="S30" s="881">
        <f t="shared" si="24"/>
        <v>3750</v>
      </c>
      <c r="T30" s="881">
        <f t="shared" si="24"/>
        <v>3750</v>
      </c>
      <c r="U30" s="912"/>
      <c r="V30" s="300"/>
      <c r="W30" s="300" t="s">
        <v>148</v>
      </c>
      <c r="X30" s="300"/>
      <c r="Y30" s="300"/>
      <c r="Z30" s="300"/>
      <c r="AA30" s="300">
        <v>2</v>
      </c>
      <c r="AB30" s="825"/>
    </row>
    <row r="31" spans="1:29" s="280" customFormat="1" ht="58.6" customHeight="1" x14ac:dyDescent="0.25">
      <c r="A31" s="777" t="s">
        <v>261</v>
      </c>
      <c r="B31" s="779"/>
      <c r="C31" s="776">
        <v>23</v>
      </c>
      <c r="D31" s="792" t="s">
        <v>303</v>
      </c>
      <c r="E31" s="792" t="s">
        <v>1073</v>
      </c>
      <c r="F31" s="74" t="s">
        <v>1074</v>
      </c>
      <c r="G31" s="416" t="s">
        <v>1050</v>
      </c>
      <c r="H31" s="919"/>
      <c r="I31" s="300">
        <v>1</v>
      </c>
      <c r="J31" s="300">
        <v>0</v>
      </c>
      <c r="K31" s="881">
        <v>150000</v>
      </c>
      <c r="L31" s="875" t="s">
        <v>1075</v>
      </c>
      <c r="M31" s="300" t="s">
        <v>1072</v>
      </c>
      <c r="N31" s="881">
        <f>+K31*I31</f>
        <v>150000</v>
      </c>
      <c r="O31" s="920"/>
      <c r="P31" s="881">
        <f>+$N$31*1</f>
        <v>150000</v>
      </c>
      <c r="Q31" s="920"/>
      <c r="R31" s="920"/>
      <c r="S31" s="920"/>
      <c r="T31" s="920"/>
      <c r="U31" s="871"/>
      <c r="V31" s="871"/>
      <c r="W31" s="300" t="s">
        <v>148</v>
      </c>
      <c r="X31" s="871"/>
      <c r="Y31" s="871"/>
      <c r="Z31" s="871"/>
      <c r="AA31" s="300">
        <v>3</v>
      </c>
      <c r="AB31" s="825"/>
      <c r="AC31" s="279"/>
    </row>
    <row r="32" spans="1:29" s="280" customFormat="1" ht="45.7" customHeight="1" x14ac:dyDescent="0.25">
      <c r="A32" s="777" t="s">
        <v>261</v>
      </c>
      <c r="B32" s="779"/>
      <c r="C32" s="776">
        <v>24</v>
      </c>
      <c r="D32" s="792" t="s">
        <v>335</v>
      </c>
      <c r="E32" s="792" t="s">
        <v>1076</v>
      </c>
      <c r="F32" s="416" t="s">
        <v>1077</v>
      </c>
      <c r="G32" s="416" t="s">
        <v>1050</v>
      </c>
      <c r="H32" s="919"/>
      <c r="I32" s="300">
        <v>1</v>
      </c>
      <c r="J32" s="300">
        <v>1</v>
      </c>
      <c r="K32" s="881">
        <v>50000</v>
      </c>
      <c r="L32" s="875" t="s">
        <v>1078</v>
      </c>
      <c r="M32" s="300" t="s">
        <v>1072</v>
      </c>
      <c r="N32" s="881">
        <v>60000</v>
      </c>
      <c r="O32" s="920"/>
      <c r="P32" s="881">
        <f>+$N$32*1</f>
        <v>60000</v>
      </c>
      <c r="Q32" s="920"/>
      <c r="R32" s="920"/>
      <c r="S32" s="920"/>
      <c r="T32" s="920"/>
      <c r="U32" s="871"/>
      <c r="V32" s="871"/>
      <c r="W32" s="300" t="s">
        <v>148</v>
      </c>
      <c r="X32" s="871"/>
      <c r="Y32" s="871"/>
      <c r="Z32" s="871"/>
      <c r="AA32" s="300">
        <v>2</v>
      </c>
      <c r="AB32" s="825"/>
      <c r="AC32" s="279"/>
    </row>
    <row r="33" spans="1:29" s="280" customFormat="1" ht="54.7" customHeight="1" x14ac:dyDescent="0.25">
      <c r="A33" s="777" t="s">
        <v>261</v>
      </c>
      <c r="B33" s="779"/>
      <c r="C33" s="776">
        <v>25</v>
      </c>
      <c r="D33" s="792" t="s">
        <v>321</v>
      </c>
      <c r="E33" s="792" t="s">
        <v>1079</v>
      </c>
      <c r="F33" s="921" t="s">
        <v>1080</v>
      </c>
      <c r="G33" s="416" t="s">
        <v>1050</v>
      </c>
      <c r="H33" s="922"/>
      <c r="I33" s="300">
        <v>1</v>
      </c>
      <c r="J33" s="300">
        <v>1</v>
      </c>
      <c r="K33" s="881">
        <v>30000</v>
      </c>
      <c r="L33" s="875" t="s">
        <v>1081</v>
      </c>
      <c r="M33" s="300" t="s">
        <v>1082</v>
      </c>
      <c r="N33" s="881">
        <v>50000</v>
      </c>
      <c r="O33" s="920"/>
      <c r="P33" s="881">
        <f>+$N$33*1</f>
        <v>50000</v>
      </c>
      <c r="Q33" s="920"/>
      <c r="R33" s="920"/>
      <c r="S33" s="920"/>
      <c r="T33" s="920"/>
      <c r="U33" s="871"/>
      <c r="V33" s="871"/>
      <c r="W33" s="300" t="s">
        <v>148</v>
      </c>
      <c r="X33" s="871"/>
      <c r="Y33" s="871"/>
      <c r="Z33" s="871"/>
      <c r="AA33" s="300">
        <v>2</v>
      </c>
      <c r="AB33" s="825"/>
      <c r="AC33" s="279"/>
    </row>
    <row r="34" spans="1:29" s="282" customFormat="1" ht="50.45" customHeight="1" x14ac:dyDescent="0.25">
      <c r="A34" s="777" t="s">
        <v>261</v>
      </c>
      <c r="B34" s="779"/>
      <c r="C34" s="776">
        <v>26</v>
      </c>
      <c r="D34" s="792" t="s">
        <v>302</v>
      </c>
      <c r="E34" s="792" t="s">
        <v>1083</v>
      </c>
      <c r="F34" s="416" t="s">
        <v>1084</v>
      </c>
      <c r="G34" s="416" t="s">
        <v>1050</v>
      </c>
      <c r="H34" s="923"/>
      <c r="I34" s="300">
        <v>1</v>
      </c>
      <c r="J34" s="300">
        <v>1</v>
      </c>
      <c r="K34" s="881">
        <f>12*15000</f>
        <v>180000</v>
      </c>
      <c r="L34" s="875" t="s">
        <v>1085</v>
      </c>
      <c r="M34" s="300" t="s">
        <v>1072</v>
      </c>
      <c r="N34" s="881">
        <f>+K34*I34*5</f>
        <v>900000</v>
      </c>
      <c r="O34" s="881">
        <f>+K34*J34*5</f>
        <v>900000</v>
      </c>
      <c r="P34" s="881">
        <f>+$N$34*0.2</f>
        <v>180000</v>
      </c>
      <c r="Q34" s="881">
        <f t="shared" ref="Q34:T34" si="25">+$N$34*0.2</f>
        <v>180000</v>
      </c>
      <c r="R34" s="881">
        <f t="shared" si="25"/>
        <v>180000</v>
      </c>
      <c r="S34" s="881">
        <f t="shared" si="25"/>
        <v>180000</v>
      </c>
      <c r="T34" s="881">
        <f t="shared" si="25"/>
        <v>180000</v>
      </c>
      <c r="U34" s="924"/>
      <c r="V34" s="924"/>
      <c r="W34" s="300" t="s">
        <v>148</v>
      </c>
      <c r="X34" s="924"/>
      <c r="Y34" s="924"/>
      <c r="Z34" s="924"/>
      <c r="AA34" s="300">
        <v>2</v>
      </c>
      <c r="AB34" s="825"/>
      <c r="AC34" s="281"/>
    </row>
    <row r="35" spans="1:29" s="275" customFormat="1" ht="33.65" customHeight="1" x14ac:dyDescent="0.25">
      <c r="A35" s="780" t="s">
        <v>256</v>
      </c>
      <c r="B35" s="780"/>
      <c r="C35" s="776">
        <v>27</v>
      </c>
      <c r="D35" s="792" t="s">
        <v>301</v>
      </c>
      <c r="E35" s="925" t="s">
        <v>1086</v>
      </c>
      <c r="F35" s="416" t="s">
        <v>1087</v>
      </c>
      <c r="G35" s="416" t="s">
        <v>1050</v>
      </c>
      <c r="H35" s="926"/>
      <c r="I35" s="300">
        <f>8*5</f>
        <v>40</v>
      </c>
      <c r="J35" s="300">
        <v>40</v>
      </c>
      <c r="K35" s="881">
        <v>1000</v>
      </c>
      <c r="L35" s="875" t="s">
        <v>1088</v>
      </c>
      <c r="M35" s="302" t="s">
        <v>1089</v>
      </c>
      <c r="N35" s="881">
        <f>1000*8*5</f>
        <v>40000</v>
      </c>
      <c r="O35" s="881">
        <f>1000*8*5</f>
        <v>40000</v>
      </c>
      <c r="P35" s="881">
        <f>$N$35*0.2</f>
        <v>8000</v>
      </c>
      <c r="Q35" s="881">
        <f t="shared" ref="Q35:T35" si="26">$N$35*0.2</f>
        <v>8000</v>
      </c>
      <c r="R35" s="881">
        <f t="shared" si="26"/>
        <v>8000</v>
      </c>
      <c r="S35" s="881">
        <f t="shared" si="26"/>
        <v>8000</v>
      </c>
      <c r="T35" s="881">
        <f t="shared" si="26"/>
        <v>8000</v>
      </c>
      <c r="U35" s="300"/>
      <c r="V35" s="300"/>
      <c r="W35" s="300" t="s">
        <v>148</v>
      </c>
      <c r="X35" s="300"/>
      <c r="Y35" s="300"/>
      <c r="Z35" s="300"/>
      <c r="AA35" s="300">
        <v>2</v>
      </c>
      <c r="AB35" s="825"/>
      <c r="AC35" s="274"/>
    </row>
    <row r="36" spans="1:29" s="275" customFormat="1" ht="30.9" customHeight="1" x14ac:dyDescent="0.25">
      <c r="A36" s="780" t="s">
        <v>256</v>
      </c>
      <c r="B36" s="780"/>
      <c r="C36" s="776">
        <v>28</v>
      </c>
      <c r="D36" s="792" t="s">
        <v>324</v>
      </c>
      <c r="E36" s="925" t="s">
        <v>1090</v>
      </c>
      <c r="F36" s="416" t="s">
        <v>1091</v>
      </c>
      <c r="G36" s="416" t="s">
        <v>1050</v>
      </c>
      <c r="H36" s="926"/>
      <c r="I36" s="300">
        <v>250</v>
      </c>
      <c r="J36" s="300">
        <v>250</v>
      </c>
      <c r="K36" s="881">
        <f>4500/30</f>
        <v>150</v>
      </c>
      <c r="L36" s="875" t="s">
        <v>1092</v>
      </c>
      <c r="M36" s="302" t="s">
        <v>1089</v>
      </c>
      <c r="N36" s="881">
        <f>I36*K36</f>
        <v>37500</v>
      </c>
      <c r="O36" s="881">
        <f>K36*J36</f>
        <v>37500</v>
      </c>
      <c r="P36" s="881">
        <f>+$N$36*0.2</f>
        <v>7500</v>
      </c>
      <c r="Q36" s="881">
        <f t="shared" ref="Q36:T36" si="27">+$N$36*0.2</f>
        <v>7500</v>
      </c>
      <c r="R36" s="881">
        <f t="shared" si="27"/>
        <v>7500</v>
      </c>
      <c r="S36" s="881">
        <f t="shared" si="27"/>
        <v>7500</v>
      </c>
      <c r="T36" s="881">
        <f t="shared" si="27"/>
        <v>7500</v>
      </c>
      <c r="U36" s="300"/>
      <c r="V36" s="300"/>
      <c r="W36" s="300"/>
      <c r="X36" s="300" t="s">
        <v>148</v>
      </c>
      <c r="Y36" s="300"/>
      <c r="Z36" s="300"/>
      <c r="AA36" s="300">
        <v>2</v>
      </c>
      <c r="AB36" s="825"/>
      <c r="AC36" s="274"/>
    </row>
    <row r="37" spans="1:29" s="275" customFormat="1" ht="33.799999999999997" customHeight="1" x14ac:dyDescent="0.25">
      <c r="A37" s="780" t="s">
        <v>256</v>
      </c>
      <c r="B37" s="780"/>
      <c r="C37" s="776">
        <v>29</v>
      </c>
      <c r="D37" s="792" t="s">
        <v>334</v>
      </c>
      <c r="E37" s="925" t="s">
        <v>1093</v>
      </c>
      <c r="F37" s="416" t="s">
        <v>1094</v>
      </c>
      <c r="G37" s="416" t="s">
        <v>1050</v>
      </c>
      <c r="H37" s="926"/>
      <c r="I37" s="300">
        <v>250</v>
      </c>
      <c r="J37" s="300">
        <v>250</v>
      </c>
      <c r="K37" s="881">
        <f>(150)+(1700/10)+(8250/10)+(8000/10)</f>
        <v>1945</v>
      </c>
      <c r="L37" s="875" t="s">
        <v>1095</v>
      </c>
      <c r="M37" s="302" t="s">
        <v>1096</v>
      </c>
      <c r="N37" s="881">
        <f>K37*I37</f>
        <v>486250</v>
      </c>
      <c r="O37" s="881">
        <f>K37*J37</f>
        <v>486250</v>
      </c>
      <c r="P37" s="881">
        <f>+$N$37*0.2</f>
        <v>97250</v>
      </c>
      <c r="Q37" s="881">
        <f t="shared" ref="Q37:T37" si="28">+$N$37*0.2</f>
        <v>97250</v>
      </c>
      <c r="R37" s="881">
        <f t="shared" si="28"/>
        <v>97250</v>
      </c>
      <c r="S37" s="881">
        <f t="shared" si="28"/>
        <v>97250</v>
      </c>
      <c r="T37" s="881">
        <f t="shared" si="28"/>
        <v>97250</v>
      </c>
      <c r="U37" s="300"/>
      <c r="V37" s="300"/>
      <c r="W37" s="300"/>
      <c r="X37" s="300" t="s">
        <v>148</v>
      </c>
      <c r="Y37" s="300" t="s">
        <v>148</v>
      </c>
      <c r="Z37" s="300"/>
      <c r="AA37" s="300">
        <v>3</v>
      </c>
      <c r="AB37" s="825"/>
      <c r="AC37" s="274"/>
    </row>
    <row r="38" spans="1:29" s="275" customFormat="1" ht="43.5" customHeight="1" x14ac:dyDescent="0.25">
      <c r="A38" s="780" t="s">
        <v>256</v>
      </c>
      <c r="B38" s="780"/>
      <c r="C38" s="776">
        <v>30</v>
      </c>
      <c r="D38" s="792" t="s">
        <v>314</v>
      </c>
      <c r="E38" s="792" t="s">
        <v>1097</v>
      </c>
      <c r="F38" s="416" t="s">
        <v>1098</v>
      </c>
      <c r="G38" s="416" t="s">
        <v>1050</v>
      </c>
      <c r="H38" s="1426"/>
      <c r="I38" s="1431">
        <f>25*5</f>
        <v>125</v>
      </c>
      <c r="J38" s="1431">
        <f>25*5</f>
        <v>125</v>
      </c>
      <c r="K38" s="881">
        <f>(4500*12*4)+(500*25)+(100*3*25)</f>
        <v>236000</v>
      </c>
      <c r="L38" s="875" t="s">
        <v>1099</v>
      </c>
      <c r="M38" s="302" t="s">
        <v>996</v>
      </c>
      <c r="N38" s="881">
        <f>K38*5</f>
        <v>1180000</v>
      </c>
      <c r="O38" s="881">
        <f>K38*5</f>
        <v>1180000</v>
      </c>
      <c r="P38" s="881">
        <f>+$N$38*0.2</f>
        <v>236000</v>
      </c>
      <c r="Q38" s="881">
        <f t="shared" ref="Q38:T38" si="29">+$N$38*0.2</f>
        <v>236000</v>
      </c>
      <c r="R38" s="881">
        <f t="shared" si="29"/>
        <v>236000</v>
      </c>
      <c r="S38" s="881">
        <f t="shared" si="29"/>
        <v>236000</v>
      </c>
      <c r="T38" s="881">
        <f t="shared" si="29"/>
        <v>236000</v>
      </c>
      <c r="U38" s="300"/>
      <c r="V38" s="300"/>
      <c r="W38" s="300" t="s">
        <v>148</v>
      </c>
      <c r="X38" s="300"/>
      <c r="Y38" s="300"/>
      <c r="Z38" s="300"/>
      <c r="AA38" s="300">
        <v>3</v>
      </c>
      <c r="AB38" s="825"/>
      <c r="AC38" s="274"/>
    </row>
    <row r="39" spans="1:29" s="275" customFormat="1" ht="45.7" customHeight="1" x14ac:dyDescent="0.25">
      <c r="A39" s="780" t="s">
        <v>256</v>
      </c>
      <c r="B39" s="780"/>
      <c r="C39" s="776">
        <v>31</v>
      </c>
      <c r="D39" s="792" t="s">
        <v>317</v>
      </c>
      <c r="E39" s="925" t="s">
        <v>1100</v>
      </c>
      <c r="F39" s="416" t="s">
        <v>1098</v>
      </c>
      <c r="G39" s="416"/>
      <c r="H39" s="1426"/>
      <c r="I39" s="1431"/>
      <c r="J39" s="1431"/>
      <c r="K39" s="881">
        <f>((130000*2)+(1700*4)+(5000*4)+(400*8)+(400*4)+(800*3)+(400*4))/250</f>
        <v>1182.4000000000001</v>
      </c>
      <c r="L39" s="875" t="s">
        <v>1101</v>
      </c>
      <c r="M39" s="302" t="s">
        <v>1096</v>
      </c>
      <c r="N39" s="881">
        <f>K39*I38</f>
        <v>147800</v>
      </c>
      <c r="O39" s="881">
        <f>400*4</f>
        <v>1600</v>
      </c>
      <c r="P39" s="881">
        <f>+$N$39*0.2</f>
        <v>29560</v>
      </c>
      <c r="Q39" s="881">
        <f t="shared" ref="Q39:T39" si="30">+$N$39*0.2</f>
        <v>29560</v>
      </c>
      <c r="R39" s="881">
        <f t="shared" si="30"/>
        <v>29560</v>
      </c>
      <c r="S39" s="881">
        <f t="shared" si="30"/>
        <v>29560</v>
      </c>
      <c r="T39" s="881">
        <f t="shared" si="30"/>
        <v>29560</v>
      </c>
      <c r="U39" s="300"/>
      <c r="V39" s="300"/>
      <c r="W39" s="300" t="s">
        <v>148</v>
      </c>
      <c r="X39" s="300"/>
      <c r="Y39" s="300"/>
      <c r="Z39" s="300"/>
      <c r="AA39" s="300">
        <v>3</v>
      </c>
      <c r="AB39" s="825"/>
      <c r="AC39" s="274"/>
    </row>
    <row r="40" spans="1:29" s="275" customFormat="1" ht="49.6" customHeight="1" x14ac:dyDescent="0.25">
      <c r="A40" s="780" t="s">
        <v>256</v>
      </c>
      <c r="B40" s="780"/>
      <c r="C40" s="781" t="s">
        <v>1102</v>
      </c>
      <c r="D40" s="789" t="s">
        <v>307</v>
      </c>
      <c r="E40" s="792" t="s">
        <v>1103</v>
      </c>
      <c r="F40" s="258" t="s">
        <v>1104</v>
      </c>
      <c r="G40" s="258"/>
      <c r="H40" s="921"/>
      <c r="I40" s="927">
        <v>6</v>
      </c>
      <c r="J40" s="927">
        <v>6</v>
      </c>
      <c r="K40" s="928">
        <v>8000</v>
      </c>
      <c r="L40" s="929" t="s">
        <v>1105</v>
      </c>
      <c r="M40" s="302" t="s">
        <v>996</v>
      </c>
      <c r="N40" s="881">
        <f>+K40*I40*60</f>
        <v>2880000</v>
      </c>
      <c r="O40" s="881">
        <f>+K40*J40*60</f>
        <v>2880000</v>
      </c>
      <c r="P40" s="881">
        <f>+$N$40*0.2</f>
        <v>576000</v>
      </c>
      <c r="Q40" s="881">
        <f t="shared" ref="Q40:T40" si="31">+$N$40*0.2</f>
        <v>576000</v>
      </c>
      <c r="R40" s="881">
        <f t="shared" si="31"/>
        <v>576000</v>
      </c>
      <c r="S40" s="881">
        <f t="shared" si="31"/>
        <v>576000</v>
      </c>
      <c r="T40" s="881">
        <f t="shared" si="31"/>
        <v>576000</v>
      </c>
      <c r="U40" s="300"/>
      <c r="V40" s="300"/>
      <c r="W40" s="300" t="s">
        <v>148</v>
      </c>
      <c r="X40" s="300"/>
      <c r="Y40" s="300"/>
      <c r="Z40" s="300"/>
      <c r="AA40" s="300">
        <v>3</v>
      </c>
      <c r="AB40" s="825"/>
      <c r="AC40" s="274"/>
    </row>
    <row r="41" spans="1:29" s="275" customFormat="1" ht="24.8" customHeight="1" x14ac:dyDescent="0.25">
      <c r="A41" s="780" t="s">
        <v>256</v>
      </c>
      <c r="B41" s="780"/>
      <c r="C41" s="781" t="s">
        <v>1106</v>
      </c>
      <c r="D41" s="789" t="s">
        <v>323</v>
      </c>
      <c r="E41" s="792" t="s">
        <v>1107</v>
      </c>
      <c r="F41" s="258" t="s">
        <v>1108</v>
      </c>
      <c r="G41" s="258"/>
      <c r="H41" s="921"/>
      <c r="I41" s="927">
        <v>5</v>
      </c>
      <c r="J41" s="927"/>
      <c r="K41" s="928">
        <v>150000</v>
      </c>
      <c r="L41" s="929" t="s">
        <v>1109</v>
      </c>
      <c r="M41" s="302" t="s">
        <v>996</v>
      </c>
      <c r="N41" s="881">
        <f>+K41*I41</f>
        <v>750000</v>
      </c>
      <c r="O41" s="881"/>
      <c r="P41" s="881">
        <f>+N41</f>
        <v>750000</v>
      </c>
      <c r="Q41" s="881"/>
      <c r="R41" s="881"/>
      <c r="S41" s="881"/>
      <c r="T41" s="881"/>
      <c r="U41" s="300"/>
      <c r="V41" s="300"/>
      <c r="W41" s="300" t="s">
        <v>148</v>
      </c>
      <c r="X41" s="300"/>
      <c r="Y41" s="300"/>
      <c r="Z41" s="300"/>
      <c r="AA41" s="300">
        <v>3</v>
      </c>
      <c r="AB41" s="825"/>
      <c r="AC41" s="274"/>
    </row>
    <row r="42" spans="1:29" s="275" customFormat="1" ht="34.5" customHeight="1" x14ac:dyDescent="0.25">
      <c r="A42" s="780" t="s">
        <v>256</v>
      </c>
      <c r="B42" s="780"/>
      <c r="C42" s="776">
        <v>33</v>
      </c>
      <c r="D42" s="792" t="s">
        <v>332</v>
      </c>
      <c r="E42" s="792" t="s">
        <v>1110</v>
      </c>
      <c r="F42" s="416" t="s">
        <v>1111</v>
      </c>
      <c r="G42" s="416" t="s">
        <v>1050</v>
      </c>
      <c r="H42" s="74"/>
      <c r="I42" s="300">
        <f>3*5</f>
        <v>15</v>
      </c>
      <c r="J42" s="300">
        <v>15</v>
      </c>
      <c r="K42" s="881">
        <v>30000</v>
      </c>
      <c r="L42" s="875" t="s">
        <v>1112</v>
      </c>
      <c r="M42" s="302" t="s">
        <v>1089</v>
      </c>
      <c r="N42" s="881">
        <f>K42*I42</f>
        <v>450000</v>
      </c>
      <c r="O42" s="881">
        <f>J42*K42</f>
        <v>450000</v>
      </c>
      <c r="P42" s="881">
        <f>+$N$42*0.2</f>
        <v>90000</v>
      </c>
      <c r="Q42" s="881">
        <f t="shared" ref="Q42:T42" si="32">+$N$42*0.2</f>
        <v>90000</v>
      </c>
      <c r="R42" s="881">
        <f t="shared" si="32"/>
        <v>90000</v>
      </c>
      <c r="S42" s="881">
        <f t="shared" si="32"/>
        <v>90000</v>
      </c>
      <c r="T42" s="881">
        <f t="shared" si="32"/>
        <v>90000</v>
      </c>
      <c r="U42" s="300"/>
      <c r="V42" s="300"/>
      <c r="W42" s="300"/>
      <c r="X42" s="300" t="s">
        <v>148</v>
      </c>
      <c r="Y42" s="300"/>
      <c r="Z42" s="300"/>
      <c r="AA42" s="300">
        <v>3</v>
      </c>
      <c r="AB42" s="825"/>
      <c r="AC42" s="274"/>
    </row>
    <row r="43" spans="1:29" s="275" customFormat="1" ht="138.6" customHeight="1" x14ac:dyDescent="0.25">
      <c r="A43" s="782" t="s">
        <v>261</v>
      </c>
      <c r="B43" s="782"/>
      <c r="C43" s="781" t="s">
        <v>1113</v>
      </c>
      <c r="D43" s="789" t="s">
        <v>265</v>
      </c>
      <c r="E43" s="792" t="s">
        <v>1114</v>
      </c>
      <c r="F43" s="258" t="s">
        <v>1115</v>
      </c>
      <c r="G43" s="416"/>
      <c r="H43" s="74"/>
      <c r="I43" s="300">
        <v>1</v>
      </c>
      <c r="J43" s="300">
        <v>1</v>
      </c>
      <c r="K43" s="881">
        <v>20000</v>
      </c>
      <c r="L43" s="875" t="s">
        <v>1116</v>
      </c>
      <c r="M43" s="302" t="s">
        <v>1117</v>
      </c>
      <c r="N43" s="881">
        <f>+I43*K43</f>
        <v>20000</v>
      </c>
      <c r="O43" s="881">
        <f>+K43*J43</f>
        <v>20000</v>
      </c>
      <c r="P43" s="881">
        <f>+N43</f>
        <v>20000</v>
      </c>
      <c r="Q43" s="881"/>
      <c r="R43" s="881"/>
      <c r="S43" s="881"/>
      <c r="T43" s="881"/>
      <c r="U43" s="300"/>
      <c r="V43" s="300"/>
      <c r="W43" s="300" t="s">
        <v>148</v>
      </c>
      <c r="X43" s="300"/>
      <c r="Y43" s="300"/>
      <c r="Z43" s="300"/>
      <c r="AA43" s="300" t="s">
        <v>148</v>
      </c>
      <c r="AB43" s="825"/>
      <c r="AC43" s="274"/>
    </row>
    <row r="44" spans="1:29" s="275" customFormat="1" ht="54.7" customHeight="1" x14ac:dyDescent="0.25">
      <c r="A44" s="783" t="s">
        <v>262</v>
      </c>
      <c r="B44" s="783"/>
      <c r="C44" s="781" t="s">
        <v>1118</v>
      </c>
      <c r="D44" s="789" t="s">
        <v>265</v>
      </c>
      <c r="E44" s="792" t="s">
        <v>1119</v>
      </c>
      <c r="F44" s="258" t="s">
        <v>1120</v>
      </c>
      <c r="G44" s="416"/>
      <c r="H44" s="74"/>
      <c r="I44" s="300">
        <v>1</v>
      </c>
      <c r="J44" s="300">
        <v>1</v>
      </c>
      <c r="K44" s="881">
        <v>20000</v>
      </c>
      <c r="L44" s="875" t="s">
        <v>1121</v>
      </c>
      <c r="M44" s="302" t="s">
        <v>1122</v>
      </c>
      <c r="N44" s="881">
        <f>+K44*I44</f>
        <v>20000</v>
      </c>
      <c r="O44" s="881">
        <f>+N44*J44</f>
        <v>20000</v>
      </c>
      <c r="P44" s="881">
        <f>+N44</f>
        <v>20000</v>
      </c>
      <c r="Q44" s="881"/>
      <c r="R44" s="881"/>
      <c r="S44" s="881"/>
      <c r="T44" s="881"/>
      <c r="U44" s="300"/>
      <c r="V44" s="300"/>
      <c r="W44" s="300" t="s">
        <v>1123</v>
      </c>
      <c r="X44" s="300"/>
      <c r="Y44" s="300"/>
      <c r="Z44" s="300"/>
      <c r="AA44" s="300" t="s">
        <v>1123</v>
      </c>
      <c r="AB44" s="825"/>
      <c r="AC44" s="274"/>
    </row>
    <row r="45" spans="1:29" s="275" customFormat="1" ht="59.95" customHeight="1" x14ac:dyDescent="0.25">
      <c r="A45" s="782" t="s">
        <v>261</v>
      </c>
      <c r="B45" s="782"/>
      <c r="C45" s="781" t="s">
        <v>1124</v>
      </c>
      <c r="D45" s="789" t="s">
        <v>265</v>
      </c>
      <c r="E45" s="792" t="s">
        <v>1119</v>
      </c>
      <c r="F45" s="258" t="s">
        <v>1125</v>
      </c>
      <c r="G45" s="416"/>
      <c r="H45" s="74"/>
      <c r="I45" s="300">
        <v>1</v>
      </c>
      <c r="J45" s="300">
        <v>0</v>
      </c>
      <c r="K45" s="881">
        <v>30000</v>
      </c>
      <c r="L45" s="875" t="s">
        <v>1126</v>
      </c>
      <c r="M45" s="302" t="s">
        <v>1127</v>
      </c>
      <c r="N45" s="889">
        <f>+K45*I45</f>
        <v>30000</v>
      </c>
      <c r="O45" s="889">
        <f>+K45*J45</f>
        <v>0</v>
      </c>
      <c r="P45" s="889">
        <f>+N45</f>
        <v>30000</v>
      </c>
      <c r="Q45" s="889"/>
      <c r="R45" s="889"/>
      <c r="S45" s="889"/>
      <c r="T45" s="889"/>
      <c r="U45" s="411"/>
      <c r="V45" s="300"/>
      <c r="W45" s="300" t="s">
        <v>148</v>
      </c>
      <c r="X45" s="300"/>
      <c r="Y45" s="300"/>
      <c r="Z45" s="300"/>
      <c r="AA45" s="300" t="s">
        <v>148</v>
      </c>
      <c r="AB45" s="825"/>
      <c r="AC45" s="274"/>
    </row>
    <row r="46" spans="1:29" s="275" customFormat="1" ht="62.35" customHeight="1" x14ac:dyDescent="0.25">
      <c r="A46" s="782" t="s">
        <v>261</v>
      </c>
      <c r="B46" s="782"/>
      <c r="C46" s="781" t="s">
        <v>1128</v>
      </c>
      <c r="D46" s="789" t="s">
        <v>265</v>
      </c>
      <c r="E46" s="792" t="s">
        <v>1119</v>
      </c>
      <c r="F46" s="258" t="s">
        <v>1129</v>
      </c>
      <c r="G46" s="416"/>
      <c r="H46" s="74"/>
      <c r="I46" s="300">
        <v>1</v>
      </c>
      <c r="J46" s="300">
        <v>0</v>
      </c>
      <c r="K46" s="881">
        <v>20000</v>
      </c>
      <c r="L46" s="875" t="s">
        <v>1130</v>
      </c>
      <c r="M46" s="302" t="s">
        <v>1131</v>
      </c>
      <c r="N46" s="889">
        <f>+K46*I46</f>
        <v>20000</v>
      </c>
      <c r="O46" s="889"/>
      <c r="P46" s="889">
        <f>+N46</f>
        <v>20000</v>
      </c>
      <c r="Q46" s="889"/>
      <c r="R46" s="889"/>
      <c r="S46" s="889"/>
      <c r="T46" s="889"/>
      <c r="U46" s="411"/>
      <c r="V46" s="300"/>
      <c r="W46" s="300" t="s">
        <v>1123</v>
      </c>
      <c r="X46" s="300"/>
      <c r="Y46" s="300"/>
      <c r="Z46" s="300"/>
      <c r="AA46" s="300" t="s">
        <v>1123</v>
      </c>
      <c r="AB46" s="825"/>
      <c r="AC46" s="274"/>
    </row>
    <row r="47" spans="1:29" s="275" customFormat="1" ht="59.3" customHeight="1" x14ac:dyDescent="0.25">
      <c r="A47" s="782" t="s">
        <v>261</v>
      </c>
      <c r="B47" s="782"/>
      <c r="C47" s="781" t="s">
        <v>1132</v>
      </c>
      <c r="D47" s="789" t="s">
        <v>265</v>
      </c>
      <c r="E47" s="792" t="s">
        <v>1119</v>
      </c>
      <c r="F47" s="258" t="s">
        <v>1133</v>
      </c>
      <c r="G47" s="416"/>
      <c r="H47" s="74"/>
      <c r="I47" s="930">
        <v>493395.07454789948</v>
      </c>
      <c r="J47" s="930">
        <v>493395.07454789948</v>
      </c>
      <c r="K47" s="881">
        <v>0.98</v>
      </c>
      <c r="L47" s="875" t="s">
        <v>1134</v>
      </c>
      <c r="M47" s="302" t="s">
        <v>1131</v>
      </c>
      <c r="N47" s="889">
        <f>+K47*I47</f>
        <v>483527.17305694148</v>
      </c>
      <c r="O47" s="889">
        <f>+K47*J47</f>
        <v>483527.17305694148</v>
      </c>
      <c r="P47" s="889">
        <f>+$N$47*0.2</f>
        <v>96705.434611388308</v>
      </c>
      <c r="Q47" s="889">
        <f t="shared" ref="Q47:T47" si="33">+$N$47*0.2</f>
        <v>96705.434611388308</v>
      </c>
      <c r="R47" s="889">
        <f t="shared" si="33"/>
        <v>96705.434611388308</v>
      </c>
      <c r="S47" s="889">
        <f t="shared" si="33"/>
        <v>96705.434611388308</v>
      </c>
      <c r="T47" s="889">
        <f t="shared" si="33"/>
        <v>96705.434611388308</v>
      </c>
      <c r="U47" s="411"/>
      <c r="V47" s="300"/>
      <c r="W47" s="300" t="s">
        <v>1123</v>
      </c>
      <c r="X47" s="300"/>
      <c r="Y47" s="300"/>
      <c r="Z47" s="300"/>
      <c r="AA47" s="300">
        <v>2</v>
      </c>
      <c r="AB47" s="825"/>
      <c r="AC47" s="274"/>
    </row>
    <row r="48" spans="1:29" ht="15.8" customHeight="1" x14ac:dyDescent="0.3">
      <c r="A48" s="825"/>
      <c r="C48" s="273"/>
      <c r="D48" s="793"/>
      <c r="E48" s="316"/>
      <c r="F48" s="273"/>
      <c r="G48" s="273"/>
      <c r="H48" s="273"/>
      <c r="I48" s="273"/>
      <c r="J48" s="273"/>
      <c r="K48" s="882"/>
      <c r="L48" s="1429" t="s">
        <v>1135</v>
      </c>
      <c r="M48" s="1430"/>
      <c r="N48" s="890">
        <f>SUM(N9:N47)</f>
        <v>123607524.29305695</v>
      </c>
      <c r="O48" s="890">
        <f t="shared" ref="O48:T48" si="34">SUM(O9:O47)</f>
        <v>142921449.29305694</v>
      </c>
      <c r="P48" s="890">
        <f t="shared" si="34"/>
        <v>27481404.85861139</v>
      </c>
      <c r="Q48" s="890">
        <f t="shared" si="34"/>
        <v>25169404.85861139</v>
      </c>
      <c r="R48" s="890">
        <f t="shared" si="34"/>
        <v>25138904.85861139</v>
      </c>
      <c r="S48" s="890">
        <f t="shared" si="34"/>
        <v>22938904.85861139</v>
      </c>
      <c r="T48" s="890">
        <f t="shared" si="34"/>
        <v>22878904.85861139</v>
      </c>
      <c r="U48" s="273"/>
      <c r="V48" s="273"/>
      <c r="W48" s="273"/>
      <c r="X48" s="273"/>
      <c r="Y48" s="273"/>
      <c r="Z48" s="273"/>
      <c r="AA48" s="273"/>
      <c r="AB48" s="273"/>
      <c r="AC48" s="825"/>
    </row>
    <row r="49" spans="1:29" s="296" customFormat="1" ht="15.8" hidden="1" customHeight="1" x14ac:dyDescent="0.25">
      <c r="B49" s="303"/>
      <c r="D49" s="794" t="s">
        <v>1136</v>
      </c>
      <c r="E49" s="317"/>
      <c r="H49" s="304" t="s">
        <v>1137</v>
      </c>
      <c r="K49" s="883"/>
      <c r="L49" s="1427" t="s">
        <v>1138</v>
      </c>
      <c r="M49" s="1428"/>
      <c r="N49" s="891">
        <f>+'4. Intervenciones UDT - HCBM'!O197+'6. Intervenciones UDT- AM'!O169+'5. Intervenciones UDT - AH'!O167+'7. Intervenciones UDT- BH'!O167+N48</f>
        <v>2932603734.4988961</v>
      </c>
      <c r="O49" s="891">
        <f>+'4. Intervenciones UDT - HCBM'!P197+'6. Intervenciones UDT- AM'!P169+'5. Intervenciones UDT - AH'!P167+'7. Intervenciones UDT- BH'!P167+O48</f>
        <v>3199436549.2994537</v>
      </c>
      <c r="P49" s="891">
        <f>+'4. Intervenciones UDT - HCBM'!Q197+'6. Intervenciones UDT- AM'!Q169+'5. Intervenciones UDT - AH'!Q167+'7. Intervenciones UDT- BH'!Q167+P48</f>
        <v>603826218.46259463</v>
      </c>
      <c r="Q49" s="891">
        <f>+'4. Intervenciones UDT - HCBM'!R197+'6. Intervenciones UDT- AM'!R169+'5. Intervenciones UDT - AH'!R167+'7. Intervenciones UDT- BH'!R167+Q48</f>
        <v>576195819.31622219</v>
      </c>
      <c r="R49" s="891">
        <f>+'4. Intervenciones UDT - HCBM'!S197+'6. Intervenciones UDT- AM'!S169+'5. Intervenciones UDT - AH'!S167+'7. Intervenciones UDT- BH'!S167+R48</f>
        <v>582996173.36145771</v>
      </c>
      <c r="S49" s="891">
        <f>+'4. Intervenciones UDT - HCBM'!T197+'6. Intervenciones UDT- AM'!T169+'5. Intervenciones UDT - AH'!T167+'7. Intervenciones UDT- BH'!T167+S48</f>
        <v>587219860.95192862</v>
      </c>
      <c r="T49" s="891">
        <f>+'4. Intervenciones UDT - HCBM'!U197+'6. Intervenciones UDT- AM'!U169+'5. Intervenciones UDT - AH'!U167+'7. Intervenciones UDT- BH'!U167+T48</f>
        <v>582365662.4066931</v>
      </c>
    </row>
    <row r="50" spans="1:29" s="296" customFormat="1" ht="15.8" hidden="1" customHeight="1" x14ac:dyDescent="0.25">
      <c r="B50" s="303"/>
      <c r="D50" s="795" t="s">
        <v>256</v>
      </c>
      <c r="E50" s="318"/>
      <c r="H50" s="305" t="s">
        <v>1139</v>
      </c>
      <c r="K50" s="883"/>
      <c r="L50" s="801"/>
      <c r="M50" s="412"/>
      <c r="N50" s="883"/>
      <c r="O50" s="883"/>
      <c r="P50" s="883"/>
      <c r="Q50" s="883"/>
      <c r="R50" s="883"/>
      <c r="S50" s="883"/>
      <c r="T50" s="883"/>
    </row>
    <row r="51" spans="1:29" s="296" customFormat="1" ht="15.8" hidden="1" customHeight="1" x14ac:dyDescent="0.25">
      <c r="B51" s="303"/>
      <c r="D51" s="796" t="s">
        <v>258</v>
      </c>
      <c r="E51" s="319"/>
      <c r="H51" s="306" t="s">
        <v>1140</v>
      </c>
      <c r="K51" s="883"/>
      <c r="L51" s="801"/>
      <c r="M51" s="413"/>
      <c r="N51" s="883"/>
      <c r="O51" s="883"/>
      <c r="P51" s="883"/>
      <c r="Q51" s="883"/>
      <c r="R51" s="883"/>
      <c r="S51" s="883"/>
      <c r="T51" s="883"/>
    </row>
    <row r="52" spans="1:29" s="296" customFormat="1" ht="15.8" hidden="1" customHeight="1" x14ac:dyDescent="0.25">
      <c r="B52" s="303"/>
      <c r="D52" s="796"/>
      <c r="E52" s="319"/>
      <c r="H52" s="306"/>
      <c r="K52" s="883"/>
      <c r="L52" s="801"/>
      <c r="N52" s="883"/>
      <c r="O52" s="883"/>
      <c r="P52" s="883"/>
      <c r="Q52" s="883"/>
      <c r="R52" s="883"/>
      <c r="S52" s="883"/>
      <c r="T52" s="883"/>
    </row>
    <row r="53" spans="1:29" s="296" customFormat="1" ht="15.8" hidden="1" customHeight="1" x14ac:dyDescent="0.25">
      <c r="B53" s="303"/>
      <c r="D53" s="797" t="s">
        <v>259</v>
      </c>
      <c r="E53" s="320"/>
      <c r="H53" s="307" t="s">
        <v>1141</v>
      </c>
      <c r="K53" s="883"/>
      <c r="L53" s="801"/>
      <c r="M53" s="1" t="s">
        <v>1142</v>
      </c>
      <c r="N53" s="892">
        <f>+'4. Intervenciones UDT - HCBM'!P197+'4. Intervenciones UDT - HCBM'!O197</f>
        <v>2806528996.2956657</v>
      </c>
      <c r="O53" s="883"/>
      <c r="P53" s="883"/>
      <c r="Q53" s="883"/>
      <c r="R53" s="883"/>
      <c r="S53" s="883"/>
      <c r="T53" s="883"/>
    </row>
    <row r="54" spans="1:29" s="296" customFormat="1" ht="15.8" hidden="1" customHeight="1" x14ac:dyDescent="0.25">
      <c r="B54" s="303"/>
      <c r="D54" s="798" t="s">
        <v>1143</v>
      </c>
      <c r="E54" s="321"/>
      <c r="K54" s="883"/>
      <c r="L54" s="801"/>
      <c r="M54" s="1" t="s">
        <v>1144</v>
      </c>
      <c r="N54" s="892">
        <f>+'6. Intervenciones UDT- AM'!P169+'6. Intervenciones UDT- AM'!O169</f>
        <v>1146915715.7135882</v>
      </c>
      <c r="O54" s="883"/>
      <c r="P54" s="883"/>
      <c r="Q54" s="883"/>
      <c r="R54" s="883"/>
      <c r="S54" s="883"/>
      <c r="T54" s="883"/>
    </row>
    <row r="55" spans="1:29" s="296" customFormat="1" ht="15.8" hidden="1" customHeight="1" x14ac:dyDescent="0.25">
      <c r="B55" s="303"/>
      <c r="D55" s="799" t="s">
        <v>261</v>
      </c>
      <c r="E55" s="321"/>
      <c r="K55" s="883"/>
      <c r="L55" s="801"/>
      <c r="M55" s="1" t="s">
        <v>1145</v>
      </c>
      <c r="N55" s="892">
        <f>+'5. Intervenciones UDT - AH'!O167+'5. Intervenciones UDT - AH'!P167</f>
        <v>998903937.17042732</v>
      </c>
      <c r="O55" s="883"/>
      <c r="P55" s="883"/>
      <c r="Q55" s="883"/>
      <c r="R55" s="883"/>
      <c r="S55" s="883"/>
      <c r="T55" s="883"/>
    </row>
    <row r="56" spans="1:29" s="296" customFormat="1" ht="15.8" hidden="1" customHeight="1" x14ac:dyDescent="0.25">
      <c r="B56" s="303"/>
      <c r="D56" s="800" t="s">
        <v>257</v>
      </c>
      <c r="E56" s="321"/>
      <c r="K56" s="883"/>
      <c r="L56" s="801"/>
      <c r="M56" s="1" t="s">
        <v>1146</v>
      </c>
      <c r="N56" s="892">
        <f>+'7. Intervenciones UDT- BH'!O167+'7. Intervenciones UDT- BH'!P167</f>
        <v>913162661.03255486</v>
      </c>
      <c r="O56" s="883"/>
      <c r="P56" s="883"/>
      <c r="Q56" s="883"/>
      <c r="R56" s="883"/>
      <c r="S56" s="883"/>
      <c r="T56" s="883"/>
    </row>
    <row r="57" spans="1:29" s="296" customFormat="1" ht="15.8" hidden="1" customHeight="1" x14ac:dyDescent="0.25">
      <c r="B57" s="303"/>
      <c r="D57" s="801"/>
      <c r="E57" s="321"/>
      <c r="K57" s="883"/>
      <c r="L57" s="801"/>
      <c r="M57" s="296" t="s">
        <v>1147</v>
      </c>
      <c r="N57" s="892">
        <f>SUM(N53:N56)</f>
        <v>5865511310.2122364</v>
      </c>
      <c r="O57" s="883"/>
      <c r="P57" s="883"/>
      <c r="Q57" s="883"/>
      <c r="R57" s="883"/>
      <c r="S57" s="883"/>
      <c r="T57" s="883"/>
    </row>
    <row r="58" spans="1:29" ht="15.8" hidden="1" customHeight="1" x14ac:dyDescent="0.3">
      <c r="A58" s="825"/>
      <c r="C58" s="825"/>
      <c r="D58" s="404"/>
      <c r="E58" s="17"/>
      <c r="F58" s="825"/>
      <c r="G58" s="825"/>
      <c r="H58" s="825"/>
      <c r="I58" s="825"/>
      <c r="J58" s="825"/>
      <c r="M58" s="296" t="s">
        <v>1148</v>
      </c>
      <c r="N58" s="892">
        <f>+N49+O49</f>
        <v>6132040283.7983494</v>
      </c>
      <c r="O58" s="229"/>
      <c r="P58" s="229"/>
      <c r="Q58" s="229"/>
      <c r="R58" s="229"/>
      <c r="S58" s="229"/>
      <c r="T58" s="229"/>
      <c r="U58" s="825"/>
      <c r="V58" s="825"/>
      <c r="W58" s="825"/>
      <c r="X58" s="825"/>
      <c r="Y58" s="825"/>
      <c r="Z58" s="825"/>
      <c r="AA58" s="825"/>
      <c r="AB58" s="825"/>
      <c r="AC58" s="825"/>
    </row>
    <row r="59" spans="1:29" ht="15.8" hidden="1" customHeight="1" x14ac:dyDescent="0.3">
      <c r="A59" s="825"/>
      <c r="C59" s="825"/>
      <c r="D59" s="404"/>
      <c r="E59" s="17"/>
      <c r="F59" s="825"/>
      <c r="G59" s="825"/>
      <c r="H59" s="825"/>
      <c r="I59" s="825"/>
      <c r="J59" s="825"/>
      <c r="M59" s="825"/>
      <c r="N59" s="229"/>
      <c r="O59" s="229"/>
      <c r="P59" s="229"/>
      <c r="Q59" s="229"/>
      <c r="R59" s="229"/>
      <c r="S59" s="229"/>
      <c r="T59" s="229"/>
      <c r="U59" s="825"/>
      <c r="V59" s="825"/>
      <c r="W59" s="825"/>
      <c r="X59" s="825"/>
      <c r="Y59" s="825"/>
      <c r="Z59" s="825"/>
      <c r="AA59" s="825"/>
      <c r="AB59" s="825"/>
      <c r="AC59" s="825"/>
    </row>
    <row r="60" spans="1:29" ht="15.8" hidden="1" customHeight="1" x14ac:dyDescent="0.3">
      <c r="A60" s="825"/>
      <c r="C60" s="825"/>
      <c r="D60" s="195"/>
      <c r="E60" s="17"/>
      <c r="F60" s="825"/>
      <c r="G60" s="78"/>
      <c r="H60" s="825"/>
      <c r="I60" s="825"/>
      <c r="J60" s="71"/>
      <c r="M60" s="67"/>
      <c r="N60" s="229"/>
      <c r="O60" s="229"/>
      <c r="P60" s="229"/>
      <c r="Q60" s="229"/>
      <c r="R60" s="229"/>
      <c r="S60" s="229"/>
      <c r="T60" s="229"/>
      <c r="U60" s="825"/>
      <c r="V60" s="825"/>
      <c r="W60" s="825"/>
      <c r="X60" s="825"/>
      <c r="Y60" s="825"/>
      <c r="Z60" s="825"/>
      <c r="AA60" s="825"/>
      <c r="AB60" s="825"/>
      <c r="AC60" s="825"/>
    </row>
    <row r="61" spans="1:29" ht="15.8" hidden="1" customHeight="1" x14ac:dyDescent="0.3">
      <c r="A61" s="825"/>
      <c r="C61" s="825"/>
      <c r="D61" s="195"/>
      <c r="E61" s="17"/>
      <c r="F61" s="825"/>
      <c r="G61" s="825"/>
      <c r="H61" s="825"/>
      <c r="I61" s="65"/>
      <c r="J61" s="825"/>
      <c r="M61" s="825"/>
      <c r="N61" s="229"/>
      <c r="O61" s="229"/>
      <c r="P61" s="229"/>
      <c r="Q61" s="229"/>
      <c r="R61" s="229"/>
      <c r="S61" s="229"/>
      <c r="T61" s="229"/>
      <c r="U61" s="825"/>
      <c r="V61" s="825"/>
      <c r="W61" s="825"/>
      <c r="X61" s="825"/>
      <c r="Y61" s="825"/>
      <c r="Z61" s="825"/>
      <c r="AA61" s="825"/>
      <c r="AB61" s="825"/>
      <c r="AC61" s="825"/>
    </row>
    <row r="62" spans="1:29" ht="15.8" hidden="1" customHeight="1" x14ac:dyDescent="0.3">
      <c r="A62" s="825"/>
      <c r="C62" s="825"/>
      <c r="D62" s="195"/>
      <c r="E62" s="17"/>
      <c r="F62" s="825"/>
      <c r="G62" s="825"/>
      <c r="H62" s="825"/>
      <c r="I62" s="825"/>
      <c r="J62" s="825"/>
      <c r="M62" s="825"/>
      <c r="N62" s="229"/>
      <c r="O62" s="229"/>
      <c r="P62" s="229"/>
      <c r="Q62" s="229"/>
      <c r="R62" s="229"/>
      <c r="S62" s="229"/>
      <c r="T62" s="229"/>
      <c r="U62" s="825"/>
      <c r="V62" s="825"/>
      <c r="W62" s="825"/>
      <c r="X62" s="825"/>
      <c r="Y62" s="825"/>
      <c r="Z62" s="825"/>
      <c r="AA62" s="825"/>
      <c r="AB62" s="825"/>
      <c r="AC62" s="825"/>
    </row>
    <row r="63" spans="1:29" ht="15.8" hidden="1" customHeight="1" x14ac:dyDescent="0.3">
      <c r="A63" s="825"/>
      <c r="C63" s="825"/>
      <c r="D63" s="195"/>
      <c r="E63" s="17"/>
      <c r="F63" s="825"/>
      <c r="G63" s="65"/>
      <c r="H63" s="825"/>
      <c r="I63" s="825"/>
      <c r="J63" s="825"/>
      <c r="M63" s="825"/>
      <c r="N63" s="229"/>
      <c r="O63" s="229"/>
      <c r="P63" s="229"/>
      <c r="Q63" s="229"/>
      <c r="R63" s="229"/>
      <c r="S63" s="229"/>
      <c r="T63" s="229"/>
      <c r="U63" s="825"/>
      <c r="V63" s="825"/>
      <c r="W63" s="825"/>
      <c r="X63" s="825"/>
      <c r="Y63" s="825"/>
      <c r="Z63" s="825"/>
      <c r="AA63" s="825"/>
      <c r="AB63" s="825"/>
      <c r="AC63" s="825"/>
    </row>
    <row r="64" spans="1:29" ht="15.8" hidden="1" customHeight="1" x14ac:dyDescent="0.3">
      <c r="A64" s="825"/>
      <c r="C64" s="825"/>
      <c r="D64" s="195"/>
      <c r="E64" s="17"/>
      <c r="F64" s="825"/>
      <c r="G64" s="65"/>
      <c r="H64" s="825"/>
      <c r="I64" s="825"/>
      <c r="J64" s="825"/>
      <c r="M64" s="825"/>
      <c r="N64" s="229"/>
      <c r="O64" s="229"/>
      <c r="P64" s="229"/>
      <c r="Q64" s="229"/>
      <c r="R64" s="229"/>
      <c r="S64" s="229"/>
      <c r="T64" s="229"/>
      <c r="U64" s="825"/>
      <c r="V64" s="825"/>
      <c r="W64" s="825"/>
      <c r="X64" s="825"/>
      <c r="Y64" s="825"/>
      <c r="Z64" s="825"/>
      <c r="AA64" s="825"/>
      <c r="AB64" s="825"/>
      <c r="AC64" s="825"/>
    </row>
    <row r="65" spans="1:29" ht="15.8" hidden="1" customHeight="1" x14ac:dyDescent="0.3">
      <c r="A65" s="825"/>
      <c r="C65" s="825"/>
      <c r="D65" s="195"/>
      <c r="E65" s="17"/>
      <c r="F65" s="825"/>
      <c r="G65" s="65"/>
      <c r="H65" s="825"/>
      <c r="I65" s="825"/>
      <c r="J65" s="825"/>
      <c r="M65" s="825"/>
      <c r="N65" s="229"/>
      <c r="O65" s="229"/>
      <c r="P65" s="229"/>
      <c r="Q65" s="229"/>
      <c r="R65" s="229"/>
      <c r="S65" s="229"/>
      <c r="T65" s="229"/>
      <c r="U65" s="825"/>
      <c r="V65" s="825"/>
      <c r="W65" s="825"/>
      <c r="X65" s="825"/>
      <c r="Y65" s="825"/>
      <c r="Z65" s="825"/>
      <c r="AA65" s="825"/>
      <c r="AB65" s="825"/>
      <c r="AC65" s="825"/>
    </row>
    <row r="66" spans="1:29" ht="15.8" hidden="1" customHeight="1" x14ac:dyDescent="0.3">
      <c r="A66" s="825"/>
      <c r="C66" s="825"/>
      <c r="D66" s="195"/>
      <c r="E66" s="17"/>
      <c r="F66" s="825"/>
      <c r="G66" s="65"/>
      <c r="H66" s="825"/>
      <c r="I66" s="825"/>
      <c r="J66" s="825"/>
      <c r="M66" s="825"/>
      <c r="N66" s="229"/>
      <c r="O66" s="229"/>
      <c r="P66" s="229"/>
      <c r="Q66" s="229"/>
      <c r="R66" s="229"/>
      <c r="S66" s="229"/>
      <c r="T66" s="229"/>
      <c r="U66" s="825"/>
      <c r="V66" s="825"/>
      <c r="W66" s="825"/>
      <c r="X66" s="825"/>
      <c r="Y66" s="825"/>
      <c r="Z66" s="825"/>
      <c r="AA66" s="825"/>
      <c r="AB66" s="825"/>
      <c r="AC66" s="825"/>
    </row>
    <row r="67" spans="1:29" ht="15.8" hidden="1" customHeight="1" x14ac:dyDescent="0.3">
      <c r="A67" s="825"/>
      <c r="C67" s="825"/>
      <c r="D67" s="404"/>
      <c r="E67" s="17"/>
      <c r="F67" s="825"/>
      <c r="G67" s="65"/>
      <c r="H67" s="825"/>
      <c r="I67" s="825"/>
      <c r="J67" s="825"/>
      <c r="M67" s="825"/>
      <c r="N67" s="229"/>
      <c r="O67" s="229"/>
      <c r="P67" s="229"/>
      <c r="Q67" s="229"/>
      <c r="R67" s="229"/>
      <c r="S67" s="229"/>
      <c r="T67" s="229"/>
      <c r="U67" s="825"/>
      <c r="V67" s="825"/>
      <c r="W67" s="825"/>
      <c r="X67" s="825"/>
      <c r="Y67" s="825"/>
      <c r="Z67" s="825"/>
      <c r="AA67" s="825"/>
      <c r="AB67" s="825"/>
      <c r="AC67" s="825"/>
    </row>
    <row r="68" spans="1:29" ht="15.8" hidden="1" customHeight="1" x14ac:dyDescent="0.3">
      <c r="A68" s="825"/>
      <c r="C68" s="825"/>
      <c r="D68" s="404"/>
      <c r="E68" s="17"/>
      <c r="F68" s="825"/>
      <c r="G68" s="825"/>
      <c r="H68" s="825"/>
      <c r="I68" s="825"/>
      <c r="J68" s="825"/>
      <c r="M68" s="825"/>
      <c r="N68" s="229"/>
      <c r="O68" s="229"/>
      <c r="P68" s="229"/>
      <c r="Q68" s="229"/>
      <c r="R68" s="229"/>
      <c r="S68" s="229"/>
      <c r="T68" s="229"/>
      <c r="U68" s="825"/>
      <c r="V68" s="825"/>
      <c r="W68" s="825"/>
      <c r="X68" s="825"/>
      <c r="Y68" s="825"/>
      <c r="Z68" s="825"/>
      <c r="AA68" s="825"/>
      <c r="AB68" s="825"/>
      <c r="AC68" s="825"/>
    </row>
    <row r="69" spans="1:29" ht="15.8" hidden="1" customHeight="1" x14ac:dyDescent="0.3">
      <c r="A69" s="825"/>
      <c r="C69" s="825"/>
      <c r="D69" s="404"/>
      <c r="E69" s="17"/>
      <c r="F69" s="825"/>
      <c r="G69" s="825"/>
      <c r="H69" s="21"/>
      <c r="I69" s="62"/>
      <c r="J69" s="825"/>
      <c r="M69" s="825"/>
      <c r="N69" s="229"/>
      <c r="O69" s="229"/>
      <c r="P69" s="229"/>
      <c r="Q69" s="229"/>
      <c r="R69" s="229"/>
      <c r="S69" s="229"/>
      <c r="T69" s="229"/>
      <c r="U69" s="825"/>
      <c r="V69" s="825"/>
      <c r="W69" s="825"/>
      <c r="X69" s="825"/>
      <c r="Y69" s="825"/>
      <c r="Z69" s="825"/>
      <c r="AA69" s="825"/>
      <c r="AB69" s="825"/>
      <c r="AC69" s="825"/>
    </row>
    <row r="70" spans="1:29" ht="15.8" hidden="1" customHeight="1" x14ac:dyDescent="0.3">
      <c r="A70" s="825"/>
      <c r="C70" s="825"/>
      <c r="D70" s="404"/>
      <c r="E70" s="17"/>
      <c r="F70" s="825"/>
      <c r="G70" s="825"/>
      <c r="H70" s="70"/>
      <c r="I70" s="67"/>
      <c r="J70" s="63"/>
      <c r="M70" s="825"/>
      <c r="N70" s="229"/>
      <c r="O70" s="229"/>
      <c r="P70" s="229"/>
      <c r="Q70" s="229"/>
      <c r="R70" s="229"/>
      <c r="S70" s="229"/>
      <c r="T70" s="229"/>
      <c r="U70" s="825"/>
      <c r="V70" s="825"/>
      <c r="W70" s="825"/>
      <c r="X70" s="825"/>
      <c r="Y70" s="825"/>
      <c r="Z70" s="825"/>
      <c r="AA70" s="825"/>
      <c r="AB70" s="825"/>
      <c r="AC70" s="825"/>
    </row>
    <row r="71" spans="1:29" s="312" customFormat="1" ht="15.8" hidden="1" customHeight="1" x14ac:dyDescent="0.2">
      <c r="B71" s="311"/>
      <c r="D71" s="802" t="s">
        <v>1149</v>
      </c>
      <c r="E71" s="314"/>
      <c r="H71" s="313"/>
      <c r="I71" s="315"/>
      <c r="K71" s="884"/>
      <c r="L71" s="876"/>
      <c r="N71" s="884"/>
      <c r="O71" s="884"/>
      <c r="P71" s="884"/>
      <c r="Q71" s="884"/>
      <c r="R71" s="884"/>
      <c r="S71" s="884"/>
      <c r="T71" s="884"/>
    </row>
    <row r="72" spans="1:29" ht="15.8" hidden="1" customHeight="1" x14ac:dyDescent="0.3">
      <c r="A72" s="825"/>
      <c r="C72" s="825"/>
      <c r="D72" s="802" t="s">
        <v>1150</v>
      </c>
      <c r="E72" s="17"/>
      <c r="F72" s="825"/>
      <c r="G72" s="825"/>
      <c r="H72" s="70"/>
      <c r="I72" s="67"/>
      <c r="J72" s="825"/>
      <c r="M72" s="825"/>
      <c r="N72" s="229"/>
      <c r="O72" s="229"/>
      <c r="P72" s="229"/>
      <c r="Q72" s="229"/>
      <c r="R72" s="229"/>
      <c r="S72" s="229"/>
      <c r="T72" s="229"/>
      <c r="U72" s="825"/>
      <c r="V72" s="825"/>
      <c r="W72" s="825"/>
      <c r="X72" s="825"/>
      <c r="Y72" s="825"/>
      <c r="Z72" s="825"/>
      <c r="AA72" s="825"/>
      <c r="AB72" s="825"/>
      <c r="AC72" s="825"/>
    </row>
    <row r="73" spans="1:29" ht="15.8" hidden="1" customHeight="1" x14ac:dyDescent="0.3">
      <c r="A73" s="825"/>
      <c r="C73" s="825"/>
      <c r="D73" s="404"/>
      <c r="E73" s="17"/>
      <c r="F73" s="825"/>
      <c r="G73" s="825"/>
      <c r="H73" s="70"/>
      <c r="I73" s="67"/>
      <c r="J73" s="64"/>
      <c r="M73" s="825"/>
      <c r="N73" s="229"/>
      <c r="O73" s="229"/>
      <c r="P73" s="229"/>
      <c r="Q73" s="229"/>
      <c r="R73" s="229"/>
      <c r="S73" s="229"/>
      <c r="T73" s="229"/>
      <c r="U73" s="825"/>
      <c r="V73" s="825"/>
      <c r="W73" s="825"/>
      <c r="X73" s="825"/>
      <c r="Y73" s="825"/>
      <c r="Z73" s="825"/>
      <c r="AA73" s="825"/>
      <c r="AB73" s="825"/>
      <c r="AC73" s="825"/>
    </row>
    <row r="74" spans="1:29" ht="15.8" hidden="1" customHeight="1" x14ac:dyDescent="0.3">
      <c r="A74" s="825"/>
      <c r="C74" s="825"/>
      <c r="D74" s="404"/>
      <c r="E74" s="17"/>
      <c r="F74" s="825"/>
      <c r="G74" s="825"/>
      <c r="H74" s="70"/>
      <c r="I74" s="67"/>
      <c r="J74" s="825"/>
      <c r="M74" s="825"/>
      <c r="N74" s="229"/>
      <c r="O74" s="229"/>
      <c r="P74" s="229"/>
      <c r="Q74" s="229"/>
      <c r="R74" s="229"/>
      <c r="S74" s="229"/>
      <c r="T74" s="229"/>
      <c r="U74" s="825"/>
      <c r="V74" s="825"/>
      <c r="W74" s="825"/>
      <c r="X74" s="825"/>
      <c r="Y74" s="825"/>
      <c r="Z74" s="825"/>
      <c r="AA74" s="825"/>
      <c r="AB74" s="825"/>
      <c r="AC74" s="825"/>
    </row>
    <row r="75" spans="1:29" ht="15.8" hidden="1" customHeight="1" x14ac:dyDescent="0.3">
      <c r="A75" s="825"/>
      <c r="C75" s="825"/>
      <c r="D75" s="802" t="s">
        <v>1151</v>
      </c>
      <c r="E75" s="17"/>
      <c r="F75" s="825"/>
      <c r="G75" s="825"/>
      <c r="H75" s="21"/>
      <c r="I75" s="67"/>
      <c r="J75" s="825"/>
      <c r="M75" s="825"/>
      <c r="N75" s="229"/>
      <c r="O75" s="229"/>
      <c r="P75" s="229"/>
      <c r="Q75" s="229"/>
      <c r="R75" s="229"/>
      <c r="S75" s="229"/>
      <c r="T75" s="229"/>
      <c r="U75" s="825"/>
      <c r="V75" s="825"/>
      <c r="W75" s="825"/>
      <c r="X75" s="825"/>
      <c r="Y75" s="825"/>
      <c r="Z75" s="825"/>
      <c r="AA75" s="825"/>
      <c r="AB75" s="825"/>
      <c r="AC75" s="825"/>
    </row>
    <row r="76" spans="1:29" ht="15.8" hidden="1" customHeight="1" x14ac:dyDescent="0.3">
      <c r="A76" s="825"/>
      <c r="C76" s="825"/>
      <c r="D76" s="404"/>
      <c r="E76" s="17"/>
      <c r="F76" s="825"/>
      <c r="G76" s="825"/>
      <c r="H76" s="21"/>
      <c r="I76" s="21"/>
      <c r="J76" s="825"/>
      <c r="M76" s="825"/>
      <c r="N76" s="229"/>
      <c r="O76" s="229"/>
      <c r="P76" s="229"/>
      <c r="Q76" s="229"/>
      <c r="R76" s="229"/>
      <c r="S76" s="229"/>
      <c r="T76" s="229"/>
      <c r="U76" s="825"/>
      <c r="V76" s="825"/>
      <c r="W76" s="825"/>
      <c r="X76" s="825"/>
      <c r="Y76" s="825"/>
      <c r="Z76" s="825"/>
      <c r="AA76" s="825"/>
      <c r="AB76" s="825"/>
      <c r="AC76" s="825"/>
    </row>
    <row r="77" spans="1:29" ht="15.8" hidden="1" customHeight="1" x14ac:dyDescent="0.3">
      <c r="A77" s="825"/>
      <c r="C77" s="825"/>
      <c r="D77" s="404"/>
      <c r="E77" s="17"/>
      <c r="F77" s="825"/>
      <c r="G77" s="825"/>
      <c r="H77" s="21"/>
      <c r="I77" s="67"/>
      <c r="J77" s="825"/>
      <c r="M77" s="825"/>
      <c r="N77" s="229"/>
      <c r="O77" s="229"/>
      <c r="P77" s="229"/>
      <c r="Q77" s="229"/>
      <c r="R77" s="229"/>
      <c r="S77" s="229"/>
      <c r="T77" s="229"/>
      <c r="U77" s="825"/>
      <c r="V77" s="825"/>
      <c r="W77" s="825"/>
      <c r="X77" s="825"/>
      <c r="Y77" s="825"/>
      <c r="Z77" s="825"/>
      <c r="AA77" s="825"/>
      <c r="AB77" s="825"/>
      <c r="AC77" s="825"/>
    </row>
    <row r="78" spans="1:29" ht="15.8" hidden="1" customHeight="1" x14ac:dyDescent="0.3">
      <c r="A78" s="825"/>
      <c r="C78" s="825"/>
      <c r="D78" s="404"/>
      <c r="E78" s="17"/>
      <c r="F78" s="825"/>
      <c r="G78" s="825"/>
      <c r="H78" s="21"/>
      <c r="I78" s="67"/>
      <c r="J78" s="825"/>
      <c r="M78" s="825"/>
      <c r="N78" s="229"/>
      <c r="O78" s="229"/>
      <c r="P78" s="229"/>
      <c r="Q78" s="229"/>
      <c r="R78" s="229"/>
      <c r="S78" s="229"/>
      <c r="T78" s="229"/>
      <c r="U78" s="825"/>
      <c r="V78" s="825"/>
      <c r="W78" s="825"/>
      <c r="X78" s="825"/>
      <c r="Y78" s="825"/>
      <c r="Z78" s="825"/>
      <c r="AA78" s="825"/>
      <c r="AB78" s="825"/>
      <c r="AC78" s="825"/>
    </row>
    <row r="79" spans="1:29" s="456" customFormat="1" ht="91.55" hidden="1" customHeight="1" x14ac:dyDescent="0.25">
      <c r="A79" s="447" t="s">
        <v>259</v>
      </c>
      <c r="B79" s="465"/>
      <c r="C79" s="449">
        <v>9</v>
      </c>
      <c r="D79" s="803" t="s">
        <v>1152</v>
      </c>
      <c r="E79" s="451" t="s">
        <v>1153</v>
      </c>
      <c r="F79" s="466" t="s">
        <v>994</v>
      </c>
      <c r="G79" s="452" t="e">
        <f>+'8. BASE  CONSOLIDADA'!#REF!</f>
        <v>#REF!</v>
      </c>
      <c r="H79" s="452" t="e">
        <f>+'8. BASE  CONSOLIDADA'!#REF!</f>
        <v>#REF!</v>
      </c>
      <c r="I79" s="467">
        <v>5</v>
      </c>
      <c r="J79" s="467">
        <v>5</v>
      </c>
      <c r="K79" s="885">
        <v>5000</v>
      </c>
      <c r="L79" s="877" t="s">
        <v>1154</v>
      </c>
      <c r="M79" s="454" t="s">
        <v>54</v>
      </c>
      <c r="N79" s="885">
        <f>+K79*I79*60</f>
        <v>1500000</v>
      </c>
      <c r="O79" s="885">
        <f>+K79*J79*60</f>
        <v>1500000</v>
      </c>
      <c r="P79" s="885" t="e">
        <f>+#REF!*0.2</f>
        <v>#REF!</v>
      </c>
      <c r="Q79" s="885" t="e">
        <f>+#REF!*0.2</f>
        <v>#REF!</v>
      </c>
      <c r="R79" s="885" t="e">
        <f>+#REF!*0.2</f>
        <v>#REF!</v>
      </c>
      <c r="S79" s="885" t="e">
        <f>+#REF!*0.2</f>
        <v>#REF!</v>
      </c>
      <c r="T79" s="885" t="e">
        <f>+#REF!*0.2</f>
        <v>#REF!</v>
      </c>
      <c r="U79" s="455"/>
      <c r="V79" s="453"/>
      <c r="W79" s="453"/>
      <c r="X79" s="453" t="s">
        <v>148</v>
      </c>
      <c r="Y79" s="453"/>
      <c r="Z79" s="453"/>
      <c r="AA79" s="453">
        <v>2</v>
      </c>
    </row>
    <row r="80" spans="1:29" s="456" customFormat="1" ht="85.6" hidden="1" customHeight="1" x14ac:dyDescent="0.25">
      <c r="A80" s="447" t="s">
        <v>259</v>
      </c>
      <c r="B80" s="448" t="s">
        <v>254</v>
      </c>
      <c r="C80" s="449">
        <v>12</v>
      </c>
      <c r="D80" s="803" t="s">
        <v>1155</v>
      </c>
      <c r="E80" s="451" t="s">
        <v>1156</v>
      </c>
      <c r="F80" s="450" t="s">
        <v>1157</v>
      </c>
      <c r="G80" s="452" t="e">
        <f>+'8. BASE  CONSOLIDADA'!#REF!</f>
        <v>#REF!</v>
      </c>
      <c r="H80" s="452" t="e">
        <f>+'8. BASE  CONSOLIDADA'!#REF!</f>
        <v>#REF!</v>
      </c>
      <c r="I80" s="453">
        <v>104</v>
      </c>
      <c r="J80" s="453">
        <v>104</v>
      </c>
      <c r="K80" s="885">
        <v>1203</v>
      </c>
      <c r="L80" s="877" t="s">
        <v>1158</v>
      </c>
      <c r="M80" s="454" t="s">
        <v>54</v>
      </c>
      <c r="N80" s="885">
        <f>+K80*I80*5</f>
        <v>625560</v>
      </c>
      <c r="O80" s="885">
        <f>+K80*J80*5</f>
        <v>625560</v>
      </c>
      <c r="P80" s="885" t="e">
        <f>+#REF!*0.2</f>
        <v>#REF!</v>
      </c>
      <c r="Q80" s="885" t="e">
        <f>+#REF!*0.2</f>
        <v>#REF!</v>
      </c>
      <c r="R80" s="885" t="e">
        <f>+#REF!*0.2</f>
        <v>#REF!</v>
      </c>
      <c r="S80" s="885" t="e">
        <f>+#REF!*0.2</f>
        <v>#REF!</v>
      </c>
      <c r="T80" s="885" t="e">
        <f>+#REF!*0.2</f>
        <v>#REF!</v>
      </c>
      <c r="U80" s="455"/>
      <c r="V80" s="453"/>
      <c r="W80" s="453" t="s">
        <v>148</v>
      </c>
      <c r="X80" s="453"/>
      <c r="Y80" s="453"/>
      <c r="Z80" s="453" t="str">
        <f t="shared" ref="Z80" si="35">+B80</f>
        <v>RE</v>
      </c>
      <c r="AA80" s="453">
        <v>3</v>
      </c>
    </row>
    <row r="81" spans="1:29" s="456" customFormat="1" ht="106.5" hidden="1" customHeight="1" x14ac:dyDescent="0.25">
      <c r="A81" s="457" t="s">
        <v>256</v>
      </c>
      <c r="B81" s="458"/>
      <c r="C81" s="449">
        <v>18</v>
      </c>
      <c r="D81" s="804" t="s">
        <v>1159</v>
      </c>
      <c r="E81" s="460" t="s">
        <v>1160</v>
      </c>
      <c r="F81" s="459" t="s">
        <v>1161</v>
      </c>
      <c r="G81" s="452" t="e">
        <f>+'8. BASE  CONSOLIDADA'!#REF!</f>
        <v>#REF!</v>
      </c>
      <c r="H81" s="452" t="e">
        <f>+'8. BASE  CONSOLIDADA'!#REF!</f>
        <v>#REF!</v>
      </c>
      <c r="I81" s="461">
        <f>2225110*0.6</f>
        <v>1335066</v>
      </c>
      <c r="J81" s="461">
        <f>2225110*0.4</f>
        <v>890044</v>
      </c>
      <c r="K81" s="886">
        <v>1.5</v>
      </c>
      <c r="L81" s="878" t="s">
        <v>1162</v>
      </c>
      <c r="M81" s="452" t="s">
        <v>1163</v>
      </c>
      <c r="N81" s="893">
        <f>+I81*K81</f>
        <v>2002599</v>
      </c>
      <c r="O81" s="893">
        <f>+J81*K81</f>
        <v>1335066</v>
      </c>
      <c r="P81" s="894">
        <f>4000*12*3+60000+100000+1000+226000</f>
        <v>531000</v>
      </c>
      <c r="Q81" s="894">
        <f>+(N81-P81)/4</f>
        <v>367899.75</v>
      </c>
      <c r="R81" s="894">
        <f>+Q81</f>
        <v>367899.75</v>
      </c>
      <c r="S81" s="894">
        <f>+R81</f>
        <v>367899.75</v>
      </c>
      <c r="T81" s="894">
        <f>+S81</f>
        <v>367899.75</v>
      </c>
      <c r="U81" s="463"/>
      <c r="V81" s="463"/>
      <c r="W81" s="464" t="s">
        <v>148</v>
      </c>
      <c r="X81" s="464"/>
      <c r="Y81" s="464"/>
      <c r="Z81" s="464"/>
      <c r="AA81" s="464">
        <v>3</v>
      </c>
    </row>
    <row r="82" spans="1:29" s="456" customFormat="1" ht="104.95" hidden="1" customHeight="1" x14ac:dyDescent="0.25">
      <c r="A82" s="447" t="s">
        <v>259</v>
      </c>
      <c r="B82" s="448"/>
      <c r="C82" s="449">
        <v>20</v>
      </c>
      <c r="D82" s="805" t="s">
        <v>1164</v>
      </c>
      <c r="E82" s="460" t="s">
        <v>1165</v>
      </c>
      <c r="F82" s="459" t="s">
        <v>1166</v>
      </c>
      <c r="G82" s="462" t="e">
        <f>+'8. BASE  CONSOLIDADA'!#REF!</f>
        <v>#REF!</v>
      </c>
      <c r="H82" s="462" t="e">
        <f>+'8. BASE  CONSOLIDADA'!#REF!</f>
        <v>#REF!</v>
      </c>
      <c r="I82" s="459">
        <v>1</v>
      </c>
      <c r="J82" s="459"/>
      <c r="K82" s="887">
        <v>5227000</v>
      </c>
      <c r="L82" s="879" t="s">
        <v>1167</v>
      </c>
      <c r="M82" s="468" t="s">
        <v>1168</v>
      </c>
      <c r="N82" s="895">
        <f>+K82*0.55</f>
        <v>2874850</v>
      </c>
      <c r="O82" s="896">
        <f>+K82*0.45</f>
        <v>2352150</v>
      </c>
      <c r="P82" s="897">
        <f>+N82*0.17</f>
        <v>488724.50000000006</v>
      </c>
      <c r="Q82" s="897">
        <f>+N82*0.35</f>
        <v>1006197.4999999999</v>
      </c>
      <c r="R82" s="897">
        <f>+N82*0.16</f>
        <v>459976</v>
      </c>
      <c r="S82" s="897">
        <f>+R82</f>
        <v>459976</v>
      </c>
      <c r="T82" s="897">
        <f>+S82</f>
        <v>459976</v>
      </c>
      <c r="U82" s="469"/>
      <c r="V82" s="462"/>
      <c r="W82" s="462"/>
      <c r="X82" s="462" t="s">
        <v>148</v>
      </c>
      <c r="Y82" s="462"/>
      <c r="Z82" s="462"/>
      <c r="AA82" s="462">
        <v>3</v>
      </c>
    </row>
    <row r="83" spans="1:29" ht="15.8" customHeight="1" x14ac:dyDescent="0.3">
      <c r="A83" s="825"/>
      <c r="C83" s="825"/>
      <c r="D83" s="404"/>
      <c r="E83" s="17"/>
      <c r="F83" s="825"/>
      <c r="G83" s="825"/>
      <c r="H83" s="21"/>
      <c r="I83" s="825"/>
      <c r="J83" s="64"/>
      <c r="M83" s="825"/>
      <c r="N83" s="229"/>
      <c r="O83" s="229"/>
      <c r="P83" s="229"/>
      <c r="Q83" s="229"/>
      <c r="R83" s="229"/>
      <c r="S83" s="229"/>
      <c r="T83" s="229"/>
      <c r="U83" s="825"/>
      <c r="V83" s="825"/>
      <c r="W83" s="825"/>
      <c r="X83" s="825"/>
      <c r="Y83" s="825"/>
      <c r="Z83" s="825"/>
      <c r="AA83" s="825"/>
      <c r="AB83" s="825"/>
      <c r="AC83" s="825"/>
    </row>
    <row r="84" spans="1:29" ht="15.8" customHeight="1" x14ac:dyDescent="0.3">
      <c r="A84" s="825"/>
      <c r="C84" s="825"/>
      <c r="D84" s="404"/>
      <c r="E84" s="17"/>
      <c r="F84" s="825"/>
      <c r="G84" s="825"/>
      <c r="H84" s="21"/>
      <c r="I84" s="825"/>
      <c r="J84" s="825"/>
      <c r="M84" s="825"/>
      <c r="N84" s="229"/>
      <c r="O84" s="229"/>
      <c r="P84" s="229"/>
      <c r="Q84" s="229"/>
      <c r="R84" s="229"/>
      <c r="S84" s="229"/>
      <c r="T84" s="229"/>
      <c r="U84" s="825"/>
      <c r="V84" s="825"/>
      <c r="W84" s="825"/>
      <c r="X84" s="825"/>
      <c r="Y84" s="825"/>
      <c r="Z84" s="825"/>
      <c r="AA84" s="825"/>
      <c r="AB84" s="825"/>
      <c r="AC84" s="825"/>
    </row>
    <row r="85" spans="1:29" ht="15.8" customHeight="1" x14ac:dyDescent="0.3">
      <c r="A85" s="825"/>
      <c r="C85" s="825"/>
      <c r="D85" s="404"/>
      <c r="E85" s="17"/>
      <c r="F85" s="825"/>
      <c r="G85" s="825"/>
      <c r="H85" s="21"/>
      <c r="I85" s="825"/>
      <c r="J85" s="825"/>
      <c r="M85" s="825"/>
      <c r="N85" s="229"/>
      <c r="O85" s="229"/>
      <c r="P85" s="229"/>
      <c r="Q85" s="229"/>
      <c r="R85" s="229"/>
      <c r="S85" s="229"/>
      <c r="T85" s="229"/>
      <c r="U85" s="825"/>
      <c r="V85" s="825"/>
      <c r="W85" s="825"/>
      <c r="X85" s="825"/>
      <c r="Y85" s="825"/>
      <c r="Z85" s="825"/>
      <c r="AA85" s="825"/>
      <c r="AB85" s="825"/>
      <c r="AC85" s="825"/>
    </row>
    <row r="86" spans="1:29" ht="15.8" customHeight="1" x14ac:dyDescent="0.3">
      <c r="A86" s="825"/>
      <c r="C86" s="825"/>
      <c r="D86" s="404"/>
      <c r="E86" s="17"/>
      <c r="F86" s="825"/>
      <c r="G86" s="825"/>
      <c r="H86" s="21"/>
      <c r="I86" s="825"/>
      <c r="J86" s="825"/>
      <c r="M86" s="825"/>
      <c r="N86" s="229"/>
      <c r="O86" s="229"/>
      <c r="P86" s="229"/>
      <c r="Q86" s="229"/>
      <c r="R86" s="229"/>
      <c r="S86" s="229"/>
      <c r="T86" s="229"/>
      <c r="U86" s="825"/>
      <c r="V86" s="825"/>
      <c r="W86" s="825"/>
      <c r="X86" s="825"/>
      <c r="Y86" s="825"/>
      <c r="Z86" s="825"/>
      <c r="AA86" s="825"/>
      <c r="AB86" s="825"/>
      <c r="AC86" s="825"/>
    </row>
    <row r="87" spans="1:29" ht="15.8" customHeight="1" x14ac:dyDescent="0.3">
      <c r="A87" s="825"/>
      <c r="C87" s="825"/>
      <c r="D87" s="21"/>
      <c r="E87" s="17"/>
      <c r="F87" s="825"/>
      <c r="G87" s="825"/>
      <c r="H87" s="21"/>
      <c r="I87" s="825"/>
      <c r="J87" s="825"/>
      <c r="M87" s="825"/>
      <c r="N87" s="229"/>
      <c r="O87" s="229"/>
      <c r="P87" s="229"/>
      <c r="Q87" s="229"/>
      <c r="R87" s="229"/>
      <c r="S87" s="229"/>
      <c r="T87" s="229"/>
      <c r="U87" s="825"/>
      <c r="V87" s="825"/>
      <c r="W87" s="825"/>
      <c r="X87" s="825"/>
      <c r="Y87" s="825"/>
      <c r="Z87" s="825"/>
      <c r="AA87" s="825"/>
      <c r="AB87" s="825"/>
      <c r="AC87" s="825"/>
    </row>
    <row r="88" spans="1:29" ht="15.8" customHeight="1" x14ac:dyDescent="0.3">
      <c r="A88" s="825"/>
      <c r="C88" s="825"/>
      <c r="D88" s="21"/>
      <c r="E88" s="17"/>
      <c r="F88" s="825"/>
      <c r="G88" s="825"/>
      <c r="H88" s="21"/>
      <c r="I88" s="825"/>
      <c r="J88" s="825"/>
      <c r="M88" s="825"/>
      <c r="N88" s="229"/>
      <c r="O88" s="229"/>
      <c r="P88" s="229"/>
      <c r="Q88" s="229"/>
      <c r="R88" s="229"/>
      <c r="S88" s="229"/>
      <c r="T88" s="229"/>
      <c r="U88" s="825"/>
      <c r="V88" s="825"/>
      <c r="W88" s="825"/>
      <c r="X88" s="825"/>
      <c r="Y88" s="825"/>
      <c r="Z88" s="825"/>
      <c r="AA88" s="825"/>
      <c r="AB88" s="825"/>
      <c r="AC88" s="825"/>
    </row>
    <row r="89" spans="1:29" ht="15.8" customHeight="1" x14ac:dyDescent="0.3">
      <c r="A89" s="825"/>
      <c r="C89" s="825"/>
      <c r="D89" s="21"/>
      <c r="E89" s="17"/>
      <c r="F89" s="825"/>
      <c r="G89" s="825"/>
      <c r="H89" s="21"/>
      <c r="I89" s="825"/>
      <c r="J89" s="825"/>
      <c r="M89" s="825"/>
      <c r="N89" s="229"/>
      <c r="O89" s="229"/>
      <c r="P89" s="229"/>
      <c r="Q89" s="229"/>
      <c r="R89" s="229"/>
      <c r="S89" s="229"/>
      <c r="T89" s="229"/>
      <c r="U89" s="825"/>
      <c r="V89" s="825"/>
      <c r="W89" s="825"/>
      <c r="X89" s="825"/>
      <c r="Y89" s="825"/>
      <c r="Z89" s="825"/>
      <c r="AA89" s="825"/>
      <c r="AB89" s="825"/>
      <c r="AC89" s="825"/>
    </row>
    <row r="90" spans="1:29" ht="15.8" customHeight="1" x14ac:dyDescent="0.3">
      <c r="A90" s="825"/>
      <c r="C90" s="825"/>
      <c r="D90" s="21"/>
      <c r="E90" s="17"/>
      <c r="F90" s="825"/>
      <c r="G90" s="825"/>
      <c r="H90" s="21"/>
      <c r="I90" s="825"/>
      <c r="J90" s="825"/>
      <c r="M90" s="825"/>
      <c r="N90" s="229"/>
      <c r="O90" s="229"/>
      <c r="P90" s="229"/>
      <c r="Q90" s="229"/>
      <c r="R90" s="229"/>
      <c r="S90" s="229"/>
      <c r="T90" s="229"/>
      <c r="U90" s="825"/>
      <c r="V90" s="825"/>
      <c r="W90" s="825"/>
      <c r="X90" s="825"/>
      <c r="Y90" s="825"/>
      <c r="Z90" s="825"/>
      <c r="AA90" s="825"/>
      <c r="AB90" s="825"/>
      <c r="AC90" s="825"/>
    </row>
    <row r="91" spans="1:29" ht="15.8" customHeight="1" x14ac:dyDescent="0.3">
      <c r="A91" s="825"/>
      <c r="C91" s="825"/>
      <c r="D91" s="21"/>
      <c r="E91" s="17"/>
      <c r="F91" s="825"/>
      <c r="G91" s="825"/>
      <c r="H91" s="21"/>
      <c r="I91" s="825"/>
      <c r="J91" s="825"/>
      <c r="M91" s="825"/>
      <c r="N91" s="229"/>
      <c r="O91" s="229"/>
      <c r="P91" s="229"/>
      <c r="Q91" s="229"/>
      <c r="R91" s="229"/>
      <c r="S91" s="229"/>
      <c r="T91" s="229"/>
      <c r="U91" s="825"/>
      <c r="V91" s="825"/>
      <c r="W91" s="825"/>
      <c r="X91" s="825"/>
      <c r="Y91" s="825"/>
      <c r="Z91" s="825"/>
      <c r="AA91" s="825"/>
      <c r="AB91" s="825"/>
      <c r="AC91" s="825"/>
    </row>
    <row r="92" spans="1:29" ht="15.8" customHeight="1" x14ac:dyDescent="0.3">
      <c r="A92" s="825"/>
      <c r="C92" s="825"/>
      <c r="D92" s="21"/>
      <c r="E92" s="17"/>
      <c r="F92" s="825"/>
      <c r="G92" s="825"/>
      <c r="H92" s="21"/>
      <c r="I92" s="825"/>
      <c r="J92" s="825"/>
      <c r="M92" s="825"/>
      <c r="N92" s="229"/>
      <c r="O92" s="229"/>
      <c r="P92" s="229"/>
      <c r="Q92" s="229"/>
      <c r="R92" s="229"/>
      <c r="S92" s="229"/>
      <c r="T92" s="229"/>
      <c r="U92" s="825"/>
      <c r="V92" s="825"/>
      <c r="W92" s="825"/>
      <c r="X92" s="825"/>
      <c r="Y92" s="825"/>
      <c r="Z92" s="825"/>
      <c r="AA92" s="825"/>
      <c r="AB92" s="825"/>
      <c r="AC92" s="825"/>
    </row>
    <row r="93" spans="1:29" ht="15.8" customHeight="1" x14ac:dyDescent="0.3">
      <c r="A93" s="825"/>
      <c r="C93" s="825"/>
      <c r="D93" s="21"/>
      <c r="E93" s="17"/>
      <c r="F93" s="825"/>
      <c r="G93" s="825"/>
      <c r="H93" s="21"/>
      <c r="I93" s="825"/>
      <c r="J93" s="825"/>
      <c r="M93" s="825"/>
      <c r="N93" s="229"/>
      <c r="O93" s="229"/>
      <c r="P93" s="229"/>
      <c r="Q93" s="229"/>
      <c r="R93" s="229"/>
      <c r="S93" s="229"/>
      <c r="T93" s="229"/>
      <c r="U93" s="825"/>
      <c r="V93" s="825"/>
      <c r="W93" s="825"/>
      <c r="X93" s="825"/>
      <c r="Y93" s="825"/>
      <c r="Z93" s="825"/>
      <c r="AA93" s="825"/>
      <c r="AB93" s="825"/>
      <c r="AC93" s="825"/>
    </row>
    <row r="94" spans="1:29" ht="15.8" customHeight="1" x14ac:dyDescent="0.3">
      <c r="A94" s="825"/>
      <c r="C94" s="825"/>
      <c r="D94" s="21"/>
      <c r="E94" s="17"/>
      <c r="F94" s="825"/>
      <c r="G94" s="825"/>
      <c r="H94" s="21"/>
      <c r="I94" s="825"/>
      <c r="J94" s="825"/>
      <c r="M94" s="825"/>
      <c r="N94" s="229"/>
      <c r="O94" s="229"/>
      <c r="P94" s="229"/>
      <c r="Q94" s="229"/>
      <c r="R94" s="229"/>
      <c r="S94" s="229"/>
      <c r="T94" s="229"/>
      <c r="U94" s="825"/>
      <c r="V94" s="825"/>
      <c r="W94" s="825"/>
      <c r="X94" s="825"/>
      <c r="Y94" s="825"/>
      <c r="Z94" s="825"/>
      <c r="AA94" s="825"/>
      <c r="AB94" s="825"/>
      <c r="AC94" s="825"/>
    </row>
    <row r="95" spans="1:29" ht="15.8" customHeight="1" x14ac:dyDescent="0.3">
      <c r="A95" s="825"/>
      <c r="C95" s="825"/>
      <c r="D95" s="21"/>
      <c r="E95" s="17"/>
      <c r="F95" s="825"/>
      <c r="G95" s="825"/>
      <c r="H95" s="21"/>
      <c r="I95" s="825"/>
      <c r="J95" s="825"/>
      <c r="M95" s="825"/>
      <c r="N95" s="229"/>
      <c r="O95" s="229"/>
      <c r="P95" s="229"/>
      <c r="Q95" s="229"/>
      <c r="R95" s="229"/>
      <c r="S95" s="229"/>
      <c r="T95" s="229"/>
      <c r="U95" s="825"/>
      <c r="V95" s="825"/>
      <c r="W95" s="825"/>
      <c r="X95" s="825"/>
      <c r="Y95" s="825"/>
      <c r="Z95" s="825"/>
      <c r="AA95" s="825"/>
      <c r="AB95" s="825"/>
      <c r="AC95" s="825"/>
    </row>
    <row r="96" spans="1:29" ht="15.8" customHeight="1" x14ac:dyDescent="0.3">
      <c r="A96" s="825"/>
      <c r="C96" s="825"/>
      <c r="D96" s="21"/>
      <c r="E96" s="17"/>
      <c r="F96" s="825"/>
      <c r="G96" s="825"/>
      <c r="H96" s="21"/>
      <c r="I96" s="825"/>
      <c r="J96" s="825"/>
      <c r="M96" s="825"/>
      <c r="N96" s="229"/>
      <c r="O96" s="229"/>
      <c r="P96" s="229"/>
      <c r="Q96" s="229"/>
      <c r="R96" s="229"/>
      <c r="S96" s="229"/>
      <c r="T96" s="229"/>
      <c r="U96" s="825"/>
      <c r="V96" s="825"/>
      <c r="W96" s="825"/>
      <c r="X96" s="825"/>
      <c r="Y96" s="825"/>
      <c r="Z96" s="825"/>
      <c r="AA96" s="825"/>
      <c r="AB96" s="825"/>
      <c r="AC96" s="825"/>
    </row>
    <row r="97" spans="1:29" ht="15.8" customHeight="1" x14ac:dyDescent="0.3">
      <c r="A97" s="825"/>
      <c r="C97" s="825"/>
      <c r="D97" s="21"/>
      <c r="E97" s="17"/>
      <c r="F97" s="825"/>
      <c r="G97" s="825"/>
      <c r="H97" s="21"/>
      <c r="I97" s="825"/>
      <c r="J97" s="825"/>
      <c r="M97" s="825"/>
      <c r="N97" s="229"/>
      <c r="O97" s="229"/>
      <c r="P97" s="229"/>
      <c r="Q97" s="229"/>
      <c r="R97" s="229"/>
      <c r="S97" s="229"/>
      <c r="T97" s="229"/>
      <c r="U97" s="825"/>
      <c r="V97" s="825"/>
      <c r="W97" s="825"/>
      <c r="X97" s="825"/>
      <c r="Y97" s="825"/>
      <c r="Z97" s="825"/>
      <c r="AA97" s="825"/>
      <c r="AB97" s="825"/>
      <c r="AC97" s="825"/>
    </row>
    <row r="98" spans="1:29" ht="15.8" customHeight="1" x14ac:dyDescent="0.3">
      <c r="A98" s="825"/>
      <c r="C98" s="825"/>
      <c r="D98" s="21"/>
      <c r="E98" s="17"/>
      <c r="F98" s="825"/>
      <c r="G98" s="825"/>
      <c r="H98" s="21"/>
      <c r="I98" s="825"/>
      <c r="J98" s="825"/>
      <c r="M98" s="825"/>
      <c r="N98" s="229"/>
      <c r="O98" s="229"/>
      <c r="P98" s="229"/>
      <c r="Q98" s="229"/>
      <c r="R98" s="229"/>
      <c r="S98" s="229"/>
      <c r="T98" s="229"/>
      <c r="U98" s="825"/>
      <c r="V98" s="825"/>
      <c r="W98" s="825"/>
      <c r="X98" s="825"/>
      <c r="Y98" s="825"/>
      <c r="Z98" s="825"/>
      <c r="AA98" s="825"/>
      <c r="AB98" s="825"/>
      <c r="AC98" s="825"/>
    </row>
    <row r="99" spans="1:29" ht="15.8" customHeight="1" x14ac:dyDescent="0.3">
      <c r="A99" s="825"/>
      <c r="C99" s="825"/>
      <c r="D99" s="21"/>
      <c r="E99" s="17"/>
      <c r="F99" s="825"/>
      <c r="G99" s="825"/>
      <c r="H99" s="21"/>
      <c r="I99" s="825"/>
      <c r="J99" s="825"/>
      <c r="M99" s="825"/>
      <c r="N99" s="229"/>
      <c r="O99" s="229"/>
      <c r="P99" s="229"/>
      <c r="Q99" s="229"/>
      <c r="R99" s="229"/>
      <c r="S99" s="229"/>
      <c r="T99" s="229"/>
      <c r="U99" s="825"/>
      <c r="V99" s="825"/>
      <c r="W99" s="825"/>
      <c r="X99" s="825"/>
      <c r="Y99" s="825"/>
      <c r="Z99" s="825"/>
      <c r="AA99" s="825"/>
      <c r="AB99" s="825"/>
      <c r="AC99" s="825"/>
    </row>
    <row r="100" spans="1:29" ht="15.8" customHeight="1" x14ac:dyDescent="0.3">
      <c r="A100" s="825"/>
      <c r="C100" s="825"/>
      <c r="D100" s="21"/>
      <c r="E100" s="17"/>
      <c r="F100" s="825"/>
      <c r="G100" s="825"/>
      <c r="H100" s="21"/>
      <c r="I100" s="825"/>
      <c r="J100" s="825"/>
      <c r="M100" s="825"/>
      <c r="N100" s="229"/>
      <c r="O100" s="229"/>
      <c r="P100" s="229"/>
      <c r="Q100" s="229"/>
      <c r="R100" s="229"/>
      <c r="S100" s="229"/>
      <c r="T100" s="229"/>
      <c r="U100" s="825"/>
      <c r="V100" s="825"/>
      <c r="W100" s="825"/>
      <c r="X100" s="825"/>
      <c r="Y100" s="825"/>
      <c r="Z100" s="825"/>
      <c r="AA100" s="825"/>
      <c r="AB100" s="825"/>
      <c r="AC100" s="825"/>
    </row>
    <row r="101" spans="1:29" ht="15.8" customHeight="1" x14ac:dyDescent="0.3">
      <c r="A101" s="825"/>
      <c r="C101" s="825"/>
      <c r="D101" s="21"/>
      <c r="E101" s="17"/>
      <c r="F101" s="825"/>
      <c r="G101" s="825"/>
      <c r="H101" s="21"/>
      <c r="I101" s="825"/>
      <c r="J101" s="825"/>
      <c r="M101" s="825"/>
      <c r="N101" s="229"/>
      <c r="O101" s="229"/>
      <c r="P101" s="229"/>
      <c r="Q101" s="229"/>
      <c r="R101" s="229"/>
      <c r="S101" s="229"/>
      <c r="T101" s="229"/>
      <c r="U101" s="825"/>
      <c r="V101" s="825"/>
      <c r="W101" s="825"/>
      <c r="X101" s="825"/>
      <c r="Y101" s="825"/>
      <c r="Z101" s="825"/>
      <c r="AA101" s="825"/>
      <c r="AB101" s="825"/>
      <c r="AC101" s="825"/>
    </row>
    <row r="102" spans="1:29" ht="15.8" customHeight="1" x14ac:dyDescent="0.3">
      <c r="A102" s="825"/>
      <c r="C102" s="825"/>
      <c r="D102" s="21"/>
      <c r="E102" s="17"/>
      <c r="F102" s="825"/>
      <c r="G102" s="825"/>
      <c r="H102" s="21"/>
      <c r="I102" s="825"/>
      <c r="J102" s="825"/>
      <c r="M102" s="825"/>
      <c r="N102" s="229"/>
      <c r="O102" s="229"/>
      <c r="P102" s="229"/>
      <c r="Q102" s="229"/>
      <c r="R102" s="229"/>
      <c r="S102" s="229"/>
      <c r="T102" s="229"/>
      <c r="U102" s="825"/>
      <c r="V102" s="825"/>
      <c r="W102" s="825"/>
      <c r="X102" s="825"/>
      <c r="Y102" s="825"/>
      <c r="Z102" s="825"/>
      <c r="AA102" s="825"/>
      <c r="AB102" s="825"/>
      <c r="AC102" s="825"/>
    </row>
    <row r="103" spans="1:29" ht="15.8" customHeight="1" x14ac:dyDescent="0.3">
      <c r="A103" s="825"/>
      <c r="C103" s="825"/>
      <c r="D103" s="21"/>
      <c r="E103" s="17"/>
      <c r="F103" s="825"/>
      <c r="G103" s="825"/>
      <c r="H103" s="21"/>
      <c r="I103" s="825"/>
      <c r="J103" s="825"/>
      <c r="M103" s="825"/>
      <c r="N103" s="229"/>
      <c r="O103" s="229"/>
      <c r="P103" s="229"/>
      <c r="Q103" s="229"/>
      <c r="R103" s="229"/>
      <c r="S103" s="229"/>
      <c r="T103" s="229"/>
      <c r="U103" s="825"/>
      <c r="V103" s="825"/>
      <c r="W103" s="825"/>
      <c r="X103" s="825"/>
      <c r="Y103" s="825"/>
      <c r="Z103" s="825"/>
      <c r="AA103" s="825"/>
      <c r="AB103" s="825"/>
      <c r="AC103" s="825"/>
    </row>
    <row r="104" spans="1:29" ht="15.8" customHeight="1" x14ac:dyDescent="0.3">
      <c r="A104" s="825"/>
      <c r="C104" s="825"/>
      <c r="D104" s="21"/>
      <c r="E104" s="17"/>
      <c r="F104" s="825"/>
      <c r="G104" s="825"/>
      <c r="H104" s="21"/>
      <c r="I104" s="825"/>
      <c r="J104" s="825"/>
      <c r="M104" s="825"/>
      <c r="N104" s="229"/>
      <c r="O104" s="229"/>
      <c r="P104" s="229"/>
      <c r="Q104" s="229"/>
      <c r="R104" s="229"/>
      <c r="S104" s="229"/>
      <c r="T104" s="229"/>
      <c r="U104" s="825"/>
      <c r="V104" s="825"/>
      <c r="W104" s="825"/>
      <c r="X104" s="825"/>
      <c r="Y104" s="825"/>
      <c r="Z104" s="825"/>
      <c r="AA104" s="825"/>
      <c r="AB104" s="825"/>
      <c r="AC104" s="825"/>
    </row>
    <row r="105" spans="1:29" ht="15.8" customHeight="1" x14ac:dyDescent="0.3">
      <c r="A105" s="825"/>
      <c r="C105" s="825"/>
      <c r="D105" s="21"/>
      <c r="E105" s="17"/>
      <c r="F105" s="825"/>
      <c r="G105" s="825"/>
      <c r="H105" s="21"/>
      <c r="I105" s="825"/>
      <c r="J105" s="825"/>
      <c r="M105" s="825"/>
      <c r="N105" s="229"/>
      <c r="O105" s="229"/>
      <c r="P105" s="229"/>
      <c r="Q105" s="229"/>
      <c r="R105" s="229"/>
      <c r="S105" s="229"/>
      <c r="T105" s="229"/>
      <c r="U105" s="825"/>
      <c r="V105" s="825"/>
      <c r="W105" s="825"/>
      <c r="X105" s="825"/>
      <c r="Y105" s="825"/>
      <c r="Z105" s="825"/>
      <c r="AA105" s="825"/>
      <c r="AB105" s="825"/>
      <c r="AC105" s="825"/>
    </row>
    <row r="106" spans="1:29" ht="15.8" customHeight="1" x14ac:dyDescent="0.3">
      <c r="A106" s="825"/>
      <c r="C106" s="825"/>
      <c r="D106" s="21"/>
      <c r="E106" s="17"/>
      <c r="F106" s="825"/>
      <c r="G106" s="825"/>
      <c r="H106" s="21"/>
      <c r="I106" s="825"/>
      <c r="J106" s="825"/>
      <c r="M106" s="825"/>
      <c r="N106" s="229"/>
      <c r="O106" s="229"/>
      <c r="P106" s="229"/>
      <c r="Q106" s="229"/>
      <c r="R106" s="229"/>
      <c r="S106" s="229"/>
      <c r="T106" s="229"/>
      <c r="U106" s="825"/>
      <c r="V106" s="825"/>
      <c r="W106" s="825"/>
      <c r="X106" s="825"/>
      <c r="Y106" s="825"/>
      <c r="Z106" s="825"/>
      <c r="AA106" s="825"/>
      <c r="AB106" s="825"/>
      <c r="AC106" s="825"/>
    </row>
    <row r="107" spans="1:29" ht="15.8" customHeight="1" x14ac:dyDescent="0.3">
      <c r="A107" s="825"/>
      <c r="C107" s="825"/>
      <c r="D107" s="21"/>
      <c r="E107" s="17"/>
      <c r="F107" s="825"/>
      <c r="G107" s="825"/>
      <c r="H107" s="21"/>
      <c r="I107" s="825"/>
      <c r="J107" s="825"/>
      <c r="M107" s="825"/>
      <c r="N107" s="229"/>
      <c r="O107" s="229"/>
      <c r="P107" s="229"/>
      <c r="Q107" s="229"/>
      <c r="R107" s="229"/>
      <c r="S107" s="229"/>
      <c r="T107" s="229"/>
      <c r="U107" s="825"/>
      <c r="V107" s="825"/>
      <c r="W107" s="825"/>
      <c r="X107" s="825"/>
      <c r="Y107" s="825"/>
      <c r="Z107" s="825"/>
      <c r="AA107" s="825"/>
      <c r="AB107" s="825"/>
      <c r="AC107" s="825"/>
    </row>
    <row r="108" spans="1:29" ht="15.8" customHeight="1" x14ac:dyDescent="0.3">
      <c r="A108" s="825"/>
      <c r="C108" s="825"/>
      <c r="D108" s="21"/>
      <c r="E108" s="17"/>
      <c r="F108" s="825"/>
      <c r="G108" s="825"/>
      <c r="H108" s="21"/>
      <c r="I108" s="825"/>
      <c r="J108" s="825"/>
      <c r="M108" s="825"/>
      <c r="N108" s="229"/>
      <c r="O108" s="229"/>
      <c r="P108" s="229"/>
      <c r="Q108" s="229"/>
      <c r="R108" s="229"/>
      <c r="S108" s="229"/>
      <c r="T108" s="229"/>
      <c r="U108" s="825"/>
      <c r="V108" s="825"/>
      <c r="W108" s="825"/>
      <c r="X108" s="825"/>
      <c r="Y108" s="825"/>
      <c r="Z108" s="825"/>
      <c r="AA108" s="825"/>
      <c r="AB108" s="825"/>
      <c r="AC108" s="825"/>
    </row>
    <row r="109" spans="1:29" ht="15.8" customHeight="1" x14ac:dyDescent="0.3">
      <c r="A109" s="825"/>
      <c r="C109" s="825"/>
      <c r="D109" s="21"/>
      <c r="E109" s="17"/>
      <c r="F109" s="825"/>
      <c r="G109" s="825"/>
      <c r="H109" s="21"/>
      <c r="I109" s="825"/>
      <c r="J109" s="825"/>
      <c r="M109" s="825"/>
      <c r="N109" s="825"/>
      <c r="O109" s="825"/>
      <c r="P109" s="825"/>
      <c r="Q109" s="825"/>
      <c r="R109" s="825"/>
      <c r="S109" s="825"/>
      <c r="T109" s="825"/>
      <c r="U109" s="825"/>
      <c r="V109" s="825"/>
      <c r="W109" s="825"/>
      <c r="X109" s="825"/>
      <c r="Y109" s="825"/>
      <c r="Z109" s="825"/>
      <c r="AA109" s="825"/>
      <c r="AB109" s="825"/>
      <c r="AC109" s="825"/>
    </row>
    <row r="110" spans="1:29" ht="15.8" customHeight="1" x14ac:dyDescent="0.3">
      <c r="A110" s="825"/>
      <c r="C110" s="825"/>
      <c r="D110" s="21"/>
      <c r="E110" s="17"/>
      <c r="F110" s="825"/>
      <c r="G110" s="825"/>
      <c r="H110" s="21"/>
      <c r="I110" s="825"/>
      <c r="J110" s="825"/>
      <c r="M110" s="825"/>
      <c r="N110" s="825"/>
      <c r="O110" s="825"/>
      <c r="P110" s="825"/>
      <c r="Q110" s="825"/>
      <c r="R110" s="825"/>
      <c r="S110" s="825"/>
      <c r="T110" s="825"/>
      <c r="U110" s="825"/>
      <c r="V110" s="825"/>
      <c r="W110" s="825"/>
      <c r="X110" s="825"/>
      <c r="Y110" s="825"/>
      <c r="Z110" s="825"/>
      <c r="AA110" s="825"/>
      <c r="AB110" s="825"/>
      <c r="AC110" s="825"/>
    </row>
    <row r="111" spans="1:29" ht="15.8" customHeight="1" x14ac:dyDescent="0.3">
      <c r="A111" s="825"/>
      <c r="C111" s="825"/>
      <c r="D111" s="21"/>
      <c r="E111" s="17"/>
      <c r="F111" s="825"/>
      <c r="G111" s="825"/>
      <c r="H111" s="21"/>
      <c r="I111" s="825"/>
      <c r="J111" s="825"/>
      <c r="M111" s="825"/>
      <c r="N111" s="825"/>
      <c r="O111" s="825"/>
      <c r="P111" s="825"/>
      <c r="Q111" s="825"/>
      <c r="R111" s="825"/>
      <c r="S111" s="825"/>
      <c r="T111" s="825"/>
      <c r="U111" s="825"/>
      <c r="V111" s="825"/>
      <c r="W111" s="825"/>
      <c r="X111" s="825"/>
      <c r="Y111" s="825"/>
      <c r="Z111" s="825"/>
      <c r="AA111" s="825"/>
      <c r="AB111" s="825"/>
      <c r="AC111" s="825"/>
    </row>
    <row r="112" spans="1:29" ht="15.8" customHeight="1" x14ac:dyDescent="0.3">
      <c r="A112" s="825"/>
      <c r="C112" s="825"/>
      <c r="D112" s="21"/>
      <c r="E112" s="17"/>
      <c r="F112" s="825"/>
      <c r="G112" s="825"/>
      <c r="H112" s="21"/>
      <c r="I112" s="825"/>
      <c r="J112" s="825"/>
      <c r="M112" s="825"/>
      <c r="N112" s="825"/>
      <c r="O112" s="825"/>
      <c r="P112" s="825"/>
      <c r="Q112" s="825"/>
      <c r="R112" s="825"/>
      <c r="S112" s="825"/>
      <c r="T112" s="825"/>
      <c r="U112" s="825"/>
      <c r="V112" s="825"/>
      <c r="W112" s="825"/>
      <c r="X112" s="825"/>
      <c r="Y112" s="825"/>
      <c r="Z112" s="825"/>
      <c r="AA112" s="825"/>
      <c r="AB112" s="825"/>
      <c r="AC112" s="825"/>
    </row>
    <row r="113" spans="1:29" ht="15.8" customHeight="1" x14ac:dyDescent="0.3">
      <c r="A113" s="825"/>
      <c r="C113" s="825"/>
      <c r="D113" s="21"/>
      <c r="E113" s="17"/>
      <c r="F113" s="825"/>
      <c r="G113" s="825"/>
      <c r="H113" s="21"/>
      <c r="I113" s="825"/>
      <c r="J113" s="825"/>
      <c r="M113" s="825"/>
      <c r="N113" s="825"/>
      <c r="O113" s="825"/>
      <c r="P113" s="825"/>
      <c r="Q113" s="825"/>
      <c r="R113" s="825"/>
      <c r="S113" s="825"/>
      <c r="T113" s="825"/>
      <c r="U113" s="825"/>
      <c r="V113" s="825"/>
      <c r="W113" s="825"/>
      <c r="X113" s="825"/>
      <c r="Y113" s="825"/>
      <c r="Z113" s="825"/>
      <c r="AA113" s="825"/>
      <c r="AB113" s="825"/>
      <c r="AC113" s="825"/>
    </row>
    <row r="114" spans="1:29" ht="15.8" customHeight="1" x14ac:dyDescent="0.3">
      <c r="A114" s="825"/>
      <c r="C114" s="825"/>
      <c r="D114" s="21"/>
      <c r="E114" s="17"/>
      <c r="F114" s="825"/>
      <c r="G114" s="825"/>
      <c r="H114" s="21"/>
      <c r="I114" s="825"/>
      <c r="J114" s="825"/>
      <c r="M114" s="825"/>
      <c r="N114" s="825"/>
      <c r="O114" s="825"/>
      <c r="P114" s="825"/>
      <c r="Q114" s="825"/>
      <c r="R114" s="825"/>
      <c r="S114" s="825"/>
      <c r="T114" s="825"/>
      <c r="U114" s="825"/>
      <c r="V114" s="825"/>
      <c r="W114" s="825"/>
      <c r="X114" s="825"/>
      <c r="Y114" s="825"/>
      <c r="Z114" s="825"/>
      <c r="AA114" s="825"/>
      <c r="AB114" s="825"/>
      <c r="AC114" s="825"/>
    </row>
    <row r="115" spans="1:29" ht="15.8" customHeight="1" x14ac:dyDescent="0.3">
      <c r="A115" s="825"/>
      <c r="C115" s="825"/>
      <c r="D115" s="21"/>
      <c r="E115" s="17"/>
      <c r="F115" s="825"/>
      <c r="G115" s="825"/>
      <c r="H115" s="21"/>
      <c r="I115" s="825"/>
      <c r="J115" s="825"/>
      <c r="M115" s="825"/>
      <c r="N115" s="825"/>
      <c r="O115" s="825"/>
      <c r="P115" s="825"/>
      <c r="Q115" s="825"/>
      <c r="R115" s="825"/>
      <c r="S115" s="825"/>
      <c r="T115" s="825"/>
      <c r="U115" s="825"/>
      <c r="V115" s="825"/>
      <c r="W115" s="825"/>
      <c r="X115" s="825"/>
      <c r="Y115" s="825"/>
      <c r="Z115" s="825"/>
      <c r="AA115" s="825"/>
      <c r="AB115" s="825"/>
      <c r="AC115" s="825"/>
    </row>
    <row r="116" spans="1:29" ht="15.8" customHeight="1" x14ac:dyDescent="0.3">
      <c r="A116" s="825"/>
      <c r="C116" s="825"/>
      <c r="D116" s="21"/>
      <c r="E116" s="17"/>
      <c r="F116" s="825"/>
      <c r="G116" s="825"/>
      <c r="H116" s="21"/>
      <c r="I116" s="825"/>
      <c r="J116" s="825"/>
      <c r="M116" s="825"/>
      <c r="N116" s="825"/>
      <c r="O116" s="825"/>
      <c r="P116" s="825"/>
      <c r="Q116" s="825"/>
      <c r="R116" s="825"/>
      <c r="S116" s="825"/>
      <c r="T116" s="825"/>
      <c r="U116" s="825"/>
      <c r="V116" s="825"/>
      <c r="W116" s="825"/>
      <c r="X116" s="825"/>
      <c r="Y116" s="825"/>
      <c r="Z116" s="825"/>
      <c r="AA116" s="825"/>
      <c r="AB116" s="825"/>
      <c r="AC116" s="825"/>
    </row>
    <row r="117" spans="1:29" ht="15.8" customHeight="1" x14ac:dyDescent="0.3">
      <c r="A117" s="825"/>
      <c r="C117" s="825"/>
      <c r="D117" s="21"/>
      <c r="E117" s="17"/>
      <c r="F117" s="825"/>
      <c r="G117" s="825"/>
      <c r="H117" s="21"/>
      <c r="I117" s="825"/>
      <c r="J117" s="825"/>
      <c r="M117" s="825"/>
      <c r="N117" s="825"/>
      <c r="O117" s="825"/>
      <c r="P117" s="825"/>
      <c r="Q117" s="825"/>
      <c r="R117" s="825"/>
      <c r="S117" s="825"/>
      <c r="T117" s="825"/>
      <c r="U117" s="825"/>
      <c r="V117" s="825"/>
      <c r="W117" s="825"/>
      <c r="X117" s="825"/>
      <c r="Y117" s="825"/>
      <c r="Z117" s="825"/>
      <c r="AA117" s="825"/>
      <c r="AB117" s="825"/>
      <c r="AC117" s="825"/>
    </row>
    <row r="118" spans="1:29" ht="15.8" customHeight="1" x14ac:dyDescent="0.3">
      <c r="A118" s="825"/>
      <c r="C118" s="825"/>
      <c r="D118" s="21"/>
      <c r="E118" s="17"/>
      <c r="F118" s="825"/>
      <c r="G118" s="825"/>
      <c r="H118" s="21"/>
      <c r="I118" s="825"/>
      <c r="J118" s="825"/>
      <c r="M118" s="825"/>
      <c r="N118" s="825"/>
      <c r="O118" s="825"/>
      <c r="P118" s="825"/>
      <c r="Q118" s="825"/>
      <c r="R118" s="825"/>
      <c r="S118" s="825"/>
      <c r="T118" s="825"/>
      <c r="U118" s="825"/>
      <c r="V118" s="825"/>
      <c r="W118" s="825"/>
      <c r="X118" s="825"/>
      <c r="Y118" s="825"/>
      <c r="Z118" s="825"/>
      <c r="AA118" s="825"/>
      <c r="AB118" s="825"/>
      <c r="AC118" s="825"/>
    </row>
    <row r="119" spans="1:29" ht="15.8" customHeight="1" x14ac:dyDescent="0.3">
      <c r="A119" s="825"/>
      <c r="C119" s="825"/>
      <c r="D119" s="21"/>
      <c r="E119" s="17"/>
      <c r="F119" s="825"/>
      <c r="G119" s="825"/>
      <c r="H119" s="21"/>
      <c r="I119" s="825"/>
      <c r="J119" s="825"/>
      <c r="M119" s="825"/>
      <c r="N119" s="825"/>
      <c r="O119" s="825"/>
      <c r="P119" s="825"/>
      <c r="Q119" s="825"/>
      <c r="R119" s="825"/>
      <c r="S119" s="825"/>
      <c r="T119" s="825"/>
      <c r="U119" s="825"/>
      <c r="V119" s="825"/>
      <c r="W119" s="825"/>
      <c r="X119" s="825"/>
      <c r="Y119" s="825"/>
      <c r="Z119" s="825"/>
      <c r="AA119" s="825"/>
      <c r="AB119" s="825"/>
      <c r="AC119" s="825"/>
    </row>
    <row r="120" spans="1:29" ht="15.8" customHeight="1" x14ac:dyDescent="0.3">
      <c r="A120" s="825"/>
      <c r="C120" s="825"/>
      <c r="D120" s="21"/>
      <c r="E120" s="17"/>
      <c r="F120" s="825"/>
      <c r="G120" s="825"/>
      <c r="H120" s="21"/>
      <c r="I120" s="825"/>
      <c r="J120" s="825"/>
      <c r="M120" s="825"/>
      <c r="N120" s="825"/>
      <c r="O120" s="825"/>
      <c r="P120" s="825"/>
      <c r="Q120" s="825"/>
      <c r="R120" s="825"/>
      <c r="S120" s="825"/>
      <c r="T120" s="825"/>
      <c r="U120" s="825"/>
      <c r="V120" s="825"/>
      <c r="W120" s="825"/>
      <c r="X120" s="825"/>
      <c r="Y120" s="825"/>
      <c r="Z120" s="825"/>
      <c r="AA120" s="825"/>
      <c r="AB120" s="825"/>
      <c r="AC120" s="825"/>
    </row>
    <row r="121" spans="1:29" ht="15.8" customHeight="1" x14ac:dyDescent="0.3">
      <c r="A121" s="825"/>
      <c r="C121" s="825"/>
      <c r="D121" s="21"/>
      <c r="E121" s="17"/>
      <c r="F121" s="825"/>
      <c r="G121" s="825"/>
      <c r="H121" s="21"/>
      <c r="I121" s="825"/>
      <c r="J121" s="825"/>
      <c r="M121" s="825"/>
      <c r="N121" s="825"/>
      <c r="O121" s="825"/>
      <c r="P121" s="825"/>
      <c r="Q121" s="825"/>
      <c r="R121" s="825"/>
      <c r="S121" s="825"/>
      <c r="T121" s="825"/>
      <c r="U121" s="825"/>
      <c r="V121" s="825"/>
      <c r="W121" s="825"/>
      <c r="X121" s="825"/>
      <c r="Y121" s="825"/>
      <c r="Z121" s="825"/>
      <c r="AA121" s="825"/>
      <c r="AB121" s="825"/>
      <c r="AC121" s="825"/>
    </row>
    <row r="122" spans="1:29" ht="15.8" customHeight="1" x14ac:dyDescent="0.3">
      <c r="A122" s="825"/>
      <c r="C122" s="825"/>
      <c r="D122" s="21"/>
      <c r="E122" s="17"/>
      <c r="F122" s="825"/>
      <c r="G122" s="825"/>
      <c r="H122" s="21"/>
      <c r="I122" s="825"/>
      <c r="J122" s="825"/>
      <c r="M122" s="825"/>
      <c r="N122" s="825"/>
      <c r="O122" s="825"/>
      <c r="P122" s="825"/>
      <c r="Q122" s="825"/>
      <c r="R122" s="825"/>
      <c r="S122" s="825"/>
      <c r="T122" s="825"/>
      <c r="U122" s="825"/>
      <c r="V122" s="825"/>
      <c r="W122" s="825"/>
      <c r="X122" s="825"/>
      <c r="Y122" s="825"/>
      <c r="Z122" s="825"/>
      <c r="AA122" s="825"/>
      <c r="AB122" s="825"/>
      <c r="AC122" s="825"/>
    </row>
    <row r="123" spans="1:29" ht="15.8" customHeight="1" x14ac:dyDescent="0.3">
      <c r="A123" s="825"/>
      <c r="C123" s="825"/>
      <c r="D123" s="21"/>
      <c r="E123" s="17"/>
      <c r="F123" s="825"/>
      <c r="G123" s="825"/>
      <c r="H123" s="21"/>
      <c r="I123" s="825"/>
      <c r="J123" s="825"/>
      <c r="M123" s="825"/>
      <c r="N123" s="825"/>
      <c r="O123" s="825"/>
      <c r="P123" s="825"/>
      <c r="Q123" s="825"/>
      <c r="R123" s="825"/>
      <c r="S123" s="825"/>
      <c r="T123" s="825"/>
      <c r="U123" s="825"/>
      <c r="V123" s="825"/>
      <c r="W123" s="825"/>
      <c r="X123" s="825"/>
      <c r="Y123" s="825"/>
      <c r="Z123" s="825"/>
      <c r="AA123" s="825"/>
      <c r="AB123" s="825"/>
      <c r="AC123" s="825"/>
    </row>
    <row r="124" spans="1:29" ht="15.8" customHeight="1" x14ac:dyDescent="0.3">
      <c r="A124" s="825"/>
      <c r="C124" s="825"/>
      <c r="D124" s="21"/>
      <c r="E124" s="17"/>
      <c r="F124" s="825"/>
      <c r="G124" s="825"/>
      <c r="H124" s="21"/>
      <c r="I124" s="825"/>
      <c r="J124" s="825"/>
      <c r="M124" s="825"/>
      <c r="N124" s="825"/>
      <c r="O124" s="825"/>
      <c r="P124" s="825"/>
      <c r="Q124" s="825"/>
      <c r="R124" s="825"/>
      <c r="S124" s="825"/>
      <c r="T124" s="825"/>
      <c r="U124" s="825"/>
      <c r="V124" s="825"/>
      <c r="W124" s="825"/>
      <c r="X124" s="825"/>
      <c r="Y124" s="825"/>
      <c r="Z124" s="825"/>
      <c r="AA124" s="825"/>
      <c r="AB124" s="825"/>
      <c r="AC124" s="825"/>
    </row>
    <row r="125" spans="1:29" ht="15.8" customHeight="1" x14ac:dyDescent="0.3">
      <c r="A125" s="825"/>
      <c r="C125" s="825"/>
      <c r="D125" s="21"/>
      <c r="E125" s="17"/>
      <c r="F125" s="825"/>
      <c r="G125" s="825"/>
      <c r="H125" s="21"/>
      <c r="I125" s="825"/>
      <c r="J125" s="825"/>
      <c r="M125" s="825"/>
      <c r="N125" s="825"/>
      <c r="O125" s="825"/>
      <c r="P125" s="825"/>
      <c r="Q125" s="825"/>
      <c r="R125" s="825"/>
      <c r="S125" s="825"/>
      <c r="T125" s="825"/>
      <c r="U125" s="825"/>
      <c r="V125" s="825"/>
      <c r="W125" s="825"/>
      <c r="X125" s="825"/>
      <c r="Y125" s="825"/>
      <c r="Z125" s="825"/>
      <c r="AA125" s="825"/>
      <c r="AB125" s="825"/>
      <c r="AC125" s="825"/>
    </row>
    <row r="126" spans="1:29" ht="15.8" customHeight="1" x14ac:dyDescent="0.3">
      <c r="A126" s="825"/>
      <c r="C126" s="825"/>
      <c r="D126" s="21"/>
      <c r="E126" s="17"/>
      <c r="F126" s="825"/>
      <c r="G126" s="825"/>
      <c r="H126" s="21"/>
      <c r="I126" s="825"/>
      <c r="J126" s="825"/>
      <c r="M126" s="825"/>
      <c r="N126" s="825"/>
      <c r="O126" s="825"/>
      <c r="P126" s="825"/>
      <c r="Q126" s="825"/>
      <c r="R126" s="825"/>
      <c r="S126" s="825"/>
      <c r="T126" s="825"/>
      <c r="U126" s="825"/>
      <c r="V126" s="825"/>
      <c r="W126" s="825"/>
      <c r="X126" s="825"/>
      <c r="Y126" s="825"/>
      <c r="Z126" s="825"/>
      <c r="AA126" s="825"/>
      <c r="AB126" s="825"/>
      <c r="AC126" s="825"/>
    </row>
    <row r="127" spans="1:29" ht="15.8" customHeight="1" x14ac:dyDescent="0.3">
      <c r="A127" s="825"/>
      <c r="C127" s="825"/>
      <c r="D127" s="21"/>
      <c r="E127" s="17"/>
      <c r="F127" s="825"/>
      <c r="G127" s="825"/>
      <c r="H127" s="21"/>
      <c r="I127" s="825"/>
      <c r="J127" s="825"/>
      <c r="M127" s="825"/>
      <c r="N127" s="825"/>
      <c r="O127" s="825"/>
      <c r="P127" s="825"/>
      <c r="Q127" s="825"/>
      <c r="R127" s="825"/>
      <c r="S127" s="825"/>
      <c r="T127" s="825"/>
      <c r="U127" s="825"/>
      <c r="V127" s="825"/>
      <c r="W127" s="825"/>
      <c r="X127" s="825"/>
      <c r="Y127" s="825"/>
      <c r="Z127" s="825"/>
      <c r="AA127" s="825"/>
      <c r="AB127" s="825"/>
      <c r="AC127" s="825"/>
    </row>
    <row r="128" spans="1:29" ht="15.8" customHeight="1" x14ac:dyDescent="0.3">
      <c r="A128" s="825"/>
      <c r="C128" s="825"/>
      <c r="D128" s="21"/>
      <c r="E128" s="17"/>
      <c r="F128" s="825"/>
      <c r="G128" s="825"/>
      <c r="H128" s="21"/>
      <c r="I128" s="825"/>
      <c r="J128" s="825"/>
      <c r="M128" s="825"/>
      <c r="N128" s="825"/>
      <c r="O128" s="825"/>
      <c r="P128" s="825"/>
      <c r="Q128" s="825"/>
      <c r="R128" s="825"/>
      <c r="S128" s="825"/>
      <c r="T128" s="825"/>
      <c r="U128" s="825"/>
      <c r="V128" s="825"/>
      <c r="W128" s="825"/>
      <c r="X128" s="825"/>
      <c r="Y128" s="825"/>
      <c r="Z128" s="825"/>
      <c r="AA128" s="825"/>
      <c r="AB128" s="825"/>
      <c r="AC128" s="825"/>
    </row>
    <row r="129" spans="1:29" ht="15.8" customHeight="1" x14ac:dyDescent="0.3">
      <c r="A129" s="825"/>
      <c r="C129" s="825"/>
      <c r="D129" s="21"/>
      <c r="E129" s="17"/>
      <c r="F129" s="825"/>
      <c r="G129" s="825"/>
      <c r="H129" s="21"/>
      <c r="I129" s="825"/>
      <c r="J129" s="825"/>
      <c r="M129" s="825"/>
      <c r="N129" s="825"/>
      <c r="O129" s="825"/>
      <c r="P129" s="825"/>
      <c r="Q129" s="825"/>
      <c r="R129" s="825"/>
      <c r="S129" s="825"/>
      <c r="T129" s="825"/>
      <c r="U129" s="825"/>
      <c r="V129" s="825"/>
      <c r="W129" s="825"/>
      <c r="X129" s="825"/>
      <c r="Y129" s="825"/>
      <c r="Z129" s="825"/>
      <c r="AA129" s="825"/>
      <c r="AB129" s="825"/>
      <c r="AC129" s="825"/>
    </row>
    <row r="130" spans="1:29" ht="15.8" customHeight="1" x14ac:dyDescent="0.3">
      <c r="A130" s="825"/>
      <c r="C130" s="825"/>
      <c r="D130" s="21"/>
      <c r="E130" s="17"/>
      <c r="F130" s="825"/>
      <c r="G130" s="825"/>
      <c r="H130" s="21"/>
      <c r="I130" s="825"/>
      <c r="J130" s="825"/>
      <c r="M130" s="825"/>
      <c r="N130" s="825"/>
      <c r="O130" s="825"/>
      <c r="P130" s="825"/>
      <c r="Q130" s="825"/>
      <c r="R130" s="825"/>
      <c r="S130" s="825"/>
      <c r="T130" s="825"/>
      <c r="U130" s="825"/>
      <c r="V130" s="825"/>
      <c r="W130" s="825"/>
      <c r="X130" s="825"/>
      <c r="Y130" s="825"/>
      <c r="Z130" s="825"/>
      <c r="AA130" s="825"/>
      <c r="AB130" s="825"/>
      <c r="AC130" s="825"/>
    </row>
    <row r="131" spans="1:29" ht="15.8" customHeight="1" x14ac:dyDescent="0.3">
      <c r="A131" s="825"/>
      <c r="C131" s="825"/>
      <c r="D131" s="21"/>
      <c r="E131" s="17"/>
      <c r="F131" s="825"/>
      <c r="G131" s="825"/>
      <c r="H131" s="21"/>
      <c r="I131" s="825"/>
      <c r="J131" s="825"/>
      <c r="M131" s="825"/>
      <c r="N131" s="825"/>
      <c r="O131" s="825"/>
      <c r="P131" s="825"/>
      <c r="Q131" s="825"/>
      <c r="R131" s="825"/>
      <c r="S131" s="825"/>
      <c r="T131" s="825"/>
      <c r="U131" s="825"/>
      <c r="V131" s="825"/>
      <c r="W131" s="825"/>
      <c r="X131" s="825"/>
      <c r="Y131" s="825"/>
      <c r="Z131" s="825"/>
      <c r="AA131" s="825"/>
      <c r="AB131" s="825"/>
      <c r="AC131" s="825"/>
    </row>
    <row r="132" spans="1:29" ht="15.8" customHeight="1" x14ac:dyDescent="0.3">
      <c r="A132" s="825"/>
      <c r="C132" s="825"/>
      <c r="D132" s="21"/>
      <c r="E132" s="17"/>
      <c r="F132" s="825"/>
      <c r="G132" s="825"/>
      <c r="H132" s="21"/>
      <c r="I132" s="825"/>
      <c r="J132" s="825"/>
      <c r="M132" s="825"/>
      <c r="N132" s="825"/>
      <c r="O132" s="825"/>
      <c r="P132" s="825"/>
      <c r="Q132" s="825"/>
      <c r="R132" s="825"/>
      <c r="S132" s="825"/>
      <c r="T132" s="825"/>
      <c r="U132" s="825"/>
      <c r="V132" s="825"/>
      <c r="W132" s="825"/>
      <c r="X132" s="825"/>
      <c r="Y132" s="825"/>
      <c r="Z132" s="825"/>
      <c r="AA132" s="825"/>
      <c r="AB132" s="825"/>
      <c r="AC132" s="825"/>
    </row>
    <row r="133" spans="1:29" ht="15.8" customHeight="1" x14ac:dyDescent="0.3">
      <c r="A133" s="825"/>
      <c r="C133" s="825"/>
      <c r="D133" s="21"/>
      <c r="E133" s="17"/>
      <c r="F133" s="825"/>
      <c r="G133" s="825"/>
      <c r="H133" s="21"/>
      <c r="I133" s="825"/>
      <c r="J133" s="825"/>
      <c r="M133" s="825"/>
      <c r="N133" s="825"/>
      <c r="O133" s="825"/>
      <c r="P133" s="825"/>
      <c r="Q133" s="825"/>
      <c r="R133" s="825"/>
      <c r="S133" s="825"/>
      <c r="T133" s="825"/>
      <c r="U133" s="825"/>
      <c r="V133" s="825"/>
      <c r="W133" s="825"/>
      <c r="X133" s="825"/>
      <c r="Y133" s="825"/>
      <c r="Z133" s="825"/>
      <c r="AA133" s="825"/>
      <c r="AB133" s="825"/>
      <c r="AC133" s="825"/>
    </row>
    <row r="134" spans="1:29" ht="15.8" customHeight="1" x14ac:dyDescent="0.3">
      <c r="A134" s="825"/>
      <c r="C134" s="825"/>
      <c r="D134" s="21"/>
      <c r="E134" s="17"/>
      <c r="F134" s="825"/>
      <c r="G134" s="825"/>
      <c r="H134" s="21"/>
      <c r="I134" s="825"/>
      <c r="J134" s="825"/>
      <c r="M134" s="825"/>
      <c r="N134" s="825"/>
      <c r="O134" s="825"/>
      <c r="P134" s="825"/>
      <c r="Q134" s="825"/>
      <c r="R134" s="825"/>
      <c r="S134" s="825"/>
      <c r="T134" s="825"/>
      <c r="U134" s="825"/>
      <c r="V134" s="825"/>
      <c r="W134" s="825"/>
      <c r="X134" s="825"/>
      <c r="Y134" s="825"/>
      <c r="Z134" s="825"/>
      <c r="AA134" s="825"/>
      <c r="AB134" s="825"/>
      <c r="AC134" s="825"/>
    </row>
    <row r="135" spans="1:29" ht="15.8" customHeight="1" x14ac:dyDescent="0.3">
      <c r="A135" s="825"/>
      <c r="C135" s="825"/>
      <c r="D135" s="21"/>
      <c r="E135" s="17"/>
      <c r="F135" s="825"/>
      <c r="G135" s="825"/>
      <c r="H135" s="21"/>
      <c r="I135" s="825"/>
      <c r="J135" s="825"/>
      <c r="M135" s="825"/>
      <c r="N135" s="825"/>
      <c r="O135" s="825"/>
      <c r="P135" s="825"/>
      <c r="Q135" s="825"/>
      <c r="R135" s="825"/>
      <c r="S135" s="825"/>
      <c r="T135" s="825"/>
      <c r="U135" s="825"/>
      <c r="V135" s="825"/>
      <c r="W135" s="825"/>
      <c r="X135" s="825"/>
      <c r="Y135" s="825"/>
      <c r="Z135" s="825"/>
      <c r="AA135" s="825"/>
      <c r="AB135" s="825"/>
      <c r="AC135" s="825"/>
    </row>
    <row r="136" spans="1:29" ht="15.8" customHeight="1" x14ac:dyDescent="0.3">
      <c r="A136" s="825"/>
      <c r="C136" s="825"/>
      <c r="D136" s="21"/>
      <c r="E136" s="17"/>
      <c r="F136" s="825"/>
      <c r="G136" s="825"/>
      <c r="H136" s="21"/>
      <c r="I136" s="825"/>
      <c r="J136" s="825"/>
      <c r="M136" s="825"/>
      <c r="N136" s="825"/>
      <c r="O136" s="825"/>
      <c r="P136" s="825"/>
      <c r="Q136" s="825"/>
      <c r="R136" s="825"/>
      <c r="S136" s="825"/>
      <c r="T136" s="825"/>
      <c r="U136" s="825"/>
      <c r="V136" s="825"/>
      <c r="W136" s="825"/>
      <c r="X136" s="825"/>
      <c r="Y136" s="825"/>
      <c r="Z136" s="825"/>
      <c r="AA136" s="825"/>
      <c r="AB136" s="825"/>
      <c r="AC136" s="825"/>
    </row>
    <row r="137" spans="1:29" ht="15.8" customHeight="1" x14ac:dyDescent="0.3">
      <c r="A137" s="825"/>
      <c r="C137" s="825"/>
      <c r="D137" s="21"/>
      <c r="E137" s="17"/>
      <c r="F137" s="825"/>
      <c r="G137" s="825"/>
      <c r="H137" s="21"/>
      <c r="I137" s="825"/>
      <c r="J137" s="825"/>
      <c r="M137" s="825"/>
      <c r="N137" s="825"/>
      <c r="O137" s="825"/>
      <c r="P137" s="825"/>
      <c r="Q137" s="825"/>
      <c r="R137" s="825"/>
      <c r="S137" s="825"/>
      <c r="T137" s="825"/>
      <c r="U137" s="825"/>
      <c r="V137" s="825"/>
      <c r="W137" s="825"/>
      <c r="X137" s="825"/>
      <c r="Y137" s="825"/>
      <c r="Z137" s="825"/>
      <c r="AA137" s="825"/>
      <c r="AB137" s="825"/>
      <c r="AC137" s="825"/>
    </row>
    <row r="138" spans="1:29" ht="15.8" customHeight="1" x14ac:dyDescent="0.3">
      <c r="A138" s="825"/>
      <c r="C138" s="825"/>
      <c r="D138" s="21"/>
      <c r="E138" s="17"/>
      <c r="F138" s="825"/>
      <c r="G138" s="825"/>
      <c r="H138" s="21"/>
      <c r="I138" s="825"/>
      <c r="J138" s="825"/>
      <c r="M138" s="825"/>
      <c r="N138" s="825"/>
      <c r="O138" s="825"/>
      <c r="P138" s="825"/>
      <c r="Q138" s="825"/>
      <c r="R138" s="825"/>
      <c r="S138" s="825"/>
      <c r="T138" s="825"/>
      <c r="U138" s="825"/>
      <c r="V138" s="825"/>
      <c r="W138" s="825"/>
      <c r="X138" s="825"/>
      <c r="Y138" s="825"/>
      <c r="Z138" s="825"/>
      <c r="AA138" s="825"/>
      <c r="AB138" s="825"/>
      <c r="AC138" s="825"/>
    </row>
    <row r="139" spans="1:29" ht="15.8" customHeight="1" x14ac:dyDescent="0.3">
      <c r="A139" s="825"/>
      <c r="C139" s="825"/>
      <c r="D139" s="21"/>
      <c r="E139" s="17"/>
      <c r="F139" s="825"/>
      <c r="G139" s="825"/>
      <c r="H139" s="21"/>
      <c r="I139" s="825"/>
      <c r="J139" s="825"/>
      <c r="M139" s="825"/>
      <c r="N139" s="825"/>
      <c r="O139" s="825"/>
      <c r="P139" s="825"/>
      <c r="Q139" s="825"/>
      <c r="R139" s="825"/>
      <c r="S139" s="825"/>
      <c r="T139" s="825"/>
      <c r="U139" s="825"/>
      <c r="V139" s="825"/>
      <c r="W139" s="825"/>
      <c r="X139" s="825"/>
      <c r="Y139" s="825"/>
      <c r="Z139" s="825"/>
      <c r="AA139" s="825"/>
      <c r="AB139" s="825"/>
      <c r="AC139" s="825"/>
    </row>
    <row r="140" spans="1:29" ht="15.8" customHeight="1" x14ac:dyDescent="0.3">
      <c r="A140" s="825"/>
      <c r="C140" s="825"/>
      <c r="D140" s="21"/>
      <c r="E140" s="17"/>
      <c r="F140" s="825"/>
      <c r="G140" s="825"/>
      <c r="H140" s="21"/>
      <c r="I140" s="825"/>
      <c r="J140" s="825"/>
      <c r="M140" s="825"/>
      <c r="N140" s="825"/>
      <c r="O140" s="825"/>
      <c r="P140" s="825"/>
      <c r="Q140" s="825"/>
      <c r="R140" s="825"/>
      <c r="S140" s="825"/>
      <c r="T140" s="825"/>
      <c r="U140" s="825"/>
      <c r="V140" s="825"/>
      <c r="W140" s="825"/>
      <c r="X140" s="825"/>
      <c r="Y140" s="825"/>
      <c r="Z140" s="825"/>
      <c r="AA140" s="825"/>
      <c r="AB140" s="825"/>
      <c r="AC140" s="825"/>
    </row>
    <row r="141" spans="1:29" ht="15.8" customHeight="1" x14ac:dyDescent="0.3">
      <c r="A141" s="825"/>
      <c r="C141" s="825"/>
      <c r="D141" s="21"/>
      <c r="E141" s="17"/>
      <c r="F141" s="825"/>
      <c r="G141" s="825"/>
      <c r="H141" s="21"/>
      <c r="I141" s="825"/>
      <c r="J141" s="825"/>
      <c r="M141" s="825"/>
      <c r="N141" s="825"/>
      <c r="O141" s="825"/>
      <c r="P141" s="825"/>
      <c r="Q141" s="825"/>
      <c r="R141" s="825"/>
      <c r="S141" s="825"/>
      <c r="T141" s="825"/>
      <c r="U141" s="825"/>
      <c r="V141" s="825"/>
      <c r="W141" s="825"/>
      <c r="X141" s="825"/>
      <c r="Y141" s="825"/>
      <c r="Z141" s="825"/>
      <c r="AA141" s="825"/>
      <c r="AB141" s="825"/>
      <c r="AC141" s="825"/>
    </row>
    <row r="142" spans="1:29" ht="15.8" customHeight="1" x14ac:dyDescent="0.3">
      <c r="A142" s="825"/>
      <c r="C142" s="825"/>
      <c r="D142" s="21"/>
      <c r="E142" s="17"/>
      <c r="F142" s="825"/>
      <c r="G142" s="825"/>
      <c r="H142" s="21"/>
      <c r="I142" s="825"/>
      <c r="J142" s="825"/>
      <c r="M142" s="825"/>
      <c r="N142" s="825"/>
      <c r="O142" s="825"/>
      <c r="P142" s="825"/>
      <c r="Q142" s="825"/>
      <c r="R142" s="825"/>
      <c r="S142" s="825"/>
      <c r="T142" s="825"/>
      <c r="U142" s="825"/>
      <c r="V142" s="825"/>
      <c r="W142" s="825"/>
      <c r="X142" s="825"/>
      <c r="Y142" s="825"/>
      <c r="Z142" s="825"/>
      <c r="AA142" s="825"/>
      <c r="AB142" s="825"/>
      <c r="AC142" s="825"/>
    </row>
    <row r="143" spans="1:29" ht="15.8" customHeight="1" x14ac:dyDescent="0.3">
      <c r="A143" s="825"/>
      <c r="C143" s="825"/>
      <c r="D143" s="21"/>
      <c r="E143" s="17"/>
      <c r="F143" s="825"/>
      <c r="G143" s="825"/>
      <c r="H143" s="21"/>
      <c r="I143" s="825"/>
      <c r="J143" s="825"/>
      <c r="M143" s="825"/>
      <c r="N143" s="825"/>
      <c r="O143" s="825"/>
      <c r="P143" s="825"/>
      <c r="Q143" s="825"/>
      <c r="R143" s="825"/>
      <c r="S143" s="825"/>
      <c r="T143" s="825"/>
      <c r="U143" s="825"/>
      <c r="V143" s="825"/>
      <c r="W143" s="825"/>
      <c r="X143" s="825"/>
      <c r="Y143" s="825"/>
      <c r="Z143" s="825"/>
      <c r="AA143" s="825"/>
      <c r="AB143" s="825"/>
      <c r="AC143" s="825"/>
    </row>
    <row r="144" spans="1:29" ht="15.8" customHeight="1" x14ac:dyDescent="0.3">
      <c r="A144" s="825"/>
      <c r="C144" s="825"/>
      <c r="D144" s="21"/>
      <c r="E144" s="17"/>
      <c r="F144" s="825"/>
      <c r="G144" s="825"/>
      <c r="H144" s="21"/>
      <c r="I144" s="825"/>
      <c r="J144" s="825"/>
      <c r="M144" s="825"/>
      <c r="N144" s="825"/>
      <c r="O144" s="825"/>
      <c r="P144" s="825"/>
      <c r="Q144" s="825"/>
      <c r="R144" s="825"/>
      <c r="S144" s="825"/>
      <c r="T144" s="825"/>
      <c r="U144" s="825"/>
      <c r="V144" s="825"/>
      <c r="W144" s="825"/>
      <c r="X144" s="825"/>
      <c r="Y144" s="825"/>
      <c r="Z144" s="825"/>
      <c r="AA144" s="825"/>
      <c r="AB144" s="825"/>
      <c r="AC144" s="825"/>
    </row>
    <row r="145" spans="1:29" ht="15.8" customHeight="1" x14ac:dyDescent="0.3">
      <c r="A145" s="825"/>
      <c r="C145" s="825"/>
      <c r="D145" s="21"/>
      <c r="E145" s="17"/>
      <c r="F145" s="825"/>
      <c r="G145" s="825"/>
      <c r="H145" s="21"/>
      <c r="I145" s="825"/>
      <c r="J145" s="825"/>
      <c r="M145" s="825"/>
      <c r="N145" s="825"/>
      <c r="O145" s="825"/>
      <c r="P145" s="825"/>
      <c r="Q145" s="825"/>
      <c r="R145" s="825"/>
      <c r="S145" s="825"/>
      <c r="T145" s="825"/>
      <c r="U145" s="825"/>
      <c r="V145" s="825"/>
      <c r="W145" s="825"/>
      <c r="X145" s="825"/>
      <c r="Y145" s="825"/>
      <c r="Z145" s="825"/>
      <c r="AA145" s="825"/>
      <c r="AB145" s="825"/>
      <c r="AC145" s="825"/>
    </row>
    <row r="146" spans="1:29" ht="15.8" customHeight="1" x14ac:dyDescent="0.3">
      <c r="A146" s="825"/>
      <c r="C146" s="825"/>
      <c r="D146" s="21"/>
      <c r="E146" s="17"/>
      <c r="F146" s="825"/>
      <c r="G146" s="825"/>
      <c r="H146" s="21"/>
      <c r="I146" s="825"/>
      <c r="J146" s="825"/>
      <c r="M146" s="825"/>
      <c r="N146" s="825"/>
      <c r="O146" s="825"/>
      <c r="P146" s="825"/>
      <c r="Q146" s="825"/>
      <c r="R146" s="825"/>
      <c r="S146" s="825"/>
      <c r="T146" s="825"/>
      <c r="U146" s="825"/>
      <c r="V146" s="825"/>
      <c r="W146" s="825"/>
      <c r="X146" s="825"/>
      <c r="Y146" s="825"/>
      <c r="Z146" s="825"/>
      <c r="AA146" s="825"/>
      <c r="AB146" s="825"/>
      <c r="AC146" s="825"/>
    </row>
    <row r="147" spans="1:29" ht="15.8" customHeight="1" x14ac:dyDescent="0.3">
      <c r="A147" s="825"/>
      <c r="C147" s="825"/>
      <c r="D147" s="21"/>
      <c r="E147" s="17"/>
      <c r="F147" s="825"/>
      <c r="G147" s="825"/>
      <c r="H147" s="21"/>
      <c r="I147" s="825"/>
      <c r="J147" s="825"/>
      <c r="M147" s="825"/>
      <c r="N147" s="825"/>
      <c r="O147" s="825"/>
      <c r="P147" s="825"/>
      <c r="Q147" s="825"/>
      <c r="R147" s="825"/>
      <c r="S147" s="825"/>
      <c r="T147" s="825"/>
      <c r="U147" s="825"/>
      <c r="V147" s="825"/>
      <c r="W147" s="825"/>
      <c r="X147" s="825"/>
      <c r="Y147" s="825"/>
      <c r="Z147" s="825"/>
      <c r="AA147" s="825"/>
      <c r="AB147" s="825"/>
      <c r="AC147" s="825"/>
    </row>
    <row r="148" spans="1:29" ht="15.8" customHeight="1" x14ac:dyDescent="0.3">
      <c r="A148" s="825"/>
      <c r="C148" s="825"/>
      <c r="D148" s="21"/>
      <c r="E148" s="17"/>
      <c r="F148" s="825"/>
      <c r="G148" s="825"/>
      <c r="H148" s="21"/>
      <c r="I148" s="825"/>
      <c r="J148" s="825"/>
      <c r="M148" s="825"/>
      <c r="N148" s="825"/>
      <c r="O148" s="825"/>
      <c r="P148" s="825"/>
      <c r="Q148" s="825"/>
      <c r="R148" s="825"/>
      <c r="S148" s="825"/>
      <c r="T148" s="825"/>
      <c r="U148" s="825"/>
      <c r="V148" s="825"/>
      <c r="W148" s="825"/>
      <c r="X148" s="825"/>
      <c r="Y148" s="825"/>
      <c r="Z148" s="825"/>
      <c r="AA148" s="825"/>
      <c r="AB148" s="825"/>
      <c r="AC148" s="825"/>
    </row>
    <row r="149" spans="1:29" ht="15.8" customHeight="1" x14ac:dyDescent="0.3">
      <c r="A149" s="825"/>
      <c r="C149" s="825"/>
      <c r="D149" s="21"/>
      <c r="E149" s="17"/>
      <c r="F149" s="825"/>
      <c r="G149" s="825"/>
      <c r="H149" s="21"/>
      <c r="I149" s="825"/>
      <c r="J149" s="825"/>
      <c r="M149" s="825"/>
      <c r="N149" s="825"/>
      <c r="O149" s="825"/>
      <c r="P149" s="825"/>
      <c r="Q149" s="825"/>
      <c r="R149" s="825"/>
      <c r="S149" s="825"/>
      <c r="T149" s="825"/>
      <c r="U149" s="825"/>
      <c r="V149" s="825"/>
      <c r="W149" s="825"/>
      <c r="X149" s="825"/>
      <c r="Y149" s="825"/>
      <c r="Z149" s="825"/>
      <c r="AA149" s="825"/>
      <c r="AB149" s="825"/>
      <c r="AC149" s="825"/>
    </row>
    <row r="150" spans="1:29" ht="15.8" customHeight="1" x14ac:dyDescent="0.3">
      <c r="A150" s="825"/>
      <c r="C150" s="825"/>
      <c r="D150" s="21"/>
      <c r="E150" s="17"/>
      <c r="F150" s="825"/>
      <c r="G150" s="825"/>
      <c r="H150" s="21"/>
      <c r="I150" s="825"/>
      <c r="J150" s="825"/>
      <c r="M150" s="825"/>
      <c r="N150" s="825"/>
      <c r="O150" s="825"/>
      <c r="P150" s="825"/>
      <c r="Q150" s="825"/>
      <c r="R150" s="825"/>
      <c r="S150" s="825"/>
      <c r="T150" s="825"/>
      <c r="U150" s="825"/>
      <c r="V150" s="825"/>
      <c r="W150" s="825"/>
      <c r="X150" s="825"/>
      <c r="Y150" s="825"/>
      <c r="Z150" s="825"/>
      <c r="AA150" s="825"/>
      <c r="AB150" s="825"/>
      <c r="AC150" s="825"/>
    </row>
    <row r="151" spans="1:29" ht="15.8" customHeight="1" x14ac:dyDescent="0.3">
      <c r="A151" s="825"/>
      <c r="C151" s="825"/>
      <c r="D151" s="21"/>
      <c r="E151" s="17"/>
      <c r="F151" s="825"/>
      <c r="G151" s="825"/>
      <c r="H151" s="21"/>
      <c r="I151" s="825"/>
      <c r="J151" s="825"/>
      <c r="M151" s="825"/>
      <c r="N151" s="825"/>
      <c r="O151" s="825"/>
      <c r="P151" s="825"/>
      <c r="Q151" s="825"/>
      <c r="R151" s="825"/>
      <c r="S151" s="825"/>
      <c r="T151" s="825"/>
      <c r="U151" s="825"/>
      <c r="V151" s="825"/>
      <c r="W151" s="825"/>
      <c r="X151" s="825"/>
      <c r="Y151" s="825"/>
      <c r="Z151" s="825"/>
      <c r="AA151" s="825"/>
      <c r="AB151" s="825"/>
      <c r="AC151" s="825"/>
    </row>
    <row r="152" spans="1:29" ht="15.8" customHeight="1" x14ac:dyDescent="0.3">
      <c r="A152" s="825"/>
      <c r="C152" s="825"/>
      <c r="D152" s="21"/>
      <c r="E152" s="17"/>
      <c r="F152" s="825"/>
      <c r="G152" s="825"/>
      <c r="H152" s="21"/>
      <c r="I152" s="825"/>
      <c r="J152" s="825"/>
      <c r="M152" s="825"/>
      <c r="N152" s="825"/>
      <c r="O152" s="825"/>
      <c r="P152" s="825"/>
      <c r="Q152" s="825"/>
      <c r="R152" s="825"/>
      <c r="S152" s="825"/>
      <c r="T152" s="825"/>
      <c r="U152" s="825"/>
      <c r="V152" s="825"/>
      <c r="W152" s="825"/>
      <c r="X152" s="825"/>
      <c r="Y152" s="825"/>
      <c r="Z152" s="825"/>
      <c r="AA152" s="825"/>
      <c r="AB152" s="825"/>
      <c r="AC152" s="825"/>
    </row>
    <row r="153" spans="1:29" ht="15.8" customHeight="1" x14ac:dyDescent="0.3">
      <c r="A153" s="825"/>
      <c r="C153" s="825"/>
      <c r="D153" s="21"/>
      <c r="E153" s="17"/>
      <c r="F153" s="825"/>
      <c r="G153" s="825"/>
      <c r="H153" s="21"/>
      <c r="I153" s="825"/>
      <c r="J153" s="825"/>
      <c r="M153" s="825"/>
      <c r="N153" s="825"/>
      <c r="O153" s="825"/>
      <c r="P153" s="825"/>
      <c r="Q153" s="825"/>
      <c r="R153" s="825"/>
      <c r="S153" s="825"/>
      <c r="T153" s="825"/>
      <c r="U153" s="825"/>
      <c r="V153" s="825"/>
      <c r="W153" s="825"/>
      <c r="X153" s="825"/>
      <c r="Y153" s="825"/>
      <c r="Z153" s="825"/>
      <c r="AA153" s="825"/>
      <c r="AB153" s="825"/>
      <c r="AC153" s="825"/>
    </row>
    <row r="154" spans="1:29" ht="15.8" customHeight="1" x14ac:dyDescent="0.3">
      <c r="A154" s="825"/>
      <c r="C154" s="825"/>
      <c r="D154" s="21"/>
      <c r="E154" s="17"/>
      <c r="F154" s="825"/>
      <c r="G154" s="825"/>
      <c r="H154" s="21"/>
      <c r="I154" s="825"/>
      <c r="J154" s="825"/>
      <c r="M154" s="825"/>
      <c r="N154" s="825"/>
      <c r="O154" s="825"/>
      <c r="P154" s="825"/>
      <c r="Q154" s="825"/>
      <c r="R154" s="825"/>
      <c r="S154" s="825"/>
      <c r="T154" s="825"/>
      <c r="U154" s="825"/>
      <c r="V154" s="825"/>
      <c r="W154" s="825"/>
      <c r="X154" s="825"/>
      <c r="Y154" s="825"/>
      <c r="Z154" s="825"/>
      <c r="AA154" s="825"/>
      <c r="AB154" s="825"/>
      <c r="AC154" s="825"/>
    </row>
    <row r="155" spans="1:29" ht="15.8" customHeight="1" x14ac:dyDescent="0.3">
      <c r="A155" s="825"/>
      <c r="C155" s="825"/>
      <c r="D155" s="21"/>
      <c r="E155" s="17"/>
      <c r="F155" s="825"/>
      <c r="G155" s="825"/>
      <c r="H155" s="21"/>
      <c r="I155" s="825"/>
      <c r="J155" s="825"/>
      <c r="M155" s="825"/>
      <c r="N155" s="825"/>
      <c r="O155" s="825"/>
      <c r="P155" s="825"/>
      <c r="Q155" s="825"/>
      <c r="R155" s="825"/>
      <c r="S155" s="825"/>
      <c r="T155" s="825"/>
      <c r="U155" s="825"/>
      <c r="V155" s="825"/>
      <c r="W155" s="825"/>
      <c r="X155" s="825"/>
      <c r="Y155" s="825"/>
      <c r="Z155" s="825"/>
      <c r="AA155" s="825"/>
      <c r="AB155" s="825"/>
      <c r="AC155" s="825"/>
    </row>
    <row r="156" spans="1:29" ht="15.8" customHeight="1" x14ac:dyDescent="0.3">
      <c r="A156" s="825"/>
      <c r="C156" s="825"/>
      <c r="D156" s="21"/>
      <c r="E156" s="17"/>
      <c r="F156" s="825"/>
      <c r="G156" s="825"/>
      <c r="H156" s="21"/>
      <c r="I156" s="825"/>
      <c r="J156" s="825"/>
      <c r="M156" s="825"/>
      <c r="N156" s="825"/>
      <c r="O156" s="825"/>
      <c r="P156" s="825"/>
      <c r="Q156" s="825"/>
      <c r="R156" s="825"/>
      <c r="S156" s="825"/>
      <c r="T156" s="825"/>
      <c r="U156" s="825"/>
      <c r="V156" s="825"/>
      <c r="W156" s="825"/>
      <c r="X156" s="825"/>
      <c r="Y156" s="825"/>
      <c r="Z156" s="825"/>
      <c r="AA156" s="825"/>
      <c r="AB156" s="825"/>
      <c r="AC156" s="825"/>
    </row>
    <row r="157" spans="1:29" ht="15.8" customHeight="1" x14ac:dyDescent="0.3">
      <c r="A157" s="825"/>
      <c r="C157" s="825"/>
      <c r="D157" s="21"/>
      <c r="E157" s="17"/>
      <c r="F157" s="825"/>
      <c r="G157" s="825"/>
      <c r="H157" s="21"/>
      <c r="I157" s="825"/>
      <c r="J157" s="825"/>
      <c r="M157" s="825"/>
      <c r="N157" s="825"/>
      <c r="O157" s="825"/>
      <c r="P157" s="825"/>
      <c r="Q157" s="825"/>
      <c r="R157" s="825"/>
      <c r="S157" s="825"/>
      <c r="T157" s="825"/>
      <c r="U157" s="825"/>
      <c r="V157" s="825"/>
      <c r="W157" s="825"/>
      <c r="X157" s="825"/>
      <c r="Y157" s="825"/>
      <c r="Z157" s="825"/>
      <c r="AA157" s="825"/>
      <c r="AB157" s="825"/>
      <c r="AC157" s="825"/>
    </row>
    <row r="158" spans="1:29" ht="15.8" customHeight="1" x14ac:dyDescent="0.3">
      <c r="A158" s="825"/>
      <c r="C158" s="825"/>
      <c r="D158" s="21"/>
      <c r="E158" s="17"/>
      <c r="F158" s="825"/>
      <c r="G158" s="825"/>
      <c r="H158" s="21"/>
      <c r="I158" s="825"/>
      <c r="J158" s="825"/>
      <c r="M158" s="825"/>
      <c r="N158" s="825"/>
      <c r="O158" s="825"/>
      <c r="P158" s="825"/>
      <c r="Q158" s="825"/>
      <c r="R158" s="825"/>
      <c r="S158" s="825"/>
      <c r="T158" s="825"/>
      <c r="U158" s="825"/>
      <c r="V158" s="825"/>
      <c r="W158" s="825"/>
      <c r="X158" s="825"/>
      <c r="Y158" s="825"/>
      <c r="Z158" s="825"/>
      <c r="AA158" s="825"/>
      <c r="AB158" s="825"/>
      <c r="AC158" s="825"/>
    </row>
    <row r="159" spans="1:29" ht="15.8" customHeight="1" x14ac:dyDescent="0.3">
      <c r="A159" s="825"/>
      <c r="C159" s="825"/>
      <c r="D159" s="21"/>
      <c r="E159" s="17"/>
      <c r="F159" s="825"/>
      <c r="G159" s="825"/>
      <c r="H159" s="21"/>
      <c r="I159" s="825"/>
      <c r="J159" s="825"/>
      <c r="M159" s="825"/>
      <c r="N159" s="825"/>
      <c r="O159" s="825"/>
      <c r="P159" s="825"/>
      <c r="Q159" s="825"/>
      <c r="R159" s="825"/>
      <c r="S159" s="825"/>
      <c r="T159" s="825"/>
      <c r="U159" s="825"/>
      <c r="V159" s="825"/>
      <c r="W159" s="825"/>
      <c r="X159" s="825"/>
      <c r="Y159" s="825"/>
      <c r="Z159" s="825"/>
      <c r="AA159" s="825"/>
      <c r="AB159" s="825"/>
      <c r="AC159" s="825"/>
    </row>
    <row r="160" spans="1:29" ht="15.8" customHeight="1" x14ac:dyDescent="0.3">
      <c r="A160" s="825"/>
      <c r="C160" s="825"/>
      <c r="D160" s="21"/>
      <c r="E160" s="17"/>
      <c r="F160" s="825"/>
      <c r="G160" s="825"/>
      <c r="H160" s="21"/>
      <c r="I160" s="825"/>
      <c r="J160" s="825"/>
      <c r="M160" s="825"/>
      <c r="N160" s="825"/>
      <c r="O160" s="825"/>
      <c r="P160" s="825"/>
      <c r="Q160" s="825"/>
      <c r="R160" s="825"/>
      <c r="S160" s="825"/>
      <c r="T160" s="825"/>
      <c r="U160" s="825"/>
      <c r="V160" s="825"/>
      <c r="W160" s="825"/>
      <c r="X160" s="825"/>
      <c r="Y160" s="825"/>
      <c r="Z160" s="825"/>
      <c r="AA160" s="825"/>
      <c r="AB160" s="825"/>
      <c r="AC160" s="825"/>
    </row>
    <row r="161" spans="1:29" ht="15.8" customHeight="1" x14ac:dyDescent="0.3">
      <c r="A161" s="825"/>
      <c r="C161" s="825"/>
      <c r="D161" s="21"/>
      <c r="E161" s="17"/>
      <c r="F161" s="825"/>
      <c r="G161" s="825"/>
      <c r="H161" s="21"/>
      <c r="I161" s="825"/>
      <c r="J161" s="825"/>
      <c r="M161" s="825"/>
      <c r="N161" s="825"/>
      <c r="O161" s="825"/>
      <c r="P161" s="825"/>
      <c r="Q161" s="825"/>
      <c r="R161" s="825"/>
      <c r="S161" s="825"/>
      <c r="T161" s="825"/>
      <c r="U161" s="825"/>
      <c r="V161" s="825"/>
      <c r="W161" s="825"/>
      <c r="X161" s="825"/>
      <c r="Y161" s="825"/>
      <c r="Z161" s="825"/>
      <c r="AA161" s="825"/>
      <c r="AB161" s="825"/>
      <c r="AC161" s="825"/>
    </row>
    <row r="162" spans="1:29" ht="15.8" customHeight="1" x14ac:dyDescent="0.3">
      <c r="A162" s="825"/>
      <c r="C162" s="825"/>
      <c r="D162" s="21"/>
      <c r="E162" s="17"/>
      <c r="F162" s="825"/>
      <c r="G162" s="825"/>
      <c r="H162" s="21"/>
      <c r="I162" s="825"/>
      <c r="J162" s="825"/>
      <c r="M162" s="825"/>
      <c r="N162" s="825"/>
      <c r="O162" s="825"/>
      <c r="P162" s="825"/>
      <c r="Q162" s="825"/>
      <c r="R162" s="825"/>
      <c r="S162" s="825"/>
      <c r="T162" s="825"/>
      <c r="U162" s="825"/>
      <c r="V162" s="825"/>
      <c r="W162" s="825"/>
      <c r="X162" s="825"/>
      <c r="Y162" s="825"/>
      <c r="Z162" s="825"/>
      <c r="AA162" s="825"/>
      <c r="AB162" s="825"/>
      <c r="AC162" s="825"/>
    </row>
    <row r="163" spans="1:29" ht="15.8" customHeight="1" x14ac:dyDescent="0.3">
      <c r="A163" s="825"/>
      <c r="C163" s="825"/>
      <c r="D163" s="21"/>
      <c r="E163" s="17"/>
      <c r="F163" s="825"/>
      <c r="G163" s="825"/>
      <c r="H163" s="21"/>
      <c r="I163" s="825"/>
      <c r="J163" s="825"/>
      <c r="M163" s="825"/>
      <c r="N163" s="825"/>
      <c r="O163" s="825"/>
      <c r="P163" s="825"/>
      <c r="Q163" s="825"/>
      <c r="R163" s="825"/>
      <c r="S163" s="825"/>
      <c r="T163" s="825"/>
      <c r="U163" s="825"/>
      <c r="V163" s="825"/>
      <c r="W163" s="825"/>
      <c r="X163" s="825"/>
      <c r="Y163" s="825"/>
      <c r="Z163" s="825"/>
      <c r="AA163" s="825"/>
      <c r="AB163" s="825"/>
      <c r="AC163" s="825"/>
    </row>
    <row r="164" spans="1:29" ht="15.8" customHeight="1" x14ac:dyDescent="0.3">
      <c r="A164" s="825"/>
      <c r="C164" s="825"/>
      <c r="D164" s="21"/>
      <c r="E164" s="17"/>
      <c r="F164" s="825"/>
      <c r="G164" s="825"/>
      <c r="H164" s="21"/>
      <c r="I164" s="825"/>
      <c r="J164" s="825"/>
      <c r="M164" s="825"/>
      <c r="N164" s="825"/>
      <c r="O164" s="825"/>
      <c r="P164" s="825"/>
      <c r="Q164" s="825"/>
      <c r="R164" s="825"/>
      <c r="S164" s="825"/>
      <c r="T164" s="825"/>
      <c r="U164" s="825"/>
      <c r="V164" s="825"/>
      <c r="W164" s="825"/>
      <c r="X164" s="825"/>
      <c r="Y164" s="825"/>
      <c r="Z164" s="825"/>
      <c r="AA164" s="825"/>
      <c r="AB164" s="825"/>
      <c r="AC164" s="825"/>
    </row>
    <row r="165" spans="1:29" ht="15.8" customHeight="1" x14ac:dyDescent="0.3">
      <c r="A165" s="825"/>
      <c r="C165" s="825"/>
      <c r="D165" s="21"/>
      <c r="E165" s="17"/>
      <c r="F165" s="825"/>
      <c r="G165" s="825"/>
      <c r="H165" s="21"/>
      <c r="I165" s="825"/>
      <c r="J165" s="825"/>
      <c r="M165" s="825"/>
      <c r="N165" s="825"/>
      <c r="O165" s="825"/>
      <c r="P165" s="825"/>
      <c r="Q165" s="825"/>
      <c r="R165" s="825"/>
      <c r="S165" s="825"/>
      <c r="T165" s="825"/>
      <c r="U165" s="825"/>
      <c r="V165" s="825"/>
      <c r="W165" s="825"/>
      <c r="X165" s="825"/>
      <c r="Y165" s="825"/>
      <c r="Z165" s="825"/>
      <c r="AA165" s="825"/>
      <c r="AB165" s="825"/>
      <c r="AC165" s="825"/>
    </row>
    <row r="166" spans="1:29" ht="15.8" customHeight="1" x14ac:dyDescent="0.3">
      <c r="A166" s="825"/>
      <c r="C166" s="825"/>
      <c r="D166" s="21"/>
      <c r="E166" s="17"/>
      <c r="F166" s="825"/>
      <c r="G166" s="825"/>
      <c r="H166" s="21"/>
      <c r="I166" s="825"/>
      <c r="J166" s="825"/>
      <c r="M166" s="825"/>
      <c r="N166" s="825"/>
      <c r="O166" s="825"/>
      <c r="P166" s="825"/>
      <c r="Q166" s="825"/>
      <c r="R166" s="825"/>
      <c r="S166" s="825"/>
      <c r="T166" s="825"/>
      <c r="U166" s="825"/>
      <c r="V166" s="825"/>
      <c r="W166" s="825"/>
      <c r="X166" s="825"/>
      <c r="Y166" s="825"/>
      <c r="Z166" s="825"/>
      <c r="AA166" s="825"/>
      <c r="AB166" s="825"/>
      <c r="AC166" s="825"/>
    </row>
    <row r="167" spans="1:29" ht="15.8" customHeight="1" x14ac:dyDescent="0.3">
      <c r="A167" s="825"/>
      <c r="C167" s="825"/>
      <c r="D167" s="21"/>
      <c r="E167" s="17"/>
      <c r="F167" s="825"/>
      <c r="G167" s="825"/>
      <c r="H167" s="21"/>
      <c r="I167" s="825"/>
      <c r="J167" s="825"/>
      <c r="M167" s="825"/>
      <c r="N167" s="825"/>
      <c r="O167" s="825"/>
      <c r="P167" s="825"/>
      <c r="Q167" s="825"/>
      <c r="R167" s="825"/>
      <c r="S167" s="825"/>
      <c r="T167" s="825"/>
      <c r="U167" s="825"/>
      <c r="V167" s="825"/>
      <c r="W167" s="825"/>
      <c r="X167" s="825"/>
      <c r="Y167" s="825"/>
      <c r="Z167" s="825"/>
      <c r="AA167" s="825"/>
      <c r="AB167" s="825"/>
      <c r="AC167" s="825"/>
    </row>
    <row r="168" spans="1:29" ht="15.8" customHeight="1" x14ac:dyDescent="0.3">
      <c r="A168" s="825"/>
      <c r="C168" s="825"/>
      <c r="D168" s="21"/>
      <c r="E168" s="17"/>
      <c r="F168" s="825"/>
      <c r="G168" s="825"/>
      <c r="H168" s="21"/>
      <c r="I168" s="825"/>
      <c r="J168" s="825"/>
      <c r="M168" s="825"/>
      <c r="N168" s="825"/>
      <c r="O168" s="825"/>
      <c r="P168" s="825"/>
      <c r="Q168" s="825"/>
      <c r="R168" s="825"/>
      <c r="S168" s="825"/>
      <c r="T168" s="825"/>
      <c r="U168" s="825"/>
      <c r="V168" s="825"/>
      <c r="W168" s="825"/>
      <c r="X168" s="825"/>
      <c r="Y168" s="825"/>
      <c r="Z168" s="825"/>
      <c r="AA168" s="825"/>
      <c r="AB168" s="825"/>
      <c r="AC168" s="825"/>
    </row>
    <row r="169" spans="1:29" ht="15.8" customHeight="1" x14ac:dyDescent="0.3">
      <c r="A169" s="825"/>
      <c r="C169" s="825"/>
      <c r="D169" s="21"/>
      <c r="E169" s="17"/>
      <c r="F169" s="825"/>
      <c r="G169" s="825"/>
      <c r="H169" s="21"/>
      <c r="I169" s="825"/>
      <c r="J169" s="825"/>
      <c r="M169" s="825"/>
      <c r="N169" s="825"/>
      <c r="O169" s="825"/>
      <c r="P169" s="825"/>
      <c r="Q169" s="825"/>
      <c r="R169" s="825"/>
      <c r="S169" s="825"/>
      <c r="T169" s="825"/>
      <c r="U169" s="825"/>
      <c r="V169" s="825"/>
      <c r="W169" s="825"/>
      <c r="X169" s="825"/>
      <c r="Y169" s="825"/>
      <c r="Z169" s="825"/>
      <c r="AA169" s="825"/>
      <c r="AB169" s="825"/>
      <c r="AC169" s="825"/>
    </row>
    <row r="170" spans="1:29" ht="15.8" customHeight="1" x14ac:dyDescent="0.3">
      <c r="A170" s="825"/>
      <c r="C170" s="825"/>
      <c r="D170" s="21"/>
      <c r="E170" s="17"/>
      <c r="F170" s="825"/>
      <c r="G170" s="825"/>
      <c r="H170" s="21"/>
      <c r="I170" s="825"/>
      <c r="J170" s="825"/>
      <c r="M170" s="825"/>
      <c r="N170" s="825"/>
      <c r="O170" s="825"/>
      <c r="P170" s="825"/>
      <c r="Q170" s="825"/>
      <c r="R170" s="825"/>
      <c r="S170" s="825"/>
      <c r="T170" s="825"/>
      <c r="U170" s="825"/>
      <c r="V170" s="825"/>
      <c r="W170" s="825"/>
      <c r="X170" s="825"/>
      <c r="Y170" s="825"/>
      <c r="Z170" s="825"/>
      <c r="AA170" s="825"/>
      <c r="AB170" s="825"/>
      <c r="AC170" s="825"/>
    </row>
    <row r="171" spans="1:29" ht="15.8" customHeight="1" x14ac:dyDescent="0.3">
      <c r="A171" s="825"/>
      <c r="C171" s="825"/>
      <c r="D171" s="21"/>
      <c r="E171" s="17"/>
      <c r="F171" s="825"/>
      <c r="G171" s="825"/>
      <c r="H171" s="21"/>
      <c r="I171" s="825"/>
      <c r="J171" s="825"/>
      <c r="M171" s="825"/>
      <c r="N171" s="825"/>
      <c r="O171" s="825"/>
      <c r="P171" s="825"/>
      <c r="Q171" s="825"/>
      <c r="R171" s="825"/>
      <c r="S171" s="825"/>
      <c r="T171" s="825"/>
      <c r="U171" s="825"/>
      <c r="V171" s="825"/>
      <c r="W171" s="825"/>
      <c r="X171" s="825"/>
      <c r="Y171" s="825"/>
      <c r="Z171" s="825"/>
      <c r="AA171" s="825"/>
      <c r="AB171" s="825"/>
      <c r="AC171" s="825"/>
    </row>
    <row r="172" spans="1:29" ht="15.8" customHeight="1" x14ac:dyDescent="0.3">
      <c r="A172" s="825"/>
      <c r="C172" s="825"/>
      <c r="D172" s="21"/>
      <c r="E172" s="17"/>
      <c r="F172" s="825"/>
      <c r="G172" s="825"/>
      <c r="H172" s="21"/>
      <c r="I172" s="825"/>
      <c r="J172" s="825"/>
      <c r="M172" s="825"/>
      <c r="N172" s="825"/>
      <c r="O172" s="825"/>
      <c r="P172" s="825"/>
      <c r="Q172" s="825"/>
      <c r="R172" s="825"/>
      <c r="S172" s="825"/>
      <c r="T172" s="825"/>
      <c r="U172" s="825"/>
      <c r="V172" s="825"/>
      <c r="W172" s="825"/>
      <c r="X172" s="825"/>
      <c r="Y172" s="825"/>
      <c r="Z172" s="825"/>
      <c r="AA172" s="825"/>
      <c r="AB172" s="825"/>
      <c r="AC172" s="825"/>
    </row>
    <row r="173" spans="1:29" ht="15.8" customHeight="1" x14ac:dyDescent="0.3">
      <c r="A173" s="825"/>
      <c r="C173" s="825"/>
      <c r="D173" s="21"/>
      <c r="E173" s="17"/>
      <c r="F173" s="825"/>
      <c r="G173" s="825"/>
      <c r="H173" s="21"/>
      <c r="I173" s="825"/>
      <c r="J173" s="825"/>
      <c r="M173" s="825"/>
      <c r="N173" s="825"/>
      <c r="O173" s="825"/>
      <c r="P173" s="825"/>
      <c r="Q173" s="825"/>
      <c r="R173" s="825"/>
      <c r="S173" s="825"/>
      <c r="T173" s="825"/>
      <c r="U173" s="825"/>
      <c r="V173" s="825"/>
      <c r="W173" s="825"/>
      <c r="X173" s="825"/>
      <c r="Y173" s="825"/>
      <c r="Z173" s="825"/>
      <c r="AA173" s="825"/>
      <c r="AB173" s="825"/>
      <c r="AC173" s="825"/>
    </row>
    <row r="174" spans="1:29" ht="15.8" customHeight="1" x14ac:dyDescent="0.3">
      <c r="A174" s="825"/>
      <c r="C174" s="825"/>
      <c r="D174" s="21"/>
      <c r="E174" s="17"/>
      <c r="F174" s="825"/>
      <c r="G174" s="825"/>
      <c r="H174" s="21"/>
      <c r="I174" s="825"/>
      <c r="J174" s="825"/>
      <c r="M174" s="825"/>
      <c r="N174" s="825"/>
      <c r="O174" s="825"/>
      <c r="P174" s="825"/>
      <c r="Q174" s="825"/>
      <c r="R174" s="825"/>
      <c r="S174" s="825"/>
      <c r="T174" s="825"/>
      <c r="U174" s="825"/>
      <c r="V174" s="825"/>
      <c r="W174" s="825"/>
      <c r="X174" s="825"/>
      <c r="Y174" s="825"/>
      <c r="Z174" s="825"/>
      <c r="AA174" s="825"/>
      <c r="AB174" s="825"/>
      <c r="AC174" s="825"/>
    </row>
    <row r="175" spans="1:29" ht="15.8" customHeight="1" x14ac:dyDescent="0.3">
      <c r="A175" s="825"/>
      <c r="C175" s="825"/>
      <c r="D175" s="21"/>
      <c r="E175" s="17"/>
      <c r="F175" s="825"/>
      <c r="G175" s="825"/>
      <c r="H175" s="21"/>
      <c r="I175" s="825"/>
      <c r="J175" s="825"/>
      <c r="M175" s="825"/>
      <c r="N175" s="825"/>
      <c r="O175" s="825"/>
      <c r="P175" s="825"/>
      <c r="Q175" s="825"/>
      <c r="R175" s="825"/>
      <c r="S175" s="825"/>
      <c r="T175" s="825"/>
      <c r="U175" s="825"/>
      <c r="V175" s="825"/>
      <c r="W175" s="825"/>
      <c r="X175" s="825"/>
      <c r="Y175" s="825"/>
      <c r="Z175" s="825"/>
      <c r="AA175" s="825"/>
      <c r="AB175" s="825"/>
      <c r="AC175" s="825"/>
    </row>
    <row r="176" spans="1:29" ht="15.8" customHeight="1" x14ac:dyDescent="0.3">
      <c r="A176" s="825"/>
      <c r="C176" s="825"/>
      <c r="D176" s="21"/>
      <c r="E176" s="17"/>
      <c r="F176" s="825"/>
      <c r="G176" s="825"/>
      <c r="H176" s="21"/>
      <c r="I176" s="825"/>
      <c r="J176" s="825"/>
      <c r="M176" s="825"/>
      <c r="N176" s="825"/>
      <c r="O176" s="825"/>
      <c r="P176" s="825"/>
      <c r="Q176" s="825"/>
      <c r="R176" s="825"/>
      <c r="S176" s="825"/>
      <c r="T176" s="825"/>
      <c r="U176" s="825"/>
      <c r="V176" s="825"/>
      <c r="W176" s="825"/>
      <c r="X176" s="825"/>
      <c r="Y176" s="825"/>
      <c r="Z176" s="825"/>
      <c r="AA176" s="825"/>
      <c r="AB176" s="825"/>
      <c r="AC176" s="825"/>
    </row>
    <row r="177" spans="1:29" ht="15.8" customHeight="1" x14ac:dyDescent="0.3">
      <c r="A177" s="825"/>
      <c r="C177" s="825"/>
      <c r="D177" s="21"/>
      <c r="E177" s="17"/>
      <c r="F177" s="825"/>
      <c r="G177" s="825"/>
      <c r="H177" s="21"/>
      <c r="I177" s="825"/>
      <c r="J177" s="825"/>
      <c r="M177" s="825"/>
      <c r="N177" s="825"/>
      <c r="O177" s="825"/>
      <c r="P177" s="825"/>
      <c r="Q177" s="825"/>
      <c r="R177" s="825"/>
      <c r="S177" s="825"/>
      <c r="T177" s="825"/>
      <c r="U177" s="825"/>
      <c r="V177" s="825"/>
      <c r="W177" s="825"/>
      <c r="X177" s="825"/>
      <c r="Y177" s="825"/>
      <c r="Z177" s="825"/>
      <c r="AA177" s="825"/>
      <c r="AB177" s="825"/>
      <c r="AC177" s="825"/>
    </row>
    <row r="178" spans="1:29" ht="15.8" customHeight="1" x14ac:dyDescent="0.3">
      <c r="A178" s="825"/>
      <c r="C178" s="825"/>
      <c r="D178" s="21"/>
      <c r="E178" s="17"/>
      <c r="F178" s="825"/>
      <c r="G178" s="825"/>
      <c r="H178" s="21"/>
      <c r="I178" s="825"/>
      <c r="J178" s="825"/>
      <c r="M178" s="825"/>
      <c r="N178" s="825"/>
      <c r="O178" s="825"/>
      <c r="P178" s="825"/>
      <c r="Q178" s="825"/>
      <c r="R178" s="825"/>
      <c r="S178" s="825"/>
      <c r="T178" s="825"/>
      <c r="U178" s="825"/>
      <c r="V178" s="825"/>
      <c r="W178" s="825"/>
      <c r="X178" s="825"/>
      <c r="Y178" s="825"/>
      <c r="Z178" s="825"/>
      <c r="AA178" s="825"/>
      <c r="AB178" s="825"/>
      <c r="AC178" s="825"/>
    </row>
    <row r="179" spans="1:29" ht="15.8" customHeight="1" x14ac:dyDescent="0.3">
      <c r="A179" s="825"/>
      <c r="C179" s="825"/>
      <c r="D179" s="21"/>
      <c r="E179" s="17"/>
      <c r="F179" s="825"/>
      <c r="G179" s="825"/>
      <c r="H179" s="21"/>
      <c r="I179" s="825"/>
      <c r="J179" s="825"/>
      <c r="M179" s="825"/>
      <c r="N179" s="825"/>
      <c r="O179" s="825"/>
      <c r="P179" s="825"/>
      <c r="Q179" s="825"/>
      <c r="R179" s="825"/>
      <c r="S179" s="825"/>
      <c r="T179" s="825"/>
      <c r="U179" s="825"/>
      <c r="V179" s="825"/>
      <c r="W179" s="825"/>
      <c r="X179" s="825"/>
      <c r="Y179" s="825"/>
      <c r="Z179" s="825"/>
      <c r="AA179" s="825"/>
      <c r="AB179" s="825"/>
      <c r="AC179" s="825"/>
    </row>
    <row r="180" spans="1:29" ht="15.8" customHeight="1" x14ac:dyDescent="0.3">
      <c r="A180" s="825"/>
      <c r="C180" s="825"/>
      <c r="D180" s="21"/>
      <c r="E180" s="17"/>
      <c r="F180" s="825"/>
      <c r="G180" s="825"/>
      <c r="H180" s="21"/>
      <c r="I180" s="825"/>
      <c r="J180" s="825"/>
      <c r="M180" s="825"/>
      <c r="N180" s="825"/>
      <c r="O180" s="825"/>
      <c r="P180" s="825"/>
      <c r="Q180" s="825"/>
      <c r="R180" s="825"/>
      <c r="S180" s="825"/>
      <c r="T180" s="825"/>
      <c r="U180" s="825"/>
      <c r="V180" s="825"/>
      <c r="W180" s="825"/>
      <c r="X180" s="825"/>
      <c r="Y180" s="825"/>
      <c r="Z180" s="825"/>
      <c r="AA180" s="825"/>
      <c r="AB180" s="825"/>
      <c r="AC180" s="825"/>
    </row>
    <row r="181" spans="1:29" ht="15.8" customHeight="1" x14ac:dyDescent="0.3">
      <c r="A181" s="825"/>
      <c r="C181" s="825"/>
      <c r="D181" s="21"/>
      <c r="E181" s="17"/>
      <c r="F181" s="825"/>
      <c r="G181" s="825"/>
      <c r="H181" s="21"/>
      <c r="I181" s="825"/>
      <c r="J181" s="825"/>
      <c r="M181" s="825"/>
      <c r="N181" s="825"/>
      <c r="O181" s="825"/>
      <c r="P181" s="825"/>
      <c r="Q181" s="825"/>
      <c r="R181" s="825"/>
      <c r="S181" s="825"/>
      <c r="T181" s="825"/>
      <c r="U181" s="825"/>
      <c r="V181" s="825"/>
      <c r="W181" s="825"/>
      <c r="X181" s="825"/>
      <c r="Y181" s="825"/>
      <c r="Z181" s="825"/>
      <c r="AA181" s="825"/>
      <c r="AB181" s="825"/>
      <c r="AC181" s="825"/>
    </row>
    <row r="182" spans="1:29" ht="15.8" customHeight="1" x14ac:dyDescent="0.3">
      <c r="A182" s="825"/>
      <c r="C182" s="825"/>
      <c r="D182" s="21"/>
      <c r="E182" s="17"/>
      <c r="F182" s="825"/>
      <c r="G182" s="825"/>
      <c r="H182" s="21"/>
      <c r="I182" s="825"/>
      <c r="J182" s="825"/>
      <c r="M182" s="825"/>
      <c r="N182" s="825"/>
      <c r="O182" s="825"/>
      <c r="P182" s="825"/>
      <c r="Q182" s="825"/>
      <c r="R182" s="825"/>
      <c r="S182" s="825"/>
      <c r="T182" s="825"/>
      <c r="U182" s="825"/>
      <c r="V182" s="825"/>
      <c r="W182" s="825"/>
      <c r="X182" s="825"/>
      <c r="Y182" s="825"/>
      <c r="Z182" s="825"/>
      <c r="AA182" s="825"/>
      <c r="AB182" s="825"/>
      <c r="AC182" s="825"/>
    </row>
    <row r="183" spans="1:29" ht="15.8" customHeight="1" x14ac:dyDescent="0.3">
      <c r="A183" s="825"/>
      <c r="C183" s="825"/>
      <c r="D183" s="21"/>
      <c r="E183" s="17"/>
      <c r="F183" s="825"/>
      <c r="G183" s="825"/>
      <c r="H183" s="21"/>
      <c r="I183" s="825"/>
      <c r="J183" s="825"/>
      <c r="M183" s="825"/>
      <c r="N183" s="825"/>
      <c r="O183" s="825"/>
      <c r="P183" s="825"/>
      <c r="Q183" s="825"/>
      <c r="R183" s="825"/>
      <c r="S183" s="825"/>
      <c r="T183" s="825"/>
      <c r="U183" s="825"/>
      <c r="V183" s="825"/>
      <c r="W183" s="825"/>
      <c r="X183" s="825"/>
      <c r="Y183" s="825"/>
      <c r="Z183" s="825"/>
      <c r="AA183" s="825"/>
      <c r="AB183" s="825"/>
      <c r="AC183" s="825"/>
    </row>
    <row r="184" spans="1:29" ht="15.8" customHeight="1" x14ac:dyDescent="0.3">
      <c r="A184" s="825"/>
      <c r="C184" s="825"/>
      <c r="D184" s="21"/>
      <c r="E184" s="17"/>
      <c r="F184" s="825"/>
      <c r="G184" s="825"/>
      <c r="H184" s="21"/>
      <c r="I184" s="825"/>
      <c r="J184" s="825"/>
      <c r="M184" s="825"/>
      <c r="N184" s="825"/>
      <c r="O184" s="825"/>
      <c r="P184" s="825"/>
      <c r="Q184" s="825"/>
      <c r="R184" s="825"/>
      <c r="S184" s="825"/>
      <c r="T184" s="825"/>
      <c r="U184" s="825"/>
      <c r="V184" s="825"/>
      <c r="W184" s="825"/>
      <c r="X184" s="825"/>
      <c r="Y184" s="825"/>
      <c r="Z184" s="825"/>
      <c r="AA184" s="825"/>
      <c r="AB184" s="825"/>
      <c r="AC184" s="825"/>
    </row>
    <row r="185" spans="1:29" ht="15.8" customHeight="1" x14ac:dyDescent="0.3">
      <c r="A185" s="825"/>
      <c r="C185" s="825"/>
      <c r="D185" s="21"/>
      <c r="E185" s="17"/>
      <c r="F185" s="825"/>
      <c r="G185" s="825"/>
      <c r="H185" s="21"/>
      <c r="I185" s="825"/>
      <c r="J185" s="825"/>
      <c r="M185" s="825"/>
      <c r="N185" s="825"/>
      <c r="O185" s="825"/>
      <c r="P185" s="825"/>
      <c r="Q185" s="825"/>
      <c r="R185" s="825"/>
      <c r="S185" s="825"/>
      <c r="T185" s="825"/>
      <c r="U185" s="825"/>
      <c r="V185" s="825"/>
      <c r="W185" s="825"/>
      <c r="X185" s="825"/>
      <c r="Y185" s="825"/>
      <c r="Z185" s="825"/>
      <c r="AA185" s="825"/>
      <c r="AB185" s="825"/>
      <c r="AC185" s="825"/>
    </row>
    <row r="186" spans="1:29" ht="15.8" customHeight="1" x14ac:dyDescent="0.3">
      <c r="A186" s="825"/>
      <c r="C186" s="825"/>
      <c r="D186" s="21"/>
      <c r="E186" s="17"/>
      <c r="F186" s="825"/>
      <c r="G186" s="825"/>
      <c r="H186" s="21"/>
      <c r="I186" s="825"/>
      <c r="J186" s="825"/>
      <c r="M186" s="825"/>
      <c r="N186" s="825"/>
      <c r="O186" s="825"/>
      <c r="P186" s="825"/>
      <c r="Q186" s="825"/>
      <c r="R186" s="825"/>
      <c r="S186" s="825"/>
      <c r="T186" s="825"/>
      <c r="U186" s="825"/>
      <c r="V186" s="825"/>
      <c r="W186" s="825"/>
      <c r="X186" s="825"/>
      <c r="Y186" s="825"/>
      <c r="Z186" s="825"/>
      <c r="AA186" s="825"/>
      <c r="AB186" s="825"/>
      <c r="AC186" s="825"/>
    </row>
    <row r="187" spans="1:29" ht="15.8" customHeight="1" x14ac:dyDescent="0.3">
      <c r="A187" s="825"/>
      <c r="C187" s="825"/>
      <c r="D187" s="21"/>
      <c r="E187" s="17"/>
      <c r="F187" s="825"/>
      <c r="G187" s="825"/>
      <c r="H187" s="21"/>
      <c r="I187" s="825"/>
      <c r="J187" s="825"/>
      <c r="M187" s="825"/>
      <c r="N187" s="825"/>
      <c r="O187" s="825"/>
      <c r="P187" s="825"/>
      <c r="Q187" s="825"/>
      <c r="R187" s="825"/>
      <c r="S187" s="825"/>
      <c r="T187" s="825"/>
      <c r="U187" s="825"/>
      <c r="V187" s="825"/>
      <c r="W187" s="825"/>
      <c r="X187" s="825"/>
      <c r="Y187" s="825"/>
      <c r="Z187" s="825"/>
      <c r="AA187" s="825"/>
      <c r="AB187" s="825"/>
      <c r="AC187" s="825"/>
    </row>
    <row r="188" spans="1:29" ht="15.8" customHeight="1" x14ac:dyDescent="0.3">
      <c r="A188" s="825"/>
      <c r="C188" s="825"/>
      <c r="D188" s="21"/>
      <c r="E188" s="17"/>
      <c r="F188" s="825"/>
      <c r="G188" s="825"/>
      <c r="H188" s="21"/>
      <c r="I188" s="825"/>
      <c r="J188" s="825"/>
      <c r="M188" s="825"/>
      <c r="N188" s="825"/>
      <c r="O188" s="825"/>
      <c r="P188" s="825"/>
      <c r="Q188" s="825"/>
      <c r="R188" s="825"/>
      <c r="S188" s="825"/>
      <c r="T188" s="825"/>
      <c r="U188" s="825"/>
      <c r="V188" s="825"/>
      <c r="W188" s="825"/>
      <c r="X188" s="825"/>
      <c r="Y188" s="825"/>
      <c r="Z188" s="825"/>
      <c r="AA188" s="825"/>
      <c r="AB188" s="825"/>
      <c r="AC188" s="825"/>
    </row>
    <row r="189" spans="1:29" ht="15.8" customHeight="1" x14ac:dyDescent="0.3">
      <c r="A189" s="825"/>
      <c r="C189" s="825"/>
      <c r="D189" s="21"/>
      <c r="E189" s="17"/>
      <c r="F189" s="825"/>
      <c r="G189" s="825"/>
      <c r="H189" s="21"/>
      <c r="I189" s="825"/>
      <c r="J189" s="825"/>
      <c r="M189" s="825"/>
      <c r="N189" s="825"/>
      <c r="O189" s="825"/>
      <c r="P189" s="825"/>
      <c r="Q189" s="825"/>
      <c r="R189" s="825"/>
      <c r="S189" s="825"/>
      <c r="T189" s="825"/>
      <c r="U189" s="825"/>
      <c r="V189" s="825"/>
      <c r="W189" s="825"/>
      <c r="X189" s="825"/>
      <c r="Y189" s="825"/>
      <c r="Z189" s="825"/>
      <c r="AA189" s="825"/>
      <c r="AB189" s="825"/>
      <c r="AC189" s="825"/>
    </row>
    <row r="190" spans="1:29" ht="15.8" customHeight="1" x14ac:dyDescent="0.3">
      <c r="A190" s="825"/>
      <c r="C190" s="825"/>
      <c r="D190" s="21"/>
      <c r="E190" s="17"/>
      <c r="F190" s="825"/>
      <c r="G190" s="825"/>
      <c r="H190" s="21"/>
      <c r="I190" s="825"/>
      <c r="J190" s="825"/>
      <c r="M190" s="825"/>
      <c r="N190" s="825"/>
      <c r="O190" s="825"/>
      <c r="P190" s="825"/>
      <c r="Q190" s="825"/>
      <c r="R190" s="825"/>
      <c r="S190" s="825"/>
      <c r="T190" s="825"/>
      <c r="U190" s="825"/>
      <c r="V190" s="825"/>
      <c r="W190" s="825"/>
      <c r="X190" s="825"/>
      <c r="Y190" s="825"/>
      <c r="Z190" s="825"/>
      <c r="AA190" s="825"/>
      <c r="AB190" s="825"/>
      <c r="AC190" s="825"/>
    </row>
    <row r="191" spans="1:29" ht="15.8" customHeight="1" x14ac:dyDescent="0.3">
      <c r="A191" s="825"/>
      <c r="C191" s="825"/>
      <c r="D191" s="21"/>
      <c r="E191" s="17"/>
      <c r="F191" s="825"/>
      <c r="G191" s="825"/>
      <c r="H191" s="21"/>
      <c r="I191" s="825"/>
      <c r="J191" s="825"/>
      <c r="M191" s="825"/>
      <c r="N191" s="825"/>
      <c r="O191" s="825"/>
      <c r="P191" s="825"/>
      <c r="Q191" s="825"/>
      <c r="R191" s="825"/>
      <c r="S191" s="825"/>
      <c r="T191" s="825"/>
      <c r="U191" s="825"/>
      <c r="V191" s="825"/>
      <c r="W191" s="825"/>
      <c r="X191" s="825"/>
      <c r="Y191" s="825"/>
      <c r="Z191" s="825"/>
      <c r="AA191" s="825"/>
      <c r="AB191" s="825"/>
      <c r="AC191" s="825"/>
    </row>
    <row r="192" spans="1:29" ht="15.8" customHeight="1" x14ac:dyDescent="0.3">
      <c r="A192" s="825"/>
      <c r="C192" s="825"/>
      <c r="D192" s="21"/>
      <c r="E192" s="17"/>
      <c r="F192" s="825"/>
      <c r="G192" s="825"/>
      <c r="H192" s="21"/>
      <c r="I192" s="825"/>
      <c r="J192" s="825"/>
      <c r="M192" s="825"/>
      <c r="N192" s="825"/>
      <c r="O192" s="825"/>
      <c r="P192" s="825"/>
      <c r="Q192" s="825"/>
      <c r="R192" s="825"/>
      <c r="S192" s="825"/>
      <c r="T192" s="825"/>
      <c r="U192" s="825"/>
      <c r="V192" s="825"/>
      <c r="W192" s="825"/>
      <c r="X192" s="825"/>
      <c r="Y192" s="825"/>
      <c r="Z192" s="825"/>
      <c r="AA192" s="825"/>
      <c r="AB192" s="825"/>
      <c r="AC192" s="825"/>
    </row>
    <row r="193" spans="1:29" ht="15.8" customHeight="1" x14ac:dyDescent="0.3">
      <c r="A193" s="825"/>
      <c r="C193" s="825"/>
      <c r="D193" s="21"/>
      <c r="E193" s="17"/>
      <c r="F193" s="825"/>
      <c r="G193" s="825"/>
      <c r="H193" s="21"/>
      <c r="I193" s="825"/>
      <c r="J193" s="825"/>
      <c r="M193" s="825"/>
      <c r="N193" s="825"/>
      <c r="O193" s="825"/>
      <c r="P193" s="825"/>
      <c r="Q193" s="825"/>
      <c r="R193" s="825"/>
      <c r="S193" s="825"/>
      <c r="T193" s="825"/>
      <c r="U193" s="825"/>
      <c r="V193" s="825"/>
      <c r="W193" s="825"/>
      <c r="X193" s="825"/>
      <c r="Y193" s="825"/>
      <c r="Z193" s="825"/>
      <c r="AA193" s="825"/>
      <c r="AB193" s="825"/>
      <c r="AC193" s="825"/>
    </row>
    <row r="194" spans="1:29" ht="15.8" customHeight="1" x14ac:dyDescent="0.3">
      <c r="A194" s="825"/>
      <c r="C194" s="825"/>
      <c r="D194" s="21"/>
      <c r="E194" s="17"/>
      <c r="F194" s="825"/>
      <c r="G194" s="825"/>
      <c r="H194" s="21"/>
      <c r="I194" s="825"/>
      <c r="J194" s="825"/>
      <c r="M194" s="825"/>
      <c r="N194" s="825"/>
      <c r="O194" s="825"/>
      <c r="P194" s="825"/>
      <c r="Q194" s="825"/>
      <c r="R194" s="825"/>
      <c r="S194" s="825"/>
      <c r="T194" s="825"/>
      <c r="U194" s="825"/>
      <c r="V194" s="825"/>
      <c r="W194" s="825"/>
      <c r="X194" s="825"/>
      <c r="Y194" s="825"/>
      <c r="Z194" s="825"/>
      <c r="AA194" s="825"/>
      <c r="AB194" s="825"/>
      <c r="AC194" s="825"/>
    </row>
    <row r="195" spans="1:29" ht="15.8" customHeight="1" x14ac:dyDescent="0.3">
      <c r="A195" s="825"/>
      <c r="C195" s="825"/>
      <c r="D195" s="21"/>
      <c r="E195" s="17"/>
      <c r="F195" s="825"/>
      <c r="G195" s="825"/>
      <c r="H195" s="21"/>
      <c r="I195" s="825"/>
      <c r="J195" s="825"/>
      <c r="M195" s="825"/>
      <c r="N195" s="825"/>
      <c r="O195" s="825"/>
      <c r="P195" s="825"/>
      <c r="Q195" s="825"/>
      <c r="R195" s="825"/>
      <c r="S195" s="825"/>
      <c r="T195" s="825"/>
      <c r="U195" s="825"/>
      <c r="V195" s="825"/>
      <c r="W195" s="825"/>
      <c r="X195" s="825"/>
      <c r="Y195" s="825"/>
      <c r="Z195" s="825"/>
      <c r="AA195" s="825"/>
      <c r="AB195" s="825"/>
      <c r="AC195" s="825"/>
    </row>
    <row r="196" spans="1:29" ht="15.8" customHeight="1" x14ac:dyDescent="0.3">
      <c r="A196" s="825"/>
      <c r="C196" s="825"/>
      <c r="D196" s="21"/>
      <c r="E196" s="17"/>
      <c r="F196" s="825"/>
      <c r="G196" s="825"/>
      <c r="H196" s="21"/>
      <c r="I196" s="825"/>
      <c r="J196" s="825"/>
      <c r="M196" s="825"/>
      <c r="N196" s="825"/>
      <c r="O196" s="825"/>
      <c r="P196" s="825"/>
      <c r="Q196" s="825"/>
      <c r="R196" s="825"/>
      <c r="S196" s="825"/>
      <c r="T196" s="825"/>
      <c r="U196" s="825"/>
      <c r="V196" s="825"/>
      <c r="W196" s="825"/>
      <c r="X196" s="825"/>
      <c r="Y196" s="825"/>
      <c r="Z196" s="825"/>
      <c r="AA196" s="825"/>
      <c r="AB196" s="825"/>
      <c r="AC196" s="825"/>
    </row>
    <row r="197" spans="1:29" ht="15.8" customHeight="1" x14ac:dyDescent="0.3">
      <c r="A197" s="825"/>
      <c r="C197" s="825"/>
      <c r="D197" s="21"/>
      <c r="E197" s="17"/>
      <c r="F197" s="825"/>
      <c r="G197" s="825"/>
      <c r="H197" s="21"/>
      <c r="I197" s="825"/>
      <c r="J197" s="825"/>
      <c r="M197" s="825"/>
      <c r="N197" s="825"/>
      <c r="O197" s="825"/>
      <c r="P197" s="825"/>
      <c r="Q197" s="825"/>
      <c r="R197" s="825"/>
      <c r="S197" s="825"/>
      <c r="T197" s="825"/>
      <c r="U197" s="825"/>
      <c r="V197" s="825"/>
      <c r="W197" s="825"/>
      <c r="X197" s="825"/>
      <c r="Y197" s="825"/>
      <c r="Z197" s="825"/>
      <c r="AA197" s="825"/>
      <c r="AB197" s="825"/>
      <c r="AC197" s="825"/>
    </row>
    <row r="198" spans="1:29" ht="15.8" customHeight="1" x14ac:dyDescent="0.3">
      <c r="A198" s="825"/>
      <c r="C198" s="825"/>
      <c r="D198" s="21"/>
      <c r="E198" s="17"/>
      <c r="F198" s="825"/>
      <c r="G198" s="825"/>
      <c r="H198" s="21"/>
      <c r="I198" s="825"/>
      <c r="J198" s="825"/>
      <c r="M198" s="825"/>
      <c r="N198" s="825"/>
      <c r="O198" s="825"/>
      <c r="P198" s="825"/>
      <c r="Q198" s="825"/>
      <c r="R198" s="825"/>
      <c r="S198" s="825"/>
      <c r="T198" s="825"/>
      <c r="U198" s="825"/>
      <c r="V198" s="825"/>
      <c r="W198" s="825"/>
      <c r="X198" s="825"/>
      <c r="Y198" s="825"/>
      <c r="Z198" s="825"/>
      <c r="AA198" s="825"/>
      <c r="AB198" s="825"/>
      <c r="AC198" s="825"/>
    </row>
    <row r="199" spans="1:29" ht="15.8" customHeight="1" x14ac:dyDescent="0.3">
      <c r="A199" s="825"/>
      <c r="C199" s="825"/>
      <c r="D199" s="21"/>
      <c r="E199" s="17"/>
      <c r="F199" s="825"/>
      <c r="G199" s="825"/>
      <c r="H199" s="21"/>
      <c r="I199" s="825"/>
      <c r="J199" s="825"/>
      <c r="M199" s="825"/>
      <c r="N199" s="825"/>
      <c r="O199" s="825"/>
      <c r="P199" s="825"/>
      <c r="Q199" s="825"/>
      <c r="R199" s="825"/>
      <c r="S199" s="825"/>
      <c r="T199" s="825"/>
      <c r="U199" s="825"/>
      <c r="V199" s="825"/>
      <c r="W199" s="825"/>
      <c r="X199" s="825"/>
      <c r="Y199" s="825"/>
      <c r="Z199" s="825"/>
      <c r="AA199" s="825"/>
      <c r="AB199" s="825"/>
      <c r="AC199" s="825"/>
    </row>
    <row r="200" spans="1:29" ht="15.8" customHeight="1" x14ac:dyDescent="0.3">
      <c r="A200" s="825"/>
      <c r="C200" s="825"/>
      <c r="D200" s="21"/>
      <c r="E200" s="17"/>
      <c r="F200" s="825"/>
      <c r="G200" s="825"/>
      <c r="H200" s="21"/>
      <c r="I200" s="825"/>
      <c r="J200" s="825"/>
      <c r="M200" s="825"/>
      <c r="N200" s="825"/>
      <c r="O200" s="825"/>
      <c r="P200" s="825"/>
      <c r="Q200" s="825"/>
      <c r="R200" s="825"/>
      <c r="S200" s="825"/>
      <c r="T200" s="825"/>
      <c r="U200" s="825"/>
      <c r="V200" s="825"/>
      <c r="W200" s="825"/>
      <c r="X200" s="825"/>
      <c r="Y200" s="825"/>
      <c r="Z200" s="825"/>
      <c r="AA200" s="825"/>
      <c r="AB200" s="825"/>
      <c r="AC200" s="825"/>
    </row>
    <row r="201" spans="1:29" ht="15.8" customHeight="1" x14ac:dyDescent="0.3">
      <c r="A201" s="825"/>
      <c r="C201" s="825"/>
      <c r="D201" s="21"/>
      <c r="E201" s="17"/>
      <c r="F201" s="825"/>
      <c r="G201" s="825"/>
      <c r="H201" s="21"/>
      <c r="I201" s="825"/>
      <c r="J201" s="825"/>
      <c r="M201" s="825"/>
      <c r="N201" s="825"/>
      <c r="O201" s="825"/>
      <c r="P201" s="825"/>
      <c r="Q201" s="825"/>
      <c r="R201" s="825"/>
      <c r="S201" s="825"/>
      <c r="T201" s="825"/>
      <c r="U201" s="825"/>
      <c r="V201" s="825"/>
      <c r="W201" s="825"/>
      <c r="X201" s="825"/>
      <c r="Y201" s="825"/>
      <c r="Z201" s="825"/>
      <c r="AA201" s="825"/>
      <c r="AB201" s="825"/>
      <c r="AC201" s="825"/>
    </row>
    <row r="202" spans="1:29" ht="15.8" customHeight="1" x14ac:dyDescent="0.3">
      <c r="A202" s="825"/>
      <c r="C202" s="825"/>
      <c r="D202" s="21"/>
      <c r="E202" s="17"/>
      <c r="F202" s="825"/>
      <c r="G202" s="825"/>
      <c r="H202" s="21"/>
      <c r="I202" s="825"/>
      <c r="J202" s="825"/>
      <c r="M202" s="825"/>
      <c r="N202" s="825"/>
      <c r="O202" s="825"/>
      <c r="P202" s="825"/>
      <c r="Q202" s="825"/>
      <c r="R202" s="825"/>
      <c r="S202" s="825"/>
      <c r="T202" s="825"/>
      <c r="U202" s="825"/>
      <c r="V202" s="825"/>
      <c r="W202" s="825"/>
      <c r="X202" s="825"/>
      <c r="Y202" s="825"/>
      <c r="Z202" s="825"/>
      <c r="AA202" s="825"/>
      <c r="AB202" s="825"/>
      <c r="AC202" s="825"/>
    </row>
    <row r="203" spans="1:29" ht="15.8" customHeight="1" x14ac:dyDescent="0.3">
      <c r="A203" s="825"/>
      <c r="C203" s="825"/>
      <c r="D203" s="21"/>
      <c r="E203" s="17"/>
      <c r="F203" s="825"/>
      <c r="G203" s="825"/>
      <c r="H203" s="21"/>
      <c r="I203" s="825"/>
      <c r="J203" s="825"/>
      <c r="M203" s="825"/>
      <c r="N203" s="825"/>
      <c r="O203" s="825"/>
      <c r="P203" s="825"/>
      <c r="Q203" s="825"/>
      <c r="R203" s="825"/>
      <c r="S203" s="825"/>
      <c r="T203" s="825"/>
      <c r="U203" s="825"/>
      <c r="V203" s="825"/>
      <c r="W203" s="825"/>
      <c r="X203" s="825"/>
      <c r="Y203" s="825"/>
      <c r="Z203" s="825"/>
      <c r="AA203" s="825"/>
      <c r="AB203" s="825"/>
      <c r="AC203" s="825"/>
    </row>
    <row r="204" spans="1:29" ht="15.8" customHeight="1" x14ac:dyDescent="0.3">
      <c r="A204" s="825"/>
      <c r="C204" s="825"/>
      <c r="D204" s="21"/>
      <c r="E204" s="17"/>
      <c r="F204" s="825"/>
      <c r="G204" s="825"/>
      <c r="H204" s="21"/>
      <c r="I204" s="825"/>
      <c r="J204" s="825"/>
      <c r="M204" s="825"/>
      <c r="N204" s="825"/>
      <c r="O204" s="825"/>
      <c r="P204" s="825"/>
      <c r="Q204" s="825"/>
      <c r="R204" s="825"/>
      <c r="S204" s="825"/>
      <c r="T204" s="825"/>
      <c r="U204" s="825"/>
      <c r="V204" s="825"/>
      <c r="W204" s="825"/>
      <c r="X204" s="825"/>
      <c r="Y204" s="825"/>
      <c r="Z204" s="825"/>
      <c r="AA204" s="825"/>
      <c r="AB204" s="825"/>
      <c r="AC204" s="825"/>
    </row>
    <row r="205" spans="1:29" ht="15.8" customHeight="1" x14ac:dyDescent="0.3">
      <c r="A205" s="825"/>
      <c r="C205" s="825"/>
      <c r="D205" s="21"/>
      <c r="E205" s="17"/>
      <c r="F205" s="825"/>
      <c r="G205" s="825"/>
      <c r="H205" s="21"/>
      <c r="I205" s="825"/>
      <c r="J205" s="825"/>
      <c r="M205" s="825"/>
      <c r="N205" s="825"/>
      <c r="O205" s="825"/>
      <c r="P205" s="825"/>
      <c r="Q205" s="825"/>
      <c r="R205" s="825"/>
      <c r="S205" s="825"/>
      <c r="T205" s="825"/>
      <c r="U205" s="825"/>
      <c r="V205" s="825"/>
      <c r="W205" s="825"/>
      <c r="X205" s="825"/>
      <c r="Y205" s="825"/>
      <c r="Z205" s="825"/>
      <c r="AA205" s="825"/>
      <c r="AB205" s="825"/>
      <c r="AC205" s="825"/>
    </row>
    <row r="206" spans="1:29" ht="15.8" customHeight="1" x14ac:dyDescent="0.3">
      <c r="A206" s="825"/>
      <c r="C206" s="825"/>
      <c r="D206" s="21"/>
      <c r="E206" s="17"/>
      <c r="F206" s="825"/>
      <c r="G206" s="825"/>
      <c r="H206" s="21"/>
      <c r="I206" s="825"/>
      <c r="J206" s="825"/>
      <c r="M206" s="825"/>
      <c r="N206" s="825"/>
      <c r="O206" s="825"/>
      <c r="P206" s="825"/>
      <c r="Q206" s="825"/>
      <c r="R206" s="825"/>
      <c r="S206" s="825"/>
      <c r="T206" s="825"/>
      <c r="U206" s="825"/>
      <c r="V206" s="825"/>
      <c r="W206" s="825"/>
      <c r="X206" s="825"/>
      <c r="Y206" s="825"/>
      <c r="Z206" s="825"/>
      <c r="AA206" s="825"/>
      <c r="AB206" s="825"/>
      <c r="AC206" s="825"/>
    </row>
    <row r="207" spans="1:29" ht="15.8" customHeight="1" x14ac:dyDescent="0.3">
      <c r="A207" s="825"/>
      <c r="C207" s="825"/>
      <c r="D207" s="21"/>
      <c r="E207" s="17"/>
      <c r="F207" s="825"/>
      <c r="G207" s="825"/>
      <c r="H207" s="21"/>
      <c r="I207" s="825"/>
      <c r="J207" s="825"/>
      <c r="M207" s="825"/>
      <c r="N207" s="825"/>
      <c r="O207" s="825"/>
      <c r="P207" s="825"/>
      <c r="Q207" s="825"/>
      <c r="R207" s="825"/>
      <c r="S207" s="825"/>
      <c r="T207" s="825"/>
      <c r="U207" s="825"/>
      <c r="V207" s="825"/>
      <c r="W207" s="825"/>
      <c r="X207" s="825"/>
      <c r="Y207" s="825"/>
      <c r="Z207" s="825"/>
      <c r="AA207" s="825"/>
      <c r="AB207" s="825"/>
      <c r="AC207" s="825"/>
    </row>
    <row r="208" spans="1:29" ht="15.8" customHeight="1" x14ac:dyDescent="0.3">
      <c r="A208" s="825"/>
      <c r="C208" s="825"/>
      <c r="D208" s="21"/>
      <c r="E208" s="17"/>
      <c r="F208" s="825"/>
      <c r="G208" s="825"/>
      <c r="H208" s="21"/>
      <c r="I208" s="825"/>
      <c r="J208" s="825"/>
      <c r="M208" s="825"/>
      <c r="N208" s="825"/>
      <c r="O208" s="825"/>
      <c r="P208" s="825"/>
      <c r="Q208" s="825"/>
      <c r="R208" s="825"/>
      <c r="S208" s="825"/>
      <c r="T208" s="825"/>
      <c r="U208" s="825"/>
      <c r="V208" s="825"/>
      <c r="W208" s="825"/>
      <c r="X208" s="825"/>
      <c r="Y208" s="825"/>
      <c r="Z208" s="825"/>
      <c r="AA208" s="825"/>
      <c r="AB208" s="825"/>
      <c r="AC208" s="825"/>
    </row>
    <row r="209" spans="1:29" ht="15.8" customHeight="1" x14ac:dyDescent="0.3">
      <c r="A209" s="825"/>
      <c r="C209" s="825"/>
      <c r="D209" s="21"/>
      <c r="E209" s="17"/>
      <c r="F209" s="825"/>
      <c r="G209" s="825"/>
      <c r="H209" s="21"/>
      <c r="I209" s="825"/>
      <c r="J209" s="825"/>
      <c r="M209" s="825"/>
      <c r="N209" s="825"/>
      <c r="O209" s="825"/>
      <c r="P209" s="825"/>
      <c r="Q209" s="825"/>
      <c r="R209" s="825"/>
      <c r="S209" s="825"/>
      <c r="T209" s="825"/>
      <c r="U209" s="825"/>
      <c r="V209" s="825"/>
      <c r="W209" s="825"/>
      <c r="X209" s="825"/>
      <c r="Y209" s="825"/>
      <c r="Z209" s="825"/>
      <c r="AA209" s="825"/>
      <c r="AB209" s="825"/>
      <c r="AC209" s="825"/>
    </row>
    <row r="210" spans="1:29" ht="15.8" customHeight="1" x14ac:dyDescent="0.3">
      <c r="A210" s="825"/>
      <c r="C210" s="825"/>
      <c r="D210" s="21"/>
      <c r="E210" s="17"/>
      <c r="F210" s="825"/>
      <c r="G210" s="825"/>
      <c r="H210" s="21"/>
      <c r="I210" s="825"/>
      <c r="J210" s="825"/>
      <c r="M210" s="825"/>
      <c r="N210" s="825"/>
      <c r="O210" s="825"/>
      <c r="P210" s="825"/>
      <c r="Q210" s="825"/>
      <c r="R210" s="825"/>
      <c r="S210" s="825"/>
      <c r="T210" s="825"/>
      <c r="U210" s="825"/>
      <c r="V210" s="825"/>
      <c r="W210" s="825"/>
      <c r="X210" s="825"/>
      <c r="Y210" s="825"/>
      <c r="Z210" s="825"/>
      <c r="AA210" s="825"/>
      <c r="AB210" s="825"/>
      <c r="AC210" s="825"/>
    </row>
    <row r="211" spans="1:29" ht="15.8" customHeight="1" x14ac:dyDescent="0.3">
      <c r="A211" s="825"/>
      <c r="C211" s="825"/>
      <c r="D211" s="21"/>
      <c r="E211" s="17"/>
      <c r="F211" s="825"/>
      <c r="G211" s="825"/>
      <c r="H211" s="21"/>
      <c r="I211" s="825"/>
      <c r="J211" s="825"/>
      <c r="M211" s="825"/>
      <c r="N211" s="825"/>
      <c r="O211" s="825"/>
      <c r="P211" s="825"/>
      <c r="Q211" s="825"/>
      <c r="R211" s="825"/>
      <c r="S211" s="825"/>
      <c r="T211" s="825"/>
      <c r="U211" s="825"/>
      <c r="V211" s="825"/>
      <c r="W211" s="825"/>
      <c r="X211" s="825"/>
      <c r="Y211" s="825"/>
      <c r="Z211" s="825"/>
      <c r="AA211" s="825"/>
      <c r="AB211" s="825"/>
      <c r="AC211" s="825"/>
    </row>
    <row r="212" spans="1:29" ht="15.8" customHeight="1" x14ac:dyDescent="0.3">
      <c r="A212" s="825"/>
      <c r="C212" s="825"/>
      <c r="D212" s="21"/>
      <c r="E212" s="17"/>
      <c r="F212" s="825"/>
      <c r="G212" s="825"/>
      <c r="H212" s="21"/>
      <c r="I212" s="825"/>
      <c r="J212" s="825"/>
      <c r="M212" s="825"/>
      <c r="N212" s="825"/>
      <c r="O212" s="825"/>
      <c r="P212" s="825"/>
      <c r="Q212" s="825"/>
      <c r="R212" s="825"/>
      <c r="S212" s="825"/>
      <c r="T212" s="825"/>
      <c r="U212" s="825"/>
      <c r="V212" s="825"/>
      <c r="W212" s="825"/>
      <c r="X212" s="825"/>
      <c r="Y212" s="825"/>
      <c r="Z212" s="825"/>
      <c r="AA212" s="825"/>
      <c r="AB212" s="825"/>
      <c r="AC212" s="825"/>
    </row>
    <row r="213" spans="1:29" ht="15.8" customHeight="1" x14ac:dyDescent="0.3">
      <c r="A213" s="825"/>
      <c r="C213" s="825"/>
      <c r="D213" s="21"/>
      <c r="E213" s="17"/>
      <c r="F213" s="825"/>
      <c r="G213" s="825"/>
      <c r="H213" s="21"/>
      <c r="I213" s="825"/>
      <c r="J213" s="825"/>
      <c r="M213" s="825"/>
      <c r="N213" s="825"/>
      <c r="O213" s="825"/>
      <c r="P213" s="825"/>
      <c r="Q213" s="825"/>
      <c r="R213" s="825"/>
      <c r="S213" s="825"/>
      <c r="T213" s="825"/>
      <c r="U213" s="825"/>
      <c r="V213" s="825"/>
      <c r="W213" s="825"/>
      <c r="X213" s="825"/>
      <c r="Y213" s="825"/>
      <c r="Z213" s="825"/>
      <c r="AA213" s="825"/>
      <c r="AB213" s="825"/>
      <c r="AC213" s="825"/>
    </row>
    <row r="214" spans="1:29" ht="15.8" customHeight="1" x14ac:dyDescent="0.3">
      <c r="A214" s="825"/>
      <c r="C214" s="825"/>
      <c r="D214" s="21"/>
      <c r="E214" s="17"/>
      <c r="F214" s="825"/>
      <c r="G214" s="825"/>
      <c r="H214" s="21"/>
      <c r="I214" s="825"/>
      <c r="J214" s="825"/>
      <c r="M214" s="825"/>
      <c r="N214" s="825"/>
      <c r="O214" s="825"/>
      <c r="P214" s="825"/>
      <c r="Q214" s="825"/>
      <c r="R214" s="825"/>
      <c r="S214" s="825"/>
      <c r="T214" s="825"/>
      <c r="U214" s="825"/>
      <c r="V214" s="825"/>
      <c r="W214" s="825"/>
      <c r="X214" s="825"/>
      <c r="Y214" s="825"/>
      <c r="Z214" s="825"/>
      <c r="AA214" s="825"/>
      <c r="AB214" s="825"/>
      <c r="AC214" s="825"/>
    </row>
    <row r="215" spans="1:29" ht="15.8" customHeight="1" x14ac:dyDescent="0.3">
      <c r="A215" s="825"/>
      <c r="C215" s="825"/>
      <c r="D215" s="21"/>
      <c r="E215" s="17"/>
      <c r="F215" s="825"/>
      <c r="G215" s="825"/>
      <c r="H215" s="21"/>
      <c r="I215" s="825"/>
      <c r="J215" s="825"/>
      <c r="M215" s="825"/>
      <c r="N215" s="825"/>
      <c r="O215" s="825"/>
      <c r="P215" s="825"/>
      <c r="Q215" s="825"/>
      <c r="R215" s="825"/>
      <c r="S215" s="825"/>
      <c r="T215" s="825"/>
      <c r="U215" s="825"/>
      <c r="V215" s="825"/>
      <c r="W215" s="825"/>
      <c r="X215" s="825"/>
      <c r="Y215" s="825"/>
      <c r="Z215" s="825"/>
      <c r="AA215" s="825"/>
      <c r="AB215" s="825"/>
      <c r="AC215" s="825"/>
    </row>
    <row r="216" spans="1:29" ht="15.8" customHeight="1" x14ac:dyDescent="0.3">
      <c r="A216" s="825"/>
      <c r="C216" s="825"/>
      <c r="D216" s="21"/>
      <c r="E216" s="17"/>
      <c r="F216" s="825"/>
      <c r="G216" s="825"/>
      <c r="H216" s="21"/>
      <c r="I216" s="825"/>
      <c r="J216" s="825"/>
      <c r="M216" s="825"/>
      <c r="N216" s="825"/>
      <c r="O216" s="825"/>
      <c r="P216" s="825"/>
      <c r="Q216" s="825"/>
      <c r="R216" s="825"/>
      <c r="S216" s="825"/>
      <c r="T216" s="825"/>
      <c r="U216" s="825"/>
      <c r="V216" s="825"/>
      <c r="W216" s="825"/>
      <c r="X216" s="825"/>
      <c r="Y216" s="825"/>
      <c r="Z216" s="825"/>
      <c r="AA216" s="825"/>
      <c r="AB216" s="825"/>
      <c r="AC216" s="825"/>
    </row>
    <row r="217" spans="1:29" ht="15.8" customHeight="1" x14ac:dyDescent="0.3">
      <c r="A217" s="825"/>
      <c r="C217" s="825"/>
      <c r="D217" s="21"/>
      <c r="E217" s="17"/>
      <c r="F217" s="825"/>
      <c r="G217" s="825"/>
      <c r="H217" s="21"/>
      <c r="I217" s="825"/>
      <c r="J217" s="825"/>
      <c r="M217" s="825"/>
      <c r="N217" s="825"/>
      <c r="O217" s="825"/>
      <c r="P217" s="825"/>
      <c r="Q217" s="825"/>
      <c r="R217" s="825"/>
      <c r="S217" s="825"/>
      <c r="T217" s="825"/>
      <c r="U217" s="825"/>
      <c r="V217" s="825"/>
      <c r="W217" s="825"/>
      <c r="X217" s="825"/>
      <c r="Y217" s="825"/>
      <c r="Z217" s="825"/>
      <c r="AA217" s="825"/>
      <c r="AB217" s="825"/>
      <c r="AC217" s="825"/>
    </row>
    <row r="218" spans="1:29" ht="15.8" customHeight="1" x14ac:dyDescent="0.3">
      <c r="A218" s="825"/>
      <c r="C218" s="825"/>
      <c r="D218" s="21"/>
      <c r="E218" s="17"/>
      <c r="F218" s="825"/>
      <c r="G218" s="825"/>
      <c r="H218" s="21"/>
      <c r="I218" s="825"/>
      <c r="J218" s="825"/>
      <c r="M218" s="825"/>
      <c r="N218" s="825"/>
      <c r="O218" s="825"/>
      <c r="P218" s="825"/>
      <c r="Q218" s="825"/>
      <c r="R218" s="825"/>
      <c r="S218" s="825"/>
      <c r="T218" s="825"/>
      <c r="U218" s="825"/>
      <c r="V218" s="825"/>
      <c r="W218" s="825"/>
      <c r="X218" s="825"/>
      <c r="Y218" s="825"/>
      <c r="Z218" s="825"/>
      <c r="AA218" s="825"/>
      <c r="AB218" s="825"/>
      <c r="AC218" s="825"/>
    </row>
    <row r="219" spans="1:29" ht="15.8" customHeight="1" x14ac:dyDescent="0.3">
      <c r="A219" s="825"/>
      <c r="C219" s="825"/>
      <c r="D219" s="21"/>
      <c r="E219" s="17"/>
      <c r="F219" s="825"/>
      <c r="G219" s="825"/>
      <c r="H219" s="21"/>
      <c r="I219" s="825"/>
      <c r="J219" s="825"/>
      <c r="M219" s="825"/>
      <c r="N219" s="825"/>
      <c r="O219" s="825"/>
      <c r="P219" s="825"/>
      <c r="Q219" s="825"/>
      <c r="R219" s="825"/>
      <c r="S219" s="825"/>
      <c r="T219" s="825"/>
      <c r="U219" s="825"/>
      <c r="V219" s="825"/>
      <c r="W219" s="825"/>
      <c r="X219" s="825"/>
      <c r="Y219" s="825"/>
      <c r="Z219" s="825"/>
      <c r="AA219" s="825"/>
      <c r="AB219" s="825"/>
      <c r="AC219" s="825"/>
    </row>
    <row r="220" spans="1:29" ht="15.8" customHeight="1" x14ac:dyDescent="0.3">
      <c r="A220" s="825"/>
      <c r="C220" s="825"/>
      <c r="D220" s="21"/>
      <c r="E220" s="17"/>
      <c r="F220" s="825"/>
      <c r="G220" s="825"/>
      <c r="H220" s="21"/>
      <c r="I220" s="825"/>
      <c r="J220" s="825"/>
      <c r="M220" s="825"/>
      <c r="N220" s="825"/>
      <c r="O220" s="825"/>
      <c r="P220" s="825"/>
      <c r="Q220" s="825"/>
      <c r="R220" s="825"/>
      <c r="S220" s="825"/>
      <c r="T220" s="825"/>
      <c r="U220" s="825"/>
      <c r="V220" s="825"/>
      <c r="W220" s="825"/>
      <c r="X220" s="825"/>
      <c r="Y220" s="825"/>
      <c r="Z220" s="825"/>
      <c r="AA220" s="825"/>
      <c r="AB220" s="825"/>
      <c r="AC220" s="825"/>
    </row>
    <row r="221" spans="1:29" ht="15.8" customHeight="1" x14ac:dyDescent="0.3">
      <c r="A221" s="825"/>
      <c r="C221" s="825"/>
      <c r="D221" s="21"/>
      <c r="E221" s="17"/>
      <c r="F221" s="825"/>
      <c r="G221" s="825"/>
      <c r="H221" s="21"/>
      <c r="I221" s="825"/>
      <c r="J221" s="825"/>
      <c r="M221" s="825"/>
      <c r="N221" s="825"/>
      <c r="O221" s="825"/>
      <c r="P221" s="825"/>
      <c r="Q221" s="825"/>
      <c r="R221" s="825"/>
      <c r="S221" s="825"/>
      <c r="T221" s="825"/>
      <c r="U221" s="825"/>
      <c r="V221" s="825"/>
      <c r="W221" s="825"/>
      <c r="X221" s="825"/>
      <c r="Y221" s="825"/>
      <c r="Z221" s="825"/>
      <c r="AA221" s="825"/>
      <c r="AB221" s="825"/>
      <c r="AC221" s="825"/>
    </row>
    <row r="222" spans="1:29" ht="15.8" customHeight="1" x14ac:dyDescent="0.3">
      <c r="A222" s="825"/>
      <c r="C222" s="825"/>
      <c r="D222" s="21"/>
      <c r="E222" s="17"/>
      <c r="F222" s="825"/>
      <c r="G222" s="825"/>
      <c r="H222" s="21"/>
      <c r="I222" s="825"/>
      <c r="J222" s="825"/>
      <c r="M222" s="825"/>
      <c r="N222" s="825"/>
      <c r="O222" s="825"/>
      <c r="P222" s="825"/>
      <c r="Q222" s="825"/>
      <c r="R222" s="825"/>
      <c r="S222" s="825"/>
      <c r="T222" s="825"/>
      <c r="U222" s="825"/>
      <c r="V222" s="825"/>
      <c r="W222" s="825"/>
      <c r="X222" s="825"/>
      <c r="Y222" s="825"/>
      <c r="Z222" s="825"/>
      <c r="AA222" s="825"/>
      <c r="AB222" s="825"/>
      <c r="AC222" s="825"/>
    </row>
    <row r="223" spans="1:29" ht="15.8" customHeight="1" x14ac:dyDescent="0.3">
      <c r="A223" s="825"/>
      <c r="C223" s="825"/>
      <c r="D223" s="21"/>
      <c r="E223" s="17"/>
      <c r="F223" s="825"/>
      <c r="G223" s="825"/>
      <c r="H223" s="21"/>
      <c r="I223" s="825"/>
      <c r="J223" s="825"/>
      <c r="M223" s="825"/>
      <c r="N223" s="825"/>
      <c r="O223" s="825"/>
      <c r="P223" s="825"/>
      <c r="Q223" s="825"/>
      <c r="R223" s="825"/>
      <c r="S223" s="825"/>
      <c r="T223" s="825"/>
      <c r="U223" s="825"/>
      <c r="V223" s="825"/>
      <c r="W223" s="825"/>
      <c r="X223" s="825"/>
      <c r="Y223" s="825"/>
      <c r="Z223" s="825"/>
      <c r="AA223" s="825"/>
      <c r="AB223" s="825"/>
      <c r="AC223" s="825"/>
    </row>
    <row r="224" spans="1:29" ht="15.8" customHeight="1" x14ac:dyDescent="0.3">
      <c r="A224" s="825"/>
      <c r="C224" s="825"/>
      <c r="D224" s="21"/>
      <c r="E224" s="17"/>
      <c r="F224" s="825"/>
      <c r="G224" s="825"/>
      <c r="H224" s="21"/>
      <c r="I224" s="825"/>
      <c r="J224" s="825"/>
      <c r="M224" s="825"/>
      <c r="N224" s="825"/>
      <c r="O224" s="825"/>
      <c r="P224" s="825"/>
      <c r="Q224" s="825"/>
      <c r="R224" s="825"/>
      <c r="S224" s="825"/>
      <c r="T224" s="825"/>
      <c r="U224" s="825"/>
      <c r="V224" s="825"/>
      <c r="W224" s="825"/>
      <c r="X224" s="825"/>
      <c r="Y224" s="825"/>
      <c r="Z224" s="825"/>
      <c r="AA224" s="825"/>
      <c r="AB224" s="825"/>
      <c r="AC224" s="825"/>
    </row>
    <row r="225" spans="1:29" ht="15.8" customHeight="1" x14ac:dyDescent="0.3">
      <c r="A225" s="825"/>
      <c r="C225" s="825"/>
      <c r="D225" s="21"/>
      <c r="E225" s="17"/>
      <c r="F225" s="825"/>
      <c r="G225" s="825"/>
      <c r="H225" s="21"/>
      <c r="I225" s="825"/>
      <c r="J225" s="825"/>
      <c r="M225" s="825"/>
      <c r="N225" s="825"/>
      <c r="O225" s="825"/>
      <c r="P225" s="825"/>
      <c r="Q225" s="825"/>
      <c r="R225" s="825"/>
      <c r="S225" s="825"/>
      <c r="T225" s="825"/>
      <c r="U225" s="825"/>
      <c r="V225" s="825"/>
      <c r="W225" s="825"/>
      <c r="X225" s="825"/>
      <c r="Y225" s="825"/>
      <c r="Z225" s="825"/>
      <c r="AA225" s="825"/>
      <c r="AB225" s="825"/>
      <c r="AC225" s="825"/>
    </row>
    <row r="226" spans="1:29" ht="15.8" customHeight="1" x14ac:dyDescent="0.3">
      <c r="A226" s="825"/>
      <c r="C226" s="825"/>
      <c r="D226" s="21"/>
      <c r="E226" s="17"/>
      <c r="F226" s="825"/>
      <c r="G226" s="825"/>
      <c r="H226" s="21"/>
      <c r="I226" s="825"/>
      <c r="J226" s="825"/>
      <c r="M226" s="825"/>
      <c r="N226" s="825"/>
      <c r="O226" s="825"/>
      <c r="P226" s="825"/>
      <c r="Q226" s="825"/>
      <c r="R226" s="825"/>
      <c r="S226" s="825"/>
      <c r="T226" s="825"/>
      <c r="U226" s="825"/>
      <c r="V226" s="825"/>
      <c r="W226" s="825"/>
      <c r="X226" s="825"/>
      <c r="Y226" s="825"/>
      <c r="Z226" s="825"/>
      <c r="AA226" s="825"/>
      <c r="AB226" s="825"/>
      <c r="AC226" s="825"/>
    </row>
    <row r="227" spans="1:29" ht="15.8" customHeight="1" x14ac:dyDescent="0.3">
      <c r="A227" s="825"/>
      <c r="C227" s="825"/>
      <c r="D227" s="21"/>
      <c r="E227" s="17"/>
      <c r="F227" s="825"/>
      <c r="G227" s="825"/>
      <c r="H227" s="21"/>
      <c r="I227" s="825"/>
      <c r="J227" s="825"/>
      <c r="M227" s="825"/>
      <c r="N227" s="825"/>
      <c r="O227" s="825"/>
      <c r="P227" s="825"/>
      <c r="Q227" s="825"/>
      <c r="R227" s="825"/>
      <c r="S227" s="825"/>
      <c r="T227" s="825"/>
      <c r="U227" s="825"/>
      <c r="V227" s="825"/>
      <c r="W227" s="825"/>
      <c r="X227" s="825"/>
      <c r="Y227" s="825"/>
      <c r="Z227" s="825"/>
      <c r="AA227" s="825"/>
      <c r="AB227" s="825"/>
      <c r="AC227" s="825"/>
    </row>
    <row r="228" spans="1:29" ht="15.8" customHeight="1" x14ac:dyDescent="0.3">
      <c r="A228" s="825"/>
      <c r="C228" s="825"/>
      <c r="D228" s="21"/>
      <c r="E228" s="17"/>
      <c r="F228" s="825"/>
      <c r="G228" s="825"/>
      <c r="H228" s="21"/>
      <c r="I228" s="825"/>
      <c r="J228" s="825"/>
      <c r="M228" s="825"/>
      <c r="N228" s="825"/>
      <c r="O228" s="825"/>
      <c r="P228" s="825"/>
      <c r="Q228" s="825"/>
      <c r="R228" s="825"/>
      <c r="S228" s="825"/>
      <c r="T228" s="825"/>
      <c r="U228" s="825"/>
      <c r="V228" s="825"/>
      <c r="W228" s="825"/>
      <c r="X228" s="825"/>
      <c r="Y228" s="825"/>
      <c r="Z228" s="825"/>
      <c r="AA228" s="825"/>
      <c r="AB228" s="825"/>
      <c r="AC228" s="825"/>
    </row>
    <row r="229" spans="1:29" ht="15.8" customHeight="1" x14ac:dyDescent="0.3">
      <c r="A229" s="825"/>
      <c r="C229" s="825"/>
      <c r="D229" s="21"/>
      <c r="E229" s="17"/>
      <c r="F229" s="825"/>
      <c r="G229" s="825"/>
      <c r="H229" s="21"/>
      <c r="I229" s="825"/>
      <c r="J229" s="825"/>
      <c r="M229" s="825"/>
      <c r="N229" s="825"/>
      <c r="O229" s="825"/>
      <c r="P229" s="825"/>
      <c r="Q229" s="825"/>
      <c r="R229" s="825"/>
      <c r="S229" s="825"/>
      <c r="T229" s="825"/>
      <c r="U229" s="825"/>
      <c r="V229" s="825"/>
      <c r="W229" s="825"/>
      <c r="X229" s="825"/>
      <c r="Y229" s="825"/>
      <c r="Z229" s="825"/>
      <c r="AA229" s="825"/>
      <c r="AB229" s="825"/>
      <c r="AC229" s="825"/>
    </row>
    <row r="230" spans="1:29" ht="15.8" customHeight="1" x14ac:dyDescent="0.3">
      <c r="A230" s="825"/>
      <c r="C230" s="825"/>
      <c r="D230" s="21"/>
      <c r="E230" s="17"/>
      <c r="F230" s="825"/>
      <c r="G230" s="825"/>
      <c r="H230" s="21"/>
      <c r="I230" s="825"/>
      <c r="J230" s="825"/>
      <c r="M230" s="825"/>
      <c r="N230" s="825"/>
      <c r="O230" s="825"/>
      <c r="P230" s="825"/>
      <c r="Q230" s="825"/>
      <c r="R230" s="825"/>
      <c r="S230" s="825"/>
      <c r="T230" s="825"/>
      <c r="U230" s="825"/>
      <c r="V230" s="825"/>
      <c r="W230" s="825"/>
      <c r="X230" s="825"/>
      <c r="Y230" s="825"/>
      <c r="Z230" s="825"/>
      <c r="AA230" s="825"/>
      <c r="AB230" s="825"/>
      <c r="AC230" s="825"/>
    </row>
    <row r="231" spans="1:29" ht="15.8" customHeight="1" x14ac:dyDescent="0.3">
      <c r="A231" s="825"/>
      <c r="C231" s="825"/>
      <c r="D231" s="21"/>
      <c r="E231" s="17"/>
      <c r="F231" s="825"/>
      <c r="G231" s="825"/>
      <c r="H231" s="21"/>
      <c r="I231" s="825"/>
      <c r="J231" s="825"/>
      <c r="M231" s="825"/>
      <c r="N231" s="825"/>
      <c r="O231" s="825"/>
      <c r="P231" s="825"/>
      <c r="Q231" s="825"/>
      <c r="R231" s="825"/>
      <c r="S231" s="825"/>
      <c r="T231" s="825"/>
      <c r="U231" s="825"/>
      <c r="V231" s="825"/>
      <c r="W231" s="825"/>
      <c r="X231" s="825"/>
      <c r="Y231" s="825"/>
      <c r="Z231" s="825"/>
      <c r="AA231" s="825"/>
      <c r="AB231" s="825"/>
      <c r="AC231" s="825"/>
    </row>
    <row r="232" spans="1:29" ht="15.8" customHeight="1" x14ac:dyDescent="0.3">
      <c r="A232" s="825"/>
      <c r="C232" s="825"/>
      <c r="D232" s="21"/>
      <c r="E232" s="17"/>
      <c r="F232" s="825"/>
      <c r="G232" s="825"/>
      <c r="H232" s="21"/>
      <c r="I232" s="825"/>
      <c r="J232" s="825"/>
      <c r="M232" s="825"/>
      <c r="N232" s="825"/>
      <c r="O232" s="825"/>
      <c r="P232" s="825"/>
      <c r="Q232" s="825"/>
      <c r="R232" s="825"/>
      <c r="S232" s="825"/>
      <c r="T232" s="825"/>
      <c r="U232" s="825"/>
      <c r="V232" s="825"/>
      <c r="W232" s="825"/>
      <c r="X232" s="825"/>
      <c r="Y232" s="825"/>
      <c r="Z232" s="825"/>
      <c r="AA232" s="825"/>
      <c r="AB232" s="825"/>
      <c r="AC232" s="825"/>
    </row>
    <row r="233" spans="1:29" ht="15.8" customHeight="1" x14ac:dyDescent="0.3">
      <c r="A233" s="825"/>
      <c r="C233" s="825"/>
      <c r="D233" s="21"/>
      <c r="E233" s="17"/>
      <c r="F233" s="825"/>
      <c r="G233" s="825"/>
      <c r="H233" s="21"/>
      <c r="I233" s="825"/>
      <c r="J233" s="825"/>
      <c r="M233" s="825"/>
      <c r="N233" s="825"/>
      <c r="O233" s="825"/>
      <c r="P233" s="825"/>
      <c r="Q233" s="825"/>
      <c r="R233" s="825"/>
      <c r="S233" s="825"/>
      <c r="T233" s="825"/>
      <c r="U233" s="825"/>
      <c r="V233" s="825"/>
      <c r="W233" s="825"/>
      <c r="X233" s="825"/>
      <c r="Y233" s="825"/>
      <c r="Z233" s="825"/>
      <c r="AA233" s="825"/>
      <c r="AB233" s="825"/>
      <c r="AC233" s="825"/>
    </row>
    <row r="234" spans="1:29" ht="15.8" customHeight="1" x14ac:dyDescent="0.3">
      <c r="A234" s="825"/>
      <c r="C234" s="825"/>
      <c r="D234" s="21"/>
      <c r="E234" s="17"/>
      <c r="F234" s="825"/>
      <c r="G234" s="825"/>
      <c r="H234" s="21"/>
      <c r="I234" s="825"/>
      <c r="J234" s="825"/>
      <c r="M234" s="825"/>
      <c r="N234" s="825"/>
      <c r="O234" s="825"/>
      <c r="P234" s="825"/>
      <c r="Q234" s="825"/>
      <c r="R234" s="825"/>
      <c r="S234" s="825"/>
      <c r="T234" s="825"/>
      <c r="U234" s="825"/>
      <c r="V234" s="825"/>
      <c r="W234" s="825"/>
      <c r="X234" s="825"/>
      <c r="Y234" s="825"/>
      <c r="Z234" s="825"/>
      <c r="AA234" s="825"/>
      <c r="AB234" s="825"/>
      <c r="AC234" s="825"/>
    </row>
    <row r="235" spans="1:29" ht="15.8" customHeight="1" x14ac:dyDescent="0.3">
      <c r="A235" s="825"/>
      <c r="C235" s="825"/>
      <c r="D235" s="21"/>
      <c r="E235" s="17"/>
      <c r="F235" s="825"/>
      <c r="G235" s="825"/>
      <c r="H235" s="21"/>
      <c r="I235" s="825"/>
      <c r="J235" s="825"/>
      <c r="M235" s="825"/>
      <c r="N235" s="825"/>
      <c r="O235" s="825"/>
      <c r="P235" s="825"/>
      <c r="Q235" s="825"/>
      <c r="R235" s="825"/>
      <c r="S235" s="825"/>
      <c r="T235" s="825"/>
      <c r="U235" s="825"/>
      <c r="V235" s="825"/>
      <c r="W235" s="825"/>
      <c r="X235" s="825"/>
      <c r="Y235" s="825"/>
      <c r="Z235" s="825"/>
      <c r="AA235" s="825"/>
      <c r="AB235" s="825"/>
      <c r="AC235" s="825"/>
    </row>
    <row r="236" spans="1:29" ht="15.8" customHeight="1" x14ac:dyDescent="0.3">
      <c r="A236" s="825"/>
      <c r="C236" s="825"/>
      <c r="D236" s="21"/>
      <c r="E236" s="17"/>
      <c r="F236" s="825"/>
      <c r="G236" s="825"/>
      <c r="H236" s="21"/>
      <c r="I236" s="825"/>
      <c r="J236" s="825"/>
      <c r="M236" s="825"/>
      <c r="N236" s="825"/>
      <c r="O236" s="825"/>
      <c r="P236" s="825"/>
      <c r="Q236" s="825"/>
      <c r="R236" s="825"/>
      <c r="S236" s="825"/>
      <c r="T236" s="825"/>
      <c r="U236" s="825"/>
      <c r="V236" s="825"/>
      <c r="W236" s="825"/>
      <c r="X236" s="825"/>
      <c r="Y236" s="825"/>
      <c r="Z236" s="825"/>
      <c r="AA236" s="825"/>
      <c r="AB236" s="825"/>
      <c r="AC236" s="825"/>
    </row>
    <row r="237" spans="1:29" ht="15.8" customHeight="1" x14ac:dyDescent="0.3">
      <c r="A237" s="825"/>
      <c r="C237" s="825"/>
      <c r="D237" s="21"/>
      <c r="E237" s="17"/>
      <c r="F237" s="825"/>
      <c r="G237" s="825"/>
      <c r="H237" s="21"/>
      <c r="I237" s="825"/>
      <c r="J237" s="825"/>
      <c r="M237" s="825"/>
      <c r="N237" s="825"/>
      <c r="O237" s="825"/>
      <c r="P237" s="825"/>
      <c r="Q237" s="825"/>
      <c r="R237" s="825"/>
      <c r="S237" s="825"/>
      <c r="T237" s="825"/>
      <c r="U237" s="825"/>
      <c r="V237" s="825"/>
      <c r="W237" s="825"/>
      <c r="X237" s="825"/>
      <c r="Y237" s="825"/>
      <c r="Z237" s="825"/>
      <c r="AA237" s="825"/>
      <c r="AB237" s="825"/>
      <c r="AC237" s="825"/>
    </row>
    <row r="238" spans="1:29" ht="15.8" customHeight="1" x14ac:dyDescent="0.3">
      <c r="A238" s="825"/>
      <c r="C238" s="825"/>
      <c r="D238" s="21"/>
      <c r="E238" s="17"/>
      <c r="F238" s="825"/>
      <c r="G238" s="825"/>
      <c r="H238" s="21"/>
      <c r="I238" s="825"/>
      <c r="J238" s="825"/>
      <c r="M238" s="825"/>
      <c r="N238" s="825"/>
      <c r="O238" s="825"/>
      <c r="P238" s="825"/>
      <c r="Q238" s="825"/>
      <c r="R238" s="825"/>
      <c r="S238" s="825"/>
      <c r="T238" s="825"/>
      <c r="U238" s="825"/>
      <c r="V238" s="825"/>
      <c r="W238" s="825"/>
      <c r="X238" s="825"/>
      <c r="Y238" s="825"/>
      <c r="Z238" s="825"/>
      <c r="AA238" s="825"/>
      <c r="AB238" s="825"/>
      <c r="AC238" s="825"/>
    </row>
    <row r="239" spans="1:29" ht="15.8" customHeight="1" x14ac:dyDescent="0.3">
      <c r="A239" s="825"/>
      <c r="C239" s="825"/>
      <c r="D239" s="21"/>
      <c r="E239" s="17"/>
      <c r="F239" s="825"/>
      <c r="G239" s="825"/>
      <c r="H239" s="21"/>
      <c r="I239" s="825"/>
      <c r="J239" s="825"/>
      <c r="M239" s="825"/>
      <c r="N239" s="825"/>
      <c r="O239" s="825"/>
      <c r="P239" s="825"/>
      <c r="Q239" s="825"/>
      <c r="R239" s="825"/>
      <c r="S239" s="825"/>
      <c r="T239" s="825"/>
      <c r="U239" s="825"/>
      <c r="V239" s="825"/>
      <c r="W239" s="825"/>
      <c r="X239" s="825"/>
      <c r="Y239" s="825"/>
      <c r="Z239" s="825"/>
      <c r="AA239" s="825"/>
      <c r="AB239" s="825"/>
      <c r="AC239" s="825"/>
    </row>
    <row r="240" spans="1:29" ht="15.8" customHeight="1" x14ac:dyDescent="0.3">
      <c r="A240" s="825"/>
      <c r="C240" s="825"/>
      <c r="D240" s="21"/>
      <c r="E240" s="17"/>
      <c r="F240" s="825"/>
      <c r="G240" s="825"/>
      <c r="H240" s="21"/>
      <c r="I240" s="825"/>
      <c r="J240" s="825"/>
      <c r="M240" s="825"/>
      <c r="N240" s="825"/>
      <c r="O240" s="825"/>
      <c r="P240" s="825"/>
      <c r="Q240" s="825"/>
      <c r="R240" s="825"/>
      <c r="S240" s="825"/>
      <c r="T240" s="825"/>
      <c r="U240" s="825"/>
      <c r="V240" s="825"/>
      <c r="W240" s="825"/>
      <c r="X240" s="825"/>
      <c r="Y240" s="825"/>
      <c r="Z240" s="825"/>
      <c r="AA240" s="825"/>
      <c r="AB240" s="825"/>
      <c r="AC240" s="825"/>
    </row>
    <row r="241" spans="1:29" ht="15.8" customHeight="1" x14ac:dyDescent="0.3">
      <c r="A241" s="825"/>
      <c r="C241" s="825"/>
      <c r="D241" s="21"/>
      <c r="E241" s="17"/>
      <c r="F241" s="825"/>
      <c r="G241" s="825"/>
      <c r="H241" s="21"/>
      <c r="I241" s="825"/>
      <c r="J241" s="825"/>
      <c r="M241" s="825"/>
      <c r="N241" s="825"/>
      <c r="O241" s="825"/>
      <c r="P241" s="825"/>
      <c r="Q241" s="825"/>
      <c r="R241" s="825"/>
      <c r="S241" s="825"/>
      <c r="T241" s="825"/>
      <c r="U241" s="825"/>
      <c r="V241" s="825"/>
      <c r="W241" s="825"/>
      <c r="X241" s="825"/>
      <c r="Y241" s="825"/>
      <c r="Z241" s="825"/>
      <c r="AA241" s="825"/>
      <c r="AB241" s="825"/>
      <c r="AC241" s="825"/>
    </row>
    <row r="242" spans="1:29" ht="15.8" customHeight="1" x14ac:dyDescent="0.3">
      <c r="A242" s="825"/>
      <c r="C242" s="825"/>
      <c r="D242" s="21"/>
      <c r="E242" s="17"/>
      <c r="F242" s="825"/>
      <c r="G242" s="825"/>
      <c r="H242" s="21"/>
      <c r="I242" s="825"/>
      <c r="J242" s="825"/>
      <c r="M242" s="825"/>
      <c r="N242" s="825"/>
      <c r="O242" s="825"/>
      <c r="P242" s="825"/>
      <c r="Q242" s="825"/>
      <c r="R242" s="825"/>
      <c r="S242" s="825"/>
      <c r="T242" s="825"/>
      <c r="U242" s="825"/>
      <c r="V242" s="825"/>
      <c r="W242" s="825"/>
      <c r="X242" s="825"/>
      <c r="Y242" s="825"/>
      <c r="Z242" s="825"/>
      <c r="AA242" s="825"/>
      <c r="AB242" s="825"/>
      <c r="AC242" s="825"/>
    </row>
    <row r="243" spans="1:29" ht="15.8" customHeight="1" x14ac:dyDescent="0.3">
      <c r="A243" s="825"/>
      <c r="C243" s="825"/>
      <c r="D243" s="21"/>
      <c r="E243" s="17"/>
      <c r="F243" s="825"/>
      <c r="G243" s="825"/>
      <c r="H243" s="21"/>
      <c r="I243" s="825"/>
      <c r="J243" s="825"/>
      <c r="M243" s="825"/>
      <c r="N243" s="825"/>
      <c r="O243" s="825"/>
      <c r="P243" s="825"/>
      <c r="Q243" s="825"/>
      <c r="R243" s="825"/>
      <c r="S243" s="825"/>
      <c r="T243" s="825"/>
      <c r="U243" s="825"/>
      <c r="V243" s="825"/>
      <c r="W243" s="825"/>
      <c r="X243" s="825"/>
      <c r="Y243" s="825"/>
      <c r="Z243" s="825"/>
      <c r="AA243" s="825"/>
      <c r="AB243" s="825"/>
      <c r="AC243" s="825"/>
    </row>
    <row r="244" spans="1:29" ht="15.8" customHeight="1" x14ac:dyDescent="0.3">
      <c r="A244" s="825"/>
      <c r="C244" s="825"/>
      <c r="D244" s="21"/>
      <c r="E244" s="17"/>
      <c r="F244" s="825"/>
      <c r="G244" s="825"/>
      <c r="H244" s="21"/>
      <c r="I244" s="825"/>
      <c r="J244" s="825"/>
      <c r="M244" s="825"/>
      <c r="N244" s="825"/>
      <c r="O244" s="825"/>
      <c r="P244" s="825"/>
      <c r="Q244" s="825"/>
      <c r="R244" s="825"/>
      <c r="S244" s="825"/>
      <c r="T244" s="825"/>
      <c r="U244" s="825"/>
      <c r="V244" s="825"/>
      <c r="W244" s="825"/>
      <c r="X244" s="825"/>
      <c r="Y244" s="825"/>
      <c r="Z244" s="825"/>
      <c r="AA244" s="825"/>
      <c r="AB244" s="825"/>
      <c r="AC244" s="825"/>
    </row>
    <row r="245" spans="1:29" ht="15.8" customHeight="1" x14ac:dyDescent="0.3">
      <c r="A245" s="825"/>
      <c r="C245" s="825"/>
      <c r="D245" s="21"/>
      <c r="E245" s="17"/>
      <c r="F245" s="825"/>
      <c r="G245" s="825"/>
      <c r="H245" s="21"/>
      <c r="I245" s="825"/>
      <c r="J245" s="825"/>
      <c r="M245" s="825"/>
      <c r="N245" s="825"/>
      <c r="O245" s="825"/>
      <c r="P245" s="825"/>
      <c r="Q245" s="825"/>
      <c r="R245" s="825"/>
      <c r="S245" s="825"/>
      <c r="T245" s="825"/>
      <c r="U245" s="825"/>
      <c r="V245" s="825"/>
      <c r="W245" s="825"/>
      <c r="X245" s="825"/>
      <c r="Y245" s="825"/>
      <c r="Z245" s="825"/>
      <c r="AA245" s="825"/>
      <c r="AB245" s="825"/>
      <c r="AC245" s="825"/>
    </row>
    <row r="246" spans="1:29" ht="15.8" customHeight="1" x14ac:dyDescent="0.3">
      <c r="A246" s="825"/>
      <c r="C246" s="825"/>
      <c r="D246" s="21"/>
      <c r="E246" s="17"/>
      <c r="F246" s="825"/>
      <c r="G246" s="825"/>
      <c r="H246" s="21"/>
      <c r="I246" s="825"/>
      <c r="J246" s="825"/>
      <c r="M246" s="825"/>
      <c r="N246" s="825"/>
      <c r="O246" s="825"/>
      <c r="P246" s="825"/>
      <c r="Q246" s="825"/>
      <c r="R246" s="825"/>
      <c r="S246" s="825"/>
      <c r="T246" s="825"/>
      <c r="U246" s="825"/>
      <c r="V246" s="825"/>
      <c r="W246" s="825"/>
      <c r="X246" s="825"/>
      <c r="Y246" s="825"/>
      <c r="Z246" s="825"/>
      <c r="AA246" s="825"/>
      <c r="AB246" s="825"/>
      <c r="AC246" s="825"/>
    </row>
    <row r="247" spans="1:29" ht="15.8" customHeight="1" x14ac:dyDescent="0.3">
      <c r="A247" s="825"/>
      <c r="C247" s="825"/>
      <c r="D247" s="21"/>
      <c r="E247" s="17"/>
      <c r="F247" s="825"/>
      <c r="G247" s="825"/>
      <c r="H247" s="21"/>
      <c r="I247" s="825"/>
      <c r="J247" s="825"/>
      <c r="M247" s="825"/>
      <c r="N247" s="825"/>
      <c r="O247" s="825"/>
      <c r="P247" s="825"/>
      <c r="Q247" s="825"/>
      <c r="R247" s="825"/>
      <c r="S247" s="825"/>
      <c r="T247" s="825"/>
      <c r="U247" s="825"/>
      <c r="V247" s="825"/>
      <c r="W247" s="825"/>
      <c r="X247" s="825"/>
      <c r="Y247" s="825"/>
      <c r="Z247" s="825"/>
      <c r="AA247" s="825"/>
      <c r="AB247" s="825"/>
      <c r="AC247" s="825"/>
    </row>
    <row r="248" spans="1:29" ht="15.8" customHeight="1" x14ac:dyDescent="0.3">
      <c r="A248" s="825"/>
      <c r="C248" s="825"/>
      <c r="D248" s="21"/>
      <c r="E248" s="17"/>
      <c r="F248" s="825"/>
      <c r="G248" s="825"/>
      <c r="H248" s="21"/>
      <c r="I248" s="825"/>
      <c r="J248" s="825"/>
      <c r="M248" s="825"/>
      <c r="N248" s="825"/>
      <c r="O248" s="825"/>
      <c r="P248" s="825"/>
      <c r="Q248" s="825"/>
      <c r="R248" s="825"/>
      <c r="S248" s="825"/>
      <c r="T248" s="825"/>
      <c r="U248" s="825"/>
      <c r="V248" s="825"/>
      <c r="W248" s="825"/>
      <c r="X248" s="825"/>
      <c r="Y248" s="825"/>
      <c r="Z248" s="825"/>
      <c r="AA248" s="825"/>
      <c r="AB248" s="825"/>
      <c r="AC248" s="825"/>
    </row>
    <row r="249" spans="1:29" ht="15.8" customHeight="1" x14ac:dyDescent="0.3">
      <c r="A249" s="825"/>
      <c r="C249" s="825"/>
      <c r="D249" s="21"/>
      <c r="E249" s="17"/>
      <c r="F249" s="825"/>
      <c r="G249" s="825"/>
      <c r="H249" s="21"/>
      <c r="I249" s="825"/>
      <c r="J249" s="825"/>
      <c r="M249" s="825"/>
      <c r="N249" s="825"/>
      <c r="O249" s="825"/>
      <c r="P249" s="825"/>
      <c r="Q249" s="825"/>
      <c r="R249" s="825"/>
      <c r="S249" s="825"/>
      <c r="T249" s="825"/>
      <c r="U249" s="825"/>
      <c r="V249" s="825"/>
      <c r="W249" s="825"/>
      <c r="X249" s="825"/>
      <c r="Y249" s="825"/>
      <c r="Z249" s="825"/>
      <c r="AA249" s="825"/>
      <c r="AB249" s="825"/>
      <c r="AC249" s="825"/>
    </row>
    <row r="250" spans="1:29" ht="15.8" customHeight="1" x14ac:dyDescent="0.3">
      <c r="A250" s="825"/>
      <c r="C250" s="825"/>
      <c r="D250" s="21"/>
      <c r="E250" s="17"/>
      <c r="F250" s="825"/>
      <c r="G250" s="825"/>
      <c r="H250" s="21"/>
      <c r="I250" s="825"/>
      <c r="J250" s="825"/>
      <c r="M250" s="825"/>
      <c r="N250" s="825"/>
      <c r="O250" s="825"/>
      <c r="P250" s="825"/>
      <c r="Q250" s="825"/>
      <c r="R250" s="825"/>
      <c r="S250" s="825"/>
      <c r="T250" s="825"/>
      <c r="U250" s="825"/>
      <c r="V250" s="825"/>
      <c r="W250" s="825"/>
      <c r="X250" s="825"/>
      <c r="Y250" s="825"/>
      <c r="Z250" s="825"/>
      <c r="AA250" s="825"/>
      <c r="AB250" s="825"/>
      <c r="AC250" s="825"/>
    </row>
    <row r="251" spans="1:29" ht="15.8" customHeight="1" x14ac:dyDescent="0.3">
      <c r="A251" s="825"/>
      <c r="C251" s="825"/>
      <c r="D251" s="21"/>
      <c r="E251" s="17"/>
      <c r="F251" s="825"/>
      <c r="G251" s="825"/>
      <c r="H251" s="21"/>
      <c r="I251" s="825"/>
      <c r="J251" s="825"/>
      <c r="M251" s="825"/>
      <c r="N251" s="825"/>
      <c r="O251" s="825"/>
      <c r="P251" s="825"/>
      <c r="Q251" s="825"/>
      <c r="R251" s="825"/>
      <c r="S251" s="825"/>
      <c r="T251" s="825"/>
      <c r="U251" s="825"/>
      <c r="V251" s="825"/>
      <c r="W251" s="825"/>
      <c r="X251" s="825"/>
      <c r="Y251" s="825"/>
      <c r="Z251" s="825"/>
      <c r="AA251" s="825"/>
      <c r="AB251" s="825"/>
      <c r="AC251" s="825"/>
    </row>
    <row r="252" spans="1:29" ht="15.8" customHeight="1" x14ac:dyDescent="0.3">
      <c r="A252" s="825"/>
      <c r="C252" s="825"/>
      <c r="D252" s="21"/>
      <c r="E252" s="17"/>
      <c r="F252" s="825"/>
      <c r="G252" s="825"/>
      <c r="H252" s="21"/>
      <c r="I252" s="825"/>
      <c r="J252" s="825"/>
      <c r="M252" s="825"/>
      <c r="N252" s="825"/>
      <c r="O252" s="825"/>
      <c r="P252" s="825"/>
      <c r="Q252" s="825"/>
      <c r="R252" s="825"/>
      <c r="S252" s="825"/>
      <c r="T252" s="825"/>
      <c r="U252" s="825"/>
      <c r="V252" s="825"/>
      <c r="W252" s="825"/>
      <c r="X252" s="825"/>
      <c r="Y252" s="825"/>
      <c r="Z252" s="825"/>
      <c r="AA252" s="825"/>
      <c r="AB252" s="825"/>
      <c r="AC252" s="825"/>
    </row>
    <row r="253" spans="1:29" ht="15.8" customHeight="1" x14ac:dyDescent="0.3">
      <c r="A253" s="825"/>
      <c r="C253" s="825"/>
      <c r="D253" s="21"/>
      <c r="E253" s="17"/>
      <c r="F253" s="825"/>
      <c r="G253" s="825"/>
      <c r="H253" s="21"/>
      <c r="I253" s="825"/>
      <c r="J253" s="825"/>
      <c r="M253" s="825"/>
      <c r="N253" s="825"/>
      <c r="O253" s="825"/>
      <c r="P253" s="825"/>
      <c r="Q253" s="825"/>
      <c r="R253" s="825"/>
      <c r="S253" s="825"/>
      <c r="T253" s="825"/>
      <c r="U253" s="825"/>
      <c r="V253" s="825"/>
      <c r="W253" s="825"/>
      <c r="X253" s="825"/>
      <c r="Y253" s="825"/>
      <c r="Z253" s="825"/>
      <c r="AA253" s="825"/>
      <c r="AB253" s="825"/>
      <c r="AC253" s="825"/>
    </row>
    <row r="254" spans="1:29" ht="15.8" customHeight="1" x14ac:dyDescent="0.3">
      <c r="A254" s="825"/>
      <c r="C254" s="825"/>
      <c r="D254" s="21"/>
      <c r="E254" s="17"/>
      <c r="F254" s="825"/>
      <c r="G254" s="825"/>
      <c r="H254" s="21"/>
      <c r="I254" s="825"/>
      <c r="J254" s="825"/>
      <c r="M254" s="825"/>
      <c r="N254" s="825"/>
      <c r="O254" s="825"/>
      <c r="P254" s="825"/>
      <c r="Q254" s="825"/>
      <c r="R254" s="825"/>
      <c r="S254" s="825"/>
      <c r="T254" s="825"/>
      <c r="U254" s="825"/>
      <c r="V254" s="825"/>
      <c r="W254" s="825"/>
      <c r="X254" s="825"/>
      <c r="Y254" s="825"/>
      <c r="Z254" s="825"/>
      <c r="AA254" s="825"/>
      <c r="AB254" s="825"/>
      <c r="AC254" s="825"/>
    </row>
    <row r="255" spans="1:29" ht="15.8" customHeight="1" x14ac:dyDescent="0.3">
      <c r="A255" s="825"/>
      <c r="C255" s="825"/>
      <c r="D255" s="21"/>
      <c r="E255" s="17"/>
      <c r="F255" s="825"/>
      <c r="G255" s="825"/>
      <c r="H255" s="21"/>
      <c r="I255" s="825"/>
      <c r="J255" s="825"/>
      <c r="M255" s="825"/>
      <c r="N255" s="825"/>
      <c r="O255" s="825"/>
      <c r="P255" s="825"/>
      <c r="Q255" s="825"/>
      <c r="R255" s="825"/>
      <c r="S255" s="825"/>
      <c r="T255" s="825"/>
      <c r="U255" s="825"/>
      <c r="V255" s="825"/>
      <c r="W255" s="825"/>
      <c r="X255" s="825"/>
      <c r="Y255" s="825"/>
      <c r="Z255" s="825"/>
      <c r="AA255" s="825"/>
      <c r="AB255" s="825"/>
      <c r="AC255" s="825"/>
    </row>
    <row r="256" spans="1:29" ht="15.8" customHeight="1" x14ac:dyDescent="0.3">
      <c r="A256" s="825"/>
      <c r="C256" s="825"/>
      <c r="D256" s="21"/>
      <c r="E256" s="17"/>
      <c r="F256" s="825"/>
      <c r="G256" s="825"/>
      <c r="H256" s="21"/>
      <c r="I256" s="825"/>
      <c r="J256" s="825"/>
      <c r="M256" s="825"/>
      <c r="N256" s="825"/>
      <c r="O256" s="825"/>
      <c r="P256" s="825"/>
      <c r="Q256" s="825"/>
      <c r="R256" s="825"/>
      <c r="S256" s="825"/>
      <c r="T256" s="825"/>
      <c r="U256" s="825"/>
      <c r="V256" s="825"/>
      <c r="W256" s="825"/>
      <c r="X256" s="825"/>
      <c r="Y256" s="825"/>
      <c r="Z256" s="825"/>
      <c r="AA256" s="825"/>
      <c r="AB256" s="825"/>
      <c r="AC256" s="825"/>
    </row>
    <row r="257" spans="1:29" ht="15.8" customHeight="1" x14ac:dyDescent="0.3">
      <c r="A257" s="825"/>
      <c r="C257" s="825"/>
      <c r="D257" s="21"/>
      <c r="E257" s="17"/>
      <c r="F257" s="825"/>
      <c r="G257" s="825"/>
      <c r="H257" s="21"/>
      <c r="I257" s="825"/>
      <c r="J257" s="825"/>
      <c r="M257" s="825"/>
      <c r="N257" s="825"/>
      <c r="O257" s="825"/>
      <c r="P257" s="825"/>
      <c r="Q257" s="825"/>
      <c r="R257" s="825"/>
      <c r="S257" s="825"/>
      <c r="T257" s="825"/>
      <c r="U257" s="825"/>
      <c r="V257" s="825"/>
      <c r="W257" s="825"/>
      <c r="X257" s="825"/>
      <c r="Y257" s="825"/>
      <c r="Z257" s="825"/>
      <c r="AA257" s="825"/>
      <c r="AB257" s="825"/>
      <c r="AC257" s="825"/>
    </row>
    <row r="258" spans="1:29" ht="15.8" customHeight="1" x14ac:dyDescent="0.3">
      <c r="A258" s="825"/>
      <c r="C258" s="825"/>
      <c r="D258" s="21"/>
      <c r="E258" s="17"/>
      <c r="F258" s="825"/>
      <c r="G258" s="825"/>
      <c r="H258" s="21"/>
      <c r="I258" s="825"/>
      <c r="J258" s="825"/>
      <c r="M258" s="825"/>
      <c r="N258" s="825"/>
      <c r="O258" s="825"/>
      <c r="P258" s="825"/>
      <c r="Q258" s="825"/>
      <c r="R258" s="825"/>
      <c r="S258" s="825"/>
      <c r="T258" s="825"/>
      <c r="U258" s="825"/>
      <c r="V258" s="825"/>
      <c r="W258" s="825"/>
      <c r="X258" s="825"/>
      <c r="Y258" s="825"/>
      <c r="Z258" s="825"/>
      <c r="AA258" s="825"/>
      <c r="AB258" s="825"/>
      <c r="AC258" s="825"/>
    </row>
    <row r="259" spans="1:29" ht="15.8" customHeight="1" x14ac:dyDescent="0.3">
      <c r="A259" s="825"/>
      <c r="C259" s="825"/>
      <c r="D259" s="21"/>
      <c r="E259" s="17"/>
      <c r="F259" s="825"/>
      <c r="G259" s="825"/>
      <c r="H259" s="21"/>
      <c r="I259" s="825"/>
      <c r="J259" s="825"/>
      <c r="M259" s="825"/>
      <c r="N259" s="825"/>
      <c r="O259" s="825"/>
      <c r="P259" s="825"/>
      <c r="Q259" s="825"/>
      <c r="R259" s="825"/>
      <c r="S259" s="825"/>
      <c r="T259" s="825"/>
      <c r="U259" s="825"/>
      <c r="V259" s="825"/>
      <c r="W259" s="825"/>
      <c r="X259" s="825"/>
      <c r="Y259" s="825"/>
      <c r="Z259" s="825"/>
      <c r="AA259" s="825"/>
      <c r="AB259" s="825"/>
      <c r="AC259" s="825"/>
    </row>
    <row r="260" spans="1:29" ht="15.8" customHeight="1" x14ac:dyDescent="0.3">
      <c r="A260" s="825"/>
      <c r="C260" s="825"/>
      <c r="D260" s="21"/>
      <c r="E260" s="17"/>
      <c r="F260" s="825"/>
      <c r="G260" s="825"/>
      <c r="H260" s="21"/>
      <c r="I260" s="825"/>
      <c r="J260" s="825"/>
      <c r="M260" s="825"/>
      <c r="N260" s="825"/>
      <c r="O260" s="825"/>
      <c r="P260" s="825"/>
      <c r="Q260" s="825"/>
      <c r="R260" s="825"/>
      <c r="S260" s="825"/>
      <c r="T260" s="825"/>
      <c r="U260" s="825"/>
      <c r="V260" s="825"/>
      <c r="W260" s="825"/>
      <c r="X260" s="825"/>
      <c r="Y260" s="825"/>
      <c r="Z260" s="825"/>
      <c r="AA260" s="825"/>
      <c r="AB260" s="825"/>
      <c r="AC260" s="825"/>
    </row>
    <row r="261" spans="1:29" ht="15.8" customHeight="1" x14ac:dyDescent="0.3">
      <c r="A261" s="825"/>
      <c r="C261" s="825"/>
      <c r="D261" s="21"/>
      <c r="E261" s="17"/>
      <c r="F261" s="825"/>
      <c r="G261" s="825"/>
      <c r="H261" s="21"/>
      <c r="I261" s="825"/>
      <c r="J261" s="825"/>
      <c r="M261" s="825"/>
      <c r="N261" s="825"/>
      <c r="O261" s="825"/>
      <c r="P261" s="825"/>
      <c r="Q261" s="825"/>
      <c r="R261" s="825"/>
      <c r="S261" s="825"/>
      <c r="T261" s="825"/>
      <c r="U261" s="825"/>
      <c r="V261" s="825"/>
      <c r="W261" s="825"/>
      <c r="X261" s="825"/>
      <c r="Y261" s="825"/>
      <c r="Z261" s="825"/>
      <c r="AA261" s="825"/>
      <c r="AB261" s="825"/>
      <c r="AC261" s="825"/>
    </row>
    <row r="262" spans="1:29" ht="15.8" customHeight="1" x14ac:dyDescent="0.3">
      <c r="A262" s="825"/>
      <c r="C262" s="825"/>
      <c r="D262" s="21"/>
      <c r="E262" s="17"/>
      <c r="F262" s="825"/>
      <c r="G262" s="825"/>
      <c r="H262" s="21"/>
      <c r="I262" s="825"/>
      <c r="J262" s="825"/>
      <c r="M262" s="825"/>
      <c r="N262" s="825"/>
      <c r="O262" s="825"/>
      <c r="P262" s="825"/>
      <c r="Q262" s="825"/>
      <c r="R262" s="825"/>
      <c r="S262" s="825"/>
      <c r="T262" s="825"/>
      <c r="U262" s="825"/>
      <c r="V262" s="825"/>
      <c r="W262" s="825"/>
      <c r="X262" s="825"/>
      <c r="Y262" s="825"/>
      <c r="Z262" s="825"/>
      <c r="AA262" s="825"/>
      <c r="AB262" s="825"/>
      <c r="AC262" s="825"/>
    </row>
    <row r="263" spans="1:29" ht="15.8" customHeight="1" x14ac:dyDescent="0.3">
      <c r="A263" s="825"/>
      <c r="C263" s="825"/>
      <c r="D263" s="21"/>
      <c r="E263" s="17"/>
      <c r="F263" s="825"/>
      <c r="G263" s="825"/>
      <c r="H263" s="21"/>
      <c r="I263" s="825"/>
      <c r="J263" s="825"/>
      <c r="M263" s="825"/>
      <c r="N263" s="825"/>
      <c r="O263" s="825"/>
      <c r="P263" s="825"/>
      <c r="Q263" s="825"/>
      <c r="R263" s="825"/>
      <c r="S263" s="825"/>
      <c r="T263" s="825"/>
      <c r="U263" s="825"/>
      <c r="V263" s="825"/>
      <c r="W263" s="825"/>
      <c r="X263" s="825"/>
      <c r="Y263" s="825"/>
      <c r="Z263" s="825"/>
      <c r="AA263" s="825"/>
      <c r="AB263" s="825"/>
      <c r="AC263" s="825"/>
    </row>
    <row r="264" spans="1:29" ht="15.8" customHeight="1" x14ac:dyDescent="0.3">
      <c r="A264" s="825"/>
      <c r="C264" s="825"/>
      <c r="D264" s="21"/>
      <c r="E264" s="17"/>
      <c r="F264" s="825"/>
      <c r="G264" s="825"/>
      <c r="H264" s="21"/>
      <c r="I264" s="825"/>
      <c r="J264" s="825"/>
      <c r="M264" s="825"/>
      <c r="N264" s="825"/>
      <c r="O264" s="825"/>
      <c r="P264" s="825"/>
      <c r="Q264" s="825"/>
      <c r="R264" s="825"/>
      <c r="S264" s="825"/>
      <c r="T264" s="825"/>
      <c r="U264" s="825"/>
      <c r="V264" s="825"/>
      <c r="W264" s="825"/>
      <c r="X264" s="825"/>
      <c r="Y264" s="825"/>
      <c r="Z264" s="825"/>
      <c r="AA264" s="825"/>
      <c r="AB264" s="825"/>
      <c r="AC264" s="825"/>
    </row>
    <row r="265" spans="1:29" ht="15.8" customHeight="1" x14ac:dyDescent="0.3">
      <c r="A265" s="825"/>
      <c r="C265" s="825"/>
      <c r="D265" s="21"/>
      <c r="E265" s="17"/>
      <c r="F265" s="825"/>
      <c r="G265" s="825"/>
      <c r="H265" s="21"/>
      <c r="I265" s="825"/>
      <c r="J265" s="825"/>
      <c r="M265" s="825"/>
      <c r="N265" s="825"/>
      <c r="O265" s="825"/>
      <c r="P265" s="825"/>
      <c r="Q265" s="825"/>
      <c r="R265" s="825"/>
      <c r="S265" s="825"/>
      <c r="T265" s="825"/>
      <c r="U265" s="825"/>
      <c r="V265" s="825"/>
      <c r="W265" s="825"/>
      <c r="X265" s="825"/>
      <c r="Y265" s="825"/>
      <c r="Z265" s="825"/>
      <c r="AA265" s="825"/>
      <c r="AB265" s="825"/>
      <c r="AC265" s="825"/>
    </row>
    <row r="266" spans="1:29" ht="15.8" customHeight="1" x14ac:dyDescent="0.3">
      <c r="A266" s="825"/>
      <c r="C266" s="825"/>
      <c r="D266" s="21"/>
      <c r="E266" s="17"/>
      <c r="F266" s="825"/>
      <c r="G266" s="825"/>
      <c r="H266" s="21"/>
      <c r="I266" s="825"/>
      <c r="J266" s="825"/>
      <c r="M266" s="825"/>
      <c r="N266" s="825"/>
      <c r="O266" s="825"/>
      <c r="P266" s="825"/>
      <c r="Q266" s="825"/>
      <c r="R266" s="825"/>
      <c r="S266" s="825"/>
      <c r="T266" s="825"/>
      <c r="U266" s="825"/>
      <c r="V266" s="825"/>
      <c r="W266" s="825"/>
      <c r="X266" s="825"/>
      <c r="Y266" s="825"/>
      <c r="Z266" s="825"/>
      <c r="AA266" s="825"/>
      <c r="AB266" s="825"/>
      <c r="AC266" s="825"/>
    </row>
    <row r="267" spans="1:29" ht="15.8" customHeight="1" x14ac:dyDescent="0.3">
      <c r="A267" s="825"/>
      <c r="C267" s="825"/>
      <c r="D267" s="21"/>
      <c r="E267" s="17"/>
      <c r="F267" s="825"/>
      <c r="G267" s="825"/>
      <c r="H267" s="21"/>
      <c r="I267" s="825"/>
      <c r="J267" s="825"/>
      <c r="M267" s="825"/>
      <c r="N267" s="825"/>
      <c r="O267" s="825"/>
      <c r="P267" s="825"/>
      <c r="Q267" s="825"/>
      <c r="R267" s="825"/>
      <c r="S267" s="825"/>
      <c r="T267" s="825"/>
      <c r="U267" s="825"/>
      <c r="V267" s="825"/>
      <c r="W267" s="825"/>
      <c r="X267" s="825"/>
      <c r="Y267" s="825"/>
      <c r="Z267" s="825"/>
      <c r="AA267" s="825"/>
      <c r="AB267" s="825"/>
      <c r="AC267" s="825"/>
    </row>
    <row r="268" spans="1:29" ht="15.8" customHeight="1" x14ac:dyDescent="0.3">
      <c r="A268" s="825"/>
      <c r="C268" s="825"/>
      <c r="D268" s="21"/>
      <c r="E268" s="17"/>
      <c r="F268" s="825"/>
      <c r="G268" s="825"/>
      <c r="H268" s="21"/>
      <c r="I268" s="825"/>
      <c r="J268" s="825"/>
      <c r="M268" s="825"/>
      <c r="N268" s="825"/>
      <c r="O268" s="825"/>
      <c r="P268" s="825"/>
      <c r="Q268" s="825"/>
      <c r="R268" s="825"/>
      <c r="S268" s="825"/>
      <c r="T268" s="825"/>
      <c r="U268" s="825"/>
      <c r="V268" s="825"/>
      <c r="W268" s="825"/>
      <c r="X268" s="825"/>
      <c r="Y268" s="825"/>
      <c r="Z268" s="825"/>
      <c r="AA268" s="825"/>
      <c r="AB268" s="825"/>
      <c r="AC268" s="825"/>
    </row>
    <row r="269" spans="1:29" ht="15.8" customHeight="1" x14ac:dyDescent="0.3">
      <c r="A269" s="825"/>
      <c r="C269" s="825"/>
      <c r="D269" s="21"/>
      <c r="E269" s="17"/>
      <c r="F269" s="825"/>
      <c r="G269" s="825"/>
      <c r="H269" s="21"/>
      <c r="I269" s="825"/>
      <c r="J269" s="825"/>
      <c r="M269" s="825"/>
      <c r="N269" s="825"/>
      <c r="O269" s="825"/>
      <c r="P269" s="825"/>
      <c r="Q269" s="825"/>
      <c r="R269" s="825"/>
      <c r="S269" s="825"/>
      <c r="T269" s="825"/>
      <c r="U269" s="825"/>
      <c r="V269" s="825"/>
      <c r="W269" s="825"/>
      <c r="X269" s="825"/>
      <c r="Y269" s="825"/>
      <c r="Z269" s="825"/>
      <c r="AA269" s="825"/>
      <c r="AB269" s="825"/>
      <c r="AC269" s="825"/>
    </row>
    <row r="270" spans="1:29" ht="15.8" customHeight="1" x14ac:dyDescent="0.3">
      <c r="A270" s="825"/>
      <c r="C270" s="825"/>
      <c r="D270" s="21"/>
      <c r="E270" s="17"/>
      <c r="F270" s="825"/>
      <c r="G270" s="825"/>
      <c r="H270" s="21"/>
      <c r="I270" s="825"/>
      <c r="J270" s="825"/>
      <c r="M270" s="825"/>
      <c r="N270" s="825"/>
      <c r="O270" s="825"/>
      <c r="P270" s="825"/>
      <c r="Q270" s="825"/>
      <c r="R270" s="825"/>
      <c r="S270" s="825"/>
      <c r="T270" s="825"/>
      <c r="U270" s="825"/>
      <c r="V270" s="825"/>
      <c r="W270" s="825"/>
      <c r="X270" s="825"/>
      <c r="Y270" s="825"/>
      <c r="Z270" s="825"/>
      <c r="AA270" s="825"/>
      <c r="AB270" s="825"/>
      <c r="AC270" s="825"/>
    </row>
    <row r="271" spans="1:29" ht="15.8" customHeight="1" x14ac:dyDescent="0.3">
      <c r="A271" s="825"/>
      <c r="C271" s="825"/>
      <c r="D271" s="21"/>
      <c r="E271" s="17"/>
      <c r="F271" s="825"/>
      <c r="G271" s="825"/>
      <c r="H271" s="21"/>
      <c r="I271" s="825"/>
      <c r="J271" s="825"/>
      <c r="M271" s="825"/>
      <c r="N271" s="825"/>
      <c r="O271" s="825"/>
      <c r="P271" s="825"/>
      <c r="Q271" s="825"/>
      <c r="R271" s="825"/>
      <c r="S271" s="825"/>
      <c r="T271" s="825"/>
      <c r="U271" s="825"/>
      <c r="V271" s="825"/>
      <c r="W271" s="825"/>
      <c r="X271" s="825"/>
      <c r="Y271" s="825"/>
      <c r="Z271" s="825"/>
      <c r="AA271" s="825"/>
      <c r="AB271" s="825"/>
      <c r="AC271" s="825"/>
    </row>
    <row r="272" spans="1:29" ht="15.8" customHeight="1" x14ac:dyDescent="0.3">
      <c r="A272" s="825"/>
      <c r="C272" s="825"/>
      <c r="D272" s="21"/>
      <c r="E272" s="17"/>
      <c r="F272" s="825"/>
      <c r="G272" s="825"/>
      <c r="H272" s="21"/>
      <c r="I272" s="825"/>
      <c r="J272" s="825"/>
      <c r="M272" s="825"/>
      <c r="N272" s="825"/>
      <c r="O272" s="825"/>
      <c r="P272" s="825"/>
      <c r="Q272" s="825"/>
      <c r="R272" s="825"/>
      <c r="S272" s="825"/>
      <c r="T272" s="825"/>
      <c r="U272" s="825"/>
      <c r="V272" s="825"/>
      <c r="W272" s="825"/>
      <c r="X272" s="825"/>
      <c r="Y272" s="825"/>
      <c r="Z272" s="825"/>
      <c r="AA272" s="825"/>
      <c r="AB272" s="825"/>
      <c r="AC272" s="825"/>
    </row>
    <row r="273" spans="1:29" ht="15.8" customHeight="1" x14ac:dyDescent="0.3">
      <c r="A273" s="825"/>
      <c r="C273" s="825"/>
      <c r="D273" s="21"/>
      <c r="E273" s="17"/>
      <c r="F273" s="825"/>
      <c r="G273" s="825"/>
      <c r="H273" s="21"/>
      <c r="I273" s="825"/>
      <c r="J273" s="825"/>
      <c r="M273" s="825"/>
      <c r="N273" s="825"/>
      <c r="O273" s="825"/>
      <c r="P273" s="825"/>
      <c r="Q273" s="825"/>
      <c r="R273" s="825"/>
      <c r="S273" s="825"/>
      <c r="T273" s="825"/>
      <c r="U273" s="825"/>
      <c r="V273" s="825"/>
      <c r="W273" s="825"/>
      <c r="X273" s="825"/>
      <c r="Y273" s="825"/>
      <c r="Z273" s="825"/>
      <c r="AA273" s="825"/>
      <c r="AB273" s="825"/>
      <c r="AC273" s="825"/>
    </row>
    <row r="274" spans="1:29" ht="15.8" customHeight="1" x14ac:dyDescent="0.3">
      <c r="A274" s="825"/>
      <c r="C274" s="825"/>
      <c r="D274" s="21"/>
      <c r="E274" s="17"/>
      <c r="F274" s="825"/>
      <c r="G274" s="825"/>
      <c r="H274" s="21"/>
      <c r="I274" s="825"/>
      <c r="J274" s="825"/>
      <c r="M274" s="825"/>
      <c r="N274" s="825"/>
      <c r="O274" s="825"/>
      <c r="P274" s="825"/>
      <c r="Q274" s="825"/>
      <c r="R274" s="825"/>
      <c r="S274" s="825"/>
      <c r="T274" s="825"/>
      <c r="U274" s="825"/>
      <c r="V274" s="825"/>
      <c r="W274" s="825"/>
      <c r="X274" s="825"/>
      <c r="Y274" s="825"/>
      <c r="Z274" s="825"/>
      <c r="AA274" s="825"/>
      <c r="AB274" s="825"/>
      <c r="AC274" s="825"/>
    </row>
    <row r="275" spans="1:29" ht="15.8" customHeight="1" x14ac:dyDescent="0.3">
      <c r="A275" s="825"/>
      <c r="C275" s="825"/>
      <c r="D275" s="21"/>
      <c r="E275" s="17"/>
      <c r="F275" s="825"/>
      <c r="G275" s="825"/>
      <c r="H275" s="21"/>
      <c r="I275" s="825"/>
      <c r="J275" s="825"/>
      <c r="M275" s="825"/>
      <c r="N275" s="825"/>
      <c r="O275" s="825"/>
      <c r="P275" s="825"/>
      <c r="Q275" s="825"/>
      <c r="R275" s="825"/>
      <c r="S275" s="825"/>
      <c r="T275" s="825"/>
      <c r="U275" s="825"/>
      <c r="V275" s="825"/>
      <c r="W275" s="825"/>
      <c r="X275" s="825"/>
      <c r="Y275" s="825"/>
      <c r="Z275" s="825"/>
      <c r="AA275" s="825"/>
      <c r="AB275" s="825"/>
      <c r="AC275" s="825"/>
    </row>
    <row r="276" spans="1:29" ht="15.8" customHeight="1" x14ac:dyDescent="0.3">
      <c r="A276" s="825"/>
      <c r="C276" s="825"/>
      <c r="D276" s="21"/>
      <c r="E276" s="17"/>
      <c r="F276" s="825"/>
      <c r="G276" s="825"/>
      <c r="H276" s="21"/>
      <c r="I276" s="825"/>
      <c r="J276" s="825"/>
      <c r="M276" s="825"/>
      <c r="N276" s="825"/>
      <c r="O276" s="825"/>
      <c r="P276" s="825"/>
      <c r="Q276" s="825"/>
      <c r="R276" s="825"/>
      <c r="S276" s="825"/>
      <c r="T276" s="825"/>
      <c r="U276" s="825"/>
      <c r="V276" s="825"/>
      <c r="W276" s="825"/>
      <c r="X276" s="825"/>
      <c r="Y276" s="825"/>
      <c r="Z276" s="825"/>
      <c r="AA276" s="825"/>
      <c r="AB276" s="825"/>
      <c r="AC276" s="825"/>
    </row>
    <row r="277" spans="1:29" ht="15.8" customHeight="1" x14ac:dyDescent="0.3">
      <c r="A277" s="825"/>
      <c r="C277" s="825"/>
      <c r="D277" s="21"/>
      <c r="E277" s="17"/>
      <c r="F277" s="825"/>
      <c r="G277" s="825"/>
      <c r="H277" s="21"/>
      <c r="I277" s="825"/>
      <c r="J277" s="825"/>
      <c r="M277" s="825"/>
      <c r="N277" s="825"/>
      <c r="O277" s="825"/>
      <c r="P277" s="825"/>
      <c r="Q277" s="825"/>
      <c r="R277" s="825"/>
      <c r="S277" s="825"/>
      <c r="T277" s="825"/>
      <c r="U277" s="825"/>
      <c r="V277" s="825"/>
      <c r="W277" s="825"/>
      <c r="X277" s="825"/>
      <c r="Y277" s="825"/>
      <c r="Z277" s="825"/>
      <c r="AA277" s="825"/>
      <c r="AB277" s="825"/>
      <c r="AC277" s="825"/>
    </row>
    <row r="278" spans="1:29" ht="15.8" customHeight="1" x14ac:dyDescent="0.3">
      <c r="A278" s="825"/>
      <c r="C278" s="825"/>
      <c r="D278" s="21"/>
      <c r="E278" s="17"/>
      <c r="F278" s="825"/>
      <c r="G278" s="825"/>
      <c r="H278" s="21"/>
      <c r="I278" s="825"/>
      <c r="J278" s="825"/>
      <c r="M278" s="825"/>
      <c r="N278" s="825"/>
      <c r="O278" s="825"/>
      <c r="P278" s="825"/>
      <c r="Q278" s="825"/>
      <c r="R278" s="825"/>
      <c r="S278" s="825"/>
      <c r="T278" s="825"/>
      <c r="U278" s="825"/>
      <c r="V278" s="825"/>
      <c r="W278" s="825"/>
      <c r="X278" s="825"/>
      <c r="Y278" s="825"/>
      <c r="Z278" s="825"/>
      <c r="AA278" s="825"/>
      <c r="AB278" s="825"/>
      <c r="AC278" s="825"/>
    </row>
    <row r="279" spans="1:29" ht="15.8" customHeight="1" x14ac:dyDescent="0.3">
      <c r="A279" s="825"/>
      <c r="C279" s="825"/>
      <c r="D279" s="21"/>
      <c r="E279" s="17"/>
      <c r="F279" s="825"/>
      <c r="G279" s="825"/>
      <c r="H279" s="21"/>
      <c r="I279" s="825"/>
      <c r="J279" s="825"/>
      <c r="M279" s="825"/>
      <c r="N279" s="825"/>
      <c r="O279" s="825"/>
      <c r="P279" s="825"/>
      <c r="Q279" s="825"/>
      <c r="R279" s="825"/>
      <c r="S279" s="825"/>
      <c r="T279" s="825"/>
      <c r="U279" s="825"/>
      <c r="V279" s="825"/>
      <c r="W279" s="825"/>
      <c r="X279" s="825"/>
      <c r="Y279" s="825"/>
      <c r="Z279" s="825"/>
      <c r="AA279" s="825"/>
      <c r="AB279" s="825"/>
      <c r="AC279" s="825"/>
    </row>
    <row r="280" spans="1:29" ht="15.8" customHeight="1" x14ac:dyDescent="0.3">
      <c r="A280" s="825"/>
      <c r="C280" s="825"/>
      <c r="D280" s="21"/>
      <c r="E280" s="17"/>
      <c r="F280" s="825"/>
      <c r="G280" s="825"/>
      <c r="H280" s="21"/>
      <c r="I280" s="825"/>
      <c r="J280" s="825"/>
      <c r="M280" s="825"/>
      <c r="N280" s="825"/>
      <c r="O280" s="825"/>
      <c r="P280" s="825"/>
      <c r="Q280" s="825"/>
      <c r="R280" s="825"/>
      <c r="S280" s="825"/>
      <c r="T280" s="825"/>
      <c r="U280" s="825"/>
      <c r="V280" s="825"/>
      <c r="W280" s="825"/>
      <c r="X280" s="825"/>
      <c r="Y280" s="825"/>
      <c r="Z280" s="825"/>
      <c r="AA280" s="825"/>
      <c r="AB280" s="825"/>
      <c r="AC280" s="825"/>
    </row>
    <row r="281" spans="1:29" ht="15.8" customHeight="1" x14ac:dyDescent="0.3">
      <c r="A281" s="825"/>
      <c r="C281" s="825"/>
      <c r="D281" s="21"/>
      <c r="E281" s="17"/>
      <c r="F281" s="825"/>
      <c r="G281" s="825"/>
      <c r="H281" s="21"/>
      <c r="I281" s="825"/>
      <c r="J281" s="825"/>
      <c r="M281" s="825"/>
      <c r="N281" s="825"/>
      <c r="O281" s="825"/>
      <c r="P281" s="825"/>
      <c r="Q281" s="825"/>
      <c r="R281" s="825"/>
      <c r="S281" s="825"/>
      <c r="T281" s="825"/>
      <c r="U281" s="825"/>
      <c r="V281" s="825"/>
      <c r="W281" s="825"/>
      <c r="X281" s="825"/>
      <c r="Y281" s="825"/>
      <c r="Z281" s="825"/>
      <c r="AA281" s="825"/>
      <c r="AB281" s="825"/>
      <c r="AC281" s="825"/>
    </row>
    <row r="282" spans="1:29" ht="15.8" customHeight="1" x14ac:dyDescent="0.3">
      <c r="A282" s="825"/>
      <c r="C282" s="825"/>
      <c r="D282" s="21"/>
      <c r="E282" s="17"/>
      <c r="F282" s="825"/>
      <c r="G282" s="825"/>
      <c r="H282" s="21"/>
      <c r="I282" s="825"/>
      <c r="J282" s="825"/>
      <c r="M282" s="825"/>
      <c r="N282" s="825"/>
      <c r="O282" s="825"/>
      <c r="P282" s="825"/>
      <c r="Q282" s="825"/>
      <c r="R282" s="825"/>
      <c r="S282" s="825"/>
      <c r="T282" s="825"/>
      <c r="U282" s="825"/>
      <c r="V282" s="825"/>
      <c r="W282" s="825"/>
      <c r="X282" s="825"/>
      <c r="Y282" s="825"/>
      <c r="Z282" s="825"/>
      <c r="AA282" s="825"/>
      <c r="AB282" s="825"/>
      <c r="AC282" s="825"/>
    </row>
    <row r="283" spans="1:29" ht="15.8" customHeight="1" x14ac:dyDescent="0.3">
      <c r="A283" s="825"/>
      <c r="C283" s="825"/>
      <c r="D283" s="21"/>
      <c r="E283" s="17"/>
      <c r="F283" s="825"/>
      <c r="G283" s="825"/>
      <c r="H283" s="21"/>
      <c r="I283" s="825"/>
      <c r="J283" s="825"/>
      <c r="M283" s="825"/>
      <c r="N283" s="825"/>
      <c r="O283" s="825"/>
      <c r="P283" s="825"/>
      <c r="Q283" s="825"/>
      <c r="R283" s="825"/>
      <c r="S283" s="825"/>
      <c r="T283" s="825"/>
      <c r="U283" s="825"/>
      <c r="V283" s="825"/>
      <c r="W283" s="825"/>
      <c r="X283" s="825"/>
      <c r="Y283" s="825"/>
      <c r="Z283" s="825"/>
      <c r="AA283" s="825"/>
      <c r="AB283" s="825"/>
      <c r="AC283" s="825"/>
    </row>
    <row r="284" spans="1:29" ht="15.8" customHeight="1" x14ac:dyDescent="0.3">
      <c r="A284" s="825"/>
      <c r="C284" s="825"/>
      <c r="D284" s="21"/>
      <c r="E284" s="17"/>
      <c r="F284" s="825"/>
      <c r="G284" s="825"/>
      <c r="H284" s="21"/>
      <c r="I284" s="825"/>
      <c r="J284" s="825"/>
      <c r="M284" s="825"/>
      <c r="N284" s="825"/>
      <c r="O284" s="825"/>
      <c r="P284" s="825"/>
      <c r="Q284" s="825"/>
      <c r="R284" s="825"/>
      <c r="S284" s="825"/>
      <c r="T284" s="825"/>
      <c r="U284" s="825"/>
      <c r="V284" s="825"/>
      <c r="W284" s="825"/>
      <c r="X284" s="825"/>
      <c r="Y284" s="825"/>
      <c r="Z284" s="825"/>
      <c r="AA284" s="825"/>
      <c r="AB284" s="825"/>
      <c r="AC284" s="825"/>
    </row>
    <row r="285" spans="1:29" ht="15.8" customHeight="1" x14ac:dyDescent="0.3">
      <c r="A285" s="825"/>
      <c r="C285" s="825"/>
      <c r="D285" s="21"/>
      <c r="E285" s="17"/>
      <c r="F285" s="825"/>
      <c r="G285" s="825"/>
      <c r="H285" s="21"/>
      <c r="I285" s="825"/>
      <c r="J285" s="825"/>
      <c r="M285" s="825"/>
      <c r="N285" s="825"/>
      <c r="O285" s="825"/>
      <c r="P285" s="825"/>
      <c r="Q285" s="825"/>
      <c r="R285" s="825"/>
      <c r="S285" s="825"/>
      <c r="T285" s="825"/>
      <c r="U285" s="825"/>
      <c r="V285" s="825"/>
      <c r="W285" s="825"/>
      <c r="X285" s="825"/>
      <c r="Y285" s="825"/>
      <c r="Z285" s="825"/>
      <c r="AA285" s="825"/>
      <c r="AB285" s="825"/>
      <c r="AC285" s="825"/>
    </row>
    <row r="286" spans="1:29" ht="15.8" customHeight="1" x14ac:dyDescent="0.3">
      <c r="A286" s="825"/>
      <c r="C286" s="825"/>
      <c r="D286" s="21"/>
      <c r="E286" s="17"/>
      <c r="F286" s="825"/>
      <c r="G286" s="825"/>
      <c r="H286" s="21"/>
      <c r="I286" s="825"/>
      <c r="J286" s="825"/>
      <c r="M286" s="825"/>
      <c r="N286" s="825"/>
      <c r="O286" s="825"/>
      <c r="P286" s="825"/>
      <c r="Q286" s="825"/>
      <c r="R286" s="825"/>
      <c r="S286" s="825"/>
      <c r="T286" s="825"/>
      <c r="U286" s="825"/>
      <c r="V286" s="825"/>
      <c r="W286" s="825"/>
      <c r="X286" s="825"/>
      <c r="Y286" s="825"/>
      <c r="Z286" s="825"/>
      <c r="AA286" s="825"/>
      <c r="AB286" s="825"/>
      <c r="AC286" s="825"/>
    </row>
    <row r="287" spans="1:29" ht="15.8" customHeight="1" x14ac:dyDescent="0.3">
      <c r="A287" s="825"/>
      <c r="C287" s="825"/>
      <c r="D287" s="21"/>
      <c r="E287" s="17"/>
      <c r="F287" s="825"/>
      <c r="G287" s="825"/>
      <c r="H287" s="21"/>
      <c r="I287" s="825"/>
      <c r="J287" s="825"/>
      <c r="M287" s="825"/>
      <c r="N287" s="825"/>
      <c r="O287" s="825"/>
      <c r="P287" s="825"/>
      <c r="Q287" s="825"/>
      <c r="R287" s="825"/>
      <c r="S287" s="825"/>
      <c r="T287" s="825"/>
      <c r="U287" s="825"/>
      <c r="V287" s="825"/>
      <c r="W287" s="825"/>
      <c r="X287" s="825"/>
      <c r="Y287" s="825"/>
      <c r="Z287" s="825"/>
      <c r="AA287" s="825"/>
      <c r="AB287" s="825"/>
      <c r="AC287" s="825"/>
    </row>
    <row r="288" spans="1:29" ht="15.8" customHeight="1" x14ac:dyDescent="0.3">
      <c r="A288" s="825"/>
      <c r="C288" s="825"/>
      <c r="D288" s="21"/>
      <c r="E288" s="17"/>
      <c r="F288" s="825"/>
      <c r="G288" s="825"/>
      <c r="H288" s="21"/>
      <c r="I288" s="825"/>
      <c r="J288" s="825"/>
      <c r="M288" s="825"/>
      <c r="N288" s="825"/>
      <c r="O288" s="825"/>
      <c r="P288" s="825"/>
      <c r="Q288" s="825"/>
      <c r="R288" s="825"/>
      <c r="S288" s="825"/>
      <c r="T288" s="825"/>
      <c r="U288" s="825"/>
      <c r="V288" s="825"/>
      <c r="W288" s="825"/>
      <c r="X288" s="825"/>
      <c r="Y288" s="825"/>
      <c r="Z288" s="825"/>
      <c r="AA288" s="825"/>
      <c r="AB288" s="825"/>
      <c r="AC288" s="825"/>
    </row>
    <row r="289" spans="1:29" ht="15.8" customHeight="1" x14ac:dyDescent="0.3">
      <c r="A289" s="825"/>
      <c r="C289" s="825"/>
      <c r="D289" s="21"/>
      <c r="E289" s="17"/>
      <c r="F289" s="825"/>
      <c r="G289" s="825"/>
      <c r="H289" s="21"/>
      <c r="I289" s="825"/>
      <c r="J289" s="825"/>
      <c r="M289" s="825"/>
      <c r="N289" s="825"/>
      <c r="O289" s="825"/>
      <c r="P289" s="825"/>
      <c r="Q289" s="825"/>
      <c r="R289" s="825"/>
      <c r="S289" s="825"/>
      <c r="T289" s="825"/>
      <c r="U289" s="825"/>
      <c r="V289" s="825"/>
      <c r="W289" s="825"/>
      <c r="X289" s="825"/>
      <c r="Y289" s="825"/>
      <c r="Z289" s="825"/>
      <c r="AA289" s="825"/>
      <c r="AB289" s="825"/>
      <c r="AC289" s="825"/>
    </row>
    <row r="290" spans="1:29" ht="15.8" customHeight="1" x14ac:dyDescent="0.3">
      <c r="A290" s="825"/>
      <c r="C290" s="825"/>
      <c r="D290" s="21"/>
      <c r="E290" s="17"/>
      <c r="F290" s="825"/>
      <c r="G290" s="825"/>
      <c r="H290" s="21"/>
      <c r="I290" s="825"/>
      <c r="J290" s="825"/>
      <c r="M290" s="825"/>
      <c r="N290" s="825"/>
      <c r="O290" s="825"/>
      <c r="P290" s="825"/>
      <c r="Q290" s="825"/>
      <c r="R290" s="825"/>
      <c r="S290" s="825"/>
      <c r="T290" s="825"/>
      <c r="U290" s="825"/>
      <c r="V290" s="825"/>
      <c r="W290" s="825"/>
      <c r="X290" s="825"/>
      <c r="Y290" s="825"/>
      <c r="Z290" s="825"/>
      <c r="AA290" s="825"/>
      <c r="AB290" s="825"/>
      <c r="AC290" s="825"/>
    </row>
    <row r="291" spans="1:29" ht="15.8" customHeight="1" x14ac:dyDescent="0.3">
      <c r="A291" s="825"/>
      <c r="C291" s="825"/>
      <c r="D291" s="21"/>
      <c r="E291" s="17"/>
      <c r="F291" s="825"/>
      <c r="G291" s="825"/>
      <c r="H291" s="21"/>
      <c r="I291" s="825"/>
      <c r="J291" s="825"/>
      <c r="M291" s="825"/>
      <c r="N291" s="825"/>
      <c r="O291" s="825"/>
      <c r="P291" s="825"/>
      <c r="Q291" s="825"/>
      <c r="R291" s="825"/>
      <c r="S291" s="825"/>
      <c r="T291" s="825"/>
      <c r="U291" s="825"/>
      <c r="V291" s="825"/>
      <c r="W291" s="825"/>
      <c r="X291" s="825"/>
      <c r="Y291" s="825"/>
      <c r="Z291" s="825"/>
      <c r="AA291" s="825"/>
      <c r="AB291" s="825"/>
      <c r="AC291" s="825"/>
    </row>
    <row r="292" spans="1:29" ht="15.8" customHeight="1" x14ac:dyDescent="0.3">
      <c r="A292" s="825"/>
      <c r="C292" s="825"/>
      <c r="D292" s="21"/>
      <c r="E292" s="17"/>
      <c r="F292" s="825"/>
      <c r="G292" s="825"/>
      <c r="H292" s="21"/>
      <c r="I292" s="825"/>
      <c r="J292" s="825"/>
      <c r="M292" s="825"/>
      <c r="N292" s="825"/>
      <c r="O292" s="825"/>
      <c r="P292" s="825"/>
      <c r="Q292" s="825"/>
      <c r="R292" s="825"/>
      <c r="S292" s="825"/>
      <c r="T292" s="825"/>
      <c r="U292" s="825"/>
      <c r="V292" s="825"/>
      <c r="W292" s="825"/>
      <c r="X292" s="825"/>
      <c r="Y292" s="825"/>
      <c r="Z292" s="825"/>
      <c r="AA292" s="825"/>
      <c r="AB292" s="825"/>
      <c r="AC292" s="825"/>
    </row>
    <row r="293" spans="1:29" ht="15.8" customHeight="1" x14ac:dyDescent="0.3">
      <c r="A293" s="825"/>
      <c r="C293" s="825"/>
      <c r="D293" s="21"/>
      <c r="E293" s="17"/>
      <c r="F293" s="825"/>
      <c r="G293" s="825"/>
      <c r="H293" s="21"/>
      <c r="I293" s="825"/>
      <c r="J293" s="825"/>
      <c r="M293" s="825"/>
      <c r="N293" s="825"/>
      <c r="O293" s="825"/>
      <c r="P293" s="825"/>
      <c r="Q293" s="825"/>
      <c r="R293" s="825"/>
      <c r="S293" s="825"/>
      <c r="T293" s="825"/>
      <c r="U293" s="825"/>
      <c r="V293" s="825"/>
      <c r="W293" s="825"/>
      <c r="X293" s="825"/>
      <c r="Y293" s="825"/>
      <c r="Z293" s="825"/>
      <c r="AA293" s="825"/>
      <c r="AB293" s="825"/>
      <c r="AC293" s="825"/>
    </row>
    <row r="294" spans="1:29" ht="15.8" customHeight="1" x14ac:dyDescent="0.3">
      <c r="A294" s="825"/>
      <c r="C294" s="825"/>
      <c r="D294" s="21"/>
      <c r="E294" s="17"/>
      <c r="F294" s="825"/>
      <c r="G294" s="825"/>
      <c r="H294" s="21"/>
      <c r="I294" s="825"/>
      <c r="J294" s="825"/>
      <c r="M294" s="825"/>
      <c r="N294" s="825"/>
      <c r="O294" s="825"/>
      <c r="P294" s="825"/>
      <c r="Q294" s="825"/>
      <c r="R294" s="825"/>
      <c r="S294" s="825"/>
      <c r="T294" s="825"/>
      <c r="U294" s="825"/>
      <c r="V294" s="825"/>
      <c r="W294" s="825"/>
      <c r="X294" s="825"/>
      <c r="Y294" s="825"/>
      <c r="Z294" s="825"/>
      <c r="AA294" s="825"/>
      <c r="AB294" s="825"/>
      <c r="AC294" s="825"/>
    </row>
    <row r="295" spans="1:29" ht="15.8" customHeight="1" x14ac:dyDescent="0.3">
      <c r="A295" s="825"/>
      <c r="C295" s="825"/>
      <c r="D295" s="21"/>
      <c r="E295" s="17"/>
      <c r="F295" s="825"/>
      <c r="G295" s="825"/>
      <c r="H295" s="21"/>
      <c r="I295" s="825"/>
      <c r="J295" s="825"/>
      <c r="M295" s="825"/>
      <c r="N295" s="825"/>
      <c r="O295" s="825"/>
      <c r="P295" s="825"/>
      <c r="Q295" s="825"/>
      <c r="R295" s="825"/>
      <c r="S295" s="825"/>
      <c r="T295" s="825"/>
      <c r="U295" s="825"/>
      <c r="V295" s="825"/>
      <c r="W295" s="825"/>
      <c r="X295" s="825"/>
      <c r="Y295" s="825"/>
      <c r="Z295" s="825"/>
      <c r="AA295" s="825"/>
      <c r="AB295" s="825"/>
      <c r="AC295" s="825"/>
    </row>
    <row r="296" spans="1:29" ht="15.8" customHeight="1" x14ac:dyDescent="0.3">
      <c r="A296" s="825"/>
      <c r="C296" s="825"/>
      <c r="D296" s="21"/>
      <c r="E296" s="17"/>
      <c r="F296" s="825"/>
      <c r="G296" s="825"/>
      <c r="H296" s="21"/>
      <c r="I296" s="825"/>
      <c r="J296" s="825"/>
      <c r="M296" s="825"/>
      <c r="N296" s="825"/>
      <c r="O296" s="825"/>
      <c r="P296" s="825"/>
      <c r="Q296" s="825"/>
      <c r="R296" s="825"/>
      <c r="S296" s="825"/>
      <c r="T296" s="825"/>
      <c r="U296" s="825"/>
      <c r="V296" s="825"/>
      <c r="W296" s="825"/>
      <c r="X296" s="825"/>
      <c r="Y296" s="825"/>
      <c r="Z296" s="825"/>
      <c r="AA296" s="825"/>
      <c r="AB296" s="825"/>
      <c r="AC296" s="825"/>
    </row>
    <row r="297" spans="1:29" ht="15.8" customHeight="1" x14ac:dyDescent="0.3">
      <c r="A297" s="825"/>
      <c r="C297" s="825"/>
      <c r="D297" s="21"/>
      <c r="E297" s="17"/>
      <c r="F297" s="825"/>
      <c r="G297" s="825"/>
      <c r="H297" s="21"/>
      <c r="I297" s="825"/>
      <c r="J297" s="825"/>
      <c r="M297" s="825"/>
      <c r="N297" s="825"/>
      <c r="O297" s="825"/>
      <c r="P297" s="825"/>
      <c r="Q297" s="825"/>
      <c r="R297" s="825"/>
      <c r="S297" s="825"/>
      <c r="T297" s="825"/>
      <c r="U297" s="825"/>
      <c r="V297" s="825"/>
      <c r="W297" s="825"/>
      <c r="X297" s="825"/>
      <c r="Y297" s="825"/>
      <c r="Z297" s="825"/>
      <c r="AA297" s="825"/>
      <c r="AB297" s="825"/>
      <c r="AC297" s="825"/>
    </row>
    <row r="298" spans="1:29" ht="15.8" customHeight="1" x14ac:dyDescent="0.3">
      <c r="A298" s="825"/>
      <c r="C298" s="825"/>
      <c r="D298" s="21"/>
      <c r="E298" s="17"/>
      <c r="F298" s="825"/>
      <c r="G298" s="825"/>
      <c r="H298" s="21"/>
      <c r="I298" s="825"/>
      <c r="J298" s="825"/>
      <c r="M298" s="825"/>
      <c r="N298" s="825"/>
      <c r="O298" s="825"/>
      <c r="P298" s="825"/>
      <c r="Q298" s="825"/>
      <c r="R298" s="825"/>
      <c r="S298" s="825"/>
      <c r="T298" s="825"/>
      <c r="U298" s="825"/>
      <c r="V298" s="825"/>
      <c r="W298" s="825"/>
      <c r="X298" s="825"/>
      <c r="Y298" s="825"/>
      <c r="Z298" s="825"/>
      <c r="AA298" s="825"/>
      <c r="AB298" s="825"/>
      <c r="AC298" s="825"/>
    </row>
    <row r="299" spans="1:29" ht="15.8" customHeight="1" x14ac:dyDescent="0.3">
      <c r="A299" s="825"/>
      <c r="C299" s="825"/>
      <c r="D299" s="21"/>
      <c r="E299" s="17"/>
      <c r="F299" s="825"/>
      <c r="G299" s="825"/>
      <c r="H299" s="21"/>
      <c r="I299" s="825"/>
      <c r="J299" s="825"/>
      <c r="M299" s="825"/>
      <c r="N299" s="825"/>
      <c r="O299" s="825"/>
      <c r="P299" s="825"/>
      <c r="Q299" s="825"/>
      <c r="R299" s="825"/>
      <c r="S299" s="825"/>
      <c r="T299" s="825"/>
      <c r="U299" s="825"/>
      <c r="V299" s="825"/>
      <c r="W299" s="825"/>
      <c r="X299" s="825"/>
      <c r="Y299" s="825"/>
      <c r="Z299" s="825"/>
      <c r="AA299" s="825"/>
      <c r="AB299" s="825"/>
      <c r="AC299" s="825"/>
    </row>
    <row r="300" spans="1:29" ht="15.8" customHeight="1" x14ac:dyDescent="0.3">
      <c r="A300" s="825"/>
      <c r="C300" s="825"/>
      <c r="D300" s="21"/>
      <c r="E300" s="17"/>
      <c r="F300" s="825"/>
      <c r="G300" s="825"/>
      <c r="H300" s="21"/>
      <c r="I300" s="825"/>
      <c r="J300" s="825"/>
      <c r="M300" s="825"/>
      <c r="N300" s="825"/>
      <c r="O300" s="825"/>
      <c r="P300" s="825"/>
      <c r="Q300" s="825"/>
      <c r="R300" s="825"/>
      <c r="S300" s="825"/>
      <c r="T300" s="825"/>
      <c r="U300" s="825"/>
      <c r="V300" s="825"/>
      <c r="W300" s="825"/>
      <c r="X300" s="825"/>
      <c r="Y300" s="825"/>
      <c r="Z300" s="825"/>
      <c r="AA300" s="825"/>
      <c r="AB300" s="825"/>
      <c r="AC300" s="825"/>
    </row>
    <row r="301" spans="1:29" ht="15.8" customHeight="1" x14ac:dyDescent="0.3">
      <c r="A301" s="825"/>
      <c r="C301" s="825"/>
      <c r="D301" s="21"/>
      <c r="E301" s="17"/>
      <c r="F301" s="825"/>
      <c r="G301" s="825"/>
      <c r="H301" s="21"/>
      <c r="I301" s="825"/>
      <c r="J301" s="825"/>
      <c r="M301" s="825"/>
      <c r="N301" s="825"/>
      <c r="O301" s="825"/>
      <c r="P301" s="825"/>
      <c r="Q301" s="825"/>
      <c r="R301" s="825"/>
      <c r="S301" s="825"/>
      <c r="T301" s="825"/>
      <c r="U301" s="825"/>
      <c r="V301" s="825"/>
      <c r="W301" s="825"/>
      <c r="X301" s="825"/>
      <c r="Y301" s="825"/>
      <c r="Z301" s="825"/>
      <c r="AA301" s="825"/>
      <c r="AB301" s="825"/>
      <c r="AC301" s="825"/>
    </row>
    <row r="302" spans="1:29" ht="15.8" customHeight="1" x14ac:dyDescent="0.3">
      <c r="A302" s="825"/>
      <c r="C302" s="825"/>
      <c r="D302" s="21"/>
      <c r="E302" s="17"/>
      <c r="F302" s="825"/>
      <c r="G302" s="825"/>
      <c r="H302" s="21"/>
      <c r="I302" s="825"/>
      <c r="J302" s="825"/>
      <c r="M302" s="825"/>
      <c r="N302" s="825"/>
      <c r="O302" s="825"/>
      <c r="P302" s="825"/>
      <c r="Q302" s="825"/>
      <c r="R302" s="825"/>
      <c r="S302" s="825"/>
      <c r="T302" s="825"/>
      <c r="U302" s="825"/>
      <c r="V302" s="825"/>
      <c r="W302" s="825"/>
      <c r="X302" s="825"/>
      <c r="Y302" s="825"/>
      <c r="Z302" s="825"/>
      <c r="AA302" s="825"/>
      <c r="AB302" s="825"/>
      <c r="AC302" s="825"/>
    </row>
    <row r="303" spans="1:29" ht="15.8" customHeight="1" x14ac:dyDescent="0.3">
      <c r="A303" s="825"/>
      <c r="C303" s="825"/>
      <c r="D303" s="21"/>
      <c r="E303" s="17"/>
      <c r="F303" s="825"/>
      <c r="G303" s="825"/>
      <c r="H303" s="21"/>
      <c r="I303" s="825"/>
      <c r="J303" s="825"/>
      <c r="M303" s="825"/>
      <c r="N303" s="825"/>
      <c r="O303" s="825"/>
      <c r="P303" s="825"/>
      <c r="Q303" s="825"/>
      <c r="R303" s="825"/>
      <c r="S303" s="825"/>
      <c r="T303" s="825"/>
      <c r="U303" s="825"/>
      <c r="V303" s="825"/>
      <c r="W303" s="825"/>
      <c r="X303" s="825"/>
      <c r="Y303" s="825"/>
      <c r="Z303" s="825"/>
      <c r="AA303" s="825"/>
      <c r="AB303" s="825"/>
      <c r="AC303" s="825"/>
    </row>
    <row r="304" spans="1:29" ht="15.8" customHeight="1" x14ac:dyDescent="0.3">
      <c r="A304" s="825"/>
      <c r="C304" s="825"/>
      <c r="D304" s="21"/>
      <c r="E304" s="17"/>
      <c r="F304" s="825"/>
      <c r="G304" s="825"/>
      <c r="H304" s="21"/>
      <c r="I304" s="825"/>
      <c r="J304" s="825"/>
      <c r="M304" s="825"/>
      <c r="N304" s="825"/>
      <c r="O304" s="825"/>
      <c r="P304" s="825"/>
      <c r="Q304" s="825"/>
      <c r="R304" s="825"/>
      <c r="S304" s="825"/>
      <c r="T304" s="825"/>
      <c r="U304" s="825"/>
      <c r="V304" s="825"/>
      <c r="W304" s="825"/>
      <c r="X304" s="825"/>
      <c r="Y304" s="825"/>
      <c r="Z304" s="825"/>
      <c r="AA304" s="825"/>
      <c r="AB304" s="825"/>
      <c r="AC304" s="825"/>
    </row>
    <row r="305" spans="1:29" ht="15.8" customHeight="1" x14ac:dyDescent="0.3">
      <c r="A305" s="825"/>
      <c r="C305" s="825"/>
      <c r="D305" s="21"/>
      <c r="E305" s="17"/>
      <c r="F305" s="825"/>
      <c r="G305" s="825"/>
      <c r="H305" s="21"/>
      <c r="I305" s="825"/>
      <c r="J305" s="825"/>
      <c r="M305" s="825"/>
      <c r="N305" s="825"/>
      <c r="O305" s="825"/>
      <c r="P305" s="825"/>
      <c r="Q305" s="825"/>
      <c r="R305" s="825"/>
      <c r="S305" s="825"/>
      <c r="T305" s="825"/>
      <c r="U305" s="825"/>
      <c r="V305" s="825"/>
      <c r="W305" s="825"/>
      <c r="X305" s="825"/>
      <c r="Y305" s="825"/>
      <c r="Z305" s="825"/>
      <c r="AA305" s="825"/>
      <c r="AB305" s="825"/>
      <c r="AC305" s="825"/>
    </row>
    <row r="306" spans="1:29" ht="15.8" customHeight="1" x14ac:dyDescent="0.3">
      <c r="A306" s="825"/>
      <c r="C306" s="825"/>
      <c r="D306" s="21"/>
      <c r="E306" s="17"/>
      <c r="F306" s="825"/>
      <c r="G306" s="825"/>
      <c r="H306" s="21"/>
      <c r="I306" s="825"/>
      <c r="J306" s="825"/>
      <c r="M306" s="825"/>
      <c r="N306" s="825"/>
      <c r="O306" s="825"/>
      <c r="P306" s="825"/>
      <c r="Q306" s="825"/>
      <c r="R306" s="825"/>
      <c r="S306" s="825"/>
      <c r="T306" s="825"/>
      <c r="U306" s="825"/>
      <c r="V306" s="825"/>
      <c r="W306" s="825"/>
      <c r="X306" s="825"/>
      <c r="Y306" s="825"/>
      <c r="Z306" s="825"/>
      <c r="AA306" s="825"/>
      <c r="AB306" s="825"/>
      <c r="AC306" s="825"/>
    </row>
    <row r="307" spans="1:29" ht="15.8" customHeight="1" x14ac:dyDescent="0.3">
      <c r="A307" s="825"/>
      <c r="C307" s="825"/>
      <c r="D307" s="21"/>
      <c r="E307" s="17"/>
      <c r="F307" s="825"/>
      <c r="G307" s="825"/>
      <c r="H307" s="21"/>
      <c r="I307" s="825"/>
      <c r="J307" s="825"/>
      <c r="M307" s="825"/>
      <c r="N307" s="825"/>
      <c r="O307" s="825"/>
      <c r="P307" s="825"/>
      <c r="Q307" s="825"/>
      <c r="R307" s="825"/>
      <c r="S307" s="825"/>
      <c r="T307" s="825"/>
      <c r="U307" s="825"/>
      <c r="V307" s="825"/>
      <c r="W307" s="825"/>
      <c r="X307" s="825"/>
      <c r="Y307" s="825"/>
      <c r="Z307" s="825"/>
      <c r="AA307" s="825"/>
      <c r="AB307" s="825"/>
      <c r="AC307" s="825"/>
    </row>
    <row r="308" spans="1:29" ht="15.8" customHeight="1" x14ac:dyDescent="0.3">
      <c r="A308" s="825"/>
      <c r="C308" s="825"/>
      <c r="D308" s="21"/>
      <c r="E308" s="17"/>
      <c r="F308" s="825"/>
      <c r="G308" s="825"/>
      <c r="H308" s="21"/>
      <c r="I308" s="825"/>
      <c r="J308" s="825"/>
      <c r="M308" s="825"/>
      <c r="N308" s="825"/>
      <c r="O308" s="825"/>
      <c r="P308" s="825"/>
      <c r="Q308" s="825"/>
      <c r="R308" s="825"/>
      <c r="S308" s="825"/>
      <c r="T308" s="825"/>
      <c r="U308" s="825"/>
      <c r="V308" s="825"/>
      <c r="W308" s="825"/>
      <c r="X308" s="825"/>
      <c r="Y308" s="825"/>
      <c r="Z308" s="825"/>
      <c r="AA308" s="825"/>
      <c r="AB308" s="825"/>
      <c r="AC308" s="825"/>
    </row>
    <row r="309" spans="1:29" ht="15.8" customHeight="1" x14ac:dyDescent="0.3">
      <c r="A309" s="825"/>
      <c r="C309" s="825"/>
      <c r="D309" s="21"/>
      <c r="E309" s="17"/>
      <c r="F309" s="825"/>
      <c r="G309" s="825"/>
      <c r="H309" s="21"/>
      <c r="I309" s="825"/>
      <c r="J309" s="825"/>
      <c r="M309" s="825"/>
      <c r="N309" s="825"/>
      <c r="O309" s="825"/>
      <c r="P309" s="825"/>
      <c r="Q309" s="825"/>
      <c r="R309" s="825"/>
      <c r="S309" s="825"/>
      <c r="T309" s="825"/>
      <c r="U309" s="825"/>
      <c r="V309" s="825"/>
      <c r="W309" s="825"/>
      <c r="X309" s="825"/>
      <c r="Y309" s="825"/>
      <c r="Z309" s="825"/>
      <c r="AA309" s="825"/>
      <c r="AB309" s="825"/>
      <c r="AC309" s="825"/>
    </row>
    <row r="310" spans="1:29" ht="15.8" customHeight="1" x14ac:dyDescent="0.3">
      <c r="A310" s="825"/>
      <c r="C310" s="825"/>
      <c r="D310" s="21"/>
      <c r="E310" s="17"/>
      <c r="F310" s="825"/>
      <c r="G310" s="825"/>
      <c r="H310" s="21"/>
      <c r="I310" s="825"/>
      <c r="J310" s="825"/>
      <c r="M310" s="825"/>
      <c r="N310" s="825"/>
      <c r="O310" s="825"/>
      <c r="P310" s="825"/>
      <c r="Q310" s="825"/>
      <c r="R310" s="825"/>
      <c r="S310" s="825"/>
      <c r="T310" s="825"/>
      <c r="U310" s="825"/>
      <c r="V310" s="825"/>
      <c r="W310" s="825"/>
      <c r="X310" s="825"/>
      <c r="Y310" s="825"/>
      <c r="Z310" s="825"/>
      <c r="AA310" s="825"/>
      <c r="AB310" s="825"/>
      <c r="AC310" s="825"/>
    </row>
    <row r="311" spans="1:29" ht="15.8" customHeight="1" x14ac:dyDescent="0.3">
      <c r="A311" s="825"/>
      <c r="C311" s="825"/>
      <c r="D311" s="21"/>
      <c r="E311" s="17"/>
      <c r="F311" s="825"/>
      <c r="G311" s="825"/>
      <c r="H311" s="21"/>
      <c r="I311" s="825"/>
      <c r="J311" s="825"/>
      <c r="M311" s="825"/>
      <c r="N311" s="825"/>
      <c r="O311" s="825"/>
      <c r="P311" s="825"/>
      <c r="Q311" s="825"/>
      <c r="R311" s="825"/>
      <c r="S311" s="825"/>
      <c r="T311" s="825"/>
      <c r="U311" s="825"/>
      <c r="V311" s="825"/>
      <c r="W311" s="825"/>
      <c r="X311" s="825"/>
      <c r="Y311" s="825"/>
      <c r="Z311" s="825"/>
      <c r="AA311" s="825"/>
      <c r="AB311" s="825"/>
      <c r="AC311" s="825"/>
    </row>
    <row r="312" spans="1:29" ht="15.8" customHeight="1" x14ac:dyDescent="0.3">
      <c r="A312" s="825"/>
      <c r="C312" s="825"/>
      <c r="D312" s="21"/>
      <c r="E312" s="17"/>
      <c r="F312" s="825"/>
      <c r="G312" s="825"/>
      <c r="H312" s="21"/>
      <c r="I312" s="825"/>
      <c r="J312" s="825"/>
      <c r="M312" s="825"/>
      <c r="N312" s="825"/>
      <c r="O312" s="825"/>
      <c r="P312" s="825"/>
      <c r="Q312" s="825"/>
      <c r="R312" s="825"/>
      <c r="S312" s="825"/>
      <c r="T312" s="825"/>
      <c r="U312" s="825"/>
      <c r="V312" s="825"/>
      <c r="W312" s="825"/>
      <c r="X312" s="825"/>
      <c r="Y312" s="825"/>
      <c r="Z312" s="825"/>
      <c r="AA312" s="825"/>
      <c r="AB312" s="825"/>
      <c r="AC312" s="825"/>
    </row>
    <row r="313" spans="1:29" ht="15.8" customHeight="1" x14ac:dyDescent="0.3">
      <c r="A313" s="825"/>
      <c r="C313" s="825"/>
      <c r="D313" s="21"/>
      <c r="E313" s="17"/>
      <c r="F313" s="825"/>
      <c r="G313" s="825"/>
      <c r="H313" s="21"/>
      <c r="I313" s="825"/>
      <c r="J313" s="825"/>
      <c r="M313" s="825"/>
      <c r="N313" s="825"/>
      <c r="O313" s="825"/>
      <c r="P313" s="825"/>
      <c r="Q313" s="825"/>
      <c r="R313" s="825"/>
      <c r="S313" s="825"/>
      <c r="T313" s="825"/>
      <c r="U313" s="825"/>
      <c r="V313" s="825"/>
      <c r="W313" s="825"/>
      <c r="X313" s="825"/>
      <c r="Y313" s="825"/>
      <c r="Z313" s="825"/>
      <c r="AA313" s="825"/>
      <c r="AB313" s="825"/>
      <c r="AC313" s="825"/>
    </row>
    <row r="314" spans="1:29" ht="15.8" customHeight="1" x14ac:dyDescent="0.3">
      <c r="A314" s="825"/>
      <c r="C314" s="825"/>
      <c r="D314" s="21"/>
      <c r="E314" s="17"/>
      <c r="F314" s="825"/>
      <c r="G314" s="825"/>
      <c r="H314" s="21"/>
      <c r="I314" s="825"/>
      <c r="J314" s="825"/>
      <c r="M314" s="825"/>
      <c r="N314" s="825"/>
      <c r="O314" s="825"/>
      <c r="P314" s="825"/>
      <c r="Q314" s="825"/>
      <c r="R314" s="825"/>
      <c r="S314" s="825"/>
      <c r="T314" s="825"/>
      <c r="U314" s="825"/>
      <c r="V314" s="825"/>
      <c r="W314" s="825"/>
      <c r="X314" s="825"/>
      <c r="Y314" s="825"/>
      <c r="Z314" s="825"/>
      <c r="AA314" s="825"/>
      <c r="AB314" s="825"/>
      <c r="AC314" s="825"/>
    </row>
    <row r="315" spans="1:29" ht="15.8" customHeight="1" x14ac:dyDescent="0.3">
      <c r="A315" s="825"/>
      <c r="C315" s="825"/>
      <c r="D315" s="21"/>
      <c r="E315" s="17"/>
      <c r="F315" s="825"/>
      <c r="G315" s="825"/>
      <c r="H315" s="21"/>
      <c r="I315" s="825"/>
      <c r="J315" s="825"/>
      <c r="M315" s="825"/>
      <c r="N315" s="825"/>
      <c r="O315" s="825"/>
      <c r="P315" s="825"/>
      <c r="Q315" s="825"/>
      <c r="R315" s="825"/>
      <c r="S315" s="825"/>
      <c r="T315" s="825"/>
      <c r="U315" s="825"/>
      <c r="V315" s="825"/>
      <c r="W315" s="825"/>
      <c r="X315" s="825"/>
      <c r="Y315" s="825"/>
      <c r="Z315" s="825"/>
      <c r="AA315" s="825"/>
      <c r="AB315" s="825"/>
      <c r="AC315" s="825"/>
    </row>
    <row r="316" spans="1:29" ht="15.8" customHeight="1" x14ac:dyDescent="0.3">
      <c r="A316" s="825"/>
      <c r="C316" s="825"/>
      <c r="D316" s="21"/>
      <c r="E316" s="17"/>
      <c r="F316" s="825"/>
      <c r="G316" s="825"/>
      <c r="H316" s="21"/>
      <c r="I316" s="825"/>
      <c r="J316" s="825"/>
      <c r="M316" s="825"/>
      <c r="N316" s="825"/>
      <c r="O316" s="825"/>
      <c r="P316" s="825"/>
      <c r="Q316" s="825"/>
      <c r="R316" s="825"/>
      <c r="S316" s="825"/>
      <c r="T316" s="825"/>
      <c r="U316" s="825"/>
      <c r="V316" s="825"/>
      <c r="W316" s="825"/>
      <c r="X316" s="825"/>
      <c r="Y316" s="825"/>
      <c r="Z316" s="825"/>
      <c r="AA316" s="825"/>
      <c r="AB316" s="825"/>
      <c r="AC316" s="825"/>
    </row>
    <row r="317" spans="1:29" ht="15.8" customHeight="1" x14ac:dyDescent="0.3">
      <c r="A317" s="825"/>
      <c r="C317" s="825"/>
      <c r="D317" s="21"/>
      <c r="E317" s="17"/>
      <c r="F317" s="825"/>
      <c r="G317" s="825"/>
      <c r="H317" s="21"/>
      <c r="I317" s="825"/>
      <c r="J317" s="825"/>
      <c r="M317" s="825"/>
      <c r="N317" s="825"/>
      <c r="O317" s="825"/>
      <c r="P317" s="825"/>
      <c r="Q317" s="825"/>
      <c r="R317" s="825"/>
      <c r="S317" s="825"/>
      <c r="T317" s="825"/>
      <c r="U317" s="825"/>
      <c r="V317" s="825"/>
      <c r="W317" s="825"/>
      <c r="X317" s="825"/>
      <c r="Y317" s="825"/>
      <c r="Z317" s="825"/>
      <c r="AA317" s="825"/>
      <c r="AB317" s="825"/>
      <c r="AC317" s="825"/>
    </row>
    <row r="318" spans="1:29" ht="15.8" customHeight="1" x14ac:dyDescent="0.3">
      <c r="A318" s="825"/>
      <c r="C318" s="825"/>
      <c r="D318" s="21"/>
      <c r="E318" s="17"/>
      <c r="F318" s="825"/>
      <c r="G318" s="825"/>
      <c r="H318" s="21"/>
      <c r="I318" s="825"/>
      <c r="J318" s="825"/>
      <c r="M318" s="825"/>
      <c r="N318" s="825"/>
      <c r="O318" s="825"/>
      <c r="P318" s="825"/>
      <c r="Q318" s="825"/>
      <c r="R318" s="825"/>
      <c r="S318" s="825"/>
      <c r="T318" s="825"/>
      <c r="U318" s="825"/>
      <c r="V318" s="825"/>
      <c r="W318" s="825"/>
      <c r="X318" s="825"/>
      <c r="Y318" s="825"/>
      <c r="Z318" s="825"/>
      <c r="AA318" s="825"/>
      <c r="AB318" s="825"/>
      <c r="AC318" s="825"/>
    </row>
    <row r="319" spans="1:29" ht="15.8" customHeight="1" x14ac:dyDescent="0.3">
      <c r="A319" s="825"/>
      <c r="C319" s="825"/>
      <c r="D319" s="21"/>
      <c r="E319" s="17"/>
      <c r="F319" s="825"/>
      <c r="G319" s="825"/>
      <c r="H319" s="21"/>
      <c r="I319" s="825"/>
      <c r="J319" s="825"/>
      <c r="M319" s="825"/>
      <c r="N319" s="825"/>
      <c r="O319" s="825"/>
      <c r="P319" s="825"/>
      <c r="Q319" s="825"/>
      <c r="R319" s="825"/>
      <c r="S319" s="825"/>
      <c r="T319" s="825"/>
      <c r="U319" s="825"/>
      <c r="V319" s="825"/>
      <c r="W319" s="825"/>
      <c r="X319" s="825"/>
      <c r="Y319" s="825"/>
      <c r="Z319" s="825"/>
      <c r="AA319" s="825"/>
      <c r="AB319" s="825"/>
      <c r="AC319" s="825"/>
    </row>
    <row r="320" spans="1:29" ht="15.8" customHeight="1" x14ac:dyDescent="0.3">
      <c r="A320" s="825"/>
      <c r="C320" s="825"/>
      <c r="D320" s="21"/>
      <c r="E320" s="17"/>
      <c r="F320" s="825"/>
      <c r="G320" s="825"/>
      <c r="H320" s="21"/>
      <c r="I320" s="825"/>
      <c r="J320" s="825"/>
      <c r="M320" s="825"/>
      <c r="N320" s="825"/>
      <c r="O320" s="825"/>
      <c r="P320" s="825"/>
      <c r="Q320" s="825"/>
      <c r="R320" s="825"/>
      <c r="S320" s="825"/>
      <c r="T320" s="825"/>
      <c r="U320" s="825"/>
      <c r="V320" s="825"/>
      <c r="W320" s="825"/>
      <c r="X320" s="825"/>
      <c r="Y320" s="825"/>
      <c r="Z320" s="825"/>
      <c r="AA320" s="825"/>
      <c r="AB320" s="825"/>
      <c r="AC320" s="825"/>
    </row>
    <row r="321" spans="1:29" ht="15.8" customHeight="1" x14ac:dyDescent="0.3">
      <c r="A321" s="825"/>
      <c r="C321" s="825"/>
      <c r="D321" s="21"/>
      <c r="E321" s="17"/>
      <c r="F321" s="825"/>
      <c r="G321" s="825"/>
      <c r="H321" s="21"/>
      <c r="I321" s="825"/>
      <c r="J321" s="825"/>
      <c r="M321" s="825"/>
      <c r="N321" s="825"/>
      <c r="O321" s="825"/>
      <c r="P321" s="825"/>
      <c r="Q321" s="825"/>
      <c r="R321" s="825"/>
      <c r="S321" s="825"/>
      <c r="T321" s="825"/>
      <c r="U321" s="825"/>
      <c r="V321" s="825"/>
      <c r="W321" s="825"/>
      <c r="X321" s="825"/>
      <c r="Y321" s="825"/>
      <c r="Z321" s="825"/>
      <c r="AA321" s="825"/>
      <c r="AB321" s="825"/>
      <c r="AC321" s="825"/>
    </row>
    <row r="322" spans="1:29" ht="15.8" customHeight="1" x14ac:dyDescent="0.3">
      <c r="A322" s="825"/>
      <c r="C322" s="825"/>
      <c r="D322" s="21"/>
      <c r="E322" s="17"/>
      <c r="F322" s="825"/>
      <c r="G322" s="825"/>
      <c r="H322" s="21"/>
      <c r="I322" s="825"/>
      <c r="J322" s="825"/>
      <c r="M322" s="825"/>
      <c r="N322" s="825"/>
      <c r="O322" s="825"/>
      <c r="P322" s="825"/>
      <c r="Q322" s="825"/>
      <c r="R322" s="825"/>
      <c r="S322" s="825"/>
      <c r="T322" s="825"/>
      <c r="U322" s="825"/>
      <c r="V322" s="825"/>
      <c r="W322" s="825"/>
      <c r="X322" s="825"/>
      <c r="Y322" s="825"/>
      <c r="Z322" s="825"/>
      <c r="AA322" s="825"/>
      <c r="AB322" s="825"/>
      <c r="AC322" s="825"/>
    </row>
    <row r="323" spans="1:29" ht="15.8" customHeight="1" x14ac:dyDescent="0.3">
      <c r="A323" s="825"/>
      <c r="C323" s="825"/>
      <c r="D323" s="21"/>
      <c r="E323" s="17"/>
      <c r="F323" s="825"/>
      <c r="G323" s="825"/>
      <c r="H323" s="21"/>
      <c r="I323" s="825"/>
      <c r="J323" s="825"/>
      <c r="M323" s="825"/>
      <c r="N323" s="825"/>
      <c r="O323" s="825"/>
      <c r="P323" s="825"/>
      <c r="Q323" s="825"/>
      <c r="R323" s="825"/>
      <c r="S323" s="825"/>
      <c r="T323" s="825"/>
      <c r="U323" s="825"/>
      <c r="V323" s="825"/>
      <c r="W323" s="825"/>
      <c r="X323" s="825"/>
      <c r="Y323" s="825"/>
      <c r="Z323" s="825"/>
      <c r="AA323" s="825"/>
      <c r="AB323" s="825"/>
      <c r="AC323" s="825"/>
    </row>
    <row r="324" spans="1:29" ht="15.8" customHeight="1" x14ac:dyDescent="0.3">
      <c r="A324" s="825"/>
      <c r="C324" s="825"/>
      <c r="D324" s="21"/>
      <c r="E324" s="17"/>
      <c r="F324" s="825"/>
      <c r="G324" s="825"/>
      <c r="H324" s="21"/>
      <c r="I324" s="825"/>
      <c r="J324" s="825"/>
      <c r="M324" s="825"/>
      <c r="N324" s="825"/>
      <c r="O324" s="825"/>
      <c r="P324" s="825"/>
      <c r="Q324" s="825"/>
      <c r="R324" s="825"/>
      <c r="S324" s="825"/>
      <c r="T324" s="825"/>
      <c r="U324" s="825"/>
      <c r="V324" s="825"/>
      <c r="W324" s="825"/>
      <c r="X324" s="825"/>
      <c r="Y324" s="825"/>
      <c r="Z324" s="825"/>
      <c r="AA324" s="825"/>
      <c r="AB324" s="825"/>
      <c r="AC324" s="825"/>
    </row>
    <row r="325" spans="1:29" ht="15.8" customHeight="1" x14ac:dyDescent="0.3">
      <c r="A325" s="825"/>
      <c r="C325" s="825"/>
      <c r="D325" s="21"/>
      <c r="E325" s="17"/>
      <c r="F325" s="825"/>
      <c r="G325" s="825"/>
      <c r="H325" s="21"/>
      <c r="I325" s="825"/>
      <c r="J325" s="825"/>
      <c r="M325" s="825"/>
      <c r="N325" s="825"/>
      <c r="O325" s="825"/>
      <c r="P325" s="825"/>
      <c r="Q325" s="825"/>
      <c r="R325" s="825"/>
      <c r="S325" s="825"/>
      <c r="T325" s="825"/>
      <c r="U325" s="825"/>
      <c r="V325" s="825"/>
      <c r="W325" s="825"/>
      <c r="X325" s="825"/>
      <c r="Y325" s="825"/>
      <c r="Z325" s="825"/>
      <c r="AA325" s="825"/>
      <c r="AB325" s="825"/>
      <c r="AC325" s="825"/>
    </row>
    <row r="326" spans="1:29" ht="15.8" customHeight="1" x14ac:dyDescent="0.3">
      <c r="A326" s="825"/>
      <c r="C326" s="825"/>
      <c r="D326" s="21"/>
      <c r="E326" s="17"/>
      <c r="F326" s="825"/>
      <c r="G326" s="825"/>
      <c r="H326" s="21"/>
      <c r="I326" s="825"/>
      <c r="J326" s="825"/>
      <c r="M326" s="825"/>
      <c r="N326" s="825"/>
      <c r="O326" s="825"/>
      <c r="P326" s="825"/>
      <c r="Q326" s="825"/>
      <c r="R326" s="825"/>
      <c r="S326" s="825"/>
      <c r="T326" s="825"/>
      <c r="U326" s="825"/>
      <c r="V326" s="825"/>
      <c r="W326" s="825"/>
      <c r="X326" s="825"/>
      <c r="Y326" s="825"/>
      <c r="Z326" s="825"/>
      <c r="AA326" s="825"/>
      <c r="AB326" s="825"/>
      <c r="AC326" s="825"/>
    </row>
    <row r="327" spans="1:29" ht="15.8" customHeight="1" x14ac:dyDescent="0.3">
      <c r="A327" s="825"/>
      <c r="C327" s="825"/>
      <c r="D327" s="21"/>
      <c r="E327" s="17"/>
      <c r="F327" s="825"/>
      <c r="G327" s="825"/>
      <c r="H327" s="21"/>
      <c r="I327" s="825"/>
      <c r="J327" s="825"/>
      <c r="M327" s="825"/>
      <c r="N327" s="825"/>
      <c r="O327" s="825"/>
      <c r="P327" s="825"/>
      <c r="Q327" s="825"/>
      <c r="R327" s="825"/>
      <c r="S327" s="825"/>
      <c r="T327" s="825"/>
      <c r="U327" s="825"/>
      <c r="V327" s="825"/>
      <c r="W327" s="825"/>
      <c r="X327" s="825"/>
      <c r="Y327" s="825"/>
      <c r="Z327" s="825"/>
      <c r="AA327" s="825"/>
      <c r="AB327" s="825"/>
      <c r="AC327" s="825"/>
    </row>
    <row r="328" spans="1:29" ht="15.8" customHeight="1" x14ac:dyDescent="0.3">
      <c r="A328" s="825"/>
      <c r="C328" s="825"/>
      <c r="D328" s="21"/>
      <c r="E328" s="17"/>
      <c r="F328" s="825"/>
      <c r="G328" s="825"/>
      <c r="H328" s="21"/>
      <c r="I328" s="825"/>
      <c r="J328" s="825"/>
      <c r="M328" s="825"/>
      <c r="N328" s="825"/>
      <c r="O328" s="825"/>
      <c r="P328" s="825"/>
      <c r="Q328" s="825"/>
      <c r="R328" s="825"/>
      <c r="S328" s="825"/>
      <c r="T328" s="825"/>
      <c r="U328" s="825"/>
      <c r="V328" s="825"/>
      <c r="W328" s="825"/>
      <c r="X328" s="825"/>
      <c r="Y328" s="825"/>
      <c r="Z328" s="825"/>
      <c r="AA328" s="825"/>
      <c r="AB328" s="825"/>
      <c r="AC328" s="825"/>
    </row>
    <row r="329" spans="1:29" ht="15.8" customHeight="1" x14ac:dyDescent="0.3">
      <c r="A329" s="825"/>
      <c r="C329" s="825"/>
      <c r="D329" s="21"/>
      <c r="E329" s="17"/>
      <c r="F329" s="825"/>
      <c r="G329" s="825"/>
      <c r="H329" s="21"/>
      <c r="I329" s="825"/>
      <c r="J329" s="825"/>
      <c r="M329" s="825"/>
      <c r="N329" s="825"/>
      <c r="O329" s="825"/>
      <c r="P329" s="825"/>
      <c r="Q329" s="825"/>
      <c r="R329" s="825"/>
      <c r="S329" s="825"/>
      <c r="T329" s="825"/>
      <c r="U329" s="825"/>
      <c r="V329" s="825"/>
      <c r="W329" s="825"/>
      <c r="X329" s="825"/>
      <c r="Y329" s="825"/>
      <c r="Z329" s="825"/>
      <c r="AA329" s="825"/>
      <c r="AB329" s="825"/>
      <c r="AC329" s="825"/>
    </row>
    <row r="330" spans="1:29" ht="15.8" customHeight="1" x14ac:dyDescent="0.3">
      <c r="A330" s="825"/>
      <c r="C330" s="825"/>
      <c r="D330" s="21"/>
      <c r="E330" s="17"/>
      <c r="F330" s="825"/>
      <c r="G330" s="825"/>
      <c r="H330" s="21"/>
      <c r="I330" s="825"/>
      <c r="J330" s="825"/>
      <c r="M330" s="825"/>
      <c r="N330" s="825"/>
      <c r="O330" s="825"/>
      <c r="P330" s="825"/>
      <c r="Q330" s="825"/>
      <c r="R330" s="825"/>
      <c r="S330" s="825"/>
      <c r="T330" s="825"/>
      <c r="U330" s="825"/>
      <c r="V330" s="825"/>
      <c r="W330" s="825"/>
      <c r="X330" s="825"/>
      <c r="Y330" s="825"/>
      <c r="Z330" s="825"/>
      <c r="AA330" s="825"/>
      <c r="AB330" s="825"/>
      <c r="AC330" s="825"/>
    </row>
    <row r="331" spans="1:29" ht="15.8" customHeight="1" x14ac:dyDescent="0.3">
      <c r="A331" s="825"/>
      <c r="C331" s="825"/>
      <c r="D331" s="21"/>
      <c r="E331" s="17"/>
      <c r="F331" s="825"/>
      <c r="G331" s="825"/>
      <c r="H331" s="21"/>
      <c r="I331" s="825"/>
      <c r="J331" s="825"/>
      <c r="M331" s="825"/>
      <c r="N331" s="825"/>
      <c r="O331" s="825"/>
      <c r="P331" s="825"/>
      <c r="Q331" s="825"/>
      <c r="R331" s="825"/>
      <c r="S331" s="825"/>
      <c r="T331" s="825"/>
      <c r="U331" s="825"/>
      <c r="V331" s="825"/>
      <c r="W331" s="825"/>
      <c r="X331" s="825"/>
      <c r="Y331" s="825"/>
      <c r="Z331" s="825"/>
      <c r="AA331" s="825"/>
      <c r="AB331" s="825"/>
      <c r="AC331" s="825"/>
    </row>
    <row r="332" spans="1:29" ht="15.8" customHeight="1" x14ac:dyDescent="0.3">
      <c r="A332" s="825"/>
      <c r="C332" s="825"/>
      <c r="D332" s="21"/>
      <c r="E332" s="17"/>
      <c r="F332" s="825"/>
      <c r="G332" s="825"/>
      <c r="H332" s="21"/>
      <c r="I332" s="825"/>
      <c r="J332" s="825"/>
      <c r="M332" s="825"/>
      <c r="N332" s="825"/>
      <c r="O332" s="825"/>
      <c r="P332" s="825"/>
      <c r="Q332" s="825"/>
      <c r="R332" s="825"/>
      <c r="S332" s="825"/>
      <c r="T332" s="825"/>
      <c r="U332" s="825"/>
      <c r="V332" s="825"/>
      <c r="W332" s="825"/>
      <c r="X332" s="825"/>
      <c r="Y332" s="825"/>
      <c r="Z332" s="825"/>
      <c r="AA332" s="825"/>
      <c r="AB332" s="825"/>
      <c r="AC332" s="825"/>
    </row>
    <row r="333" spans="1:29" ht="15.8" customHeight="1" x14ac:dyDescent="0.3">
      <c r="A333" s="825"/>
      <c r="C333" s="825"/>
      <c r="D333" s="21"/>
      <c r="E333" s="17"/>
      <c r="F333" s="825"/>
      <c r="G333" s="825"/>
      <c r="H333" s="21"/>
      <c r="I333" s="825"/>
      <c r="J333" s="825"/>
      <c r="M333" s="825"/>
      <c r="N333" s="825"/>
      <c r="O333" s="825"/>
      <c r="P333" s="825"/>
      <c r="Q333" s="825"/>
      <c r="R333" s="825"/>
      <c r="S333" s="825"/>
      <c r="T333" s="825"/>
      <c r="U333" s="825"/>
      <c r="V333" s="825"/>
      <c r="W333" s="825"/>
      <c r="X333" s="825"/>
      <c r="Y333" s="825"/>
      <c r="Z333" s="825"/>
      <c r="AA333" s="825"/>
      <c r="AB333" s="825"/>
      <c r="AC333" s="825"/>
    </row>
    <row r="334" spans="1:29" ht="15.8" customHeight="1" x14ac:dyDescent="0.3">
      <c r="A334" s="825"/>
      <c r="C334" s="825"/>
      <c r="D334" s="21"/>
      <c r="E334" s="17"/>
      <c r="F334" s="825"/>
      <c r="G334" s="825"/>
      <c r="H334" s="21"/>
      <c r="I334" s="825"/>
      <c r="J334" s="825"/>
      <c r="M334" s="825"/>
      <c r="N334" s="825"/>
      <c r="O334" s="825"/>
      <c r="P334" s="825"/>
      <c r="Q334" s="825"/>
      <c r="R334" s="825"/>
      <c r="S334" s="825"/>
      <c r="T334" s="825"/>
      <c r="U334" s="825"/>
      <c r="V334" s="825"/>
      <c r="W334" s="825"/>
      <c r="X334" s="825"/>
      <c r="Y334" s="825"/>
      <c r="Z334" s="825"/>
      <c r="AA334" s="825"/>
      <c r="AB334" s="825"/>
      <c r="AC334" s="825"/>
    </row>
    <row r="335" spans="1:29" ht="15.8" customHeight="1" x14ac:dyDescent="0.3">
      <c r="A335" s="825"/>
      <c r="C335" s="825"/>
      <c r="D335" s="21"/>
      <c r="E335" s="17"/>
      <c r="F335" s="825"/>
      <c r="G335" s="825"/>
      <c r="H335" s="21"/>
      <c r="I335" s="825"/>
      <c r="J335" s="825"/>
      <c r="M335" s="825"/>
      <c r="N335" s="825"/>
      <c r="O335" s="825"/>
      <c r="P335" s="825"/>
      <c r="Q335" s="825"/>
      <c r="R335" s="825"/>
      <c r="S335" s="825"/>
      <c r="T335" s="825"/>
      <c r="U335" s="825"/>
      <c r="V335" s="825"/>
      <c r="W335" s="825"/>
      <c r="X335" s="825"/>
      <c r="Y335" s="825"/>
      <c r="Z335" s="825"/>
      <c r="AA335" s="825"/>
      <c r="AB335" s="825"/>
      <c r="AC335" s="825"/>
    </row>
    <row r="336" spans="1:29" ht="15.8" customHeight="1" x14ac:dyDescent="0.3">
      <c r="A336" s="825"/>
      <c r="C336" s="825"/>
      <c r="D336" s="21"/>
      <c r="E336" s="17"/>
      <c r="F336" s="825"/>
      <c r="G336" s="825"/>
      <c r="H336" s="21"/>
      <c r="I336" s="825"/>
      <c r="J336" s="825"/>
      <c r="M336" s="825"/>
      <c r="N336" s="825"/>
      <c r="O336" s="825"/>
      <c r="P336" s="825"/>
      <c r="Q336" s="825"/>
      <c r="R336" s="825"/>
      <c r="S336" s="825"/>
      <c r="T336" s="825"/>
      <c r="U336" s="825"/>
      <c r="V336" s="825"/>
      <c r="W336" s="825"/>
      <c r="X336" s="825"/>
      <c r="Y336" s="825"/>
      <c r="Z336" s="825"/>
      <c r="AA336" s="825"/>
      <c r="AB336" s="825"/>
      <c r="AC336" s="825"/>
    </row>
    <row r="337" spans="1:29" ht="15.8" customHeight="1" x14ac:dyDescent="0.3">
      <c r="A337" s="825"/>
      <c r="C337" s="825"/>
      <c r="D337" s="21"/>
      <c r="E337" s="17"/>
      <c r="F337" s="825"/>
      <c r="G337" s="825"/>
      <c r="H337" s="21"/>
      <c r="I337" s="825"/>
      <c r="J337" s="825"/>
      <c r="M337" s="825"/>
      <c r="N337" s="825"/>
      <c r="O337" s="825"/>
      <c r="P337" s="825"/>
      <c r="Q337" s="825"/>
      <c r="R337" s="825"/>
      <c r="S337" s="825"/>
      <c r="T337" s="825"/>
      <c r="U337" s="825"/>
      <c r="V337" s="825"/>
      <c r="W337" s="825"/>
      <c r="X337" s="825"/>
      <c r="Y337" s="825"/>
      <c r="Z337" s="825"/>
      <c r="AA337" s="825"/>
      <c r="AB337" s="825"/>
      <c r="AC337" s="825"/>
    </row>
    <row r="338" spans="1:29" ht="15.8" customHeight="1" x14ac:dyDescent="0.3">
      <c r="A338" s="825"/>
      <c r="C338" s="825"/>
      <c r="D338" s="21"/>
      <c r="E338" s="17"/>
      <c r="F338" s="825"/>
      <c r="G338" s="825"/>
      <c r="H338" s="21"/>
      <c r="I338" s="825"/>
      <c r="J338" s="825"/>
      <c r="M338" s="825"/>
      <c r="N338" s="825"/>
      <c r="O338" s="825"/>
      <c r="P338" s="825"/>
      <c r="Q338" s="825"/>
      <c r="R338" s="825"/>
      <c r="S338" s="825"/>
      <c r="T338" s="825"/>
      <c r="U338" s="825"/>
      <c r="V338" s="825"/>
      <c r="W338" s="825"/>
      <c r="X338" s="825"/>
      <c r="Y338" s="825"/>
      <c r="Z338" s="825"/>
      <c r="AA338" s="825"/>
      <c r="AB338" s="825"/>
      <c r="AC338" s="825"/>
    </row>
    <row r="339" spans="1:29" ht="15.8" customHeight="1" x14ac:dyDescent="0.3">
      <c r="A339" s="825"/>
      <c r="C339" s="825"/>
      <c r="D339" s="21"/>
      <c r="E339" s="17"/>
      <c r="F339" s="825"/>
      <c r="G339" s="825"/>
      <c r="H339" s="21"/>
      <c r="I339" s="825"/>
      <c r="J339" s="825"/>
      <c r="M339" s="825"/>
      <c r="N339" s="825"/>
      <c r="O339" s="825"/>
      <c r="P339" s="825"/>
      <c r="Q339" s="825"/>
      <c r="R339" s="825"/>
      <c r="S339" s="825"/>
      <c r="T339" s="825"/>
      <c r="U339" s="825"/>
      <c r="V339" s="825"/>
      <c r="W339" s="825"/>
      <c r="X339" s="825"/>
      <c r="Y339" s="825"/>
      <c r="Z339" s="825"/>
      <c r="AA339" s="825"/>
      <c r="AB339" s="825"/>
      <c r="AC339" s="825"/>
    </row>
    <row r="340" spans="1:29" ht="15.8" customHeight="1" x14ac:dyDescent="0.3">
      <c r="A340" s="825"/>
      <c r="C340" s="825"/>
      <c r="D340" s="21"/>
      <c r="E340" s="17"/>
      <c r="F340" s="825"/>
      <c r="G340" s="825"/>
      <c r="H340" s="21"/>
      <c r="I340" s="825"/>
      <c r="J340" s="825"/>
      <c r="M340" s="825"/>
      <c r="N340" s="825"/>
      <c r="O340" s="825"/>
      <c r="P340" s="825"/>
      <c r="Q340" s="825"/>
      <c r="R340" s="825"/>
      <c r="S340" s="825"/>
      <c r="T340" s="825"/>
      <c r="U340" s="825"/>
      <c r="V340" s="825"/>
      <c r="W340" s="825"/>
      <c r="X340" s="825"/>
      <c r="Y340" s="825"/>
      <c r="Z340" s="825"/>
      <c r="AA340" s="825"/>
      <c r="AB340" s="825"/>
      <c r="AC340" s="825"/>
    </row>
    <row r="341" spans="1:29" ht="15.8" customHeight="1" x14ac:dyDescent="0.3">
      <c r="A341" s="825"/>
      <c r="C341" s="825"/>
      <c r="D341" s="21"/>
      <c r="E341" s="17"/>
      <c r="F341" s="825"/>
      <c r="G341" s="825"/>
      <c r="H341" s="21"/>
      <c r="I341" s="825"/>
      <c r="J341" s="825"/>
      <c r="M341" s="825"/>
      <c r="N341" s="825"/>
      <c r="O341" s="825"/>
      <c r="P341" s="825"/>
      <c r="Q341" s="825"/>
      <c r="R341" s="825"/>
      <c r="S341" s="825"/>
      <c r="T341" s="825"/>
      <c r="U341" s="825"/>
      <c r="V341" s="825"/>
      <c r="W341" s="825"/>
      <c r="X341" s="825"/>
      <c r="Y341" s="825"/>
      <c r="Z341" s="825"/>
      <c r="AA341" s="825"/>
      <c r="AB341" s="825"/>
      <c r="AC341" s="825"/>
    </row>
    <row r="342" spans="1:29" ht="15.8" customHeight="1" x14ac:dyDescent="0.3">
      <c r="A342" s="825"/>
      <c r="C342" s="825"/>
      <c r="D342" s="21"/>
      <c r="E342" s="17"/>
      <c r="F342" s="825"/>
      <c r="G342" s="825"/>
      <c r="H342" s="21"/>
      <c r="I342" s="825"/>
      <c r="J342" s="825"/>
      <c r="M342" s="825"/>
      <c r="N342" s="825"/>
      <c r="O342" s="825"/>
      <c r="P342" s="825"/>
      <c r="Q342" s="825"/>
      <c r="R342" s="825"/>
      <c r="S342" s="825"/>
      <c r="T342" s="825"/>
      <c r="U342" s="825"/>
      <c r="V342" s="825"/>
      <c r="W342" s="825"/>
      <c r="X342" s="825"/>
      <c r="Y342" s="825"/>
      <c r="Z342" s="825"/>
      <c r="AA342" s="825"/>
      <c r="AB342" s="825"/>
      <c r="AC342" s="825"/>
    </row>
    <row r="343" spans="1:29" ht="15.8" customHeight="1" x14ac:dyDescent="0.3">
      <c r="A343" s="825"/>
      <c r="C343" s="825"/>
      <c r="D343" s="21"/>
      <c r="E343" s="17"/>
      <c r="F343" s="825"/>
      <c r="G343" s="825"/>
      <c r="H343" s="21"/>
      <c r="I343" s="825"/>
      <c r="J343" s="825"/>
      <c r="M343" s="825"/>
      <c r="N343" s="825"/>
      <c r="O343" s="825"/>
      <c r="P343" s="825"/>
      <c r="Q343" s="825"/>
      <c r="R343" s="825"/>
      <c r="S343" s="825"/>
      <c r="T343" s="825"/>
      <c r="U343" s="825"/>
      <c r="V343" s="825"/>
      <c r="W343" s="825"/>
      <c r="X343" s="825"/>
      <c r="Y343" s="825"/>
      <c r="Z343" s="825"/>
      <c r="AA343" s="825"/>
      <c r="AB343" s="825"/>
      <c r="AC343" s="825"/>
    </row>
    <row r="344" spans="1:29" ht="15.8" customHeight="1" x14ac:dyDescent="0.3">
      <c r="A344" s="825"/>
      <c r="C344" s="825"/>
      <c r="D344" s="21"/>
      <c r="E344" s="17"/>
      <c r="F344" s="825"/>
      <c r="G344" s="825"/>
      <c r="H344" s="21"/>
      <c r="I344" s="825"/>
      <c r="J344" s="825"/>
      <c r="M344" s="825"/>
      <c r="N344" s="825"/>
      <c r="O344" s="825"/>
      <c r="P344" s="825"/>
      <c r="Q344" s="825"/>
      <c r="R344" s="825"/>
      <c r="S344" s="825"/>
      <c r="T344" s="825"/>
      <c r="U344" s="825"/>
      <c r="V344" s="825"/>
      <c r="W344" s="825"/>
      <c r="X344" s="825"/>
      <c r="Y344" s="825"/>
      <c r="Z344" s="825"/>
      <c r="AA344" s="825"/>
      <c r="AB344" s="825"/>
      <c r="AC344" s="825"/>
    </row>
    <row r="345" spans="1:29" ht="15.8" customHeight="1" x14ac:dyDescent="0.3">
      <c r="A345" s="825"/>
      <c r="C345" s="825"/>
      <c r="D345" s="21"/>
      <c r="E345" s="17"/>
      <c r="F345" s="825"/>
      <c r="G345" s="825"/>
      <c r="H345" s="21"/>
      <c r="I345" s="825"/>
      <c r="J345" s="825"/>
      <c r="M345" s="825"/>
      <c r="N345" s="825"/>
      <c r="O345" s="825"/>
      <c r="P345" s="825"/>
      <c r="Q345" s="825"/>
      <c r="R345" s="825"/>
      <c r="S345" s="825"/>
      <c r="T345" s="825"/>
      <c r="U345" s="825"/>
      <c r="V345" s="825"/>
      <c r="W345" s="825"/>
      <c r="X345" s="825"/>
      <c r="Y345" s="825"/>
      <c r="Z345" s="825"/>
      <c r="AA345" s="825"/>
      <c r="AB345" s="825"/>
      <c r="AC345" s="825"/>
    </row>
    <row r="346" spans="1:29" ht="15.8" customHeight="1" x14ac:dyDescent="0.3">
      <c r="A346" s="825"/>
      <c r="C346" s="825"/>
      <c r="D346" s="21"/>
      <c r="E346" s="17"/>
      <c r="F346" s="825"/>
      <c r="G346" s="825"/>
      <c r="H346" s="21"/>
      <c r="I346" s="825"/>
      <c r="J346" s="825"/>
      <c r="M346" s="825"/>
      <c r="N346" s="825"/>
      <c r="O346" s="825"/>
      <c r="P346" s="825"/>
      <c r="Q346" s="825"/>
      <c r="R346" s="825"/>
      <c r="S346" s="825"/>
      <c r="T346" s="825"/>
      <c r="U346" s="825"/>
      <c r="V346" s="825"/>
      <c r="W346" s="825"/>
      <c r="X346" s="825"/>
      <c r="Y346" s="825"/>
      <c r="Z346" s="825"/>
      <c r="AA346" s="825"/>
      <c r="AB346" s="825"/>
      <c r="AC346" s="825"/>
    </row>
    <row r="347" spans="1:29" ht="15.8" customHeight="1" x14ac:dyDescent="0.3">
      <c r="A347" s="825"/>
      <c r="C347" s="825"/>
      <c r="D347" s="21"/>
      <c r="E347" s="17"/>
      <c r="F347" s="825"/>
      <c r="G347" s="825"/>
      <c r="H347" s="21"/>
      <c r="I347" s="825"/>
      <c r="J347" s="825"/>
      <c r="M347" s="825"/>
      <c r="N347" s="825"/>
      <c r="O347" s="825"/>
      <c r="P347" s="825"/>
      <c r="Q347" s="825"/>
      <c r="R347" s="825"/>
      <c r="S347" s="825"/>
      <c r="T347" s="825"/>
      <c r="U347" s="825"/>
      <c r="V347" s="825"/>
      <c r="W347" s="825"/>
      <c r="X347" s="825"/>
      <c r="Y347" s="825"/>
      <c r="Z347" s="825"/>
      <c r="AA347" s="825"/>
      <c r="AB347" s="825"/>
      <c r="AC347" s="825"/>
    </row>
    <row r="348" spans="1:29" ht="15.8" customHeight="1" x14ac:dyDescent="0.3">
      <c r="A348" s="825"/>
      <c r="C348" s="825"/>
      <c r="D348" s="21"/>
      <c r="E348" s="17"/>
      <c r="F348" s="825"/>
      <c r="G348" s="825"/>
      <c r="H348" s="21"/>
      <c r="I348" s="825"/>
      <c r="J348" s="825"/>
      <c r="M348" s="825"/>
      <c r="N348" s="825"/>
      <c r="O348" s="825"/>
      <c r="P348" s="825"/>
      <c r="Q348" s="825"/>
      <c r="R348" s="825"/>
      <c r="S348" s="825"/>
      <c r="T348" s="825"/>
      <c r="U348" s="825"/>
      <c r="V348" s="825"/>
      <c r="W348" s="825"/>
      <c r="X348" s="825"/>
      <c r="Y348" s="825"/>
      <c r="Z348" s="825"/>
      <c r="AA348" s="825"/>
      <c r="AB348" s="825"/>
      <c r="AC348" s="825"/>
    </row>
    <row r="349" spans="1:29" ht="15.8" customHeight="1" x14ac:dyDescent="0.3">
      <c r="A349" s="825"/>
      <c r="C349" s="825"/>
      <c r="D349" s="21"/>
      <c r="E349" s="17"/>
      <c r="F349" s="825"/>
      <c r="G349" s="825"/>
      <c r="H349" s="21"/>
      <c r="I349" s="825"/>
      <c r="J349" s="825"/>
      <c r="M349" s="825"/>
      <c r="N349" s="825"/>
      <c r="O349" s="825"/>
      <c r="P349" s="825"/>
      <c r="Q349" s="825"/>
      <c r="R349" s="825"/>
      <c r="S349" s="825"/>
      <c r="T349" s="825"/>
      <c r="U349" s="825"/>
      <c r="V349" s="825"/>
      <c r="W349" s="825"/>
      <c r="X349" s="825"/>
      <c r="Y349" s="825"/>
      <c r="Z349" s="825"/>
      <c r="AA349" s="825"/>
      <c r="AB349" s="825"/>
      <c r="AC349" s="825"/>
    </row>
    <row r="350" spans="1:29" ht="15.8" customHeight="1" x14ac:dyDescent="0.3">
      <c r="A350" s="825"/>
      <c r="C350" s="825"/>
      <c r="D350" s="21"/>
      <c r="E350" s="17"/>
      <c r="F350" s="825"/>
      <c r="G350" s="825"/>
      <c r="H350" s="21"/>
      <c r="I350" s="825"/>
      <c r="J350" s="825"/>
      <c r="M350" s="825"/>
      <c r="N350" s="825"/>
      <c r="O350" s="825"/>
      <c r="P350" s="825"/>
      <c r="Q350" s="825"/>
      <c r="R350" s="825"/>
      <c r="S350" s="825"/>
      <c r="T350" s="825"/>
      <c r="U350" s="825"/>
      <c r="V350" s="825"/>
      <c r="W350" s="825"/>
      <c r="X350" s="825"/>
      <c r="Y350" s="825"/>
      <c r="Z350" s="825"/>
      <c r="AA350" s="825"/>
      <c r="AB350" s="825"/>
      <c r="AC350" s="825"/>
    </row>
    <row r="351" spans="1:29" ht="15.8" customHeight="1" x14ac:dyDescent="0.3">
      <c r="A351" s="825"/>
      <c r="C351" s="825"/>
      <c r="D351" s="21"/>
      <c r="E351" s="17"/>
      <c r="F351" s="825"/>
      <c r="G351" s="825"/>
      <c r="H351" s="21"/>
      <c r="I351" s="825"/>
      <c r="J351" s="825"/>
      <c r="M351" s="825"/>
      <c r="N351" s="825"/>
      <c r="O351" s="825"/>
      <c r="P351" s="825"/>
      <c r="Q351" s="825"/>
      <c r="R351" s="825"/>
      <c r="S351" s="825"/>
      <c r="T351" s="825"/>
      <c r="U351" s="825"/>
      <c r="V351" s="825"/>
      <c r="W351" s="825"/>
      <c r="X351" s="825"/>
      <c r="Y351" s="825"/>
      <c r="Z351" s="825"/>
      <c r="AA351" s="825"/>
      <c r="AB351" s="825"/>
      <c r="AC351" s="825"/>
    </row>
    <row r="352" spans="1:29" ht="15.8" customHeight="1" x14ac:dyDescent="0.3">
      <c r="A352" s="825"/>
      <c r="C352" s="825"/>
      <c r="D352" s="21"/>
      <c r="E352" s="17"/>
      <c r="F352" s="825"/>
      <c r="G352" s="825"/>
      <c r="H352" s="21"/>
      <c r="I352" s="825"/>
      <c r="J352" s="825"/>
      <c r="M352" s="825"/>
      <c r="N352" s="825"/>
      <c r="O352" s="825"/>
      <c r="P352" s="825"/>
      <c r="Q352" s="825"/>
      <c r="R352" s="825"/>
      <c r="S352" s="825"/>
      <c r="T352" s="825"/>
      <c r="U352" s="825"/>
      <c r="V352" s="825"/>
      <c r="W352" s="825"/>
      <c r="X352" s="825"/>
      <c r="Y352" s="825"/>
      <c r="Z352" s="825"/>
      <c r="AA352" s="825"/>
      <c r="AB352" s="825"/>
      <c r="AC352" s="825"/>
    </row>
    <row r="353" spans="1:29" ht="15.8" customHeight="1" x14ac:dyDescent="0.3">
      <c r="A353" s="825"/>
      <c r="C353" s="825"/>
      <c r="D353" s="21"/>
      <c r="E353" s="17"/>
      <c r="F353" s="825"/>
      <c r="G353" s="825"/>
      <c r="H353" s="21"/>
      <c r="I353" s="825"/>
      <c r="J353" s="825"/>
      <c r="M353" s="825"/>
      <c r="N353" s="825"/>
      <c r="O353" s="825"/>
      <c r="P353" s="825"/>
      <c r="Q353" s="825"/>
      <c r="R353" s="825"/>
      <c r="S353" s="825"/>
      <c r="T353" s="825"/>
      <c r="U353" s="825"/>
      <c r="V353" s="825"/>
      <c r="W353" s="825"/>
      <c r="X353" s="825"/>
      <c r="Y353" s="825"/>
      <c r="Z353" s="825"/>
      <c r="AA353" s="825"/>
      <c r="AB353" s="825"/>
      <c r="AC353" s="825"/>
    </row>
    <row r="354" spans="1:29" ht="15.8" customHeight="1" x14ac:dyDescent="0.3">
      <c r="A354" s="825"/>
      <c r="C354" s="825"/>
      <c r="D354" s="21"/>
      <c r="E354" s="17"/>
      <c r="F354" s="825"/>
      <c r="G354" s="825"/>
      <c r="H354" s="21"/>
      <c r="I354" s="825"/>
      <c r="J354" s="825"/>
      <c r="M354" s="825"/>
      <c r="N354" s="825"/>
      <c r="O354" s="825"/>
      <c r="P354" s="825"/>
      <c r="Q354" s="825"/>
      <c r="R354" s="825"/>
      <c r="S354" s="825"/>
      <c r="T354" s="825"/>
      <c r="U354" s="825"/>
      <c r="V354" s="825"/>
      <c r="W354" s="825"/>
      <c r="X354" s="825"/>
      <c r="Y354" s="825"/>
      <c r="Z354" s="825"/>
      <c r="AA354" s="825"/>
      <c r="AB354" s="825"/>
      <c r="AC354" s="825"/>
    </row>
    <row r="355" spans="1:29" ht="15.8" customHeight="1" x14ac:dyDescent="0.3">
      <c r="A355" s="825"/>
      <c r="C355" s="825"/>
      <c r="D355" s="21"/>
      <c r="E355" s="17"/>
      <c r="F355" s="825"/>
      <c r="G355" s="825"/>
      <c r="H355" s="21"/>
      <c r="I355" s="825"/>
      <c r="J355" s="825"/>
      <c r="M355" s="825"/>
      <c r="N355" s="825"/>
      <c r="O355" s="825"/>
      <c r="P355" s="825"/>
      <c r="Q355" s="825"/>
      <c r="R355" s="825"/>
      <c r="S355" s="825"/>
      <c r="T355" s="825"/>
      <c r="U355" s="825"/>
      <c r="V355" s="825"/>
      <c r="W355" s="825"/>
      <c r="X355" s="825"/>
      <c r="Y355" s="825"/>
      <c r="Z355" s="825"/>
      <c r="AA355" s="825"/>
      <c r="AB355" s="825"/>
      <c r="AC355" s="825"/>
    </row>
    <row r="356" spans="1:29" ht="15.8" customHeight="1" x14ac:dyDescent="0.3">
      <c r="A356" s="825"/>
      <c r="C356" s="825"/>
      <c r="D356" s="21"/>
      <c r="E356" s="17"/>
      <c r="F356" s="825"/>
      <c r="G356" s="825"/>
      <c r="H356" s="21"/>
      <c r="I356" s="825"/>
      <c r="J356" s="825"/>
      <c r="M356" s="825"/>
      <c r="N356" s="825"/>
      <c r="O356" s="825"/>
      <c r="P356" s="825"/>
      <c r="Q356" s="825"/>
      <c r="R356" s="825"/>
      <c r="S356" s="825"/>
      <c r="T356" s="825"/>
      <c r="U356" s="825"/>
      <c r="V356" s="825"/>
      <c r="W356" s="825"/>
      <c r="X356" s="825"/>
      <c r="Y356" s="825"/>
      <c r="Z356" s="825"/>
      <c r="AA356" s="825"/>
      <c r="AB356" s="825"/>
      <c r="AC356" s="825"/>
    </row>
    <row r="357" spans="1:29" ht="15.8" customHeight="1" x14ac:dyDescent="0.3">
      <c r="A357" s="825"/>
      <c r="C357" s="825"/>
      <c r="D357" s="21"/>
      <c r="E357" s="17"/>
      <c r="F357" s="825"/>
      <c r="G357" s="825"/>
      <c r="H357" s="21"/>
      <c r="I357" s="825"/>
      <c r="J357" s="825"/>
      <c r="M357" s="825"/>
      <c r="N357" s="825"/>
      <c r="O357" s="825"/>
      <c r="P357" s="825"/>
      <c r="Q357" s="825"/>
      <c r="R357" s="825"/>
      <c r="S357" s="825"/>
      <c r="T357" s="825"/>
      <c r="U357" s="825"/>
      <c r="V357" s="825"/>
      <c r="W357" s="825"/>
      <c r="X357" s="825"/>
      <c r="Y357" s="825"/>
      <c r="Z357" s="825"/>
      <c r="AA357" s="825"/>
      <c r="AB357" s="825"/>
      <c r="AC357" s="825"/>
    </row>
    <row r="358" spans="1:29" ht="15.8" customHeight="1" x14ac:dyDescent="0.3">
      <c r="A358" s="825"/>
      <c r="C358" s="825"/>
      <c r="D358" s="21"/>
      <c r="E358" s="17"/>
      <c r="F358" s="825"/>
      <c r="G358" s="825"/>
      <c r="H358" s="21"/>
      <c r="I358" s="825"/>
      <c r="J358" s="825"/>
      <c r="M358" s="825"/>
      <c r="N358" s="825"/>
      <c r="O358" s="825"/>
      <c r="P358" s="825"/>
      <c r="Q358" s="825"/>
      <c r="R358" s="825"/>
      <c r="S358" s="825"/>
      <c r="T358" s="825"/>
      <c r="U358" s="825"/>
      <c r="V358" s="825"/>
      <c r="W358" s="825"/>
      <c r="X358" s="825"/>
      <c r="Y358" s="825"/>
      <c r="Z358" s="825"/>
      <c r="AA358" s="825"/>
      <c r="AB358" s="825"/>
      <c r="AC358" s="825"/>
    </row>
    <row r="359" spans="1:29" ht="15.8" customHeight="1" x14ac:dyDescent="0.3">
      <c r="A359" s="825"/>
      <c r="C359" s="825"/>
      <c r="D359" s="21"/>
      <c r="E359" s="17"/>
      <c r="F359" s="825"/>
      <c r="G359" s="825"/>
      <c r="H359" s="21"/>
      <c r="I359" s="825"/>
      <c r="J359" s="825"/>
      <c r="M359" s="825"/>
      <c r="N359" s="825"/>
      <c r="O359" s="825"/>
      <c r="P359" s="825"/>
      <c r="Q359" s="825"/>
      <c r="R359" s="825"/>
      <c r="S359" s="825"/>
      <c r="T359" s="825"/>
      <c r="U359" s="825"/>
      <c r="V359" s="825"/>
      <c r="W359" s="825"/>
      <c r="X359" s="825"/>
      <c r="Y359" s="825"/>
      <c r="Z359" s="825"/>
      <c r="AA359" s="825"/>
      <c r="AB359" s="825"/>
      <c r="AC359" s="825"/>
    </row>
    <row r="360" spans="1:29" ht="15.8" customHeight="1" x14ac:dyDescent="0.3">
      <c r="A360" s="825"/>
      <c r="C360" s="825"/>
      <c r="D360" s="21"/>
      <c r="E360" s="17"/>
      <c r="F360" s="825"/>
      <c r="G360" s="825"/>
      <c r="H360" s="21"/>
      <c r="I360" s="825"/>
      <c r="J360" s="825"/>
      <c r="M360" s="825"/>
      <c r="N360" s="825"/>
      <c r="O360" s="825"/>
      <c r="P360" s="825"/>
      <c r="Q360" s="825"/>
      <c r="R360" s="825"/>
      <c r="S360" s="825"/>
      <c r="T360" s="825"/>
      <c r="U360" s="825"/>
      <c r="V360" s="825"/>
      <c r="W360" s="825"/>
      <c r="X360" s="825"/>
      <c r="Y360" s="825"/>
      <c r="Z360" s="825"/>
      <c r="AA360" s="825"/>
      <c r="AB360" s="825"/>
      <c r="AC360" s="825"/>
    </row>
    <row r="361" spans="1:29" ht="15.8" customHeight="1" x14ac:dyDescent="0.3">
      <c r="A361" s="825"/>
      <c r="C361" s="825"/>
      <c r="D361" s="21"/>
      <c r="E361" s="17"/>
      <c r="F361" s="825"/>
      <c r="G361" s="825"/>
      <c r="H361" s="21"/>
      <c r="I361" s="825"/>
      <c r="J361" s="825"/>
      <c r="M361" s="825"/>
      <c r="N361" s="825"/>
      <c r="O361" s="825"/>
      <c r="P361" s="825"/>
      <c r="Q361" s="825"/>
      <c r="R361" s="825"/>
      <c r="S361" s="825"/>
      <c r="T361" s="825"/>
      <c r="U361" s="825"/>
      <c r="V361" s="825"/>
      <c r="W361" s="825"/>
      <c r="X361" s="825"/>
      <c r="Y361" s="825"/>
      <c r="Z361" s="825"/>
      <c r="AA361" s="825"/>
      <c r="AB361" s="825"/>
      <c r="AC361" s="825"/>
    </row>
    <row r="362" spans="1:29" ht="15.8" customHeight="1" x14ac:dyDescent="0.3">
      <c r="A362" s="825"/>
      <c r="C362" s="825"/>
      <c r="D362" s="21"/>
      <c r="E362" s="17"/>
      <c r="F362" s="825"/>
      <c r="G362" s="825"/>
      <c r="H362" s="21"/>
      <c r="I362" s="825"/>
      <c r="J362" s="825"/>
      <c r="M362" s="825"/>
      <c r="N362" s="825"/>
      <c r="O362" s="825"/>
      <c r="P362" s="825"/>
      <c r="Q362" s="825"/>
      <c r="R362" s="825"/>
      <c r="S362" s="825"/>
      <c r="T362" s="825"/>
      <c r="U362" s="825"/>
      <c r="V362" s="825"/>
      <c r="W362" s="825"/>
      <c r="X362" s="825"/>
      <c r="Y362" s="825"/>
      <c r="Z362" s="825"/>
      <c r="AA362" s="825"/>
      <c r="AB362" s="825"/>
      <c r="AC362" s="825"/>
    </row>
    <row r="363" spans="1:29" ht="15.8" customHeight="1" x14ac:dyDescent="0.3">
      <c r="A363" s="825"/>
      <c r="C363" s="825"/>
      <c r="D363" s="21"/>
      <c r="E363" s="17"/>
      <c r="F363" s="825"/>
      <c r="G363" s="825"/>
      <c r="H363" s="21"/>
      <c r="I363" s="825"/>
      <c r="J363" s="825"/>
      <c r="M363" s="825"/>
      <c r="N363" s="825"/>
      <c r="O363" s="825"/>
      <c r="P363" s="825"/>
      <c r="Q363" s="825"/>
      <c r="R363" s="825"/>
      <c r="S363" s="825"/>
      <c r="T363" s="825"/>
      <c r="U363" s="825"/>
      <c r="V363" s="825"/>
      <c r="W363" s="825"/>
      <c r="X363" s="825"/>
      <c r="Y363" s="825"/>
      <c r="Z363" s="825"/>
      <c r="AA363" s="825"/>
      <c r="AB363" s="825"/>
      <c r="AC363" s="825"/>
    </row>
    <row r="364" spans="1:29" ht="15.8" customHeight="1" x14ac:dyDescent="0.3">
      <c r="A364" s="825"/>
      <c r="C364" s="825"/>
      <c r="D364" s="21"/>
      <c r="E364" s="17"/>
      <c r="F364" s="825"/>
      <c r="G364" s="825"/>
      <c r="H364" s="21"/>
      <c r="I364" s="825"/>
      <c r="J364" s="825"/>
      <c r="M364" s="825"/>
      <c r="N364" s="825"/>
      <c r="O364" s="825"/>
      <c r="P364" s="825"/>
      <c r="Q364" s="825"/>
      <c r="R364" s="825"/>
      <c r="S364" s="825"/>
      <c r="T364" s="825"/>
      <c r="U364" s="825"/>
      <c r="V364" s="825"/>
      <c r="W364" s="825"/>
      <c r="X364" s="825"/>
      <c r="Y364" s="825"/>
      <c r="Z364" s="825"/>
      <c r="AA364" s="825"/>
      <c r="AB364" s="825"/>
      <c r="AC364" s="825"/>
    </row>
    <row r="365" spans="1:29" ht="15.8" customHeight="1" x14ac:dyDescent="0.3">
      <c r="A365" s="825"/>
      <c r="C365" s="825"/>
      <c r="D365" s="21"/>
      <c r="E365" s="17"/>
      <c r="F365" s="825"/>
      <c r="G365" s="825"/>
      <c r="H365" s="21"/>
      <c r="I365" s="825"/>
      <c r="J365" s="825"/>
      <c r="M365" s="825"/>
      <c r="N365" s="825"/>
      <c r="O365" s="825"/>
      <c r="P365" s="825"/>
      <c r="Q365" s="825"/>
      <c r="R365" s="825"/>
      <c r="S365" s="825"/>
      <c r="T365" s="825"/>
      <c r="U365" s="825"/>
      <c r="V365" s="825"/>
      <c r="W365" s="825"/>
      <c r="X365" s="825"/>
      <c r="Y365" s="825"/>
      <c r="Z365" s="825"/>
      <c r="AA365" s="825"/>
      <c r="AB365" s="825"/>
      <c r="AC365" s="825"/>
    </row>
    <row r="366" spans="1:29" ht="15.8" customHeight="1" x14ac:dyDescent="0.3">
      <c r="A366" s="825"/>
      <c r="C366" s="825"/>
      <c r="D366" s="21"/>
      <c r="E366" s="17"/>
      <c r="F366" s="825"/>
      <c r="G366" s="825"/>
      <c r="H366" s="21"/>
      <c r="I366" s="825"/>
      <c r="J366" s="825"/>
      <c r="M366" s="825"/>
      <c r="N366" s="825"/>
      <c r="O366" s="825"/>
      <c r="P366" s="825"/>
      <c r="Q366" s="825"/>
      <c r="R366" s="825"/>
      <c r="S366" s="825"/>
      <c r="T366" s="825"/>
      <c r="U366" s="825"/>
      <c r="V366" s="825"/>
      <c r="W366" s="825"/>
      <c r="X366" s="825"/>
      <c r="Y366" s="825"/>
      <c r="Z366" s="825"/>
      <c r="AA366" s="825"/>
      <c r="AB366" s="825"/>
      <c r="AC366" s="825"/>
    </row>
    <row r="367" spans="1:29" ht="15.8" customHeight="1" x14ac:dyDescent="0.3">
      <c r="A367" s="825"/>
      <c r="C367" s="825"/>
      <c r="D367" s="21"/>
      <c r="E367" s="17"/>
      <c r="F367" s="825"/>
      <c r="G367" s="825"/>
      <c r="H367" s="21"/>
      <c r="I367" s="825"/>
      <c r="J367" s="825"/>
      <c r="M367" s="825"/>
      <c r="N367" s="825"/>
      <c r="O367" s="825"/>
      <c r="P367" s="825"/>
      <c r="Q367" s="825"/>
      <c r="R367" s="825"/>
      <c r="S367" s="825"/>
      <c r="T367" s="825"/>
      <c r="U367" s="825"/>
      <c r="V367" s="825"/>
      <c r="W367" s="825"/>
      <c r="X367" s="825"/>
      <c r="Y367" s="825"/>
      <c r="Z367" s="825"/>
      <c r="AA367" s="825"/>
      <c r="AB367" s="825"/>
      <c r="AC367" s="825"/>
    </row>
    <row r="368" spans="1:29" ht="15.8" customHeight="1" x14ac:dyDescent="0.3">
      <c r="A368" s="825"/>
      <c r="C368" s="825"/>
      <c r="D368" s="21"/>
      <c r="E368" s="17"/>
      <c r="F368" s="825"/>
      <c r="G368" s="825"/>
      <c r="H368" s="21"/>
      <c r="I368" s="825"/>
      <c r="J368" s="825"/>
      <c r="M368" s="825"/>
      <c r="N368" s="825"/>
      <c r="O368" s="825"/>
      <c r="P368" s="825"/>
      <c r="Q368" s="825"/>
      <c r="R368" s="825"/>
      <c r="S368" s="825"/>
      <c r="T368" s="825"/>
      <c r="U368" s="825"/>
      <c r="V368" s="825"/>
      <c r="W368" s="825"/>
      <c r="X368" s="825"/>
      <c r="Y368" s="825"/>
      <c r="Z368" s="825"/>
      <c r="AA368" s="825"/>
      <c r="AB368" s="825"/>
      <c r="AC368" s="825"/>
    </row>
    <row r="369" spans="1:29" ht="15.8" customHeight="1" x14ac:dyDescent="0.3">
      <c r="A369" s="825"/>
      <c r="C369" s="825"/>
      <c r="D369" s="21"/>
      <c r="E369" s="17"/>
      <c r="F369" s="825"/>
      <c r="G369" s="825"/>
      <c r="H369" s="21"/>
      <c r="I369" s="825"/>
      <c r="J369" s="825"/>
      <c r="M369" s="825"/>
      <c r="N369" s="825"/>
      <c r="O369" s="825"/>
      <c r="P369" s="825"/>
      <c r="Q369" s="825"/>
      <c r="R369" s="825"/>
      <c r="S369" s="825"/>
      <c r="T369" s="825"/>
      <c r="U369" s="825"/>
      <c r="V369" s="825"/>
      <c r="W369" s="825"/>
      <c r="X369" s="825"/>
      <c r="Y369" s="825"/>
      <c r="Z369" s="825"/>
      <c r="AA369" s="825"/>
      <c r="AB369" s="825"/>
      <c r="AC369" s="825"/>
    </row>
    <row r="370" spans="1:29" ht="15.8" customHeight="1" x14ac:dyDescent="0.3">
      <c r="A370" s="825"/>
      <c r="C370" s="825"/>
      <c r="D370" s="21"/>
      <c r="E370" s="17"/>
      <c r="F370" s="825"/>
      <c r="G370" s="825"/>
      <c r="H370" s="21"/>
      <c r="I370" s="825"/>
      <c r="J370" s="825"/>
      <c r="M370" s="825"/>
      <c r="N370" s="825"/>
      <c r="O370" s="825"/>
      <c r="P370" s="825"/>
      <c r="Q370" s="825"/>
      <c r="R370" s="825"/>
      <c r="S370" s="825"/>
      <c r="T370" s="825"/>
      <c r="U370" s="825"/>
      <c r="V370" s="825"/>
      <c r="W370" s="825"/>
      <c r="X370" s="825"/>
      <c r="Y370" s="825"/>
      <c r="Z370" s="825"/>
      <c r="AA370" s="825"/>
      <c r="AB370" s="825"/>
      <c r="AC370" s="825"/>
    </row>
    <row r="371" spans="1:29" ht="15.8" customHeight="1" x14ac:dyDescent="0.3">
      <c r="A371" s="825"/>
      <c r="C371" s="825"/>
      <c r="D371" s="21"/>
      <c r="E371" s="17"/>
      <c r="F371" s="825"/>
      <c r="G371" s="825"/>
      <c r="H371" s="21"/>
      <c r="I371" s="825"/>
      <c r="J371" s="825"/>
      <c r="M371" s="825"/>
      <c r="N371" s="825"/>
      <c r="O371" s="825"/>
      <c r="P371" s="825"/>
      <c r="Q371" s="825"/>
      <c r="R371" s="825"/>
      <c r="S371" s="825"/>
      <c r="T371" s="825"/>
      <c r="U371" s="825"/>
      <c r="V371" s="825"/>
      <c r="W371" s="825"/>
      <c r="X371" s="825"/>
      <c r="Y371" s="825"/>
      <c r="Z371" s="825"/>
      <c r="AA371" s="825"/>
      <c r="AB371" s="825"/>
      <c r="AC371" s="825"/>
    </row>
    <row r="372" spans="1:29" ht="15.8" customHeight="1" x14ac:dyDescent="0.3">
      <c r="A372" s="825"/>
      <c r="C372" s="825"/>
      <c r="D372" s="21"/>
      <c r="E372" s="17"/>
      <c r="F372" s="825"/>
      <c r="G372" s="825"/>
      <c r="H372" s="21"/>
      <c r="I372" s="825"/>
      <c r="J372" s="825"/>
      <c r="M372" s="825"/>
      <c r="N372" s="825"/>
      <c r="O372" s="825"/>
      <c r="P372" s="825"/>
      <c r="Q372" s="825"/>
      <c r="R372" s="825"/>
      <c r="S372" s="825"/>
      <c r="T372" s="825"/>
      <c r="U372" s="825"/>
      <c r="V372" s="825"/>
      <c r="W372" s="825"/>
      <c r="X372" s="825"/>
      <c r="Y372" s="825"/>
      <c r="Z372" s="825"/>
      <c r="AA372" s="825"/>
      <c r="AB372" s="825"/>
      <c r="AC372" s="825"/>
    </row>
    <row r="373" spans="1:29" ht="15.8" customHeight="1" x14ac:dyDescent="0.3">
      <c r="A373" s="825"/>
      <c r="C373" s="825"/>
      <c r="D373" s="21"/>
      <c r="E373" s="17"/>
      <c r="F373" s="825"/>
      <c r="G373" s="825"/>
      <c r="H373" s="21"/>
      <c r="I373" s="825"/>
      <c r="J373" s="825"/>
      <c r="M373" s="825"/>
      <c r="N373" s="825"/>
      <c r="O373" s="825"/>
      <c r="P373" s="825"/>
      <c r="Q373" s="825"/>
      <c r="R373" s="825"/>
      <c r="S373" s="825"/>
      <c r="T373" s="825"/>
      <c r="U373" s="825"/>
      <c r="V373" s="825"/>
      <c r="W373" s="825"/>
      <c r="X373" s="825"/>
      <c r="Y373" s="825"/>
      <c r="Z373" s="825"/>
      <c r="AA373" s="825"/>
      <c r="AB373" s="825"/>
      <c r="AC373" s="825"/>
    </row>
    <row r="374" spans="1:29" ht="15.8" customHeight="1" x14ac:dyDescent="0.3">
      <c r="A374" s="825"/>
      <c r="C374" s="825"/>
      <c r="D374" s="21"/>
      <c r="E374" s="17"/>
      <c r="F374" s="825"/>
      <c r="G374" s="825"/>
      <c r="H374" s="21"/>
      <c r="I374" s="825"/>
      <c r="J374" s="825"/>
      <c r="M374" s="825"/>
      <c r="N374" s="825"/>
      <c r="O374" s="825"/>
      <c r="P374" s="825"/>
      <c r="Q374" s="825"/>
      <c r="R374" s="825"/>
      <c r="S374" s="825"/>
      <c r="T374" s="825"/>
      <c r="U374" s="825"/>
      <c r="V374" s="825"/>
      <c r="W374" s="825"/>
      <c r="X374" s="825"/>
      <c r="Y374" s="825"/>
      <c r="Z374" s="825"/>
      <c r="AA374" s="825"/>
      <c r="AB374" s="825"/>
      <c r="AC374" s="825"/>
    </row>
    <row r="375" spans="1:29" ht="15.8" customHeight="1" x14ac:dyDescent="0.3">
      <c r="A375" s="825"/>
      <c r="C375" s="825"/>
      <c r="D375" s="21"/>
      <c r="E375" s="17"/>
      <c r="F375" s="825"/>
      <c r="G375" s="825"/>
      <c r="H375" s="21"/>
      <c r="I375" s="825"/>
      <c r="J375" s="825"/>
      <c r="M375" s="825"/>
      <c r="N375" s="825"/>
      <c r="O375" s="825"/>
      <c r="P375" s="825"/>
      <c r="Q375" s="825"/>
      <c r="R375" s="825"/>
      <c r="S375" s="825"/>
      <c r="T375" s="825"/>
      <c r="U375" s="825"/>
      <c r="V375" s="825"/>
      <c r="W375" s="825"/>
      <c r="X375" s="825"/>
      <c r="Y375" s="825"/>
      <c r="Z375" s="825"/>
      <c r="AA375" s="825"/>
      <c r="AB375" s="825"/>
      <c r="AC375" s="825"/>
    </row>
    <row r="376" spans="1:29" ht="15.8" customHeight="1" x14ac:dyDescent="0.3">
      <c r="A376" s="825"/>
      <c r="C376" s="825"/>
      <c r="D376" s="21"/>
      <c r="E376" s="17"/>
      <c r="F376" s="825"/>
      <c r="G376" s="825"/>
      <c r="H376" s="21"/>
      <c r="I376" s="825"/>
      <c r="J376" s="825"/>
      <c r="M376" s="825"/>
      <c r="N376" s="825"/>
      <c r="O376" s="825"/>
      <c r="P376" s="825"/>
      <c r="Q376" s="825"/>
      <c r="R376" s="825"/>
      <c r="S376" s="825"/>
      <c r="T376" s="825"/>
      <c r="U376" s="825"/>
      <c r="V376" s="825"/>
      <c r="W376" s="825"/>
      <c r="X376" s="825"/>
      <c r="Y376" s="825"/>
      <c r="Z376" s="825"/>
      <c r="AA376" s="825"/>
      <c r="AB376" s="825"/>
      <c r="AC376" s="825"/>
    </row>
    <row r="377" spans="1:29" ht="15.8" customHeight="1" x14ac:dyDescent="0.3">
      <c r="A377" s="825"/>
      <c r="C377" s="825"/>
      <c r="D377" s="21"/>
      <c r="E377" s="17"/>
      <c r="F377" s="825"/>
      <c r="G377" s="825"/>
      <c r="H377" s="21"/>
      <c r="I377" s="825"/>
      <c r="J377" s="825"/>
      <c r="M377" s="825"/>
      <c r="N377" s="825"/>
      <c r="O377" s="825"/>
      <c r="P377" s="825"/>
      <c r="Q377" s="825"/>
      <c r="R377" s="825"/>
      <c r="S377" s="825"/>
      <c r="T377" s="825"/>
      <c r="U377" s="825"/>
      <c r="V377" s="825"/>
      <c r="W377" s="825"/>
      <c r="X377" s="825"/>
      <c r="Y377" s="825"/>
      <c r="Z377" s="825"/>
      <c r="AA377" s="825"/>
      <c r="AB377" s="825"/>
      <c r="AC377" s="825"/>
    </row>
    <row r="378" spans="1:29" ht="15.8" customHeight="1" x14ac:dyDescent="0.3">
      <c r="A378" s="825"/>
      <c r="C378" s="825"/>
      <c r="D378" s="21"/>
      <c r="E378" s="17"/>
      <c r="F378" s="825"/>
      <c r="G378" s="825"/>
      <c r="H378" s="21"/>
      <c r="I378" s="825"/>
      <c r="J378" s="825"/>
      <c r="M378" s="825"/>
      <c r="N378" s="825"/>
      <c r="O378" s="825"/>
      <c r="P378" s="825"/>
      <c r="Q378" s="825"/>
      <c r="R378" s="825"/>
      <c r="S378" s="825"/>
      <c r="T378" s="825"/>
      <c r="U378" s="825"/>
      <c r="V378" s="825"/>
      <c r="W378" s="825"/>
      <c r="X378" s="825"/>
      <c r="Y378" s="825"/>
      <c r="Z378" s="825"/>
      <c r="AA378" s="825"/>
      <c r="AB378" s="825"/>
      <c r="AC378" s="825"/>
    </row>
    <row r="379" spans="1:29" ht="15.8" customHeight="1" x14ac:dyDescent="0.3">
      <c r="A379" s="825"/>
      <c r="C379" s="825"/>
      <c r="D379" s="21"/>
      <c r="E379" s="17"/>
      <c r="F379" s="825"/>
      <c r="G379" s="825"/>
      <c r="H379" s="21"/>
      <c r="I379" s="825"/>
      <c r="J379" s="825"/>
      <c r="M379" s="825"/>
      <c r="N379" s="825"/>
      <c r="O379" s="825"/>
      <c r="P379" s="825"/>
      <c r="Q379" s="825"/>
      <c r="R379" s="825"/>
      <c r="S379" s="825"/>
      <c r="T379" s="825"/>
      <c r="U379" s="825"/>
      <c r="V379" s="825"/>
      <c r="W379" s="825"/>
      <c r="X379" s="825"/>
      <c r="Y379" s="825"/>
      <c r="Z379" s="825"/>
      <c r="AA379" s="825"/>
      <c r="AB379" s="825"/>
      <c r="AC379" s="825"/>
    </row>
    <row r="380" spans="1:29" ht="15.8" customHeight="1" x14ac:dyDescent="0.3">
      <c r="A380" s="825"/>
      <c r="C380" s="825"/>
      <c r="D380" s="21"/>
      <c r="E380" s="17"/>
      <c r="F380" s="825"/>
      <c r="G380" s="825"/>
      <c r="H380" s="21"/>
      <c r="I380" s="825"/>
      <c r="J380" s="825"/>
      <c r="M380" s="825"/>
      <c r="N380" s="825"/>
      <c r="O380" s="825"/>
      <c r="P380" s="825"/>
      <c r="Q380" s="825"/>
      <c r="R380" s="825"/>
      <c r="S380" s="825"/>
      <c r="T380" s="825"/>
      <c r="U380" s="825"/>
      <c r="V380" s="825"/>
      <c r="W380" s="825"/>
      <c r="X380" s="825"/>
      <c r="Y380" s="825"/>
      <c r="Z380" s="825"/>
      <c r="AA380" s="825"/>
      <c r="AB380" s="825"/>
      <c r="AC380" s="825"/>
    </row>
    <row r="381" spans="1:29" ht="15.8" customHeight="1" x14ac:dyDescent="0.3">
      <c r="A381" s="825"/>
      <c r="C381" s="825"/>
      <c r="D381" s="21"/>
      <c r="E381" s="17"/>
      <c r="F381" s="825"/>
      <c r="G381" s="825"/>
      <c r="H381" s="21"/>
      <c r="I381" s="825"/>
      <c r="J381" s="825"/>
      <c r="M381" s="825"/>
      <c r="N381" s="825"/>
      <c r="O381" s="825"/>
      <c r="P381" s="825"/>
      <c r="Q381" s="825"/>
      <c r="R381" s="825"/>
      <c r="S381" s="825"/>
      <c r="T381" s="825"/>
      <c r="U381" s="825"/>
      <c r="V381" s="825"/>
      <c r="W381" s="825"/>
      <c r="X381" s="825"/>
      <c r="Y381" s="825"/>
      <c r="Z381" s="825"/>
      <c r="AA381" s="825"/>
      <c r="AB381" s="825"/>
      <c r="AC381" s="825"/>
    </row>
    <row r="382" spans="1:29" ht="15.8" customHeight="1" x14ac:dyDescent="0.3">
      <c r="A382" s="825"/>
      <c r="C382" s="825"/>
      <c r="D382" s="21"/>
      <c r="E382" s="17"/>
      <c r="F382" s="825"/>
      <c r="G382" s="825"/>
      <c r="H382" s="21"/>
      <c r="I382" s="825"/>
      <c r="J382" s="825"/>
      <c r="M382" s="825"/>
      <c r="N382" s="825"/>
      <c r="O382" s="825"/>
      <c r="P382" s="825"/>
      <c r="Q382" s="825"/>
      <c r="R382" s="825"/>
      <c r="S382" s="825"/>
      <c r="T382" s="825"/>
      <c r="U382" s="825"/>
      <c r="V382" s="825"/>
      <c r="W382" s="825"/>
      <c r="X382" s="825"/>
      <c r="Y382" s="825"/>
      <c r="Z382" s="825"/>
      <c r="AA382" s="825"/>
      <c r="AB382" s="825"/>
      <c r="AC382" s="825"/>
    </row>
    <row r="383" spans="1:29" ht="15.8" customHeight="1" x14ac:dyDescent="0.3">
      <c r="A383" s="825"/>
      <c r="C383" s="825"/>
      <c r="D383" s="21"/>
      <c r="E383" s="17"/>
      <c r="F383" s="825"/>
      <c r="G383" s="825"/>
      <c r="H383" s="21"/>
      <c r="I383" s="825"/>
      <c r="J383" s="825"/>
      <c r="M383" s="825"/>
      <c r="N383" s="825"/>
      <c r="O383" s="825"/>
      <c r="P383" s="825"/>
      <c r="Q383" s="825"/>
      <c r="R383" s="825"/>
      <c r="S383" s="825"/>
      <c r="T383" s="825"/>
      <c r="U383" s="825"/>
      <c r="V383" s="825"/>
      <c r="W383" s="825"/>
      <c r="X383" s="825"/>
      <c r="Y383" s="825"/>
      <c r="Z383" s="825"/>
      <c r="AA383" s="825"/>
      <c r="AB383" s="825"/>
      <c r="AC383" s="825"/>
    </row>
    <row r="384" spans="1:29" ht="15.8" customHeight="1" x14ac:dyDescent="0.3">
      <c r="A384" s="825"/>
      <c r="C384" s="825"/>
      <c r="D384" s="21"/>
      <c r="E384" s="17"/>
      <c r="F384" s="825"/>
      <c r="G384" s="825"/>
      <c r="H384" s="21"/>
      <c r="I384" s="825"/>
      <c r="J384" s="825"/>
      <c r="M384" s="825"/>
      <c r="N384" s="825"/>
      <c r="O384" s="825"/>
      <c r="P384" s="825"/>
      <c r="Q384" s="825"/>
      <c r="R384" s="825"/>
      <c r="S384" s="825"/>
      <c r="T384" s="825"/>
      <c r="U384" s="825"/>
      <c r="V384" s="825"/>
      <c r="W384" s="825"/>
      <c r="X384" s="825"/>
      <c r="Y384" s="825"/>
      <c r="Z384" s="825"/>
      <c r="AA384" s="825"/>
      <c r="AB384" s="825"/>
      <c r="AC384" s="825"/>
    </row>
    <row r="385" spans="1:29" ht="15.8" customHeight="1" x14ac:dyDescent="0.3">
      <c r="A385" s="825"/>
      <c r="C385" s="825"/>
      <c r="D385" s="21"/>
      <c r="E385" s="17"/>
      <c r="F385" s="825"/>
      <c r="G385" s="825"/>
      <c r="H385" s="21"/>
      <c r="I385" s="825"/>
      <c r="J385" s="825"/>
      <c r="M385" s="825"/>
      <c r="N385" s="825"/>
      <c r="O385" s="825"/>
      <c r="P385" s="825"/>
      <c r="Q385" s="825"/>
      <c r="R385" s="825"/>
      <c r="S385" s="825"/>
      <c r="T385" s="825"/>
      <c r="U385" s="825"/>
      <c r="V385" s="825"/>
      <c r="W385" s="825"/>
      <c r="X385" s="825"/>
      <c r="Y385" s="825"/>
      <c r="Z385" s="825"/>
      <c r="AA385" s="825"/>
      <c r="AB385" s="825"/>
      <c r="AC385" s="825"/>
    </row>
    <row r="386" spans="1:29" ht="15.8" customHeight="1" x14ac:dyDescent="0.3">
      <c r="A386" s="825"/>
      <c r="C386" s="825"/>
      <c r="D386" s="21"/>
      <c r="E386" s="17"/>
      <c r="F386" s="825"/>
      <c r="G386" s="825"/>
      <c r="H386" s="21"/>
      <c r="I386" s="825"/>
      <c r="J386" s="825"/>
      <c r="M386" s="825"/>
      <c r="N386" s="825"/>
      <c r="O386" s="825"/>
      <c r="P386" s="825"/>
      <c r="Q386" s="825"/>
      <c r="R386" s="825"/>
      <c r="S386" s="825"/>
      <c r="T386" s="825"/>
      <c r="U386" s="825"/>
      <c r="V386" s="825"/>
      <c r="W386" s="825"/>
      <c r="X386" s="825"/>
      <c r="Y386" s="825"/>
      <c r="Z386" s="825"/>
      <c r="AA386" s="825"/>
      <c r="AB386" s="825"/>
      <c r="AC386" s="825"/>
    </row>
    <row r="387" spans="1:29" ht="15.8" customHeight="1" x14ac:dyDescent="0.3">
      <c r="A387" s="825"/>
      <c r="C387" s="825"/>
      <c r="D387" s="21"/>
      <c r="E387" s="17"/>
      <c r="F387" s="825"/>
      <c r="G387" s="825"/>
      <c r="H387" s="21"/>
      <c r="I387" s="825"/>
      <c r="J387" s="825"/>
      <c r="M387" s="825"/>
      <c r="N387" s="825"/>
      <c r="O387" s="825"/>
      <c r="P387" s="825"/>
      <c r="Q387" s="825"/>
      <c r="R387" s="825"/>
      <c r="S387" s="825"/>
      <c r="T387" s="825"/>
      <c r="U387" s="825"/>
      <c r="V387" s="825"/>
      <c r="W387" s="825"/>
      <c r="X387" s="825"/>
      <c r="Y387" s="825"/>
      <c r="Z387" s="825"/>
      <c r="AA387" s="825"/>
      <c r="AB387" s="825"/>
      <c r="AC387" s="825"/>
    </row>
    <row r="388" spans="1:29" ht="15.8" customHeight="1" x14ac:dyDescent="0.3">
      <c r="A388" s="825"/>
      <c r="C388" s="825"/>
      <c r="D388" s="21"/>
      <c r="E388" s="17"/>
      <c r="F388" s="825"/>
      <c r="G388" s="825"/>
      <c r="H388" s="21"/>
      <c r="I388" s="825"/>
      <c r="J388" s="825"/>
      <c r="M388" s="825"/>
      <c r="N388" s="825"/>
      <c r="O388" s="825"/>
      <c r="P388" s="825"/>
      <c r="Q388" s="825"/>
      <c r="R388" s="825"/>
      <c r="S388" s="825"/>
      <c r="T388" s="825"/>
      <c r="U388" s="825"/>
      <c r="V388" s="825"/>
      <c r="W388" s="825"/>
      <c r="X388" s="825"/>
      <c r="Y388" s="825"/>
      <c r="Z388" s="825"/>
      <c r="AA388" s="825"/>
      <c r="AB388" s="825"/>
      <c r="AC388" s="825"/>
    </row>
    <row r="389" spans="1:29" ht="15.8" customHeight="1" x14ac:dyDescent="0.3">
      <c r="A389" s="825"/>
      <c r="C389" s="825"/>
      <c r="D389" s="21"/>
      <c r="E389" s="17"/>
      <c r="F389" s="825"/>
      <c r="G389" s="825"/>
      <c r="H389" s="21"/>
      <c r="I389" s="825"/>
      <c r="J389" s="825"/>
      <c r="M389" s="825"/>
      <c r="N389" s="825"/>
      <c r="O389" s="825"/>
      <c r="P389" s="825"/>
      <c r="Q389" s="825"/>
      <c r="R389" s="825"/>
      <c r="S389" s="825"/>
      <c r="T389" s="825"/>
      <c r="U389" s="825"/>
      <c r="V389" s="825"/>
      <c r="W389" s="825"/>
      <c r="X389" s="825"/>
      <c r="Y389" s="825"/>
      <c r="Z389" s="825"/>
      <c r="AA389" s="825"/>
      <c r="AB389" s="825"/>
      <c r="AC389" s="825"/>
    </row>
    <row r="390" spans="1:29" ht="15.8" customHeight="1" x14ac:dyDescent="0.3">
      <c r="A390" s="825"/>
      <c r="C390" s="825"/>
      <c r="D390" s="21"/>
      <c r="E390" s="17"/>
      <c r="F390" s="825"/>
      <c r="G390" s="825"/>
      <c r="H390" s="21"/>
      <c r="I390" s="825"/>
      <c r="J390" s="825"/>
      <c r="M390" s="825"/>
      <c r="N390" s="825"/>
      <c r="O390" s="825"/>
      <c r="P390" s="825"/>
      <c r="Q390" s="825"/>
      <c r="R390" s="825"/>
      <c r="S390" s="825"/>
      <c r="T390" s="825"/>
      <c r="U390" s="825"/>
      <c r="V390" s="825"/>
      <c r="W390" s="825"/>
      <c r="X390" s="825"/>
      <c r="Y390" s="825"/>
      <c r="Z390" s="825"/>
      <c r="AA390" s="825"/>
      <c r="AB390" s="825"/>
      <c r="AC390" s="825"/>
    </row>
    <row r="391" spans="1:29" ht="15.8" customHeight="1" x14ac:dyDescent="0.3">
      <c r="A391" s="825"/>
      <c r="C391" s="825"/>
      <c r="D391" s="21"/>
      <c r="E391" s="17"/>
      <c r="F391" s="825"/>
      <c r="G391" s="825"/>
      <c r="H391" s="21"/>
      <c r="I391" s="825"/>
      <c r="J391" s="825"/>
      <c r="M391" s="825"/>
      <c r="N391" s="825"/>
      <c r="O391" s="825"/>
      <c r="P391" s="825"/>
      <c r="Q391" s="825"/>
      <c r="R391" s="825"/>
      <c r="S391" s="825"/>
      <c r="T391" s="825"/>
      <c r="U391" s="825"/>
      <c r="V391" s="825"/>
      <c r="W391" s="825"/>
      <c r="X391" s="825"/>
      <c r="Y391" s="825"/>
      <c r="Z391" s="825"/>
      <c r="AA391" s="825"/>
      <c r="AB391" s="825"/>
      <c r="AC391" s="825"/>
    </row>
    <row r="392" spans="1:29" ht="15.8" customHeight="1" x14ac:dyDescent="0.3">
      <c r="A392" s="825"/>
      <c r="C392" s="825"/>
      <c r="D392" s="21"/>
      <c r="E392" s="17"/>
      <c r="F392" s="825"/>
      <c r="G392" s="825"/>
      <c r="H392" s="21"/>
      <c r="I392" s="825"/>
      <c r="J392" s="825"/>
      <c r="M392" s="825"/>
      <c r="N392" s="825"/>
      <c r="O392" s="825"/>
      <c r="P392" s="825"/>
      <c r="Q392" s="825"/>
      <c r="R392" s="825"/>
      <c r="S392" s="825"/>
      <c r="T392" s="825"/>
      <c r="U392" s="825"/>
      <c r="V392" s="825"/>
      <c r="W392" s="825"/>
      <c r="X392" s="825"/>
      <c r="Y392" s="825"/>
      <c r="Z392" s="825"/>
      <c r="AA392" s="825"/>
      <c r="AB392" s="825"/>
      <c r="AC392" s="825"/>
    </row>
    <row r="393" spans="1:29" ht="15.8" customHeight="1" x14ac:dyDescent="0.3">
      <c r="A393" s="825"/>
      <c r="C393" s="825"/>
      <c r="D393" s="21"/>
      <c r="E393" s="17"/>
      <c r="F393" s="825"/>
      <c r="G393" s="825"/>
      <c r="H393" s="21"/>
      <c r="I393" s="825"/>
      <c r="J393" s="825"/>
      <c r="M393" s="825"/>
      <c r="N393" s="825"/>
      <c r="O393" s="825"/>
      <c r="P393" s="825"/>
      <c r="Q393" s="825"/>
      <c r="R393" s="825"/>
      <c r="S393" s="825"/>
      <c r="T393" s="825"/>
      <c r="U393" s="825"/>
      <c r="V393" s="825"/>
      <c r="W393" s="825"/>
      <c r="X393" s="825"/>
      <c r="Y393" s="825"/>
      <c r="Z393" s="825"/>
      <c r="AA393" s="825"/>
      <c r="AB393" s="825"/>
      <c r="AC393" s="825"/>
    </row>
    <row r="394" spans="1:29" ht="15.8" customHeight="1" x14ac:dyDescent="0.3">
      <c r="A394" s="825"/>
      <c r="C394" s="825"/>
      <c r="D394" s="21"/>
      <c r="E394" s="17"/>
      <c r="F394" s="825"/>
      <c r="G394" s="825"/>
      <c r="H394" s="21"/>
      <c r="I394" s="825"/>
      <c r="J394" s="825"/>
      <c r="M394" s="825"/>
      <c r="N394" s="825"/>
      <c r="O394" s="825"/>
      <c r="P394" s="825"/>
      <c r="Q394" s="825"/>
      <c r="R394" s="825"/>
      <c r="S394" s="825"/>
      <c r="T394" s="825"/>
      <c r="U394" s="825"/>
      <c r="V394" s="825"/>
      <c r="W394" s="825"/>
      <c r="X394" s="825"/>
      <c r="Y394" s="825"/>
      <c r="Z394" s="825"/>
      <c r="AA394" s="825"/>
      <c r="AB394" s="825"/>
      <c r="AC394" s="825"/>
    </row>
    <row r="395" spans="1:29" ht="15.8" customHeight="1" x14ac:dyDescent="0.3">
      <c r="A395" s="825"/>
      <c r="C395" s="825"/>
      <c r="D395" s="21"/>
      <c r="E395" s="17"/>
      <c r="F395" s="825"/>
      <c r="G395" s="825"/>
      <c r="H395" s="21"/>
      <c r="I395" s="825"/>
      <c r="J395" s="825"/>
      <c r="M395" s="825"/>
      <c r="N395" s="825"/>
      <c r="O395" s="825"/>
      <c r="P395" s="825"/>
      <c r="Q395" s="825"/>
      <c r="R395" s="825"/>
      <c r="S395" s="825"/>
      <c r="T395" s="825"/>
      <c r="U395" s="825"/>
      <c r="V395" s="825"/>
      <c r="W395" s="825"/>
      <c r="X395" s="825"/>
      <c r="Y395" s="825"/>
      <c r="Z395" s="825"/>
      <c r="AA395" s="825"/>
      <c r="AB395" s="825"/>
      <c r="AC395" s="825"/>
    </row>
    <row r="396" spans="1:29" ht="15.8" customHeight="1" x14ac:dyDescent="0.3">
      <c r="A396" s="825"/>
      <c r="C396" s="825"/>
      <c r="D396" s="21"/>
      <c r="E396" s="17"/>
      <c r="F396" s="825"/>
      <c r="G396" s="825"/>
      <c r="H396" s="21"/>
      <c r="I396" s="825"/>
      <c r="J396" s="825"/>
      <c r="M396" s="825"/>
      <c r="N396" s="825"/>
      <c r="O396" s="825"/>
      <c r="P396" s="825"/>
      <c r="Q396" s="825"/>
      <c r="R396" s="825"/>
      <c r="S396" s="825"/>
      <c r="T396" s="825"/>
      <c r="U396" s="825"/>
      <c r="V396" s="825"/>
      <c r="W396" s="825"/>
      <c r="X396" s="825"/>
      <c r="Y396" s="825"/>
      <c r="Z396" s="825"/>
      <c r="AA396" s="825"/>
      <c r="AB396" s="825"/>
      <c r="AC396" s="825"/>
    </row>
    <row r="397" spans="1:29" ht="15.8" customHeight="1" x14ac:dyDescent="0.3">
      <c r="A397" s="825"/>
      <c r="C397" s="825"/>
      <c r="D397" s="21"/>
      <c r="E397" s="17"/>
      <c r="F397" s="825"/>
      <c r="G397" s="825"/>
      <c r="H397" s="21"/>
      <c r="I397" s="825"/>
      <c r="J397" s="825"/>
      <c r="M397" s="825"/>
      <c r="N397" s="825"/>
      <c r="O397" s="825"/>
      <c r="P397" s="825"/>
      <c r="Q397" s="825"/>
      <c r="R397" s="825"/>
      <c r="S397" s="825"/>
      <c r="T397" s="825"/>
      <c r="U397" s="825"/>
      <c r="V397" s="825"/>
      <c r="W397" s="825"/>
      <c r="X397" s="825"/>
      <c r="Y397" s="825"/>
      <c r="Z397" s="825"/>
      <c r="AA397" s="825"/>
      <c r="AB397" s="825"/>
      <c r="AC397" s="825"/>
    </row>
    <row r="398" spans="1:29" ht="15.8" customHeight="1" x14ac:dyDescent="0.3">
      <c r="A398" s="825"/>
      <c r="C398" s="825"/>
      <c r="D398" s="21"/>
      <c r="E398" s="17"/>
      <c r="F398" s="825"/>
      <c r="G398" s="825"/>
      <c r="H398" s="21"/>
      <c r="I398" s="825"/>
      <c r="J398" s="825"/>
      <c r="M398" s="825"/>
      <c r="N398" s="825"/>
      <c r="O398" s="825"/>
      <c r="P398" s="825"/>
      <c r="Q398" s="825"/>
      <c r="R398" s="825"/>
      <c r="S398" s="825"/>
      <c r="T398" s="825"/>
      <c r="U398" s="825"/>
      <c r="V398" s="825"/>
      <c r="W398" s="825"/>
      <c r="X398" s="825"/>
      <c r="Y398" s="825"/>
      <c r="Z398" s="825"/>
      <c r="AA398" s="825"/>
      <c r="AB398" s="825"/>
      <c r="AC398" s="825"/>
    </row>
    <row r="399" spans="1:29" ht="15.8" customHeight="1" x14ac:dyDescent="0.3">
      <c r="A399" s="825"/>
      <c r="C399" s="825"/>
      <c r="D399" s="21"/>
      <c r="E399" s="17"/>
      <c r="F399" s="825"/>
      <c r="G399" s="825"/>
      <c r="H399" s="21"/>
      <c r="I399" s="825"/>
      <c r="J399" s="825"/>
      <c r="M399" s="825"/>
      <c r="N399" s="825"/>
      <c r="O399" s="825"/>
      <c r="P399" s="825"/>
      <c r="Q399" s="825"/>
      <c r="R399" s="825"/>
      <c r="S399" s="825"/>
      <c r="T399" s="825"/>
      <c r="U399" s="825"/>
      <c r="V399" s="825"/>
      <c r="W399" s="825"/>
      <c r="X399" s="825"/>
      <c r="Y399" s="825"/>
      <c r="Z399" s="825"/>
      <c r="AA399" s="825"/>
      <c r="AB399" s="825"/>
      <c r="AC399" s="825"/>
    </row>
    <row r="400" spans="1:29" ht="15.8" customHeight="1" x14ac:dyDescent="0.3">
      <c r="A400" s="825"/>
      <c r="C400" s="825"/>
      <c r="D400" s="21"/>
      <c r="E400" s="17"/>
      <c r="F400" s="825"/>
      <c r="G400" s="825"/>
      <c r="H400" s="21"/>
      <c r="I400" s="825"/>
      <c r="J400" s="825"/>
      <c r="M400" s="825"/>
      <c r="N400" s="825"/>
      <c r="O400" s="825"/>
      <c r="P400" s="825"/>
      <c r="Q400" s="825"/>
      <c r="R400" s="825"/>
      <c r="S400" s="825"/>
      <c r="T400" s="825"/>
      <c r="U400" s="825"/>
      <c r="V400" s="825"/>
      <c r="W400" s="825"/>
      <c r="X400" s="825"/>
      <c r="Y400" s="825"/>
      <c r="Z400" s="825"/>
      <c r="AA400" s="825"/>
      <c r="AB400" s="825"/>
      <c r="AC400" s="825"/>
    </row>
    <row r="401" spans="1:29" ht="15.8" customHeight="1" x14ac:dyDescent="0.3">
      <c r="A401" s="825"/>
      <c r="C401" s="825"/>
      <c r="D401" s="21"/>
      <c r="E401" s="17"/>
      <c r="F401" s="825"/>
      <c r="G401" s="825"/>
      <c r="H401" s="21"/>
      <c r="I401" s="825"/>
      <c r="J401" s="825"/>
      <c r="M401" s="825"/>
      <c r="N401" s="825"/>
      <c r="O401" s="825"/>
      <c r="P401" s="825"/>
      <c r="Q401" s="825"/>
      <c r="R401" s="825"/>
      <c r="S401" s="825"/>
      <c r="T401" s="825"/>
      <c r="U401" s="825"/>
      <c r="V401" s="825"/>
      <c r="W401" s="825"/>
      <c r="X401" s="825"/>
      <c r="Y401" s="825"/>
      <c r="Z401" s="825"/>
      <c r="AA401" s="825"/>
      <c r="AB401" s="825"/>
      <c r="AC401" s="825"/>
    </row>
    <row r="402" spans="1:29" ht="15.8" customHeight="1" x14ac:dyDescent="0.3">
      <c r="A402" s="825"/>
      <c r="C402" s="825"/>
      <c r="D402" s="21"/>
      <c r="E402" s="17"/>
      <c r="F402" s="825"/>
      <c r="G402" s="825"/>
      <c r="H402" s="21"/>
      <c r="I402" s="825"/>
      <c r="J402" s="825"/>
      <c r="M402" s="825"/>
      <c r="N402" s="825"/>
      <c r="O402" s="825"/>
      <c r="P402" s="825"/>
      <c r="Q402" s="825"/>
      <c r="R402" s="825"/>
      <c r="S402" s="825"/>
      <c r="T402" s="825"/>
      <c r="U402" s="825"/>
      <c r="V402" s="825"/>
      <c r="W402" s="825"/>
      <c r="X402" s="825"/>
      <c r="Y402" s="825"/>
      <c r="Z402" s="825"/>
      <c r="AA402" s="825"/>
      <c r="AB402" s="825"/>
      <c r="AC402" s="825"/>
    </row>
    <row r="403" spans="1:29" ht="15.8" customHeight="1" x14ac:dyDescent="0.3">
      <c r="A403" s="825"/>
      <c r="C403" s="825"/>
      <c r="D403" s="21"/>
      <c r="E403" s="17"/>
      <c r="F403" s="825"/>
      <c r="G403" s="825"/>
      <c r="H403" s="21"/>
      <c r="I403" s="825"/>
      <c r="J403" s="825"/>
      <c r="M403" s="825"/>
      <c r="N403" s="825"/>
      <c r="O403" s="825"/>
      <c r="P403" s="825"/>
      <c r="Q403" s="825"/>
      <c r="R403" s="825"/>
      <c r="S403" s="825"/>
      <c r="T403" s="825"/>
      <c r="U403" s="825"/>
      <c r="V403" s="825"/>
      <c r="W403" s="825"/>
      <c r="X403" s="825"/>
      <c r="Y403" s="825"/>
      <c r="Z403" s="825"/>
      <c r="AA403" s="825"/>
      <c r="AB403" s="825"/>
      <c r="AC403" s="825"/>
    </row>
    <row r="404" spans="1:29" ht="15.8" customHeight="1" x14ac:dyDescent="0.3">
      <c r="A404" s="825"/>
      <c r="C404" s="825"/>
      <c r="D404" s="21"/>
      <c r="E404" s="17"/>
      <c r="F404" s="825"/>
      <c r="G404" s="825"/>
      <c r="H404" s="21"/>
      <c r="I404" s="825"/>
      <c r="J404" s="825"/>
      <c r="M404" s="825"/>
      <c r="N404" s="825"/>
      <c r="O404" s="825"/>
      <c r="P404" s="825"/>
      <c r="Q404" s="825"/>
      <c r="R404" s="825"/>
      <c r="S404" s="825"/>
      <c r="T404" s="825"/>
      <c r="U404" s="825"/>
      <c r="V404" s="825"/>
      <c r="W404" s="825"/>
      <c r="X404" s="825"/>
      <c r="Y404" s="825"/>
      <c r="Z404" s="825"/>
      <c r="AA404" s="825"/>
      <c r="AB404" s="825"/>
      <c r="AC404" s="825"/>
    </row>
    <row r="405" spans="1:29" ht="15.8" customHeight="1" x14ac:dyDescent="0.3">
      <c r="A405" s="825"/>
      <c r="C405" s="825"/>
      <c r="D405" s="21"/>
      <c r="E405" s="17"/>
      <c r="F405" s="825"/>
      <c r="G405" s="825"/>
      <c r="H405" s="21"/>
      <c r="I405" s="825"/>
      <c r="J405" s="825"/>
      <c r="M405" s="825"/>
      <c r="N405" s="825"/>
      <c r="O405" s="825"/>
      <c r="P405" s="825"/>
      <c r="Q405" s="825"/>
      <c r="R405" s="825"/>
      <c r="S405" s="825"/>
      <c r="T405" s="825"/>
      <c r="U405" s="825"/>
      <c r="V405" s="825"/>
      <c r="W405" s="825"/>
      <c r="X405" s="825"/>
      <c r="Y405" s="825"/>
      <c r="Z405" s="825"/>
      <c r="AA405" s="825"/>
      <c r="AB405" s="825"/>
      <c r="AC405" s="825"/>
    </row>
    <row r="406" spans="1:29" ht="15.8" customHeight="1" x14ac:dyDescent="0.3">
      <c r="A406" s="825"/>
      <c r="C406" s="825"/>
      <c r="D406" s="21"/>
      <c r="E406" s="17"/>
      <c r="F406" s="825"/>
      <c r="G406" s="825"/>
      <c r="H406" s="21"/>
      <c r="I406" s="825"/>
      <c r="J406" s="825"/>
      <c r="M406" s="825"/>
      <c r="N406" s="825"/>
      <c r="O406" s="825"/>
      <c r="P406" s="825"/>
      <c r="Q406" s="825"/>
      <c r="R406" s="825"/>
      <c r="S406" s="825"/>
      <c r="T406" s="825"/>
      <c r="U406" s="825"/>
      <c r="V406" s="825"/>
      <c r="W406" s="825"/>
      <c r="X406" s="825"/>
      <c r="Y406" s="825"/>
      <c r="Z406" s="825"/>
      <c r="AA406" s="825"/>
      <c r="AB406" s="825"/>
      <c r="AC406" s="825"/>
    </row>
    <row r="407" spans="1:29" ht="15.8" customHeight="1" x14ac:dyDescent="0.3">
      <c r="A407" s="825"/>
      <c r="C407" s="825"/>
      <c r="D407" s="21"/>
      <c r="E407" s="17"/>
      <c r="F407" s="825"/>
      <c r="G407" s="825"/>
      <c r="H407" s="21"/>
      <c r="I407" s="825"/>
      <c r="J407" s="825"/>
      <c r="M407" s="825"/>
      <c r="N407" s="825"/>
      <c r="O407" s="825"/>
      <c r="P407" s="825"/>
      <c r="Q407" s="825"/>
      <c r="R407" s="825"/>
      <c r="S407" s="825"/>
      <c r="T407" s="825"/>
      <c r="U407" s="825"/>
      <c r="V407" s="825"/>
      <c r="W407" s="825"/>
      <c r="X407" s="825"/>
      <c r="Y407" s="825"/>
      <c r="Z407" s="825"/>
      <c r="AA407" s="825"/>
      <c r="AB407" s="825"/>
      <c r="AC407" s="825"/>
    </row>
    <row r="408" spans="1:29" ht="15.8" customHeight="1" x14ac:dyDescent="0.3">
      <c r="A408" s="825"/>
      <c r="C408" s="825"/>
      <c r="D408" s="21"/>
      <c r="E408" s="17"/>
      <c r="F408" s="825"/>
      <c r="G408" s="825"/>
      <c r="H408" s="21"/>
      <c r="I408" s="825"/>
      <c r="J408" s="825"/>
      <c r="M408" s="825"/>
      <c r="N408" s="825"/>
      <c r="O408" s="825"/>
      <c r="P408" s="825"/>
      <c r="Q408" s="825"/>
      <c r="R408" s="825"/>
      <c r="S408" s="825"/>
      <c r="T408" s="825"/>
      <c r="U408" s="825"/>
      <c r="V408" s="825"/>
      <c r="W408" s="825"/>
      <c r="X408" s="825"/>
      <c r="Y408" s="825"/>
      <c r="Z408" s="825"/>
      <c r="AA408" s="825"/>
      <c r="AB408" s="825"/>
      <c r="AC408" s="825"/>
    </row>
    <row r="409" spans="1:29" ht="15.8" customHeight="1" x14ac:dyDescent="0.3">
      <c r="A409" s="825"/>
      <c r="C409" s="825"/>
      <c r="D409" s="21"/>
      <c r="E409" s="17"/>
      <c r="F409" s="825"/>
      <c r="G409" s="825"/>
      <c r="H409" s="21"/>
      <c r="I409" s="825"/>
      <c r="J409" s="825"/>
      <c r="M409" s="825"/>
      <c r="N409" s="825"/>
      <c r="O409" s="825"/>
      <c r="P409" s="825"/>
      <c r="Q409" s="825"/>
      <c r="R409" s="825"/>
      <c r="S409" s="825"/>
      <c r="T409" s="825"/>
      <c r="U409" s="825"/>
      <c r="V409" s="825"/>
      <c r="W409" s="825"/>
      <c r="X409" s="825"/>
      <c r="Y409" s="825"/>
      <c r="Z409" s="825"/>
      <c r="AA409" s="825"/>
      <c r="AB409" s="825"/>
      <c r="AC409" s="825"/>
    </row>
    <row r="410" spans="1:29" ht="15.8" customHeight="1" x14ac:dyDescent="0.3">
      <c r="A410" s="825"/>
      <c r="C410" s="825"/>
      <c r="D410" s="21"/>
      <c r="E410" s="17"/>
      <c r="F410" s="825"/>
      <c r="G410" s="825"/>
      <c r="H410" s="21"/>
      <c r="I410" s="825"/>
      <c r="J410" s="825"/>
      <c r="M410" s="825"/>
      <c r="N410" s="825"/>
      <c r="O410" s="825"/>
      <c r="P410" s="825"/>
      <c r="Q410" s="825"/>
      <c r="R410" s="825"/>
      <c r="S410" s="825"/>
      <c r="T410" s="825"/>
      <c r="U410" s="825"/>
      <c r="V410" s="825"/>
      <c r="W410" s="825"/>
      <c r="X410" s="825"/>
      <c r="Y410" s="825"/>
      <c r="Z410" s="825"/>
      <c r="AA410" s="825"/>
      <c r="AB410" s="825"/>
      <c r="AC410" s="825"/>
    </row>
    <row r="411" spans="1:29" ht="15.8" customHeight="1" x14ac:dyDescent="0.3">
      <c r="A411" s="825"/>
      <c r="C411" s="825"/>
      <c r="D411" s="21"/>
      <c r="E411" s="17"/>
      <c r="F411" s="825"/>
      <c r="G411" s="825"/>
      <c r="H411" s="21"/>
      <c r="I411" s="825"/>
      <c r="J411" s="825"/>
      <c r="M411" s="825"/>
      <c r="N411" s="825"/>
      <c r="O411" s="825"/>
      <c r="P411" s="825"/>
      <c r="Q411" s="825"/>
      <c r="R411" s="825"/>
      <c r="S411" s="825"/>
      <c r="T411" s="825"/>
      <c r="U411" s="825"/>
      <c r="V411" s="825"/>
      <c r="W411" s="825"/>
      <c r="X411" s="825"/>
      <c r="Y411" s="825"/>
      <c r="Z411" s="825"/>
      <c r="AA411" s="825"/>
      <c r="AB411" s="825"/>
      <c r="AC411" s="825"/>
    </row>
    <row r="412" spans="1:29" ht="15.8" customHeight="1" x14ac:dyDescent="0.3">
      <c r="A412" s="825"/>
      <c r="C412" s="825"/>
      <c r="D412" s="21"/>
      <c r="E412" s="17"/>
      <c r="F412" s="825"/>
      <c r="G412" s="825"/>
      <c r="H412" s="21"/>
      <c r="I412" s="825"/>
      <c r="J412" s="825"/>
      <c r="M412" s="825"/>
      <c r="N412" s="825"/>
      <c r="O412" s="825"/>
      <c r="P412" s="825"/>
      <c r="Q412" s="825"/>
      <c r="R412" s="825"/>
      <c r="S412" s="825"/>
      <c r="T412" s="825"/>
      <c r="U412" s="825"/>
      <c r="V412" s="825"/>
      <c r="W412" s="825"/>
      <c r="X412" s="825"/>
      <c r="Y412" s="825"/>
      <c r="Z412" s="825"/>
      <c r="AA412" s="825"/>
      <c r="AB412" s="825"/>
      <c r="AC412" s="825"/>
    </row>
    <row r="413" spans="1:29" ht="15.8" customHeight="1" x14ac:dyDescent="0.3">
      <c r="A413" s="825"/>
      <c r="C413" s="825"/>
      <c r="D413" s="21"/>
      <c r="E413" s="17"/>
      <c r="F413" s="825"/>
      <c r="G413" s="825"/>
      <c r="H413" s="21"/>
      <c r="I413" s="825"/>
      <c r="J413" s="825"/>
      <c r="M413" s="825"/>
      <c r="N413" s="825"/>
      <c r="O413" s="825"/>
      <c r="P413" s="825"/>
      <c r="Q413" s="825"/>
      <c r="R413" s="825"/>
      <c r="S413" s="825"/>
      <c r="T413" s="825"/>
      <c r="U413" s="825"/>
      <c r="V413" s="825"/>
      <c r="W413" s="825"/>
      <c r="X413" s="825"/>
      <c r="Y413" s="825"/>
      <c r="Z413" s="825"/>
      <c r="AA413" s="825"/>
      <c r="AB413" s="825"/>
      <c r="AC413" s="825"/>
    </row>
    <row r="414" spans="1:29" ht="15.8" customHeight="1" x14ac:dyDescent="0.3">
      <c r="A414" s="825"/>
      <c r="C414" s="825"/>
      <c r="D414" s="21"/>
      <c r="E414" s="17"/>
      <c r="F414" s="825"/>
      <c r="G414" s="825"/>
      <c r="H414" s="21"/>
      <c r="I414" s="825"/>
      <c r="J414" s="825"/>
      <c r="M414" s="825"/>
      <c r="N414" s="825"/>
      <c r="O414" s="825"/>
      <c r="P414" s="825"/>
      <c r="Q414" s="825"/>
      <c r="R414" s="825"/>
      <c r="S414" s="825"/>
      <c r="T414" s="825"/>
      <c r="U414" s="825"/>
      <c r="V414" s="825"/>
      <c r="W414" s="825"/>
      <c r="X414" s="825"/>
      <c r="Y414" s="825"/>
      <c r="Z414" s="825"/>
      <c r="AA414" s="825"/>
      <c r="AB414" s="825"/>
      <c r="AC414" s="825"/>
    </row>
    <row r="415" spans="1:29" ht="15.8" customHeight="1" x14ac:dyDescent="0.3">
      <c r="A415" s="825"/>
      <c r="C415" s="825"/>
      <c r="D415" s="21"/>
      <c r="E415" s="17"/>
      <c r="F415" s="825"/>
      <c r="G415" s="825"/>
      <c r="H415" s="21"/>
      <c r="I415" s="825"/>
      <c r="J415" s="825"/>
      <c r="M415" s="825"/>
      <c r="N415" s="825"/>
      <c r="O415" s="825"/>
      <c r="P415" s="825"/>
      <c r="Q415" s="825"/>
      <c r="R415" s="825"/>
      <c r="S415" s="825"/>
      <c r="T415" s="825"/>
      <c r="U415" s="825"/>
      <c r="V415" s="825"/>
      <c r="W415" s="825"/>
      <c r="X415" s="825"/>
      <c r="Y415" s="825"/>
      <c r="Z415" s="825"/>
      <c r="AA415" s="825"/>
      <c r="AB415" s="825"/>
      <c r="AC415" s="825"/>
    </row>
    <row r="416" spans="1:29" ht="15.8" customHeight="1" x14ac:dyDescent="0.3">
      <c r="A416" s="825"/>
      <c r="C416" s="825"/>
      <c r="D416" s="21"/>
      <c r="E416" s="17"/>
      <c r="F416" s="825"/>
      <c r="G416" s="825"/>
      <c r="H416" s="21"/>
      <c r="I416" s="825"/>
      <c r="J416" s="825"/>
      <c r="M416" s="825"/>
      <c r="N416" s="825"/>
      <c r="O416" s="825"/>
      <c r="P416" s="825"/>
      <c r="Q416" s="825"/>
      <c r="R416" s="825"/>
      <c r="S416" s="825"/>
      <c r="T416" s="825"/>
      <c r="U416" s="825"/>
      <c r="V416" s="825"/>
      <c r="W416" s="825"/>
      <c r="X416" s="825"/>
      <c r="Y416" s="825"/>
      <c r="Z416" s="825"/>
      <c r="AA416" s="825"/>
      <c r="AB416" s="825"/>
      <c r="AC416" s="825"/>
    </row>
    <row r="417" spans="1:29" ht="15.8" customHeight="1" x14ac:dyDescent="0.3">
      <c r="A417" s="825"/>
      <c r="C417" s="825"/>
      <c r="D417" s="21"/>
      <c r="E417" s="17"/>
      <c r="F417" s="825"/>
      <c r="G417" s="825"/>
      <c r="H417" s="21"/>
      <c r="I417" s="825"/>
      <c r="J417" s="825"/>
      <c r="M417" s="825"/>
      <c r="N417" s="825"/>
      <c r="O417" s="825"/>
      <c r="P417" s="825"/>
      <c r="Q417" s="825"/>
      <c r="R417" s="825"/>
      <c r="S417" s="825"/>
      <c r="T417" s="825"/>
      <c r="U417" s="825"/>
      <c r="V417" s="825"/>
      <c r="W417" s="825"/>
      <c r="X417" s="825"/>
      <c r="Y417" s="825"/>
      <c r="Z417" s="825"/>
      <c r="AA417" s="825"/>
      <c r="AB417" s="825"/>
      <c r="AC417" s="825"/>
    </row>
    <row r="418" spans="1:29" ht="15.8" customHeight="1" x14ac:dyDescent="0.3">
      <c r="A418" s="825"/>
      <c r="C418" s="825"/>
      <c r="D418" s="21"/>
      <c r="E418" s="17"/>
      <c r="F418" s="825"/>
      <c r="G418" s="825"/>
      <c r="H418" s="21"/>
      <c r="I418" s="825"/>
      <c r="J418" s="825"/>
      <c r="M418" s="825"/>
      <c r="N418" s="825"/>
      <c r="O418" s="825"/>
      <c r="P418" s="825"/>
      <c r="Q418" s="825"/>
      <c r="R418" s="825"/>
      <c r="S418" s="825"/>
      <c r="T418" s="825"/>
      <c r="U418" s="825"/>
      <c r="V418" s="825"/>
      <c r="W418" s="825"/>
      <c r="X418" s="825"/>
      <c r="Y418" s="825"/>
      <c r="Z418" s="825"/>
      <c r="AA418" s="825"/>
      <c r="AB418" s="825"/>
      <c r="AC418" s="825"/>
    </row>
    <row r="419" spans="1:29" ht="15.8" customHeight="1" x14ac:dyDescent="0.3">
      <c r="A419" s="825"/>
      <c r="C419" s="825"/>
      <c r="D419" s="21"/>
      <c r="E419" s="17"/>
      <c r="F419" s="825"/>
      <c r="G419" s="825"/>
      <c r="H419" s="21"/>
      <c r="I419" s="825"/>
      <c r="J419" s="825"/>
      <c r="M419" s="825"/>
      <c r="N419" s="825"/>
      <c r="O419" s="825"/>
      <c r="P419" s="825"/>
      <c r="Q419" s="825"/>
      <c r="R419" s="825"/>
      <c r="S419" s="825"/>
      <c r="T419" s="825"/>
      <c r="U419" s="825"/>
      <c r="V419" s="825"/>
      <c r="W419" s="825"/>
      <c r="X419" s="825"/>
      <c r="Y419" s="825"/>
      <c r="Z419" s="825"/>
      <c r="AA419" s="825"/>
      <c r="AB419" s="825"/>
      <c r="AC419" s="825"/>
    </row>
    <row r="420" spans="1:29" ht="15.8" customHeight="1" x14ac:dyDescent="0.3">
      <c r="A420" s="825"/>
      <c r="C420" s="825"/>
      <c r="D420" s="21"/>
      <c r="E420" s="17"/>
      <c r="F420" s="825"/>
      <c r="G420" s="825"/>
      <c r="H420" s="21"/>
      <c r="I420" s="825"/>
      <c r="J420" s="825"/>
      <c r="M420" s="825"/>
      <c r="N420" s="825"/>
      <c r="O420" s="825"/>
      <c r="P420" s="825"/>
      <c r="Q420" s="825"/>
      <c r="R420" s="825"/>
      <c r="S420" s="825"/>
      <c r="T420" s="825"/>
      <c r="U420" s="825"/>
      <c r="V420" s="825"/>
      <c r="W420" s="825"/>
      <c r="X420" s="825"/>
      <c r="Y420" s="825"/>
      <c r="Z420" s="825"/>
      <c r="AA420" s="825"/>
      <c r="AB420" s="825"/>
      <c r="AC420" s="825"/>
    </row>
    <row r="421" spans="1:29" ht="15.8" customHeight="1" x14ac:dyDescent="0.3">
      <c r="A421" s="825"/>
      <c r="C421" s="825"/>
      <c r="D421" s="21"/>
      <c r="E421" s="17"/>
      <c r="F421" s="825"/>
      <c r="G421" s="825"/>
      <c r="H421" s="21"/>
      <c r="I421" s="825"/>
      <c r="J421" s="825"/>
      <c r="M421" s="825"/>
      <c r="N421" s="825"/>
      <c r="O421" s="825"/>
      <c r="P421" s="825"/>
      <c r="Q421" s="825"/>
      <c r="R421" s="825"/>
      <c r="S421" s="825"/>
      <c r="T421" s="825"/>
      <c r="U421" s="825"/>
      <c r="V421" s="825"/>
      <c r="W421" s="825"/>
      <c r="X421" s="825"/>
      <c r="Y421" s="825"/>
      <c r="Z421" s="825"/>
      <c r="AA421" s="825"/>
      <c r="AB421" s="825"/>
      <c r="AC421" s="825"/>
    </row>
    <row r="422" spans="1:29" ht="15.8" customHeight="1" x14ac:dyDescent="0.3">
      <c r="A422" s="825"/>
      <c r="C422" s="825"/>
      <c r="D422" s="21"/>
      <c r="E422" s="17"/>
      <c r="F422" s="825"/>
      <c r="G422" s="825"/>
      <c r="H422" s="21"/>
      <c r="I422" s="825"/>
      <c r="J422" s="825"/>
      <c r="M422" s="825"/>
      <c r="N422" s="825"/>
      <c r="O422" s="825"/>
      <c r="P422" s="825"/>
      <c r="Q422" s="825"/>
      <c r="R422" s="825"/>
      <c r="S422" s="825"/>
      <c r="T422" s="825"/>
      <c r="U422" s="825"/>
      <c r="V422" s="825"/>
      <c r="W422" s="825"/>
      <c r="X422" s="825"/>
      <c r="Y422" s="825"/>
      <c r="Z422" s="825"/>
      <c r="AA422" s="825"/>
      <c r="AB422" s="825"/>
      <c r="AC422" s="825"/>
    </row>
    <row r="423" spans="1:29" ht="15.8" customHeight="1" x14ac:dyDescent="0.3">
      <c r="A423" s="825"/>
      <c r="C423" s="825"/>
      <c r="D423" s="21"/>
      <c r="E423" s="17"/>
      <c r="F423" s="825"/>
      <c r="G423" s="825"/>
      <c r="H423" s="21"/>
      <c r="I423" s="825"/>
      <c r="J423" s="825"/>
      <c r="M423" s="825"/>
      <c r="N423" s="825"/>
      <c r="O423" s="825"/>
      <c r="P423" s="825"/>
      <c r="Q423" s="825"/>
      <c r="R423" s="825"/>
      <c r="S423" s="825"/>
      <c r="T423" s="825"/>
      <c r="U423" s="825"/>
      <c r="V423" s="825"/>
      <c r="W423" s="825"/>
      <c r="X423" s="825"/>
      <c r="Y423" s="825"/>
      <c r="Z423" s="825"/>
      <c r="AA423" s="825"/>
      <c r="AB423" s="825"/>
      <c r="AC423" s="825"/>
    </row>
    <row r="424" spans="1:29" ht="15.8" customHeight="1" x14ac:dyDescent="0.3">
      <c r="A424" s="825"/>
      <c r="C424" s="825"/>
      <c r="D424" s="21"/>
      <c r="E424" s="17"/>
      <c r="F424" s="825"/>
      <c r="G424" s="825"/>
      <c r="H424" s="21"/>
      <c r="I424" s="825"/>
      <c r="J424" s="825"/>
      <c r="M424" s="825"/>
      <c r="N424" s="825"/>
      <c r="O424" s="825"/>
      <c r="P424" s="825"/>
      <c r="Q424" s="825"/>
      <c r="R424" s="825"/>
      <c r="S424" s="825"/>
      <c r="T424" s="825"/>
      <c r="U424" s="825"/>
      <c r="V424" s="825"/>
      <c r="W424" s="825"/>
      <c r="X424" s="825"/>
      <c r="Y424" s="825"/>
      <c r="Z424" s="825"/>
      <c r="AA424" s="825"/>
      <c r="AB424" s="825"/>
      <c r="AC424" s="825"/>
    </row>
    <row r="425" spans="1:29" ht="15.8" customHeight="1" x14ac:dyDescent="0.3">
      <c r="A425" s="825"/>
      <c r="C425" s="825"/>
      <c r="D425" s="21"/>
      <c r="E425" s="17"/>
      <c r="F425" s="825"/>
      <c r="G425" s="825"/>
      <c r="H425" s="21"/>
      <c r="I425" s="825"/>
      <c r="J425" s="825"/>
      <c r="M425" s="825"/>
      <c r="N425" s="825"/>
      <c r="O425" s="825"/>
      <c r="P425" s="825"/>
      <c r="Q425" s="825"/>
      <c r="R425" s="825"/>
      <c r="S425" s="825"/>
      <c r="T425" s="825"/>
      <c r="U425" s="825"/>
      <c r="V425" s="825"/>
      <c r="W425" s="825"/>
      <c r="X425" s="825"/>
      <c r="Y425" s="825"/>
      <c r="Z425" s="825"/>
      <c r="AA425" s="825"/>
      <c r="AB425" s="825"/>
      <c r="AC425" s="825"/>
    </row>
    <row r="426" spans="1:29" ht="15.8" customHeight="1" x14ac:dyDescent="0.3">
      <c r="A426" s="825"/>
      <c r="C426" s="825"/>
      <c r="D426" s="21"/>
      <c r="E426" s="17"/>
      <c r="F426" s="825"/>
      <c r="G426" s="825"/>
      <c r="H426" s="21"/>
      <c r="I426" s="825"/>
      <c r="J426" s="825"/>
      <c r="M426" s="825"/>
      <c r="N426" s="825"/>
      <c r="O426" s="825"/>
      <c r="P426" s="825"/>
      <c r="Q426" s="825"/>
      <c r="R426" s="825"/>
      <c r="S426" s="825"/>
      <c r="T426" s="825"/>
      <c r="U426" s="825"/>
      <c r="V426" s="825"/>
      <c r="W426" s="825"/>
      <c r="X426" s="825"/>
      <c r="Y426" s="825"/>
      <c r="Z426" s="825"/>
      <c r="AA426" s="825"/>
      <c r="AB426" s="825"/>
      <c r="AC426" s="825"/>
    </row>
    <row r="427" spans="1:29" ht="15.8" customHeight="1" x14ac:dyDescent="0.3">
      <c r="A427" s="825"/>
      <c r="C427" s="825"/>
      <c r="D427" s="21"/>
      <c r="E427" s="17"/>
      <c r="F427" s="825"/>
      <c r="G427" s="825"/>
      <c r="H427" s="21"/>
      <c r="I427" s="825"/>
      <c r="J427" s="825"/>
      <c r="M427" s="825"/>
      <c r="N427" s="825"/>
      <c r="O427" s="825"/>
      <c r="P427" s="825"/>
      <c r="Q427" s="825"/>
      <c r="R427" s="825"/>
      <c r="S427" s="825"/>
      <c r="T427" s="825"/>
      <c r="U427" s="825"/>
      <c r="V427" s="825"/>
      <c r="W427" s="825"/>
      <c r="X427" s="825"/>
      <c r="Y427" s="825"/>
      <c r="Z427" s="825"/>
      <c r="AA427" s="825"/>
      <c r="AB427" s="825"/>
      <c r="AC427" s="825"/>
    </row>
    <row r="428" spans="1:29" ht="15.8" customHeight="1" x14ac:dyDescent="0.3">
      <c r="A428" s="825"/>
      <c r="C428" s="825"/>
      <c r="D428" s="21"/>
      <c r="E428" s="17"/>
      <c r="F428" s="825"/>
      <c r="G428" s="825"/>
      <c r="H428" s="21"/>
      <c r="I428" s="825"/>
      <c r="J428" s="825"/>
      <c r="M428" s="825"/>
      <c r="N428" s="825"/>
      <c r="O428" s="825"/>
      <c r="P428" s="825"/>
      <c r="Q428" s="825"/>
      <c r="R428" s="825"/>
      <c r="S428" s="825"/>
      <c r="T428" s="825"/>
      <c r="U428" s="825"/>
      <c r="V428" s="825"/>
      <c r="W428" s="825"/>
      <c r="X428" s="825"/>
      <c r="Y428" s="825"/>
      <c r="Z428" s="825"/>
      <c r="AA428" s="825"/>
      <c r="AB428" s="825"/>
      <c r="AC428" s="825"/>
    </row>
    <row r="429" spans="1:29" ht="15.8" customHeight="1" x14ac:dyDescent="0.3">
      <c r="A429" s="825"/>
      <c r="C429" s="825"/>
      <c r="D429" s="21"/>
      <c r="E429" s="17"/>
      <c r="F429" s="825"/>
      <c r="G429" s="825"/>
      <c r="H429" s="21"/>
      <c r="I429" s="825"/>
      <c r="J429" s="825"/>
      <c r="M429" s="825"/>
      <c r="N429" s="825"/>
      <c r="O429" s="825"/>
      <c r="P429" s="825"/>
      <c r="Q429" s="825"/>
      <c r="R429" s="825"/>
      <c r="S429" s="825"/>
      <c r="T429" s="825"/>
      <c r="U429" s="825"/>
      <c r="V429" s="825"/>
      <c r="W429" s="825"/>
      <c r="X429" s="825"/>
      <c r="Y429" s="825"/>
      <c r="Z429" s="825"/>
      <c r="AA429" s="825"/>
      <c r="AB429" s="825"/>
      <c r="AC429" s="825"/>
    </row>
    <row r="430" spans="1:29" ht="15.8" customHeight="1" x14ac:dyDescent="0.3">
      <c r="A430" s="825"/>
      <c r="C430" s="825"/>
      <c r="D430" s="21"/>
      <c r="E430" s="17"/>
      <c r="F430" s="825"/>
      <c r="G430" s="825"/>
      <c r="H430" s="21"/>
      <c r="I430" s="825"/>
      <c r="J430" s="825"/>
      <c r="M430" s="825"/>
      <c r="N430" s="825"/>
      <c r="O430" s="825"/>
      <c r="P430" s="825"/>
      <c r="Q430" s="825"/>
      <c r="R430" s="825"/>
      <c r="S430" s="825"/>
      <c r="T430" s="825"/>
      <c r="U430" s="825"/>
      <c r="V430" s="825"/>
      <c r="W430" s="825"/>
      <c r="X430" s="825"/>
      <c r="Y430" s="825"/>
      <c r="Z430" s="825"/>
      <c r="AA430" s="825"/>
      <c r="AB430" s="825"/>
      <c r="AC430" s="825"/>
    </row>
    <row r="431" spans="1:29" ht="15.8" customHeight="1" x14ac:dyDescent="0.3">
      <c r="A431" s="825"/>
      <c r="C431" s="825"/>
      <c r="D431" s="21"/>
      <c r="E431" s="17"/>
      <c r="F431" s="825"/>
      <c r="G431" s="825"/>
      <c r="H431" s="21"/>
      <c r="I431" s="825"/>
      <c r="J431" s="825"/>
      <c r="M431" s="825"/>
      <c r="N431" s="825"/>
      <c r="O431" s="825"/>
      <c r="P431" s="825"/>
      <c r="Q431" s="825"/>
      <c r="R431" s="825"/>
      <c r="S431" s="825"/>
      <c r="T431" s="825"/>
      <c r="U431" s="825"/>
      <c r="V431" s="825"/>
      <c r="W431" s="825"/>
      <c r="X431" s="825"/>
      <c r="Y431" s="825"/>
      <c r="Z431" s="825"/>
      <c r="AA431" s="825"/>
      <c r="AB431" s="825"/>
      <c r="AC431" s="825"/>
    </row>
    <row r="432" spans="1:29" ht="15.8" customHeight="1" x14ac:dyDescent="0.3">
      <c r="A432" s="825"/>
      <c r="C432" s="825"/>
      <c r="D432" s="21"/>
      <c r="E432" s="17"/>
      <c r="F432" s="825"/>
      <c r="G432" s="825"/>
      <c r="H432" s="21"/>
      <c r="I432" s="825"/>
      <c r="J432" s="825"/>
      <c r="M432" s="825"/>
      <c r="N432" s="825"/>
      <c r="O432" s="825"/>
      <c r="P432" s="825"/>
      <c r="Q432" s="825"/>
      <c r="R432" s="825"/>
      <c r="S432" s="825"/>
      <c r="T432" s="825"/>
      <c r="U432" s="825"/>
      <c r="V432" s="825"/>
      <c r="W432" s="825"/>
      <c r="X432" s="825"/>
      <c r="Y432" s="825"/>
      <c r="Z432" s="825"/>
      <c r="AA432" s="825"/>
      <c r="AB432" s="825"/>
      <c r="AC432" s="825"/>
    </row>
    <row r="433" spans="1:29" ht="15.8" customHeight="1" x14ac:dyDescent="0.3">
      <c r="A433" s="825"/>
      <c r="C433" s="825"/>
      <c r="D433" s="21"/>
      <c r="E433" s="17"/>
      <c r="F433" s="825"/>
      <c r="G433" s="825"/>
      <c r="H433" s="21"/>
      <c r="I433" s="825"/>
      <c r="J433" s="825"/>
      <c r="M433" s="825"/>
      <c r="N433" s="825"/>
      <c r="O433" s="825"/>
      <c r="P433" s="825"/>
      <c r="Q433" s="825"/>
      <c r="R433" s="825"/>
      <c r="S433" s="825"/>
      <c r="T433" s="825"/>
      <c r="U433" s="825"/>
      <c r="V433" s="825"/>
      <c r="W433" s="825"/>
      <c r="X433" s="825"/>
      <c r="Y433" s="825"/>
      <c r="Z433" s="825"/>
      <c r="AA433" s="825"/>
      <c r="AB433" s="825"/>
      <c r="AC433" s="825"/>
    </row>
    <row r="434" spans="1:29" ht="15.8" customHeight="1" x14ac:dyDescent="0.3">
      <c r="A434" s="825"/>
      <c r="C434" s="825"/>
      <c r="D434" s="21"/>
      <c r="E434" s="17"/>
      <c r="F434" s="825"/>
      <c r="G434" s="825"/>
      <c r="H434" s="21"/>
      <c r="I434" s="825"/>
      <c r="J434" s="825"/>
      <c r="M434" s="825"/>
      <c r="N434" s="825"/>
      <c r="O434" s="825"/>
      <c r="P434" s="825"/>
      <c r="Q434" s="825"/>
      <c r="R434" s="825"/>
      <c r="S434" s="825"/>
      <c r="T434" s="825"/>
      <c r="U434" s="825"/>
      <c r="V434" s="825"/>
      <c r="W434" s="825"/>
      <c r="X434" s="825"/>
      <c r="Y434" s="825"/>
      <c r="Z434" s="825"/>
      <c r="AA434" s="825"/>
      <c r="AB434" s="825"/>
      <c r="AC434" s="825"/>
    </row>
    <row r="435" spans="1:29" ht="15.8" customHeight="1" x14ac:dyDescent="0.3">
      <c r="A435" s="825"/>
      <c r="C435" s="825"/>
      <c r="D435" s="21"/>
      <c r="E435" s="17"/>
      <c r="F435" s="825"/>
      <c r="G435" s="825"/>
      <c r="H435" s="21"/>
      <c r="I435" s="825"/>
      <c r="J435" s="825"/>
      <c r="M435" s="825"/>
      <c r="N435" s="825"/>
      <c r="O435" s="825"/>
      <c r="P435" s="825"/>
      <c r="Q435" s="825"/>
      <c r="R435" s="825"/>
      <c r="S435" s="825"/>
      <c r="T435" s="825"/>
      <c r="U435" s="825"/>
      <c r="V435" s="825"/>
      <c r="W435" s="825"/>
      <c r="X435" s="825"/>
      <c r="Y435" s="825"/>
      <c r="Z435" s="825"/>
      <c r="AA435" s="825"/>
      <c r="AB435" s="825"/>
      <c r="AC435" s="825"/>
    </row>
    <row r="436" spans="1:29" ht="15.8" customHeight="1" x14ac:dyDescent="0.3">
      <c r="A436" s="825"/>
      <c r="C436" s="825"/>
      <c r="D436" s="21"/>
      <c r="E436" s="17"/>
      <c r="F436" s="825"/>
      <c r="G436" s="825"/>
      <c r="H436" s="21"/>
      <c r="I436" s="825"/>
      <c r="J436" s="825"/>
      <c r="M436" s="825"/>
      <c r="N436" s="825"/>
      <c r="O436" s="825"/>
      <c r="P436" s="825"/>
      <c r="Q436" s="825"/>
      <c r="R436" s="825"/>
      <c r="S436" s="825"/>
      <c r="T436" s="825"/>
      <c r="U436" s="825"/>
      <c r="V436" s="825"/>
      <c r="W436" s="825"/>
      <c r="X436" s="825"/>
      <c r="Y436" s="825"/>
      <c r="Z436" s="825"/>
      <c r="AA436" s="825"/>
      <c r="AB436" s="825"/>
      <c r="AC436" s="825"/>
    </row>
    <row r="437" spans="1:29" ht="15.8" customHeight="1" x14ac:dyDescent="0.3">
      <c r="A437" s="825"/>
      <c r="C437" s="825"/>
      <c r="D437" s="21"/>
      <c r="E437" s="17"/>
      <c r="F437" s="825"/>
      <c r="G437" s="825"/>
      <c r="H437" s="21"/>
      <c r="I437" s="825"/>
      <c r="J437" s="825"/>
      <c r="M437" s="825"/>
      <c r="N437" s="825"/>
      <c r="O437" s="825"/>
      <c r="P437" s="825"/>
      <c r="Q437" s="825"/>
      <c r="R437" s="825"/>
      <c r="S437" s="825"/>
      <c r="T437" s="825"/>
      <c r="U437" s="825"/>
      <c r="V437" s="825"/>
      <c r="W437" s="825"/>
      <c r="X437" s="825"/>
      <c r="Y437" s="825"/>
      <c r="Z437" s="825"/>
      <c r="AA437" s="825"/>
      <c r="AB437" s="825"/>
      <c r="AC437" s="825"/>
    </row>
    <row r="438" spans="1:29" ht="15.8" customHeight="1" x14ac:dyDescent="0.3">
      <c r="A438" s="825"/>
      <c r="C438" s="825"/>
      <c r="D438" s="21"/>
      <c r="E438" s="17"/>
      <c r="F438" s="825"/>
      <c r="G438" s="825"/>
      <c r="H438" s="21"/>
      <c r="I438" s="825"/>
      <c r="J438" s="825"/>
      <c r="M438" s="825"/>
      <c r="N438" s="825"/>
      <c r="O438" s="825"/>
      <c r="P438" s="825"/>
      <c r="Q438" s="825"/>
      <c r="R438" s="825"/>
      <c r="S438" s="825"/>
      <c r="T438" s="825"/>
      <c r="U438" s="825"/>
      <c r="V438" s="825"/>
      <c r="W438" s="825"/>
      <c r="X438" s="825"/>
      <c r="Y438" s="825"/>
      <c r="Z438" s="825"/>
      <c r="AA438" s="825"/>
      <c r="AB438" s="825"/>
      <c r="AC438" s="825"/>
    </row>
    <row r="439" spans="1:29" ht="15.8" customHeight="1" x14ac:dyDescent="0.3">
      <c r="A439" s="825"/>
      <c r="C439" s="825"/>
      <c r="D439" s="21"/>
      <c r="E439" s="17"/>
      <c r="F439" s="825"/>
      <c r="G439" s="825"/>
      <c r="H439" s="21"/>
      <c r="I439" s="825"/>
      <c r="J439" s="825"/>
      <c r="M439" s="825"/>
      <c r="N439" s="825"/>
      <c r="O439" s="825"/>
      <c r="P439" s="825"/>
      <c r="Q439" s="825"/>
      <c r="R439" s="825"/>
      <c r="S439" s="825"/>
      <c r="T439" s="825"/>
      <c r="U439" s="825"/>
      <c r="V439" s="825"/>
      <c r="W439" s="825"/>
      <c r="X439" s="825"/>
      <c r="Y439" s="825"/>
      <c r="Z439" s="825"/>
      <c r="AA439" s="825"/>
      <c r="AB439" s="825"/>
      <c r="AC439" s="825"/>
    </row>
    <row r="440" spans="1:29" ht="15.8" customHeight="1" x14ac:dyDescent="0.3">
      <c r="A440" s="825"/>
      <c r="C440" s="825"/>
      <c r="D440" s="21"/>
      <c r="E440" s="17"/>
      <c r="F440" s="825"/>
      <c r="G440" s="825"/>
      <c r="H440" s="21"/>
      <c r="I440" s="825"/>
      <c r="J440" s="825"/>
      <c r="M440" s="825"/>
      <c r="N440" s="825"/>
      <c r="O440" s="825"/>
      <c r="P440" s="825"/>
      <c r="Q440" s="825"/>
      <c r="R440" s="825"/>
      <c r="S440" s="825"/>
      <c r="T440" s="825"/>
      <c r="U440" s="825"/>
      <c r="V440" s="825"/>
      <c r="W440" s="825"/>
      <c r="X440" s="825"/>
      <c r="Y440" s="825"/>
      <c r="Z440" s="825"/>
      <c r="AA440" s="825"/>
      <c r="AB440" s="825"/>
      <c r="AC440" s="825"/>
    </row>
    <row r="441" spans="1:29" ht="15.8" customHeight="1" x14ac:dyDescent="0.3">
      <c r="A441" s="825"/>
      <c r="C441" s="825"/>
      <c r="D441" s="21"/>
      <c r="E441" s="17"/>
      <c r="F441" s="825"/>
      <c r="G441" s="825"/>
      <c r="H441" s="21"/>
      <c r="I441" s="825"/>
      <c r="J441" s="825"/>
      <c r="M441" s="825"/>
      <c r="N441" s="825"/>
      <c r="O441" s="825"/>
      <c r="P441" s="825"/>
      <c r="Q441" s="825"/>
      <c r="R441" s="825"/>
      <c r="S441" s="825"/>
      <c r="T441" s="825"/>
      <c r="U441" s="825"/>
      <c r="V441" s="825"/>
      <c r="W441" s="825"/>
      <c r="X441" s="825"/>
      <c r="Y441" s="825"/>
      <c r="Z441" s="825"/>
      <c r="AA441" s="825"/>
      <c r="AB441" s="825"/>
      <c r="AC441" s="825"/>
    </row>
    <row r="442" spans="1:29" ht="15.8" customHeight="1" x14ac:dyDescent="0.3">
      <c r="A442" s="825"/>
      <c r="C442" s="825"/>
      <c r="D442" s="21"/>
      <c r="E442" s="17"/>
      <c r="F442" s="825"/>
      <c r="G442" s="825"/>
      <c r="H442" s="21"/>
      <c r="I442" s="825"/>
      <c r="J442" s="825"/>
      <c r="M442" s="825"/>
      <c r="N442" s="825"/>
      <c r="O442" s="825"/>
      <c r="P442" s="825"/>
      <c r="Q442" s="825"/>
      <c r="R442" s="825"/>
      <c r="S442" s="825"/>
      <c r="T442" s="825"/>
      <c r="U442" s="825"/>
      <c r="V442" s="825"/>
      <c r="W442" s="825"/>
      <c r="X442" s="825"/>
      <c r="Y442" s="825"/>
      <c r="Z442" s="825"/>
      <c r="AA442" s="825"/>
      <c r="AB442" s="825"/>
      <c r="AC442" s="825"/>
    </row>
    <row r="443" spans="1:29" ht="15.8" customHeight="1" x14ac:dyDescent="0.3">
      <c r="A443" s="825"/>
      <c r="C443" s="825"/>
      <c r="D443" s="21"/>
      <c r="E443" s="17"/>
      <c r="F443" s="825"/>
      <c r="G443" s="825"/>
      <c r="H443" s="21"/>
      <c r="I443" s="825"/>
      <c r="J443" s="825"/>
      <c r="M443" s="825"/>
      <c r="N443" s="825"/>
      <c r="O443" s="825"/>
      <c r="P443" s="825"/>
      <c r="Q443" s="825"/>
      <c r="R443" s="825"/>
      <c r="S443" s="825"/>
      <c r="T443" s="825"/>
      <c r="U443" s="825"/>
      <c r="V443" s="825"/>
      <c r="W443" s="825"/>
      <c r="X443" s="825"/>
      <c r="Y443" s="825"/>
      <c r="Z443" s="825"/>
      <c r="AA443" s="825"/>
      <c r="AB443" s="825"/>
      <c r="AC443" s="825"/>
    </row>
    <row r="444" spans="1:29" ht="15.8" customHeight="1" x14ac:dyDescent="0.3">
      <c r="A444" s="825"/>
      <c r="C444" s="825"/>
      <c r="D444" s="21"/>
      <c r="E444" s="17"/>
      <c r="F444" s="825"/>
      <c r="G444" s="825"/>
      <c r="H444" s="21"/>
      <c r="I444" s="825"/>
      <c r="J444" s="825"/>
      <c r="M444" s="825"/>
      <c r="N444" s="825"/>
      <c r="O444" s="825"/>
      <c r="P444" s="825"/>
      <c r="Q444" s="825"/>
      <c r="R444" s="825"/>
      <c r="S444" s="825"/>
      <c r="T444" s="825"/>
      <c r="U444" s="825"/>
      <c r="V444" s="825"/>
      <c r="W444" s="825"/>
      <c r="X444" s="825"/>
      <c r="Y444" s="825"/>
      <c r="Z444" s="825"/>
      <c r="AA444" s="825"/>
      <c r="AB444" s="825"/>
      <c r="AC444" s="825"/>
    </row>
    <row r="445" spans="1:29" ht="15.8" customHeight="1" x14ac:dyDescent="0.3">
      <c r="A445" s="825"/>
      <c r="C445" s="825"/>
      <c r="D445" s="21"/>
      <c r="E445" s="17"/>
      <c r="F445" s="825"/>
      <c r="G445" s="825"/>
      <c r="H445" s="21"/>
      <c r="I445" s="825"/>
      <c r="J445" s="825"/>
      <c r="M445" s="825"/>
      <c r="N445" s="825"/>
      <c r="O445" s="825"/>
      <c r="P445" s="825"/>
      <c r="Q445" s="825"/>
      <c r="R445" s="825"/>
      <c r="S445" s="825"/>
      <c r="T445" s="825"/>
      <c r="U445" s="825"/>
      <c r="V445" s="825"/>
      <c r="W445" s="825"/>
      <c r="X445" s="825"/>
      <c r="Y445" s="825"/>
      <c r="Z445" s="825"/>
      <c r="AA445" s="825"/>
      <c r="AB445" s="825"/>
      <c r="AC445" s="825"/>
    </row>
    <row r="446" spans="1:29" ht="15.8" customHeight="1" x14ac:dyDescent="0.3">
      <c r="A446" s="825"/>
      <c r="C446" s="825"/>
      <c r="D446" s="21"/>
      <c r="E446" s="17"/>
      <c r="F446" s="825"/>
      <c r="G446" s="825"/>
      <c r="H446" s="21"/>
      <c r="I446" s="825"/>
      <c r="J446" s="825"/>
      <c r="M446" s="825"/>
      <c r="N446" s="825"/>
      <c r="O446" s="825"/>
      <c r="P446" s="825"/>
      <c r="Q446" s="825"/>
      <c r="R446" s="825"/>
      <c r="S446" s="825"/>
      <c r="T446" s="825"/>
      <c r="U446" s="825"/>
      <c r="V446" s="825"/>
      <c r="W446" s="825"/>
      <c r="X446" s="825"/>
      <c r="Y446" s="825"/>
      <c r="Z446" s="825"/>
      <c r="AA446" s="825"/>
      <c r="AB446" s="825"/>
      <c r="AC446" s="825"/>
    </row>
    <row r="447" spans="1:29" ht="15.8" customHeight="1" x14ac:dyDescent="0.3">
      <c r="A447" s="825"/>
      <c r="C447" s="825"/>
      <c r="D447" s="21"/>
      <c r="E447" s="17"/>
      <c r="F447" s="825"/>
      <c r="G447" s="825"/>
      <c r="H447" s="21"/>
      <c r="I447" s="825"/>
      <c r="J447" s="825"/>
      <c r="M447" s="825"/>
      <c r="N447" s="825"/>
      <c r="O447" s="825"/>
      <c r="P447" s="825"/>
      <c r="Q447" s="825"/>
      <c r="R447" s="825"/>
      <c r="S447" s="825"/>
      <c r="T447" s="825"/>
      <c r="U447" s="825"/>
      <c r="V447" s="825"/>
      <c r="W447" s="825"/>
      <c r="X447" s="825"/>
      <c r="Y447" s="825"/>
      <c r="Z447" s="825"/>
      <c r="AA447" s="825"/>
      <c r="AB447" s="825"/>
      <c r="AC447" s="825"/>
    </row>
    <row r="448" spans="1:29" ht="15.8" customHeight="1" x14ac:dyDescent="0.3">
      <c r="A448" s="825"/>
      <c r="C448" s="825"/>
      <c r="D448" s="21"/>
      <c r="E448" s="17"/>
      <c r="F448" s="825"/>
      <c r="G448" s="825"/>
      <c r="H448" s="21"/>
      <c r="I448" s="825"/>
      <c r="J448" s="825"/>
      <c r="M448" s="825"/>
      <c r="N448" s="825"/>
      <c r="O448" s="825"/>
      <c r="P448" s="825"/>
      <c r="Q448" s="825"/>
      <c r="R448" s="825"/>
      <c r="S448" s="825"/>
      <c r="T448" s="825"/>
      <c r="U448" s="825"/>
      <c r="V448" s="825"/>
      <c r="W448" s="825"/>
      <c r="X448" s="825"/>
      <c r="Y448" s="825"/>
      <c r="Z448" s="825"/>
      <c r="AA448" s="825"/>
      <c r="AB448" s="825"/>
      <c r="AC448" s="825"/>
    </row>
    <row r="449" spans="1:29" ht="15.8" customHeight="1" x14ac:dyDescent="0.3">
      <c r="A449" s="825"/>
      <c r="C449" s="825"/>
      <c r="D449" s="21"/>
      <c r="E449" s="17"/>
      <c r="F449" s="825"/>
      <c r="G449" s="825"/>
      <c r="H449" s="21"/>
      <c r="I449" s="825"/>
      <c r="J449" s="825"/>
      <c r="M449" s="825"/>
      <c r="N449" s="825"/>
      <c r="O449" s="825"/>
      <c r="P449" s="825"/>
      <c r="Q449" s="825"/>
      <c r="R449" s="825"/>
      <c r="S449" s="825"/>
      <c r="T449" s="825"/>
      <c r="U449" s="825"/>
      <c r="V449" s="825"/>
      <c r="W449" s="825"/>
      <c r="X449" s="825"/>
      <c r="Y449" s="825"/>
      <c r="Z449" s="825"/>
      <c r="AA449" s="825"/>
      <c r="AB449" s="825"/>
      <c r="AC449" s="825"/>
    </row>
    <row r="450" spans="1:29" ht="15.8" customHeight="1" x14ac:dyDescent="0.3">
      <c r="A450" s="825"/>
      <c r="C450" s="825"/>
      <c r="D450" s="21"/>
      <c r="E450" s="17"/>
      <c r="F450" s="825"/>
      <c r="G450" s="825"/>
      <c r="H450" s="21"/>
      <c r="I450" s="825"/>
      <c r="J450" s="825"/>
      <c r="M450" s="825"/>
      <c r="N450" s="825"/>
      <c r="O450" s="825"/>
      <c r="P450" s="825"/>
      <c r="Q450" s="825"/>
      <c r="R450" s="825"/>
      <c r="S450" s="825"/>
      <c r="T450" s="825"/>
      <c r="U450" s="825"/>
      <c r="V450" s="825"/>
      <c r="W450" s="825"/>
      <c r="X450" s="825"/>
      <c r="Y450" s="825"/>
      <c r="Z450" s="825"/>
      <c r="AA450" s="825"/>
      <c r="AB450" s="825"/>
      <c r="AC450" s="825"/>
    </row>
    <row r="451" spans="1:29" ht="15.8" customHeight="1" x14ac:dyDescent="0.3">
      <c r="A451" s="825"/>
      <c r="C451" s="825"/>
      <c r="D451" s="21"/>
      <c r="E451" s="17"/>
      <c r="F451" s="825"/>
      <c r="G451" s="825"/>
      <c r="H451" s="21"/>
      <c r="I451" s="825"/>
      <c r="J451" s="825"/>
      <c r="M451" s="825"/>
      <c r="N451" s="825"/>
      <c r="O451" s="825"/>
      <c r="P451" s="825"/>
      <c r="Q451" s="825"/>
      <c r="R451" s="825"/>
      <c r="S451" s="825"/>
      <c r="T451" s="825"/>
      <c r="U451" s="825"/>
      <c r="V451" s="825"/>
      <c r="W451" s="825"/>
      <c r="X451" s="825"/>
      <c r="Y451" s="825"/>
      <c r="Z451" s="825"/>
      <c r="AA451" s="825"/>
      <c r="AB451" s="825"/>
      <c r="AC451" s="825"/>
    </row>
    <row r="452" spans="1:29" ht="15.8" customHeight="1" x14ac:dyDescent="0.3">
      <c r="A452" s="825"/>
      <c r="C452" s="825"/>
      <c r="D452" s="21"/>
      <c r="E452" s="17"/>
      <c r="F452" s="825"/>
      <c r="G452" s="825"/>
      <c r="H452" s="21"/>
      <c r="I452" s="825"/>
      <c r="J452" s="825"/>
      <c r="M452" s="825"/>
      <c r="N452" s="825"/>
      <c r="O452" s="825"/>
      <c r="P452" s="825"/>
      <c r="Q452" s="825"/>
      <c r="R452" s="825"/>
      <c r="S452" s="825"/>
      <c r="T452" s="825"/>
      <c r="U452" s="825"/>
      <c r="V452" s="825"/>
      <c r="W452" s="825"/>
      <c r="X452" s="825"/>
      <c r="Y452" s="825"/>
      <c r="Z452" s="825"/>
      <c r="AA452" s="825"/>
      <c r="AB452" s="825"/>
      <c r="AC452" s="825"/>
    </row>
    <row r="453" spans="1:29" ht="15.8" customHeight="1" x14ac:dyDescent="0.3">
      <c r="A453" s="825"/>
      <c r="C453" s="825"/>
      <c r="D453" s="21"/>
      <c r="E453" s="17"/>
      <c r="F453" s="825"/>
      <c r="G453" s="825"/>
      <c r="H453" s="21"/>
      <c r="I453" s="825"/>
      <c r="J453" s="825"/>
      <c r="M453" s="825"/>
      <c r="N453" s="825"/>
      <c r="O453" s="825"/>
      <c r="P453" s="825"/>
      <c r="Q453" s="825"/>
      <c r="R453" s="825"/>
      <c r="S453" s="825"/>
      <c r="T453" s="825"/>
      <c r="U453" s="825"/>
      <c r="V453" s="825"/>
      <c r="W453" s="825"/>
      <c r="X453" s="825"/>
      <c r="Y453" s="825"/>
      <c r="Z453" s="825"/>
      <c r="AA453" s="825"/>
      <c r="AB453" s="825"/>
      <c r="AC453" s="825"/>
    </row>
    <row r="454" spans="1:29" ht="15.8" customHeight="1" x14ac:dyDescent="0.3">
      <c r="A454" s="825"/>
      <c r="C454" s="825"/>
      <c r="D454" s="21"/>
      <c r="E454" s="17"/>
      <c r="F454" s="825"/>
      <c r="G454" s="825"/>
      <c r="H454" s="21"/>
      <c r="I454" s="825"/>
      <c r="J454" s="825"/>
      <c r="M454" s="825"/>
      <c r="N454" s="825"/>
      <c r="O454" s="825"/>
      <c r="P454" s="825"/>
      <c r="Q454" s="825"/>
      <c r="R454" s="825"/>
      <c r="S454" s="825"/>
      <c r="T454" s="825"/>
      <c r="U454" s="825"/>
      <c r="V454" s="825"/>
      <c r="W454" s="825"/>
      <c r="X454" s="825"/>
      <c r="Y454" s="825"/>
      <c r="Z454" s="825"/>
      <c r="AA454" s="825"/>
      <c r="AB454" s="825"/>
      <c r="AC454" s="825"/>
    </row>
    <row r="455" spans="1:29" ht="15.8" customHeight="1" x14ac:dyDescent="0.3">
      <c r="A455" s="825"/>
      <c r="C455" s="825"/>
      <c r="D455" s="21"/>
      <c r="E455" s="17"/>
      <c r="F455" s="825"/>
      <c r="G455" s="825"/>
      <c r="H455" s="21"/>
      <c r="I455" s="825"/>
      <c r="J455" s="825"/>
      <c r="M455" s="825"/>
      <c r="N455" s="825"/>
      <c r="O455" s="825"/>
      <c r="P455" s="825"/>
      <c r="Q455" s="825"/>
      <c r="R455" s="825"/>
      <c r="S455" s="825"/>
      <c r="T455" s="825"/>
      <c r="U455" s="825"/>
      <c r="V455" s="825"/>
      <c r="W455" s="825"/>
      <c r="X455" s="825"/>
      <c r="Y455" s="825"/>
      <c r="Z455" s="825"/>
      <c r="AA455" s="825"/>
      <c r="AB455" s="825"/>
      <c r="AC455" s="825"/>
    </row>
    <row r="456" spans="1:29" ht="15.8" customHeight="1" x14ac:dyDescent="0.3">
      <c r="A456" s="825"/>
      <c r="C456" s="825"/>
      <c r="D456" s="21"/>
      <c r="E456" s="17"/>
      <c r="F456" s="825"/>
      <c r="G456" s="825"/>
      <c r="H456" s="21"/>
      <c r="I456" s="825"/>
      <c r="J456" s="825"/>
      <c r="M456" s="825"/>
      <c r="N456" s="825"/>
      <c r="O456" s="825"/>
      <c r="P456" s="825"/>
      <c r="Q456" s="825"/>
      <c r="R456" s="825"/>
      <c r="S456" s="825"/>
      <c r="T456" s="825"/>
      <c r="U456" s="825"/>
      <c r="V456" s="825"/>
      <c r="W456" s="825"/>
      <c r="X456" s="825"/>
      <c r="Y456" s="825"/>
      <c r="Z456" s="825"/>
      <c r="AA456" s="825"/>
      <c r="AB456" s="825"/>
      <c r="AC456" s="825"/>
    </row>
    <row r="457" spans="1:29" ht="15.8" customHeight="1" x14ac:dyDescent="0.3">
      <c r="A457" s="825"/>
      <c r="C457" s="825"/>
      <c r="D457" s="21"/>
      <c r="E457" s="17"/>
      <c r="F457" s="825"/>
      <c r="G457" s="825"/>
      <c r="H457" s="21"/>
      <c r="I457" s="825"/>
      <c r="J457" s="825"/>
      <c r="M457" s="825"/>
      <c r="N457" s="825"/>
      <c r="O457" s="825"/>
      <c r="P457" s="825"/>
      <c r="Q457" s="825"/>
      <c r="R457" s="825"/>
      <c r="S457" s="825"/>
      <c r="T457" s="825"/>
      <c r="U457" s="825"/>
      <c r="V457" s="825"/>
      <c r="W457" s="825"/>
      <c r="X457" s="825"/>
      <c r="Y457" s="825"/>
      <c r="Z457" s="825"/>
      <c r="AA457" s="825"/>
      <c r="AB457" s="825"/>
      <c r="AC457" s="825"/>
    </row>
    <row r="458" spans="1:29" ht="15.8" customHeight="1" x14ac:dyDescent="0.3">
      <c r="A458" s="825"/>
      <c r="C458" s="825"/>
      <c r="D458" s="21"/>
      <c r="E458" s="17"/>
      <c r="F458" s="825"/>
      <c r="G458" s="825"/>
      <c r="H458" s="21"/>
      <c r="I458" s="825"/>
      <c r="J458" s="825"/>
      <c r="M458" s="825"/>
      <c r="N458" s="825"/>
      <c r="O458" s="825"/>
      <c r="P458" s="825"/>
      <c r="Q458" s="825"/>
      <c r="R458" s="825"/>
      <c r="S458" s="825"/>
      <c r="T458" s="825"/>
      <c r="U458" s="825"/>
      <c r="V458" s="825"/>
      <c r="W458" s="825"/>
      <c r="X458" s="825"/>
      <c r="Y458" s="825"/>
      <c r="Z458" s="825"/>
      <c r="AA458" s="825"/>
      <c r="AB458" s="825"/>
      <c r="AC458" s="825"/>
    </row>
    <row r="459" spans="1:29" ht="15.8" customHeight="1" x14ac:dyDescent="0.3">
      <c r="A459" s="825"/>
      <c r="C459" s="825"/>
      <c r="D459" s="21"/>
      <c r="E459" s="17"/>
      <c r="F459" s="825"/>
      <c r="G459" s="825"/>
      <c r="H459" s="21"/>
      <c r="I459" s="825"/>
      <c r="J459" s="825"/>
      <c r="M459" s="825"/>
      <c r="N459" s="825"/>
      <c r="O459" s="825"/>
      <c r="P459" s="825"/>
      <c r="Q459" s="825"/>
      <c r="R459" s="825"/>
      <c r="S459" s="825"/>
      <c r="T459" s="825"/>
      <c r="U459" s="825"/>
      <c r="V459" s="825"/>
      <c r="W459" s="825"/>
      <c r="X459" s="825"/>
      <c r="Y459" s="825"/>
      <c r="Z459" s="825"/>
      <c r="AA459" s="825"/>
      <c r="AB459" s="825"/>
      <c r="AC459" s="825"/>
    </row>
    <row r="460" spans="1:29" ht="15.8" customHeight="1" x14ac:dyDescent="0.3">
      <c r="A460" s="825"/>
      <c r="C460" s="825"/>
      <c r="D460" s="21"/>
      <c r="E460" s="17"/>
      <c r="F460" s="825"/>
      <c r="G460" s="825"/>
      <c r="H460" s="21"/>
      <c r="I460" s="825"/>
      <c r="J460" s="825"/>
      <c r="M460" s="825"/>
      <c r="N460" s="825"/>
      <c r="O460" s="825"/>
      <c r="P460" s="825"/>
      <c r="Q460" s="825"/>
      <c r="R460" s="825"/>
      <c r="S460" s="825"/>
      <c r="T460" s="825"/>
      <c r="U460" s="825"/>
      <c r="V460" s="825"/>
      <c r="W460" s="825"/>
      <c r="X460" s="825"/>
      <c r="Y460" s="825"/>
      <c r="Z460" s="825"/>
      <c r="AA460" s="825"/>
      <c r="AB460" s="825"/>
      <c r="AC460" s="825"/>
    </row>
    <row r="461" spans="1:29" ht="15.8" customHeight="1" x14ac:dyDescent="0.3">
      <c r="A461" s="825"/>
      <c r="C461" s="825"/>
      <c r="D461" s="21"/>
      <c r="E461" s="17"/>
      <c r="F461" s="825"/>
      <c r="G461" s="825"/>
      <c r="H461" s="21"/>
      <c r="I461" s="825"/>
      <c r="J461" s="825"/>
      <c r="M461" s="825"/>
      <c r="N461" s="825"/>
      <c r="O461" s="825"/>
      <c r="P461" s="825"/>
      <c r="Q461" s="825"/>
      <c r="R461" s="825"/>
      <c r="S461" s="825"/>
      <c r="T461" s="825"/>
      <c r="U461" s="825"/>
      <c r="V461" s="825"/>
      <c r="W461" s="825"/>
      <c r="X461" s="825"/>
      <c r="Y461" s="825"/>
      <c r="Z461" s="825"/>
      <c r="AA461" s="825"/>
      <c r="AB461" s="825"/>
      <c r="AC461" s="825"/>
    </row>
    <row r="462" spans="1:29" ht="15.8" customHeight="1" x14ac:dyDescent="0.3">
      <c r="A462" s="825"/>
      <c r="C462" s="825"/>
      <c r="D462" s="21"/>
      <c r="E462" s="17"/>
      <c r="F462" s="825"/>
      <c r="G462" s="825"/>
      <c r="H462" s="21"/>
      <c r="I462" s="825"/>
      <c r="J462" s="825"/>
      <c r="M462" s="825"/>
      <c r="N462" s="825"/>
      <c r="O462" s="825"/>
      <c r="P462" s="825"/>
      <c r="Q462" s="825"/>
      <c r="R462" s="825"/>
      <c r="S462" s="825"/>
      <c r="T462" s="825"/>
      <c r="U462" s="825"/>
      <c r="V462" s="825"/>
      <c r="W462" s="825"/>
      <c r="X462" s="825"/>
      <c r="Y462" s="825"/>
      <c r="Z462" s="825"/>
      <c r="AA462" s="825"/>
      <c r="AB462" s="825"/>
      <c r="AC462" s="825"/>
    </row>
    <row r="463" spans="1:29" ht="15.8" customHeight="1" x14ac:dyDescent="0.3">
      <c r="A463" s="825"/>
      <c r="C463" s="825"/>
      <c r="D463" s="21"/>
      <c r="E463" s="17"/>
      <c r="F463" s="825"/>
      <c r="G463" s="825"/>
      <c r="H463" s="21"/>
      <c r="I463" s="825"/>
      <c r="J463" s="825"/>
      <c r="M463" s="825"/>
      <c r="N463" s="825"/>
      <c r="O463" s="825"/>
      <c r="P463" s="825"/>
      <c r="Q463" s="825"/>
      <c r="R463" s="825"/>
      <c r="S463" s="825"/>
      <c r="T463" s="825"/>
      <c r="U463" s="825"/>
      <c r="V463" s="825"/>
      <c r="W463" s="825"/>
      <c r="X463" s="825"/>
      <c r="Y463" s="825"/>
      <c r="Z463" s="825"/>
      <c r="AA463" s="825"/>
      <c r="AB463" s="825"/>
      <c r="AC463" s="825"/>
    </row>
    <row r="464" spans="1:29" ht="15.8" customHeight="1" x14ac:dyDescent="0.3">
      <c r="A464" s="825"/>
      <c r="C464" s="825"/>
      <c r="D464" s="21"/>
      <c r="E464" s="17"/>
      <c r="F464" s="825"/>
      <c r="G464" s="825"/>
      <c r="H464" s="21"/>
      <c r="I464" s="825"/>
      <c r="J464" s="825"/>
      <c r="M464" s="825"/>
      <c r="N464" s="825"/>
      <c r="O464" s="825"/>
      <c r="P464" s="825"/>
      <c r="Q464" s="825"/>
      <c r="R464" s="825"/>
      <c r="S464" s="825"/>
      <c r="T464" s="825"/>
      <c r="U464" s="825"/>
      <c r="V464" s="825"/>
      <c r="W464" s="825"/>
      <c r="X464" s="825"/>
      <c r="Y464" s="825"/>
      <c r="Z464" s="825"/>
      <c r="AA464" s="825"/>
      <c r="AB464" s="825"/>
      <c r="AC464" s="825"/>
    </row>
    <row r="465" spans="1:29" ht="15.8" customHeight="1" x14ac:dyDescent="0.3">
      <c r="A465" s="825"/>
      <c r="C465" s="825"/>
      <c r="D465" s="21"/>
      <c r="E465" s="17"/>
      <c r="F465" s="825"/>
      <c r="G465" s="825"/>
      <c r="H465" s="21"/>
      <c r="I465" s="825"/>
      <c r="J465" s="825"/>
      <c r="M465" s="825"/>
      <c r="N465" s="825"/>
      <c r="O465" s="825"/>
      <c r="P465" s="825"/>
      <c r="Q465" s="825"/>
      <c r="R465" s="825"/>
      <c r="S465" s="825"/>
      <c r="T465" s="825"/>
      <c r="U465" s="825"/>
      <c r="V465" s="825"/>
      <c r="W465" s="825"/>
      <c r="X465" s="825"/>
      <c r="Y465" s="825"/>
      <c r="Z465" s="825"/>
      <c r="AA465" s="825"/>
      <c r="AB465" s="825"/>
      <c r="AC465" s="825"/>
    </row>
    <row r="466" spans="1:29" ht="15.8" customHeight="1" x14ac:dyDescent="0.3">
      <c r="A466" s="825"/>
      <c r="C466" s="825"/>
      <c r="D466" s="21"/>
      <c r="E466" s="17"/>
      <c r="F466" s="825"/>
      <c r="G466" s="825"/>
      <c r="H466" s="21"/>
      <c r="I466" s="825"/>
      <c r="J466" s="825"/>
      <c r="M466" s="825"/>
      <c r="N466" s="825"/>
      <c r="O466" s="825"/>
      <c r="P466" s="825"/>
      <c r="Q466" s="825"/>
      <c r="R466" s="825"/>
      <c r="S466" s="825"/>
      <c r="T466" s="825"/>
      <c r="U466" s="825"/>
      <c r="V466" s="825"/>
      <c r="W466" s="825"/>
      <c r="X466" s="825"/>
      <c r="Y466" s="825"/>
      <c r="Z466" s="825"/>
      <c r="AA466" s="825"/>
      <c r="AB466" s="825"/>
      <c r="AC466" s="825"/>
    </row>
    <row r="467" spans="1:29" ht="15.8" customHeight="1" x14ac:dyDescent="0.3">
      <c r="A467" s="825"/>
      <c r="C467" s="825"/>
      <c r="D467" s="21"/>
      <c r="E467" s="17"/>
      <c r="F467" s="825"/>
      <c r="G467" s="825"/>
      <c r="H467" s="21"/>
      <c r="I467" s="825"/>
      <c r="J467" s="825"/>
      <c r="M467" s="825"/>
      <c r="N467" s="825"/>
      <c r="O467" s="825"/>
      <c r="P467" s="825"/>
      <c r="Q467" s="825"/>
      <c r="R467" s="825"/>
      <c r="S467" s="825"/>
      <c r="T467" s="825"/>
      <c r="U467" s="825"/>
      <c r="V467" s="825"/>
      <c r="W467" s="825"/>
      <c r="X467" s="825"/>
      <c r="Y467" s="825"/>
      <c r="Z467" s="825"/>
      <c r="AA467" s="825"/>
      <c r="AB467" s="825"/>
      <c r="AC467" s="825"/>
    </row>
    <row r="468" spans="1:29" ht="15.8" customHeight="1" x14ac:dyDescent="0.3">
      <c r="A468" s="825"/>
      <c r="C468" s="825"/>
      <c r="D468" s="21"/>
      <c r="E468" s="17"/>
      <c r="F468" s="825"/>
      <c r="G468" s="825"/>
      <c r="H468" s="21"/>
      <c r="I468" s="825"/>
      <c r="J468" s="825"/>
      <c r="M468" s="825"/>
      <c r="N468" s="825"/>
      <c r="O468" s="825"/>
      <c r="P468" s="825"/>
      <c r="Q468" s="825"/>
      <c r="R468" s="825"/>
      <c r="S468" s="825"/>
      <c r="T468" s="825"/>
      <c r="U468" s="825"/>
      <c r="V468" s="825"/>
      <c r="W468" s="825"/>
      <c r="X468" s="825"/>
      <c r="Y468" s="825"/>
      <c r="Z468" s="825"/>
      <c r="AA468" s="825"/>
      <c r="AB468" s="825"/>
      <c r="AC468" s="825"/>
    </row>
    <row r="469" spans="1:29" ht="15.8" customHeight="1" x14ac:dyDescent="0.3">
      <c r="A469" s="825"/>
      <c r="C469" s="825"/>
      <c r="D469" s="21"/>
      <c r="E469" s="17"/>
      <c r="F469" s="825"/>
      <c r="G469" s="825"/>
      <c r="H469" s="21"/>
      <c r="I469" s="825"/>
      <c r="J469" s="825"/>
      <c r="M469" s="825"/>
      <c r="N469" s="825"/>
      <c r="O469" s="825"/>
      <c r="P469" s="825"/>
      <c r="Q469" s="825"/>
      <c r="R469" s="825"/>
      <c r="S469" s="825"/>
      <c r="T469" s="825"/>
      <c r="U469" s="825"/>
      <c r="V469" s="825"/>
      <c r="W469" s="825"/>
      <c r="X469" s="825"/>
      <c r="Y469" s="825"/>
      <c r="Z469" s="825"/>
      <c r="AA469" s="825"/>
      <c r="AB469" s="825"/>
      <c r="AC469" s="825"/>
    </row>
    <row r="470" spans="1:29" ht="15.8" customHeight="1" x14ac:dyDescent="0.3">
      <c r="A470" s="825"/>
      <c r="C470" s="825"/>
      <c r="D470" s="21"/>
      <c r="E470" s="17"/>
      <c r="F470" s="825"/>
      <c r="G470" s="825"/>
      <c r="H470" s="21"/>
      <c r="I470" s="825"/>
      <c r="J470" s="825"/>
      <c r="M470" s="825"/>
      <c r="N470" s="825"/>
      <c r="O470" s="825"/>
      <c r="P470" s="825"/>
      <c r="Q470" s="825"/>
      <c r="R470" s="825"/>
      <c r="S470" s="825"/>
      <c r="T470" s="825"/>
      <c r="U470" s="825"/>
      <c r="V470" s="825"/>
      <c r="W470" s="825"/>
      <c r="X470" s="825"/>
      <c r="Y470" s="825"/>
      <c r="Z470" s="825"/>
      <c r="AA470" s="825"/>
      <c r="AB470" s="825"/>
      <c r="AC470" s="825"/>
    </row>
    <row r="471" spans="1:29" ht="15.8" customHeight="1" x14ac:dyDescent="0.3">
      <c r="A471" s="825"/>
      <c r="C471" s="825"/>
      <c r="D471" s="21"/>
      <c r="E471" s="17"/>
      <c r="F471" s="825"/>
      <c r="G471" s="825"/>
      <c r="H471" s="21"/>
      <c r="I471" s="825"/>
      <c r="J471" s="825"/>
      <c r="M471" s="825"/>
      <c r="N471" s="825"/>
      <c r="O471" s="825"/>
      <c r="P471" s="825"/>
      <c r="Q471" s="825"/>
      <c r="R471" s="825"/>
      <c r="S471" s="825"/>
      <c r="T471" s="825"/>
      <c r="U471" s="825"/>
      <c r="V471" s="825"/>
      <c r="W471" s="825"/>
      <c r="X471" s="825"/>
      <c r="Y471" s="825"/>
      <c r="Z471" s="825"/>
      <c r="AA471" s="825"/>
      <c r="AB471" s="825"/>
      <c r="AC471" s="825"/>
    </row>
    <row r="472" spans="1:29" ht="15.8" customHeight="1" x14ac:dyDescent="0.3">
      <c r="A472" s="825"/>
      <c r="C472" s="825"/>
      <c r="D472" s="21"/>
      <c r="E472" s="17"/>
      <c r="F472" s="825"/>
      <c r="G472" s="825"/>
      <c r="H472" s="21"/>
      <c r="I472" s="825"/>
      <c r="J472" s="825"/>
      <c r="M472" s="825"/>
      <c r="N472" s="825"/>
      <c r="O472" s="825"/>
      <c r="P472" s="825"/>
      <c r="Q472" s="825"/>
      <c r="R472" s="825"/>
      <c r="S472" s="825"/>
      <c r="T472" s="825"/>
      <c r="U472" s="825"/>
      <c r="V472" s="825"/>
      <c r="W472" s="825"/>
      <c r="X472" s="825"/>
      <c r="Y472" s="825"/>
      <c r="Z472" s="825"/>
      <c r="AA472" s="825"/>
      <c r="AB472" s="825"/>
      <c r="AC472" s="825"/>
    </row>
    <row r="473" spans="1:29" ht="15.8" customHeight="1" x14ac:dyDescent="0.3">
      <c r="A473" s="825"/>
      <c r="C473" s="825"/>
      <c r="D473" s="21"/>
      <c r="E473" s="17"/>
      <c r="F473" s="825"/>
      <c r="G473" s="825"/>
      <c r="H473" s="21"/>
      <c r="I473" s="825"/>
      <c r="J473" s="825"/>
      <c r="M473" s="825"/>
      <c r="N473" s="825"/>
      <c r="O473" s="825"/>
      <c r="P473" s="825"/>
      <c r="Q473" s="825"/>
      <c r="R473" s="825"/>
      <c r="S473" s="825"/>
      <c r="T473" s="825"/>
      <c r="U473" s="825"/>
      <c r="V473" s="825"/>
      <c r="W473" s="825"/>
      <c r="X473" s="825"/>
      <c r="Y473" s="825"/>
      <c r="Z473" s="825"/>
      <c r="AA473" s="825"/>
      <c r="AB473" s="825"/>
      <c r="AC473" s="825"/>
    </row>
    <row r="474" spans="1:29" ht="15.8" customHeight="1" x14ac:dyDescent="0.3">
      <c r="A474" s="825"/>
      <c r="C474" s="825"/>
      <c r="D474" s="21"/>
      <c r="E474" s="17"/>
      <c r="F474" s="825"/>
      <c r="G474" s="825"/>
      <c r="H474" s="21"/>
      <c r="I474" s="825"/>
      <c r="J474" s="825"/>
      <c r="M474" s="825"/>
      <c r="N474" s="825"/>
      <c r="O474" s="825"/>
      <c r="P474" s="825"/>
      <c r="Q474" s="825"/>
      <c r="R474" s="825"/>
      <c r="S474" s="825"/>
      <c r="T474" s="825"/>
      <c r="U474" s="825"/>
      <c r="V474" s="825"/>
      <c r="W474" s="825"/>
      <c r="X474" s="825"/>
      <c r="Y474" s="825"/>
      <c r="Z474" s="825"/>
      <c r="AA474" s="825"/>
      <c r="AB474" s="825"/>
      <c r="AC474" s="825"/>
    </row>
    <row r="475" spans="1:29" ht="15.8" customHeight="1" x14ac:dyDescent="0.3">
      <c r="A475" s="825"/>
      <c r="C475" s="825"/>
      <c r="D475" s="21"/>
      <c r="E475" s="17"/>
      <c r="F475" s="825"/>
      <c r="G475" s="825"/>
      <c r="H475" s="21"/>
      <c r="I475" s="825"/>
      <c r="J475" s="825"/>
      <c r="M475" s="825"/>
      <c r="N475" s="825"/>
      <c r="O475" s="825"/>
      <c r="P475" s="825"/>
      <c r="Q475" s="825"/>
      <c r="R475" s="825"/>
      <c r="S475" s="825"/>
      <c r="T475" s="825"/>
      <c r="U475" s="825"/>
      <c r="V475" s="825"/>
      <c r="W475" s="825"/>
      <c r="X475" s="825"/>
      <c r="Y475" s="825"/>
      <c r="Z475" s="825"/>
      <c r="AA475" s="825"/>
      <c r="AB475" s="825"/>
      <c r="AC475" s="825"/>
    </row>
    <row r="476" spans="1:29" ht="15.8" customHeight="1" x14ac:dyDescent="0.3">
      <c r="A476" s="825"/>
      <c r="C476" s="825"/>
      <c r="D476" s="21"/>
      <c r="E476" s="17"/>
      <c r="F476" s="825"/>
      <c r="G476" s="825"/>
      <c r="H476" s="21"/>
      <c r="I476" s="825"/>
      <c r="J476" s="825"/>
      <c r="M476" s="825"/>
      <c r="N476" s="825"/>
      <c r="O476" s="825"/>
      <c r="P476" s="825"/>
      <c r="Q476" s="825"/>
      <c r="R476" s="825"/>
      <c r="S476" s="825"/>
      <c r="T476" s="825"/>
      <c r="U476" s="825"/>
      <c r="V476" s="825"/>
      <c r="W476" s="825"/>
      <c r="X476" s="825"/>
      <c r="Y476" s="825"/>
      <c r="Z476" s="825"/>
      <c r="AA476" s="825"/>
      <c r="AB476" s="825"/>
      <c r="AC476" s="825"/>
    </row>
    <row r="477" spans="1:29" ht="15.8" customHeight="1" x14ac:dyDescent="0.3">
      <c r="A477" s="825"/>
      <c r="C477" s="825"/>
      <c r="D477" s="21"/>
      <c r="E477" s="17"/>
      <c r="F477" s="825"/>
      <c r="G477" s="825"/>
      <c r="H477" s="21"/>
      <c r="I477" s="825"/>
      <c r="J477" s="825"/>
      <c r="M477" s="825"/>
      <c r="N477" s="825"/>
      <c r="O477" s="825"/>
      <c r="P477" s="825"/>
      <c r="Q477" s="825"/>
      <c r="R477" s="825"/>
      <c r="S477" s="825"/>
      <c r="T477" s="825"/>
      <c r="U477" s="825"/>
      <c r="V477" s="825"/>
      <c r="W477" s="825"/>
      <c r="X477" s="825"/>
      <c r="Y477" s="825"/>
      <c r="Z477" s="825"/>
      <c r="AA477" s="825"/>
      <c r="AB477" s="825"/>
      <c r="AC477" s="825"/>
    </row>
    <row r="478" spans="1:29" ht="15.8" customHeight="1" x14ac:dyDescent="0.3">
      <c r="A478" s="825"/>
      <c r="C478" s="825"/>
      <c r="D478" s="21"/>
      <c r="E478" s="17"/>
      <c r="F478" s="825"/>
      <c r="G478" s="825"/>
      <c r="H478" s="21"/>
      <c r="I478" s="825"/>
      <c r="J478" s="825"/>
      <c r="M478" s="825"/>
      <c r="N478" s="825"/>
      <c r="O478" s="825"/>
      <c r="P478" s="825"/>
      <c r="Q478" s="825"/>
      <c r="R478" s="825"/>
      <c r="S478" s="825"/>
      <c r="T478" s="825"/>
      <c r="U478" s="825"/>
      <c r="V478" s="825"/>
      <c r="W478" s="825"/>
      <c r="X478" s="825"/>
      <c r="Y478" s="825"/>
      <c r="Z478" s="825"/>
      <c r="AA478" s="825"/>
      <c r="AB478" s="825"/>
      <c r="AC478" s="825"/>
    </row>
    <row r="479" spans="1:29" ht="15.8" customHeight="1" x14ac:dyDescent="0.3">
      <c r="A479" s="825"/>
      <c r="C479" s="825"/>
      <c r="D479" s="21"/>
      <c r="E479" s="17"/>
      <c r="F479" s="825"/>
      <c r="G479" s="825"/>
      <c r="H479" s="21"/>
      <c r="I479" s="825"/>
      <c r="J479" s="825"/>
      <c r="M479" s="825"/>
      <c r="N479" s="825"/>
      <c r="O479" s="825"/>
      <c r="P479" s="825"/>
      <c r="Q479" s="825"/>
      <c r="R479" s="825"/>
      <c r="S479" s="825"/>
      <c r="T479" s="825"/>
      <c r="U479" s="825"/>
      <c r="V479" s="825"/>
      <c r="W479" s="825"/>
      <c r="X479" s="825"/>
      <c r="Y479" s="825"/>
      <c r="Z479" s="825"/>
      <c r="AA479" s="825"/>
      <c r="AB479" s="825"/>
      <c r="AC479" s="825"/>
    </row>
    <row r="480" spans="1:29" ht="15.8" customHeight="1" x14ac:dyDescent="0.3">
      <c r="A480" s="825"/>
      <c r="C480" s="825"/>
      <c r="D480" s="21"/>
      <c r="E480" s="17"/>
      <c r="F480" s="825"/>
      <c r="G480" s="825"/>
      <c r="H480" s="21"/>
      <c r="I480" s="825"/>
      <c r="J480" s="825"/>
      <c r="M480" s="825"/>
      <c r="N480" s="825"/>
      <c r="O480" s="825"/>
      <c r="P480" s="825"/>
      <c r="Q480" s="825"/>
      <c r="R480" s="825"/>
      <c r="S480" s="825"/>
      <c r="T480" s="825"/>
      <c r="U480" s="825"/>
      <c r="V480" s="825"/>
      <c r="W480" s="825"/>
      <c r="X480" s="825"/>
      <c r="Y480" s="825"/>
      <c r="Z480" s="825"/>
      <c r="AA480" s="825"/>
      <c r="AB480" s="825"/>
      <c r="AC480" s="825"/>
    </row>
    <row r="481" spans="1:29" ht="15.8" customHeight="1" x14ac:dyDescent="0.3">
      <c r="A481" s="825"/>
      <c r="C481" s="825"/>
      <c r="D481" s="21"/>
      <c r="E481" s="17"/>
      <c r="F481" s="825"/>
      <c r="G481" s="825"/>
      <c r="H481" s="21"/>
      <c r="I481" s="825"/>
      <c r="J481" s="825"/>
      <c r="M481" s="825"/>
      <c r="N481" s="825"/>
      <c r="O481" s="825"/>
      <c r="P481" s="825"/>
      <c r="Q481" s="825"/>
      <c r="R481" s="825"/>
      <c r="S481" s="825"/>
      <c r="T481" s="825"/>
      <c r="U481" s="825"/>
      <c r="V481" s="825"/>
      <c r="W481" s="825"/>
      <c r="X481" s="825"/>
      <c r="Y481" s="825"/>
      <c r="Z481" s="825"/>
      <c r="AA481" s="825"/>
      <c r="AB481" s="825"/>
      <c r="AC481" s="825"/>
    </row>
    <row r="482" spans="1:29" ht="15.8" customHeight="1" x14ac:dyDescent="0.3">
      <c r="A482" s="825"/>
      <c r="C482" s="825"/>
      <c r="D482" s="21"/>
      <c r="E482" s="17"/>
      <c r="F482" s="825"/>
      <c r="G482" s="825"/>
      <c r="H482" s="21"/>
      <c r="I482" s="825"/>
      <c r="J482" s="825"/>
      <c r="M482" s="825"/>
      <c r="N482" s="825"/>
      <c r="O482" s="825"/>
      <c r="P482" s="825"/>
      <c r="Q482" s="825"/>
      <c r="R482" s="825"/>
      <c r="S482" s="825"/>
      <c r="T482" s="825"/>
      <c r="U482" s="825"/>
      <c r="V482" s="825"/>
      <c r="W482" s="825"/>
      <c r="X482" s="825"/>
      <c r="Y482" s="825"/>
      <c r="Z482" s="825"/>
      <c r="AA482" s="825"/>
      <c r="AB482" s="825"/>
      <c r="AC482" s="825"/>
    </row>
    <row r="483" spans="1:29" ht="15.8" customHeight="1" x14ac:dyDescent="0.3">
      <c r="A483" s="825"/>
      <c r="C483" s="825"/>
      <c r="D483" s="21"/>
      <c r="E483" s="17"/>
      <c r="F483" s="825"/>
      <c r="G483" s="825"/>
      <c r="H483" s="21"/>
      <c r="I483" s="825"/>
      <c r="J483" s="825"/>
      <c r="M483" s="825"/>
      <c r="N483" s="825"/>
      <c r="O483" s="825"/>
      <c r="P483" s="825"/>
      <c r="Q483" s="825"/>
      <c r="R483" s="825"/>
      <c r="S483" s="825"/>
      <c r="T483" s="825"/>
      <c r="U483" s="825"/>
      <c r="V483" s="825"/>
      <c r="W483" s="825"/>
      <c r="X483" s="825"/>
      <c r="Y483" s="825"/>
      <c r="Z483" s="825"/>
      <c r="AA483" s="825"/>
      <c r="AB483" s="825"/>
      <c r="AC483" s="825"/>
    </row>
    <row r="484" spans="1:29" ht="15.8" customHeight="1" x14ac:dyDescent="0.3">
      <c r="A484" s="825"/>
      <c r="C484" s="825"/>
      <c r="D484" s="21"/>
      <c r="E484" s="17"/>
      <c r="F484" s="825"/>
      <c r="G484" s="825"/>
      <c r="H484" s="21"/>
      <c r="I484" s="825"/>
      <c r="J484" s="825"/>
      <c r="M484" s="825"/>
      <c r="N484" s="825"/>
      <c r="O484" s="825"/>
      <c r="P484" s="825"/>
      <c r="Q484" s="825"/>
      <c r="R484" s="825"/>
      <c r="S484" s="825"/>
      <c r="T484" s="825"/>
      <c r="U484" s="825"/>
      <c r="V484" s="825"/>
      <c r="W484" s="825"/>
      <c r="X484" s="825"/>
      <c r="Y484" s="825"/>
      <c r="Z484" s="825"/>
      <c r="AA484" s="825"/>
      <c r="AB484" s="825"/>
      <c r="AC484" s="825"/>
    </row>
    <row r="485" spans="1:29" ht="15.8" customHeight="1" x14ac:dyDescent="0.3">
      <c r="A485" s="825"/>
      <c r="C485" s="825"/>
      <c r="D485" s="21"/>
      <c r="E485" s="17"/>
      <c r="F485" s="825"/>
      <c r="G485" s="825"/>
      <c r="H485" s="21"/>
      <c r="I485" s="825"/>
      <c r="J485" s="825"/>
      <c r="M485" s="825"/>
      <c r="N485" s="825"/>
      <c r="O485" s="825"/>
      <c r="P485" s="825"/>
      <c r="Q485" s="825"/>
      <c r="R485" s="825"/>
      <c r="S485" s="825"/>
      <c r="T485" s="825"/>
      <c r="U485" s="825"/>
      <c r="V485" s="825"/>
      <c r="W485" s="825"/>
      <c r="X485" s="825"/>
      <c r="Y485" s="825"/>
      <c r="Z485" s="825"/>
      <c r="AA485" s="825"/>
      <c r="AB485" s="825"/>
      <c r="AC485" s="825"/>
    </row>
    <row r="486" spans="1:29" ht="15.8" customHeight="1" x14ac:dyDescent="0.3">
      <c r="A486" s="825"/>
      <c r="C486" s="825"/>
      <c r="D486" s="21"/>
      <c r="E486" s="17"/>
      <c r="F486" s="825"/>
      <c r="G486" s="825"/>
      <c r="H486" s="21"/>
      <c r="I486" s="825"/>
      <c r="J486" s="825"/>
      <c r="M486" s="825"/>
      <c r="N486" s="825"/>
      <c r="O486" s="825"/>
      <c r="P486" s="825"/>
      <c r="Q486" s="825"/>
      <c r="R486" s="825"/>
      <c r="S486" s="825"/>
      <c r="T486" s="825"/>
      <c r="U486" s="825"/>
      <c r="V486" s="825"/>
      <c r="W486" s="825"/>
      <c r="X486" s="825"/>
      <c r="Y486" s="825"/>
      <c r="Z486" s="825"/>
      <c r="AA486" s="825"/>
      <c r="AB486" s="825"/>
      <c r="AC486" s="825"/>
    </row>
    <row r="487" spans="1:29" ht="15.8" customHeight="1" x14ac:dyDescent="0.3">
      <c r="A487" s="825"/>
      <c r="C487" s="825"/>
      <c r="D487" s="21"/>
      <c r="E487" s="17"/>
      <c r="F487" s="825"/>
      <c r="G487" s="825"/>
      <c r="H487" s="21"/>
      <c r="I487" s="825"/>
      <c r="J487" s="825"/>
      <c r="M487" s="825"/>
      <c r="N487" s="825"/>
      <c r="O487" s="825"/>
      <c r="P487" s="825"/>
      <c r="Q487" s="825"/>
      <c r="R487" s="825"/>
      <c r="S487" s="825"/>
      <c r="T487" s="825"/>
      <c r="U487" s="825"/>
      <c r="V487" s="825"/>
      <c r="W487" s="825"/>
      <c r="X487" s="825"/>
      <c r="Y487" s="825"/>
      <c r="Z487" s="825"/>
      <c r="AA487" s="825"/>
      <c r="AB487" s="825"/>
      <c r="AC487" s="825"/>
    </row>
    <row r="488" spans="1:29" ht="15.8" customHeight="1" x14ac:dyDescent="0.3">
      <c r="A488" s="825"/>
      <c r="C488" s="825"/>
      <c r="D488" s="21"/>
      <c r="E488" s="17"/>
      <c r="F488" s="825"/>
      <c r="G488" s="825"/>
      <c r="H488" s="21"/>
      <c r="I488" s="825"/>
      <c r="J488" s="825"/>
      <c r="M488" s="825"/>
      <c r="N488" s="825"/>
      <c r="O488" s="825"/>
      <c r="P488" s="825"/>
      <c r="Q488" s="825"/>
      <c r="R488" s="825"/>
      <c r="S488" s="825"/>
      <c r="T488" s="825"/>
      <c r="U488" s="825"/>
      <c r="V488" s="825"/>
      <c r="W488" s="825"/>
      <c r="X488" s="825"/>
      <c r="Y488" s="825"/>
      <c r="Z488" s="825"/>
      <c r="AA488" s="825"/>
      <c r="AB488" s="825"/>
      <c r="AC488" s="825"/>
    </row>
    <row r="489" spans="1:29" ht="15.8" customHeight="1" x14ac:dyDescent="0.3">
      <c r="A489" s="825"/>
      <c r="C489" s="825"/>
      <c r="D489" s="21"/>
      <c r="E489" s="17"/>
      <c r="F489" s="825"/>
      <c r="G489" s="825"/>
      <c r="H489" s="21"/>
      <c r="I489" s="825"/>
      <c r="J489" s="825"/>
      <c r="M489" s="825"/>
      <c r="N489" s="825"/>
      <c r="O489" s="825"/>
      <c r="P489" s="825"/>
      <c r="Q489" s="825"/>
      <c r="R489" s="825"/>
      <c r="S489" s="825"/>
      <c r="T489" s="825"/>
      <c r="U489" s="825"/>
      <c r="V489" s="825"/>
      <c r="W489" s="825"/>
      <c r="X489" s="825"/>
      <c r="Y489" s="825"/>
      <c r="Z489" s="825"/>
      <c r="AA489" s="825"/>
      <c r="AB489" s="825"/>
      <c r="AC489" s="825"/>
    </row>
    <row r="490" spans="1:29" ht="15.8" customHeight="1" x14ac:dyDescent="0.3">
      <c r="A490" s="825"/>
      <c r="C490" s="825"/>
      <c r="D490" s="21"/>
      <c r="E490" s="17"/>
      <c r="F490" s="825"/>
      <c r="G490" s="825"/>
      <c r="H490" s="21"/>
      <c r="I490" s="825"/>
      <c r="J490" s="825"/>
      <c r="M490" s="825"/>
      <c r="N490" s="825"/>
      <c r="O490" s="825"/>
      <c r="P490" s="825"/>
      <c r="Q490" s="825"/>
      <c r="R490" s="825"/>
      <c r="S490" s="825"/>
      <c r="T490" s="825"/>
      <c r="U490" s="825"/>
      <c r="V490" s="825"/>
      <c r="W490" s="825"/>
      <c r="X490" s="825"/>
      <c r="Y490" s="825"/>
      <c r="Z490" s="825"/>
      <c r="AA490" s="825"/>
      <c r="AB490" s="825"/>
      <c r="AC490" s="825"/>
    </row>
    <row r="491" spans="1:29" ht="15.8" customHeight="1" x14ac:dyDescent="0.3">
      <c r="A491" s="825"/>
      <c r="C491" s="825"/>
      <c r="D491" s="21"/>
      <c r="E491" s="17"/>
      <c r="F491" s="825"/>
      <c r="G491" s="825"/>
      <c r="H491" s="21"/>
      <c r="I491" s="825"/>
      <c r="J491" s="825"/>
      <c r="M491" s="825"/>
      <c r="N491" s="825"/>
      <c r="O491" s="825"/>
      <c r="P491" s="825"/>
      <c r="Q491" s="825"/>
      <c r="R491" s="825"/>
      <c r="S491" s="825"/>
      <c r="T491" s="825"/>
      <c r="U491" s="825"/>
      <c r="V491" s="825"/>
      <c r="W491" s="825"/>
      <c r="X491" s="825"/>
      <c r="Y491" s="825"/>
      <c r="Z491" s="825"/>
      <c r="AA491" s="825"/>
      <c r="AB491" s="825"/>
      <c r="AC491" s="825"/>
    </row>
    <row r="492" spans="1:29" ht="15.8" customHeight="1" x14ac:dyDescent="0.3">
      <c r="A492" s="825"/>
      <c r="C492" s="825"/>
      <c r="D492" s="21"/>
      <c r="E492" s="17"/>
      <c r="F492" s="825"/>
      <c r="G492" s="825"/>
      <c r="H492" s="21"/>
      <c r="I492" s="825"/>
      <c r="J492" s="825"/>
      <c r="M492" s="825"/>
      <c r="N492" s="825"/>
      <c r="O492" s="825"/>
      <c r="P492" s="825"/>
      <c r="Q492" s="825"/>
      <c r="R492" s="825"/>
      <c r="S492" s="825"/>
      <c r="T492" s="825"/>
      <c r="U492" s="825"/>
      <c r="V492" s="825"/>
      <c r="W492" s="825"/>
      <c r="X492" s="825"/>
      <c r="Y492" s="825"/>
      <c r="Z492" s="825"/>
      <c r="AA492" s="825"/>
      <c r="AB492" s="825"/>
      <c r="AC492" s="825"/>
    </row>
    <row r="493" spans="1:29" ht="15.8" customHeight="1" x14ac:dyDescent="0.3">
      <c r="A493" s="825"/>
      <c r="C493" s="825"/>
      <c r="D493" s="21"/>
      <c r="E493" s="17"/>
      <c r="F493" s="825"/>
      <c r="G493" s="825"/>
      <c r="H493" s="21"/>
      <c r="I493" s="825"/>
      <c r="J493" s="825"/>
      <c r="M493" s="825"/>
      <c r="N493" s="825"/>
      <c r="O493" s="825"/>
      <c r="P493" s="825"/>
      <c r="Q493" s="825"/>
      <c r="R493" s="825"/>
      <c r="S493" s="825"/>
      <c r="T493" s="825"/>
      <c r="U493" s="825"/>
      <c r="V493" s="825"/>
      <c r="W493" s="825"/>
      <c r="X493" s="825"/>
      <c r="Y493" s="825"/>
      <c r="Z493" s="825"/>
      <c r="AA493" s="825"/>
      <c r="AB493" s="825"/>
      <c r="AC493" s="825"/>
    </row>
    <row r="494" spans="1:29" ht="15.8" customHeight="1" x14ac:dyDescent="0.3">
      <c r="A494" s="825"/>
      <c r="C494" s="825"/>
      <c r="D494" s="21"/>
      <c r="E494" s="17"/>
      <c r="F494" s="825"/>
      <c r="G494" s="825"/>
      <c r="H494" s="21"/>
      <c r="I494" s="825"/>
      <c r="J494" s="825"/>
      <c r="M494" s="825"/>
      <c r="N494" s="825"/>
      <c r="O494" s="825"/>
      <c r="P494" s="825"/>
      <c r="Q494" s="825"/>
      <c r="R494" s="825"/>
      <c r="S494" s="825"/>
      <c r="T494" s="825"/>
      <c r="U494" s="825"/>
      <c r="V494" s="825"/>
      <c r="W494" s="825"/>
      <c r="X494" s="825"/>
      <c r="Y494" s="825"/>
      <c r="Z494" s="825"/>
      <c r="AA494" s="825"/>
      <c r="AB494" s="825"/>
      <c r="AC494" s="825"/>
    </row>
    <row r="495" spans="1:29" ht="15.8" customHeight="1" x14ac:dyDescent="0.3">
      <c r="A495" s="825"/>
      <c r="C495" s="825"/>
      <c r="D495" s="21"/>
      <c r="E495" s="17"/>
      <c r="F495" s="825"/>
      <c r="G495" s="825"/>
      <c r="H495" s="21"/>
      <c r="I495" s="825"/>
      <c r="J495" s="825"/>
      <c r="M495" s="825"/>
      <c r="N495" s="825"/>
      <c r="O495" s="825"/>
      <c r="P495" s="825"/>
      <c r="Q495" s="825"/>
      <c r="R495" s="825"/>
      <c r="S495" s="825"/>
      <c r="T495" s="825"/>
      <c r="U495" s="825"/>
      <c r="V495" s="825"/>
      <c r="W495" s="825"/>
      <c r="X495" s="825"/>
      <c r="Y495" s="825"/>
      <c r="Z495" s="825"/>
      <c r="AA495" s="825"/>
      <c r="AB495" s="825"/>
      <c r="AC495" s="825"/>
    </row>
    <row r="496" spans="1:29" ht="15.8" customHeight="1" x14ac:dyDescent="0.3">
      <c r="A496" s="825"/>
      <c r="C496" s="825"/>
      <c r="D496" s="21"/>
      <c r="E496" s="17"/>
      <c r="F496" s="825"/>
      <c r="G496" s="825"/>
      <c r="H496" s="21"/>
      <c r="I496" s="825"/>
      <c r="J496" s="825"/>
      <c r="M496" s="825"/>
      <c r="N496" s="825"/>
      <c r="O496" s="825"/>
      <c r="P496" s="825"/>
      <c r="Q496" s="825"/>
      <c r="R496" s="825"/>
      <c r="S496" s="825"/>
      <c r="T496" s="825"/>
      <c r="U496" s="825"/>
      <c r="V496" s="825"/>
      <c r="W496" s="825"/>
      <c r="X496" s="825"/>
      <c r="Y496" s="825"/>
      <c r="Z496" s="825"/>
      <c r="AA496" s="825"/>
      <c r="AB496" s="825"/>
      <c r="AC496" s="825"/>
    </row>
    <row r="497" spans="1:29" ht="15.8" customHeight="1" x14ac:dyDescent="0.3">
      <c r="A497" s="825"/>
      <c r="C497" s="825"/>
      <c r="D497" s="21"/>
      <c r="E497" s="17"/>
      <c r="F497" s="825"/>
      <c r="G497" s="825"/>
      <c r="H497" s="21"/>
      <c r="I497" s="825"/>
      <c r="J497" s="825"/>
      <c r="M497" s="825"/>
      <c r="N497" s="825"/>
      <c r="O497" s="825"/>
      <c r="P497" s="825"/>
      <c r="Q497" s="825"/>
      <c r="R497" s="825"/>
      <c r="S497" s="825"/>
      <c r="T497" s="825"/>
      <c r="U497" s="825"/>
      <c r="V497" s="825"/>
      <c r="W497" s="825"/>
      <c r="X497" s="825"/>
      <c r="Y497" s="825"/>
      <c r="Z497" s="825"/>
      <c r="AA497" s="825"/>
      <c r="AB497" s="825"/>
      <c r="AC497" s="825"/>
    </row>
    <row r="498" spans="1:29" ht="15.8" customHeight="1" x14ac:dyDescent="0.3">
      <c r="A498" s="825"/>
      <c r="C498" s="825"/>
      <c r="D498" s="21"/>
      <c r="E498" s="17"/>
      <c r="F498" s="825"/>
      <c r="G498" s="825"/>
      <c r="H498" s="21"/>
      <c r="I498" s="825"/>
      <c r="J498" s="825"/>
      <c r="M498" s="825"/>
      <c r="N498" s="825"/>
      <c r="O498" s="825"/>
      <c r="P498" s="825"/>
      <c r="Q498" s="825"/>
      <c r="R498" s="825"/>
      <c r="S498" s="825"/>
      <c r="T498" s="825"/>
      <c r="U498" s="825"/>
      <c r="V498" s="825"/>
      <c r="W498" s="825"/>
      <c r="X498" s="825"/>
      <c r="Y498" s="825"/>
      <c r="Z498" s="825"/>
      <c r="AA498" s="825"/>
      <c r="AB498" s="825"/>
      <c r="AC498" s="825"/>
    </row>
    <row r="499" spans="1:29" ht="15.8" customHeight="1" x14ac:dyDescent="0.3">
      <c r="A499" s="825"/>
      <c r="C499" s="825"/>
      <c r="D499" s="21"/>
      <c r="E499" s="17"/>
      <c r="F499" s="825"/>
      <c r="G499" s="825"/>
      <c r="H499" s="21"/>
      <c r="I499" s="825"/>
      <c r="J499" s="825"/>
      <c r="M499" s="825"/>
      <c r="N499" s="825"/>
      <c r="O499" s="825"/>
      <c r="P499" s="825"/>
      <c r="Q499" s="825"/>
      <c r="R499" s="825"/>
      <c r="S499" s="825"/>
      <c r="T499" s="825"/>
      <c r="U499" s="825"/>
      <c r="V499" s="825"/>
      <c r="W499" s="825"/>
      <c r="X499" s="825"/>
      <c r="Y499" s="825"/>
      <c r="Z499" s="825"/>
      <c r="AA499" s="825"/>
      <c r="AB499" s="825"/>
      <c r="AC499" s="825"/>
    </row>
    <row r="500" spans="1:29" ht="15.8" customHeight="1" x14ac:dyDescent="0.3">
      <c r="A500" s="825"/>
      <c r="C500" s="825"/>
      <c r="D500" s="21"/>
      <c r="E500" s="17"/>
      <c r="F500" s="825"/>
      <c r="G500" s="825"/>
      <c r="H500" s="21"/>
      <c r="I500" s="825"/>
      <c r="J500" s="825"/>
      <c r="M500" s="825"/>
      <c r="N500" s="825"/>
      <c r="O500" s="825"/>
      <c r="P500" s="825"/>
      <c r="Q500" s="825"/>
      <c r="R500" s="825"/>
      <c r="S500" s="825"/>
      <c r="T500" s="825"/>
      <c r="U500" s="825"/>
      <c r="V500" s="825"/>
      <c r="W500" s="825"/>
      <c r="X500" s="825"/>
      <c r="Y500" s="825"/>
      <c r="Z500" s="825"/>
      <c r="AA500" s="825"/>
      <c r="AB500" s="825"/>
      <c r="AC500" s="825"/>
    </row>
    <row r="501" spans="1:29" ht="15.8" customHeight="1" x14ac:dyDescent="0.3">
      <c r="A501" s="825"/>
      <c r="C501" s="825"/>
      <c r="D501" s="21"/>
      <c r="E501" s="17"/>
      <c r="F501" s="825"/>
      <c r="G501" s="825"/>
      <c r="H501" s="21"/>
      <c r="I501" s="825"/>
      <c r="J501" s="825"/>
      <c r="M501" s="825"/>
      <c r="N501" s="825"/>
      <c r="O501" s="825"/>
      <c r="P501" s="825"/>
      <c r="Q501" s="825"/>
      <c r="R501" s="825"/>
      <c r="S501" s="825"/>
      <c r="T501" s="825"/>
      <c r="U501" s="825"/>
      <c r="V501" s="825"/>
      <c r="W501" s="825"/>
      <c r="X501" s="825"/>
      <c r="Y501" s="825"/>
      <c r="Z501" s="825"/>
      <c r="AA501" s="825"/>
      <c r="AB501" s="825"/>
      <c r="AC501" s="825"/>
    </row>
    <row r="502" spans="1:29" ht="15.8" customHeight="1" x14ac:dyDescent="0.3">
      <c r="A502" s="825"/>
      <c r="C502" s="825"/>
      <c r="D502" s="21"/>
      <c r="E502" s="17"/>
      <c r="F502" s="825"/>
      <c r="G502" s="825"/>
      <c r="H502" s="21"/>
      <c r="I502" s="825"/>
      <c r="J502" s="825"/>
      <c r="M502" s="825"/>
      <c r="N502" s="825"/>
      <c r="O502" s="825"/>
      <c r="P502" s="825"/>
      <c r="Q502" s="825"/>
      <c r="R502" s="825"/>
      <c r="S502" s="825"/>
      <c r="T502" s="825"/>
      <c r="U502" s="825"/>
      <c r="V502" s="825"/>
      <c r="W502" s="825"/>
      <c r="X502" s="825"/>
      <c r="Y502" s="825"/>
      <c r="Z502" s="825"/>
      <c r="AA502" s="825"/>
      <c r="AB502" s="825"/>
      <c r="AC502" s="825"/>
    </row>
    <row r="503" spans="1:29" ht="15.8" customHeight="1" x14ac:dyDescent="0.3">
      <c r="A503" s="825"/>
      <c r="C503" s="825"/>
      <c r="D503" s="21"/>
      <c r="E503" s="17"/>
      <c r="F503" s="825"/>
      <c r="G503" s="825"/>
      <c r="H503" s="21"/>
      <c r="I503" s="825"/>
      <c r="J503" s="825"/>
      <c r="M503" s="825"/>
      <c r="N503" s="825"/>
      <c r="O503" s="825"/>
      <c r="P503" s="825"/>
      <c r="Q503" s="825"/>
      <c r="R503" s="825"/>
      <c r="S503" s="825"/>
      <c r="T503" s="825"/>
      <c r="U503" s="825"/>
      <c r="V503" s="825"/>
      <c r="W503" s="825"/>
      <c r="X503" s="825"/>
      <c r="Y503" s="825"/>
      <c r="Z503" s="825"/>
      <c r="AA503" s="825"/>
      <c r="AB503" s="825"/>
      <c r="AC503" s="825"/>
    </row>
    <row r="504" spans="1:29" ht="15.8" customHeight="1" x14ac:dyDescent="0.3">
      <c r="A504" s="825"/>
      <c r="C504" s="825"/>
      <c r="D504" s="21"/>
      <c r="E504" s="17"/>
      <c r="F504" s="825"/>
      <c r="G504" s="825"/>
      <c r="H504" s="21"/>
      <c r="I504" s="825"/>
      <c r="J504" s="825"/>
      <c r="M504" s="825"/>
      <c r="N504" s="825"/>
      <c r="O504" s="825"/>
      <c r="P504" s="825"/>
      <c r="Q504" s="825"/>
      <c r="R504" s="825"/>
      <c r="S504" s="825"/>
      <c r="T504" s="825"/>
      <c r="U504" s="825"/>
      <c r="V504" s="825"/>
      <c r="W504" s="825"/>
      <c r="X504" s="825"/>
      <c r="Y504" s="825"/>
      <c r="Z504" s="825"/>
      <c r="AA504" s="825"/>
      <c r="AB504" s="825"/>
      <c r="AC504" s="825"/>
    </row>
    <row r="505" spans="1:29" ht="15.8" customHeight="1" x14ac:dyDescent="0.3">
      <c r="A505" s="825"/>
      <c r="C505" s="825"/>
      <c r="D505" s="21"/>
      <c r="E505" s="17"/>
      <c r="F505" s="825"/>
      <c r="G505" s="825"/>
      <c r="H505" s="21"/>
      <c r="I505" s="825"/>
      <c r="J505" s="825"/>
      <c r="M505" s="825"/>
      <c r="N505" s="825"/>
      <c r="O505" s="825"/>
      <c r="P505" s="825"/>
      <c r="Q505" s="825"/>
      <c r="R505" s="825"/>
      <c r="S505" s="825"/>
      <c r="T505" s="825"/>
      <c r="U505" s="825"/>
      <c r="V505" s="825"/>
      <c r="W505" s="825"/>
      <c r="X505" s="825"/>
      <c r="Y505" s="825"/>
      <c r="Z505" s="825"/>
      <c r="AA505" s="825"/>
      <c r="AB505" s="825"/>
      <c r="AC505" s="825"/>
    </row>
    <row r="506" spans="1:29" ht="15.8" customHeight="1" x14ac:dyDescent="0.3">
      <c r="A506" s="825"/>
      <c r="C506" s="825"/>
      <c r="D506" s="21"/>
      <c r="E506" s="17"/>
      <c r="F506" s="825"/>
      <c r="G506" s="825"/>
      <c r="H506" s="21"/>
      <c r="I506" s="825"/>
      <c r="J506" s="825"/>
      <c r="M506" s="825"/>
      <c r="N506" s="825"/>
      <c r="O506" s="825"/>
      <c r="P506" s="825"/>
      <c r="Q506" s="825"/>
      <c r="R506" s="825"/>
      <c r="S506" s="825"/>
      <c r="T506" s="825"/>
      <c r="U506" s="825"/>
      <c r="V506" s="825"/>
      <c r="W506" s="825"/>
      <c r="X506" s="825"/>
      <c r="Y506" s="825"/>
      <c r="Z506" s="825"/>
      <c r="AA506" s="825"/>
      <c r="AB506" s="825"/>
      <c r="AC506" s="825"/>
    </row>
    <row r="507" spans="1:29" ht="15.8" customHeight="1" x14ac:dyDescent="0.3">
      <c r="A507" s="825"/>
      <c r="C507" s="825"/>
      <c r="D507" s="21"/>
      <c r="E507" s="17"/>
      <c r="F507" s="825"/>
      <c r="G507" s="825"/>
      <c r="H507" s="21"/>
      <c r="I507" s="825"/>
      <c r="J507" s="825"/>
      <c r="M507" s="825"/>
      <c r="N507" s="825"/>
      <c r="O507" s="825"/>
      <c r="P507" s="825"/>
      <c r="Q507" s="825"/>
      <c r="R507" s="825"/>
      <c r="S507" s="825"/>
      <c r="T507" s="825"/>
      <c r="U507" s="825"/>
      <c r="V507" s="825"/>
      <c r="W507" s="825"/>
      <c r="X507" s="825"/>
      <c r="Y507" s="825"/>
      <c r="Z507" s="825"/>
      <c r="AA507" s="825"/>
      <c r="AB507" s="825"/>
      <c r="AC507" s="825"/>
    </row>
    <row r="508" spans="1:29" ht="15.8" customHeight="1" x14ac:dyDescent="0.3">
      <c r="A508" s="825"/>
      <c r="C508" s="825"/>
      <c r="D508" s="21"/>
      <c r="E508" s="17"/>
      <c r="F508" s="825"/>
      <c r="G508" s="825"/>
      <c r="H508" s="21"/>
      <c r="I508" s="825"/>
      <c r="J508" s="825"/>
      <c r="M508" s="825"/>
      <c r="N508" s="825"/>
      <c r="O508" s="825"/>
      <c r="P508" s="825"/>
      <c r="Q508" s="825"/>
      <c r="R508" s="825"/>
      <c r="S508" s="825"/>
      <c r="T508" s="825"/>
      <c r="U508" s="825"/>
      <c r="V508" s="825"/>
      <c r="W508" s="825"/>
      <c r="X508" s="825"/>
      <c r="Y508" s="825"/>
      <c r="Z508" s="825"/>
      <c r="AA508" s="825"/>
      <c r="AB508" s="825"/>
      <c r="AC508" s="825"/>
    </row>
    <row r="509" spans="1:29" ht="15.8" customHeight="1" x14ac:dyDescent="0.3">
      <c r="A509" s="825"/>
      <c r="C509" s="825"/>
      <c r="D509" s="21"/>
      <c r="E509" s="17"/>
      <c r="F509" s="825"/>
      <c r="G509" s="825"/>
      <c r="H509" s="21"/>
      <c r="I509" s="825"/>
      <c r="J509" s="825"/>
      <c r="M509" s="825"/>
      <c r="N509" s="825"/>
      <c r="O509" s="825"/>
      <c r="P509" s="825"/>
      <c r="Q509" s="825"/>
      <c r="R509" s="825"/>
      <c r="S509" s="825"/>
      <c r="T509" s="825"/>
      <c r="U509" s="825"/>
      <c r="V509" s="825"/>
      <c r="W509" s="825"/>
      <c r="X509" s="825"/>
      <c r="Y509" s="825"/>
      <c r="Z509" s="825"/>
      <c r="AA509" s="825"/>
      <c r="AB509" s="825"/>
      <c r="AC509" s="825"/>
    </row>
    <row r="510" spans="1:29" ht="15.8" customHeight="1" x14ac:dyDescent="0.3">
      <c r="A510" s="825"/>
      <c r="C510" s="825"/>
      <c r="D510" s="21"/>
      <c r="E510" s="17"/>
      <c r="F510" s="825"/>
      <c r="G510" s="825"/>
      <c r="H510" s="21"/>
      <c r="I510" s="825"/>
      <c r="J510" s="825"/>
      <c r="M510" s="825"/>
      <c r="N510" s="825"/>
      <c r="O510" s="825"/>
      <c r="P510" s="825"/>
      <c r="Q510" s="825"/>
      <c r="R510" s="825"/>
      <c r="S510" s="825"/>
      <c r="T510" s="825"/>
      <c r="U510" s="825"/>
      <c r="V510" s="825"/>
      <c r="W510" s="825"/>
      <c r="X510" s="825"/>
      <c r="Y510" s="825"/>
      <c r="Z510" s="825"/>
      <c r="AA510" s="825"/>
      <c r="AB510" s="825"/>
      <c r="AC510" s="825"/>
    </row>
    <row r="511" spans="1:29" ht="15.8" customHeight="1" x14ac:dyDescent="0.3">
      <c r="A511" s="825"/>
      <c r="C511" s="825"/>
      <c r="D511" s="21"/>
      <c r="E511" s="17"/>
      <c r="F511" s="825"/>
      <c r="G511" s="825"/>
      <c r="H511" s="21"/>
      <c r="I511" s="825"/>
      <c r="J511" s="825"/>
      <c r="M511" s="825"/>
      <c r="N511" s="825"/>
      <c r="O511" s="825"/>
      <c r="P511" s="825"/>
      <c r="Q511" s="825"/>
      <c r="R511" s="825"/>
      <c r="S511" s="825"/>
      <c r="T511" s="825"/>
      <c r="U511" s="825"/>
      <c r="V511" s="825"/>
      <c r="W511" s="825"/>
      <c r="X511" s="825"/>
      <c r="Y511" s="825"/>
      <c r="Z511" s="825"/>
      <c r="AA511" s="825"/>
      <c r="AB511" s="825"/>
      <c r="AC511" s="825"/>
    </row>
    <row r="512" spans="1:29" ht="15.8" customHeight="1" x14ac:dyDescent="0.3">
      <c r="A512" s="825"/>
      <c r="C512" s="825"/>
      <c r="D512" s="21"/>
      <c r="E512" s="17"/>
      <c r="F512" s="825"/>
      <c r="G512" s="825"/>
      <c r="H512" s="21"/>
      <c r="I512" s="825"/>
      <c r="J512" s="825"/>
      <c r="M512" s="825"/>
      <c r="N512" s="825"/>
      <c r="O512" s="825"/>
      <c r="P512" s="825"/>
      <c r="Q512" s="825"/>
      <c r="R512" s="825"/>
      <c r="S512" s="825"/>
      <c r="T512" s="825"/>
      <c r="U512" s="825"/>
      <c r="V512" s="825"/>
      <c r="W512" s="825"/>
      <c r="X512" s="825"/>
      <c r="Y512" s="825"/>
      <c r="Z512" s="825"/>
      <c r="AA512" s="825"/>
      <c r="AB512" s="825"/>
      <c r="AC512" s="825"/>
    </row>
    <row r="513" spans="1:29" ht="15.8" customHeight="1" x14ac:dyDescent="0.3">
      <c r="A513" s="825"/>
      <c r="C513" s="825"/>
      <c r="D513" s="21"/>
      <c r="E513" s="17"/>
      <c r="F513" s="825"/>
      <c r="G513" s="825"/>
      <c r="H513" s="21"/>
      <c r="I513" s="825"/>
      <c r="J513" s="825"/>
      <c r="M513" s="825"/>
      <c r="N513" s="825"/>
      <c r="O513" s="825"/>
      <c r="P513" s="825"/>
      <c r="Q513" s="825"/>
      <c r="R513" s="825"/>
      <c r="S513" s="825"/>
      <c r="T513" s="825"/>
      <c r="U513" s="825"/>
      <c r="V513" s="825"/>
      <c r="W513" s="825"/>
      <c r="X513" s="825"/>
      <c r="Y513" s="825"/>
      <c r="Z513" s="825"/>
      <c r="AA513" s="825"/>
      <c r="AB513" s="825"/>
      <c r="AC513" s="825"/>
    </row>
    <row r="514" spans="1:29" ht="15.8" customHeight="1" x14ac:dyDescent="0.3">
      <c r="A514" s="825"/>
      <c r="C514" s="825"/>
      <c r="D514" s="21"/>
      <c r="E514" s="17"/>
      <c r="F514" s="825"/>
      <c r="G514" s="825"/>
      <c r="H514" s="21"/>
      <c r="I514" s="825"/>
      <c r="J514" s="825"/>
      <c r="M514" s="825"/>
      <c r="N514" s="825"/>
      <c r="O514" s="825"/>
      <c r="P514" s="825"/>
      <c r="Q514" s="825"/>
      <c r="R514" s="825"/>
      <c r="S514" s="825"/>
      <c r="T514" s="825"/>
      <c r="U514" s="825"/>
      <c r="V514" s="825"/>
      <c r="W514" s="825"/>
      <c r="X514" s="825"/>
      <c r="Y514" s="825"/>
      <c r="Z514" s="825"/>
      <c r="AA514" s="825"/>
      <c r="AB514" s="825"/>
      <c r="AC514" s="825"/>
    </row>
    <row r="515" spans="1:29" ht="15.8" customHeight="1" x14ac:dyDescent="0.3">
      <c r="A515" s="825"/>
      <c r="C515" s="825"/>
      <c r="D515" s="21"/>
      <c r="E515" s="17"/>
      <c r="F515" s="825"/>
      <c r="G515" s="825"/>
      <c r="H515" s="21"/>
      <c r="I515" s="825"/>
      <c r="J515" s="825"/>
      <c r="M515" s="825"/>
      <c r="N515" s="825"/>
      <c r="O515" s="825"/>
      <c r="P515" s="825"/>
      <c r="Q515" s="825"/>
      <c r="R515" s="825"/>
      <c r="S515" s="825"/>
      <c r="T515" s="825"/>
      <c r="U515" s="825"/>
      <c r="V515" s="825"/>
      <c r="W515" s="825"/>
      <c r="X515" s="825"/>
      <c r="Y515" s="825"/>
      <c r="Z515" s="825"/>
      <c r="AA515" s="825"/>
      <c r="AB515" s="825"/>
      <c r="AC515" s="825"/>
    </row>
    <row r="516" spans="1:29" ht="15.8" customHeight="1" x14ac:dyDescent="0.3">
      <c r="A516" s="825"/>
      <c r="C516" s="825"/>
      <c r="D516" s="21"/>
      <c r="E516" s="17"/>
      <c r="F516" s="825"/>
      <c r="G516" s="825"/>
      <c r="H516" s="21"/>
      <c r="I516" s="825"/>
      <c r="J516" s="825"/>
      <c r="M516" s="825"/>
      <c r="N516" s="825"/>
      <c r="O516" s="825"/>
      <c r="P516" s="825"/>
      <c r="Q516" s="825"/>
      <c r="R516" s="825"/>
      <c r="S516" s="825"/>
      <c r="T516" s="825"/>
      <c r="U516" s="825"/>
      <c r="V516" s="825"/>
      <c r="W516" s="825"/>
      <c r="X516" s="825"/>
      <c r="Y516" s="825"/>
      <c r="Z516" s="825"/>
      <c r="AA516" s="825"/>
      <c r="AB516" s="825"/>
      <c r="AC516" s="825"/>
    </row>
    <row r="517" spans="1:29" ht="15.8" customHeight="1" x14ac:dyDescent="0.3">
      <c r="A517" s="825"/>
      <c r="C517" s="825"/>
      <c r="D517" s="21"/>
      <c r="E517" s="17"/>
      <c r="F517" s="825"/>
      <c r="G517" s="825"/>
      <c r="H517" s="21"/>
      <c r="I517" s="825"/>
      <c r="J517" s="825"/>
      <c r="M517" s="825"/>
      <c r="N517" s="825"/>
      <c r="O517" s="825"/>
      <c r="P517" s="825"/>
      <c r="Q517" s="825"/>
      <c r="R517" s="825"/>
      <c r="S517" s="825"/>
      <c r="T517" s="825"/>
      <c r="U517" s="825"/>
      <c r="V517" s="825"/>
      <c r="W517" s="825"/>
      <c r="X517" s="825"/>
      <c r="Y517" s="825"/>
      <c r="Z517" s="825"/>
      <c r="AA517" s="825"/>
      <c r="AB517" s="825"/>
      <c r="AC517" s="825"/>
    </row>
    <row r="518" spans="1:29" ht="15.8" customHeight="1" x14ac:dyDescent="0.3">
      <c r="A518" s="825"/>
      <c r="C518" s="825"/>
      <c r="D518" s="21"/>
      <c r="E518" s="17"/>
      <c r="F518" s="825"/>
      <c r="G518" s="825"/>
      <c r="H518" s="21"/>
      <c r="I518" s="825"/>
      <c r="J518" s="825"/>
      <c r="M518" s="825"/>
      <c r="N518" s="825"/>
      <c r="O518" s="825"/>
      <c r="P518" s="825"/>
      <c r="Q518" s="825"/>
      <c r="R518" s="825"/>
      <c r="S518" s="825"/>
      <c r="T518" s="825"/>
      <c r="U518" s="825"/>
      <c r="V518" s="825"/>
      <c r="W518" s="825"/>
      <c r="X518" s="825"/>
      <c r="Y518" s="825"/>
      <c r="Z518" s="825"/>
      <c r="AA518" s="825"/>
      <c r="AB518" s="825"/>
      <c r="AC518" s="825"/>
    </row>
    <row r="519" spans="1:29" ht="15.8" customHeight="1" x14ac:dyDescent="0.3">
      <c r="A519" s="825"/>
      <c r="C519" s="825"/>
      <c r="D519" s="21"/>
      <c r="E519" s="17"/>
      <c r="F519" s="825"/>
      <c r="G519" s="825"/>
      <c r="H519" s="21"/>
      <c r="I519" s="825"/>
      <c r="J519" s="825"/>
      <c r="M519" s="825"/>
      <c r="N519" s="825"/>
      <c r="O519" s="825"/>
      <c r="P519" s="825"/>
      <c r="Q519" s="825"/>
      <c r="R519" s="825"/>
      <c r="S519" s="825"/>
      <c r="T519" s="825"/>
      <c r="U519" s="825"/>
      <c r="V519" s="825"/>
      <c r="W519" s="825"/>
      <c r="X519" s="825"/>
      <c r="Y519" s="825"/>
      <c r="Z519" s="825"/>
      <c r="AA519" s="825"/>
      <c r="AB519" s="825"/>
      <c r="AC519" s="825"/>
    </row>
    <row r="520" spans="1:29" ht="15.8" customHeight="1" x14ac:dyDescent="0.3">
      <c r="A520" s="825"/>
      <c r="C520" s="825"/>
      <c r="D520" s="21"/>
      <c r="E520" s="17"/>
      <c r="F520" s="825"/>
      <c r="G520" s="825"/>
      <c r="H520" s="21"/>
      <c r="I520" s="825"/>
      <c r="J520" s="825"/>
      <c r="M520" s="825"/>
      <c r="N520" s="825"/>
      <c r="O520" s="825"/>
      <c r="P520" s="825"/>
      <c r="Q520" s="825"/>
      <c r="R520" s="825"/>
      <c r="S520" s="825"/>
      <c r="T520" s="825"/>
      <c r="U520" s="825"/>
      <c r="V520" s="825"/>
      <c r="W520" s="825"/>
      <c r="X520" s="825"/>
      <c r="Y520" s="825"/>
      <c r="Z520" s="825"/>
      <c r="AA520" s="825"/>
      <c r="AB520" s="825"/>
      <c r="AC520" s="825"/>
    </row>
    <row r="521" spans="1:29" ht="15.8" customHeight="1" x14ac:dyDescent="0.3">
      <c r="A521" s="825"/>
      <c r="C521" s="825"/>
      <c r="D521" s="21"/>
      <c r="E521" s="17"/>
      <c r="F521" s="825"/>
      <c r="G521" s="825"/>
      <c r="H521" s="21"/>
      <c r="I521" s="825"/>
      <c r="J521" s="825"/>
      <c r="M521" s="825"/>
      <c r="N521" s="825"/>
      <c r="O521" s="825"/>
      <c r="P521" s="825"/>
      <c r="Q521" s="825"/>
      <c r="R521" s="825"/>
      <c r="S521" s="825"/>
      <c r="T521" s="825"/>
      <c r="U521" s="825"/>
      <c r="V521" s="825"/>
      <c r="W521" s="825"/>
      <c r="X521" s="825"/>
      <c r="Y521" s="825"/>
      <c r="Z521" s="825"/>
      <c r="AA521" s="825"/>
      <c r="AB521" s="825"/>
      <c r="AC521" s="825"/>
    </row>
    <row r="522" spans="1:29" ht="15.8" customHeight="1" x14ac:dyDescent="0.3">
      <c r="A522" s="825"/>
      <c r="C522" s="825"/>
      <c r="D522" s="21"/>
      <c r="E522" s="17"/>
      <c r="F522" s="825"/>
      <c r="G522" s="825"/>
      <c r="H522" s="21"/>
      <c r="I522" s="825"/>
      <c r="J522" s="825"/>
      <c r="M522" s="825"/>
      <c r="N522" s="825"/>
      <c r="O522" s="825"/>
      <c r="P522" s="825"/>
      <c r="Q522" s="825"/>
      <c r="R522" s="825"/>
      <c r="S522" s="825"/>
      <c r="T522" s="825"/>
      <c r="U522" s="825"/>
      <c r="V522" s="825"/>
      <c r="W522" s="825"/>
      <c r="X522" s="825"/>
      <c r="Y522" s="825"/>
      <c r="Z522" s="825"/>
      <c r="AA522" s="825"/>
      <c r="AB522" s="825"/>
      <c r="AC522" s="825"/>
    </row>
    <row r="523" spans="1:29" ht="15.8" customHeight="1" x14ac:dyDescent="0.3">
      <c r="A523" s="825"/>
      <c r="C523" s="825"/>
      <c r="D523" s="21"/>
      <c r="E523" s="17"/>
      <c r="F523" s="825"/>
      <c r="G523" s="825"/>
      <c r="H523" s="21"/>
      <c r="I523" s="825"/>
      <c r="J523" s="825"/>
      <c r="M523" s="825"/>
      <c r="N523" s="825"/>
      <c r="O523" s="825"/>
      <c r="P523" s="825"/>
      <c r="Q523" s="825"/>
      <c r="R523" s="825"/>
      <c r="S523" s="825"/>
      <c r="T523" s="825"/>
      <c r="U523" s="825"/>
      <c r="V523" s="825"/>
      <c r="W523" s="825"/>
      <c r="X523" s="825"/>
      <c r="Y523" s="825"/>
      <c r="Z523" s="825"/>
      <c r="AA523" s="825"/>
      <c r="AB523" s="825"/>
      <c r="AC523" s="825"/>
    </row>
    <row r="524" spans="1:29" ht="15.8" customHeight="1" x14ac:dyDescent="0.3">
      <c r="A524" s="825"/>
      <c r="C524" s="825"/>
      <c r="D524" s="21"/>
      <c r="E524" s="17"/>
      <c r="F524" s="825"/>
      <c r="G524" s="825"/>
      <c r="H524" s="21"/>
      <c r="I524" s="825"/>
      <c r="J524" s="825"/>
      <c r="M524" s="825"/>
      <c r="N524" s="825"/>
      <c r="O524" s="825"/>
      <c r="P524" s="825"/>
      <c r="Q524" s="825"/>
      <c r="R524" s="825"/>
      <c r="S524" s="825"/>
      <c r="T524" s="825"/>
      <c r="U524" s="825"/>
      <c r="V524" s="825"/>
      <c r="W524" s="825"/>
      <c r="X524" s="825"/>
      <c r="Y524" s="825"/>
      <c r="Z524" s="825"/>
      <c r="AA524" s="825"/>
      <c r="AB524" s="825"/>
      <c r="AC524" s="825"/>
    </row>
    <row r="525" spans="1:29" ht="15.8" customHeight="1" x14ac:dyDescent="0.3">
      <c r="A525" s="825"/>
      <c r="C525" s="825"/>
      <c r="D525" s="21"/>
      <c r="E525" s="17"/>
      <c r="F525" s="825"/>
      <c r="G525" s="825"/>
      <c r="H525" s="21"/>
      <c r="I525" s="825"/>
      <c r="J525" s="825"/>
      <c r="M525" s="825"/>
      <c r="N525" s="825"/>
      <c r="O525" s="825"/>
      <c r="P525" s="825"/>
      <c r="Q525" s="825"/>
      <c r="R525" s="825"/>
      <c r="S525" s="825"/>
      <c r="T525" s="825"/>
      <c r="U525" s="825"/>
      <c r="V525" s="825"/>
      <c r="W525" s="825"/>
      <c r="X525" s="825"/>
      <c r="Y525" s="825"/>
      <c r="Z525" s="825"/>
      <c r="AA525" s="825"/>
      <c r="AB525" s="825"/>
      <c r="AC525" s="825"/>
    </row>
    <row r="526" spans="1:29" ht="15.8" customHeight="1" x14ac:dyDescent="0.3">
      <c r="A526" s="825"/>
      <c r="C526" s="825"/>
      <c r="D526" s="21"/>
      <c r="E526" s="17"/>
      <c r="F526" s="825"/>
      <c r="G526" s="825"/>
      <c r="H526" s="21"/>
      <c r="I526" s="825"/>
      <c r="J526" s="825"/>
      <c r="M526" s="825"/>
      <c r="N526" s="825"/>
      <c r="O526" s="825"/>
      <c r="P526" s="825"/>
      <c r="Q526" s="825"/>
      <c r="R526" s="825"/>
      <c r="S526" s="825"/>
      <c r="T526" s="825"/>
      <c r="U526" s="825"/>
      <c r="V526" s="825"/>
      <c r="W526" s="825"/>
      <c r="X526" s="825"/>
      <c r="Y526" s="825"/>
      <c r="Z526" s="825"/>
      <c r="AA526" s="825"/>
      <c r="AB526" s="825"/>
      <c r="AC526" s="825"/>
    </row>
    <row r="527" spans="1:29" ht="15.8" customHeight="1" x14ac:dyDescent="0.3">
      <c r="A527" s="825"/>
      <c r="C527" s="825"/>
      <c r="D527" s="21"/>
      <c r="E527" s="17"/>
      <c r="F527" s="825"/>
      <c r="G527" s="825"/>
      <c r="H527" s="21"/>
      <c r="I527" s="825"/>
      <c r="J527" s="825"/>
      <c r="M527" s="825"/>
      <c r="N527" s="825"/>
      <c r="O527" s="825"/>
      <c r="P527" s="825"/>
      <c r="Q527" s="825"/>
      <c r="R527" s="825"/>
      <c r="S527" s="825"/>
      <c r="T527" s="825"/>
      <c r="U527" s="825"/>
      <c r="V527" s="825"/>
      <c r="W527" s="825"/>
      <c r="X527" s="825"/>
      <c r="Y527" s="825"/>
      <c r="Z527" s="825"/>
      <c r="AA527" s="825"/>
      <c r="AB527" s="825"/>
      <c r="AC527" s="825"/>
    </row>
    <row r="528" spans="1:29" ht="15.8" customHeight="1" x14ac:dyDescent="0.3">
      <c r="A528" s="825"/>
      <c r="C528" s="825"/>
      <c r="D528" s="21"/>
      <c r="E528" s="17"/>
      <c r="F528" s="825"/>
      <c r="G528" s="825"/>
      <c r="H528" s="21"/>
      <c r="I528" s="825"/>
      <c r="J528" s="825"/>
      <c r="M528" s="825"/>
      <c r="N528" s="825"/>
      <c r="O528" s="825"/>
      <c r="P528" s="825"/>
      <c r="Q528" s="825"/>
      <c r="R528" s="825"/>
      <c r="S528" s="825"/>
      <c r="T528" s="825"/>
      <c r="U528" s="825"/>
      <c r="V528" s="825"/>
      <c r="W528" s="825"/>
      <c r="X528" s="825"/>
      <c r="Y528" s="825"/>
      <c r="Z528" s="825"/>
      <c r="AA528" s="825"/>
      <c r="AB528" s="825"/>
      <c r="AC528" s="825"/>
    </row>
    <row r="529" spans="1:29" ht="15.8" customHeight="1" x14ac:dyDescent="0.3">
      <c r="A529" s="825"/>
      <c r="C529" s="825"/>
      <c r="D529" s="21"/>
      <c r="E529" s="17"/>
      <c r="F529" s="825"/>
      <c r="G529" s="825"/>
      <c r="H529" s="21"/>
      <c r="I529" s="825"/>
      <c r="J529" s="825"/>
      <c r="M529" s="825"/>
      <c r="N529" s="825"/>
      <c r="O529" s="825"/>
      <c r="P529" s="825"/>
      <c r="Q529" s="825"/>
      <c r="R529" s="825"/>
      <c r="S529" s="825"/>
      <c r="T529" s="825"/>
      <c r="U529" s="825"/>
      <c r="V529" s="825"/>
      <c r="W529" s="825"/>
      <c r="X529" s="825"/>
      <c r="Y529" s="825"/>
      <c r="Z529" s="825"/>
      <c r="AA529" s="825"/>
      <c r="AB529" s="825"/>
      <c r="AC529" s="825"/>
    </row>
    <row r="530" spans="1:29" ht="15.8" customHeight="1" x14ac:dyDescent="0.3">
      <c r="A530" s="825"/>
      <c r="C530" s="825"/>
      <c r="D530" s="21"/>
      <c r="E530" s="17"/>
      <c r="F530" s="825"/>
      <c r="G530" s="825"/>
      <c r="H530" s="21"/>
      <c r="I530" s="825"/>
      <c r="J530" s="825"/>
      <c r="M530" s="825"/>
      <c r="N530" s="825"/>
      <c r="O530" s="825"/>
      <c r="P530" s="825"/>
      <c r="Q530" s="825"/>
      <c r="R530" s="825"/>
      <c r="S530" s="825"/>
      <c r="T530" s="825"/>
      <c r="U530" s="825"/>
      <c r="V530" s="825"/>
      <c r="W530" s="825"/>
      <c r="X530" s="825"/>
      <c r="Y530" s="825"/>
      <c r="Z530" s="825"/>
      <c r="AA530" s="825"/>
      <c r="AB530" s="825"/>
      <c r="AC530" s="825"/>
    </row>
    <row r="531" spans="1:29" ht="15.8" customHeight="1" x14ac:dyDescent="0.3">
      <c r="A531" s="825"/>
      <c r="C531" s="825"/>
      <c r="D531" s="21"/>
      <c r="E531" s="17"/>
      <c r="F531" s="825"/>
      <c r="G531" s="825"/>
      <c r="H531" s="21"/>
      <c r="I531" s="825"/>
      <c r="J531" s="825"/>
      <c r="M531" s="825"/>
      <c r="N531" s="825"/>
      <c r="O531" s="825"/>
      <c r="P531" s="825"/>
      <c r="Q531" s="825"/>
      <c r="R531" s="825"/>
      <c r="S531" s="825"/>
      <c r="T531" s="825"/>
      <c r="U531" s="825"/>
      <c r="V531" s="825"/>
      <c r="W531" s="825"/>
      <c r="X531" s="825"/>
      <c r="Y531" s="825"/>
      <c r="Z531" s="825"/>
      <c r="AA531" s="825"/>
      <c r="AB531" s="825"/>
      <c r="AC531" s="825"/>
    </row>
    <row r="532" spans="1:29" ht="15.8" customHeight="1" x14ac:dyDescent="0.3">
      <c r="A532" s="825"/>
      <c r="C532" s="825"/>
      <c r="D532" s="21"/>
      <c r="E532" s="17"/>
      <c r="F532" s="825"/>
      <c r="G532" s="825"/>
      <c r="H532" s="21"/>
      <c r="I532" s="825"/>
      <c r="J532" s="825"/>
      <c r="M532" s="825"/>
      <c r="N532" s="825"/>
      <c r="O532" s="825"/>
      <c r="P532" s="825"/>
      <c r="Q532" s="825"/>
      <c r="R532" s="825"/>
      <c r="S532" s="825"/>
      <c r="T532" s="825"/>
      <c r="U532" s="825"/>
      <c r="V532" s="825"/>
      <c r="W532" s="825"/>
      <c r="X532" s="825"/>
      <c r="Y532" s="825"/>
      <c r="Z532" s="825"/>
      <c r="AA532" s="825"/>
      <c r="AB532" s="825"/>
      <c r="AC532" s="825"/>
    </row>
    <row r="533" spans="1:29" ht="15.8" customHeight="1" x14ac:dyDescent="0.3">
      <c r="A533" s="825"/>
      <c r="C533" s="825"/>
      <c r="D533" s="21"/>
      <c r="E533" s="17"/>
      <c r="F533" s="825"/>
      <c r="G533" s="825"/>
      <c r="H533" s="21"/>
      <c r="I533" s="825"/>
      <c r="J533" s="825"/>
      <c r="M533" s="825"/>
      <c r="N533" s="825"/>
      <c r="O533" s="825"/>
      <c r="P533" s="825"/>
      <c r="Q533" s="825"/>
      <c r="R533" s="825"/>
      <c r="S533" s="825"/>
      <c r="T533" s="825"/>
      <c r="U533" s="825"/>
      <c r="V533" s="825"/>
      <c r="W533" s="825"/>
      <c r="X533" s="825"/>
      <c r="Y533" s="825"/>
      <c r="Z533" s="825"/>
      <c r="AA533" s="825"/>
      <c r="AB533" s="825"/>
      <c r="AC533" s="825"/>
    </row>
    <row r="534" spans="1:29" ht="15.8" customHeight="1" x14ac:dyDescent="0.3">
      <c r="A534" s="825"/>
      <c r="C534" s="825"/>
      <c r="D534" s="21"/>
      <c r="E534" s="17"/>
      <c r="F534" s="825"/>
      <c r="G534" s="825"/>
      <c r="H534" s="21"/>
      <c r="I534" s="825"/>
      <c r="J534" s="825"/>
      <c r="M534" s="825"/>
      <c r="N534" s="825"/>
      <c r="O534" s="825"/>
      <c r="P534" s="825"/>
      <c r="Q534" s="825"/>
      <c r="R534" s="825"/>
      <c r="S534" s="825"/>
      <c r="T534" s="825"/>
      <c r="U534" s="825"/>
      <c r="V534" s="825"/>
      <c r="W534" s="825"/>
      <c r="X534" s="825"/>
      <c r="Y534" s="825"/>
      <c r="Z534" s="825"/>
      <c r="AA534" s="825"/>
      <c r="AB534" s="825"/>
      <c r="AC534" s="825"/>
    </row>
    <row r="535" spans="1:29" ht="15.8" customHeight="1" x14ac:dyDescent="0.3">
      <c r="A535" s="825"/>
      <c r="C535" s="825"/>
      <c r="D535" s="21"/>
      <c r="E535" s="17"/>
      <c r="F535" s="825"/>
      <c r="G535" s="825"/>
      <c r="H535" s="21"/>
      <c r="I535" s="825"/>
      <c r="J535" s="825"/>
      <c r="M535" s="825"/>
      <c r="N535" s="825"/>
      <c r="O535" s="825"/>
      <c r="P535" s="825"/>
      <c r="Q535" s="825"/>
      <c r="R535" s="825"/>
      <c r="S535" s="825"/>
      <c r="T535" s="825"/>
      <c r="U535" s="825"/>
      <c r="V535" s="825"/>
      <c r="W535" s="825"/>
      <c r="X535" s="825"/>
      <c r="Y535" s="825"/>
      <c r="Z535" s="825"/>
      <c r="AA535" s="825"/>
      <c r="AB535" s="825"/>
      <c r="AC535" s="825"/>
    </row>
    <row r="536" spans="1:29" ht="15.8" customHeight="1" x14ac:dyDescent="0.3">
      <c r="A536" s="825"/>
      <c r="C536" s="825"/>
      <c r="D536" s="21"/>
      <c r="E536" s="17"/>
      <c r="F536" s="825"/>
      <c r="G536" s="825"/>
      <c r="H536" s="21"/>
      <c r="I536" s="825"/>
      <c r="J536" s="825"/>
      <c r="M536" s="825"/>
      <c r="N536" s="825"/>
      <c r="O536" s="825"/>
      <c r="P536" s="825"/>
      <c r="Q536" s="825"/>
      <c r="R536" s="825"/>
      <c r="S536" s="825"/>
      <c r="T536" s="825"/>
      <c r="U536" s="825"/>
      <c r="V536" s="825"/>
      <c r="W536" s="825"/>
      <c r="X536" s="825"/>
      <c r="Y536" s="825"/>
      <c r="Z536" s="825"/>
      <c r="AA536" s="825"/>
      <c r="AB536" s="825"/>
      <c r="AC536" s="825"/>
    </row>
    <row r="537" spans="1:29" ht="15.8" customHeight="1" x14ac:dyDescent="0.3">
      <c r="A537" s="825"/>
      <c r="C537" s="825"/>
      <c r="D537" s="21"/>
      <c r="E537" s="17"/>
      <c r="F537" s="825"/>
      <c r="G537" s="825"/>
      <c r="H537" s="21"/>
      <c r="I537" s="825"/>
      <c r="J537" s="825"/>
      <c r="M537" s="825"/>
      <c r="N537" s="825"/>
      <c r="O537" s="825"/>
      <c r="P537" s="825"/>
      <c r="Q537" s="825"/>
      <c r="R537" s="825"/>
      <c r="S537" s="825"/>
      <c r="T537" s="825"/>
      <c r="U537" s="825"/>
      <c r="V537" s="825"/>
      <c r="W537" s="825"/>
      <c r="X537" s="825"/>
      <c r="Y537" s="825"/>
      <c r="Z537" s="825"/>
      <c r="AA537" s="825"/>
      <c r="AB537" s="825"/>
      <c r="AC537" s="825"/>
    </row>
    <row r="538" spans="1:29" ht="15.8" customHeight="1" x14ac:dyDescent="0.3">
      <c r="A538" s="825"/>
      <c r="C538" s="825"/>
      <c r="D538" s="21"/>
      <c r="E538" s="17"/>
      <c r="F538" s="825"/>
      <c r="G538" s="825"/>
      <c r="H538" s="21"/>
      <c r="I538" s="825"/>
      <c r="J538" s="825"/>
      <c r="M538" s="825"/>
      <c r="N538" s="825"/>
      <c r="O538" s="825"/>
      <c r="P538" s="825"/>
      <c r="Q538" s="825"/>
      <c r="R538" s="825"/>
      <c r="S538" s="825"/>
      <c r="T538" s="825"/>
      <c r="U538" s="825"/>
      <c r="V538" s="825"/>
      <c r="W538" s="825"/>
      <c r="X538" s="825"/>
      <c r="Y538" s="825"/>
      <c r="Z538" s="825"/>
      <c r="AA538" s="825"/>
      <c r="AB538" s="825"/>
      <c r="AC538" s="825"/>
    </row>
    <row r="539" spans="1:29" ht="15.8" customHeight="1" x14ac:dyDescent="0.3">
      <c r="A539" s="825"/>
      <c r="C539" s="825"/>
      <c r="D539" s="21"/>
      <c r="E539" s="17"/>
      <c r="F539" s="825"/>
      <c r="G539" s="825"/>
      <c r="H539" s="21"/>
      <c r="I539" s="825"/>
      <c r="J539" s="825"/>
      <c r="M539" s="825"/>
      <c r="N539" s="825"/>
      <c r="O539" s="825"/>
      <c r="P539" s="825"/>
      <c r="Q539" s="825"/>
      <c r="R539" s="825"/>
      <c r="S539" s="825"/>
      <c r="T539" s="825"/>
      <c r="U539" s="825"/>
      <c r="V539" s="825"/>
      <c r="W539" s="825"/>
      <c r="X539" s="825"/>
      <c r="Y539" s="825"/>
      <c r="Z539" s="825"/>
      <c r="AA539" s="825"/>
      <c r="AB539" s="825"/>
      <c r="AC539" s="825"/>
    </row>
    <row r="540" spans="1:29" ht="15.8" customHeight="1" x14ac:dyDescent="0.3">
      <c r="A540" s="825"/>
      <c r="C540" s="825"/>
      <c r="D540" s="21"/>
      <c r="E540" s="17"/>
      <c r="F540" s="825"/>
      <c r="G540" s="825"/>
      <c r="H540" s="21"/>
      <c r="I540" s="825"/>
      <c r="J540" s="825"/>
      <c r="M540" s="825"/>
      <c r="N540" s="825"/>
      <c r="O540" s="825"/>
      <c r="P540" s="825"/>
      <c r="Q540" s="825"/>
      <c r="R540" s="825"/>
      <c r="S540" s="825"/>
      <c r="T540" s="825"/>
      <c r="U540" s="825"/>
      <c r="V540" s="825"/>
      <c r="W540" s="825"/>
      <c r="X540" s="825"/>
      <c r="Y540" s="825"/>
      <c r="Z540" s="825"/>
      <c r="AA540" s="825"/>
      <c r="AB540" s="825"/>
      <c r="AC540" s="825"/>
    </row>
    <row r="541" spans="1:29" ht="15.8" customHeight="1" x14ac:dyDescent="0.3">
      <c r="A541" s="825"/>
      <c r="C541" s="825"/>
      <c r="D541" s="21"/>
      <c r="E541" s="17"/>
      <c r="F541" s="825"/>
      <c r="G541" s="825"/>
      <c r="H541" s="21"/>
      <c r="I541" s="825"/>
      <c r="J541" s="825"/>
      <c r="M541" s="825"/>
      <c r="N541" s="825"/>
      <c r="O541" s="825"/>
      <c r="P541" s="825"/>
      <c r="Q541" s="825"/>
      <c r="R541" s="825"/>
      <c r="S541" s="825"/>
      <c r="T541" s="825"/>
      <c r="U541" s="825"/>
      <c r="V541" s="825"/>
      <c r="W541" s="825"/>
      <c r="X541" s="825"/>
      <c r="Y541" s="825"/>
      <c r="Z541" s="825"/>
      <c r="AA541" s="825"/>
      <c r="AB541" s="825"/>
      <c r="AC541" s="825"/>
    </row>
    <row r="542" spans="1:29" ht="15.8" customHeight="1" x14ac:dyDescent="0.3">
      <c r="A542" s="825"/>
      <c r="C542" s="825"/>
      <c r="D542" s="21"/>
      <c r="E542" s="17"/>
      <c r="F542" s="825"/>
      <c r="G542" s="825"/>
      <c r="H542" s="21"/>
      <c r="I542" s="825"/>
      <c r="J542" s="825"/>
      <c r="M542" s="825"/>
      <c r="N542" s="825"/>
      <c r="O542" s="825"/>
      <c r="P542" s="825"/>
      <c r="Q542" s="825"/>
      <c r="R542" s="825"/>
      <c r="S542" s="825"/>
      <c r="T542" s="825"/>
      <c r="U542" s="825"/>
      <c r="V542" s="825"/>
      <c r="W542" s="825"/>
      <c r="X542" s="825"/>
      <c r="Y542" s="825"/>
      <c r="Z542" s="825"/>
      <c r="AA542" s="825"/>
      <c r="AB542" s="825"/>
      <c r="AC542" s="825"/>
    </row>
    <row r="543" spans="1:29" ht="15.8" customHeight="1" x14ac:dyDescent="0.3">
      <c r="A543" s="825"/>
      <c r="C543" s="825"/>
      <c r="D543" s="21"/>
      <c r="E543" s="17"/>
      <c r="F543" s="825"/>
      <c r="G543" s="825"/>
      <c r="H543" s="21"/>
      <c r="I543" s="825"/>
      <c r="J543" s="825"/>
      <c r="M543" s="825"/>
      <c r="N543" s="825"/>
      <c r="O543" s="825"/>
      <c r="P543" s="825"/>
      <c r="Q543" s="825"/>
      <c r="R543" s="825"/>
      <c r="S543" s="825"/>
      <c r="T543" s="825"/>
      <c r="U543" s="825"/>
      <c r="V543" s="825"/>
      <c r="W543" s="825"/>
      <c r="X543" s="825"/>
      <c r="Y543" s="825"/>
      <c r="Z543" s="825"/>
      <c r="AA543" s="825"/>
      <c r="AB543" s="825"/>
      <c r="AC543" s="825"/>
    </row>
    <row r="544" spans="1:29" ht="15.8" customHeight="1" x14ac:dyDescent="0.3">
      <c r="A544" s="825"/>
      <c r="C544" s="825"/>
      <c r="D544" s="21"/>
      <c r="E544" s="17"/>
      <c r="F544" s="825"/>
      <c r="G544" s="825"/>
      <c r="H544" s="21"/>
      <c r="I544" s="825"/>
      <c r="J544" s="825"/>
      <c r="M544" s="825"/>
      <c r="N544" s="825"/>
      <c r="O544" s="825"/>
      <c r="P544" s="825"/>
      <c r="Q544" s="825"/>
      <c r="R544" s="825"/>
      <c r="S544" s="825"/>
      <c r="T544" s="825"/>
      <c r="U544" s="825"/>
      <c r="V544" s="825"/>
      <c r="W544" s="825"/>
      <c r="X544" s="825"/>
      <c r="Y544" s="825"/>
      <c r="Z544" s="825"/>
      <c r="AA544" s="825"/>
      <c r="AB544" s="825"/>
      <c r="AC544" s="825"/>
    </row>
    <row r="545" spans="1:29" ht="15.8" customHeight="1" x14ac:dyDescent="0.3">
      <c r="A545" s="825"/>
      <c r="C545" s="825"/>
      <c r="D545" s="21"/>
      <c r="E545" s="17"/>
      <c r="F545" s="825"/>
      <c r="G545" s="825"/>
      <c r="H545" s="21"/>
      <c r="I545" s="825"/>
      <c r="J545" s="825"/>
      <c r="M545" s="825"/>
      <c r="N545" s="825"/>
      <c r="O545" s="825"/>
      <c r="P545" s="825"/>
      <c r="Q545" s="825"/>
      <c r="R545" s="825"/>
      <c r="S545" s="825"/>
      <c r="T545" s="825"/>
      <c r="U545" s="825"/>
      <c r="V545" s="825"/>
      <c r="W545" s="825"/>
      <c r="X545" s="825"/>
      <c r="Y545" s="825"/>
      <c r="Z545" s="825"/>
      <c r="AA545" s="825"/>
      <c r="AB545" s="825"/>
      <c r="AC545" s="825"/>
    </row>
    <row r="546" spans="1:29" ht="15.8" customHeight="1" x14ac:dyDescent="0.3">
      <c r="A546" s="825"/>
      <c r="C546" s="825"/>
      <c r="D546" s="21"/>
      <c r="E546" s="17"/>
      <c r="F546" s="825"/>
      <c r="G546" s="825"/>
      <c r="H546" s="21"/>
      <c r="I546" s="825"/>
      <c r="J546" s="825"/>
      <c r="M546" s="825"/>
      <c r="N546" s="825"/>
      <c r="O546" s="825"/>
      <c r="P546" s="825"/>
      <c r="Q546" s="825"/>
      <c r="R546" s="825"/>
      <c r="S546" s="825"/>
      <c r="T546" s="825"/>
      <c r="U546" s="825"/>
      <c r="V546" s="825"/>
      <c r="W546" s="825"/>
      <c r="X546" s="825"/>
      <c r="Y546" s="825"/>
      <c r="Z546" s="825"/>
      <c r="AA546" s="825"/>
      <c r="AB546" s="825"/>
      <c r="AC546" s="825"/>
    </row>
    <row r="547" spans="1:29" ht="15.8" customHeight="1" x14ac:dyDescent="0.3">
      <c r="A547" s="825"/>
      <c r="C547" s="825"/>
      <c r="D547" s="21"/>
      <c r="E547" s="17"/>
      <c r="F547" s="825"/>
      <c r="G547" s="825"/>
      <c r="H547" s="21"/>
      <c r="I547" s="825"/>
      <c r="J547" s="825"/>
      <c r="M547" s="825"/>
      <c r="N547" s="825"/>
      <c r="O547" s="825"/>
      <c r="P547" s="825"/>
      <c r="Q547" s="825"/>
      <c r="R547" s="825"/>
      <c r="S547" s="825"/>
      <c r="T547" s="825"/>
      <c r="U547" s="825"/>
      <c r="V547" s="825"/>
      <c r="W547" s="825"/>
      <c r="X547" s="825"/>
      <c r="Y547" s="825"/>
      <c r="Z547" s="825"/>
      <c r="AA547" s="825"/>
      <c r="AB547" s="825"/>
      <c r="AC547" s="825"/>
    </row>
    <row r="548" spans="1:29" ht="15.8" customHeight="1" x14ac:dyDescent="0.3">
      <c r="A548" s="825"/>
      <c r="C548" s="825"/>
      <c r="D548" s="21"/>
      <c r="E548" s="17"/>
      <c r="F548" s="825"/>
      <c r="G548" s="825"/>
      <c r="H548" s="21"/>
      <c r="I548" s="825"/>
      <c r="J548" s="825"/>
      <c r="M548" s="825"/>
      <c r="N548" s="825"/>
      <c r="O548" s="825"/>
      <c r="P548" s="825"/>
      <c r="Q548" s="825"/>
      <c r="R548" s="825"/>
      <c r="S548" s="825"/>
      <c r="T548" s="825"/>
      <c r="U548" s="825"/>
      <c r="V548" s="825"/>
      <c r="W548" s="825"/>
      <c r="X548" s="825"/>
      <c r="Y548" s="825"/>
      <c r="Z548" s="825"/>
      <c r="AA548" s="825"/>
      <c r="AB548" s="825"/>
      <c r="AC548" s="825"/>
    </row>
    <row r="549" spans="1:29" ht="15.8" customHeight="1" x14ac:dyDescent="0.3">
      <c r="A549" s="825"/>
      <c r="C549" s="825"/>
      <c r="D549" s="21"/>
      <c r="E549" s="17"/>
      <c r="F549" s="825"/>
      <c r="G549" s="825"/>
      <c r="H549" s="21"/>
      <c r="I549" s="825"/>
      <c r="J549" s="825"/>
      <c r="M549" s="825"/>
      <c r="N549" s="825"/>
      <c r="O549" s="825"/>
      <c r="P549" s="825"/>
      <c r="Q549" s="825"/>
      <c r="R549" s="825"/>
      <c r="S549" s="825"/>
      <c r="T549" s="825"/>
      <c r="U549" s="825"/>
      <c r="V549" s="825"/>
      <c r="W549" s="825"/>
      <c r="X549" s="825"/>
      <c r="Y549" s="825"/>
      <c r="Z549" s="825"/>
      <c r="AA549" s="825"/>
      <c r="AB549" s="825"/>
      <c r="AC549" s="825"/>
    </row>
    <row r="550" spans="1:29" ht="15.8" customHeight="1" x14ac:dyDescent="0.3">
      <c r="A550" s="825"/>
      <c r="C550" s="825"/>
      <c r="D550" s="21"/>
      <c r="E550" s="17"/>
      <c r="F550" s="825"/>
      <c r="G550" s="825"/>
      <c r="H550" s="21"/>
      <c r="I550" s="825"/>
      <c r="J550" s="825"/>
      <c r="M550" s="825"/>
      <c r="N550" s="825"/>
      <c r="O550" s="825"/>
      <c r="P550" s="825"/>
      <c r="Q550" s="825"/>
      <c r="R550" s="825"/>
      <c r="S550" s="825"/>
      <c r="T550" s="825"/>
      <c r="U550" s="825"/>
      <c r="V550" s="825"/>
      <c r="W550" s="825"/>
      <c r="X550" s="825"/>
      <c r="Y550" s="825"/>
      <c r="Z550" s="825"/>
      <c r="AA550" s="825"/>
      <c r="AB550" s="825"/>
      <c r="AC550" s="825"/>
    </row>
    <row r="551" spans="1:29" ht="15.8" customHeight="1" x14ac:dyDescent="0.3">
      <c r="A551" s="825"/>
      <c r="C551" s="825"/>
      <c r="D551" s="21"/>
      <c r="E551" s="17"/>
      <c r="F551" s="825"/>
      <c r="G551" s="825"/>
      <c r="H551" s="21"/>
      <c r="I551" s="825"/>
      <c r="J551" s="825"/>
      <c r="M551" s="825"/>
      <c r="N551" s="825"/>
      <c r="O551" s="825"/>
      <c r="P551" s="825"/>
      <c r="Q551" s="825"/>
      <c r="R551" s="825"/>
      <c r="S551" s="825"/>
      <c r="T551" s="825"/>
      <c r="U551" s="825"/>
      <c r="V551" s="825"/>
      <c r="W551" s="825"/>
      <c r="X551" s="825"/>
      <c r="Y551" s="825"/>
      <c r="Z551" s="825"/>
      <c r="AA551" s="825"/>
      <c r="AB551" s="825"/>
      <c r="AC551" s="825"/>
    </row>
    <row r="552" spans="1:29" ht="15.8" customHeight="1" x14ac:dyDescent="0.3">
      <c r="A552" s="825"/>
      <c r="C552" s="825"/>
      <c r="D552" s="21"/>
      <c r="E552" s="17"/>
      <c r="F552" s="825"/>
      <c r="G552" s="825"/>
      <c r="H552" s="21"/>
      <c r="I552" s="825"/>
      <c r="J552" s="825"/>
      <c r="M552" s="825"/>
      <c r="N552" s="825"/>
      <c r="O552" s="825"/>
      <c r="P552" s="825"/>
      <c r="Q552" s="825"/>
      <c r="R552" s="825"/>
      <c r="S552" s="825"/>
      <c r="T552" s="825"/>
      <c r="U552" s="825"/>
      <c r="V552" s="825"/>
      <c r="W552" s="825"/>
      <c r="X552" s="825"/>
      <c r="Y552" s="825"/>
      <c r="Z552" s="825"/>
      <c r="AA552" s="825"/>
      <c r="AB552" s="825"/>
      <c r="AC552" s="825"/>
    </row>
    <row r="553" spans="1:29" ht="15.8" customHeight="1" x14ac:dyDescent="0.3">
      <c r="A553" s="825"/>
      <c r="C553" s="825"/>
      <c r="D553" s="21"/>
      <c r="E553" s="17"/>
      <c r="F553" s="825"/>
      <c r="G553" s="825"/>
      <c r="H553" s="21"/>
      <c r="I553" s="825"/>
      <c r="J553" s="825"/>
      <c r="M553" s="825"/>
      <c r="N553" s="825"/>
      <c r="O553" s="825"/>
      <c r="P553" s="825"/>
      <c r="Q553" s="825"/>
      <c r="R553" s="825"/>
      <c r="S553" s="825"/>
      <c r="T553" s="825"/>
      <c r="U553" s="825"/>
      <c r="V553" s="825"/>
      <c r="W553" s="825"/>
      <c r="X553" s="825"/>
      <c r="Y553" s="825"/>
      <c r="Z553" s="825"/>
      <c r="AA553" s="825"/>
      <c r="AB553" s="825"/>
      <c r="AC553" s="825"/>
    </row>
    <row r="554" spans="1:29" ht="15.8" customHeight="1" x14ac:dyDescent="0.3">
      <c r="A554" s="825"/>
      <c r="C554" s="825"/>
      <c r="D554" s="21"/>
      <c r="E554" s="17"/>
      <c r="F554" s="825"/>
      <c r="G554" s="825"/>
      <c r="H554" s="21"/>
      <c r="I554" s="825"/>
      <c r="J554" s="825"/>
      <c r="M554" s="825"/>
      <c r="N554" s="825"/>
      <c r="O554" s="825"/>
      <c r="P554" s="825"/>
      <c r="Q554" s="825"/>
      <c r="R554" s="825"/>
      <c r="S554" s="825"/>
      <c r="T554" s="825"/>
      <c r="U554" s="825"/>
      <c r="V554" s="825"/>
      <c r="W554" s="825"/>
      <c r="X554" s="825"/>
      <c r="Y554" s="825"/>
      <c r="Z554" s="825"/>
      <c r="AA554" s="825"/>
      <c r="AB554" s="825"/>
      <c r="AC554" s="825"/>
    </row>
    <row r="555" spans="1:29" ht="15.8" customHeight="1" x14ac:dyDescent="0.3">
      <c r="A555" s="825"/>
      <c r="C555" s="825"/>
      <c r="D555" s="21"/>
      <c r="E555" s="17"/>
      <c r="F555" s="825"/>
      <c r="G555" s="825"/>
      <c r="H555" s="21"/>
      <c r="I555" s="825"/>
      <c r="J555" s="825"/>
      <c r="M555" s="825"/>
      <c r="N555" s="825"/>
      <c r="O555" s="825"/>
      <c r="P555" s="825"/>
      <c r="Q555" s="825"/>
      <c r="R555" s="825"/>
      <c r="S555" s="825"/>
      <c r="T555" s="825"/>
      <c r="U555" s="825"/>
      <c r="V555" s="825"/>
      <c r="W555" s="825"/>
      <c r="X555" s="825"/>
      <c r="Y555" s="825"/>
      <c r="Z555" s="825"/>
      <c r="AA555" s="825"/>
      <c r="AB555" s="825"/>
      <c r="AC555" s="825"/>
    </row>
    <row r="556" spans="1:29" ht="15.8" customHeight="1" x14ac:dyDescent="0.3">
      <c r="A556" s="825"/>
      <c r="C556" s="825"/>
      <c r="D556" s="21"/>
      <c r="E556" s="17"/>
      <c r="F556" s="825"/>
      <c r="G556" s="825"/>
      <c r="H556" s="21"/>
      <c r="I556" s="825"/>
      <c r="J556" s="825"/>
      <c r="M556" s="825"/>
      <c r="N556" s="825"/>
      <c r="O556" s="825"/>
      <c r="P556" s="825"/>
      <c r="Q556" s="825"/>
      <c r="R556" s="825"/>
      <c r="S556" s="825"/>
      <c r="T556" s="825"/>
      <c r="U556" s="825"/>
      <c r="V556" s="825"/>
      <c r="W556" s="825"/>
      <c r="X556" s="825"/>
      <c r="Y556" s="825"/>
      <c r="Z556" s="825"/>
      <c r="AA556" s="825"/>
      <c r="AB556" s="825"/>
      <c r="AC556" s="825"/>
    </row>
    <row r="557" spans="1:29" ht="15.8" customHeight="1" x14ac:dyDescent="0.3">
      <c r="A557" s="825"/>
      <c r="C557" s="825"/>
      <c r="D557" s="21"/>
      <c r="E557" s="17"/>
      <c r="F557" s="825"/>
      <c r="G557" s="825"/>
      <c r="H557" s="21"/>
      <c r="I557" s="825"/>
      <c r="J557" s="825"/>
      <c r="M557" s="825"/>
      <c r="N557" s="825"/>
      <c r="O557" s="825"/>
      <c r="P557" s="825"/>
      <c r="Q557" s="825"/>
      <c r="R557" s="825"/>
      <c r="S557" s="825"/>
      <c r="T557" s="825"/>
      <c r="U557" s="825"/>
      <c r="V557" s="825"/>
      <c r="W557" s="825"/>
      <c r="X557" s="825"/>
      <c r="Y557" s="825"/>
      <c r="Z557" s="825"/>
      <c r="AA557" s="825"/>
      <c r="AB557" s="825"/>
      <c r="AC557" s="825"/>
    </row>
    <row r="558" spans="1:29" ht="15.8" customHeight="1" x14ac:dyDescent="0.3">
      <c r="A558" s="825"/>
      <c r="C558" s="825"/>
      <c r="D558" s="21"/>
      <c r="E558" s="17"/>
      <c r="F558" s="825"/>
      <c r="G558" s="825"/>
      <c r="H558" s="21"/>
      <c r="I558" s="825"/>
      <c r="J558" s="825"/>
      <c r="M558" s="825"/>
      <c r="N558" s="825"/>
      <c r="O558" s="825"/>
      <c r="P558" s="825"/>
      <c r="Q558" s="825"/>
      <c r="R558" s="825"/>
      <c r="S558" s="825"/>
      <c r="T558" s="825"/>
      <c r="U558" s="825"/>
      <c r="V558" s="825"/>
      <c r="W558" s="825"/>
      <c r="X558" s="825"/>
      <c r="Y558" s="825"/>
      <c r="Z558" s="825"/>
      <c r="AA558" s="825"/>
      <c r="AB558" s="825"/>
      <c r="AC558" s="825"/>
    </row>
    <row r="559" spans="1:29" ht="15.8" customHeight="1" x14ac:dyDescent="0.3">
      <c r="A559" s="825"/>
      <c r="C559" s="825"/>
      <c r="D559" s="21"/>
      <c r="E559" s="17"/>
      <c r="F559" s="825"/>
      <c r="G559" s="825"/>
      <c r="H559" s="21"/>
      <c r="I559" s="825"/>
      <c r="J559" s="825"/>
      <c r="M559" s="825"/>
      <c r="N559" s="825"/>
      <c r="O559" s="825"/>
      <c r="P559" s="825"/>
      <c r="Q559" s="825"/>
      <c r="R559" s="825"/>
      <c r="S559" s="825"/>
      <c r="T559" s="825"/>
      <c r="U559" s="825"/>
      <c r="V559" s="825"/>
      <c r="W559" s="825"/>
      <c r="X559" s="825"/>
      <c r="Y559" s="825"/>
      <c r="Z559" s="825"/>
      <c r="AA559" s="825"/>
      <c r="AB559" s="825"/>
      <c r="AC559" s="825"/>
    </row>
    <row r="560" spans="1:29" ht="15.8" customHeight="1" x14ac:dyDescent="0.3">
      <c r="A560" s="825"/>
      <c r="C560" s="825"/>
      <c r="D560" s="21"/>
      <c r="E560" s="17"/>
      <c r="F560" s="825"/>
      <c r="G560" s="825"/>
      <c r="H560" s="21"/>
      <c r="I560" s="825"/>
      <c r="J560" s="825"/>
      <c r="M560" s="825"/>
      <c r="N560" s="825"/>
      <c r="O560" s="825"/>
      <c r="P560" s="825"/>
      <c r="Q560" s="825"/>
      <c r="R560" s="825"/>
      <c r="S560" s="825"/>
      <c r="T560" s="825"/>
      <c r="U560" s="825"/>
      <c r="V560" s="825"/>
      <c r="W560" s="825"/>
      <c r="X560" s="825"/>
      <c r="Y560" s="825"/>
      <c r="Z560" s="825"/>
      <c r="AA560" s="825"/>
      <c r="AB560" s="825"/>
      <c r="AC560" s="825"/>
    </row>
    <row r="561" spans="1:29" ht="15.8" customHeight="1" x14ac:dyDescent="0.3">
      <c r="A561" s="825"/>
      <c r="C561" s="825"/>
      <c r="D561" s="21"/>
      <c r="E561" s="17"/>
      <c r="F561" s="825"/>
      <c r="G561" s="825"/>
      <c r="H561" s="21"/>
      <c r="I561" s="825"/>
      <c r="J561" s="825"/>
      <c r="M561" s="825"/>
      <c r="N561" s="825"/>
      <c r="O561" s="825"/>
      <c r="P561" s="825"/>
      <c r="Q561" s="825"/>
      <c r="R561" s="825"/>
      <c r="S561" s="825"/>
      <c r="T561" s="825"/>
      <c r="U561" s="825"/>
      <c r="V561" s="825"/>
      <c r="W561" s="825"/>
      <c r="X561" s="825"/>
      <c r="Y561" s="825"/>
      <c r="Z561" s="825"/>
      <c r="AA561" s="825"/>
      <c r="AB561" s="825"/>
      <c r="AC561" s="825"/>
    </row>
    <row r="562" spans="1:29" ht="15.8" customHeight="1" x14ac:dyDescent="0.3">
      <c r="A562" s="825"/>
      <c r="C562" s="825"/>
      <c r="D562" s="21"/>
      <c r="E562" s="17"/>
      <c r="F562" s="825"/>
      <c r="G562" s="825"/>
      <c r="H562" s="21"/>
      <c r="I562" s="825"/>
      <c r="J562" s="825"/>
      <c r="M562" s="825"/>
      <c r="N562" s="825"/>
      <c r="O562" s="825"/>
      <c r="P562" s="825"/>
      <c r="Q562" s="825"/>
      <c r="R562" s="825"/>
      <c r="S562" s="825"/>
      <c r="T562" s="825"/>
      <c r="U562" s="825"/>
      <c r="V562" s="825"/>
      <c r="W562" s="825"/>
      <c r="X562" s="825"/>
      <c r="Y562" s="825"/>
      <c r="Z562" s="825"/>
      <c r="AA562" s="825"/>
      <c r="AB562" s="825"/>
      <c r="AC562" s="825"/>
    </row>
    <row r="563" spans="1:29" ht="15.8" customHeight="1" x14ac:dyDescent="0.3">
      <c r="A563" s="825"/>
      <c r="C563" s="825"/>
      <c r="D563" s="21"/>
      <c r="E563" s="17"/>
      <c r="F563" s="825"/>
      <c r="G563" s="825"/>
      <c r="H563" s="21"/>
      <c r="I563" s="825"/>
      <c r="J563" s="825"/>
      <c r="M563" s="825"/>
      <c r="N563" s="825"/>
      <c r="O563" s="825"/>
      <c r="P563" s="825"/>
      <c r="Q563" s="825"/>
      <c r="R563" s="825"/>
      <c r="S563" s="825"/>
      <c r="T563" s="825"/>
      <c r="U563" s="825"/>
      <c r="V563" s="825"/>
      <c r="W563" s="825"/>
      <c r="X563" s="825"/>
      <c r="Y563" s="825"/>
      <c r="Z563" s="825"/>
      <c r="AA563" s="825"/>
      <c r="AB563" s="825"/>
      <c r="AC563" s="825"/>
    </row>
    <row r="564" spans="1:29" ht="15.8" customHeight="1" x14ac:dyDescent="0.3">
      <c r="A564" s="825"/>
      <c r="C564" s="825"/>
      <c r="D564" s="21"/>
      <c r="E564" s="17"/>
      <c r="F564" s="825"/>
      <c r="G564" s="825"/>
      <c r="H564" s="21"/>
      <c r="I564" s="825"/>
      <c r="J564" s="825"/>
      <c r="M564" s="825"/>
      <c r="N564" s="825"/>
      <c r="O564" s="825"/>
      <c r="P564" s="825"/>
      <c r="Q564" s="825"/>
      <c r="R564" s="825"/>
      <c r="S564" s="825"/>
      <c r="T564" s="825"/>
      <c r="U564" s="825"/>
      <c r="V564" s="825"/>
      <c r="W564" s="825"/>
      <c r="X564" s="825"/>
      <c r="Y564" s="825"/>
      <c r="Z564" s="825"/>
      <c r="AA564" s="825"/>
      <c r="AB564" s="825"/>
      <c r="AC564" s="825"/>
    </row>
    <row r="565" spans="1:29" ht="15.8" customHeight="1" x14ac:dyDescent="0.3">
      <c r="A565" s="825"/>
      <c r="C565" s="825"/>
      <c r="D565" s="21"/>
      <c r="E565" s="17"/>
      <c r="F565" s="825"/>
      <c r="G565" s="825"/>
      <c r="H565" s="21"/>
      <c r="I565" s="825"/>
      <c r="J565" s="825"/>
      <c r="M565" s="825"/>
      <c r="N565" s="825"/>
      <c r="O565" s="825"/>
      <c r="P565" s="825"/>
      <c r="Q565" s="825"/>
      <c r="R565" s="825"/>
      <c r="S565" s="825"/>
      <c r="T565" s="825"/>
      <c r="U565" s="825"/>
      <c r="V565" s="825"/>
      <c r="W565" s="825"/>
      <c r="X565" s="825"/>
      <c r="Y565" s="825"/>
      <c r="Z565" s="825"/>
      <c r="AA565" s="825"/>
      <c r="AB565" s="825"/>
      <c r="AC565" s="825"/>
    </row>
    <row r="566" spans="1:29" ht="15.8" customHeight="1" x14ac:dyDescent="0.3">
      <c r="A566" s="825"/>
      <c r="C566" s="825"/>
      <c r="D566" s="21"/>
      <c r="E566" s="17"/>
      <c r="F566" s="825"/>
      <c r="G566" s="825"/>
      <c r="H566" s="21"/>
      <c r="I566" s="825"/>
      <c r="J566" s="825"/>
      <c r="M566" s="825"/>
      <c r="N566" s="825"/>
      <c r="O566" s="825"/>
      <c r="P566" s="825"/>
      <c r="Q566" s="825"/>
      <c r="R566" s="825"/>
      <c r="S566" s="825"/>
      <c r="T566" s="825"/>
      <c r="U566" s="825"/>
      <c r="V566" s="825"/>
      <c r="W566" s="825"/>
      <c r="X566" s="825"/>
      <c r="Y566" s="825"/>
      <c r="Z566" s="825"/>
      <c r="AA566" s="825"/>
      <c r="AB566" s="825"/>
      <c r="AC566" s="825"/>
    </row>
    <row r="567" spans="1:29" ht="15.8" customHeight="1" x14ac:dyDescent="0.3">
      <c r="A567" s="825"/>
      <c r="C567" s="825"/>
      <c r="D567" s="21"/>
      <c r="E567" s="17"/>
      <c r="F567" s="825"/>
      <c r="G567" s="825"/>
      <c r="H567" s="21"/>
      <c r="I567" s="825"/>
      <c r="J567" s="825"/>
      <c r="M567" s="825"/>
      <c r="N567" s="825"/>
      <c r="O567" s="825"/>
      <c r="P567" s="825"/>
      <c r="Q567" s="825"/>
      <c r="R567" s="825"/>
      <c r="S567" s="825"/>
      <c r="T567" s="825"/>
      <c r="U567" s="825"/>
      <c r="V567" s="825"/>
      <c r="W567" s="825"/>
      <c r="X567" s="825"/>
      <c r="Y567" s="825"/>
      <c r="Z567" s="825"/>
      <c r="AA567" s="825"/>
      <c r="AB567" s="825"/>
      <c r="AC567" s="825"/>
    </row>
    <row r="568" spans="1:29" ht="15.8" customHeight="1" x14ac:dyDescent="0.3">
      <c r="A568" s="825"/>
      <c r="C568" s="825"/>
      <c r="D568" s="21"/>
      <c r="E568" s="17"/>
      <c r="F568" s="825"/>
      <c r="G568" s="825"/>
      <c r="H568" s="21"/>
      <c r="I568" s="825"/>
      <c r="J568" s="825"/>
      <c r="M568" s="825"/>
      <c r="N568" s="825"/>
      <c r="O568" s="825"/>
      <c r="P568" s="825"/>
      <c r="Q568" s="825"/>
      <c r="R568" s="825"/>
      <c r="S568" s="825"/>
      <c r="T568" s="825"/>
      <c r="U568" s="825"/>
      <c r="V568" s="825"/>
      <c r="W568" s="825"/>
      <c r="X568" s="825"/>
      <c r="Y568" s="825"/>
      <c r="Z568" s="825"/>
      <c r="AA568" s="825"/>
      <c r="AB568" s="825"/>
      <c r="AC568" s="825"/>
    </row>
    <row r="569" spans="1:29" ht="15.8" customHeight="1" x14ac:dyDescent="0.3">
      <c r="A569" s="825"/>
      <c r="C569" s="825"/>
      <c r="D569" s="21"/>
      <c r="E569" s="17"/>
      <c r="F569" s="825"/>
      <c r="G569" s="825"/>
      <c r="H569" s="21"/>
      <c r="I569" s="825"/>
      <c r="J569" s="825"/>
      <c r="M569" s="825"/>
      <c r="N569" s="825"/>
      <c r="O569" s="825"/>
      <c r="P569" s="825"/>
      <c r="Q569" s="825"/>
      <c r="R569" s="825"/>
      <c r="S569" s="825"/>
      <c r="T569" s="825"/>
      <c r="U569" s="825"/>
      <c r="V569" s="825"/>
      <c r="W569" s="825"/>
      <c r="X569" s="825"/>
      <c r="Y569" s="825"/>
      <c r="Z569" s="825"/>
      <c r="AA569" s="825"/>
      <c r="AB569" s="825"/>
      <c r="AC569" s="825"/>
    </row>
    <row r="570" spans="1:29" ht="15.8" customHeight="1" x14ac:dyDescent="0.3">
      <c r="A570" s="825"/>
      <c r="C570" s="825"/>
      <c r="D570" s="21"/>
      <c r="E570" s="17"/>
      <c r="F570" s="825"/>
      <c r="G570" s="825"/>
      <c r="H570" s="21"/>
      <c r="I570" s="825"/>
      <c r="J570" s="825"/>
      <c r="M570" s="825"/>
      <c r="N570" s="825"/>
      <c r="O570" s="825"/>
      <c r="P570" s="825"/>
      <c r="Q570" s="825"/>
      <c r="R570" s="825"/>
      <c r="S570" s="825"/>
      <c r="T570" s="825"/>
      <c r="U570" s="825"/>
      <c r="V570" s="825"/>
      <c r="W570" s="825"/>
      <c r="X570" s="825"/>
      <c r="Y570" s="825"/>
      <c r="Z570" s="825"/>
      <c r="AA570" s="825"/>
      <c r="AB570" s="825"/>
      <c r="AC570" s="825"/>
    </row>
    <row r="571" spans="1:29" ht="15.8" customHeight="1" x14ac:dyDescent="0.3">
      <c r="A571" s="825"/>
      <c r="C571" s="825"/>
      <c r="D571" s="21"/>
      <c r="E571" s="17"/>
      <c r="F571" s="825"/>
      <c r="G571" s="825"/>
      <c r="H571" s="21"/>
      <c r="I571" s="825"/>
      <c r="J571" s="825"/>
      <c r="M571" s="825"/>
      <c r="N571" s="825"/>
      <c r="O571" s="825"/>
      <c r="P571" s="825"/>
      <c r="Q571" s="825"/>
      <c r="R571" s="825"/>
      <c r="S571" s="825"/>
      <c r="T571" s="825"/>
      <c r="U571" s="825"/>
      <c r="V571" s="825"/>
      <c r="W571" s="825"/>
      <c r="X571" s="825"/>
      <c r="Y571" s="825"/>
      <c r="Z571" s="825"/>
      <c r="AA571" s="825"/>
      <c r="AB571" s="825"/>
      <c r="AC571" s="825"/>
    </row>
    <row r="572" spans="1:29" ht="15.8" customHeight="1" x14ac:dyDescent="0.3">
      <c r="A572" s="825"/>
      <c r="C572" s="825"/>
      <c r="D572" s="21"/>
      <c r="E572" s="17"/>
      <c r="F572" s="825"/>
      <c r="G572" s="825"/>
      <c r="H572" s="21"/>
      <c r="I572" s="825"/>
      <c r="J572" s="825"/>
      <c r="M572" s="825"/>
      <c r="N572" s="825"/>
      <c r="O572" s="825"/>
      <c r="P572" s="825"/>
      <c r="Q572" s="825"/>
      <c r="R572" s="825"/>
      <c r="S572" s="825"/>
      <c r="T572" s="825"/>
      <c r="U572" s="825"/>
      <c r="V572" s="825"/>
      <c r="W572" s="825"/>
      <c r="X572" s="825"/>
      <c r="Y572" s="825"/>
      <c r="Z572" s="825"/>
      <c r="AA572" s="825"/>
      <c r="AB572" s="825"/>
      <c r="AC572" s="825"/>
    </row>
    <row r="573" spans="1:29" ht="15.8" customHeight="1" x14ac:dyDescent="0.3">
      <c r="A573" s="825"/>
      <c r="C573" s="825"/>
      <c r="D573" s="21"/>
      <c r="E573" s="17"/>
      <c r="F573" s="825"/>
      <c r="G573" s="825"/>
      <c r="H573" s="21"/>
      <c r="I573" s="825"/>
      <c r="J573" s="825"/>
      <c r="M573" s="825"/>
      <c r="N573" s="825"/>
      <c r="O573" s="825"/>
      <c r="P573" s="825"/>
      <c r="Q573" s="825"/>
      <c r="R573" s="825"/>
      <c r="S573" s="825"/>
      <c r="T573" s="825"/>
      <c r="U573" s="825"/>
      <c r="V573" s="825"/>
      <c r="W573" s="825"/>
      <c r="X573" s="825"/>
      <c r="Y573" s="825"/>
      <c r="Z573" s="825"/>
      <c r="AA573" s="825"/>
      <c r="AB573" s="825"/>
      <c r="AC573" s="825"/>
    </row>
    <row r="574" spans="1:29" ht="15.8" customHeight="1" x14ac:dyDescent="0.3">
      <c r="A574" s="825"/>
      <c r="C574" s="825"/>
      <c r="D574" s="21"/>
      <c r="E574" s="17"/>
      <c r="F574" s="825"/>
      <c r="G574" s="825"/>
      <c r="H574" s="21"/>
      <c r="I574" s="825"/>
      <c r="J574" s="825"/>
      <c r="M574" s="825"/>
      <c r="N574" s="825"/>
      <c r="O574" s="825"/>
      <c r="P574" s="825"/>
      <c r="Q574" s="825"/>
      <c r="R574" s="825"/>
      <c r="S574" s="825"/>
      <c r="T574" s="825"/>
      <c r="U574" s="825"/>
      <c r="V574" s="825"/>
      <c r="W574" s="825"/>
      <c r="X574" s="825"/>
      <c r="Y574" s="825"/>
      <c r="Z574" s="825"/>
      <c r="AA574" s="825"/>
      <c r="AB574" s="825"/>
      <c r="AC574" s="825"/>
    </row>
    <row r="575" spans="1:29" ht="15.8" customHeight="1" x14ac:dyDescent="0.3">
      <c r="A575" s="825"/>
      <c r="C575" s="825"/>
      <c r="D575" s="21"/>
      <c r="E575" s="17"/>
      <c r="F575" s="825"/>
      <c r="G575" s="825"/>
      <c r="H575" s="21"/>
      <c r="I575" s="825"/>
      <c r="J575" s="825"/>
      <c r="M575" s="825"/>
      <c r="N575" s="825"/>
      <c r="O575" s="825"/>
      <c r="P575" s="825"/>
      <c r="Q575" s="825"/>
      <c r="R575" s="825"/>
      <c r="S575" s="825"/>
      <c r="T575" s="825"/>
      <c r="U575" s="825"/>
      <c r="V575" s="825"/>
      <c r="W575" s="825"/>
      <c r="X575" s="825"/>
      <c r="Y575" s="825"/>
      <c r="Z575" s="825"/>
      <c r="AA575" s="825"/>
      <c r="AB575" s="825"/>
      <c r="AC575" s="825"/>
    </row>
    <row r="576" spans="1:29" ht="15.8" customHeight="1" x14ac:dyDescent="0.3">
      <c r="A576" s="825"/>
      <c r="C576" s="825"/>
      <c r="D576" s="21"/>
      <c r="E576" s="17"/>
      <c r="F576" s="825"/>
      <c r="G576" s="825"/>
      <c r="H576" s="21"/>
      <c r="I576" s="825"/>
      <c r="J576" s="825"/>
      <c r="M576" s="825"/>
      <c r="N576" s="825"/>
      <c r="O576" s="825"/>
      <c r="P576" s="825"/>
      <c r="Q576" s="825"/>
      <c r="R576" s="825"/>
      <c r="S576" s="825"/>
      <c r="T576" s="825"/>
      <c r="U576" s="825"/>
      <c r="V576" s="825"/>
      <c r="W576" s="825"/>
      <c r="X576" s="825"/>
      <c r="Y576" s="825"/>
      <c r="Z576" s="825"/>
      <c r="AA576" s="825"/>
      <c r="AB576" s="825"/>
      <c r="AC576" s="825"/>
    </row>
    <row r="577" spans="1:29" ht="15.8" customHeight="1" x14ac:dyDescent="0.3">
      <c r="A577" s="825"/>
      <c r="C577" s="825"/>
      <c r="D577" s="21"/>
      <c r="E577" s="17"/>
      <c r="F577" s="825"/>
      <c r="G577" s="825"/>
      <c r="H577" s="21"/>
      <c r="I577" s="825"/>
      <c r="J577" s="825"/>
      <c r="M577" s="825"/>
      <c r="N577" s="825"/>
      <c r="O577" s="825"/>
      <c r="P577" s="825"/>
      <c r="Q577" s="825"/>
      <c r="R577" s="825"/>
      <c r="S577" s="825"/>
      <c r="T577" s="825"/>
      <c r="U577" s="825"/>
      <c r="V577" s="825"/>
      <c r="W577" s="825"/>
      <c r="X577" s="825"/>
      <c r="Y577" s="825"/>
      <c r="Z577" s="825"/>
      <c r="AA577" s="825"/>
      <c r="AB577" s="825"/>
      <c r="AC577" s="825"/>
    </row>
    <row r="578" spans="1:29" ht="15.8" customHeight="1" x14ac:dyDescent="0.3">
      <c r="A578" s="825"/>
      <c r="C578" s="825"/>
      <c r="D578" s="21"/>
      <c r="E578" s="17"/>
      <c r="F578" s="825"/>
      <c r="G578" s="825"/>
      <c r="H578" s="21"/>
      <c r="I578" s="825"/>
      <c r="J578" s="825"/>
      <c r="M578" s="825"/>
      <c r="N578" s="825"/>
      <c r="O578" s="825"/>
      <c r="P578" s="825"/>
      <c r="Q578" s="825"/>
      <c r="R578" s="825"/>
      <c r="S578" s="825"/>
      <c r="T578" s="825"/>
      <c r="U578" s="825"/>
      <c r="V578" s="825"/>
      <c r="W578" s="825"/>
      <c r="X578" s="825"/>
      <c r="Y578" s="825"/>
      <c r="Z578" s="825"/>
      <c r="AA578" s="825"/>
      <c r="AB578" s="825"/>
      <c r="AC578" s="825"/>
    </row>
    <row r="579" spans="1:29" ht="15.8" customHeight="1" x14ac:dyDescent="0.3">
      <c r="A579" s="825"/>
      <c r="C579" s="825"/>
      <c r="D579" s="21"/>
      <c r="E579" s="17"/>
      <c r="F579" s="825"/>
      <c r="G579" s="825"/>
      <c r="H579" s="21"/>
      <c r="I579" s="825"/>
      <c r="J579" s="825"/>
      <c r="M579" s="825"/>
      <c r="N579" s="825"/>
      <c r="O579" s="825"/>
      <c r="P579" s="825"/>
      <c r="Q579" s="825"/>
      <c r="R579" s="825"/>
      <c r="S579" s="825"/>
      <c r="T579" s="825"/>
      <c r="U579" s="825"/>
      <c r="V579" s="825"/>
      <c r="W579" s="825"/>
      <c r="X579" s="825"/>
      <c r="Y579" s="825"/>
      <c r="Z579" s="825"/>
      <c r="AA579" s="825"/>
      <c r="AB579" s="825"/>
      <c r="AC579" s="825"/>
    </row>
    <row r="580" spans="1:29" ht="15.8" customHeight="1" x14ac:dyDescent="0.3">
      <c r="A580" s="825"/>
      <c r="C580" s="825"/>
      <c r="D580" s="21"/>
      <c r="E580" s="17"/>
      <c r="F580" s="825"/>
      <c r="G580" s="825"/>
      <c r="H580" s="21"/>
      <c r="I580" s="825"/>
      <c r="J580" s="825"/>
      <c r="M580" s="825"/>
      <c r="N580" s="825"/>
      <c r="O580" s="825"/>
      <c r="P580" s="825"/>
      <c r="Q580" s="825"/>
      <c r="R580" s="825"/>
      <c r="S580" s="825"/>
      <c r="T580" s="825"/>
      <c r="U580" s="825"/>
      <c r="V580" s="825"/>
      <c r="W580" s="825"/>
      <c r="X580" s="825"/>
      <c r="Y580" s="825"/>
      <c r="Z580" s="825"/>
      <c r="AA580" s="825"/>
      <c r="AB580" s="825"/>
      <c r="AC580" s="825"/>
    </row>
    <row r="581" spans="1:29" ht="15.8" customHeight="1" x14ac:dyDescent="0.3">
      <c r="A581" s="825"/>
      <c r="C581" s="825"/>
      <c r="D581" s="21"/>
      <c r="E581" s="17"/>
      <c r="F581" s="825"/>
      <c r="G581" s="825"/>
      <c r="H581" s="21"/>
      <c r="I581" s="825"/>
      <c r="J581" s="825"/>
      <c r="M581" s="825"/>
      <c r="N581" s="825"/>
      <c r="O581" s="825"/>
      <c r="P581" s="825"/>
      <c r="Q581" s="825"/>
      <c r="R581" s="825"/>
      <c r="S581" s="825"/>
      <c r="T581" s="825"/>
      <c r="U581" s="825"/>
      <c r="V581" s="825"/>
      <c r="W581" s="825"/>
      <c r="X581" s="825"/>
      <c r="Y581" s="825"/>
      <c r="Z581" s="825"/>
      <c r="AA581" s="825"/>
      <c r="AB581" s="825"/>
      <c r="AC581" s="825"/>
    </row>
    <row r="582" spans="1:29" ht="15.8" customHeight="1" x14ac:dyDescent="0.3">
      <c r="A582" s="825"/>
      <c r="C582" s="825"/>
      <c r="D582" s="21"/>
      <c r="E582" s="17"/>
      <c r="F582" s="825"/>
      <c r="G582" s="825"/>
      <c r="H582" s="21"/>
      <c r="I582" s="825"/>
      <c r="J582" s="825"/>
      <c r="M582" s="825"/>
      <c r="N582" s="825"/>
      <c r="O582" s="825"/>
      <c r="P582" s="825"/>
      <c r="Q582" s="825"/>
      <c r="R582" s="825"/>
      <c r="S582" s="825"/>
      <c r="T582" s="825"/>
      <c r="U582" s="825"/>
      <c r="V582" s="825"/>
      <c r="W582" s="825"/>
      <c r="X582" s="825"/>
      <c r="Y582" s="825"/>
      <c r="Z582" s="825"/>
      <c r="AA582" s="825"/>
      <c r="AB582" s="825"/>
      <c r="AC582" s="825"/>
    </row>
    <row r="583" spans="1:29" ht="15.8" customHeight="1" x14ac:dyDescent="0.3">
      <c r="A583" s="825"/>
      <c r="C583" s="825"/>
      <c r="D583" s="21"/>
      <c r="E583" s="17"/>
      <c r="F583" s="825"/>
      <c r="G583" s="825"/>
      <c r="H583" s="21"/>
      <c r="I583" s="825"/>
      <c r="J583" s="825"/>
      <c r="M583" s="825"/>
      <c r="N583" s="825"/>
      <c r="O583" s="825"/>
      <c r="P583" s="825"/>
      <c r="Q583" s="825"/>
      <c r="R583" s="825"/>
      <c r="S583" s="825"/>
      <c r="T583" s="825"/>
      <c r="U583" s="825"/>
      <c r="V583" s="825"/>
      <c r="W583" s="825"/>
      <c r="X583" s="825"/>
      <c r="Y583" s="825"/>
      <c r="Z583" s="825"/>
      <c r="AA583" s="825"/>
      <c r="AB583" s="825"/>
      <c r="AC583" s="825"/>
    </row>
    <row r="584" spans="1:29" ht="15.8" customHeight="1" x14ac:dyDescent="0.3">
      <c r="A584" s="825"/>
      <c r="C584" s="825"/>
      <c r="D584" s="21"/>
      <c r="E584" s="17"/>
      <c r="F584" s="825"/>
      <c r="G584" s="825"/>
      <c r="H584" s="21"/>
      <c r="I584" s="825"/>
      <c r="J584" s="825"/>
      <c r="M584" s="825"/>
      <c r="N584" s="825"/>
      <c r="O584" s="825"/>
      <c r="P584" s="825"/>
      <c r="Q584" s="825"/>
      <c r="R584" s="825"/>
      <c r="S584" s="825"/>
      <c r="T584" s="825"/>
      <c r="U584" s="825"/>
      <c r="V584" s="825"/>
      <c r="W584" s="825"/>
      <c r="X584" s="825"/>
      <c r="Y584" s="825"/>
      <c r="Z584" s="825"/>
      <c r="AA584" s="825"/>
      <c r="AB584" s="825"/>
      <c r="AC584" s="825"/>
    </row>
    <row r="585" spans="1:29" ht="15.8" customHeight="1" x14ac:dyDescent="0.3">
      <c r="A585" s="825"/>
      <c r="C585" s="825"/>
      <c r="D585" s="21"/>
      <c r="E585" s="17"/>
      <c r="F585" s="825"/>
      <c r="G585" s="825"/>
      <c r="H585" s="21"/>
      <c r="I585" s="825"/>
      <c r="J585" s="825"/>
      <c r="M585" s="825"/>
      <c r="N585" s="825"/>
      <c r="O585" s="825"/>
      <c r="P585" s="825"/>
      <c r="Q585" s="825"/>
      <c r="R585" s="825"/>
      <c r="S585" s="825"/>
      <c r="T585" s="825"/>
      <c r="U585" s="825"/>
      <c r="V585" s="825"/>
      <c r="W585" s="825"/>
      <c r="X585" s="825"/>
      <c r="Y585" s="825"/>
      <c r="Z585" s="825"/>
      <c r="AA585" s="825"/>
      <c r="AB585" s="825"/>
      <c r="AC585" s="825"/>
    </row>
    <row r="586" spans="1:29" ht="15.8" customHeight="1" x14ac:dyDescent="0.3">
      <c r="A586" s="825"/>
      <c r="C586" s="825"/>
      <c r="D586" s="21"/>
      <c r="E586" s="17"/>
      <c r="F586" s="825"/>
      <c r="G586" s="825"/>
      <c r="H586" s="21"/>
      <c r="I586" s="825"/>
      <c r="J586" s="825"/>
      <c r="M586" s="825"/>
      <c r="N586" s="825"/>
      <c r="O586" s="825"/>
      <c r="P586" s="825"/>
      <c r="Q586" s="825"/>
      <c r="R586" s="825"/>
      <c r="S586" s="825"/>
      <c r="T586" s="825"/>
      <c r="U586" s="825"/>
      <c r="V586" s="825"/>
      <c r="W586" s="825"/>
      <c r="X586" s="825"/>
      <c r="Y586" s="825"/>
      <c r="Z586" s="825"/>
      <c r="AA586" s="825"/>
      <c r="AB586" s="825"/>
      <c r="AC586" s="825"/>
    </row>
    <row r="587" spans="1:29" ht="15.8" customHeight="1" x14ac:dyDescent="0.3">
      <c r="A587" s="825"/>
      <c r="C587" s="825"/>
      <c r="D587" s="21"/>
      <c r="E587" s="17"/>
      <c r="F587" s="825"/>
      <c r="G587" s="825"/>
      <c r="H587" s="21"/>
      <c r="I587" s="825"/>
      <c r="J587" s="825"/>
      <c r="M587" s="825"/>
      <c r="N587" s="825"/>
      <c r="O587" s="825"/>
      <c r="P587" s="825"/>
      <c r="Q587" s="825"/>
      <c r="R587" s="825"/>
      <c r="S587" s="825"/>
      <c r="T587" s="825"/>
      <c r="U587" s="825"/>
      <c r="V587" s="825"/>
      <c r="W587" s="825"/>
      <c r="X587" s="825"/>
      <c r="Y587" s="825"/>
      <c r="Z587" s="825"/>
      <c r="AA587" s="825"/>
      <c r="AB587" s="825"/>
      <c r="AC587" s="825"/>
    </row>
    <row r="588" spans="1:29" ht="15.8" customHeight="1" x14ac:dyDescent="0.3">
      <c r="A588" s="825"/>
      <c r="C588" s="825"/>
      <c r="D588" s="21"/>
      <c r="E588" s="17"/>
      <c r="F588" s="825"/>
      <c r="G588" s="825"/>
      <c r="H588" s="21"/>
      <c r="I588" s="825"/>
      <c r="J588" s="825"/>
      <c r="M588" s="825"/>
      <c r="N588" s="825"/>
      <c r="O588" s="825"/>
      <c r="P588" s="825"/>
      <c r="Q588" s="825"/>
      <c r="R588" s="825"/>
      <c r="S588" s="825"/>
      <c r="T588" s="825"/>
      <c r="U588" s="825"/>
      <c r="V588" s="825"/>
      <c r="W588" s="825"/>
      <c r="X588" s="825"/>
      <c r="Y588" s="825"/>
      <c r="Z588" s="825"/>
      <c r="AA588" s="825"/>
      <c r="AB588" s="825"/>
      <c r="AC588" s="825"/>
    </row>
    <row r="589" spans="1:29" ht="15.8" customHeight="1" x14ac:dyDescent="0.3">
      <c r="A589" s="825"/>
      <c r="C589" s="825"/>
      <c r="D589" s="21"/>
      <c r="E589" s="17"/>
      <c r="F589" s="825"/>
      <c r="G589" s="825"/>
      <c r="H589" s="21"/>
      <c r="I589" s="825"/>
      <c r="J589" s="825"/>
      <c r="M589" s="825"/>
      <c r="N589" s="825"/>
      <c r="O589" s="825"/>
      <c r="P589" s="825"/>
      <c r="Q589" s="825"/>
      <c r="R589" s="825"/>
      <c r="S589" s="825"/>
      <c r="T589" s="825"/>
      <c r="U589" s="825"/>
      <c r="V589" s="825"/>
      <c r="W589" s="825"/>
      <c r="X589" s="825"/>
      <c r="Y589" s="825"/>
      <c r="Z589" s="825"/>
      <c r="AA589" s="825"/>
      <c r="AB589" s="825"/>
      <c r="AC589" s="825"/>
    </row>
    <row r="590" spans="1:29" ht="15.8" customHeight="1" x14ac:dyDescent="0.3">
      <c r="A590" s="825"/>
      <c r="C590" s="825"/>
      <c r="D590" s="21"/>
      <c r="E590" s="17"/>
      <c r="F590" s="825"/>
      <c r="G590" s="825"/>
      <c r="H590" s="21"/>
      <c r="I590" s="825"/>
      <c r="J590" s="825"/>
      <c r="M590" s="825"/>
      <c r="N590" s="825"/>
      <c r="O590" s="825"/>
      <c r="P590" s="825"/>
      <c r="Q590" s="825"/>
      <c r="R590" s="825"/>
      <c r="S590" s="825"/>
      <c r="T590" s="825"/>
      <c r="U590" s="825"/>
      <c r="V590" s="825"/>
      <c r="W590" s="825"/>
      <c r="X590" s="825"/>
      <c r="Y590" s="825"/>
      <c r="Z590" s="825"/>
      <c r="AA590" s="825"/>
      <c r="AB590" s="825"/>
      <c r="AC590" s="825"/>
    </row>
    <row r="591" spans="1:29" ht="15.8" customHeight="1" x14ac:dyDescent="0.3">
      <c r="A591" s="825"/>
      <c r="C591" s="825"/>
      <c r="D591" s="21"/>
      <c r="E591" s="17"/>
      <c r="F591" s="825"/>
      <c r="G591" s="825"/>
      <c r="H591" s="21"/>
      <c r="I591" s="825"/>
      <c r="J591" s="825"/>
      <c r="M591" s="825"/>
      <c r="N591" s="825"/>
      <c r="O591" s="825"/>
      <c r="P591" s="825"/>
      <c r="Q591" s="825"/>
      <c r="R591" s="825"/>
      <c r="S591" s="825"/>
      <c r="T591" s="825"/>
      <c r="U591" s="825"/>
      <c r="V591" s="825"/>
      <c r="W591" s="825"/>
      <c r="X591" s="825"/>
      <c r="Y591" s="825"/>
      <c r="Z591" s="825"/>
      <c r="AA591" s="825"/>
      <c r="AB591" s="825"/>
      <c r="AC591" s="825"/>
    </row>
    <row r="592" spans="1:29" ht="15.8" customHeight="1" x14ac:dyDescent="0.3">
      <c r="A592" s="825"/>
      <c r="C592" s="825"/>
      <c r="D592" s="21"/>
      <c r="E592" s="17"/>
      <c r="F592" s="825"/>
      <c r="G592" s="825"/>
      <c r="H592" s="21"/>
      <c r="I592" s="825"/>
      <c r="J592" s="825"/>
      <c r="M592" s="825"/>
      <c r="N592" s="825"/>
      <c r="O592" s="825"/>
      <c r="P592" s="825"/>
      <c r="Q592" s="825"/>
      <c r="R592" s="825"/>
      <c r="S592" s="825"/>
      <c r="T592" s="825"/>
      <c r="U592" s="825"/>
      <c r="V592" s="825"/>
      <c r="W592" s="825"/>
      <c r="X592" s="825"/>
      <c r="Y592" s="825"/>
      <c r="Z592" s="825"/>
      <c r="AA592" s="825"/>
      <c r="AB592" s="825"/>
      <c r="AC592" s="825"/>
    </row>
    <row r="593" spans="1:29" ht="15.8" customHeight="1" x14ac:dyDescent="0.3">
      <c r="A593" s="825"/>
      <c r="C593" s="825"/>
      <c r="D593" s="21"/>
      <c r="E593" s="17"/>
      <c r="F593" s="825"/>
      <c r="G593" s="825"/>
      <c r="H593" s="21"/>
      <c r="I593" s="825"/>
      <c r="J593" s="825"/>
      <c r="M593" s="825"/>
      <c r="N593" s="825"/>
      <c r="O593" s="825"/>
      <c r="P593" s="825"/>
      <c r="Q593" s="825"/>
      <c r="R593" s="825"/>
      <c r="S593" s="825"/>
      <c r="T593" s="825"/>
      <c r="U593" s="825"/>
      <c r="V593" s="825"/>
      <c r="W593" s="825"/>
      <c r="X593" s="825"/>
      <c r="Y593" s="825"/>
      <c r="Z593" s="825"/>
      <c r="AA593" s="825"/>
      <c r="AB593" s="825"/>
      <c r="AC593" s="825"/>
    </row>
    <row r="594" spans="1:29" ht="15.8" customHeight="1" x14ac:dyDescent="0.3">
      <c r="A594" s="825"/>
      <c r="C594" s="825"/>
      <c r="D594" s="21"/>
      <c r="E594" s="17"/>
      <c r="F594" s="825"/>
      <c r="G594" s="825"/>
      <c r="H594" s="21"/>
      <c r="I594" s="825"/>
      <c r="J594" s="825"/>
      <c r="M594" s="825"/>
      <c r="N594" s="825"/>
      <c r="O594" s="825"/>
      <c r="P594" s="825"/>
      <c r="Q594" s="825"/>
      <c r="R594" s="825"/>
      <c r="S594" s="825"/>
      <c r="T594" s="825"/>
      <c r="U594" s="825"/>
      <c r="V594" s="825"/>
      <c r="W594" s="825"/>
      <c r="X594" s="825"/>
      <c r="Y594" s="825"/>
      <c r="Z594" s="825"/>
      <c r="AA594" s="825"/>
      <c r="AB594" s="825"/>
      <c r="AC594" s="825"/>
    </row>
    <row r="595" spans="1:29" ht="15.8" customHeight="1" x14ac:dyDescent="0.3">
      <c r="A595" s="825"/>
      <c r="C595" s="825"/>
      <c r="D595" s="21"/>
      <c r="E595" s="17"/>
      <c r="F595" s="825"/>
      <c r="G595" s="825"/>
      <c r="H595" s="21"/>
      <c r="I595" s="825"/>
      <c r="J595" s="825"/>
      <c r="M595" s="825"/>
      <c r="N595" s="825"/>
      <c r="O595" s="825"/>
      <c r="P595" s="825"/>
      <c r="Q595" s="825"/>
      <c r="R595" s="825"/>
      <c r="S595" s="825"/>
      <c r="T595" s="825"/>
      <c r="U595" s="825"/>
      <c r="V595" s="825"/>
      <c r="W595" s="825"/>
      <c r="X595" s="825"/>
      <c r="Y595" s="825"/>
      <c r="Z595" s="825"/>
      <c r="AA595" s="825"/>
      <c r="AB595" s="825"/>
      <c r="AC595" s="825"/>
    </row>
    <row r="596" spans="1:29" ht="15.8" customHeight="1" x14ac:dyDescent="0.3">
      <c r="A596" s="825"/>
      <c r="C596" s="825"/>
      <c r="D596" s="21"/>
      <c r="E596" s="17"/>
      <c r="F596" s="825"/>
      <c r="G596" s="825"/>
      <c r="H596" s="21"/>
      <c r="I596" s="825"/>
      <c r="J596" s="825"/>
      <c r="M596" s="825"/>
      <c r="N596" s="825"/>
      <c r="O596" s="825"/>
      <c r="P596" s="825"/>
      <c r="Q596" s="825"/>
      <c r="R596" s="825"/>
      <c r="S596" s="825"/>
      <c r="T596" s="825"/>
      <c r="U596" s="825"/>
      <c r="V596" s="825"/>
      <c r="W596" s="825"/>
      <c r="X596" s="825"/>
      <c r="Y596" s="825"/>
      <c r="Z596" s="825"/>
      <c r="AA596" s="825"/>
      <c r="AB596" s="825"/>
      <c r="AC596" s="825"/>
    </row>
    <row r="597" spans="1:29" ht="15.8" customHeight="1" x14ac:dyDescent="0.3">
      <c r="A597" s="825"/>
      <c r="C597" s="825"/>
      <c r="D597" s="21"/>
      <c r="E597" s="17"/>
      <c r="F597" s="825"/>
      <c r="G597" s="825"/>
      <c r="H597" s="21"/>
      <c r="I597" s="825"/>
      <c r="J597" s="825"/>
      <c r="M597" s="825"/>
      <c r="N597" s="825"/>
      <c r="O597" s="825"/>
      <c r="P597" s="825"/>
      <c r="Q597" s="825"/>
      <c r="R597" s="825"/>
      <c r="S597" s="825"/>
      <c r="T597" s="825"/>
      <c r="U597" s="825"/>
      <c r="V597" s="825"/>
      <c r="W597" s="825"/>
      <c r="X597" s="825"/>
      <c r="Y597" s="825"/>
      <c r="Z597" s="825"/>
      <c r="AA597" s="825"/>
      <c r="AB597" s="825"/>
      <c r="AC597" s="825"/>
    </row>
    <row r="598" spans="1:29" ht="15.8" customHeight="1" x14ac:dyDescent="0.3">
      <c r="A598" s="825"/>
      <c r="C598" s="825"/>
      <c r="D598" s="21"/>
      <c r="E598" s="17"/>
      <c r="F598" s="825"/>
      <c r="G598" s="825"/>
      <c r="H598" s="21"/>
      <c r="I598" s="825"/>
      <c r="J598" s="825"/>
      <c r="M598" s="825"/>
      <c r="N598" s="825"/>
      <c r="O598" s="825"/>
      <c r="P598" s="825"/>
      <c r="Q598" s="825"/>
      <c r="R598" s="825"/>
      <c r="S598" s="825"/>
      <c r="T598" s="825"/>
      <c r="U598" s="825"/>
      <c r="V598" s="825"/>
      <c r="W598" s="825"/>
      <c r="X598" s="825"/>
      <c r="Y598" s="825"/>
      <c r="Z598" s="825"/>
      <c r="AA598" s="825"/>
      <c r="AB598" s="825"/>
      <c r="AC598" s="825"/>
    </row>
    <row r="599" spans="1:29" ht="15.8" customHeight="1" x14ac:dyDescent="0.3">
      <c r="A599" s="825"/>
      <c r="C599" s="825"/>
      <c r="D599" s="21"/>
      <c r="E599" s="17"/>
      <c r="F599" s="825"/>
      <c r="G599" s="825"/>
      <c r="H599" s="21"/>
      <c r="I599" s="825"/>
      <c r="J599" s="825"/>
      <c r="M599" s="825"/>
      <c r="N599" s="825"/>
      <c r="O599" s="825"/>
      <c r="P599" s="825"/>
      <c r="Q599" s="825"/>
      <c r="R599" s="825"/>
      <c r="S599" s="825"/>
      <c r="T599" s="825"/>
      <c r="U599" s="825"/>
      <c r="V599" s="825"/>
      <c r="W599" s="825"/>
      <c r="X599" s="825"/>
      <c r="Y599" s="825"/>
      <c r="Z599" s="825"/>
      <c r="AA599" s="825"/>
      <c r="AB599" s="825"/>
      <c r="AC599" s="825"/>
    </row>
    <row r="600" spans="1:29" ht="15.8" customHeight="1" x14ac:dyDescent="0.3">
      <c r="A600" s="825"/>
      <c r="C600" s="825"/>
      <c r="D600" s="21"/>
      <c r="E600" s="17"/>
      <c r="F600" s="825"/>
      <c r="G600" s="825"/>
      <c r="H600" s="21"/>
      <c r="I600" s="825"/>
      <c r="J600" s="825"/>
      <c r="M600" s="825"/>
      <c r="N600" s="825"/>
      <c r="O600" s="825"/>
      <c r="P600" s="825"/>
      <c r="Q600" s="825"/>
      <c r="R600" s="825"/>
      <c r="S600" s="825"/>
      <c r="T600" s="825"/>
      <c r="U600" s="825"/>
      <c r="V600" s="825"/>
      <c r="W600" s="825"/>
      <c r="X600" s="825"/>
      <c r="Y600" s="825"/>
      <c r="Z600" s="825"/>
      <c r="AA600" s="825"/>
      <c r="AB600" s="825"/>
      <c r="AC600" s="825"/>
    </row>
    <row r="601" spans="1:29" ht="15.8" customHeight="1" x14ac:dyDescent="0.3">
      <c r="A601" s="825"/>
      <c r="C601" s="825"/>
      <c r="D601" s="21"/>
      <c r="E601" s="17"/>
      <c r="F601" s="825"/>
      <c r="G601" s="825"/>
      <c r="H601" s="21"/>
      <c r="I601" s="825"/>
      <c r="J601" s="825"/>
      <c r="M601" s="825"/>
      <c r="N601" s="825"/>
      <c r="O601" s="825"/>
      <c r="P601" s="825"/>
      <c r="Q601" s="825"/>
      <c r="R601" s="825"/>
      <c r="S601" s="825"/>
      <c r="T601" s="825"/>
      <c r="U601" s="825"/>
      <c r="V601" s="825"/>
      <c r="W601" s="825"/>
      <c r="X601" s="825"/>
      <c r="Y601" s="825"/>
      <c r="Z601" s="825"/>
      <c r="AA601" s="825"/>
      <c r="AB601" s="825"/>
      <c r="AC601" s="825"/>
    </row>
    <row r="602" spans="1:29" ht="15.8" customHeight="1" x14ac:dyDescent="0.3">
      <c r="A602" s="825"/>
      <c r="C602" s="825"/>
      <c r="D602" s="21"/>
      <c r="E602" s="17"/>
      <c r="F602" s="825"/>
      <c r="G602" s="825"/>
      <c r="H602" s="21"/>
      <c r="I602" s="825"/>
      <c r="J602" s="825"/>
      <c r="M602" s="825"/>
      <c r="N602" s="825"/>
      <c r="O602" s="825"/>
      <c r="P602" s="825"/>
      <c r="Q602" s="825"/>
      <c r="R602" s="825"/>
      <c r="S602" s="825"/>
      <c r="T602" s="825"/>
      <c r="U602" s="825"/>
      <c r="V602" s="825"/>
      <c r="W602" s="825"/>
      <c r="X602" s="825"/>
      <c r="Y602" s="825"/>
      <c r="Z602" s="825"/>
      <c r="AA602" s="825"/>
      <c r="AB602" s="825"/>
      <c r="AC602" s="825"/>
    </row>
    <row r="603" spans="1:29" ht="15.8" customHeight="1" x14ac:dyDescent="0.3">
      <c r="A603" s="825"/>
      <c r="C603" s="825"/>
      <c r="D603" s="21"/>
      <c r="E603" s="17"/>
      <c r="F603" s="825"/>
      <c r="G603" s="825"/>
      <c r="H603" s="21"/>
      <c r="I603" s="825"/>
      <c r="J603" s="825"/>
      <c r="M603" s="825"/>
      <c r="N603" s="825"/>
      <c r="O603" s="825"/>
      <c r="P603" s="825"/>
      <c r="Q603" s="825"/>
      <c r="R603" s="825"/>
      <c r="S603" s="825"/>
      <c r="T603" s="825"/>
      <c r="U603" s="825"/>
      <c r="V603" s="825"/>
      <c r="W603" s="825"/>
      <c r="X603" s="825"/>
      <c r="Y603" s="825"/>
      <c r="Z603" s="825"/>
      <c r="AA603" s="825"/>
      <c r="AB603" s="825"/>
      <c r="AC603" s="825"/>
    </row>
    <row r="604" spans="1:29" ht="15.8" customHeight="1" x14ac:dyDescent="0.3">
      <c r="A604" s="825"/>
      <c r="C604" s="825"/>
      <c r="D604" s="21"/>
      <c r="E604" s="17"/>
      <c r="F604" s="825"/>
      <c r="G604" s="825"/>
      <c r="H604" s="21"/>
      <c r="I604" s="825"/>
      <c r="J604" s="825"/>
      <c r="M604" s="825"/>
      <c r="N604" s="825"/>
      <c r="O604" s="825"/>
      <c r="P604" s="825"/>
      <c r="Q604" s="825"/>
      <c r="R604" s="825"/>
      <c r="S604" s="825"/>
      <c r="T604" s="825"/>
      <c r="U604" s="825"/>
      <c r="V604" s="825"/>
      <c r="W604" s="825"/>
      <c r="X604" s="825"/>
      <c r="Y604" s="825"/>
      <c r="Z604" s="825"/>
      <c r="AA604" s="825"/>
      <c r="AB604" s="825"/>
      <c r="AC604" s="825"/>
    </row>
    <row r="605" spans="1:29" ht="15.8" customHeight="1" x14ac:dyDescent="0.3">
      <c r="A605" s="825"/>
      <c r="C605" s="825"/>
      <c r="D605" s="21"/>
      <c r="E605" s="17"/>
      <c r="F605" s="825"/>
      <c r="G605" s="825"/>
      <c r="H605" s="21"/>
      <c r="I605" s="825"/>
      <c r="J605" s="825"/>
      <c r="M605" s="825"/>
      <c r="N605" s="825"/>
      <c r="O605" s="825"/>
      <c r="P605" s="825"/>
      <c r="Q605" s="825"/>
      <c r="R605" s="825"/>
      <c r="S605" s="825"/>
      <c r="T605" s="825"/>
      <c r="U605" s="825"/>
      <c r="V605" s="825"/>
      <c r="W605" s="825"/>
      <c r="X605" s="825"/>
      <c r="Y605" s="825"/>
      <c r="Z605" s="825"/>
      <c r="AA605" s="825"/>
      <c r="AB605" s="825"/>
      <c r="AC605" s="825"/>
    </row>
    <row r="606" spans="1:29" ht="15.8" customHeight="1" x14ac:dyDescent="0.3">
      <c r="A606" s="825"/>
      <c r="C606" s="825"/>
      <c r="D606" s="21"/>
      <c r="E606" s="17"/>
      <c r="F606" s="825"/>
      <c r="G606" s="825"/>
      <c r="H606" s="21"/>
      <c r="I606" s="825"/>
      <c r="J606" s="825"/>
      <c r="M606" s="825"/>
      <c r="N606" s="825"/>
      <c r="O606" s="825"/>
      <c r="P606" s="825"/>
      <c r="Q606" s="825"/>
      <c r="R606" s="825"/>
      <c r="S606" s="825"/>
      <c r="T606" s="825"/>
      <c r="U606" s="825"/>
      <c r="V606" s="825"/>
      <c r="W606" s="825"/>
      <c r="X606" s="825"/>
      <c r="Y606" s="825"/>
      <c r="Z606" s="825"/>
      <c r="AA606" s="825"/>
      <c r="AB606" s="825"/>
      <c r="AC606" s="825"/>
    </row>
    <row r="607" spans="1:29" ht="15.8" customHeight="1" x14ac:dyDescent="0.3">
      <c r="A607" s="825"/>
      <c r="C607" s="825"/>
      <c r="D607" s="21"/>
      <c r="E607" s="17"/>
      <c r="F607" s="825"/>
      <c r="G607" s="825"/>
      <c r="H607" s="21"/>
      <c r="I607" s="825"/>
      <c r="J607" s="825"/>
      <c r="M607" s="825"/>
      <c r="N607" s="825"/>
      <c r="O607" s="825"/>
      <c r="P607" s="825"/>
      <c r="Q607" s="825"/>
      <c r="R607" s="825"/>
      <c r="S607" s="825"/>
      <c r="T607" s="825"/>
      <c r="U607" s="825"/>
      <c r="V607" s="825"/>
      <c r="W607" s="825"/>
      <c r="X607" s="825"/>
      <c r="Y607" s="825"/>
      <c r="Z607" s="825"/>
      <c r="AA607" s="825"/>
      <c r="AB607" s="825"/>
      <c r="AC607" s="825"/>
    </row>
    <row r="608" spans="1:29" ht="15.8" customHeight="1" x14ac:dyDescent="0.3">
      <c r="A608" s="825"/>
      <c r="C608" s="825"/>
      <c r="D608" s="21"/>
      <c r="E608" s="17"/>
      <c r="F608" s="825"/>
      <c r="G608" s="825"/>
      <c r="H608" s="21"/>
      <c r="I608" s="825"/>
      <c r="J608" s="825"/>
      <c r="M608" s="825"/>
      <c r="N608" s="825"/>
      <c r="O608" s="825"/>
      <c r="P608" s="825"/>
      <c r="Q608" s="825"/>
      <c r="R608" s="825"/>
      <c r="S608" s="825"/>
      <c r="T608" s="825"/>
      <c r="U608" s="825"/>
      <c r="V608" s="825"/>
      <c r="W608" s="825"/>
      <c r="X608" s="825"/>
      <c r="Y608" s="825"/>
      <c r="Z608" s="825"/>
      <c r="AA608" s="825"/>
      <c r="AB608" s="825"/>
      <c r="AC608" s="825"/>
    </row>
    <row r="609" spans="1:29" ht="15.8" customHeight="1" x14ac:dyDescent="0.3">
      <c r="A609" s="825"/>
      <c r="C609" s="825"/>
      <c r="D609" s="21"/>
      <c r="E609" s="17"/>
      <c r="F609" s="825"/>
      <c r="G609" s="825"/>
      <c r="H609" s="21"/>
      <c r="I609" s="825"/>
      <c r="J609" s="825"/>
      <c r="M609" s="825"/>
      <c r="N609" s="825"/>
      <c r="O609" s="825"/>
      <c r="P609" s="825"/>
      <c r="Q609" s="825"/>
      <c r="R609" s="825"/>
      <c r="S609" s="825"/>
      <c r="T609" s="825"/>
      <c r="U609" s="825"/>
      <c r="V609" s="825"/>
      <c r="W609" s="825"/>
      <c r="X609" s="825"/>
      <c r="Y609" s="825"/>
      <c r="Z609" s="825"/>
      <c r="AA609" s="825"/>
      <c r="AB609" s="825"/>
      <c r="AC609" s="825"/>
    </row>
    <row r="610" spans="1:29" ht="15.8" customHeight="1" x14ac:dyDescent="0.3">
      <c r="A610" s="825"/>
      <c r="C610" s="825"/>
      <c r="D610" s="21"/>
      <c r="E610" s="17"/>
      <c r="F610" s="825"/>
      <c r="G610" s="825"/>
      <c r="H610" s="21"/>
      <c r="I610" s="825"/>
      <c r="J610" s="825"/>
      <c r="M610" s="825"/>
      <c r="N610" s="825"/>
      <c r="O610" s="825"/>
      <c r="P610" s="825"/>
      <c r="Q610" s="825"/>
      <c r="R610" s="825"/>
      <c r="S610" s="825"/>
      <c r="T610" s="825"/>
      <c r="U610" s="825"/>
      <c r="V610" s="825"/>
      <c r="W610" s="825"/>
      <c r="X610" s="825"/>
      <c r="Y610" s="825"/>
      <c r="Z610" s="825"/>
      <c r="AA610" s="825"/>
      <c r="AB610" s="825"/>
      <c r="AC610" s="825"/>
    </row>
    <row r="611" spans="1:29" ht="15.8" customHeight="1" x14ac:dyDescent="0.3">
      <c r="A611" s="825"/>
      <c r="C611" s="825"/>
      <c r="D611" s="21"/>
      <c r="E611" s="17"/>
      <c r="F611" s="825"/>
      <c r="G611" s="825"/>
      <c r="H611" s="21"/>
      <c r="I611" s="825"/>
      <c r="J611" s="825"/>
      <c r="M611" s="825"/>
      <c r="N611" s="825"/>
      <c r="O611" s="825"/>
      <c r="P611" s="825"/>
      <c r="Q611" s="825"/>
      <c r="R611" s="825"/>
      <c r="S611" s="825"/>
      <c r="T611" s="825"/>
      <c r="U611" s="825"/>
      <c r="V611" s="825"/>
      <c r="W611" s="825"/>
      <c r="X611" s="825"/>
      <c r="Y611" s="825"/>
      <c r="Z611" s="825"/>
      <c r="AA611" s="825"/>
      <c r="AB611" s="825"/>
      <c r="AC611" s="825"/>
    </row>
    <row r="612" spans="1:29" ht="15.8" customHeight="1" x14ac:dyDescent="0.3">
      <c r="A612" s="825"/>
      <c r="C612" s="825"/>
      <c r="D612" s="21"/>
      <c r="E612" s="17"/>
      <c r="F612" s="825"/>
      <c r="G612" s="825"/>
      <c r="H612" s="21"/>
      <c r="I612" s="825"/>
      <c r="J612" s="825"/>
      <c r="M612" s="825"/>
      <c r="N612" s="825"/>
      <c r="O612" s="825"/>
      <c r="P612" s="825"/>
      <c r="Q612" s="825"/>
      <c r="R612" s="825"/>
      <c r="S612" s="825"/>
      <c r="T612" s="825"/>
      <c r="U612" s="825"/>
      <c r="V612" s="825"/>
      <c r="W612" s="825"/>
      <c r="X612" s="825"/>
      <c r="Y612" s="825"/>
      <c r="Z612" s="825"/>
      <c r="AA612" s="825"/>
      <c r="AB612" s="825"/>
      <c r="AC612" s="825"/>
    </row>
    <row r="613" spans="1:29" ht="15.8" customHeight="1" x14ac:dyDescent="0.3">
      <c r="A613" s="825"/>
      <c r="C613" s="825"/>
      <c r="D613" s="21"/>
      <c r="E613" s="17"/>
      <c r="F613" s="825"/>
      <c r="G613" s="825"/>
      <c r="H613" s="21"/>
      <c r="I613" s="825"/>
      <c r="J613" s="825"/>
      <c r="M613" s="825"/>
      <c r="N613" s="825"/>
      <c r="O613" s="825"/>
      <c r="P613" s="825"/>
      <c r="Q613" s="825"/>
      <c r="R613" s="825"/>
      <c r="S613" s="825"/>
      <c r="T613" s="825"/>
      <c r="U613" s="825"/>
      <c r="V613" s="825"/>
      <c r="W613" s="825"/>
      <c r="X613" s="825"/>
      <c r="Y613" s="825"/>
      <c r="Z613" s="825"/>
      <c r="AA613" s="825"/>
      <c r="AB613" s="825"/>
      <c r="AC613" s="825"/>
    </row>
    <row r="614" spans="1:29" ht="15.8" customHeight="1" x14ac:dyDescent="0.3">
      <c r="A614" s="825"/>
      <c r="C614" s="825"/>
      <c r="D614" s="21"/>
      <c r="E614" s="17"/>
      <c r="F614" s="825"/>
      <c r="G614" s="825"/>
      <c r="H614" s="21"/>
      <c r="I614" s="825"/>
      <c r="J614" s="825"/>
      <c r="M614" s="825"/>
      <c r="N614" s="825"/>
      <c r="O614" s="825"/>
      <c r="P614" s="825"/>
      <c r="Q614" s="825"/>
      <c r="R614" s="825"/>
      <c r="S614" s="825"/>
      <c r="T614" s="825"/>
      <c r="U614" s="825"/>
      <c r="V614" s="825"/>
      <c r="W614" s="825"/>
      <c r="X614" s="825"/>
      <c r="Y614" s="825"/>
      <c r="Z614" s="825"/>
      <c r="AA614" s="825"/>
      <c r="AB614" s="825"/>
      <c r="AC614" s="825"/>
    </row>
    <row r="615" spans="1:29" ht="15.8" customHeight="1" x14ac:dyDescent="0.3">
      <c r="A615" s="825"/>
      <c r="C615" s="825"/>
      <c r="D615" s="21"/>
      <c r="E615" s="17"/>
      <c r="F615" s="825"/>
      <c r="G615" s="825"/>
      <c r="H615" s="21"/>
      <c r="I615" s="825"/>
      <c r="J615" s="825"/>
      <c r="M615" s="825"/>
      <c r="N615" s="825"/>
      <c r="O615" s="825"/>
      <c r="P615" s="825"/>
      <c r="Q615" s="825"/>
      <c r="R615" s="825"/>
      <c r="S615" s="825"/>
      <c r="T615" s="825"/>
      <c r="U615" s="825"/>
      <c r="V615" s="825"/>
      <c r="W615" s="825"/>
      <c r="X615" s="825"/>
      <c r="Y615" s="825"/>
      <c r="Z615" s="825"/>
      <c r="AA615" s="825"/>
      <c r="AB615" s="825"/>
      <c r="AC615" s="825"/>
    </row>
    <row r="616" spans="1:29" ht="15.8" customHeight="1" x14ac:dyDescent="0.3">
      <c r="A616" s="825"/>
      <c r="C616" s="825"/>
      <c r="D616" s="21"/>
      <c r="E616" s="17"/>
      <c r="F616" s="825"/>
      <c r="G616" s="825"/>
      <c r="H616" s="21"/>
      <c r="I616" s="825"/>
      <c r="J616" s="825"/>
      <c r="M616" s="825"/>
      <c r="N616" s="825"/>
      <c r="O616" s="825"/>
      <c r="P616" s="825"/>
      <c r="Q616" s="825"/>
      <c r="R616" s="825"/>
      <c r="S616" s="825"/>
      <c r="T616" s="825"/>
      <c r="U616" s="825"/>
      <c r="V616" s="825"/>
      <c r="W616" s="825"/>
      <c r="X616" s="825"/>
      <c r="Y616" s="825"/>
      <c r="Z616" s="825"/>
      <c r="AA616" s="825"/>
      <c r="AB616" s="825"/>
      <c r="AC616" s="825"/>
    </row>
    <row r="617" spans="1:29" ht="15.8" customHeight="1" x14ac:dyDescent="0.3">
      <c r="A617" s="825"/>
      <c r="C617" s="825"/>
      <c r="D617" s="21"/>
      <c r="E617" s="17"/>
      <c r="F617" s="825"/>
      <c r="G617" s="825"/>
      <c r="H617" s="21"/>
      <c r="I617" s="825"/>
      <c r="J617" s="825"/>
      <c r="M617" s="825"/>
      <c r="N617" s="825"/>
      <c r="O617" s="825"/>
      <c r="P617" s="825"/>
      <c r="Q617" s="825"/>
      <c r="R617" s="825"/>
      <c r="S617" s="825"/>
      <c r="T617" s="825"/>
      <c r="U617" s="825"/>
      <c r="V617" s="825"/>
      <c r="W617" s="825"/>
      <c r="X617" s="825"/>
      <c r="Y617" s="825"/>
      <c r="Z617" s="825"/>
      <c r="AA617" s="825"/>
      <c r="AB617" s="825"/>
      <c r="AC617" s="825"/>
    </row>
    <row r="618" spans="1:29" ht="15.8" customHeight="1" x14ac:dyDescent="0.3">
      <c r="A618" s="825"/>
      <c r="C618" s="825"/>
      <c r="D618" s="21"/>
      <c r="E618" s="17"/>
      <c r="F618" s="825"/>
      <c r="G618" s="825"/>
      <c r="H618" s="21"/>
      <c r="I618" s="825"/>
      <c r="J618" s="825"/>
      <c r="M618" s="825"/>
      <c r="N618" s="825"/>
      <c r="O618" s="825"/>
      <c r="P618" s="825"/>
      <c r="Q618" s="825"/>
      <c r="R618" s="825"/>
      <c r="S618" s="825"/>
      <c r="T618" s="825"/>
      <c r="U618" s="825"/>
      <c r="V618" s="825"/>
      <c r="W618" s="825"/>
      <c r="X618" s="825"/>
      <c r="Y618" s="825"/>
      <c r="Z618" s="825"/>
      <c r="AA618" s="825"/>
      <c r="AB618" s="825"/>
      <c r="AC618" s="825"/>
    </row>
    <row r="619" spans="1:29" ht="15.8" customHeight="1" x14ac:dyDescent="0.3">
      <c r="A619" s="825"/>
      <c r="C619" s="825"/>
      <c r="D619" s="21"/>
      <c r="E619" s="17"/>
      <c r="F619" s="825"/>
      <c r="G619" s="825"/>
      <c r="H619" s="21"/>
      <c r="I619" s="825"/>
      <c r="J619" s="825"/>
      <c r="M619" s="825"/>
      <c r="N619" s="825"/>
      <c r="O619" s="825"/>
      <c r="P619" s="825"/>
      <c r="Q619" s="825"/>
      <c r="R619" s="825"/>
      <c r="S619" s="825"/>
      <c r="T619" s="825"/>
      <c r="U619" s="825"/>
      <c r="V619" s="825"/>
      <c r="W619" s="825"/>
      <c r="X619" s="825"/>
      <c r="Y619" s="825"/>
      <c r="Z619" s="825"/>
      <c r="AA619" s="825"/>
      <c r="AB619" s="825"/>
      <c r="AC619" s="825"/>
    </row>
    <row r="620" spans="1:29" ht="15.8" customHeight="1" x14ac:dyDescent="0.3">
      <c r="A620" s="825"/>
      <c r="C620" s="825"/>
      <c r="D620" s="21"/>
      <c r="E620" s="17"/>
      <c r="F620" s="825"/>
      <c r="G620" s="825"/>
      <c r="H620" s="21"/>
      <c r="I620" s="825"/>
      <c r="J620" s="825"/>
      <c r="M620" s="825"/>
      <c r="N620" s="825"/>
      <c r="O620" s="825"/>
      <c r="P620" s="825"/>
      <c r="Q620" s="825"/>
      <c r="R620" s="825"/>
      <c r="S620" s="825"/>
      <c r="T620" s="825"/>
      <c r="U620" s="825"/>
      <c r="V620" s="825"/>
      <c r="W620" s="825"/>
      <c r="X620" s="825"/>
      <c r="Y620" s="825"/>
      <c r="Z620" s="825"/>
      <c r="AA620" s="825"/>
      <c r="AB620" s="825"/>
      <c r="AC620" s="825"/>
    </row>
    <row r="621" spans="1:29" ht="15.8" customHeight="1" x14ac:dyDescent="0.3">
      <c r="A621" s="825"/>
      <c r="C621" s="825"/>
      <c r="D621" s="21"/>
      <c r="E621" s="17"/>
      <c r="F621" s="825"/>
      <c r="G621" s="825"/>
      <c r="H621" s="21"/>
      <c r="I621" s="825"/>
      <c r="J621" s="825"/>
      <c r="M621" s="825"/>
      <c r="N621" s="825"/>
      <c r="O621" s="825"/>
      <c r="P621" s="825"/>
      <c r="Q621" s="825"/>
      <c r="R621" s="825"/>
      <c r="S621" s="825"/>
      <c r="T621" s="825"/>
      <c r="U621" s="825"/>
      <c r="V621" s="825"/>
      <c r="W621" s="825"/>
      <c r="X621" s="825"/>
      <c r="Y621" s="825"/>
      <c r="Z621" s="825"/>
      <c r="AA621" s="825"/>
      <c r="AB621" s="825"/>
      <c r="AC621" s="825"/>
    </row>
    <row r="622" spans="1:29" ht="15.8" customHeight="1" x14ac:dyDescent="0.3">
      <c r="A622" s="825"/>
      <c r="C622" s="825"/>
      <c r="D622" s="21"/>
      <c r="E622" s="17"/>
      <c r="F622" s="825"/>
      <c r="G622" s="825"/>
      <c r="H622" s="21"/>
      <c r="I622" s="825"/>
      <c r="J622" s="825"/>
      <c r="M622" s="825"/>
      <c r="N622" s="825"/>
      <c r="O622" s="825"/>
      <c r="P622" s="825"/>
      <c r="Q622" s="825"/>
      <c r="R622" s="825"/>
      <c r="S622" s="825"/>
      <c r="T622" s="825"/>
      <c r="U622" s="825"/>
      <c r="V622" s="825"/>
      <c r="W622" s="825"/>
      <c r="X622" s="825"/>
      <c r="Y622" s="825"/>
      <c r="Z622" s="825"/>
      <c r="AA622" s="825"/>
      <c r="AB622" s="825"/>
      <c r="AC622" s="825"/>
    </row>
    <row r="623" spans="1:29" ht="15.8" customHeight="1" x14ac:dyDescent="0.3">
      <c r="A623" s="825"/>
      <c r="C623" s="825"/>
      <c r="D623" s="21"/>
      <c r="E623" s="17"/>
      <c r="F623" s="825"/>
      <c r="G623" s="825"/>
      <c r="H623" s="21"/>
      <c r="I623" s="825"/>
      <c r="J623" s="825"/>
      <c r="M623" s="825"/>
      <c r="N623" s="825"/>
      <c r="O623" s="825"/>
      <c r="P623" s="825"/>
      <c r="Q623" s="825"/>
      <c r="R623" s="825"/>
      <c r="S623" s="825"/>
      <c r="T623" s="825"/>
      <c r="U623" s="825"/>
      <c r="V623" s="825"/>
      <c r="W623" s="825"/>
      <c r="X623" s="825"/>
      <c r="Y623" s="825"/>
      <c r="Z623" s="825"/>
      <c r="AA623" s="825"/>
      <c r="AB623" s="825"/>
      <c r="AC623" s="825"/>
    </row>
    <row r="624" spans="1:29" ht="15.8" customHeight="1" x14ac:dyDescent="0.3">
      <c r="A624" s="825"/>
      <c r="C624" s="825"/>
      <c r="D624" s="21"/>
      <c r="E624" s="17"/>
      <c r="F624" s="825"/>
      <c r="G624" s="825"/>
      <c r="H624" s="21"/>
      <c r="I624" s="825"/>
      <c r="J624" s="825"/>
      <c r="M624" s="825"/>
      <c r="N624" s="825"/>
      <c r="O624" s="825"/>
      <c r="P624" s="825"/>
      <c r="Q624" s="825"/>
      <c r="R624" s="825"/>
      <c r="S624" s="825"/>
      <c r="T624" s="825"/>
      <c r="U624" s="825"/>
      <c r="V624" s="825"/>
      <c r="W624" s="825"/>
      <c r="X624" s="825"/>
      <c r="Y624" s="825"/>
      <c r="Z624" s="825"/>
      <c r="AA624" s="825"/>
      <c r="AB624" s="825"/>
      <c r="AC624" s="825"/>
    </row>
    <row r="625" spans="1:29" ht="15.8" customHeight="1" x14ac:dyDescent="0.3">
      <c r="A625" s="825"/>
      <c r="C625" s="825"/>
      <c r="D625" s="21"/>
      <c r="E625" s="17"/>
      <c r="F625" s="825"/>
      <c r="G625" s="825"/>
      <c r="H625" s="21"/>
      <c r="I625" s="825"/>
      <c r="J625" s="825"/>
      <c r="M625" s="825"/>
      <c r="N625" s="825"/>
      <c r="O625" s="825"/>
      <c r="P625" s="825"/>
      <c r="Q625" s="825"/>
      <c r="R625" s="825"/>
      <c r="S625" s="825"/>
      <c r="T625" s="825"/>
      <c r="U625" s="825"/>
      <c r="V625" s="825"/>
      <c r="W625" s="825"/>
      <c r="X625" s="825"/>
      <c r="Y625" s="825"/>
      <c r="Z625" s="825"/>
      <c r="AA625" s="825"/>
      <c r="AB625" s="825"/>
      <c r="AC625" s="825"/>
    </row>
    <row r="626" spans="1:29" ht="15.8" customHeight="1" x14ac:dyDescent="0.3">
      <c r="A626" s="825"/>
      <c r="C626" s="825"/>
      <c r="D626" s="21"/>
      <c r="E626" s="17"/>
      <c r="F626" s="825"/>
      <c r="G626" s="825"/>
      <c r="H626" s="21"/>
      <c r="I626" s="825"/>
      <c r="J626" s="825"/>
      <c r="M626" s="825"/>
      <c r="N626" s="825"/>
      <c r="O626" s="825"/>
      <c r="P626" s="825"/>
      <c r="Q626" s="825"/>
      <c r="R626" s="825"/>
      <c r="S626" s="825"/>
      <c r="T626" s="825"/>
      <c r="U626" s="825"/>
      <c r="V626" s="825"/>
      <c r="W626" s="825"/>
      <c r="X626" s="825"/>
      <c r="Y626" s="825"/>
      <c r="Z626" s="825"/>
      <c r="AA626" s="825"/>
      <c r="AB626" s="825"/>
      <c r="AC626" s="825"/>
    </row>
    <row r="627" spans="1:29" ht="15.8" customHeight="1" x14ac:dyDescent="0.3">
      <c r="A627" s="825"/>
      <c r="C627" s="825"/>
      <c r="D627" s="21"/>
      <c r="E627" s="17"/>
      <c r="F627" s="825"/>
      <c r="G627" s="825"/>
      <c r="H627" s="21"/>
      <c r="I627" s="825"/>
      <c r="J627" s="825"/>
      <c r="M627" s="825"/>
      <c r="N627" s="825"/>
      <c r="O627" s="825"/>
      <c r="P627" s="825"/>
      <c r="Q627" s="825"/>
      <c r="R627" s="825"/>
      <c r="S627" s="825"/>
      <c r="T627" s="825"/>
      <c r="U627" s="825"/>
      <c r="V627" s="825"/>
      <c r="W627" s="825"/>
      <c r="X627" s="825"/>
      <c r="Y627" s="825"/>
      <c r="Z627" s="825"/>
      <c r="AA627" s="825"/>
      <c r="AB627" s="825"/>
      <c r="AC627" s="825"/>
    </row>
    <row r="628" spans="1:29" ht="15.8" customHeight="1" x14ac:dyDescent="0.3">
      <c r="A628" s="825"/>
      <c r="C628" s="825"/>
      <c r="D628" s="21"/>
      <c r="E628" s="17"/>
      <c r="F628" s="825"/>
      <c r="G628" s="825"/>
      <c r="H628" s="21"/>
      <c r="I628" s="825"/>
      <c r="J628" s="825"/>
      <c r="M628" s="825"/>
      <c r="N628" s="825"/>
      <c r="O628" s="825"/>
      <c r="P628" s="825"/>
      <c r="Q628" s="825"/>
      <c r="R628" s="825"/>
      <c r="S628" s="825"/>
      <c r="T628" s="825"/>
      <c r="U628" s="825"/>
      <c r="V628" s="825"/>
      <c r="W628" s="825"/>
      <c r="X628" s="825"/>
      <c r="Y628" s="825"/>
      <c r="Z628" s="825"/>
      <c r="AA628" s="825"/>
      <c r="AB628" s="825"/>
      <c r="AC628" s="825"/>
    </row>
    <row r="629" spans="1:29" ht="15.8" customHeight="1" x14ac:dyDescent="0.3">
      <c r="A629" s="825"/>
      <c r="C629" s="825"/>
      <c r="D629" s="21"/>
      <c r="E629" s="17"/>
      <c r="F629" s="825"/>
      <c r="G629" s="825"/>
      <c r="H629" s="21"/>
      <c r="I629" s="825"/>
      <c r="J629" s="825"/>
      <c r="M629" s="825"/>
      <c r="N629" s="825"/>
      <c r="O629" s="825"/>
      <c r="P629" s="825"/>
      <c r="Q629" s="825"/>
      <c r="R629" s="825"/>
      <c r="S629" s="825"/>
      <c r="T629" s="825"/>
      <c r="U629" s="825"/>
      <c r="V629" s="825"/>
      <c r="W629" s="825"/>
      <c r="X629" s="825"/>
      <c r="Y629" s="825"/>
      <c r="Z629" s="825"/>
      <c r="AA629" s="825"/>
      <c r="AB629" s="825"/>
      <c r="AC629" s="825"/>
    </row>
    <row r="630" spans="1:29" ht="15.8" customHeight="1" x14ac:dyDescent="0.3">
      <c r="A630" s="825"/>
      <c r="C630" s="825"/>
      <c r="D630" s="21"/>
      <c r="E630" s="17"/>
      <c r="F630" s="825"/>
      <c r="G630" s="825"/>
      <c r="H630" s="21"/>
      <c r="I630" s="825"/>
      <c r="J630" s="825"/>
      <c r="M630" s="825"/>
      <c r="N630" s="825"/>
      <c r="O630" s="825"/>
      <c r="P630" s="825"/>
      <c r="Q630" s="825"/>
      <c r="R630" s="825"/>
      <c r="S630" s="825"/>
      <c r="T630" s="825"/>
      <c r="U630" s="825"/>
      <c r="V630" s="825"/>
      <c r="W630" s="825"/>
      <c r="X630" s="825"/>
      <c r="Y630" s="825"/>
      <c r="Z630" s="825"/>
      <c r="AA630" s="825"/>
      <c r="AB630" s="825"/>
      <c r="AC630" s="825"/>
    </row>
    <row r="631" spans="1:29" ht="15.8" customHeight="1" x14ac:dyDescent="0.3">
      <c r="A631" s="825"/>
      <c r="C631" s="825"/>
      <c r="D631" s="21"/>
      <c r="E631" s="17"/>
      <c r="F631" s="825"/>
      <c r="G631" s="825"/>
      <c r="H631" s="21"/>
      <c r="I631" s="825"/>
      <c r="J631" s="825"/>
      <c r="M631" s="825"/>
      <c r="N631" s="825"/>
      <c r="O631" s="825"/>
      <c r="P631" s="825"/>
      <c r="Q631" s="825"/>
      <c r="R631" s="825"/>
      <c r="S631" s="825"/>
      <c r="T631" s="825"/>
      <c r="U631" s="825"/>
      <c r="V631" s="825"/>
      <c r="W631" s="825"/>
      <c r="X631" s="825"/>
      <c r="Y631" s="825"/>
      <c r="Z631" s="825"/>
      <c r="AA631" s="825"/>
      <c r="AB631" s="825"/>
      <c r="AC631" s="825"/>
    </row>
    <row r="632" spans="1:29" ht="15.8" customHeight="1" x14ac:dyDescent="0.3">
      <c r="A632" s="825"/>
      <c r="C632" s="825"/>
      <c r="D632" s="21"/>
      <c r="E632" s="17"/>
      <c r="F632" s="825"/>
      <c r="G632" s="825"/>
      <c r="H632" s="21"/>
      <c r="I632" s="825"/>
      <c r="J632" s="825"/>
      <c r="M632" s="825"/>
      <c r="N632" s="825"/>
      <c r="O632" s="825"/>
      <c r="P632" s="825"/>
      <c r="Q632" s="825"/>
      <c r="R632" s="825"/>
      <c r="S632" s="825"/>
      <c r="T632" s="825"/>
      <c r="U632" s="825"/>
      <c r="V632" s="825"/>
      <c r="W632" s="825"/>
      <c r="X632" s="825"/>
      <c r="Y632" s="825"/>
      <c r="Z632" s="825"/>
      <c r="AA632" s="825"/>
      <c r="AB632" s="825"/>
      <c r="AC632" s="825"/>
    </row>
    <row r="633" spans="1:29" ht="15.8" customHeight="1" x14ac:dyDescent="0.3">
      <c r="A633" s="825"/>
      <c r="C633" s="825"/>
      <c r="D633" s="21"/>
      <c r="E633" s="17"/>
      <c r="F633" s="825"/>
      <c r="G633" s="825"/>
      <c r="H633" s="21"/>
      <c r="I633" s="825"/>
      <c r="J633" s="825"/>
      <c r="M633" s="825"/>
      <c r="N633" s="825"/>
      <c r="O633" s="825"/>
      <c r="P633" s="825"/>
      <c r="Q633" s="825"/>
      <c r="R633" s="825"/>
      <c r="S633" s="825"/>
      <c r="T633" s="825"/>
      <c r="U633" s="825"/>
      <c r="V633" s="825"/>
      <c r="W633" s="825"/>
      <c r="X633" s="825"/>
      <c r="Y633" s="825"/>
      <c r="Z633" s="825"/>
      <c r="AA633" s="825"/>
      <c r="AB633" s="825"/>
      <c r="AC633" s="825"/>
    </row>
    <row r="634" spans="1:29" ht="15.8" customHeight="1" x14ac:dyDescent="0.3">
      <c r="A634" s="825"/>
      <c r="C634" s="825"/>
      <c r="D634" s="21"/>
      <c r="E634" s="17"/>
      <c r="F634" s="825"/>
      <c r="G634" s="825"/>
      <c r="H634" s="21"/>
      <c r="I634" s="825"/>
      <c r="J634" s="825"/>
      <c r="M634" s="825"/>
      <c r="N634" s="825"/>
      <c r="O634" s="825"/>
      <c r="P634" s="825"/>
      <c r="Q634" s="825"/>
      <c r="R634" s="825"/>
      <c r="S634" s="825"/>
      <c r="T634" s="825"/>
      <c r="U634" s="825"/>
      <c r="V634" s="825"/>
      <c r="W634" s="825"/>
      <c r="X634" s="825"/>
      <c r="Y634" s="825"/>
      <c r="Z634" s="825"/>
      <c r="AA634" s="825"/>
      <c r="AB634" s="825"/>
      <c r="AC634" s="825"/>
    </row>
    <row r="635" spans="1:29" ht="15.8" customHeight="1" x14ac:dyDescent="0.3">
      <c r="A635" s="825"/>
      <c r="C635" s="825"/>
      <c r="D635" s="21"/>
      <c r="E635" s="17"/>
      <c r="F635" s="825"/>
      <c r="G635" s="825"/>
      <c r="H635" s="21"/>
      <c r="I635" s="825"/>
      <c r="J635" s="825"/>
      <c r="M635" s="825"/>
      <c r="N635" s="825"/>
      <c r="O635" s="825"/>
      <c r="P635" s="825"/>
      <c r="Q635" s="825"/>
      <c r="R635" s="825"/>
      <c r="S635" s="825"/>
      <c r="T635" s="825"/>
      <c r="U635" s="825"/>
      <c r="V635" s="825"/>
      <c r="W635" s="825"/>
      <c r="X635" s="825"/>
      <c r="Y635" s="825"/>
      <c r="Z635" s="825"/>
      <c r="AA635" s="825"/>
      <c r="AB635" s="825"/>
      <c r="AC635" s="825"/>
    </row>
    <row r="636" spans="1:29" ht="15.8" customHeight="1" x14ac:dyDescent="0.3">
      <c r="A636" s="825"/>
      <c r="C636" s="825"/>
      <c r="D636" s="21"/>
      <c r="E636" s="17"/>
      <c r="F636" s="825"/>
      <c r="G636" s="825"/>
      <c r="H636" s="21"/>
      <c r="I636" s="825"/>
      <c r="J636" s="825"/>
      <c r="M636" s="825"/>
      <c r="N636" s="825"/>
      <c r="O636" s="825"/>
      <c r="P636" s="825"/>
      <c r="Q636" s="825"/>
      <c r="R636" s="825"/>
      <c r="S636" s="825"/>
      <c r="T636" s="825"/>
      <c r="U636" s="825"/>
      <c r="V636" s="825"/>
      <c r="W636" s="825"/>
      <c r="X636" s="825"/>
      <c r="Y636" s="825"/>
      <c r="Z636" s="825"/>
      <c r="AA636" s="825"/>
      <c r="AB636" s="825"/>
      <c r="AC636" s="825"/>
    </row>
    <row r="637" spans="1:29" ht="15.8" customHeight="1" x14ac:dyDescent="0.3">
      <c r="A637" s="825"/>
      <c r="C637" s="825"/>
      <c r="D637" s="21"/>
      <c r="E637" s="17"/>
      <c r="F637" s="825"/>
      <c r="G637" s="825"/>
      <c r="H637" s="21"/>
      <c r="I637" s="825"/>
      <c r="J637" s="825"/>
      <c r="M637" s="825"/>
      <c r="N637" s="825"/>
      <c r="O637" s="825"/>
      <c r="P637" s="825"/>
      <c r="Q637" s="825"/>
      <c r="R637" s="825"/>
      <c r="S637" s="825"/>
      <c r="T637" s="825"/>
      <c r="U637" s="825"/>
      <c r="V637" s="825"/>
      <c r="W637" s="825"/>
      <c r="X637" s="825"/>
      <c r="Y637" s="825"/>
      <c r="Z637" s="825"/>
      <c r="AA637" s="825"/>
      <c r="AB637" s="825"/>
      <c r="AC637" s="825"/>
    </row>
    <row r="638" spans="1:29" ht="15.8" customHeight="1" x14ac:dyDescent="0.3">
      <c r="A638" s="825"/>
      <c r="C638" s="825"/>
      <c r="D638" s="21"/>
      <c r="E638" s="17"/>
      <c r="F638" s="825"/>
      <c r="G638" s="825"/>
      <c r="H638" s="21"/>
      <c r="I638" s="825"/>
      <c r="J638" s="825"/>
      <c r="M638" s="825"/>
      <c r="N638" s="825"/>
      <c r="O638" s="825"/>
      <c r="P638" s="825"/>
      <c r="Q638" s="825"/>
      <c r="R638" s="825"/>
      <c r="S638" s="825"/>
      <c r="T638" s="825"/>
      <c r="U638" s="825"/>
      <c r="V638" s="825"/>
      <c r="W638" s="825"/>
      <c r="X638" s="825"/>
      <c r="Y638" s="825"/>
      <c r="Z638" s="825"/>
      <c r="AA638" s="825"/>
      <c r="AB638" s="825"/>
      <c r="AC638" s="825"/>
    </row>
    <row r="639" spans="1:29" ht="15.8" customHeight="1" x14ac:dyDescent="0.3">
      <c r="A639" s="825"/>
      <c r="C639" s="825"/>
      <c r="D639" s="21"/>
      <c r="E639" s="17"/>
      <c r="F639" s="825"/>
      <c r="G639" s="825"/>
      <c r="H639" s="21"/>
      <c r="I639" s="825"/>
      <c r="J639" s="825"/>
      <c r="M639" s="825"/>
      <c r="N639" s="825"/>
      <c r="O639" s="825"/>
      <c r="P639" s="825"/>
      <c r="Q639" s="825"/>
      <c r="R639" s="825"/>
      <c r="S639" s="825"/>
      <c r="T639" s="825"/>
      <c r="U639" s="825"/>
      <c r="V639" s="825"/>
      <c r="W639" s="825"/>
      <c r="X639" s="825"/>
      <c r="Y639" s="825"/>
      <c r="Z639" s="825"/>
      <c r="AA639" s="825"/>
      <c r="AB639" s="825"/>
      <c r="AC639" s="825"/>
    </row>
    <row r="640" spans="1:29" ht="15.8" customHeight="1" x14ac:dyDescent="0.3">
      <c r="A640" s="825"/>
      <c r="C640" s="825"/>
      <c r="D640" s="21"/>
      <c r="E640" s="17"/>
      <c r="F640" s="825"/>
      <c r="G640" s="825"/>
      <c r="H640" s="21"/>
      <c r="I640" s="825"/>
      <c r="J640" s="825"/>
      <c r="M640" s="825"/>
      <c r="N640" s="825"/>
      <c r="O640" s="825"/>
      <c r="P640" s="825"/>
      <c r="Q640" s="825"/>
      <c r="R640" s="825"/>
      <c r="S640" s="825"/>
      <c r="T640" s="825"/>
      <c r="U640" s="825"/>
      <c r="V640" s="825"/>
      <c r="W640" s="825"/>
      <c r="X640" s="825"/>
      <c r="Y640" s="825"/>
      <c r="Z640" s="825"/>
      <c r="AA640" s="825"/>
      <c r="AB640" s="825"/>
      <c r="AC640" s="825"/>
    </row>
    <row r="641" spans="1:29" ht="15.8" customHeight="1" x14ac:dyDescent="0.3">
      <c r="A641" s="825"/>
      <c r="C641" s="825"/>
      <c r="D641" s="21"/>
      <c r="E641" s="17"/>
      <c r="F641" s="825"/>
      <c r="G641" s="825"/>
      <c r="H641" s="21"/>
      <c r="I641" s="825"/>
      <c r="J641" s="825"/>
      <c r="M641" s="825"/>
      <c r="N641" s="825"/>
      <c r="O641" s="825"/>
      <c r="P641" s="825"/>
      <c r="Q641" s="825"/>
      <c r="R641" s="825"/>
      <c r="S641" s="825"/>
      <c r="T641" s="825"/>
      <c r="U641" s="825"/>
      <c r="V641" s="825"/>
      <c r="W641" s="825"/>
      <c r="X641" s="825"/>
      <c r="Y641" s="825"/>
      <c r="Z641" s="825"/>
      <c r="AA641" s="825"/>
      <c r="AB641" s="825"/>
      <c r="AC641" s="825"/>
    </row>
    <row r="642" spans="1:29" ht="15.8" customHeight="1" x14ac:dyDescent="0.3">
      <c r="A642" s="825"/>
      <c r="C642" s="825"/>
      <c r="D642" s="21"/>
      <c r="E642" s="17"/>
      <c r="F642" s="825"/>
      <c r="G642" s="825"/>
      <c r="H642" s="21"/>
      <c r="I642" s="825"/>
      <c r="J642" s="825"/>
      <c r="M642" s="825"/>
      <c r="N642" s="825"/>
      <c r="O642" s="825"/>
      <c r="P642" s="825"/>
      <c r="Q642" s="825"/>
      <c r="R642" s="825"/>
      <c r="S642" s="825"/>
      <c r="T642" s="825"/>
      <c r="U642" s="825"/>
      <c r="V642" s="825"/>
      <c r="W642" s="825"/>
      <c r="X642" s="825"/>
      <c r="Y642" s="825"/>
      <c r="Z642" s="825"/>
      <c r="AA642" s="825"/>
      <c r="AB642" s="825"/>
      <c r="AC642" s="825"/>
    </row>
    <row r="643" spans="1:29" ht="15.8" customHeight="1" x14ac:dyDescent="0.3">
      <c r="A643" s="825"/>
      <c r="C643" s="825"/>
      <c r="D643" s="21"/>
      <c r="E643" s="17"/>
      <c r="F643" s="825"/>
      <c r="G643" s="825"/>
      <c r="H643" s="21"/>
      <c r="I643" s="825"/>
      <c r="J643" s="825"/>
      <c r="M643" s="825"/>
      <c r="N643" s="825"/>
      <c r="O643" s="825"/>
      <c r="P643" s="825"/>
      <c r="Q643" s="825"/>
      <c r="R643" s="825"/>
      <c r="S643" s="825"/>
      <c r="T643" s="825"/>
      <c r="U643" s="825"/>
      <c r="V643" s="825"/>
      <c r="W643" s="825"/>
      <c r="X643" s="825"/>
      <c r="Y643" s="825"/>
      <c r="Z643" s="825"/>
      <c r="AA643" s="825"/>
      <c r="AB643" s="825"/>
      <c r="AC643" s="825"/>
    </row>
    <row r="644" spans="1:29" ht="15.8" customHeight="1" x14ac:dyDescent="0.3">
      <c r="A644" s="825"/>
      <c r="C644" s="825"/>
      <c r="D644" s="21"/>
      <c r="E644" s="17"/>
      <c r="F644" s="825"/>
      <c r="G644" s="825"/>
      <c r="H644" s="21"/>
      <c r="I644" s="825"/>
      <c r="J644" s="825"/>
      <c r="M644" s="825"/>
      <c r="N644" s="825"/>
      <c r="O644" s="825"/>
      <c r="P644" s="825"/>
      <c r="Q644" s="825"/>
      <c r="R644" s="825"/>
      <c r="S644" s="825"/>
      <c r="T644" s="825"/>
      <c r="U644" s="825"/>
      <c r="V644" s="825"/>
      <c r="W644" s="825"/>
      <c r="X644" s="825"/>
      <c r="Y644" s="825"/>
      <c r="Z644" s="825"/>
      <c r="AA644" s="825"/>
      <c r="AB644" s="825"/>
      <c r="AC644" s="825"/>
    </row>
    <row r="645" spans="1:29" ht="15.8" customHeight="1" x14ac:dyDescent="0.3">
      <c r="A645" s="825"/>
      <c r="C645" s="825"/>
      <c r="D645" s="21"/>
      <c r="E645" s="17"/>
      <c r="F645" s="825"/>
      <c r="G645" s="825"/>
      <c r="H645" s="21"/>
      <c r="I645" s="825"/>
      <c r="J645" s="825"/>
      <c r="M645" s="825"/>
      <c r="N645" s="825"/>
      <c r="O645" s="825"/>
      <c r="P645" s="825"/>
      <c r="Q645" s="825"/>
      <c r="R645" s="825"/>
      <c r="S645" s="825"/>
      <c r="T645" s="825"/>
      <c r="U645" s="825"/>
      <c r="V645" s="825"/>
      <c r="W645" s="825"/>
      <c r="X645" s="825"/>
      <c r="Y645" s="825"/>
      <c r="Z645" s="825"/>
      <c r="AA645" s="825"/>
      <c r="AB645" s="825"/>
      <c r="AC645" s="825"/>
    </row>
    <row r="646" spans="1:29" ht="15.8" customHeight="1" x14ac:dyDescent="0.3">
      <c r="A646" s="825"/>
      <c r="C646" s="825"/>
      <c r="D646" s="21"/>
      <c r="E646" s="17"/>
      <c r="F646" s="825"/>
      <c r="G646" s="825"/>
      <c r="H646" s="21"/>
      <c r="I646" s="825"/>
      <c r="J646" s="825"/>
      <c r="M646" s="825"/>
      <c r="N646" s="825"/>
      <c r="O646" s="825"/>
      <c r="P646" s="825"/>
      <c r="Q646" s="825"/>
      <c r="R646" s="825"/>
      <c r="S646" s="825"/>
      <c r="T646" s="825"/>
      <c r="U646" s="825"/>
      <c r="V646" s="825"/>
      <c r="W646" s="825"/>
      <c r="X646" s="825"/>
      <c r="Y646" s="825"/>
      <c r="Z646" s="825"/>
      <c r="AA646" s="825"/>
      <c r="AB646" s="825"/>
      <c r="AC646" s="825"/>
    </row>
    <row r="647" spans="1:29" ht="15.8" customHeight="1" x14ac:dyDescent="0.3">
      <c r="A647" s="825"/>
      <c r="C647" s="825"/>
      <c r="D647" s="21"/>
      <c r="E647" s="17"/>
      <c r="F647" s="825"/>
      <c r="G647" s="825"/>
      <c r="H647" s="21"/>
      <c r="I647" s="825"/>
      <c r="J647" s="825"/>
      <c r="M647" s="825"/>
      <c r="N647" s="825"/>
      <c r="O647" s="825"/>
      <c r="P647" s="825"/>
      <c r="Q647" s="825"/>
      <c r="R647" s="825"/>
      <c r="S647" s="825"/>
      <c r="T647" s="825"/>
      <c r="U647" s="825"/>
      <c r="V647" s="825"/>
      <c r="W647" s="825"/>
      <c r="X647" s="825"/>
      <c r="Y647" s="825"/>
      <c r="Z647" s="825"/>
      <c r="AA647" s="825"/>
      <c r="AB647" s="825"/>
      <c r="AC647" s="825"/>
    </row>
    <row r="648" spans="1:29" ht="15.8" customHeight="1" x14ac:dyDescent="0.3">
      <c r="A648" s="825"/>
      <c r="C648" s="825"/>
      <c r="D648" s="21"/>
      <c r="E648" s="17"/>
      <c r="F648" s="825"/>
      <c r="G648" s="825"/>
      <c r="H648" s="21"/>
      <c r="I648" s="825"/>
      <c r="J648" s="825"/>
      <c r="M648" s="825"/>
      <c r="N648" s="825"/>
      <c r="O648" s="825"/>
      <c r="P648" s="825"/>
      <c r="Q648" s="825"/>
      <c r="R648" s="825"/>
      <c r="S648" s="825"/>
      <c r="T648" s="825"/>
      <c r="U648" s="825"/>
      <c r="V648" s="825"/>
      <c r="W648" s="825"/>
      <c r="X648" s="825"/>
      <c r="Y648" s="825"/>
      <c r="Z648" s="825"/>
      <c r="AA648" s="825"/>
      <c r="AB648" s="825"/>
      <c r="AC648" s="825"/>
    </row>
    <row r="649" spans="1:29" ht="15.8" customHeight="1" x14ac:dyDescent="0.3">
      <c r="A649" s="825"/>
      <c r="C649" s="825"/>
      <c r="D649" s="21"/>
      <c r="E649" s="17"/>
      <c r="F649" s="825"/>
      <c r="G649" s="825"/>
      <c r="H649" s="21"/>
      <c r="I649" s="825"/>
      <c r="J649" s="825"/>
      <c r="M649" s="825"/>
      <c r="N649" s="825"/>
      <c r="O649" s="825"/>
      <c r="P649" s="825"/>
      <c r="Q649" s="825"/>
      <c r="R649" s="825"/>
      <c r="S649" s="825"/>
      <c r="T649" s="825"/>
      <c r="U649" s="825"/>
      <c r="V649" s="825"/>
      <c r="W649" s="825"/>
      <c r="X649" s="825"/>
      <c r="Y649" s="825"/>
      <c r="Z649" s="825"/>
      <c r="AA649" s="825"/>
      <c r="AB649" s="825"/>
      <c r="AC649" s="825"/>
    </row>
    <row r="650" spans="1:29" ht="15.8" customHeight="1" x14ac:dyDescent="0.3">
      <c r="A650" s="825"/>
      <c r="C650" s="825"/>
      <c r="D650" s="21"/>
      <c r="E650" s="17"/>
      <c r="F650" s="825"/>
      <c r="G650" s="825"/>
      <c r="H650" s="21"/>
      <c r="I650" s="825"/>
      <c r="J650" s="825"/>
      <c r="M650" s="825"/>
      <c r="N650" s="825"/>
      <c r="O650" s="825"/>
      <c r="P650" s="825"/>
      <c r="Q650" s="825"/>
      <c r="R650" s="825"/>
      <c r="S650" s="825"/>
      <c r="T650" s="825"/>
      <c r="U650" s="825"/>
      <c r="V650" s="825"/>
      <c r="W650" s="825"/>
      <c r="X650" s="825"/>
      <c r="Y650" s="825"/>
      <c r="Z650" s="825"/>
      <c r="AA650" s="825"/>
      <c r="AB650" s="825"/>
      <c r="AC650" s="825"/>
    </row>
    <row r="651" spans="1:29" ht="15.8" customHeight="1" x14ac:dyDescent="0.3">
      <c r="A651" s="825"/>
      <c r="C651" s="825"/>
      <c r="D651" s="21"/>
      <c r="E651" s="17"/>
      <c r="F651" s="825"/>
      <c r="G651" s="825"/>
      <c r="H651" s="21"/>
      <c r="I651" s="825"/>
      <c r="J651" s="825"/>
      <c r="M651" s="825"/>
      <c r="N651" s="825"/>
      <c r="O651" s="825"/>
      <c r="P651" s="825"/>
      <c r="Q651" s="825"/>
      <c r="R651" s="825"/>
      <c r="S651" s="825"/>
      <c r="T651" s="825"/>
      <c r="U651" s="825"/>
      <c r="V651" s="825"/>
      <c r="W651" s="825"/>
      <c r="X651" s="825"/>
      <c r="Y651" s="825"/>
      <c r="Z651" s="825"/>
      <c r="AA651" s="825"/>
      <c r="AB651" s="825"/>
      <c r="AC651" s="825"/>
    </row>
    <row r="652" spans="1:29" ht="15.8" customHeight="1" x14ac:dyDescent="0.3">
      <c r="A652" s="825"/>
      <c r="C652" s="825"/>
      <c r="D652" s="21"/>
      <c r="E652" s="17"/>
      <c r="F652" s="825"/>
      <c r="G652" s="825"/>
      <c r="H652" s="21"/>
      <c r="I652" s="825"/>
      <c r="J652" s="825"/>
      <c r="M652" s="825"/>
      <c r="N652" s="825"/>
      <c r="O652" s="825"/>
      <c r="P652" s="825"/>
      <c r="Q652" s="825"/>
      <c r="R652" s="825"/>
      <c r="S652" s="825"/>
      <c r="T652" s="825"/>
      <c r="U652" s="825"/>
      <c r="V652" s="825"/>
      <c r="W652" s="825"/>
      <c r="X652" s="825"/>
      <c r="Y652" s="825"/>
      <c r="Z652" s="825"/>
      <c r="AA652" s="825"/>
      <c r="AB652" s="825"/>
      <c r="AC652" s="825"/>
    </row>
    <row r="653" spans="1:29" ht="15.8" customHeight="1" x14ac:dyDescent="0.3">
      <c r="A653" s="825"/>
      <c r="C653" s="825"/>
      <c r="D653" s="21"/>
      <c r="E653" s="17"/>
      <c r="F653" s="825"/>
      <c r="G653" s="825"/>
      <c r="H653" s="21"/>
      <c r="I653" s="825"/>
      <c r="J653" s="825"/>
      <c r="M653" s="825"/>
      <c r="N653" s="825"/>
      <c r="O653" s="825"/>
      <c r="P653" s="825"/>
      <c r="Q653" s="825"/>
      <c r="R653" s="825"/>
      <c r="S653" s="825"/>
      <c r="T653" s="825"/>
      <c r="U653" s="825"/>
      <c r="V653" s="825"/>
      <c r="W653" s="825"/>
      <c r="X653" s="825"/>
      <c r="Y653" s="825"/>
      <c r="Z653" s="825"/>
      <c r="AA653" s="825"/>
      <c r="AB653" s="825"/>
      <c r="AC653" s="825"/>
    </row>
    <row r="654" spans="1:29" ht="15.8" customHeight="1" x14ac:dyDescent="0.3">
      <c r="A654" s="825"/>
      <c r="C654" s="825"/>
      <c r="D654" s="21"/>
      <c r="E654" s="17"/>
      <c r="F654" s="825"/>
      <c r="G654" s="825"/>
      <c r="H654" s="21"/>
      <c r="I654" s="825"/>
      <c r="J654" s="825"/>
      <c r="M654" s="825"/>
      <c r="N654" s="825"/>
      <c r="O654" s="825"/>
      <c r="P654" s="825"/>
      <c r="Q654" s="825"/>
      <c r="R654" s="825"/>
      <c r="S654" s="825"/>
      <c r="T654" s="825"/>
      <c r="U654" s="825"/>
      <c r="V654" s="825"/>
      <c r="W654" s="825"/>
      <c r="X654" s="825"/>
      <c r="Y654" s="825"/>
      <c r="Z654" s="825"/>
      <c r="AA654" s="825"/>
      <c r="AB654" s="825"/>
      <c r="AC654" s="825"/>
    </row>
    <row r="655" spans="1:29" ht="15.8" customHeight="1" x14ac:dyDescent="0.3">
      <c r="A655" s="825"/>
      <c r="C655" s="825"/>
      <c r="D655" s="21"/>
      <c r="E655" s="17"/>
      <c r="F655" s="825"/>
      <c r="G655" s="825"/>
      <c r="H655" s="21"/>
      <c r="I655" s="825"/>
      <c r="J655" s="825"/>
      <c r="M655" s="825"/>
      <c r="N655" s="825"/>
      <c r="O655" s="825"/>
      <c r="P655" s="825"/>
      <c r="Q655" s="825"/>
      <c r="R655" s="825"/>
      <c r="S655" s="825"/>
      <c r="T655" s="825"/>
      <c r="U655" s="825"/>
      <c r="V655" s="825"/>
      <c r="W655" s="825"/>
      <c r="X655" s="825"/>
      <c r="Y655" s="825"/>
      <c r="Z655" s="825"/>
      <c r="AA655" s="825"/>
      <c r="AB655" s="825"/>
      <c r="AC655" s="825"/>
    </row>
    <row r="656" spans="1:29" ht="15.8" customHeight="1" x14ac:dyDescent="0.3">
      <c r="A656" s="825"/>
      <c r="C656" s="825"/>
      <c r="D656" s="21"/>
      <c r="E656" s="17"/>
      <c r="F656" s="825"/>
      <c r="G656" s="825"/>
      <c r="H656" s="21"/>
      <c r="I656" s="825"/>
      <c r="J656" s="825"/>
      <c r="M656" s="825"/>
      <c r="N656" s="825"/>
      <c r="O656" s="825"/>
      <c r="P656" s="825"/>
      <c r="Q656" s="825"/>
      <c r="R656" s="825"/>
      <c r="S656" s="825"/>
      <c r="T656" s="825"/>
      <c r="U656" s="825"/>
      <c r="V656" s="825"/>
      <c r="W656" s="825"/>
      <c r="X656" s="825"/>
      <c r="Y656" s="825"/>
      <c r="Z656" s="825"/>
      <c r="AA656" s="825"/>
      <c r="AB656" s="825"/>
      <c r="AC656" s="825"/>
    </row>
    <row r="657" spans="1:29" ht="15.8" customHeight="1" x14ac:dyDescent="0.3">
      <c r="A657" s="825"/>
      <c r="C657" s="825"/>
      <c r="D657" s="21"/>
      <c r="E657" s="17"/>
      <c r="F657" s="825"/>
      <c r="G657" s="825"/>
      <c r="H657" s="21"/>
      <c r="I657" s="825"/>
      <c r="J657" s="825"/>
      <c r="M657" s="825"/>
      <c r="N657" s="825"/>
      <c r="O657" s="825"/>
      <c r="P657" s="825"/>
      <c r="Q657" s="825"/>
      <c r="R657" s="825"/>
      <c r="S657" s="825"/>
      <c r="T657" s="825"/>
      <c r="U657" s="825"/>
      <c r="V657" s="825"/>
      <c r="W657" s="825"/>
      <c r="X657" s="825"/>
      <c r="Y657" s="825"/>
      <c r="Z657" s="825"/>
      <c r="AA657" s="825"/>
      <c r="AB657" s="825"/>
      <c r="AC657" s="825"/>
    </row>
    <row r="658" spans="1:29" ht="15.8" customHeight="1" x14ac:dyDescent="0.3">
      <c r="A658" s="825"/>
      <c r="C658" s="825"/>
      <c r="D658" s="21"/>
      <c r="E658" s="17"/>
      <c r="F658" s="825"/>
      <c r="G658" s="825"/>
      <c r="H658" s="21"/>
      <c r="I658" s="825"/>
      <c r="J658" s="825"/>
      <c r="M658" s="825"/>
      <c r="N658" s="825"/>
      <c r="O658" s="825"/>
      <c r="P658" s="825"/>
      <c r="Q658" s="825"/>
      <c r="R658" s="825"/>
      <c r="S658" s="825"/>
      <c r="T658" s="825"/>
      <c r="U658" s="825"/>
      <c r="V658" s="825"/>
      <c r="W658" s="825"/>
      <c r="X658" s="825"/>
      <c r="Y658" s="825"/>
      <c r="Z658" s="825"/>
      <c r="AA658" s="825"/>
      <c r="AB658" s="825"/>
      <c r="AC658" s="825"/>
    </row>
    <row r="659" spans="1:29" ht="15.8" customHeight="1" x14ac:dyDescent="0.3">
      <c r="A659" s="825"/>
      <c r="C659" s="825"/>
      <c r="D659" s="21"/>
      <c r="E659" s="17"/>
      <c r="F659" s="825"/>
      <c r="G659" s="825"/>
      <c r="H659" s="21"/>
      <c r="I659" s="825"/>
      <c r="J659" s="825"/>
      <c r="M659" s="825"/>
      <c r="N659" s="825"/>
      <c r="O659" s="825"/>
      <c r="P659" s="825"/>
      <c r="Q659" s="825"/>
      <c r="R659" s="825"/>
      <c r="S659" s="825"/>
      <c r="T659" s="825"/>
      <c r="U659" s="825"/>
      <c r="V659" s="825"/>
      <c r="W659" s="825"/>
      <c r="X659" s="825"/>
      <c r="Y659" s="825"/>
      <c r="Z659" s="825"/>
      <c r="AA659" s="825"/>
      <c r="AB659" s="825"/>
      <c r="AC659" s="825"/>
    </row>
    <row r="660" spans="1:29" ht="15.8" customHeight="1" x14ac:dyDescent="0.3">
      <c r="A660" s="825"/>
      <c r="C660" s="825"/>
      <c r="D660" s="21"/>
      <c r="E660" s="17"/>
      <c r="F660" s="825"/>
      <c r="G660" s="825"/>
      <c r="H660" s="21"/>
      <c r="I660" s="825"/>
      <c r="J660" s="825"/>
      <c r="M660" s="825"/>
      <c r="N660" s="825"/>
      <c r="O660" s="825"/>
      <c r="P660" s="825"/>
      <c r="Q660" s="825"/>
      <c r="R660" s="825"/>
      <c r="S660" s="825"/>
      <c r="T660" s="825"/>
      <c r="U660" s="825"/>
      <c r="V660" s="825"/>
      <c r="W660" s="825"/>
      <c r="X660" s="825"/>
      <c r="Y660" s="825"/>
      <c r="Z660" s="825"/>
      <c r="AA660" s="825"/>
      <c r="AB660" s="825"/>
      <c r="AC660" s="825"/>
    </row>
    <row r="661" spans="1:29" ht="15.8" customHeight="1" x14ac:dyDescent="0.3">
      <c r="A661" s="825"/>
      <c r="C661" s="825"/>
      <c r="D661" s="21"/>
      <c r="E661" s="17"/>
      <c r="F661" s="825"/>
      <c r="G661" s="825"/>
      <c r="H661" s="21"/>
      <c r="I661" s="825"/>
      <c r="J661" s="825"/>
      <c r="M661" s="825"/>
      <c r="N661" s="825"/>
      <c r="O661" s="825"/>
      <c r="P661" s="825"/>
      <c r="Q661" s="825"/>
      <c r="R661" s="825"/>
      <c r="S661" s="825"/>
      <c r="T661" s="825"/>
      <c r="U661" s="825"/>
      <c r="V661" s="825"/>
      <c r="W661" s="825"/>
      <c r="X661" s="825"/>
      <c r="Y661" s="825"/>
      <c r="Z661" s="825"/>
      <c r="AA661" s="825"/>
      <c r="AB661" s="825"/>
      <c r="AC661" s="825"/>
    </row>
    <row r="662" spans="1:29" ht="15.8" customHeight="1" x14ac:dyDescent="0.3">
      <c r="A662" s="825"/>
      <c r="C662" s="825"/>
      <c r="D662" s="21"/>
      <c r="E662" s="17"/>
      <c r="F662" s="825"/>
      <c r="G662" s="825"/>
      <c r="H662" s="21"/>
      <c r="I662" s="825"/>
      <c r="J662" s="825"/>
      <c r="M662" s="825"/>
      <c r="N662" s="825"/>
      <c r="O662" s="825"/>
      <c r="P662" s="825"/>
      <c r="Q662" s="825"/>
      <c r="R662" s="825"/>
      <c r="S662" s="825"/>
      <c r="T662" s="825"/>
      <c r="U662" s="825"/>
      <c r="V662" s="825"/>
      <c r="W662" s="825"/>
      <c r="X662" s="825"/>
      <c r="Y662" s="825"/>
      <c r="Z662" s="825"/>
      <c r="AA662" s="825"/>
      <c r="AB662" s="825"/>
      <c r="AC662" s="825"/>
    </row>
    <row r="663" spans="1:29" ht="15.8" customHeight="1" x14ac:dyDescent="0.3">
      <c r="A663" s="825"/>
      <c r="C663" s="825"/>
      <c r="D663" s="21"/>
      <c r="E663" s="17"/>
      <c r="F663" s="825"/>
      <c r="G663" s="825"/>
      <c r="H663" s="21"/>
      <c r="I663" s="825"/>
      <c r="J663" s="825"/>
      <c r="M663" s="825"/>
      <c r="N663" s="825"/>
      <c r="O663" s="825"/>
      <c r="P663" s="825"/>
      <c r="Q663" s="825"/>
      <c r="R663" s="825"/>
      <c r="S663" s="825"/>
      <c r="T663" s="825"/>
      <c r="U663" s="825"/>
      <c r="V663" s="825"/>
      <c r="W663" s="825"/>
      <c r="X663" s="825"/>
      <c r="Y663" s="825"/>
      <c r="Z663" s="825"/>
      <c r="AA663" s="825"/>
      <c r="AB663" s="825"/>
      <c r="AC663" s="825"/>
    </row>
    <row r="664" spans="1:29" ht="15.8" customHeight="1" x14ac:dyDescent="0.3">
      <c r="A664" s="825"/>
      <c r="C664" s="825"/>
      <c r="D664" s="21"/>
      <c r="E664" s="17"/>
      <c r="F664" s="825"/>
      <c r="G664" s="825"/>
      <c r="H664" s="21"/>
      <c r="I664" s="825"/>
      <c r="J664" s="825"/>
      <c r="M664" s="825"/>
      <c r="N664" s="825"/>
      <c r="O664" s="825"/>
      <c r="P664" s="825"/>
      <c r="Q664" s="825"/>
      <c r="R664" s="825"/>
      <c r="S664" s="825"/>
      <c r="T664" s="825"/>
      <c r="U664" s="825"/>
      <c r="V664" s="825"/>
      <c r="W664" s="825"/>
      <c r="X664" s="825"/>
      <c r="Y664" s="825"/>
      <c r="Z664" s="825"/>
      <c r="AA664" s="825"/>
      <c r="AB664" s="825"/>
      <c r="AC664" s="825"/>
    </row>
    <row r="665" spans="1:29" ht="15.8" customHeight="1" x14ac:dyDescent="0.3">
      <c r="A665" s="825"/>
      <c r="C665" s="825"/>
      <c r="D665" s="21"/>
      <c r="E665" s="17"/>
      <c r="F665" s="825"/>
      <c r="G665" s="825"/>
      <c r="H665" s="21"/>
      <c r="I665" s="825"/>
      <c r="J665" s="825"/>
      <c r="M665" s="825"/>
      <c r="N665" s="825"/>
      <c r="O665" s="825"/>
      <c r="P665" s="825"/>
      <c r="Q665" s="825"/>
      <c r="R665" s="825"/>
      <c r="S665" s="825"/>
      <c r="T665" s="825"/>
      <c r="U665" s="825"/>
      <c r="V665" s="825"/>
      <c r="W665" s="825"/>
      <c r="X665" s="825"/>
      <c r="Y665" s="825"/>
      <c r="Z665" s="825"/>
      <c r="AA665" s="825"/>
      <c r="AB665" s="825"/>
      <c r="AC665" s="825"/>
    </row>
    <row r="666" spans="1:29" ht="15.8" customHeight="1" x14ac:dyDescent="0.3">
      <c r="A666" s="825"/>
      <c r="C666" s="825"/>
      <c r="D666" s="21"/>
      <c r="E666" s="17"/>
      <c r="F666" s="825"/>
      <c r="G666" s="825"/>
      <c r="H666" s="21"/>
      <c r="I666" s="825"/>
      <c r="J666" s="825"/>
      <c r="M666" s="825"/>
      <c r="N666" s="825"/>
      <c r="O666" s="825"/>
      <c r="P666" s="825"/>
      <c r="Q666" s="825"/>
      <c r="R666" s="825"/>
      <c r="S666" s="825"/>
      <c r="T666" s="825"/>
      <c r="U666" s="825"/>
      <c r="V666" s="825"/>
      <c r="W666" s="825"/>
      <c r="X666" s="825"/>
      <c r="Y666" s="825"/>
      <c r="Z666" s="825"/>
      <c r="AA666" s="825"/>
      <c r="AB666" s="825"/>
      <c r="AC666" s="825"/>
    </row>
    <row r="667" spans="1:29" ht="15.8" customHeight="1" x14ac:dyDescent="0.3">
      <c r="A667" s="825"/>
      <c r="C667" s="825"/>
      <c r="D667" s="21"/>
      <c r="E667" s="17"/>
      <c r="F667" s="825"/>
      <c r="G667" s="825"/>
      <c r="H667" s="21"/>
      <c r="I667" s="825"/>
      <c r="J667" s="825"/>
      <c r="M667" s="825"/>
      <c r="N667" s="825"/>
      <c r="O667" s="825"/>
      <c r="P667" s="825"/>
      <c r="Q667" s="825"/>
      <c r="R667" s="825"/>
      <c r="S667" s="825"/>
      <c r="T667" s="825"/>
      <c r="U667" s="825"/>
      <c r="V667" s="825"/>
      <c r="W667" s="825"/>
      <c r="X667" s="825"/>
      <c r="Y667" s="825"/>
      <c r="Z667" s="825"/>
      <c r="AA667" s="825"/>
      <c r="AB667" s="825"/>
      <c r="AC667" s="825"/>
    </row>
    <row r="668" spans="1:29" ht="15.8" customHeight="1" x14ac:dyDescent="0.3">
      <c r="A668" s="825"/>
      <c r="C668" s="825"/>
      <c r="D668" s="21"/>
      <c r="E668" s="17"/>
      <c r="F668" s="825"/>
      <c r="G668" s="825"/>
      <c r="H668" s="21"/>
      <c r="I668" s="825"/>
      <c r="J668" s="825"/>
      <c r="M668" s="825"/>
      <c r="N668" s="825"/>
      <c r="O668" s="825"/>
      <c r="P668" s="825"/>
      <c r="Q668" s="825"/>
      <c r="R668" s="825"/>
      <c r="S668" s="825"/>
      <c r="T668" s="825"/>
      <c r="U668" s="825"/>
      <c r="V668" s="825"/>
      <c r="W668" s="825"/>
      <c r="X668" s="825"/>
      <c r="Y668" s="825"/>
      <c r="Z668" s="825"/>
      <c r="AA668" s="825"/>
      <c r="AB668" s="825"/>
      <c r="AC668" s="825"/>
    </row>
    <row r="669" spans="1:29" ht="15.8" customHeight="1" x14ac:dyDescent="0.3">
      <c r="A669" s="825"/>
      <c r="C669" s="825"/>
      <c r="D669" s="21"/>
      <c r="E669" s="17"/>
      <c r="F669" s="825"/>
      <c r="G669" s="825"/>
      <c r="H669" s="21"/>
      <c r="I669" s="825"/>
      <c r="J669" s="825"/>
      <c r="M669" s="825"/>
      <c r="N669" s="825"/>
      <c r="O669" s="825"/>
      <c r="P669" s="825"/>
      <c r="Q669" s="825"/>
      <c r="R669" s="825"/>
      <c r="S669" s="825"/>
      <c r="T669" s="825"/>
      <c r="U669" s="825"/>
      <c r="V669" s="825"/>
      <c r="W669" s="825"/>
      <c r="X669" s="825"/>
      <c r="Y669" s="825"/>
      <c r="Z669" s="825"/>
      <c r="AA669" s="825"/>
      <c r="AB669" s="825"/>
      <c r="AC669" s="825"/>
    </row>
    <row r="670" spans="1:29" ht="15.8" customHeight="1" x14ac:dyDescent="0.3">
      <c r="A670" s="825"/>
      <c r="C670" s="825"/>
      <c r="D670" s="21"/>
      <c r="E670" s="17"/>
      <c r="F670" s="825"/>
      <c r="G670" s="825"/>
      <c r="H670" s="21"/>
      <c r="I670" s="825"/>
      <c r="J670" s="825"/>
      <c r="M670" s="825"/>
      <c r="N670" s="825"/>
      <c r="O670" s="825"/>
      <c r="P670" s="825"/>
      <c r="Q670" s="825"/>
      <c r="R670" s="825"/>
      <c r="S670" s="825"/>
      <c r="T670" s="825"/>
      <c r="U670" s="825"/>
      <c r="V670" s="825"/>
      <c r="W670" s="825"/>
      <c r="X670" s="825"/>
      <c r="Y670" s="825"/>
      <c r="Z670" s="825"/>
      <c r="AA670" s="825"/>
      <c r="AB670" s="825"/>
      <c r="AC670" s="825"/>
    </row>
    <row r="671" spans="1:29" ht="15.8" customHeight="1" x14ac:dyDescent="0.3">
      <c r="A671" s="825"/>
      <c r="C671" s="825"/>
      <c r="D671" s="21"/>
      <c r="E671" s="17"/>
      <c r="F671" s="825"/>
      <c r="G671" s="825"/>
      <c r="H671" s="21"/>
      <c r="I671" s="825"/>
      <c r="J671" s="825"/>
      <c r="M671" s="825"/>
      <c r="N671" s="825"/>
      <c r="O671" s="825"/>
      <c r="P671" s="825"/>
      <c r="Q671" s="825"/>
      <c r="R671" s="825"/>
      <c r="S671" s="825"/>
      <c r="T671" s="825"/>
      <c r="U671" s="825"/>
      <c r="V671" s="825"/>
      <c r="W671" s="825"/>
      <c r="X671" s="825"/>
      <c r="Y671" s="825"/>
      <c r="Z671" s="825"/>
      <c r="AA671" s="825"/>
      <c r="AB671" s="825"/>
      <c r="AC671" s="825"/>
    </row>
    <row r="672" spans="1:29" ht="15.8" customHeight="1" x14ac:dyDescent="0.3">
      <c r="A672" s="825"/>
      <c r="C672" s="825"/>
      <c r="D672" s="21"/>
      <c r="E672" s="17"/>
      <c r="F672" s="825"/>
      <c r="G672" s="825"/>
      <c r="H672" s="21"/>
      <c r="I672" s="825"/>
      <c r="J672" s="825"/>
      <c r="M672" s="825"/>
      <c r="N672" s="825"/>
      <c r="O672" s="825"/>
      <c r="P672" s="825"/>
      <c r="Q672" s="825"/>
      <c r="R672" s="825"/>
      <c r="S672" s="825"/>
      <c r="T672" s="825"/>
      <c r="U672" s="825"/>
      <c r="V672" s="825"/>
      <c r="W672" s="825"/>
      <c r="X672" s="825"/>
      <c r="Y672" s="825"/>
      <c r="Z672" s="825"/>
      <c r="AA672" s="825"/>
      <c r="AB672" s="825"/>
      <c r="AC672" s="825"/>
    </row>
    <row r="673" spans="1:29" ht="15.8" customHeight="1" x14ac:dyDescent="0.3">
      <c r="A673" s="825"/>
      <c r="C673" s="825"/>
      <c r="D673" s="21"/>
      <c r="E673" s="17"/>
      <c r="F673" s="825"/>
      <c r="G673" s="825"/>
      <c r="H673" s="21"/>
      <c r="I673" s="825"/>
      <c r="J673" s="825"/>
      <c r="M673" s="825"/>
      <c r="N673" s="825"/>
      <c r="O673" s="825"/>
      <c r="P673" s="825"/>
      <c r="Q673" s="825"/>
      <c r="R673" s="825"/>
      <c r="S673" s="825"/>
      <c r="T673" s="825"/>
      <c r="U673" s="825"/>
      <c r="V673" s="825"/>
      <c r="W673" s="825"/>
      <c r="X673" s="825"/>
      <c r="Y673" s="825"/>
      <c r="Z673" s="825"/>
      <c r="AA673" s="825"/>
      <c r="AB673" s="825"/>
      <c r="AC673" s="825"/>
    </row>
    <row r="674" spans="1:29" ht="15.8" customHeight="1" x14ac:dyDescent="0.3">
      <c r="A674" s="825"/>
      <c r="C674" s="825"/>
      <c r="D674" s="21"/>
      <c r="E674" s="17"/>
      <c r="F674" s="825"/>
      <c r="G674" s="825"/>
      <c r="H674" s="21"/>
      <c r="I674" s="825"/>
      <c r="J674" s="825"/>
      <c r="M674" s="825"/>
      <c r="N674" s="825"/>
      <c r="O674" s="825"/>
      <c r="P674" s="825"/>
      <c r="Q674" s="825"/>
      <c r="R674" s="825"/>
      <c r="S674" s="825"/>
      <c r="T674" s="825"/>
      <c r="U674" s="825"/>
      <c r="V674" s="825"/>
      <c r="W674" s="825"/>
      <c r="X674" s="825"/>
      <c r="Y674" s="825"/>
      <c r="Z674" s="825"/>
      <c r="AA674" s="825"/>
      <c r="AB674" s="825"/>
      <c r="AC674" s="825"/>
    </row>
    <row r="675" spans="1:29" ht="15.8" customHeight="1" x14ac:dyDescent="0.3">
      <c r="A675" s="825"/>
      <c r="C675" s="825"/>
      <c r="D675" s="21"/>
      <c r="E675" s="17"/>
      <c r="F675" s="825"/>
      <c r="G675" s="825"/>
      <c r="H675" s="21"/>
      <c r="I675" s="825"/>
      <c r="J675" s="825"/>
      <c r="M675" s="825"/>
      <c r="N675" s="825"/>
      <c r="O675" s="825"/>
      <c r="P675" s="825"/>
      <c r="Q675" s="825"/>
      <c r="R675" s="825"/>
      <c r="S675" s="825"/>
      <c r="T675" s="825"/>
      <c r="U675" s="825"/>
      <c r="V675" s="825"/>
      <c r="W675" s="825"/>
      <c r="X675" s="825"/>
      <c r="Y675" s="825"/>
      <c r="Z675" s="825"/>
      <c r="AA675" s="825"/>
      <c r="AB675" s="825"/>
      <c r="AC675" s="825"/>
    </row>
    <row r="676" spans="1:29" ht="15.8" customHeight="1" x14ac:dyDescent="0.3">
      <c r="A676" s="825"/>
      <c r="C676" s="825"/>
      <c r="D676" s="21"/>
      <c r="E676" s="17"/>
      <c r="F676" s="825"/>
      <c r="G676" s="825"/>
      <c r="H676" s="21"/>
      <c r="I676" s="825"/>
      <c r="J676" s="825"/>
      <c r="M676" s="825"/>
      <c r="N676" s="825"/>
      <c r="O676" s="825"/>
      <c r="P676" s="825"/>
      <c r="Q676" s="825"/>
      <c r="R676" s="825"/>
      <c r="S676" s="825"/>
      <c r="T676" s="825"/>
      <c r="U676" s="825"/>
      <c r="V676" s="825"/>
      <c r="W676" s="825"/>
      <c r="X676" s="825"/>
      <c r="Y676" s="825"/>
      <c r="Z676" s="825"/>
      <c r="AA676" s="825"/>
      <c r="AB676" s="825"/>
      <c r="AC676" s="825"/>
    </row>
    <row r="677" spans="1:29" ht="15.8" customHeight="1" x14ac:dyDescent="0.3">
      <c r="A677" s="825"/>
      <c r="C677" s="825"/>
      <c r="D677" s="21"/>
      <c r="E677" s="17"/>
      <c r="F677" s="825"/>
      <c r="G677" s="825"/>
      <c r="H677" s="21"/>
      <c r="I677" s="825"/>
      <c r="J677" s="825"/>
      <c r="M677" s="825"/>
      <c r="N677" s="825"/>
      <c r="O677" s="825"/>
      <c r="P677" s="825"/>
      <c r="Q677" s="825"/>
      <c r="R677" s="825"/>
      <c r="S677" s="825"/>
      <c r="T677" s="825"/>
      <c r="U677" s="825"/>
      <c r="V677" s="825"/>
      <c r="W677" s="825"/>
      <c r="X677" s="825"/>
      <c r="Y677" s="825"/>
      <c r="Z677" s="825"/>
      <c r="AA677" s="825"/>
      <c r="AB677" s="825"/>
      <c r="AC677" s="825"/>
    </row>
    <row r="678" spans="1:29" ht="15.8" customHeight="1" x14ac:dyDescent="0.3">
      <c r="A678" s="825"/>
      <c r="C678" s="825"/>
      <c r="D678" s="21"/>
      <c r="E678" s="17"/>
      <c r="F678" s="825"/>
      <c r="G678" s="825"/>
      <c r="H678" s="21"/>
      <c r="I678" s="825"/>
      <c r="J678" s="825"/>
      <c r="M678" s="825"/>
      <c r="N678" s="825"/>
      <c r="O678" s="825"/>
      <c r="P678" s="825"/>
      <c r="Q678" s="825"/>
      <c r="R678" s="825"/>
      <c r="S678" s="825"/>
      <c r="T678" s="825"/>
      <c r="U678" s="825"/>
      <c r="V678" s="825"/>
      <c r="W678" s="825"/>
      <c r="X678" s="825"/>
      <c r="Y678" s="825"/>
      <c r="Z678" s="825"/>
      <c r="AA678" s="825"/>
      <c r="AB678" s="825"/>
      <c r="AC678" s="825"/>
    </row>
    <row r="679" spans="1:29" ht="15.8" customHeight="1" x14ac:dyDescent="0.3">
      <c r="A679" s="825"/>
      <c r="C679" s="825"/>
      <c r="D679" s="21"/>
      <c r="E679" s="17"/>
      <c r="F679" s="825"/>
      <c r="G679" s="825"/>
      <c r="H679" s="21"/>
      <c r="I679" s="825"/>
      <c r="J679" s="825"/>
      <c r="M679" s="825"/>
      <c r="N679" s="825"/>
      <c r="O679" s="825"/>
      <c r="P679" s="825"/>
      <c r="Q679" s="825"/>
      <c r="R679" s="825"/>
      <c r="S679" s="825"/>
      <c r="T679" s="825"/>
      <c r="U679" s="825"/>
      <c r="V679" s="825"/>
      <c r="W679" s="825"/>
      <c r="X679" s="825"/>
      <c r="Y679" s="825"/>
      <c r="Z679" s="825"/>
      <c r="AA679" s="825"/>
      <c r="AB679" s="825"/>
      <c r="AC679" s="825"/>
    </row>
    <row r="680" spans="1:29" ht="15.8" customHeight="1" x14ac:dyDescent="0.3">
      <c r="A680" s="825"/>
      <c r="C680" s="825"/>
      <c r="D680" s="21"/>
      <c r="E680" s="17"/>
      <c r="F680" s="825"/>
      <c r="G680" s="825"/>
      <c r="H680" s="21"/>
      <c r="I680" s="825"/>
      <c r="J680" s="825"/>
      <c r="M680" s="825"/>
      <c r="N680" s="825"/>
      <c r="O680" s="825"/>
      <c r="P680" s="825"/>
      <c r="Q680" s="825"/>
      <c r="R680" s="825"/>
      <c r="S680" s="825"/>
      <c r="T680" s="825"/>
      <c r="U680" s="825"/>
      <c r="V680" s="825"/>
      <c r="W680" s="825"/>
      <c r="X680" s="825"/>
      <c r="Y680" s="825"/>
      <c r="Z680" s="825"/>
      <c r="AA680" s="825"/>
      <c r="AB680" s="825"/>
      <c r="AC680" s="825"/>
    </row>
    <row r="681" spans="1:29" ht="15.8" customHeight="1" x14ac:dyDescent="0.3">
      <c r="A681" s="825"/>
      <c r="C681" s="825"/>
      <c r="D681" s="21"/>
      <c r="E681" s="17"/>
      <c r="F681" s="825"/>
      <c r="G681" s="825"/>
      <c r="H681" s="21"/>
      <c r="I681" s="825"/>
      <c r="J681" s="825"/>
      <c r="M681" s="825"/>
      <c r="N681" s="825"/>
      <c r="O681" s="825"/>
      <c r="P681" s="825"/>
      <c r="Q681" s="825"/>
      <c r="R681" s="825"/>
      <c r="S681" s="825"/>
      <c r="T681" s="825"/>
      <c r="U681" s="825"/>
      <c r="V681" s="825"/>
      <c r="W681" s="825"/>
      <c r="X681" s="825"/>
      <c r="Y681" s="825"/>
      <c r="Z681" s="825"/>
      <c r="AA681" s="825"/>
      <c r="AB681" s="825"/>
      <c r="AC681" s="825"/>
    </row>
    <row r="682" spans="1:29" ht="15.8" customHeight="1" x14ac:dyDescent="0.3">
      <c r="A682" s="825"/>
      <c r="C682" s="825"/>
      <c r="D682" s="21"/>
      <c r="E682" s="17"/>
      <c r="F682" s="825"/>
      <c r="G682" s="825"/>
      <c r="H682" s="21"/>
      <c r="I682" s="825"/>
      <c r="J682" s="825"/>
      <c r="M682" s="825"/>
      <c r="N682" s="825"/>
      <c r="O682" s="825"/>
      <c r="P682" s="825"/>
      <c r="Q682" s="825"/>
      <c r="R682" s="825"/>
      <c r="S682" s="825"/>
      <c r="T682" s="825"/>
      <c r="U682" s="825"/>
      <c r="V682" s="825"/>
      <c r="W682" s="825"/>
      <c r="X682" s="825"/>
      <c r="Y682" s="825"/>
      <c r="Z682" s="825"/>
      <c r="AA682" s="825"/>
      <c r="AB682" s="825"/>
      <c r="AC682" s="825"/>
    </row>
    <row r="683" spans="1:29" ht="15.8" customHeight="1" x14ac:dyDescent="0.3">
      <c r="A683" s="825"/>
      <c r="C683" s="825"/>
      <c r="D683" s="21"/>
      <c r="E683" s="17"/>
      <c r="F683" s="825"/>
      <c r="G683" s="825"/>
      <c r="H683" s="21"/>
      <c r="I683" s="825"/>
      <c r="J683" s="825"/>
      <c r="M683" s="825"/>
      <c r="N683" s="825"/>
      <c r="O683" s="825"/>
      <c r="P683" s="825"/>
      <c r="Q683" s="825"/>
      <c r="R683" s="825"/>
      <c r="S683" s="825"/>
      <c r="T683" s="825"/>
      <c r="U683" s="825"/>
      <c r="V683" s="825"/>
      <c r="W683" s="825"/>
      <c r="X683" s="825"/>
      <c r="Y683" s="825"/>
      <c r="Z683" s="825"/>
      <c r="AA683" s="825"/>
      <c r="AB683" s="825"/>
      <c r="AC683" s="825"/>
    </row>
    <row r="684" spans="1:29" ht="15.8" customHeight="1" x14ac:dyDescent="0.3">
      <c r="A684" s="825"/>
      <c r="C684" s="825"/>
      <c r="D684" s="21"/>
      <c r="E684" s="17"/>
      <c r="F684" s="825"/>
      <c r="G684" s="825"/>
      <c r="H684" s="21"/>
      <c r="I684" s="825"/>
      <c r="J684" s="825"/>
      <c r="M684" s="825"/>
      <c r="N684" s="825"/>
      <c r="O684" s="825"/>
      <c r="P684" s="825"/>
      <c r="Q684" s="825"/>
      <c r="R684" s="825"/>
      <c r="S684" s="825"/>
      <c r="T684" s="825"/>
      <c r="U684" s="825"/>
      <c r="V684" s="825"/>
      <c r="W684" s="825"/>
      <c r="X684" s="825"/>
      <c r="Y684" s="825"/>
      <c r="Z684" s="825"/>
      <c r="AA684" s="825"/>
      <c r="AB684" s="825"/>
      <c r="AC684" s="825"/>
    </row>
    <row r="685" spans="1:29" ht="15.8" customHeight="1" x14ac:dyDescent="0.3">
      <c r="A685" s="825"/>
      <c r="C685" s="825"/>
      <c r="D685" s="21"/>
      <c r="E685" s="17"/>
      <c r="F685" s="825"/>
      <c r="G685" s="825"/>
      <c r="H685" s="21"/>
      <c r="I685" s="825"/>
      <c r="J685" s="825"/>
      <c r="M685" s="825"/>
      <c r="N685" s="825"/>
      <c r="O685" s="825"/>
      <c r="P685" s="825"/>
      <c r="Q685" s="825"/>
      <c r="R685" s="825"/>
      <c r="S685" s="825"/>
      <c r="T685" s="825"/>
      <c r="U685" s="825"/>
      <c r="V685" s="825"/>
      <c r="W685" s="825"/>
      <c r="X685" s="825"/>
      <c r="Y685" s="825"/>
      <c r="Z685" s="825"/>
      <c r="AA685" s="825"/>
      <c r="AB685" s="825"/>
      <c r="AC685" s="825"/>
    </row>
    <row r="686" spans="1:29" ht="15.8" customHeight="1" x14ac:dyDescent="0.3">
      <c r="A686" s="825"/>
      <c r="C686" s="825"/>
      <c r="D686" s="21"/>
      <c r="E686" s="17"/>
      <c r="F686" s="825"/>
      <c r="G686" s="825"/>
      <c r="H686" s="21"/>
      <c r="I686" s="825"/>
      <c r="J686" s="825"/>
      <c r="M686" s="825"/>
      <c r="N686" s="825"/>
      <c r="O686" s="825"/>
      <c r="P686" s="825"/>
      <c r="Q686" s="825"/>
      <c r="R686" s="825"/>
      <c r="S686" s="825"/>
      <c r="T686" s="825"/>
      <c r="U686" s="825"/>
      <c r="V686" s="825"/>
      <c r="W686" s="825"/>
      <c r="X686" s="825"/>
      <c r="Y686" s="825"/>
      <c r="Z686" s="825"/>
      <c r="AA686" s="825"/>
      <c r="AB686" s="825"/>
      <c r="AC686" s="825"/>
    </row>
    <row r="687" spans="1:29" ht="15.8" customHeight="1" x14ac:dyDescent="0.3">
      <c r="A687" s="825"/>
      <c r="C687" s="825"/>
      <c r="D687" s="21"/>
      <c r="E687" s="17"/>
      <c r="F687" s="825"/>
      <c r="G687" s="825"/>
      <c r="H687" s="21"/>
      <c r="I687" s="825"/>
      <c r="J687" s="825"/>
      <c r="M687" s="825"/>
      <c r="N687" s="825"/>
      <c r="O687" s="825"/>
      <c r="P687" s="825"/>
      <c r="Q687" s="825"/>
      <c r="R687" s="825"/>
      <c r="S687" s="825"/>
      <c r="T687" s="825"/>
      <c r="U687" s="825"/>
      <c r="V687" s="825"/>
      <c r="W687" s="825"/>
      <c r="X687" s="825"/>
      <c r="Y687" s="825"/>
      <c r="Z687" s="825"/>
      <c r="AA687" s="825"/>
      <c r="AB687" s="825"/>
      <c r="AC687" s="825"/>
    </row>
    <row r="688" spans="1:29" ht="15.8" customHeight="1" x14ac:dyDescent="0.3">
      <c r="A688" s="825"/>
      <c r="C688" s="825"/>
      <c r="D688" s="21"/>
      <c r="E688" s="17"/>
      <c r="F688" s="825"/>
      <c r="G688" s="825"/>
      <c r="H688" s="21"/>
      <c r="I688" s="825"/>
      <c r="J688" s="825"/>
      <c r="M688" s="825"/>
      <c r="N688" s="825"/>
      <c r="O688" s="825"/>
      <c r="P688" s="825"/>
      <c r="Q688" s="825"/>
      <c r="R688" s="825"/>
      <c r="S688" s="825"/>
      <c r="T688" s="825"/>
      <c r="U688" s="825"/>
      <c r="V688" s="825"/>
      <c r="W688" s="825"/>
      <c r="X688" s="825"/>
      <c r="Y688" s="825"/>
      <c r="Z688" s="825"/>
      <c r="AA688" s="825"/>
      <c r="AB688" s="825"/>
      <c r="AC688" s="825"/>
    </row>
    <row r="689" spans="1:29" ht="15.8" customHeight="1" x14ac:dyDescent="0.3">
      <c r="A689" s="825"/>
      <c r="C689" s="825"/>
      <c r="D689" s="21"/>
      <c r="E689" s="17"/>
      <c r="F689" s="825"/>
      <c r="G689" s="825"/>
      <c r="H689" s="21"/>
      <c r="I689" s="825"/>
      <c r="J689" s="825"/>
      <c r="M689" s="825"/>
      <c r="N689" s="825"/>
      <c r="O689" s="825"/>
      <c r="P689" s="825"/>
      <c r="Q689" s="825"/>
      <c r="R689" s="825"/>
      <c r="S689" s="825"/>
      <c r="T689" s="825"/>
      <c r="U689" s="825"/>
      <c r="V689" s="825"/>
      <c r="W689" s="825"/>
      <c r="X689" s="825"/>
      <c r="Y689" s="825"/>
      <c r="Z689" s="825"/>
      <c r="AA689" s="825"/>
      <c r="AB689" s="825"/>
      <c r="AC689" s="825"/>
    </row>
    <row r="690" spans="1:29" ht="15.8" customHeight="1" x14ac:dyDescent="0.3">
      <c r="A690" s="825"/>
      <c r="C690" s="825"/>
      <c r="D690" s="21"/>
      <c r="E690" s="17"/>
      <c r="F690" s="825"/>
      <c r="G690" s="825"/>
      <c r="H690" s="21"/>
      <c r="I690" s="825"/>
      <c r="J690" s="825"/>
      <c r="M690" s="825"/>
      <c r="N690" s="825"/>
      <c r="O690" s="825"/>
      <c r="P690" s="825"/>
      <c r="Q690" s="825"/>
      <c r="R690" s="825"/>
      <c r="S690" s="825"/>
      <c r="T690" s="825"/>
      <c r="U690" s="825"/>
      <c r="V690" s="825"/>
      <c r="W690" s="825"/>
      <c r="X690" s="825"/>
      <c r="Y690" s="825"/>
      <c r="Z690" s="825"/>
      <c r="AA690" s="825"/>
      <c r="AB690" s="825"/>
      <c r="AC690" s="825"/>
    </row>
    <row r="691" spans="1:29" ht="15.8" customHeight="1" x14ac:dyDescent="0.3">
      <c r="A691" s="825"/>
      <c r="C691" s="825"/>
      <c r="D691" s="21"/>
      <c r="E691" s="17"/>
      <c r="F691" s="825"/>
      <c r="G691" s="825"/>
      <c r="H691" s="21"/>
      <c r="I691" s="825"/>
      <c r="J691" s="825"/>
      <c r="M691" s="825"/>
      <c r="N691" s="825"/>
      <c r="O691" s="825"/>
      <c r="P691" s="825"/>
      <c r="Q691" s="825"/>
      <c r="R691" s="825"/>
      <c r="S691" s="825"/>
      <c r="T691" s="825"/>
      <c r="U691" s="825"/>
      <c r="V691" s="825"/>
      <c r="W691" s="825"/>
      <c r="X691" s="825"/>
      <c r="Y691" s="825"/>
      <c r="Z691" s="825"/>
      <c r="AA691" s="825"/>
      <c r="AB691" s="825"/>
      <c r="AC691" s="825"/>
    </row>
    <row r="692" spans="1:29" ht="15.8" customHeight="1" x14ac:dyDescent="0.3">
      <c r="A692" s="825"/>
      <c r="C692" s="825"/>
      <c r="D692" s="21"/>
      <c r="E692" s="17"/>
      <c r="F692" s="825"/>
      <c r="G692" s="825"/>
      <c r="H692" s="21"/>
      <c r="I692" s="825"/>
      <c r="J692" s="825"/>
      <c r="M692" s="825"/>
      <c r="N692" s="825"/>
      <c r="O692" s="825"/>
      <c r="P692" s="825"/>
      <c r="Q692" s="825"/>
      <c r="R692" s="825"/>
      <c r="S692" s="825"/>
      <c r="T692" s="825"/>
      <c r="U692" s="825"/>
      <c r="V692" s="825"/>
      <c r="W692" s="825"/>
      <c r="X692" s="825"/>
      <c r="Y692" s="825"/>
      <c r="Z692" s="825"/>
      <c r="AA692" s="825"/>
      <c r="AB692" s="825"/>
      <c r="AC692" s="825"/>
    </row>
    <row r="693" spans="1:29" ht="15.8" customHeight="1" x14ac:dyDescent="0.3">
      <c r="A693" s="825"/>
      <c r="C693" s="825"/>
      <c r="D693" s="21"/>
      <c r="E693" s="17"/>
      <c r="F693" s="825"/>
      <c r="G693" s="825"/>
      <c r="H693" s="21"/>
      <c r="I693" s="825"/>
      <c r="J693" s="825"/>
      <c r="M693" s="825"/>
      <c r="N693" s="825"/>
      <c r="O693" s="825"/>
      <c r="P693" s="825"/>
      <c r="Q693" s="825"/>
      <c r="R693" s="825"/>
      <c r="S693" s="825"/>
      <c r="T693" s="825"/>
      <c r="U693" s="825"/>
      <c r="V693" s="825"/>
      <c r="W693" s="825"/>
      <c r="X693" s="825"/>
      <c r="Y693" s="825"/>
      <c r="Z693" s="825"/>
      <c r="AA693" s="825"/>
      <c r="AB693" s="825"/>
      <c r="AC693" s="825"/>
    </row>
    <row r="694" spans="1:29" ht="15.8" customHeight="1" x14ac:dyDescent="0.3">
      <c r="A694" s="825"/>
      <c r="C694" s="825"/>
      <c r="D694" s="21"/>
      <c r="E694" s="17"/>
      <c r="F694" s="825"/>
      <c r="G694" s="825"/>
      <c r="H694" s="21"/>
      <c r="I694" s="825"/>
      <c r="J694" s="825"/>
      <c r="M694" s="825"/>
      <c r="N694" s="825"/>
      <c r="O694" s="825"/>
      <c r="P694" s="825"/>
      <c r="Q694" s="825"/>
      <c r="R694" s="825"/>
      <c r="S694" s="825"/>
      <c r="T694" s="825"/>
      <c r="U694" s="825"/>
      <c r="V694" s="825"/>
      <c r="W694" s="825"/>
      <c r="X694" s="825"/>
      <c r="Y694" s="825"/>
      <c r="Z694" s="825"/>
      <c r="AA694" s="825"/>
      <c r="AB694" s="825"/>
      <c r="AC694" s="825"/>
    </row>
    <row r="695" spans="1:29" ht="15.8" customHeight="1" x14ac:dyDescent="0.3">
      <c r="A695" s="825"/>
      <c r="C695" s="825"/>
      <c r="D695" s="21"/>
      <c r="E695" s="17"/>
      <c r="F695" s="825"/>
      <c r="G695" s="825"/>
      <c r="H695" s="21"/>
      <c r="I695" s="825"/>
      <c r="J695" s="825"/>
      <c r="M695" s="825"/>
      <c r="N695" s="825"/>
      <c r="O695" s="825"/>
      <c r="P695" s="825"/>
      <c r="Q695" s="825"/>
      <c r="R695" s="825"/>
      <c r="S695" s="825"/>
      <c r="T695" s="825"/>
      <c r="U695" s="825"/>
      <c r="V695" s="825"/>
      <c r="W695" s="825"/>
      <c r="X695" s="825"/>
      <c r="Y695" s="825"/>
      <c r="Z695" s="825"/>
      <c r="AA695" s="825"/>
      <c r="AB695" s="825"/>
      <c r="AC695" s="825"/>
    </row>
    <row r="696" spans="1:29" ht="15.8" customHeight="1" x14ac:dyDescent="0.3">
      <c r="A696" s="825"/>
      <c r="C696" s="825"/>
      <c r="D696" s="21"/>
      <c r="E696" s="17"/>
      <c r="F696" s="825"/>
      <c r="G696" s="825"/>
      <c r="H696" s="21"/>
      <c r="I696" s="825"/>
      <c r="J696" s="825"/>
      <c r="M696" s="825"/>
      <c r="N696" s="825"/>
      <c r="O696" s="825"/>
      <c r="P696" s="825"/>
      <c r="Q696" s="825"/>
      <c r="R696" s="825"/>
      <c r="S696" s="825"/>
      <c r="T696" s="825"/>
      <c r="U696" s="825"/>
      <c r="V696" s="825"/>
      <c r="W696" s="825"/>
      <c r="X696" s="825"/>
      <c r="Y696" s="825"/>
      <c r="Z696" s="825"/>
      <c r="AA696" s="825"/>
      <c r="AB696" s="825"/>
      <c r="AC696" s="825"/>
    </row>
    <row r="697" spans="1:29" ht="15.8" customHeight="1" x14ac:dyDescent="0.3">
      <c r="A697" s="825"/>
      <c r="C697" s="825"/>
      <c r="D697" s="21"/>
      <c r="E697" s="17"/>
      <c r="F697" s="825"/>
      <c r="G697" s="825"/>
      <c r="H697" s="21"/>
      <c r="I697" s="825"/>
      <c r="J697" s="825"/>
      <c r="M697" s="825"/>
      <c r="N697" s="825"/>
      <c r="O697" s="825"/>
      <c r="P697" s="825"/>
      <c r="Q697" s="825"/>
      <c r="R697" s="825"/>
      <c r="S697" s="825"/>
      <c r="T697" s="825"/>
      <c r="U697" s="825"/>
      <c r="V697" s="825"/>
      <c r="W697" s="825"/>
      <c r="X697" s="825"/>
      <c r="Y697" s="825"/>
      <c r="Z697" s="825"/>
      <c r="AA697" s="825"/>
      <c r="AB697" s="825"/>
      <c r="AC697" s="825"/>
    </row>
    <row r="698" spans="1:29" ht="15.8" customHeight="1" x14ac:dyDescent="0.3">
      <c r="A698" s="825"/>
      <c r="C698" s="825"/>
      <c r="D698" s="21"/>
      <c r="E698" s="17"/>
      <c r="F698" s="825"/>
      <c r="G698" s="825"/>
      <c r="H698" s="21"/>
      <c r="I698" s="825"/>
      <c r="J698" s="825"/>
      <c r="M698" s="825"/>
      <c r="N698" s="825"/>
      <c r="O698" s="825"/>
      <c r="P698" s="825"/>
      <c r="Q698" s="825"/>
      <c r="R698" s="825"/>
      <c r="S698" s="825"/>
      <c r="T698" s="825"/>
      <c r="U698" s="825"/>
      <c r="V698" s="825"/>
      <c r="W698" s="825"/>
      <c r="X698" s="825"/>
      <c r="Y698" s="825"/>
      <c r="Z698" s="825"/>
      <c r="AA698" s="825"/>
      <c r="AB698" s="825"/>
      <c r="AC698" s="825"/>
    </row>
    <row r="699" spans="1:29" ht="15.8" customHeight="1" x14ac:dyDescent="0.3">
      <c r="A699" s="825"/>
      <c r="C699" s="825"/>
      <c r="D699" s="21"/>
      <c r="E699" s="17"/>
      <c r="F699" s="825"/>
      <c r="G699" s="825"/>
      <c r="H699" s="21"/>
      <c r="I699" s="825"/>
      <c r="J699" s="825"/>
      <c r="M699" s="825"/>
      <c r="N699" s="825"/>
      <c r="O699" s="825"/>
      <c r="P699" s="825"/>
      <c r="Q699" s="825"/>
      <c r="R699" s="825"/>
      <c r="S699" s="825"/>
      <c r="T699" s="825"/>
      <c r="U699" s="825"/>
      <c r="V699" s="825"/>
      <c r="W699" s="825"/>
      <c r="X699" s="825"/>
      <c r="Y699" s="825"/>
      <c r="Z699" s="825"/>
      <c r="AA699" s="825"/>
      <c r="AB699" s="825"/>
      <c r="AC699" s="825"/>
    </row>
    <row r="700" spans="1:29" ht="15.8" customHeight="1" x14ac:dyDescent="0.3">
      <c r="A700" s="825"/>
      <c r="C700" s="825"/>
      <c r="D700" s="21"/>
      <c r="E700" s="17"/>
      <c r="F700" s="825"/>
      <c r="G700" s="825"/>
      <c r="H700" s="21"/>
      <c r="I700" s="825"/>
      <c r="J700" s="825"/>
      <c r="M700" s="825"/>
      <c r="N700" s="825"/>
      <c r="O700" s="825"/>
      <c r="P700" s="825"/>
      <c r="Q700" s="825"/>
      <c r="R700" s="825"/>
      <c r="S700" s="825"/>
      <c r="T700" s="825"/>
      <c r="U700" s="825"/>
      <c r="V700" s="825"/>
      <c r="W700" s="825"/>
      <c r="X700" s="825"/>
      <c r="Y700" s="825"/>
      <c r="Z700" s="825"/>
      <c r="AA700" s="825"/>
      <c r="AB700" s="825"/>
      <c r="AC700" s="825"/>
    </row>
    <row r="701" spans="1:29" ht="15.8" customHeight="1" x14ac:dyDescent="0.3">
      <c r="A701" s="825"/>
      <c r="C701" s="825"/>
      <c r="D701" s="21"/>
      <c r="E701" s="17"/>
      <c r="F701" s="825"/>
      <c r="G701" s="825"/>
      <c r="H701" s="21"/>
      <c r="I701" s="825"/>
      <c r="J701" s="825"/>
      <c r="M701" s="825"/>
      <c r="N701" s="825"/>
      <c r="O701" s="825"/>
      <c r="P701" s="825"/>
      <c r="Q701" s="825"/>
      <c r="R701" s="825"/>
      <c r="S701" s="825"/>
      <c r="T701" s="825"/>
      <c r="U701" s="825"/>
      <c r="V701" s="825"/>
      <c r="W701" s="825"/>
      <c r="X701" s="825"/>
      <c r="Y701" s="825"/>
      <c r="Z701" s="825"/>
      <c r="AA701" s="825"/>
      <c r="AB701" s="825"/>
      <c r="AC701" s="825"/>
    </row>
    <row r="702" spans="1:29" ht="15.8" customHeight="1" x14ac:dyDescent="0.3">
      <c r="A702" s="825"/>
      <c r="C702" s="825"/>
      <c r="D702" s="21"/>
      <c r="E702" s="17"/>
      <c r="F702" s="825"/>
      <c r="G702" s="825"/>
      <c r="H702" s="21"/>
      <c r="I702" s="825"/>
      <c r="J702" s="825"/>
      <c r="M702" s="825"/>
      <c r="N702" s="825"/>
      <c r="O702" s="825"/>
      <c r="P702" s="825"/>
      <c r="Q702" s="825"/>
      <c r="R702" s="825"/>
      <c r="S702" s="825"/>
      <c r="T702" s="825"/>
      <c r="U702" s="825"/>
      <c r="V702" s="825"/>
      <c r="W702" s="825"/>
      <c r="X702" s="825"/>
      <c r="Y702" s="825"/>
      <c r="Z702" s="825"/>
      <c r="AA702" s="825"/>
      <c r="AB702" s="825"/>
      <c r="AC702" s="825"/>
    </row>
    <row r="703" spans="1:29" ht="15.8" customHeight="1" x14ac:dyDescent="0.3">
      <c r="A703" s="825"/>
      <c r="C703" s="825"/>
      <c r="D703" s="21"/>
      <c r="E703" s="17"/>
      <c r="F703" s="825"/>
      <c r="G703" s="825"/>
      <c r="H703" s="21"/>
      <c r="I703" s="825"/>
      <c r="J703" s="825"/>
      <c r="M703" s="825"/>
      <c r="N703" s="825"/>
      <c r="O703" s="825"/>
      <c r="P703" s="825"/>
      <c r="Q703" s="825"/>
      <c r="R703" s="825"/>
      <c r="S703" s="825"/>
      <c r="T703" s="825"/>
      <c r="U703" s="825"/>
      <c r="V703" s="825"/>
      <c r="W703" s="825"/>
      <c r="X703" s="825"/>
      <c r="Y703" s="825"/>
      <c r="Z703" s="825"/>
      <c r="AA703" s="825"/>
      <c r="AB703" s="825"/>
      <c r="AC703" s="825"/>
    </row>
    <row r="704" spans="1:29" ht="15.8" customHeight="1" x14ac:dyDescent="0.3">
      <c r="A704" s="825"/>
      <c r="C704" s="825"/>
      <c r="D704" s="21"/>
      <c r="E704" s="17"/>
      <c r="F704" s="825"/>
      <c r="G704" s="825"/>
      <c r="H704" s="21"/>
      <c r="I704" s="825"/>
      <c r="J704" s="825"/>
      <c r="M704" s="825"/>
      <c r="N704" s="825"/>
      <c r="O704" s="825"/>
      <c r="P704" s="825"/>
      <c r="Q704" s="825"/>
      <c r="R704" s="825"/>
      <c r="S704" s="825"/>
      <c r="T704" s="825"/>
      <c r="U704" s="825"/>
      <c r="V704" s="825"/>
      <c r="W704" s="825"/>
      <c r="X704" s="825"/>
      <c r="Y704" s="825"/>
      <c r="Z704" s="825"/>
      <c r="AA704" s="825"/>
      <c r="AB704" s="825"/>
      <c r="AC704" s="825"/>
    </row>
    <row r="705" spans="1:29" ht="15.8" customHeight="1" x14ac:dyDescent="0.3">
      <c r="A705" s="825"/>
      <c r="C705" s="825"/>
      <c r="D705" s="21"/>
      <c r="E705" s="17"/>
      <c r="F705" s="825"/>
      <c r="G705" s="825"/>
      <c r="H705" s="21"/>
      <c r="I705" s="825"/>
      <c r="J705" s="825"/>
      <c r="M705" s="825"/>
      <c r="N705" s="825"/>
      <c r="O705" s="825"/>
      <c r="P705" s="825"/>
      <c r="Q705" s="825"/>
      <c r="R705" s="825"/>
      <c r="S705" s="825"/>
      <c r="T705" s="825"/>
      <c r="U705" s="825"/>
      <c r="V705" s="825"/>
      <c r="W705" s="825"/>
      <c r="X705" s="825"/>
      <c r="Y705" s="825"/>
      <c r="Z705" s="825"/>
      <c r="AA705" s="825"/>
      <c r="AB705" s="825"/>
      <c r="AC705" s="825"/>
    </row>
    <row r="706" spans="1:29" ht="15.8" customHeight="1" x14ac:dyDescent="0.3">
      <c r="A706" s="825"/>
      <c r="C706" s="825"/>
      <c r="D706" s="21"/>
      <c r="E706" s="17"/>
      <c r="F706" s="825"/>
      <c r="G706" s="825"/>
      <c r="H706" s="21"/>
      <c r="I706" s="825"/>
      <c r="J706" s="825"/>
      <c r="M706" s="825"/>
      <c r="N706" s="825"/>
      <c r="O706" s="825"/>
      <c r="P706" s="825"/>
      <c r="Q706" s="825"/>
      <c r="R706" s="825"/>
      <c r="S706" s="825"/>
      <c r="T706" s="825"/>
      <c r="U706" s="825"/>
      <c r="V706" s="825"/>
      <c r="W706" s="825"/>
      <c r="X706" s="825"/>
      <c r="Y706" s="825"/>
      <c r="Z706" s="825"/>
      <c r="AA706" s="825"/>
      <c r="AB706" s="825"/>
      <c r="AC706" s="825"/>
    </row>
    <row r="707" spans="1:29" ht="15.8" customHeight="1" x14ac:dyDescent="0.3">
      <c r="A707" s="825"/>
      <c r="C707" s="825"/>
      <c r="D707" s="21"/>
      <c r="E707" s="17"/>
      <c r="F707" s="825"/>
      <c r="G707" s="825"/>
      <c r="H707" s="21"/>
      <c r="I707" s="825"/>
      <c r="J707" s="825"/>
      <c r="M707" s="825"/>
      <c r="N707" s="825"/>
      <c r="O707" s="825"/>
      <c r="P707" s="825"/>
      <c r="Q707" s="825"/>
      <c r="R707" s="825"/>
      <c r="S707" s="825"/>
      <c r="T707" s="825"/>
      <c r="U707" s="825"/>
      <c r="V707" s="825"/>
      <c r="W707" s="825"/>
      <c r="X707" s="825"/>
      <c r="Y707" s="825"/>
      <c r="Z707" s="825"/>
      <c r="AA707" s="825"/>
      <c r="AB707" s="825"/>
      <c r="AC707" s="825"/>
    </row>
    <row r="708" spans="1:29" ht="15.8" customHeight="1" x14ac:dyDescent="0.3">
      <c r="A708" s="825"/>
      <c r="C708" s="825"/>
      <c r="D708" s="21"/>
      <c r="E708" s="17"/>
      <c r="F708" s="825"/>
      <c r="G708" s="825"/>
      <c r="H708" s="21"/>
      <c r="I708" s="825"/>
      <c r="J708" s="825"/>
      <c r="M708" s="825"/>
      <c r="N708" s="825"/>
      <c r="O708" s="825"/>
      <c r="P708" s="825"/>
      <c r="Q708" s="825"/>
      <c r="R708" s="825"/>
      <c r="S708" s="825"/>
      <c r="T708" s="825"/>
      <c r="U708" s="825"/>
      <c r="V708" s="825"/>
      <c r="W708" s="825"/>
      <c r="X708" s="825"/>
      <c r="Y708" s="825"/>
      <c r="Z708" s="825"/>
      <c r="AA708" s="825"/>
      <c r="AB708" s="825"/>
      <c r="AC708" s="825"/>
    </row>
    <row r="709" spans="1:29" ht="15.8" customHeight="1" x14ac:dyDescent="0.3">
      <c r="A709" s="825"/>
      <c r="C709" s="825"/>
      <c r="D709" s="21"/>
      <c r="E709" s="17"/>
      <c r="F709" s="825"/>
      <c r="G709" s="825"/>
      <c r="H709" s="21"/>
      <c r="I709" s="825"/>
      <c r="J709" s="825"/>
      <c r="M709" s="825"/>
      <c r="N709" s="825"/>
      <c r="O709" s="825"/>
      <c r="P709" s="825"/>
      <c r="Q709" s="825"/>
      <c r="R709" s="825"/>
      <c r="S709" s="825"/>
      <c r="T709" s="825"/>
      <c r="U709" s="825"/>
      <c r="V709" s="825"/>
      <c r="W709" s="825"/>
      <c r="X709" s="825"/>
      <c r="Y709" s="825"/>
      <c r="Z709" s="825"/>
      <c r="AA709" s="825"/>
      <c r="AB709" s="825"/>
      <c r="AC709" s="825"/>
    </row>
    <row r="710" spans="1:29" ht="15.8" customHeight="1" x14ac:dyDescent="0.3">
      <c r="A710" s="825"/>
      <c r="C710" s="825"/>
      <c r="D710" s="21"/>
      <c r="E710" s="17"/>
      <c r="F710" s="825"/>
      <c r="G710" s="825"/>
      <c r="H710" s="21"/>
      <c r="I710" s="825"/>
      <c r="J710" s="825"/>
      <c r="M710" s="825"/>
      <c r="N710" s="825"/>
      <c r="O710" s="825"/>
      <c r="P710" s="825"/>
      <c r="Q710" s="825"/>
      <c r="R710" s="825"/>
      <c r="S710" s="825"/>
      <c r="T710" s="825"/>
      <c r="U710" s="825"/>
      <c r="V710" s="825"/>
      <c r="W710" s="825"/>
      <c r="X710" s="825"/>
      <c r="Y710" s="825"/>
      <c r="Z710" s="825"/>
      <c r="AA710" s="825"/>
      <c r="AB710" s="825"/>
      <c r="AC710" s="825"/>
    </row>
    <row r="711" spans="1:29" ht="15.8" customHeight="1" x14ac:dyDescent="0.3">
      <c r="A711" s="825"/>
      <c r="C711" s="825"/>
      <c r="D711" s="21"/>
      <c r="E711" s="17"/>
      <c r="F711" s="825"/>
      <c r="G711" s="825"/>
      <c r="H711" s="21"/>
      <c r="I711" s="825"/>
      <c r="J711" s="825"/>
      <c r="M711" s="825"/>
      <c r="N711" s="825"/>
      <c r="O711" s="825"/>
      <c r="P711" s="825"/>
      <c r="Q711" s="825"/>
      <c r="R711" s="825"/>
      <c r="S711" s="825"/>
      <c r="T711" s="825"/>
      <c r="U711" s="825"/>
      <c r="V711" s="825"/>
      <c r="W711" s="825"/>
      <c r="X711" s="825"/>
      <c r="Y711" s="825"/>
      <c r="Z711" s="825"/>
      <c r="AA711" s="825"/>
      <c r="AB711" s="825"/>
      <c r="AC711" s="825"/>
    </row>
    <row r="712" spans="1:29" ht="15.8" customHeight="1" x14ac:dyDescent="0.3">
      <c r="A712" s="825"/>
      <c r="C712" s="825"/>
      <c r="D712" s="21"/>
      <c r="E712" s="17"/>
      <c r="F712" s="825"/>
      <c r="G712" s="825"/>
      <c r="H712" s="21"/>
      <c r="I712" s="825"/>
      <c r="J712" s="825"/>
      <c r="M712" s="825"/>
      <c r="N712" s="825"/>
      <c r="O712" s="825"/>
      <c r="P712" s="825"/>
      <c r="Q712" s="825"/>
      <c r="R712" s="825"/>
      <c r="S712" s="825"/>
      <c r="T712" s="825"/>
      <c r="U712" s="825"/>
      <c r="V712" s="825"/>
      <c r="W712" s="825"/>
      <c r="X712" s="825"/>
      <c r="Y712" s="825"/>
      <c r="Z712" s="825"/>
      <c r="AA712" s="825"/>
      <c r="AB712" s="825"/>
      <c r="AC712" s="825"/>
    </row>
    <row r="713" spans="1:29" ht="15.8" customHeight="1" x14ac:dyDescent="0.3">
      <c r="A713" s="825"/>
      <c r="C713" s="825"/>
      <c r="D713" s="21"/>
      <c r="E713" s="17"/>
      <c r="F713" s="825"/>
      <c r="G713" s="825"/>
      <c r="H713" s="21"/>
      <c r="I713" s="825"/>
      <c r="J713" s="825"/>
      <c r="M713" s="825"/>
      <c r="N713" s="825"/>
      <c r="O713" s="825"/>
      <c r="P713" s="825"/>
      <c r="Q713" s="825"/>
      <c r="R713" s="825"/>
      <c r="S713" s="825"/>
      <c r="T713" s="825"/>
      <c r="U713" s="825"/>
      <c r="V713" s="825"/>
      <c r="W713" s="825"/>
      <c r="X713" s="825"/>
      <c r="Y713" s="825"/>
      <c r="Z713" s="825"/>
      <c r="AA713" s="825"/>
      <c r="AB713" s="825"/>
      <c r="AC713" s="825"/>
    </row>
    <row r="714" spans="1:29" ht="15.8" customHeight="1" x14ac:dyDescent="0.3">
      <c r="A714" s="825"/>
      <c r="C714" s="825"/>
      <c r="D714" s="21"/>
      <c r="E714" s="17"/>
      <c r="F714" s="825"/>
      <c r="G714" s="825"/>
      <c r="H714" s="21"/>
      <c r="I714" s="825"/>
      <c r="J714" s="825"/>
      <c r="M714" s="825"/>
      <c r="N714" s="825"/>
      <c r="O714" s="825"/>
      <c r="P714" s="825"/>
      <c r="Q714" s="825"/>
      <c r="R714" s="825"/>
      <c r="S714" s="825"/>
      <c r="T714" s="825"/>
      <c r="U714" s="825"/>
      <c r="V714" s="825"/>
      <c r="W714" s="825"/>
      <c r="X714" s="825"/>
      <c r="Y714" s="825"/>
      <c r="Z714" s="825"/>
      <c r="AA714" s="825"/>
      <c r="AB714" s="825"/>
      <c r="AC714" s="825"/>
    </row>
    <row r="715" spans="1:29" ht="15.8" customHeight="1" x14ac:dyDescent="0.3">
      <c r="A715" s="825"/>
      <c r="C715" s="825"/>
      <c r="D715" s="21"/>
      <c r="E715" s="17"/>
      <c r="F715" s="825"/>
      <c r="G715" s="825"/>
      <c r="H715" s="21"/>
      <c r="I715" s="825"/>
      <c r="J715" s="825"/>
      <c r="M715" s="825"/>
      <c r="N715" s="825"/>
      <c r="O715" s="825"/>
      <c r="P715" s="825"/>
      <c r="Q715" s="825"/>
      <c r="R715" s="825"/>
      <c r="S715" s="825"/>
      <c r="T715" s="825"/>
      <c r="U715" s="825"/>
      <c r="V715" s="825"/>
      <c r="W715" s="825"/>
      <c r="X715" s="825"/>
      <c r="Y715" s="825"/>
      <c r="Z715" s="825"/>
      <c r="AA715" s="825"/>
      <c r="AB715" s="825"/>
      <c r="AC715" s="825"/>
    </row>
    <row r="716" spans="1:29" ht="15.8" customHeight="1" x14ac:dyDescent="0.3">
      <c r="A716" s="825"/>
      <c r="C716" s="825"/>
      <c r="D716" s="21"/>
      <c r="E716" s="17"/>
      <c r="F716" s="825"/>
      <c r="G716" s="825"/>
      <c r="H716" s="21"/>
      <c r="I716" s="825"/>
      <c r="J716" s="825"/>
      <c r="M716" s="825"/>
      <c r="N716" s="825"/>
      <c r="O716" s="825"/>
      <c r="P716" s="825"/>
      <c r="Q716" s="825"/>
      <c r="R716" s="825"/>
      <c r="S716" s="825"/>
      <c r="T716" s="825"/>
      <c r="U716" s="825"/>
      <c r="V716" s="825"/>
      <c r="W716" s="825"/>
      <c r="X716" s="825"/>
      <c r="Y716" s="825"/>
      <c r="Z716" s="825"/>
      <c r="AA716" s="825"/>
      <c r="AB716" s="825"/>
      <c r="AC716" s="825"/>
    </row>
    <row r="717" spans="1:29" ht="15.8" customHeight="1" x14ac:dyDescent="0.3">
      <c r="A717" s="825"/>
      <c r="C717" s="825"/>
      <c r="D717" s="21"/>
      <c r="E717" s="17"/>
      <c r="F717" s="825"/>
      <c r="G717" s="825"/>
      <c r="H717" s="21"/>
      <c r="I717" s="825"/>
      <c r="J717" s="825"/>
      <c r="M717" s="825"/>
      <c r="N717" s="825"/>
      <c r="O717" s="825"/>
      <c r="P717" s="825"/>
      <c r="Q717" s="825"/>
      <c r="R717" s="825"/>
      <c r="S717" s="825"/>
      <c r="T717" s="825"/>
      <c r="U717" s="825"/>
      <c r="V717" s="825"/>
      <c r="W717" s="825"/>
      <c r="X717" s="825"/>
      <c r="Y717" s="825"/>
      <c r="Z717" s="825"/>
      <c r="AA717" s="825"/>
      <c r="AB717" s="825"/>
      <c r="AC717" s="825"/>
    </row>
    <row r="718" spans="1:29" ht="15.8" customHeight="1" x14ac:dyDescent="0.3">
      <c r="A718" s="825"/>
      <c r="C718" s="825"/>
      <c r="D718" s="21"/>
      <c r="E718" s="17"/>
      <c r="F718" s="825"/>
      <c r="G718" s="825"/>
      <c r="H718" s="21"/>
      <c r="I718" s="825"/>
      <c r="J718" s="825"/>
      <c r="M718" s="825"/>
      <c r="N718" s="825"/>
      <c r="O718" s="825"/>
      <c r="P718" s="825"/>
      <c r="Q718" s="825"/>
      <c r="R718" s="825"/>
      <c r="S718" s="825"/>
      <c r="T718" s="825"/>
      <c r="U718" s="825"/>
      <c r="V718" s="825"/>
      <c r="W718" s="825"/>
      <c r="X718" s="825"/>
      <c r="Y718" s="825"/>
      <c r="Z718" s="825"/>
      <c r="AA718" s="825"/>
      <c r="AB718" s="825"/>
      <c r="AC718" s="825"/>
    </row>
    <row r="719" spans="1:29" ht="15.8" customHeight="1" x14ac:dyDescent="0.3">
      <c r="A719" s="825"/>
      <c r="C719" s="825"/>
      <c r="D719" s="21"/>
      <c r="E719" s="17"/>
      <c r="F719" s="825"/>
      <c r="G719" s="825"/>
      <c r="H719" s="21"/>
      <c r="I719" s="825"/>
      <c r="J719" s="825"/>
      <c r="M719" s="825"/>
      <c r="N719" s="825"/>
      <c r="O719" s="825"/>
      <c r="P719" s="825"/>
      <c r="Q719" s="825"/>
      <c r="R719" s="825"/>
      <c r="S719" s="825"/>
      <c r="T719" s="825"/>
      <c r="U719" s="825"/>
      <c r="V719" s="825"/>
      <c r="W719" s="825"/>
      <c r="X719" s="825"/>
      <c r="Y719" s="825"/>
      <c r="Z719" s="825"/>
      <c r="AA719" s="825"/>
      <c r="AB719" s="825"/>
      <c r="AC719" s="825"/>
    </row>
    <row r="720" spans="1:29" ht="15.8" customHeight="1" x14ac:dyDescent="0.3">
      <c r="A720" s="825"/>
      <c r="C720" s="825"/>
      <c r="D720" s="21"/>
      <c r="E720" s="17"/>
      <c r="F720" s="825"/>
      <c r="G720" s="825"/>
      <c r="H720" s="21"/>
      <c r="I720" s="825"/>
      <c r="J720" s="825"/>
      <c r="M720" s="825"/>
      <c r="N720" s="825"/>
      <c r="O720" s="825"/>
      <c r="P720" s="825"/>
      <c r="Q720" s="825"/>
      <c r="R720" s="825"/>
      <c r="S720" s="825"/>
      <c r="T720" s="825"/>
      <c r="U720" s="825"/>
      <c r="V720" s="825"/>
      <c r="W720" s="825"/>
      <c r="X720" s="825"/>
      <c r="Y720" s="825"/>
      <c r="Z720" s="825"/>
      <c r="AA720" s="825"/>
      <c r="AB720" s="825"/>
      <c r="AC720" s="825"/>
    </row>
    <row r="721" spans="1:29" ht="15.8" customHeight="1" x14ac:dyDescent="0.3">
      <c r="A721" s="825"/>
      <c r="C721" s="825"/>
      <c r="D721" s="21"/>
      <c r="E721" s="17"/>
      <c r="F721" s="825"/>
      <c r="G721" s="825"/>
      <c r="H721" s="21"/>
      <c r="I721" s="825"/>
      <c r="J721" s="825"/>
      <c r="M721" s="825"/>
      <c r="N721" s="825"/>
      <c r="O721" s="825"/>
      <c r="P721" s="825"/>
      <c r="Q721" s="825"/>
      <c r="R721" s="825"/>
      <c r="S721" s="825"/>
      <c r="T721" s="825"/>
      <c r="U721" s="825"/>
      <c r="V721" s="825"/>
      <c r="W721" s="825"/>
      <c r="X721" s="825"/>
      <c r="Y721" s="825"/>
      <c r="Z721" s="825"/>
      <c r="AA721" s="825"/>
      <c r="AB721" s="825"/>
      <c r="AC721" s="825"/>
    </row>
    <row r="722" spans="1:29" ht="15.8" customHeight="1" x14ac:dyDescent="0.3">
      <c r="A722" s="825"/>
      <c r="C722" s="825"/>
      <c r="D722" s="21"/>
      <c r="E722" s="17"/>
      <c r="F722" s="825"/>
      <c r="G722" s="825"/>
      <c r="H722" s="21"/>
      <c r="I722" s="825"/>
      <c r="J722" s="825"/>
      <c r="M722" s="825"/>
      <c r="N722" s="825"/>
      <c r="O722" s="825"/>
      <c r="P722" s="825"/>
      <c r="Q722" s="825"/>
      <c r="R722" s="825"/>
      <c r="S722" s="825"/>
      <c r="T722" s="825"/>
      <c r="U722" s="825"/>
      <c r="V722" s="825"/>
      <c r="W722" s="825"/>
      <c r="X722" s="825"/>
      <c r="Y722" s="825"/>
      <c r="Z722" s="825"/>
      <c r="AA722" s="825"/>
      <c r="AB722" s="825"/>
      <c r="AC722" s="825"/>
    </row>
    <row r="723" spans="1:29" ht="15.8" customHeight="1" x14ac:dyDescent="0.3">
      <c r="A723" s="825"/>
      <c r="C723" s="825"/>
      <c r="D723" s="21"/>
      <c r="E723" s="17"/>
      <c r="F723" s="825"/>
      <c r="G723" s="825"/>
      <c r="H723" s="21"/>
      <c r="I723" s="825"/>
      <c r="J723" s="825"/>
      <c r="M723" s="825"/>
      <c r="N723" s="825"/>
      <c r="O723" s="825"/>
      <c r="P723" s="825"/>
      <c r="Q723" s="825"/>
      <c r="R723" s="825"/>
      <c r="S723" s="825"/>
      <c r="T723" s="825"/>
      <c r="U723" s="825"/>
      <c r="V723" s="825"/>
      <c r="W723" s="825"/>
      <c r="X723" s="825"/>
      <c r="Y723" s="825"/>
      <c r="Z723" s="825"/>
      <c r="AA723" s="825"/>
      <c r="AB723" s="825"/>
      <c r="AC723" s="825"/>
    </row>
    <row r="724" spans="1:29" ht="15.8" customHeight="1" x14ac:dyDescent="0.3">
      <c r="A724" s="825"/>
      <c r="C724" s="825"/>
      <c r="D724" s="21"/>
      <c r="E724" s="17"/>
      <c r="F724" s="825"/>
      <c r="G724" s="825"/>
      <c r="H724" s="21"/>
      <c r="I724" s="825"/>
      <c r="J724" s="825"/>
      <c r="M724" s="825"/>
      <c r="N724" s="825"/>
      <c r="O724" s="825"/>
      <c r="P724" s="825"/>
      <c r="Q724" s="825"/>
      <c r="R724" s="825"/>
      <c r="S724" s="825"/>
      <c r="T724" s="825"/>
      <c r="U724" s="825"/>
      <c r="V724" s="825"/>
      <c r="W724" s="825"/>
      <c r="X724" s="825"/>
      <c r="Y724" s="825"/>
      <c r="Z724" s="825"/>
      <c r="AA724" s="825"/>
      <c r="AB724" s="825"/>
      <c r="AC724" s="825"/>
    </row>
    <row r="725" spans="1:29" ht="15.8" customHeight="1" x14ac:dyDescent="0.3">
      <c r="A725" s="825"/>
      <c r="C725" s="825"/>
      <c r="D725" s="21"/>
      <c r="E725" s="17"/>
      <c r="F725" s="825"/>
      <c r="G725" s="825"/>
      <c r="H725" s="21"/>
      <c r="I725" s="825"/>
      <c r="J725" s="825"/>
      <c r="M725" s="825"/>
      <c r="N725" s="825"/>
      <c r="O725" s="825"/>
      <c r="P725" s="825"/>
      <c r="Q725" s="825"/>
      <c r="R725" s="825"/>
      <c r="S725" s="825"/>
      <c r="T725" s="825"/>
      <c r="U725" s="825"/>
      <c r="V725" s="825"/>
      <c r="W725" s="825"/>
      <c r="X725" s="825"/>
      <c r="Y725" s="825"/>
      <c r="Z725" s="825"/>
      <c r="AA725" s="825"/>
      <c r="AB725" s="825"/>
      <c r="AC725" s="825"/>
    </row>
    <row r="726" spans="1:29" ht="15.8" customHeight="1" x14ac:dyDescent="0.3">
      <c r="A726" s="825"/>
      <c r="C726" s="825"/>
      <c r="D726" s="21"/>
      <c r="E726" s="17"/>
      <c r="F726" s="825"/>
      <c r="G726" s="825"/>
      <c r="H726" s="21"/>
      <c r="I726" s="825"/>
      <c r="J726" s="825"/>
      <c r="M726" s="825"/>
      <c r="N726" s="825"/>
      <c r="O726" s="825"/>
      <c r="P726" s="825"/>
      <c r="Q726" s="825"/>
      <c r="R726" s="825"/>
      <c r="S726" s="825"/>
      <c r="T726" s="825"/>
      <c r="U726" s="825"/>
      <c r="V726" s="825"/>
      <c r="W726" s="825"/>
      <c r="X726" s="825"/>
      <c r="Y726" s="825"/>
      <c r="Z726" s="825"/>
      <c r="AA726" s="825"/>
      <c r="AB726" s="825"/>
      <c r="AC726" s="825"/>
    </row>
    <row r="727" spans="1:29" ht="15.8" customHeight="1" x14ac:dyDescent="0.3">
      <c r="A727" s="825"/>
      <c r="C727" s="825"/>
      <c r="D727" s="21"/>
      <c r="E727" s="17"/>
      <c r="F727" s="825"/>
      <c r="G727" s="825"/>
      <c r="H727" s="21"/>
      <c r="I727" s="825"/>
      <c r="J727" s="825"/>
      <c r="M727" s="825"/>
      <c r="N727" s="825"/>
      <c r="O727" s="825"/>
      <c r="P727" s="825"/>
      <c r="Q727" s="825"/>
      <c r="R727" s="825"/>
      <c r="S727" s="825"/>
      <c r="T727" s="825"/>
      <c r="U727" s="825"/>
      <c r="V727" s="825"/>
      <c r="W727" s="825"/>
      <c r="X727" s="825"/>
      <c r="Y727" s="825"/>
      <c r="Z727" s="825"/>
      <c r="AA727" s="825"/>
      <c r="AB727" s="825"/>
      <c r="AC727" s="825"/>
    </row>
    <row r="728" spans="1:29" ht="15.8" customHeight="1" x14ac:dyDescent="0.3">
      <c r="A728" s="825"/>
      <c r="C728" s="825"/>
      <c r="D728" s="21"/>
      <c r="E728" s="17"/>
      <c r="F728" s="825"/>
      <c r="G728" s="825"/>
      <c r="H728" s="21"/>
      <c r="I728" s="825"/>
      <c r="J728" s="825"/>
      <c r="M728" s="825"/>
      <c r="N728" s="825"/>
      <c r="O728" s="825"/>
      <c r="P728" s="825"/>
      <c r="Q728" s="825"/>
      <c r="R728" s="825"/>
      <c r="S728" s="825"/>
      <c r="T728" s="825"/>
      <c r="U728" s="825"/>
      <c r="V728" s="825"/>
      <c r="W728" s="825"/>
      <c r="X728" s="825"/>
      <c r="Y728" s="825"/>
      <c r="Z728" s="825"/>
      <c r="AA728" s="825"/>
      <c r="AB728" s="825"/>
      <c r="AC728" s="825"/>
    </row>
    <row r="729" spans="1:29" ht="15.8" customHeight="1" x14ac:dyDescent="0.3">
      <c r="A729" s="825"/>
      <c r="C729" s="825"/>
      <c r="D729" s="21"/>
      <c r="E729" s="17"/>
      <c r="F729" s="825"/>
      <c r="G729" s="825"/>
      <c r="H729" s="21"/>
      <c r="I729" s="825"/>
      <c r="J729" s="825"/>
      <c r="M729" s="825"/>
      <c r="N729" s="825"/>
      <c r="O729" s="825"/>
      <c r="P729" s="825"/>
      <c r="Q729" s="825"/>
      <c r="R729" s="825"/>
      <c r="S729" s="825"/>
      <c r="T729" s="825"/>
      <c r="U729" s="825"/>
      <c r="V729" s="825"/>
      <c r="W729" s="825"/>
      <c r="X729" s="825"/>
      <c r="Y729" s="825"/>
      <c r="Z729" s="825"/>
      <c r="AA729" s="825"/>
      <c r="AB729" s="825"/>
      <c r="AC729" s="825"/>
    </row>
    <row r="730" spans="1:29" ht="15.8" customHeight="1" x14ac:dyDescent="0.3">
      <c r="A730" s="825"/>
      <c r="C730" s="825"/>
      <c r="D730" s="21"/>
      <c r="E730" s="17"/>
      <c r="F730" s="825"/>
      <c r="G730" s="825"/>
      <c r="H730" s="21"/>
      <c r="I730" s="825"/>
      <c r="J730" s="825"/>
      <c r="M730" s="825"/>
      <c r="N730" s="825"/>
      <c r="O730" s="825"/>
      <c r="P730" s="825"/>
      <c r="Q730" s="825"/>
      <c r="R730" s="825"/>
      <c r="S730" s="825"/>
      <c r="T730" s="825"/>
      <c r="U730" s="825"/>
      <c r="V730" s="825"/>
      <c r="W730" s="825"/>
      <c r="X730" s="825"/>
      <c r="Y730" s="825"/>
      <c r="Z730" s="825"/>
      <c r="AA730" s="825"/>
      <c r="AB730" s="825"/>
      <c r="AC730" s="825"/>
    </row>
    <row r="731" spans="1:29" ht="15.8" customHeight="1" x14ac:dyDescent="0.3">
      <c r="A731" s="825"/>
      <c r="C731" s="825"/>
      <c r="D731" s="21"/>
      <c r="E731" s="17"/>
      <c r="F731" s="825"/>
      <c r="G731" s="825"/>
      <c r="H731" s="21"/>
      <c r="I731" s="825"/>
      <c r="J731" s="825"/>
      <c r="M731" s="825"/>
      <c r="N731" s="825"/>
      <c r="O731" s="825"/>
      <c r="P731" s="825"/>
      <c r="Q731" s="825"/>
      <c r="R731" s="825"/>
      <c r="S731" s="825"/>
      <c r="T731" s="825"/>
      <c r="U731" s="825"/>
      <c r="V731" s="825"/>
      <c r="W731" s="825"/>
      <c r="X731" s="825"/>
      <c r="Y731" s="825"/>
      <c r="Z731" s="825"/>
      <c r="AA731" s="825"/>
      <c r="AB731" s="825"/>
      <c r="AC731" s="825"/>
    </row>
    <row r="732" spans="1:29" ht="15.8" customHeight="1" x14ac:dyDescent="0.3">
      <c r="A732" s="825"/>
      <c r="C732" s="825"/>
      <c r="D732" s="21"/>
      <c r="E732" s="17"/>
      <c r="F732" s="825"/>
      <c r="G732" s="825"/>
      <c r="H732" s="21"/>
      <c r="I732" s="825"/>
      <c r="J732" s="825"/>
      <c r="M732" s="825"/>
      <c r="N732" s="825"/>
      <c r="O732" s="825"/>
      <c r="P732" s="825"/>
      <c r="Q732" s="825"/>
      <c r="R732" s="825"/>
      <c r="S732" s="825"/>
      <c r="T732" s="825"/>
      <c r="U732" s="825"/>
      <c r="V732" s="825"/>
      <c r="W732" s="825"/>
      <c r="X732" s="825"/>
      <c r="Y732" s="825"/>
      <c r="Z732" s="825"/>
      <c r="AA732" s="825"/>
      <c r="AB732" s="825"/>
      <c r="AC732" s="825"/>
    </row>
    <row r="733" spans="1:29" ht="15.8" customHeight="1" x14ac:dyDescent="0.3">
      <c r="A733" s="825"/>
      <c r="C733" s="825"/>
      <c r="D733" s="21"/>
      <c r="E733" s="17"/>
      <c r="F733" s="825"/>
      <c r="G733" s="825"/>
      <c r="H733" s="21"/>
      <c r="I733" s="825"/>
      <c r="J733" s="825"/>
      <c r="M733" s="825"/>
      <c r="N733" s="825"/>
      <c r="O733" s="825"/>
      <c r="P733" s="825"/>
      <c r="Q733" s="825"/>
      <c r="R733" s="825"/>
      <c r="S733" s="825"/>
      <c r="T733" s="825"/>
      <c r="U733" s="825"/>
      <c r="V733" s="825"/>
      <c r="W733" s="825"/>
      <c r="X733" s="825"/>
      <c r="Y733" s="825"/>
      <c r="Z733" s="825"/>
      <c r="AA733" s="825"/>
      <c r="AB733" s="825"/>
      <c r="AC733" s="825"/>
    </row>
    <row r="734" spans="1:29" ht="15.8" customHeight="1" x14ac:dyDescent="0.3">
      <c r="A734" s="825"/>
      <c r="C734" s="825"/>
      <c r="D734" s="21"/>
      <c r="E734" s="17"/>
      <c r="F734" s="825"/>
      <c r="G734" s="825"/>
      <c r="H734" s="21"/>
      <c r="I734" s="825"/>
      <c r="J734" s="825"/>
      <c r="M734" s="825"/>
      <c r="N734" s="825"/>
      <c r="O734" s="825"/>
      <c r="P734" s="825"/>
      <c r="Q734" s="825"/>
      <c r="R734" s="825"/>
      <c r="S734" s="825"/>
      <c r="T734" s="825"/>
      <c r="U734" s="825"/>
      <c r="V734" s="825"/>
      <c r="W734" s="825"/>
      <c r="X734" s="825"/>
      <c r="Y734" s="825"/>
      <c r="Z734" s="825"/>
      <c r="AA734" s="825"/>
      <c r="AB734" s="825"/>
      <c r="AC734" s="825"/>
    </row>
    <row r="735" spans="1:29" ht="15.8" customHeight="1" x14ac:dyDescent="0.3">
      <c r="A735" s="825"/>
      <c r="C735" s="825"/>
      <c r="D735" s="21"/>
      <c r="E735" s="17"/>
      <c r="F735" s="825"/>
      <c r="G735" s="825"/>
      <c r="H735" s="21"/>
      <c r="I735" s="825"/>
      <c r="J735" s="825"/>
      <c r="M735" s="825"/>
      <c r="N735" s="825"/>
      <c r="O735" s="825"/>
      <c r="P735" s="825"/>
      <c r="Q735" s="825"/>
      <c r="R735" s="825"/>
      <c r="S735" s="825"/>
      <c r="T735" s="825"/>
      <c r="U735" s="825"/>
      <c r="V735" s="825"/>
      <c r="W735" s="825"/>
      <c r="X735" s="825"/>
      <c r="Y735" s="825"/>
      <c r="Z735" s="825"/>
      <c r="AA735" s="825"/>
      <c r="AB735" s="825"/>
      <c r="AC735" s="825"/>
    </row>
    <row r="736" spans="1:29" ht="15.8" customHeight="1" x14ac:dyDescent="0.3">
      <c r="A736" s="825"/>
      <c r="C736" s="825"/>
      <c r="D736" s="21"/>
      <c r="E736" s="17"/>
      <c r="F736" s="825"/>
      <c r="G736" s="825"/>
      <c r="H736" s="21"/>
      <c r="I736" s="825"/>
      <c r="J736" s="825"/>
      <c r="M736" s="825"/>
      <c r="N736" s="825"/>
      <c r="O736" s="825"/>
      <c r="P736" s="825"/>
      <c r="Q736" s="825"/>
      <c r="R736" s="825"/>
      <c r="S736" s="825"/>
      <c r="T736" s="825"/>
      <c r="U736" s="825"/>
      <c r="V736" s="825"/>
      <c r="W736" s="825"/>
      <c r="X736" s="825"/>
      <c r="Y736" s="825"/>
      <c r="Z736" s="825"/>
      <c r="AA736" s="825"/>
      <c r="AB736" s="825"/>
      <c r="AC736" s="825"/>
    </row>
    <row r="737" spans="1:29" ht="15.8" customHeight="1" x14ac:dyDescent="0.3">
      <c r="A737" s="825"/>
      <c r="C737" s="825"/>
      <c r="D737" s="21"/>
      <c r="E737" s="17"/>
      <c r="F737" s="825"/>
      <c r="G737" s="825"/>
      <c r="H737" s="21"/>
      <c r="I737" s="825"/>
      <c r="J737" s="825"/>
      <c r="M737" s="825"/>
      <c r="N737" s="825"/>
      <c r="O737" s="825"/>
      <c r="P737" s="825"/>
      <c r="Q737" s="825"/>
      <c r="R737" s="825"/>
      <c r="S737" s="825"/>
      <c r="T737" s="825"/>
      <c r="U737" s="825"/>
      <c r="V737" s="825"/>
      <c r="W737" s="825"/>
      <c r="X737" s="825"/>
      <c r="Y737" s="825"/>
      <c r="Z737" s="825"/>
      <c r="AA737" s="825"/>
      <c r="AB737" s="825"/>
      <c r="AC737" s="825"/>
    </row>
    <row r="738" spans="1:29" ht="15.8" customHeight="1" x14ac:dyDescent="0.3">
      <c r="A738" s="825"/>
      <c r="C738" s="825"/>
      <c r="D738" s="21"/>
      <c r="E738" s="17"/>
      <c r="F738" s="825"/>
      <c r="G738" s="825"/>
      <c r="H738" s="21"/>
      <c r="I738" s="825"/>
      <c r="J738" s="825"/>
      <c r="M738" s="825"/>
      <c r="N738" s="825"/>
      <c r="O738" s="825"/>
      <c r="P738" s="825"/>
      <c r="Q738" s="825"/>
      <c r="R738" s="825"/>
      <c r="S738" s="825"/>
      <c r="T738" s="825"/>
      <c r="U738" s="825"/>
      <c r="V738" s="825"/>
      <c r="W738" s="825"/>
      <c r="X738" s="825"/>
      <c r="Y738" s="825"/>
      <c r="Z738" s="825"/>
      <c r="AA738" s="825"/>
      <c r="AB738" s="825"/>
      <c r="AC738" s="825"/>
    </row>
    <row r="739" spans="1:29" ht="15.8" customHeight="1" x14ac:dyDescent="0.3">
      <c r="A739" s="825"/>
      <c r="C739" s="825"/>
      <c r="D739" s="21"/>
      <c r="E739" s="17"/>
      <c r="F739" s="825"/>
      <c r="G739" s="825"/>
      <c r="H739" s="21"/>
      <c r="I739" s="825"/>
      <c r="J739" s="825"/>
      <c r="M739" s="825"/>
      <c r="N739" s="825"/>
      <c r="O739" s="825"/>
      <c r="P739" s="825"/>
      <c r="Q739" s="825"/>
      <c r="R739" s="825"/>
      <c r="S739" s="825"/>
      <c r="T739" s="825"/>
      <c r="U739" s="825"/>
      <c r="V739" s="825"/>
      <c r="W739" s="825"/>
      <c r="X739" s="825"/>
      <c r="Y739" s="825"/>
      <c r="Z739" s="825"/>
      <c r="AA739" s="825"/>
      <c r="AB739" s="825"/>
      <c r="AC739" s="825"/>
    </row>
    <row r="740" spans="1:29" ht="15.8" customHeight="1" x14ac:dyDescent="0.3">
      <c r="A740" s="825"/>
      <c r="C740" s="825"/>
      <c r="D740" s="21"/>
      <c r="E740" s="17"/>
      <c r="F740" s="825"/>
      <c r="G740" s="825"/>
      <c r="H740" s="21"/>
      <c r="I740" s="825"/>
      <c r="J740" s="825"/>
      <c r="M740" s="825"/>
      <c r="N740" s="825"/>
      <c r="O740" s="825"/>
      <c r="P740" s="825"/>
      <c r="Q740" s="825"/>
      <c r="R740" s="825"/>
      <c r="S740" s="825"/>
      <c r="T740" s="825"/>
      <c r="U740" s="825"/>
      <c r="V740" s="825"/>
      <c r="W740" s="825"/>
      <c r="X740" s="825"/>
      <c r="Y740" s="825"/>
      <c r="Z740" s="825"/>
      <c r="AA740" s="825"/>
      <c r="AB740" s="825"/>
      <c r="AC740" s="825"/>
    </row>
    <row r="741" spans="1:29" ht="15.8" customHeight="1" x14ac:dyDescent="0.3">
      <c r="A741" s="825"/>
      <c r="C741" s="825"/>
      <c r="D741" s="21"/>
      <c r="E741" s="17"/>
      <c r="F741" s="825"/>
      <c r="G741" s="825"/>
      <c r="H741" s="21"/>
      <c r="I741" s="825"/>
      <c r="J741" s="825"/>
      <c r="M741" s="825"/>
      <c r="N741" s="825"/>
      <c r="O741" s="825"/>
      <c r="P741" s="825"/>
      <c r="Q741" s="825"/>
      <c r="R741" s="825"/>
      <c r="S741" s="825"/>
      <c r="T741" s="825"/>
      <c r="U741" s="825"/>
      <c r="V741" s="825"/>
      <c r="W741" s="825"/>
      <c r="X741" s="825"/>
      <c r="Y741" s="825"/>
      <c r="Z741" s="825"/>
      <c r="AA741" s="825"/>
      <c r="AB741" s="825"/>
      <c r="AC741" s="825"/>
    </row>
    <row r="742" spans="1:29" ht="15.8" customHeight="1" x14ac:dyDescent="0.3">
      <c r="A742" s="825"/>
      <c r="C742" s="825"/>
      <c r="D742" s="21"/>
      <c r="E742" s="17"/>
      <c r="F742" s="825"/>
      <c r="G742" s="825"/>
      <c r="H742" s="21"/>
      <c r="I742" s="825"/>
      <c r="J742" s="825"/>
      <c r="M742" s="825"/>
      <c r="N742" s="825"/>
      <c r="O742" s="825"/>
      <c r="P742" s="825"/>
      <c r="Q742" s="825"/>
      <c r="R742" s="825"/>
      <c r="S742" s="825"/>
      <c r="T742" s="825"/>
      <c r="U742" s="825"/>
      <c r="V742" s="825"/>
      <c r="W742" s="825"/>
      <c r="X742" s="825"/>
      <c r="Y742" s="825"/>
      <c r="Z742" s="825"/>
      <c r="AA742" s="825"/>
      <c r="AB742" s="825"/>
      <c r="AC742" s="825"/>
    </row>
    <row r="743" spans="1:29" ht="15.8" customHeight="1" x14ac:dyDescent="0.3">
      <c r="A743" s="825"/>
      <c r="C743" s="825"/>
      <c r="D743" s="21"/>
      <c r="E743" s="17"/>
      <c r="F743" s="825"/>
      <c r="G743" s="825"/>
      <c r="H743" s="21"/>
      <c r="I743" s="825"/>
      <c r="J743" s="825"/>
      <c r="M743" s="825"/>
      <c r="N743" s="825"/>
      <c r="O743" s="825"/>
      <c r="P743" s="825"/>
      <c r="Q743" s="825"/>
      <c r="R743" s="825"/>
      <c r="S743" s="825"/>
      <c r="T743" s="825"/>
      <c r="U743" s="825"/>
      <c r="V743" s="825"/>
      <c r="W743" s="825"/>
      <c r="X743" s="825"/>
      <c r="Y743" s="825"/>
      <c r="Z743" s="825"/>
      <c r="AA743" s="825"/>
      <c r="AB743" s="825"/>
      <c r="AC743" s="825"/>
    </row>
    <row r="744" spans="1:29" ht="15.8" customHeight="1" x14ac:dyDescent="0.3">
      <c r="A744" s="825"/>
      <c r="C744" s="825"/>
      <c r="D744" s="21"/>
      <c r="E744" s="17"/>
      <c r="F744" s="825"/>
      <c r="G744" s="825"/>
      <c r="H744" s="21"/>
      <c r="I744" s="825"/>
      <c r="J744" s="825"/>
      <c r="M744" s="825"/>
      <c r="N744" s="825"/>
      <c r="O744" s="825"/>
      <c r="P744" s="825"/>
      <c r="Q744" s="825"/>
      <c r="R744" s="825"/>
      <c r="S744" s="825"/>
      <c r="T744" s="825"/>
      <c r="U744" s="825"/>
      <c r="V744" s="825"/>
      <c r="W744" s="825"/>
      <c r="X744" s="825"/>
      <c r="Y744" s="825"/>
      <c r="Z744" s="825"/>
      <c r="AA744" s="825"/>
      <c r="AB744" s="825"/>
      <c r="AC744" s="825"/>
    </row>
    <row r="745" spans="1:29" ht="15.8" customHeight="1" x14ac:dyDescent="0.3">
      <c r="A745" s="825"/>
      <c r="C745" s="825"/>
      <c r="D745" s="21"/>
      <c r="E745" s="17"/>
      <c r="F745" s="825"/>
      <c r="G745" s="825"/>
      <c r="H745" s="21"/>
      <c r="I745" s="825"/>
      <c r="J745" s="825"/>
      <c r="M745" s="825"/>
      <c r="N745" s="825"/>
      <c r="O745" s="825"/>
      <c r="P745" s="825"/>
      <c r="Q745" s="825"/>
      <c r="R745" s="825"/>
      <c r="S745" s="825"/>
      <c r="T745" s="825"/>
      <c r="U745" s="825"/>
      <c r="V745" s="825"/>
      <c r="W745" s="825"/>
      <c r="X745" s="825"/>
      <c r="Y745" s="825"/>
      <c r="Z745" s="825"/>
      <c r="AA745" s="825"/>
      <c r="AB745" s="825"/>
      <c r="AC745" s="825"/>
    </row>
    <row r="746" spans="1:29" ht="15.8" customHeight="1" x14ac:dyDescent="0.3">
      <c r="A746" s="825"/>
      <c r="C746" s="825"/>
      <c r="D746" s="21"/>
      <c r="E746" s="17"/>
      <c r="F746" s="825"/>
      <c r="G746" s="825"/>
      <c r="H746" s="21"/>
      <c r="I746" s="825"/>
      <c r="J746" s="825"/>
      <c r="M746" s="825"/>
      <c r="N746" s="825"/>
      <c r="O746" s="825"/>
      <c r="P746" s="825"/>
      <c r="Q746" s="825"/>
      <c r="R746" s="825"/>
      <c r="S746" s="825"/>
      <c r="T746" s="825"/>
      <c r="U746" s="825"/>
      <c r="V746" s="825"/>
      <c r="W746" s="825"/>
      <c r="X746" s="825"/>
      <c r="Y746" s="825"/>
      <c r="Z746" s="825"/>
      <c r="AA746" s="825"/>
      <c r="AB746" s="825"/>
      <c r="AC746" s="825"/>
    </row>
    <row r="747" spans="1:29" ht="15.8" customHeight="1" x14ac:dyDescent="0.3">
      <c r="A747" s="825"/>
      <c r="C747" s="825"/>
      <c r="D747" s="21"/>
      <c r="E747" s="17"/>
      <c r="F747" s="825"/>
      <c r="G747" s="825"/>
      <c r="H747" s="21"/>
      <c r="I747" s="825"/>
      <c r="J747" s="825"/>
      <c r="M747" s="825"/>
      <c r="N747" s="825"/>
      <c r="O747" s="825"/>
      <c r="P747" s="825"/>
      <c r="Q747" s="825"/>
      <c r="R747" s="825"/>
      <c r="S747" s="825"/>
      <c r="T747" s="825"/>
      <c r="U747" s="825"/>
      <c r="V747" s="825"/>
      <c r="W747" s="825"/>
      <c r="X747" s="825"/>
      <c r="Y747" s="825"/>
      <c r="Z747" s="825"/>
      <c r="AA747" s="825"/>
      <c r="AB747" s="825"/>
      <c r="AC747" s="825"/>
    </row>
    <row r="748" spans="1:29" ht="15.8" customHeight="1" x14ac:dyDescent="0.3">
      <c r="A748" s="825"/>
      <c r="C748" s="825"/>
      <c r="D748" s="21"/>
      <c r="E748" s="17"/>
      <c r="F748" s="825"/>
      <c r="G748" s="825"/>
      <c r="H748" s="21"/>
      <c r="I748" s="825"/>
      <c r="J748" s="825"/>
      <c r="M748" s="825"/>
      <c r="N748" s="825"/>
      <c r="O748" s="825"/>
      <c r="P748" s="825"/>
      <c r="Q748" s="825"/>
      <c r="R748" s="825"/>
      <c r="S748" s="825"/>
      <c r="T748" s="825"/>
      <c r="U748" s="825"/>
      <c r="V748" s="825"/>
      <c r="W748" s="825"/>
      <c r="X748" s="825"/>
      <c r="Y748" s="825"/>
      <c r="Z748" s="825"/>
      <c r="AA748" s="825"/>
      <c r="AB748" s="825"/>
      <c r="AC748" s="825"/>
    </row>
    <row r="749" spans="1:29" ht="15.8" customHeight="1" x14ac:dyDescent="0.3">
      <c r="A749" s="825"/>
      <c r="C749" s="825"/>
      <c r="D749" s="21"/>
      <c r="E749" s="17"/>
      <c r="F749" s="825"/>
      <c r="G749" s="825"/>
      <c r="H749" s="21"/>
      <c r="I749" s="825"/>
      <c r="J749" s="825"/>
      <c r="M749" s="825"/>
      <c r="N749" s="825"/>
      <c r="O749" s="825"/>
      <c r="P749" s="825"/>
      <c r="Q749" s="825"/>
      <c r="R749" s="825"/>
      <c r="S749" s="825"/>
      <c r="T749" s="825"/>
      <c r="U749" s="825"/>
      <c r="V749" s="825"/>
      <c r="W749" s="825"/>
      <c r="X749" s="825"/>
      <c r="Y749" s="825"/>
      <c r="Z749" s="825"/>
      <c r="AA749" s="825"/>
      <c r="AB749" s="825"/>
      <c r="AC749" s="825"/>
    </row>
    <row r="750" spans="1:29" ht="15.8" customHeight="1" x14ac:dyDescent="0.3">
      <c r="A750" s="825"/>
      <c r="C750" s="825"/>
      <c r="D750" s="21"/>
      <c r="E750" s="17"/>
      <c r="F750" s="825"/>
      <c r="G750" s="825"/>
      <c r="H750" s="21"/>
      <c r="I750" s="825"/>
      <c r="J750" s="825"/>
      <c r="M750" s="825"/>
      <c r="N750" s="825"/>
      <c r="O750" s="825"/>
      <c r="P750" s="825"/>
      <c r="Q750" s="825"/>
      <c r="R750" s="825"/>
      <c r="S750" s="825"/>
      <c r="T750" s="825"/>
      <c r="U750" s="825"/>
      <c r="V750" s="825"/>
      <c r="W750" s="825"/>
      <c r="X750" s="825"/>
      <c r="Y750" s="825"/>
      <c r="Z750" s="825"/>
      <c r="AA750" s="825"/>
      <c r="AB750" s="825"/>
      <c r="AC750" s="825"/>
    </row>
    <row r="751" spans="1:29" ht="15.8" customHeight="1" x14ac:dyDescent="0.3">
      <c r="A751" s="825"/>
      <c r="C751" s="825"/>
      <c r="D751" s="21"/>
      <c r="E751" s="17"/>
      <c r="F751" s="825"/>
      <c r="G751" s="825"/>
      <c r="H751" s="21"/>
      <c r="I751" s="825"/>
      <c r="J751" s="825"/>
      <c r="M751" s="825"/>
      <c r="N751" s="825"/>
      <c r="O751" s="825"/>
      <c r="P751" s="825"/>
      <c r="Q751" s="825"/>
      <c r="R751" s="825"/>
      <c r="S751" s="825"/>
      <c r="T751" s="825"/>
      <c r="U751" s="825"/>
      <c r="V751" s="825"/>
      <c r="W751" s="825"/>
      <c r="X751" s="825"/>
      <c r="Y751" s="825"/>
      <c r="Z751" s="825"/>
      <c r="AA751" s="825"/>
      <c r="AB751" s="825"/>
      <c r="AC751" s="825"/>
    </row>
    <row r="752" spans="1:29" ht="15.8" customHeight="1" x14ac:dyDescent="0.3">
      <c r="A752" s="825"/>
      <c r="C752" s="825"/>
      <c r="D752" s="21"/>
      <c r="E752" s="17"/>
      <c r="F752" s="825"/>
      <c r="G752" s="825"/>
      <c r="H752" s="21"/>
      <c r="I752" s="825"/>
      <c r="J752" s="825"/>
      <c r="M752" s="825"/>
      <c r="N752" s="825"/>
      <c r="O752" s="825"/>
      <c r="P752" s="825"/>
      <c r="Q752" s="825"/>
      <c r="R752" s="825"/>
      <c r="S752" s="825"/>
      <c r="T752" s="825"/>
      <c r="U752" s="825"/>
      <c r="V752" s="825"/>
      <c r="W752" s="825"/>
      <c r="X752" s="825"/>
      <c r="Y752" s="825"/>
      <c r="Z752" s="825"/>
      <c r="AA752" s="825"/>
      <c r="AB752" s="825"/>
      <c r="AC752" s="825"/>
    </row>
    <row r="753" spans="1:29" ht="15.8" customHeight="1" x14ac:dyDescent="0.3">
      <c r="A753" s="825"/>
      <c r="C753" s="825"/>
      <c r="D753" s="21"/>
      <c r="E753" s="17"/>
      <c r="F753" s="825"/>
      <c r="G753" s="825"/>
      <c r="H753" s="21"/>
      <c r="I753" s="825"/>
      <c r="J753" s="825"/>
      <c r="M753" s="825"/>
      <c r="N753" s="825"/>
      <c r="O753" s="825"/>
      <c r="P753" s="825"/>
      <c r="Q753" s="825"/>
      <c r="R753" s="825"/>
      <c r="S753" s="825"/>
      <c r="T753" s="825"/>
      <c r="U753" s="825"/>
      <c r="V753" s="825"/>
      <c r="W753" s="825"/>
      <c r="X753" s="825"/>
      <c r="Y753" s="825"/>
      <c r="Z753" s="825"/>
      <c r="AA753" s="825"/>
      <c r="AB753" s="825"/>
      <c r="AC753" s="825"/>
    </row>
    <row r="754" spans="1:29" ht="15.8" customHeight="1" x14ac:dyDescent="0.3">
      <c r="A754" s="825"/>
      <c r="C754" s="825"/>
      <c r="D754" s="21"/>
      <c r="E754" s="17"/>
      <c r="F754" s="825"/>
      <c r="G754" s="825"/>
      <c r="H754" s="21"/>
      <c r="I754" s="825"/>
      <c r="J754" s="825"/>
      <c r="M754" s="825"/>
      <c r="N754" s="825"/>
      <c r="O754" s="825"/>
      <c r="P754" s="825"/>
      <c r="Q754" s="825"/>
      <c r="R754" s="825"/>
      <c r="S754" s="825"/>
      <c r="T754" s="825"/>
      <c r="U754" s="825"/>
      <c r="V754" s="825"/>
      <c r="W754" s="825"/>
      <c r="X754" s="825"/>
      <c r="Y754" s="825"/>
      <c r="Z754" s="825"/>
      <c r="AA754" s="825"/>
      <c r="AB754" s="825"/>
      <c r="AC754" s="825"/>
    </row>
    <row r="755" spans="1:29" ht="15.8" customHeight="1" x14ac:dyDescent="0.3">
      <c r="A755" s="825"/>
      <c r="C755" s="825"/>
      <c r="D755" s="21"/>
      <c r="E755" s="17"/>
      <c r="F755" s="825"/>
      <c r="G755" s="825"/>
      <c r="H755" s="21"/>
      <c r="I755" s="825"/>
      <c r="J755" s="825"/>
      <c r="M755" s="825"/>
      <c r="N755" s="825"/>
      <c r="O755" s="825"/>
      <c r="P755" s="825"/>
      <c r="Q755" s="825"/>
      <c r="R755" s="825"/>
      <c r="S755" s="825"/>
      <c r="T755" s="825"/>
      <c r="U755" s="825"/>
      <c r="V755" s="825"/>
      <c r="W755" s="825"/>
      <c r="X755" s="825"/>
      <c r="Y755" s="825"/>
      <c r="Z755" s="825"/>
      <c r="AA755" s="825"/>
      <c r="AB755" s="825"/>
      <c r="AC755" s="825"/>
    </row>
    <row r="756" spans="1:29" ht="15.8" customHeight="1" x14ac:dyDescent="0.3">
      <c r="A756" s="825"/>
      <c r="C756" s="825"/>
      <c r="D756" s="21"/>
      <c r="E756" s="17"/>
      <c r="F756" s="825"/>
      <c r="G756" s="825"/>
      <c r="H756" s="21"/>
      <c r="I756" s="825"/>
      <c r="J756" s="825"/>
      <c r="M756" s="825"/>
      <c r="N756" s="825"/>
      <c r="O756" s="825"/>
      <c r="P756" s="825"/>
      <c r="Q756" s="825"/>
      <c r="R756" s="825"/>
      <c r="S756" s="825"/>
      <c r="T756" s="825"/>
      <c r="U756" s="825"/>
      <c r="V756" s="825"/>
      <c r="W756" s="825"/>
      <c r="X756" s="825"/>
      <c r="Y756" s="825"/>
      <c r="Z756" s="825"/>
      <c r="AA756" s="825"/>
      <c r="AB756" s="825"/>
      <c r="AC756" s="825"/>
    </row>
    <row r="757" spans="1:29" ht="15.8" customHeight="1" x14ac:dyDescent="0.3">
      <c r="A757" s="825"/>
      <c r="C757" s="825"/>
      <c r="D757" s="21"/>
      <c r="E757" s="17"/>
      <c r="F757" s="825"/>
      <c r="G757" s="825"/>
      <c r="H757" s="21"/>
      <c r="I757" s="825"/>
      <c r="J757" s="825"/>
      <c r="M757" s="825"/>
      <c r="N757" s="825"/>
      <c r="O757" s="825"/>
      <c r="P757" s="825"/>
      <c r="Q757" s="825"/>
      <c r="R757" s="825"/>
      <c r="S757" s="825"/>
      <c r="T757" s="825"/>
      <c r="U757" s="825"/>
      <c r="V757" s="825"/>
      <c r="W757" s="825"/>
      <c r="X757" s="825"/>
      <c r="Y757" s="825"/>
      <c r="Z757" s="825"/>
      <c r="AA757" s="825"/>
      <c r="AB757" s="825"/>
      <c r="AC757" s="825"/>
    </row>
    <row r="758" spans="1:29" ht="15.8" customHeight="1" x14ac:dyDescent="0.3">
      <c r="A758" s="825"/>
      <c r="C758" s="825"/>
      <c r="D758" s="21"/>
      <c r="E758" s="17"/>
      <c r="F758" s="825"/>
      <c r="G758" s="825"/>
      <c r="H758" s="21"/>
      <c r="I758" s="825"/>
      <c r="J758" s="825"/>
      <c r="M758" s="825"/>
      <c r="N758" s="825"/>
      <c r="O758" s="825"/>
      <c r="P758" s="825"/>
      <c r="Q758" s="825"/>
      <c r="R758" s="825"/>
      <c r="S758" s="825"/>
      <c r="T758" s="825"/>
      <c r="U758" s="825"/>
      <c r="V758" s="825"/>
      <c r="W758" s="825"/>
      <c r="X758" s="825"/>
      <c r="Y758" s="825"/>
      <c r="Z758" s="825"/>
      <c r="AA758" s="825"/>
      <c r="AB758" s="825"/>
      <c r="AC758" s="825"/>
    </row>
    <row r="759" spans="1:29" ht="15.8" customHeight="1" x14ac:dyDescent="0.3">
      <c r="A759" s="825"/>
      <c r="C759" s="825"/>
      <c r="D759" s="21"/>
      <c r="E759" s="17"/>
      <c r="F759" s="825"/>
      <c r="G759" s="825"/>
      <c r="H759" s="21"/>
      <c r="I759" s="825"/>
      <c r="J759" s="825"/>
      <c r="M759" s="825"/>
      <c r="N759" s="825"/>
      <c r="O759" s="825"/>
      <c r="P759" s="825"/>
      <c r="Q759" s="825"/>
      <c r="R759" s="825"/>
      <c r="S759" s="825"/>
      <c r="T759" s="825"/>
      <c r="U759" s="825"/>
      <c r="V759" s="825"/>
      <c r="W759" s="825"/>
      <c r="X759" s="825"/>
      <c r="Y759" s="825"/>
      <c r="Z759" s="825"/>
      <c r="AA759" s="825"/>
      <c r="AB759" s="825"/>
      <c r="AC759" s="825"/>
    </row>
    <row r="760" spans="1:29" ht="15.8" customHeight="1" x14ac:dyDescent="0.3">
      <c r="A760" s="825"/>
      <c r="C760" s="825"/>
      <c r="D760" s="21"/>
      <c r="E760" s="17"/>
      <c r="F760" s="825"/>
      <c r="G760" s="825"/>
      <c r="H760" s="21"/>
      <c r="I760" s="825"/>
      <c r="J760" s="825"/>
      <c r="M760" s="825"/>
      <c r="N760" s="825"/>
      <c r="O760" s="825"/>
      <c r="P760" s="825"/>
      <c r="Q760" s="825"/>
      <c r="R760" s="825"/>
      <c r="S760" s="825"/>
      <c r="T760" s="825"/>
      <c r="U760" s="825"/>
      <c r="V760" s="825"/>
      <c r="W760" s="825"/>
      <c r="X760" s="825"/>
      <c r="Y760" s="825"/>
      <c r="Z760" s="825"/>
      <c r="AA760" s="825"/>
      <c r="AB760" s="825"/>
      <c r="AC760" s="825"/>
    </row>
    <row r="761" spans="1:29" ht="15.8" customHeight="1" x14ac:dyDescent="0.3">
      <c r="A761" s="825"/>
      <c r="C761" s="825"/>
      <c r="D761" s="21"/>
      <c r="E761" s="17"/>
      <c r="F761" s="825"/>
      <c r="G761" s="825"/>
      <c r="H761" s="21"/>
      <c r="I761" s="825"/>
      <c r="J761" s="825"/>
      <c r="M761" s="825"/>
      <c r="N761" s="825"/>
      <c r="O761" s="825"/>
      <c r="P761" s="825"/>
      <c r="Q761" s="825"/>
      <c r="R761" s="825"/>
      <c r="S761" s="825"/>
      <c r="T761" s="825"/>
      <c r="U761" s="825"/>
      <c r="V761" s="825"/>
      <c r="W761" s="825"/>
      <c r="X761" s="825"/>
      <c r="Y761" s="825"/>
      <c r="Z761" s="825"/>
      <c r="AA761" s="825"/>
      <c r="AB761" s="825"/>
      <c r="AC761" s="825"/>
    </row>
    <row r="762" spans="1:29" ht="15.8" customHeight="1" x14ac:dyDescent="0.3">
      <c r="A762" s="825"/>
      <c r="C762" s="825"/>
      <c r="D762" s="21"/>
      <c r="E762" s="17"/>
      <c r="F762" s="825"/>
      <c r="G762" s="825"/>
      <c r="H762" s="21"/>
      <c r="I762" s="825"/>
      <c r="J762" s="825"/>
      <c r="M762" s="825"/>
      <c r="N762" s="825"/>
      <c r="O762" s="825"/>
      <c r="P762" s="825"/>
      <c r="Q762" s="825"/>
      <c r="R762" s="825"/>
      <c r="S762" s="825"/>
      <c r="T762" s="825"/>
      <c r="U762" s="825"/>
      <c r="V762" s="825"/>
      <c r="W762" s="825"/>
      <c r="X762" s="825"/>
      <c r="Y762" s="825"/>
      <c r="Z762" s="825"/>
      <c r="AA762" s="825"/>
      <c r="AB762" s="825"/>
      <c r="AC762" s="825"/>
    </row>
    <row r="763" spans="1:29" ht="15.8" customHeight="1" x14ac:dyDescent="0.3">
      <c r="A763" s="825"/>
      <c r="C763" s="825"/>
      <c r="D763" s="21"/>
      <c r="E763" s="17"/>
      <c r="F763" s="825"/>
      <c r="G763" s="825"/>
      <c r="H763" s="21"/>
      <c r="I763" s="825"/>
      <c r="J763" s="825"/>
      <c r="M763" s="825"/>
      <c r="N763" s="825"/>
      <c r="O763" s="825"/>
      <c r="P763" s="825"/>
      <c r="Q763" s="825"/>
      <c r="R763" s="825"/>
      <c r="S763" s="825"/>
      <c r="T763" s="825"/>
      <c r="U763" s="825"/>
      <c r="V763" s="825"/>
      <c r="W763" s="825"/>
      <c r="X763" s="825"/>
      <c r="Y763" s="825"/>
      <c r="Z763" s="825"/>
      <c r="AA763" s="825"/>
      <c r="AB763" s="825"/>
      <c r="AC763" s="825"/>
    </row>
    <row r="764" spans="1:29" ht="15.8" customHeight="1" x14ac:dyDescent="0.3">
      <c r="A764" s="825"/>
      <c r="C764" s="825"/>
      <c r="D764" s="21"/>
      <c r="E764" s="17"/>
      <c r="F764" s="825"/>
      <c r="G764" s="825"/>
      <c r="H764" s="21"/>
      <c r="I764" s="825"/>
      <c r="J764" s="825"/>
      <c r="M764" s="825"/>
      <c r="N764" s="825"/>
      <c r="O764" s="825"/>
      <c r="P764" s="825"/>
      <c r="Q764" s="825"/>
      <c r="R764" s="825"/>
      <c r="S764" s="825"/>
      <c r="T764" s="825"/>
      <c r="U764" s="825"/>
      <c r="V764" s="825"/>
      <c r="W764" s="825"/>
      <c r="X764" s="825"/>
      <c r="Y764" s="825"/>
      <c r="Z764" s="825"/>
      <c r="AA764" s="825"/>
      <c r="AB764" s="825"/>
      <c r="AC764" s="825"/>
    </row>
    <row r="765" spans="1:29" ht="15.8" customHeight="1" x14ac:dyDescent="0.3">
      <c r="A765" s="825"/>
      <c r="C765" s="825"/>
      <c r="D765" s="21"/>
      <c r="E765" s="17"/>
      <c r="F765" s="825"/>
      <c r="G765" s="825"/>
      <c r="H765" s="21"/>
      <c r="I765" s="825"/>
      <c r="J765" s="825"/>
      <c r="M765" s="825"/>
      <c r="N765" s="825"/>
      <c r="O765" s="825"/>
      <c r="P765" s="825"/>
      <c r="Q765" s="825"/>
      <c r="R765" s="825"/>
      <c r="S765" s="825"/>
      <c r="T765" s="825"/>
      <c r="U765" s="825"/>
      <c r="V765" s="825"/>
      <c r="W765" s="825"/>
      <c r="X765" s="825"/>
      <c r="Y765" s="825"/>
      <c r="Z765" s="825"/>
      <c r="AA765" s="825"/>
      <c r="AB765" s="825"/>
      <c r="AC765" s="825"/>
    </row>
    <row r="766" spans="1:29" ht="15.8" customHeight="1" x14ac:dyDescent="0.3">
      <c r="A766" s="825"/>
      <c r="C766" s="825"/>
      <c r="D766" s="21"/>
      <c r="E766" s="17"/>
      <c r="F766" s="825"/>
      <c r="G766" s="825"/>
      <c r="H766" s="21"/>
      <c r="I766" s="825"/>
      <c r="J766" s="825"/>
      <c r="M766" s="825"/>
      <c r="N766" s="825"/>
      <c r="O766" s="825"/>
      <c r="P766" s="825"/>
      <c r="Q766" s="825"/>
      <c r="R766" s="825"/>
      <c r="S766" s="825"/>
      <c r="T766" s="825"/>
      <c r="U766" s="825"/>
      <c r="V766" s="825"/>
      <c r="W766" s="825"/>
      <c r="X766" s="825"/>
      <c r="Y766" s="825"/>
      <c r="Z766" s="825"/>
      <c r="AA766" s="825"/>
      <c r="AB766" s="825"/>
      <c r="AC766" s="825"/>
    </row>
    <row r="767" spans="1:29" ht="15.8" customHeight="1" x14ac:dyDescent="0.3">
      <c r="A767" s="825"/>
      <c r="C767" s="825"/>
      <c r="D767" s="21"/>
      <c r="E767" s="17"/>
      <c r="F767" s="825"/>
      <c r="G767" s="825"/>
      <c r="H767" s="21"/>
      <c r="I767" s="825"/>
      <c r="J767" s="825"/>
      <c r="M767" s="825"/>
      <c r="N767" s="825"/>
      <c r="O767" s="825"/>
      <c r="P767" s="825"/>
      <c r="Q767" s="825"/>
      <c r="R767" s="825"/>
      <c r="S767" s="825"/>
      <c r="T767" s="825"/>
      <c r="U767" s="825"/>
      <c r="V767" s="825"/>
      <c r="W767" s="825"/>
      <c r="X767" s="825"/>
      <c r="Y767" s="825"/>
      <c r="Z767" s="825"/>
      <c r="AA767" s="825"/>
      <c r="AB767" s="825"/>
      <c r="AC767" s="825"/>
    </row>
    <row r="768" spans="1:29" ht="15.8" customHeight="1" x14ac:dyDescent="0.3">
      <c r="A768" s="825"/>
      <c r="C768" s="825"/>
      <c r="D768" s="21"/>
      <c r="E768" s="17"/>
      <c r="F768" s="825"/>
      <c r="G768" s="825"/>
      <c r="H768" s="21"/>
      <c r="I768" s="825"/>
      <c r="J768" s="825"/>
      <c r="M768" s="825"/>
      <c r="N768" s="825"/>
      <c r="O768" s="825"/>
      <c r="P768" s="825"/>
      <c r="Q768" s="825"/>
      <c r="R768" s="825"/>
      <c r="S768" s="825"/>
      <c r="T768" s="825"/>
      <c r="U768" s="825"/>
      <c r="V768" s="825"/>
      <c r="W768" s="825"/>
      <c r="X768" s="825"/>
      <c r="Y768" s="825"/>
      <c r="Z768" s="825"/>
      <c r="AA768" s="825"/>
      <c r="AB768" s="825"/>
      <c r="AC768" s="825"/>
    </row>
    <row r="769" spans="1:29" ht="15.8" customHeight="1" x14ac:dyDescent="0.3">
      <c r="A769" s="825"/>
      <c r="C769" s="825"/>
      <c r="D769" s="21"/>
      <c r="E769" s="17"/>
      <c r="F769" s="825"/>
      <c r="G769" s="825"/>
      <c r="H769" s="21"/>
      <c r="I769" s="825"/>
      <c r="J769" s="825"/>
      <c r="M769" s="825"/>
      <c r="N769" s="825"/>
      <c r="O769" s="825"/>
      <c r="P769" s="825"/>
      <c r="Q769" s="825"/>
      <c r="R769" s="825"/>
      <c r="S769" s="825"/>
      <c r="T769" s="825"/>
      <c r="U769" s="825"/>
      <c r="V769" s="825"/>
      <c r="W769" s="825"/>
      <c r="X769" s="825"/>
      <c r="Y769" s="825"/>
      <c r="Z769" s="825"/>
      <c r="AA769" s="825"/>
      <c r="AB769" s="825"/>
      <c r="AC769" s="825"/>
    </row>
    <row r="770" spans="1:29" ht="15.8" customHeight="1" x14ac:dyDescent="0.3">
      <c r="A770" s="825"/>
      <c r="C770" s="825"/>
      <c r="D770" s="21"/>
      <c r="E770" s="17"/>
      <c r="F770" s="825"/>
      <c r="G770" s="825"/>
      <c r="H770" s="21"/>
      <c r="I770" s="825"/>
      <c r="J770" s="825"/>
      <c r="M770" s="825"/>
      <c r="N770" s="825"/>
      <c r="O770" s="825"/>
      <c r="P770" s="825"/>
      <c r="Q770" s="825"/>
      <c r="R770" s="825"/>
      <c r="S770" s="825"/>
      <c r="T770" s="825"/>
      <c r="U770" s="825"/>
      <c r="V770" s="825"/>
      <c r="W770" s="825"/>
      <c r="X770" s="825"/>
      <c r="Y770" s="825"/>
      <c r="Z770" s="825"/>
      <c r="AA770" s="825"/>
      <c r="AB770" s="825"/>
      <c r="AC770" s="825"/>
    </row>
    <row r="771" spans="1:29" ht="15.8" customHeight="1" x14ac:dyDescent="0.3">
      <c r="A771" s="825"/>
      <c r="C771" s="825"/>
      <c r="D771" s="21"/>
      <c r="E771" s="17"/>
      <c r="F771" s="825"/>
      <c r="G771" s="825"/>
      <c r="H771" s="21"/>
      <c r="I771" s="825"/>
      <c r="J771" s="825"/>
      <c r="M771" s="825"/>
      <c r="N771" s="825"/>
      <c r="O771" s="825"/>
      <c r="P771" s="825"/>
      <c r="Q771" s="825"/>
      <c r="R771" s="825"/>
      <c r="S771" s="825"/>
      <c r="T771" s="825"/>
      <c r="U771" s="825"/>
      <c r="V771" s="825"/>
      <c r="W771" s="825"/>
      <c r="X771" s="825"/>
      <c r="Y771" s="825"/>
      <c r="Z771" s="825"/>
      <c r="AA771" s="825"/>
      <c r="AB771" s="825"/>
      <c r="AC771" s="825"/>
    </row>
    <row r="772" spans="1:29" ht="15.8" customHeight="1" x14ac:dyDescent="0.3">
      <c r="A772" s="825"/>
      <c r="C772" s="825"/>
      <c r="D772" s="21"/>
      <c r="E772" s="17"/>
      <c r="F772" s="825"/>
      <c r="G772" s="825"/>
      <c r="H772" s="21"/>
      <c r="I772" s="825"/>
      <c r="J772" s="825"/>
      <c r="M772" s="825"/>
      <c r="N772" s="825"/>
      <c r="O772" s="825"/>
      <c r="P772" s="825"/>
      <c r="Q772" s="825"/>
      <c r="R772" s="825"/>
      <c r="S772" s="825"/>
      <c r="T772" s="825"/>
      <c r="U772" s="825"/>
      <c r="V772" s="825"/>
      <c r="W772" s="825"/>
      <c r="X772" s="825"/>
      <c r="Y772" s="825"/>
      <c r="Z772" s="825"/>
      <c r="AA772" s="825"/>
      <c r="AB772" s="825"/>
      <c r="AC772" s="825"/>
    </row>
    <row r="773" spans="1:29" ht="15.8" customHeight="1" x14ac:dyDescent="0.3">
      <c r="A773" s="825"/>
      <c r="C773" s="825"/>
      <c r="D773" s="21"/>
      <c r="E773" s="17"/>
      <c r="F773" s="825"/>
      <c r="G773" s="825"/>
      <c r="H773" s="21"/>
      <c r="I773" s="825"/>
      <c r="J773" s="825"/>
      <c r="M773" s="825"/>
      <c r="N773" s="825"/>
      <c r="O773" s="825"/>
      <c r="P773" s="825"/>
      <c r="Q773" s="825"/>
      <c r="R773" s="825"/>
      <c r="S773" s="825"/>
      <c r="T773" s="825"/>
      <c r="U773" s="825"/>
      <c r="V773" s="825"/>
      <c r="W773" s="825"/>
      <c r="X773" s="825"/>
      <c r="Y773" s="825"/>
      <c r="Z773" s="825"/>
      <c r="AA773" s="825"/>
      <c r="AB773" s="825"/>
      <c r="AC773" s="825"/>
    </row>
    <row r="774" spans="1:29" ht="15.8" customHeight="1" x14ac:dyDescent="0.3">
      <c r="A774" s="825"/>
      <c r="C774" s="825"/>
      <c r="D774" s="21"/>
      <c r="E774" s="17"/>
      <c r="F774" s="825"/>
      <c r="G774" s="825"/>
      <c r="H774" s="21"/>
      <c r="I774" s="825"/>
      <c r="J774" s="825"/>
      <c r="M774" s="825"/>
      <c r="N774" s="825"/>
      <c r="O774" s="825"/>
      <c r="P774" s="825"/>
      <c r="Q774" s="825"/>
      <c r="R774" s="825"/>
      <c r="S774" s="825"/>
      <c r="T774" s="825"/>
      <c r="U774" s="825"/>
      <c r="V774" s="825"/>
      <c r="W774" s="825"/>
      <c r="X774" s="825"/>
      <c r="Y774" s="825"/>
      <c r="Z774" s="825"/>
      <c r="AA774" s="825"/>
      <c r="AB774" s="825"/>
      <c r="AC774" s="825"/>
    </row>
    <row r="775" spans="1:29" ht="15.8" customHeight="1" x14ac:dyDescent="0.3">
      <c r="A775" s="825"/>
      <c r="C775" s="825"/>
      <c r="D775" s="21"/>
      <c r="E775" s="17"/>
      <c r="F775" s="825"/>
      <c r="G775" s="825"/>
      <c r="H775" s="21"/>
      <c r="I775" s="825"/>
      <c r="J775" s="825"/>
      <c r="M775" s="825"/>
      <c r="N775" s="825"/>
      <c r="O775" s="825"/>
      <c r="P775" s="825"/>
      <c r="Q775" s="825"/>
      <c r="R775" s="825"/>
      <c r="S775" s="825"/>
      <c r="T775" s="825"/>
      <c r="U775" s="825"/>
      <c r="V775" s="825"/>
      <c r="W775" s="825"/>
      <c r="X775" s="825"/>
      <c r="Y775" s="825"/>
      <c r="Z775" s="825"/>
      <c r="AA775" s="825"/>
      <c r="AB775" s="825"/>
      <c r="AC775" s="825"/>
    </row>
    <row r="776" spans="1:29" ht="15.8" customHeight="1" x14ac:dyDescent="0.3">
      <c r="A776" s="825"/>
      <c r="C776" s="825"/>
      <c r="D776" s="21"/>
      <c r="E776" s="17"/>
      <c r="F776" s="825"/>
      <c r="G776" s="825"/>
      <c r="H776" s="21"/>
      <c r="I776" s="825"/>
      <c r="J776" s="825"/>
      <c r="M776" s="825"/>
      <c r="N776" s="825"/>
      <c r="O776" s="825"/>
      <c r="P776" s="825"/>
      <c r="Q776" s="825"/>
      <c r="R776" s="825"/>
      <c r="S776" s="825"/>
      <c r="T776" s="825"/>
      <c r="U776" s="825"/>
      <c r="V776" s="825"/>
      <c r="W776" s="825"/>
      <c r="X776" s="825"/>
      <c r="Y776" s="825"/>
      <c r="Z776" s="825"/>
      <c r="AA776" s="825"/>
      <c r="AB776" s="825"/>
      <c r="AC776" s="825"/>
    </row>
    <row r="777" spans="1:29" ht="15.8" customHeight="1" x14ac:dyDescent="0.3">
      <c r="A777" s="825"/>
      <c r="C777" s="825"/>
      <c r="D777" s="21"/>
      <c r="E777" s="17"/>
      <c r="F777" s="825"/>
      <c r="G777" s="825"/>
      <c r="H777" s="21"/>
      <c r="I777" s="825"/>
      <c r="J777" s="825"/>
      <c r="M777" s="825"/>
      <c r="N777" s="825"/>
      <c r="O777" s="825"/>
      <c r="P777" s="825"/>
      <c r="Q777" s="825"/>
      <c r="R777" s="825"/>
      <c r="S777" s="825"/>
      <c r="T777" s="825"/>
      <c r="U777" s="825"/>
      <c r="V777" s="825"/>
      <c r="W777" s="825"/>
      <c r="X777" s="825"/>
      <c r="Y777" s="825"/>
      <c r="Z777" s="825"/>
      <c r="AA777" s="825"/>
      <c r="AB777" s="825"/>
      <c r="AC777" s="825"/>
    </row>
    <row r="778" spans="1:29" ht="15.8" customHeight="1" x14ac:dyDescent="0.3">
      <c r="A778" s="825"/>
      <c r="C778" s="825"/>
      <c r="D778" s="21"/>
      <c r="E778" s="17"/>
      <c r="F778" s="825"/>
      <c r="G778" s="825"/>
      <c r="H778" s="21"/>
      <c r="I778" s="825"/>
      <c r="J778" s="825"/>
      <c r="M778" s="825"/>
      <c r="N778" s="825"/>
      <c r="O778" s="825"/>
      <c r="P778" s="825"/>
      <c r="Q778" s="825"/>
      <c r="R778" s="825"/>
      <c r="S778" s="825"/>
      <c r="T778" s="825"/>
      <c r="U778" s="825"/>
      <c r="V778" s="825"/>
      <c r="W778" s="825"/>
      <c r="X778" s="825"/>
      <c r="Y778" s="825"/>
      <c r="Z778" s="825"/>
      <c r="AA778" s="825"/>
      <c r="AB778" s="825"/>
      <c r="AC778" s="825"/>
    </row>
    <row r="779" spans="1:29" ht="15.8" customHeight="1" x14ac:dyDescent="0.3">
      <c r="A779" s="825"/>
      <c r="C779" s="825"/>
      <c r="D779" s="21"/>
      <c r="E779" s="17"/>
      <c r="F779" s="825"/>
      <c r="G779" s="825"/>
      <c r="H779" s="21"/>
      <c r="I779" s="825"/>
      <c r="J779" s="825"/>
      <c r="M779" s="825"/>
      <c r="N779" s="825"/>
      <c r="O779" s="825"/>
      <c r="P779" s="825"/>
      <c r="Q779" s="825"/>
      <c r="R779" s="825"/>
      <c r="S779" s="825"/>
      <c r="T779" s="825"/>
      <c r="U779" s="825"/>
      <c r="V779" s="825"/>
      <c r="W779" s="825"/>
      <c r="X779" s="825"/>
      <c r="Y779" s="825"/>
      <c r="Z779" s="825"/>
      <c r="AA779" s="825"/>
      <c r="AB779" s="825"/>
      <c r="AC779" s="825"/>
    </row>
    <row r="780" spans="1:29" ht="15.8" customHeight="1" x14ac:dyDescent="0.3">
      <c r="A780" s="825"/>
      <c r="C780" s="825"/>
      <c r="D780" s="21"/>
      <c r="E780" s="17"/>
      <c r="F780" s="825"/>
      <c r="G780" s="825"/>
      <c r="H780" s="21"/>
      <c r="I780" s="825"/>
      <c r="J780" s="825"/>
      <c r="M780" s="825"/>
      <c r="N780" s="825"/>
      <c r="O780" s="825"/>
      <c r="P780" s="825"/>
      <c r="Q780" s="825"/>
      <c r="R780" s="825"/>
      <c r="S780" s="825"/>
      <c r="T780" s="825"/>
      <c r="U780" s="825"/>
      <c r="V780" s="825"/>
      <c r="W780" s="825"/>
      <c r="X780" s="825"/>
      <c r="Y780" s="825"/>
      <c r="Z780" s="825"/>
      <c r="AA780" s="825"/>
      <c r="AB780" s="825"/>
      <c r="AC780" s="825"/>
    </row>
    <row r="781" spans="1:29" ht="15.8" customHeight="1" x14ac:dyDescent="0.3">
      <c r="A781" s="825"/>
      <c r="C781" s="825"/>
      <c r="D781" s="21"/>
      <c r="E781" s="17"/>
      <c r="F781" s="825"/>
      <c r="G781" s="825"/>
      <c r="H781" s="21"/>
      <c r="I781" s="825"/>
      <c r="J781" s="825"/>
      <c r="M781" s="825"/>
      <c r="N781" s="825"/>
      <c r="O781" s="825"/>
      <c r="P781" s="825"/>
      <c r="Q781" s="825"/>
      <c r="R781" s="825"/>
      <c r="S781" s="825"/>
      <c r="T781" s="825"/>
      <c r="U781" s="825"/>
      <c r="V781" s="825"/>
      <c r="W781" s="825"/>
      <c r="X781" s="825"/>
      <c r="Y781" s="825"/>
      <c r="Z781" s="825"/>
      <c r="AA781" s="825"/>
      <c r="AB781" s="825"/>
      <c r="AC781" s="825"/>
    </row>
    <row r="782" spans="1:29" ht="15.8" customHeight="1" x14ac:dyDescent="0.3">
      <c r="A782" s="825"/>
      <c r="C782" s="825"/>
      <c r="D782" s="21"/>
      <c r="E782" s="17"/>
      <c r="F782" s="825"/>
      <c r="G782" s="825"/>
      <c r="H782" s="21"/>
      <c r="I782" s="825"/>
      <c r="J782" s="825"/>
      <c r="M782" s="825"/>
      <c r="N782" s="825"/>
      <c r="O782" s="825"/>
      <c r="P782" s="825"/>
      <c r="Q782" s="825"/>
      <c r="R782" s="825"/>
      <c r="S782" s="825"/>
      <c r="T782" s="825"/>
      <c r="U782" s="825"/>
      <c r="V782" s="825"/>
      <c r="W782" s="825"/>
      <c r="X782" s="825"/>
      <c r="Y782" s="825"/>
      <c r="Z782" s="825"/>
      <c r="AA782" s="825"/>
      <c r="AB782" s="825"/>
      <c r="AC782" s="825"/>
    </row>
    <row r="783" spans="1:29" ht="15.8" customHeight="1" x14ac:dyDescent="0.3">
      <c r="A783" s="825"/>
      <c r="C783" s="825"/>
      <c r="D783" s="21"/>
      <c r="E783" s="17"/>
      <c r="F783" s="825"/>
      <c r="G783" s="825"/>
      <c r="H783" s="21"/>
      <c r="I783" s="825"/>
      <c r="J783" s="825"/>
      <c r="M783" s="825"/>
      <c r="N783" s="825"/>
      <c r="O783" s="825"/>
      <c r="P783" s="825"/>
      <c r="Q783" s="825"/>
      <c r="R783" s="825"/>
      <c r="S783" s="825"/>
      <c r="T783" s="825"/>
      <c r="U783" s="825"/>
      <c r="V783" s="825"/>
      <c r="W783" s="825"/>
      <c r="X783" s="825"/>
      <c r="Y783" s="825"/>
      <c r="Z783" s="825"/>
      <c r="AA783" s="825"/>
      <c r="AB783" s="825"/>
      <c r="AC783" s="825"/>
    </row>
    <row r="784" spans="1:29" ht="15.8" customHeight="1" x14ac:dyDescent="0.3">
      <c r="A784" s="825"/>
      <c r="C784" s="825"/>
      <c r="D784" s="21"/>
      <c r="E784" s="17"/>
      <c r="F784" s="825"/>
      <c r="G784" s="825"/>
      <c r="H784" s="21"/>
      <c r="I784" s="825"/>
      <c r="J784" s="825"/>
      <c r="M784" s="825"/>
      <c r="N784" s="825"/>
      <c r="O784" s="825"/>
      <c r="P784" s="825"/>
      <c r="Q784" s="825"/>
      <c r="R784" s="825"/>
      <c r="S784" s="825"/>
      <c r="T784" s="825"/>
      <c r="U784" s="825"/>
      <c r="V784" s="825"/>
      <c r="W784" s="825"/>
      <c r="X784" s="825"/>
      <c r="Y784" s="825"/>
      <c r="Z784" s="825"/>
      <c r="AA784" s="825"/>
      <c r="AB784" s="825"/>
      <c r="AC784" s="825"/>
    </row>
    <row r="785" spans="1:29" ht="15.8" customHeight="1" x14ac:dyDescent="0.3">
      <c r="A785" s="825"/>
      <c r="C785" s="825"/>
      <c r="D785" s="21"/>
      <c r="E785" s="17"/>
      <c r="F785" s="825"/>
      <c r="G785" s="825"/>
      <c r="H785" s="21"/>
      <c r="I785" s="825"/>
      <c r="J785" s="825"/>
      <c r="M785" s="825"/>
      <c r="N785" s="825"/>
      <c r="O785" s="825"/>
      <c r="P785" s="825"/>
      <c r="Q785" s="825"/>
      <c r="R785" s="825"/>
      <c r="S785" s="825"/>
      <c r="T785" s="825"/>
      <c r="U785" s="825"/>
      <c r="V785" s="825"/>
      <c r="W785" s="825"/>
      <c r="X785" s="825"/>
      <c r="Y785" s="825"/>
      <c r="Z785" s="825"/>
      <c r="AA785" s="825"/>
      <c r="AB785" s="825"/>
      <c r="AC785" s="825"/>
    </row>
    <row r="786" spans="1:29" ht="15.8" customHeight="1" x14ac:dyDescent="0.3">
      <c r="A786" s="825"/>
      <c r="C786" s="825"/>
      <c r="D786" s="21"/>
      <c r="E786" s="17"/>
      <c r="F786" s="825"/>
      <c r="G786" s="825"/>
      <c r="H786" s="21"/>
      <c r="I786" s="825"/>
      <c r="J786" s="825"/>
      <c r="M786" s="825"/>
      <c r="N786" s="825"/>
      <c r="O786" s="825"/>
      <c r="P786" s="825"/>
      <c r="Q786" s="825"/>
      <c r="R786" s="825"/>
      <c r="S786" s="825"/>
      <c r="T786" s="825"/>
      <c r="U786" s="825"/>
      <c r="V786" s="825"/>
      <c r="W786" s="825"/>
      <c r="X786" s="825"/>
      <c r="Y786" s="825"/>
      <c r="Z786" s="825"/>
      <c r="AA786" s="825"/>
      <c r="AB786" s="825"/>
      <c r="AC786" s="825"/>
    </row>
    <row r="787" spans="1:29" ht="15.8" customHeight="1" x14ac:dyDescent="0.3">
      <c r="A787" s="825"/>
      <c r="C787" s="825"/>
      <c r="D787" s="21"/>
      <c r="E787" s="17"/>
      <c r="F787" s="825"/>
      <c r="G787" s="825"/>
      <c r="H787" s="21"/>
      <c r="I787" s="825"/>
      <c r="J787" s="825"/>
      <c r="M787" s="825"/>
      <c r="N787" s="825"/>
      <c r="O787" s="825"/>
      <c r="P787" s="825"/>
      <c r="Q787" s="825"/>
      <c r="R787" s="825"/>
      <c r="S787" s="825"/>
      <c r="T787" s="825"/>
      <c r="U787" s="825"/>
      <c r="V787" s="825"/>
      <c r="W787" s="825"/>
      <c r="X787" s="825"/>
      <c r="Y787" s="825"/>
      <c r="Z787" s="825"/>
      <c r="AA787" s="825"/>
      <c r="AB787" s="825"/>
      <c r="AC787" s="825"/>
    </row>
    <row r="788" spans="1:29" ht="15.8" customHeight="1" x14ac:dyDescent="0.3">
      <c r="A788" s="825"/>
      <c r="C788" s="825"/>
      <c r="D788" s="21"/>
      <c r="E788" s="17"/>
      <c r="F788" s="825"/>
      <c r="G788" s="825"/>
      <c r="H788" s="21"/>
      <c r="I788" s="825"/>
      <c r="J788" s="825"/>
      <c r="M788" s="825"/>
      <c r="N788" s="825"/>
      <c r="O788" s="825"/>
      <c r="P788" s="825"/>
      <c r="Q788" s="825"/>
      <c r="R788" s="825"/>
      <c r="S788" s="825"/>
      <c r="T788" s="825"/>
      <c r="U788" s="825"/>
      <c r="V788" s="825"/>
      <c r="W788" s="825"/>
      <c r="X788" s="825"/>
      <c r="Y788" s="825"/>
      <c r="Z788" s="825"/>
      <c r="AA788" s="825"/>
      <c r="AB788" s="825"/>
      <c r="AC788" s="825"/>
    </row>
    <row r="789" spans="1:29" ht="15.8" customHeight="1" x14ac:dyDescent="0.3">
      <c r="A789" s="825"/>
      <c r="C789" s="825"/>
      <c r="D789" s="21"/>
      <c r="E789" s="17"/>
      <c r="F789" s="825"/>
      <c r="G789" s="825"/>
      <c r="H789" s="21"/>
      <c r="I789" s="825"/>
      <c r="J789" s="825"/>
      <c r="M789" s="825"/>
      <c r="N789" s="825"/>
      <c r="O789" s="825"/>
      <c r="P789" s="825"/>
      <c r="Q789" s="825"/>
      <c r="R789" s="825"/>
      <c r="S789" s="825"/>
      <c r="T789" s="825"/>
      <c r="U789" s="825"/>
      <c r="V789" s="825"/>
      <c r="W789" s="825"/>
      <c r="X789" s="825"/>
      <c r="Y789" s="825"/>
      <c r="Z789" s="825"/>
      <c r="AA789" s="825"/>
      <c r="AB789" s="825"/>
      <c r="AC789" s="825"/>
    </row>
    <row r="790" spans="1:29" ht="15.8" customHeight="1" x14ac:dyDescent="0.3">
      <c r="A790" s="825"/>
      <c r="C790" s="825"/>
      <c r="D790" s="21"/>
      <c r="E790" s="17"/>
      <c r="F790" s="825"/>
      <c r="G790" s="825"/>
      <c r="H790" s="21"/>
      <c r="I790" s="825"/>
      <c r="J790" s="825"/>
      <c r="M790" s="825"/>
      <c r="N790" s="825"/>
      <c r="O790" s="825"/>
      <c r="P790" s="825"/>
      <c r="Q790" s="825"/>
      <c r="R790" s="825"/>
      <c r="S790" s="825"/>
      <c r="T790" s="825"/>
      <c r="U790" s="825"/>
      <c r="V790" s="825"/>
      <c r="W790" s="825"/>
      <c r="X790" s="825"/>
      <c r="Y790" s="825"/>
      <c r="Z790" s="825"/>
      <c r="AA790" s="825"/>
      <c r="AB790" s="825"/>
      <c r="AC790" s="825"/>
    </row>
    <row r="791" spans="1:29" ht="15.8" customHeight="1" x14ac:dyDescent="0.3">
      <c r="A791" s="825"/>
      <c r="C791" s="825"/>
      <c r="D791" s="21"/>
      <c r="E791" s="17"/>
      <c r="F791" s="825"/>
      <c r="G791" s="825"/>
      <c r="H791" s="21"/>
      <c r="I791" s="825"/>
      <c r="J791" s="825"/>
      <c r="M791" s="825"/>
      <c r="N791" s="825"/>
      <c r="O791" s="825"/>
      <c r="P791" s="825"/>
      <c r="Q791" s="825"/>
      <c r="R791" s="825"/>
      <c r="S791" s="825"/>
      <c r="T791" s="825"/>
      <c r="U791" s="825"/>
      <c r="V791" s="825"/>
      <c r="W791" s="825"/>
      <c r="X791" s="825"/>
      <c r="Y791" s="825"/>
      <c r="Z791" s="825"/>
      <c r="AA791" s="825"/>
      <c r="AB791" s="825"/>
      <c r="AC791" s="825"/>
    </row>
    <row r="792" spans="1:29" ht="15.8" customHeight="1" x14ac:dyDescent="0.3">
      <c r="A792" s="825"/>
      <c r="C792" s="825"/>
      <c r="D792" s="21"/>
      <c r="E792" s="17"/>
      <c r="F792" s="825"/>
      <c r="G792" s="825"/>
      <c r="H792" s="21"/>
      <c r="I792" s="825"/>
      <c r="J792" s="825"/>
      <c r="M792" s="825"/>
      <c r="N792" s="825"/>
      <c r="O792" s="825"/>
      <c r="P792" s="825"/>
      <c r="Q792" s="825"/>
      <c r="R792" s="825"/>
      <c r="S792" s="825"/>
      <c r="T792" s="825"/>
      <c r="U792" s="825"/>
      <c r="V792" s="825"/>
      <c r="W792" s="825"/>
      <c r="X792" s="825"/>
      <c r="Y792" s="825"/>
      <c r="Z792" s="825"/>
      <c r="AA792" s="825"/>
      <c r="AB792" s="825"/>
      <c r="AC792" s="825"/>
    </row>
    <row r="793" spans="1:29" ht="15.8" customHeight="1" x14ac:dyDescent="0.3">
      <c r="A793" s="825"/>
      <c r="C793" s="825"/>
      <c r="D793" s="21"/>
      <c r="E793" s="17"/>
      <c r="F793" s="825"/>
      <c r="G793" s="825"/>
      <c r="H793" s="21"/>
      <c r="I793" s="825"/>
      <c r="J793" s="825"/>
      <c r="M793" s="825"/>
      <c r="N793" s="825"/>
      <c r="O793" s="825"/>
      <c r="P793" s="825"/>
      <c r="Q793" s="825"/>
      <c r="R793" s="825"/>
      <c r="S793" s="825"/>
      <c r="T793" s="825"/>
      <c r="U793" s="825"/>
      <c r="V793" s="825"/>
      <c r="W793" s="825"/>
      <c r="X793" s="825"/>
      <c r="Y793" s="825"/>
      <c r="Z793" s="825"/>
      <c r="AA793" s="825"/>
      <c r="AB793" s="825"/>
      <c r="AC793" s="825"/>
    </row>
    <row r="794" spans="1:29" ht="15.8" customHeight="1" x14ac:dyDescent="0.3">
      <c r="A794" s="825"/>
      <c r="C794" s="825"/>
      <c r="D794" s="21"/>
      <c r="E794" s="17"/>
      <c r="F794" s="825"/>
      <c r="G794" s="825"/>
      <c r="H794" s="21"/>
      <c r="I794" s="825"/>
      <c r="J794" s="825"/>
      <c r="M794" s="825"/>
      <c r="N794" s="825"/>
      <c r="O794" s="825"/>
      <c r="P794" s="825"/>
      <c r="Q794" s="825"/>
      <c r="R794" s="825"/>
      <c r="S794" s="825"/>
      <c r="T794" s="825"/>
      <c r="U794" s="825"/>
      <c r="V794" s="825"/>
      <c r="W794" s="825"/>
      <c r="X794" s="825"/>
      <c r="Y794" s="825"/>
      <c r="Z794" s="825"/>
      <c r="AA794" s="825"/>
      <c r="AB794" s="825"/>
      <c r="AC794" s="825"/>
    </row>
    <row r="795" spans="1:29" ht="15.8" customHeight="1" x14ac:dyDescent="0.3">
      <c r="A795" s="825"/>
      <c r="C795" s="825"/>
      <c r="D795" s="21"/>
      <c r="E795" s="17"/>
      <c r="F795" s="825"/>
      <c r="G795" s="825"/>
      <c r="H795" s="21"/>
      <c r="I795" s="825"/>
      <c r="J795" s="825"/>
      <c r="M795" s="825"/>
      <c r="N795" s="825"/>
      <c r="O795" s="825"/>
      <c r="P795" s="825"/>
      <c r="Q795" s="825"/>
      <c r="R795" s="825"/>
      <c r="S795" s="825"/>
      <c r="T795" s="825"/>
      <c r="U795" s="825"/>
      <c r="V795" s="825"/>
      <c r="W795" s="825"/>
      <c r="X795" s="825"/>
      <c r="Y795" s="825"/>
      <c r="Z795" s="825"/>
      <c r="AA795" s="825"/>
      <c r="AB795" s="825"/>
      <c r="AC795" s="825"/>
    </row>
    <row r="796" spans="1:29" ht="15.8" customHeight="1" x14ac:dyDescent="0.3">
      <c r="A796" s="825"/>
      <c r="C796" s="825"/>
      <c r="D796" s="21"/>
      <c r="E796" s="17"/>
      <c r="F796" s="825"/>
      <c r="G796" s="825"/>
      <c r="H796" s="21"/>
      <c r="I796" s="825"/>
      <c r="J796" s="825"/>
      <c r="M796" s="825"/>
      <c r="N796" s="825"/>
      <c r="O796" s="825"/>
      <c r="P796" s="825"/>
      <c r="Q796" s="825"/>
      <c r="R796" s="825"/>
      <c r="S796" s="825"/>
      <c r="T796" s="825"/>
      <c r="U796" s="825"/>
      <c r="V796" s="825"/>
      <c r="W796" s="825"/>
      <c r="X796" s="825"/>
      <c r="Y796" s="825"/>
      <c r="Z796" s="825"/>
      <c r="AA796" s="825"/>
      <c r="AB796" s="825"/>
      <c r="AC796" s="825"/>
    </row>
    <row r="797" spans="1:29" ht="15.8" customHeight="1" x14ac:dyDescent="0.3">
      <c r="A797" s="825"/>
      <c r="C797" s="825"/>
      <c r="D797" s="21"/>
      <c r="E797" s="17"/>
      <c r="F797" s="825"/>
      <c r="G797" s="825"/>
      <c r="H797" s="21"/>
      <c r="I797" s="825"/>
      <c r="J797" s="825"/>
      <c r="M797" s="825"/>
      <c r="N797" s="825"/>
      <c r="O797" s="825"/>
      <c r="P797" s="825"/>
      <c r="Q797" s="825"/>
      <c r="R797" s="825"/>
      <c r="S797" s="825"/>
      <c r="T797" s="825"/>
      <c r="U797" s="825"/>
      <c r="V797" s="825"/>
      <c r="W797" s="825"/>
      <c r="X797" s="825"/>
      <c r="Y797" s="825"/>
      <c r="Z797" s="825"/>
      <c r="AA797" s="825"/>
      <c r="AB797" s="825"/>
      <c r="AC797" s="825"/>
    </row>
    <row r="798" spans="1:29" ht="15.8" customHeight="1" x14ac:dyDescent="0.3">
      <c r="A798" s="825"/>
      <c r="C798" s="825"/>
      <c r="D798" s="21"/>
      <c r="E798" s="17"/>
      <c r="F798" s="825"/>
      <c r="G798" s="825"/>
      <c r="H798" s="21"/>
      <c r="I798" s="825"/>
      <c r="J798" s="825"/>
      <c r="M798" s="825"/>
      <c r="N798" s="825"/>
      <c r="O798" s="825"/>
      <c r="P798" s="825"/>
      <c r="Q798" s="825"/>
      <c r="R798" s="825"/>
      <c r="S798" s="825"/>
      <c r="T798" s="825"/>
      <c r="U798" s="825"/>
      <c r="V798" s="825"/>
      <c r="W798" s="825"/>
      <c r="X798" s="825"/>
      <c r="Y798" s="825"/>
      <c r="Z798" s="825"/>
      <c r="AA798" s="825"/>
      <c r="AB798" s="825"/>
      <c r="AC798" s="825"/>
    </row>
    <row r="799" spans="1:29" ht="15.8" customHeight="1" x14ac:dyDescent="0.3">
      <c r="A799" s="825"/>
      <c r="C799" s="825"/>
      <c r="D799" s="21"/>
      <c r="E799" s="17"/>
      <c r="F799" s="825"/>
      <c r="G799" s="825"/>
      <c r="H799" s="21"/>
      <c r="I799" s="825"/>
      <c r="J799" s="825"/>
      <c r="M799" s="825"/>
      <c r="N799" s="825"/>
      <c r="O799" s="825"/>
      <c r="P799" s="825"/>
      <c r="Q799" s="825"/>
      <c r="R799" s="825"/>
      <c r="S799" s="825"/>
      <c r="T799" s="825"/>
      <c r="U799" s="825"/>
      <c r="V799" s="825"/>
      <c r="W799" s="825"/>
      <c r="X799" s="825"/>
      <c r="Y799" s="825"/>
      <c r="Z799" s="825"/>
      <c r="AA799" s="825"/>
      <c r="AB799" s="825"/>
      <c r="AC799" s="825"/>
    </row>
    <row r="800" spans="1:29" ht="15.8" customHeight="1" x14ac:dyDescent="0.3">
      <c r="A800" s="825"/>
      <c r="C800" s="825"/>
      <c r="D800" s="21"/>
      <c r="E800" s="17"/>
      <c r="F800" s="825"/>
      <c r="G800" s="825"/>
      <c r="H800" s="21"/>
      <c r="I800" s="825"/>
      <c r="J800" s="825"/>
      <c r="M800" s="825"/>
      <c r="N800" s="825"/>
      <c r="O800" s="825"/>
      <c r="P800" s="825"/>
      <c r="Q800" s="825"/>
      <c r="R800" s="825"/>
      <c r="S800" s="825"/>
      <c r="T800" s="825"/>
      <c r="U800" s="825"/>
      <c r="V800" s="825"/>
      <c r="W800" s="825"/>
      <c r="X800" s="825"/>
      <c r="Y800" s="825"/>
      <c r="Z800" s="825"/>
      <c r="AA800" s="825"/>
      <c r="AB800" s="825"/>
      <c r="AC800" s="825"/>
    </row>
    <row r="801" spans="1:29" ht="15.8" customHeight="1" x14ac:dyDescent="0.3">
      <c r="A801" s="825"/>
      <c r="C801" s="825"/>
      <c r="D801" s="21"/>
      <c r="E801" s="17"/>
      <c r="F801" s="825"/>
      <c r="G801" s="825"/>
      <c r="H801" s="21"/>
      <c r="I801" s="825"/>
      <c r="J801" s="825"/>
      <c r="M801" s="825"/>
      <c r="N801" s="825"/>
      <c r="O801" s="825"/>
      <c r="P801" s="825"/>
      <c r="Q801" s="825"/>
      <c r="R801" s="825"/>
      <c r="S801" s="825"/>
      <c r="T801" s="825"/>
      <c r="U801" s="825"/>
      <c r="V801" s="825"/>
      <c r="W801" s="825"/>
      <c r="X801" s="825"/>
      <c r="Y801" s="825"/>
      <c r="Z801" s="825"/>
      <c r="AA801" s="825"/>
      <c r="AB801" s="825"/>
      <c r="AC801" s="825"/>
    </row>
    <row r="802" spans="1:29" ht="15.8" customHeight="1" x14ac:dyDescent="0.3">
      <c r="A802" s="825"/>
      <c r="C802" s="825"/>
      <c r="D802" s="21"/>
      <c r="E802" s="17"/>
      <c r="F802" s="825"/>
      <c r="G802" s="825"/>
      <c r="H802" s="21"/>
      <c r="I802" s="825"/>
      <c r="J802" s="825"/>
      <c r="M802" s="825"/>
      <c r="N802" s="825"/>
      <c r="O802" s="825"/>
      <c r="P802" s="825"/>
      <c r="Q802" s="825"/>
      <c r="R802" s="825"/>
      <c r="S802" s="825"/>
      <c r="T802" s="825"/>
      <c r="U802" s="825"/>
      <c r="V802" s="825"/>
      <c r="W802" s="825"/>
      <c r="X802" s="825"/>
      <c r="Y802" s="825"/>
      <c r="Z802" s="825"/>
      <c r="AA802" s="825"/>
      <c r="AB802" s="825"/>
      <c r="AC802" s="825"/>
    </row>
    <row r="803" spans="1:29" ht="15.8" customHeight="1" x14ac:dyDescent="0.3">
      <c r="A803" s="825"/>
      <c r="C803" s="825"/>
      <c r="D803" s="21"/>
      <c r="E803" s="17"/>
      <c r="F803" s="825"/>
      <c r="G803" s="825"/>
      <c r="H803" s="21"/>
      <c r="I803" s="825"/>
      <c r="J803" s="825"/>
      <c r="M803" s="825"/>
      <c r="N803" s="825"/>
      <c r="O803" s="825"/>
      <c r="P803" s="825"/>
      <c r="Q803" s="825"/>
      <c r="R803" s="825"/>
      <c r="S803" s="825"/>
      <c r="T803" s="825"/>
      <c r="U803" s="825"/>
      <c r="V803" s="825"/>
      <c r="W803" s="825"/>
      <c r="X803" s="825"/>
      <c r="Y803" s="825"/>
      <c r="Z803" s="825"/>
      <c r="AA803" s="825"/>
      <c r="AB803" s="825"/>
      <c r="AC803" s="825"/>
    </row>
    <row r="804" spans="1:29" ht="15.8" customHeight="1" x14ac:dyDescent="0.3">
      <c r="A804" s="825"/>
      <c r="C804" s="825"/>
      <c r="D804" s="21"/>
      <c r="E804" s="17"/>
      <c r="F804" s="825"/>
      <c r="G804" s="825"/>
      <c r="H804" s="21"/>
      <c r="I804" s="825"/>
      <c r="J804" s="825"/>
      <c r="M804" s="825"/>
      <c r="N804" s="825"/>
      <c r="O804" s="825"/>
      <c r="P804" s="825"/>
      <c r="Q804" s="825"/>
      <c r="R804" s="825"/>
      <c r="S804" s="825"/>
      <c r="T804" s="825"/>
      <c r="U804" s="825"/>
      <c r="V804" s="825"/>
      <c r="W804" s="825"/>
      <c r="X804" s="825"/>
      <c r="Y804" s="825"/>
      <c r="Z804" s="825"/>
      <c r="AA804" s="825"/>
      <c r="AB804" s="825"/>
      <c r="AC804" s="825"/>
    </row>
    <row r="805" spans="1:29" ht="15.8" customHeight="1" x14ac:dyDescent="0.3">
      <c r="A805" s="825"/>
      <c r="C805" s="825"/>
      <c r="D805" s="21"/>
      <c r="E805" s="17"/>
      <c r="F805" s="825"/>
      <c r="G805" s="825"/>
      <c r="H805" s="21"/>
      <c r="I805" s="825"/>
      <c r="J805" s="825"/>
      <c r="M805" s="825"/>
      <c r="N805" s="825"/>
      <c r="O805" s="825"/>
      <c r="P805" s="825"/>
      <c r="Q805" s="825"/>
      <c r="R805" s="825"/>
      <c r="S805" s="825"/>
      <c r="T805" s="825"/>
      <c r="U805" s="825"/>
      <c r="V805" s="825"/>
      <c r="W805" s="825"/>
      <c r="X805" s="825"/>
      <c r="Y805" s="825"/>
      <c r="Z805" s="825"/>
      <c r="AA805" s="825"/>
      <c r="AB805" s="825"/>
      <c r="AC805" s="825"/>
    </row>
    <row r="806" spans="1:29" ht="15.8" customHeight="1" x14ac:dyDescent="0.3">
      <c r="A806" s="825"/>
      <c r="C806" s="825"/>
      <c r="D806" s="21"/>
      <c r="E806" s="17"/>
      <c r="F806" s="825"/>
      <c r="G806" s="825"/>
      <c r="H806" s="21"/>
      <c r="I806" s="825"/>
      <c r="J806" s="825"/>
      <c r="M806" s="825"/>
      <c r="N806" s="825"/>
      <c r="O806" s="825"/>
      <c r="P806" s="825"/>
      <c r="Q806" s="825"/>
      <c r="R806" s="825"/>
      <c r="S806" s="825"/>
      <c r="T806" s="825"/>
      <c r="U806" s="825"/>
      <c r="V806" s="825"/>
      <c r="W806" s="825"/>
      <c r="X806" s="825"/>
      <c r="Y806" s="825"/>
      <c r="Z806" s="825"/>
      <c r="AA806" s="825"/>
      <c r="AB806" s="825"/>
      <c r="AC806" s="825"/>
    </row>
    <row r="807" spans="1:29" ht="15.8" customHeight="1" x14ac:dyDescent="0.3">
      <c r="A807" s="825"/>
      <c r="C807" s="825"/>
      <c r="D807" s="21"/>
      <c r="E807" s="17"/>
      <c r="F807" s="825"/>
      <c r="G807" s="825"/>
      <c r="H807" s="21"/>
      <c r="I807" s="825"/>
      <c r="J807" s="825"/>
      <c r="M807" s="825"/>
      <c r="N807" s="825"/>
      <c r="O807" s="825"/>
      <c r="P807" s="825"/>
      <c r="Q807" s="825"/>
      <c r="R807" s="825"/>
      <c r="S807" s="825"/>
      <c r="T807" s="825"/>
      <c r="U807" s="825"/>
      <c r="V807" s="825"/>
      <c r="W807" s="825"/>
      <c r="X807" s="825"/>
      <c r="Y807" s="825"/>
      <c r="Z807" s="825"/>
      <c r="AA807" s="825"/>
      <c r="AB807" s="825"/>
      <c r="AC807" s="825"/>
    </row>
    <row r="808" spans="1:29" ht="15.8" customHeight="1" x14ac:dyDescent="0.3">
      <c r="A808" s="825"/>
      <c r="C808" s="825"/>
      <c r="D808" s="21"/>
      <c r="E808" s="17"/>
      <c r="F808" s="825"/>
      <c r="G808" s="825"/>
      <c r="H808" s="21"/>
      <c r="I808" s="825"/>
      <c r="J808" s="825"/>
      <c r="M808" s="825"/>
      <c r="N808" s="825"/>
      <c r="O808" s="825"/>
      <c r="P808" s="825"/>
      <c r="Q808" s="825"/>
      <c r="R808" s="825"/>
      <c r="S808" s="825"/>
      <c r="T808" s="825"/>
      <c r="U808" s="825"/>
      <c r="V808" s="825"/>
      <c r="W808" s="825"/>
      <c r="X808" s="825"/>
      <c r="Y808" s="825"/>
      <c r="Z808" s="825"/>
      <c r="AA808" s="825"/>
      <c r="AB808" s="825"/>
      <c r="AC808" s="825"/>
    </row>
    <row r="809" spans="1:29" ht="15.8" customHeight="1" x14ac:dyDescent="0.3">
      <c r="A809" s="825"/>
      <c r="C809" s="825"/>
      <c r="D809" s="21"/>
      <c r="E809" s="17"/>
      <c r="F809" s="825"/>
      <c r="G809" s="825"/>
      <c r="H809" s="21"/>
      <c r="I809" s="825"/>
      <c r="J809" s="825"/>
      <c r="M809" s="825"/>
      <c r="N809" s="825"/>
      <c r="O809" s="825"/>
      <c r="P809" s="825"/>
      <c r="Q809" s="825"/>
      <c r="R809" s="825"/>
      <c r="S809" s="825"/>
      <c r="T809" s="825"/>
      <c r="U809" s="825"/>
      <c r="V809" s="825"/>
      <c r="W809" s="825"/>
      <c r="X809" s="825"/>
      <c r="Y809" s="825"/>
      <c r="Z809" s="825"/>
      <c r="AA809" s="825"/>
      <c r="AB809" s="825"/>
      <c r="AC809" s="825"/>
    </row>
    <row r="810" spans="1:29" ht="15.8" customHeight="1" x14ac:dyDescent="0.3">
      <c r="A810" s="825"/>
      <c r="C810" s="825"/>
      <c r="D810" s="21"/>
      <c r="E810" s="17"/>
      <c r="F810" s="825"/>
      <c r="G810" s="825"/>
      <c r="H810" s="21"/>
      <c r="I810" s="825"/>
      <c r="J810" s="825"/>
      <c r="M810" s="825"/>
      <c r="N810" s="825"/>
      <c r="O810" s="825"/>
      <c r="P810" s="825"/>
      <c r="Q810" s="825"/>
      <c r="R810" s="825"/>
      <c r="S810" s="825"/>
      <c r="T810" s="825"/>
      <c r="U810" s="825"/>
      <c r="V810" s="825"/>
      <c r="W810" s="825"/>
      <c r="X810" s="825"/>
      <c r="Y810" s="825"/>
      <c r="Z810" s="825"/>
      <c r="AA810" s="825"/>
      <c r="AB810" s="825"/>
      <c r="AC810" s="825"/>
    </row>
    <row r="811" spans="1:29" ht="15.8" customHeight="1" x14ac:dyDescent="0.3">
      <c r="A811" s="825"/>
      <c r="C811" s="825"/>
      <c r="D811" s="21"/>
      <c r="E811" s="17"/>
      <c r="F811" s="825"/>
      <c r="G811" s="825"/>
      <c r="H811" s="21"/>
      <c r="I811" s="825"/>
      <c r="J811" s="825"/>
      <c r="M811" s="825"/>
      <c r="N811" s="825"/>
      <c r="O811" s="825"/>
      <c r="P811" s="825"/>
      <c r="Q811" s="825"/>
      <c r="R811" s="825"/>
      <c r="S811" s="825"/>
      <c r="T811" s="825"/>
      <c r="U811" s="825"/>
      <c r="V811" s="825"/>
      <c r="W811" s="825"/>
      <c r="X811" s="825"/>
      <c r="Y811" s="825"/>
      <c r="Z811" s="825"/>
      <c r="AA811" s="825"/>
      <c r="AB811" s="825"/>
      <c r="AC811" s="825"/>
    </row>
    <row r="812" spans="1:29" ht="15.8" customHeight="1" x14ac:dyDescent="0.3">
      <c r="A812" s="825"/>
      <c r="C812" s="825"/>
      <c r="D812" s="21"/>
      <c r="E812" s="17"/>
      <c r="F812" s="825"/>
      <c r="G812" s="825"/>
      <c r="H812" s="21"/>
      <c r="I812" s="825"/>
      <c r="J812" s="825"/>
      <c r="M812" s="825"/>
      <c r="N812" s="825"/>
      <c r="O812" s="825"/>
      <c r="P812" s="825"/>
      <c r="Q812" s="825"/>
      <c r="R812" s="825"/>
      <c r="S812" s="825"/>
      <c r="T812" s="825"/>
      <c r="U812" s="825"/>
      <c r="V812" s="825"/>
      <c r="W812" s="825"/>
      <c r="X812" s="825"/>
      <c r="Y812" s="825"/>
      <c r="Z812" s="825"/>
      <c r="AA812" s="825"/>
      <c r="AB812" s="825"/>
      <c r="AC812" s="825"/>
    </row>
    <row r="813" spans="1:29" ht="15.8" customHeight="1" x14ac:dyDescent="0.3">
      <c r="A813" s="825"/>
      <c r="C813" s="825"/>
      <c r="D813" s="21"/>
      <c r="E813" s="17"/>
      <c r="F813" s="825"/>
      <c r="G813" s="825"/>
      <c r="H813" s="21"/>
      <c r="I813" s="825"/>
      <c r="J813" s="825"/>
      <c r="M813" s="825"/>
      <c r="N813" s="825"/>
      <c r="O813" s="825"/>
      <c r="P813" s="825"/>
      <c r="Q813" s="825"/>
      <c r="R813" s="825"/>
      <c r="S813" s="825"/>
      <c r="T813" s="825"/>
      <c r="U813" s="825"/>
      <c r="V813" s="825"/>
      <c r="W813" s="825"/>
      <c r="X813" s="825"/>
      <c r="Y813" s="825"/>
      <c r="Z813" s="825"/>
      <c r="AA813" s="825"/>
      <c r="AB813" s="825"/>
      <c r="AC813" s="825"/>
    </row>
    <row r="814" spans="1:29" ht="15.8" customHeight="1" x14ac:dyDescent="0.3">
      <c r="A814" s="825"/>
      <c r="C814" s="825"/>
      <c r="D814" s="21"/>
      <c r="E814" s="17"/>
      <c r="F814" s="825"/>
      <c r="G814" s="825"/>
      <c r="H814" s="21"/>
      <c r="I814" s="825"/>
      <c r="J814" s="825"/>
      <c r="M814" s="825"/>
      <c r="N814" s="825"/>
      <c r="O814" s="825"/>
      <c r="P814" s="825"/>
      <c r="Q814" s="825"/>
      <c r="R814" s="825"/>
      <c r="S814" s="825"/>
      <c r="T814" s="825"/>
      <c r="U814" s="825"/>
      <c r="V814" s="825"/>
      <c r="W814" s="825"/>
      <c r="X814" s="825"/>
      <c r="Y814" s="825"/>
      <c r="Z814" s="825"/>
      <c r="AA814" s="825"/>
      <c r="AB814" s="825"/>
      <c r="AC814" s="825"/>
    </row>
    <row r="815" spans="1:29" ht="15.8" customHeight="1" x14ac:dyDescent="0.3">
      <c r="A815" s="825"/>
      <c r="C815" s="825"/>
      <c r="D815" s="21"/>
      <c r="E815" s="17"/>
      <c r="F815" s="825"/>
      <c r="G815" s="825"/>
      <c r="H815" s="21"/>
      <c r="I815" s="825"/>
      <c r="J815" s="825"/>
      <c r="M815" s="825"/>
      <c r="N815" s="825"/>
      <c r="O815" s="825"/>
      <c r="P815" s="825"/>
      <c r="Q815" s="825"/>
      <c r="R815" s="825"/>
      <c r="S815" s="825"/>
      <c r="T815" s="825"/>
      <c r="U815" s="825"/>
      <c r="V815" s="825"/>
      <c r="W815" s="825"/>
      <c r="X815" s="825"/>
      <c r="Y815" s="825"/>
      <c r="Z815" s="825"/>
      <c r="AA815" s="825"/>
      <c r="AB815" s="825"/>
      <c r="AC815" s="825"/>
    </row>
    <row r="816" spans="1:29" ht="15.8" customHeight="1" x14ac:dyDescent="0.3">
      <c r="A816" s="825"/>
      <c r="C816" s="825"/>
      <c r="D816" s="21"/>
      <c r="E816" s="17"/>
      <c r="F816" s="825"/>
      <c r="G816" s="825"/>
      <c r="H816" s="21"/>
      <c r="I816" s="825"/>
      <c r="J816" s="825"/>
      <c r="M816" s="825"/>
      <c r="N816" s="825"/>
      <c r="O816" s="825"/>
      <c r="P816" s="825"/>
      <c r="Q816" s="825"/>
      <c r="R816" s="825"/>
      <c r="S816" s="825"/>
      <c r="T816" s="825"/>
      <c r="U816" s="825"/>
      <c r="V816" s="825"/>
      <c r="W816" s="825"/>
      <c r="X816" s="825"/>
      <c r="Y816" s="825"/>
      <c r="Z816" s="825"/>
      <c r="AA816" s="825"/>
      <c r="AB816" s="825"/>
      <c r="AC816" s="825"/>
    </row>
    <row r="817" spans="1:29" ht="15.8" customHeight="1" x14ac:dyDescent="0.3">
      <c r="A817" s="825"/>
      <c r="C817" s="825"/>
      <c r="D817" s="21"/>
      <c r="E817" s="17"/>
      <c r="F817" s="825"/>
      <c r="G817" s="825"/>
      <c r="H817" s="21"/>
      <c r="I817" s="825"/>
      <c r="J817" s="825"/>
      <c r="M817" s="825"/>
      <c r="N817" s="825"/>
      <c r="O817" s="825"/>
      <c r="P817" s="825"/>
      <c r="Q817" s="825"/>
      <c r="R817" s="825"/>
      <c r="S817" s="825"/>
      <c r="T817" s="825"/>
      <c r="U817" s="825"/>
      <c r="V817" s="825"/>
      <c r="W817" s="825"/>
      <c r="X817" s="825"/>
      <c r="Y817" s="825"/>
      <c r="Z817" s="825"/>
      <c r="AA817" s="825"/>
      <c r="AB817" s="825"/>
      <c r="AC817" s="825"/>
    </row>
    <row r="818" spans="1:29" ht="15.8" customHeight="1" x14ac:dyDescent="0.3">
      <c r="A818" s="825"/>
      <c r="C818" s="825"/>
      <c r="D818" s="21"/>
      <c r="E818" s="17"/>
      <c r="F818" s="825"/>
      <c r="G818" s="825"/>
      <c r="H818" s="21"/>
      <c r="I818" s="825"/>
      <c r="J818" s="825"/>
      <c r="M818" s="825"/>
      <c r="N818" s="825"/>
      <c r="O818" s="825"/>
      <c r="P818" s="825"/>
      <c r="Q818" s="825"/>
      <c r="R818" s="825"/>
      <c r="S818" s="825"/>
      <c r="T818" s="825"/>
      <c r="U818" s="825"/>
      <c r="V818" s="825"/>
      <c r="W818" s="825"/>
      <c r="X818" s="825"/>
      <c r="Y818" s="825"/>
      <c r="Z818" s="825"/>
      <c r="AA818" s="825"/>
      <c r="AB818" s="825"/>
      <c r="AC818" s="825"/>
    </row>
    <row r="819" spans="1:29" ht="15.8" customHeight="1" x14ac:dyDescent="0.3">
      <c r="A819" s="825"/>
      <c r="C819" s="825"/>
      <c r="D819" s="21"/>
      <c r="E819" s="17"/>
      <c r="F819" s="825"/>
      <c r="G819" s="825"/>
      <c r="H819" s="21"/>
      <c r="I819" s="825"/>
      <c r="J819" s="825"/>
      <c r="M819" s="825"/>
      <c r="N819" s="825"/>
      <c r="O819" s="825"/>
      <c r="P819" s="825"/>
      <c r="Q819" s="825"/>
      <c r="R819" s="825"/>
      <c r="S819" s="825"/>
      <c r="T819" s="825"/>
      <c r="U819" s="825"/>
      <c r="V819" s="825"/>
      <c r="W819" s="825"/>
      <c r="X819" s="825"/>
      <c r="Y819" s="825"/>
      <c r="Z819" s="825"/>
      <c r="AA819" s="825"/>
      <c r="AB819" s="825"/>
      <c r="AC819" s="825"/>
    </row>
    <row r="820" spans="1:29" ht="15.8" customHeight="1" x14ac:dyDescent="0.3">
      <c r="A820" s="825"/>
      <c r="C820" s="825"/>
      <c r="D820" s="21"/>
      <c r="E820" s="17"/>
      <c r="F820" s="825"/>
      <c r="G820" s="825"/>
      <c r="H820" s="21"/>
      <c r="I820" s="825"/>
      <c r="J820" s="825"/>
      <c r="M820" s="825"/>
      <c r="N820" s="825"/>
      <c r="O820" s="825"/>
      <c r="P820" s="825"/>
      <c r="Q820" s="825"/>
      <c r="R820" s="825"/>
      <c r="S820" s="825"/>
      <c r="T820" s="825"/>
      <c r="U820" s="825"/>
      <c r="V820" s="825"/>
      <c r="W820" s="825"/>
      <c r="X820" s="825"/>
      <c r="Y820" s="825"/>
      <c r="Z820" s="825"/>
      <c r="AA820" s="825"/>
      <c r="AB820" s="825"/>
      <c r="AC820" s="825"/>
    </row>
    <row r="821" spans="1:29" ht="15.8" customHeight="1" x14ac:dyDescent="0.3">
      <c r="A821" s="825"/>
      <c r="C821" s="825"/>
      <c r="D821" s="21"/>
      <c r="E821" s="17"/>
      <c r="F821" s="825"/>
      <c r="G821" s="825"/>
      <c r="H821" s="21"/>
      <c r="I821" s="825"/>
      <c r="J821" s="825"/>
      <c r="M821" s="825"/>
      <c r="N821" s="825"/>
      <c r="O821" s="825"/>
      <c r="P821" s="825"/>
      <c r="Q821" s="825"/>
      <c r="R821" s="825"/>
      <c r="S821" s="825"/>
      <c r="T821" s="825"/>
      <c r="U821" s="825"/>
      <c r="V821" s="825"/>
      <c r="W821" s="825"/>
      <c r="X821" s="825"/>
      <c r="Y821" s="825"/>
      <c r="Z821" s="825"/>
      <c r="AA821" s="825"/>
      <c r="AB821" s="825"/>
      <c r="AC821" s="825"/>
    </row>
    <row r="822" spans="1:29" ht="15.8" customHeight="1" x14ac:dyDescent="0.3">
      <c r="A822" s="825"/>
      <c r="C822" s="825"/>
      <c r="D822" s="21"/>
      <c r="E822" s="17"/>
      <c r="F822" s="825"/>
      <c r="G822" s="825"/>
      <c r="H822" s="21"/>
      <c r="I822" s="825"/>
      <c r="J822" s="825"/>
      <c r="M822" s="825"/>
      <c r="N822" s="825"/>
      <c r="O822" s="825"/>
      <c r="P822" s="825"/>
      <c r="Q822" s="825"/>
      <c r="R822" s="825"/>
      <c r="S822" s="825"/>
      <c r="T822" s="825"/>
      <c r="U822" s="825"/>
      <c r="V822" s="825"/>
      <c r="W822" s="825"/>
      <c r="X822" s="825"/>
      <c r="Y822" s="825"/>
      <c r="Z822" s="825"/>
      <c r="AA822" s="825"/>
      <c r="AB822" s="825"/>
      <c r="AC822" s="825"/>
    </row>
    <row r="823" spans="1:29" ht="15.8" customHeight="1" x14ac:dyDescent="0.3">
      <c r="A823" s="825"/>
      <c r="C823" s="825"/>
      <c r="D823" s="21"/>
      <c r="E823" s="17"/>
      <c r="F823" s="825"/>
      <c r="G823" s="825"/>
      <c r="H823" s="21"/>
      <c r="I823" s="825"/>
      <c r="J823" s="825"/>
      <c r="M823" s="825"/>
      <c r="N823" s="825"/>
      <c r="O823" s="825"/>
      <c r="P823" s="825"/>
      <c r="Q823" s="825"/>
      <c r="R823" s="825"/>
      <c r="S823" s="825"/>
      <c r="T823" s="825"/>
      <c r="U823" s="825"/>
      <c r="V823" s="825"/>
      <c r="W823" s="825"/>
      <c r="X823" s="825"/>
      <c r="Y823" s="825"/>
      <c r="Z823" s="825"/>
      <c r="AA823" s="825"/>
      <c r="AB823" s="825"/>
      <c r="AC823" s="825"/>
    </row>
    <row r="824" spans="1:29" ht="15.8" customHeight="1" x14ac:dyDescent="0.3">
      <c r="A824" s="825"/>
      <c r="C824" s="825"/>
      <c r="D824" s="21"/>
      <c r="E824" s="17"/>
      <c r="F824" s="825"/>
      <c r="G824" s="825"/>
      <c r="H824" s="21"/>
      <c r="I824" s="825"/>
      <c r="J824" s="825"/>
      <c r="M824" s="825"/>
      <c r="N824" s="825"/>
      <c r="O824" s="825"/>
      <c r="P824" s="825"/>
      <c r="Q824" s="825"/>
      <c r="R824" s="825"/>
      <c r="S824" s="825"/>
      <c r="T824" s="825"/>
      <c r="U824" s="825"/>
      <c r="V824" s="825"/>
      <c r="W824" s="825"/>
      <c r="X824" s="825"/>
      <c r="Y824" s="825"/>
      <c r="Z824" s="825"/>
      <c r="AA824" s="825"/>
      <c r="AB824" s="825"/>
      <c r="AC824" s="825"/>
    </row>
    <row r="825" spans="1:29" ht="15.8" customHeight="1" x14ac:dyDescent="0.3">
      <c r="A825" s="825"/>
      <c r="C825" s="825"/>
      <c r="D825" s="21"/>
      <c r="E825" s="17"/>
      <c r="F825" s="825"/>
      <c r="G825" s="825"/>
      <c r="H825" s="21"/>
      <c r="I825" s="825"/>
      <c r="J825" s="825"/>
      <c r="M825" s="825"/>
      <c r="N825" s="825"/>
      <c r="O825" s="825"/>
      <c r="P825" s="825"/>
      <c r="Q825" s="825"/>
      <c r="R825" s="825"/>
      <c r="S825" s="825"/>
      <c r="T825" s="825"/>
      <c r="U825" s="825"/>
      <c r="V825" s="825"/>
      <c r="W825" s="825"/>
      <c r="X825" s="825"/>
      <c r="Y825" s="825"/>
      <c r="Z825" s="825"/>
      <c r="AA825" s="825"/>
      <c r="AB825" s="825"/>
      <c r="AC825" s="825"/>
    </row>
    <row r="826" spans="1:29" ht="15.8" customHeight="1" x14ac:dyDescent="0.3">
      <c r="A826" s="825"/>
      <c r="C826" s="825"/>
      <c r="D826" s="21"/>
      <c r="E826" s="17"/>
      <c r="F826" s="825"/>
      <c r="G826" s="825"/>
      <c r="H826" s="21"/>
      <c r="I826" s="825"/>
      <c r="J826" s="825"/>
      <c r="M826" s="825"/>
      <c r="N826" s="825"/>
      <c r="O826" s="825"/>
      <c r="P826" s="825"/>
      <c r="Q826" s="825"/>
      <c r="R826" s="825"/>
      <c r="S826" s="825"/>
      <c r="T826" s="825"/>
      <c r="U826" s="825"/>
      <c r="V826" s="825"/>
      <c r="W826" s="825"/>
      <c r="X826" s="825"/>
      <c r="Y826" s="825"/>
      <c r="Z826" s="825"/>
      <c r="AA826" s="825"/>
      <c r="AB826" s="825"/>
      <c r="AC826" s="825"/>
    </row>
    <row r="827" spans="1:29" ht="15.8" customHeight="1" x14ac:dyDescent="0.3">
      <c r="A827" s="825"/>
      <c r="C827" s="825"/>
      <c r="D827" s="21"/>
      <c r="E827" s="17"/>
      <c r="F827" s="825"/>
      <c r="G827" s="825"/>
      <c r="H827" s="21"/>
      <c r="I827" s="825"/>
      <c r="J827" s="825"/>
      <c r="M827" s="825"/>
      <c r="N827" s="825"/>
      <c r="O827" s="825"/>
      <c r="P827" s="825"/>
      <c r="Q827" s="825"/>
      <c r="R827" s="825"/>
      <c r="S827" s="825"/>
      <c r="T827" s="825"/>
      <c r="U827" s="825"/>
      <c r="V827" s="825"/>
      <c r="W827" s="825"/>
      <c r="X827" s="825"/>
      <c r="Y827" s="825"/>
      <c r="Z827" s="825"/>
      <c r="AA827" s="825"/>
      <c r="AB827" s="825"/>
      <c r="AC827" s="825"/>
    </row>
    <row r="828" spans="1:29" ht="15.8" customHeight="1" x14ac:dyDescent="0.3">
      <c r="A828" s="825"/>
      <c r="C828" s="825"/>
      <c r="D828" s="21"/>
      <c r="E828" s="17"/>
      <c r="F828" s="825"/>
      <c r="G828" s="825"/>
      <c r="H828" s="21"/>
      <c r="I828" s="825"/>
      <c r="J828" s="825"/>
      <c r="M828" s="825"/>
      <c r="N828" s="825"/>
      <c r="O828" s="825"/>
      <c r="P828" s="825"/>
      <c r="Q828" s="825"/>
      <c r="R828" s="825"/>
      <c r="S828" s="825"/>
      <c r="T828" s="825"/>
      <c r="U828" s="825"/>
      <c r="V828" s="825"/>
      <c r="W828" s="825"/>
      <c r="X828" s="825"/>
      <c r="Y828" s="825"/>
      <c r="Z828" s="825"/>
      <c r="AA828" s="825"/>
      <c r="AB828" s="825"/>
      <c r="AC828" s="825"/>
    </row>
    <row r="829" spans="1:29" ht="15.8" customHeight="1" x14ac:dyDescent="0.3">
      <c r="A829" s="825"/>
      <c r="C829" s="825"/>
      <c r="D829" s="21"/>
      <c r="E829" s="17"/>
      <c r="F829" s="825"/>
      <c r="G829" s="825"/>
      <c r="H829" s="21"/>
      <c r="I829" s="825"/>
      <c r="J829" s="825"/>
      <c r="M829" s="825"/>
      <c r="N829" s="825"/>
      <c r="O829" s="825"/>
      <c r="P829" s="825"/>
      <c r="Q829" s="825"/>
      <c r="R829" s="825"/>
      <c r="S829" s="825"/>
      <c r="T829" s="825"/>
      <c r="U829" s="825"/>
      <c r="V829" s="825"/>
      <c r="W829" s="825"/>
      <c r="X829" s="825"/>
      <c r="Y829" s="825"/>
      <c r="Z829" s="825"/>
      <c r="AA829" s="825"/>
      <c r="AB829" s="825"/>
      <c r="AC829" s="825"/>
    </row>
    <row r="830" spans="1:29" ht="15.8" customHeight="1" x14ac:dyDescent="0.3">
      <c r="A830" s="825"/>
      <c r="C830" s="825"/>
      <c r="D830" s="21"/>
      <c r="E830" s="17"/>
      <c r="F830" s="825"/>
      <c r="G830" s="825"/>
      <c r="H830" s="21"/>
      <c r="I830" s="825"/>
      <c r="J830" s="825"/>
      <c r="M830" s="825"/>
      <c r="N830" s="825"/>
      <c r="O830" s="825"/>
      <c r="P830" s="825"/>
      <c r="Q830" s="825"/>
      <c r="R830" s="825"/>
      <c r="S830" s="825"/>
      <c r="T830" s="825"/>
      <c r="U830" s="825"/>
      <c r="V830" s="825"/>
      <c r="W830" s="825"/>
      <c r="X830" s="825"/>
      <c r="Y830" s="825"/>
      <c r="Z830" s="825"/>
      <c r="AA830" s="825"/>
      <c r="AB830" s="825"/>
      <c r="AC830" s="825"/>
    </row>
    <row r="831" spans="1:29" ht="15.8" customHeight="1" x14ac:dyDescent="0.3">
      <c r="A831" s="825"/>
      <c r="C831" s="825"/>
      <c r="D831" s="21"/>
      <c r="E831" s="17"/>
      <c r="F831" s="825"/>
      <c r="G831" s="825"/>
      <c r="H831" s="21"/>
      <c r="I831" s="825"/>
      <c r="J831" s="825"/>
      <c r="M831" s="825"/>
      <c r="N831" s="825"/>
      <c r="O831" s="825"/>
      <c r="P831" s="825"/>
      <c r="Q831" s="825"/>
      <c r="R831" s="825"/>
      <c r="S831" s="825"/>
      <c r="T831" s="825"/>
      <c r="U831" s="825"/>
      <c r="V831" s="825"/>
      <c r="W831" s="825"/>
      <c r="X831" s="825"/>
      <c r="Y831" s="825"/>
      <c r="Z831" s="825"/>
      <c r="AA831" s="825"/>
      <c r="AB831" s="825"/>
      <c r="AC831" s="825"/>
    </row>
    <row r="832" spans="1:29" ht="15.8" customHeight="1" x14ac:dyDescent="0.3">
      <c r="A832" s="825"/>
      <c r="C832" s="825"/>
      <c r="D832" s="21"/>
      <c r="E832" s="17"/>
      <c r="F832" s="825"/>
      <c r="G832" s="825"/>
      <c r="H832" s="21"/>
      <c r="I832" s="825"/>
      <c r="J832" s="825"/>
      <c r="M832" s="825"/>
      <c r="N832" s="825"/>
      <c r="O832" s="825"/>
      <c r="P832" s="825"/>
      <c r="Q832" s="825"/>
      <c r="R832" s="825"/>
      <c r="S832" s="825"/>
      <c r="T832" s="825"/>
      <c r="U832" s="825"/>
      <c r="V832" s="825"/>
      <c r="W832" s="825"/>
      <c r="X832" s="825"/>
      <c r="Y832" s="825"/>
      <c r="Z832" s="825"/>
      <c r="AA832" s="825"/>
      <c r="AB832" s="825"/>
      <c r="AC832" s="825"/>
    </row>
    <row r="833" spans="1:29" ht="15.8" customHeight="1" x14ac:dyDescent="0.3">
      <c r="A833" s="825"/>
      <c r="C833" s="825"/>
      <c r="D833" s="21"/>
      <c r="E833" s="17"/>
      <c r="F833" s="825"/>
      <c r="G833" s="825"/>
      <c r="H833" s="21"/>
      <c r="I833" s="825"/>
      <c r="J833" s="825"/>
      <c r="M833" s="825"/>
      <c r="N833" s="825"/>
      <c r="O833" s="825"/>
      <c r="P833" s="825"/>
      <c r="Q833" s="825"/>
      <c r="R833" s="825"/>
      <c r="S833" s="825"/>
      <c r="T833" s="825"/>
      <c r="U833" s="825"/>
      <c r="V833" s="825"/>
      <c r="W833" s="825"/>
      <c r="X833" s="825"/>
      <c r="Y833" s="825"/>
      <c r="Z833" s="825"/>
      <c r="AA833" s="825"/>
      <c r="AB833" s="825"/>
      <c r="AC833" s="825"/>
    </row>
    <row r="834" spans="1:29" ht="15.8" customHeight="1" x14ac:dyDescent="0.3">
      <c r="A834" s="825"/>
      <c r="C834" s="825"/>
      <c r="D834" s="21"/>
      <c r="E834" s="17"/>
      <c r="F834" s="825"/>
      <c r="G834" s="825"/>
      <c r="H834" s="21"/>
      <c r="I834" s="825"/>
      <c r="J834" s="825"/>
      <c r="M834" s="825"/>
      <c r="N834" s="825"/>
      <c r="O834" s="825"/>
      <c r="P834" s="825"/>
      <c r="Q834" s="825"/>
      <c r="R834" s="825"/>
      <c r="S834" s="825"/>
      <c r="T834" s="825"/>
      <c r="U834" s="825"/>
      <c r="V834" s="825"/>
      <c r="W834" s="825"/>
      <c r="X834" s="825"/>
      <c r="Y834" s="825"/>
      <c r="Z834" s="825"/>
      <c r="AA834" s="825"/>
      <c r="AB834" s="825"/>
      <c r="AC834" s="825"/>
    </row>
    <row r="835" spans="1:29" ht="15.8" customHeight="1" x14ac:dyDescent="0.3">
      <c r="A835" s="825"/>
      <c r="C835" s="825"/>
      <c r="D835" s="21"/>
      <c r="E835" s="17"/>
      <c r="F835" s="825"/>
      <c r="G835" s="825"/>
      <c r="H835" s="21"/>
      <c r="I835" s="825"/>
      <c r="J835" s="825"/>
      <c r="M835" s="825"/>
      <c r="N835" s="825"/>
      <c r="O835" s="825"/>
      <c r="P835" s="825"/>
      <c r="Q835" s="825"/>
      <c r="R835" s="825"/>
      <c r="S835" s="825"/>
      <c r="T835" s="825"/>
      <c r="U835" s="825"/>
      <c r="V835" s="825"/>
      <c r="W835" s="825"/>
      <c r="X835" s="825"/>
      <c r="Y835" s="825"/>
      <c r="Z835" s="825"/>
      <c r="AA835" s="825"/>
      <c r="AB835" s="825"/>
      <c r="AC835" s="825"/>
    </row>
    <row r="836" spans="1:29" ht="15.8" customHeight="1" x14ac:dyDescent="0.3">
      <c r="A836" s="825"/>
      <c r="C836" s="825"/>
      <c r="D836" s="21"/>
      <c r="E836" s="17"/>
      <c r="F836" s="825"/>
      <c r="G836" s="825"/>
      <c r="H836" s="21"/>
      <c r="I836" s="825"/>
      <c r="J836" s="825"/>
      <c r="M836" s="825"/>
      <c r="N836" s="825"/>
      <c r="O836" s="825"/>
      <c r="P836" s="825"/>
      <c r="Q836" s="825"/>
      <c r="R836" s="825"/>
      <c r="S836" s="825"/>
      <c r="T836" s="825"/>
      <c r="U836" s="825"/>
      <c r="V836" s="825"/>
      <c r="W836" s="825"/>
      <c r="X836" s="825"/>
      <c r="Y836" s="825"/>
      <c r="Z836" s="825"/>
      <c r="AA836" s="825"/>
      <c r="AB836" s="825"/>
      <c r="AC836" s="825"/>
    </row>
    <row r="837" spans="1:29" ht="15.8" customHeight="1" x14ac:dyDescent="0.3">
      <c r="A837" s="825"/>
      <c r="C837" s="825"/>
      <c r="D837" s="21"/>
      <c r="E837" s="17"/>
      <c r="F837" s="825"/>
      <c r="G837" s="825"/>
      <c r="H837" s="21"/>
      <c r="I837" s="825"/>
      <c r="J837" s="825"/>
      <c r="M837" s="825"/>
      <c r="N837" s="825"/>
      <c r="O837" s="825"/>
      <c r="P837" s="825"/>
      <c r="Q837" s="825"/>
      <c r="R837" s="825"/>
      <c r="S837" s="825"/>
      <c r="T837" s="825"/>
      <c r="U837" s="825"/>
      <c r="V837" s="825"/>
      <c r="W837" s="825"/>
      <c r="X837" s="825"/>
      <c r="Y837" s="825"/>
      <c r="Z837" s="825"/>
      <c r="AA837" s="825"/>
      <c r="AB837" s="825"/>
      <c r="AC837" s="825"/>
    </row>
    <row r="838" spans="1:29" ht="15.8" customHeight="1" x14ac:dyDescent="0.3">
      <c r="A838" s="825"/>
      <c r="C838" s="825"/>
      <c r="D838" s="21"/>
      <c r="E838" s="17"/>
      <c r="F838" s="825"/>
      <c r="G838" s="825"/>
      <c r="H838" s="21"/>
      <c r="I838" s="825"/>
      <c r="J838" s="825"/>
      <c r="M838" s="825"/>
      <c r="N838" s="825"/>
      <c r="O838" s="825"/>
      <c r="P838" s="825"/>
      <c r="Q838" s="825"/>
      <c r="R838" s="825"/>
      <c r="S838" s="825"/>
      <c r="T838" s="825"/>
      <c r="U838" s="825"/>
      <c r="V838" s="825"/>
      <c r="W838" s="825"/>
      <c r="X838" s="825"/>
      <c r="Y838" s="825"/>
      <c r="Z838" s="825"/>
      <c r="AA838" s="825"/>
      <c r="AB838" s="825"/>
      <c r="AC838" s="825"/>
    </row>
    <row r="839" spans="1:29" ht="15.8" customHeight="1" x14ac:dyDescent="0.3">
      <c r="A839" s="825"/>
      <c r="C839" s="825"/>
      <c r="D839" s="21"/>
      <c r="E839" s="17"/>
      <c r="F839" s="825"/>
      <c r="G839" s="825"/>
      <c r="H839" s="21"/>
      <c r="I839" s="825"/>
      <c r="J839" s="825"/>
      <c r="M839" s="825"/>
      <c r="N839" s="825"/>
      <c r="O839" s="825"/>
      <c r="P839" s="825"/>
      <c r="Q839" s="825"/>
      <c r="R839" s="825"/>
      <c r="S839" s="825"/>
      <c r="T839" s="825"/>
      <c r="U839" s="825"/>
      <c r="V839" s="825"/>
      <c r="W839" s="825"/>
      <c r="X839" s="825"/>
      <c r="Y839" s="825"/>
      <c r="Z839" s="825"/>
      <c r="AA839" s="825"/>
      <c r="AB839" s="825"/>
      <c r="AC839" s="825"/>
    </row>
    <row r="840" spans="1:29" ht="15.8" customHeight="1" x14ac:dyDescent="0.3">
      <c r="A840" s="825"/>
      <c r="C840" s="825"/>
      <c r="D840" s="21"/>
      <c r="E840" s="17"/>
      <c r="F840" s="825"/>
      <c r="G840" s="825"/>
      <c r="H840" s="21"/>
      <c r="I840" s="825"/>
      <c r="J840" s="825"/>
      <c r="M840" s="825"/>
      <c r="N840" s="825"/>
      <c r="O840" s="825"/>
      <c r="P840" s="825"/>
      <c r="Q840" s="825"/>
      <c r="R840" s="825"/>
      <c r="S840" s="825"/>
      <c r="T840" s="825"/>
      <c r="U840" s="825"/>
      <c r="V840" s="825"/>
      <c r="W840" s="825"/>
      <c r="X840" s="825"/>
      <c r="Y840" s="825"/>
      <c r="Z840" s="825"/>
      <c r="AA840" s="825"/>
      <c r="AB840" s="825"/>
      <c r="AC840" s="825"/>
    </row>
    <row r="841" spans="1:29" ht="15.8" customHeight="1" x14ac:dyDescent="0.3">
      <c r="A841" s="825"/>
      <c r="C841" s="825"/>
      <c r="D841" s="21"/>
      <c r="E841" s="17"/>
      <c r="F841" s="825"/>
      <c r="G841" s="825"/>
      <c r="H841" s="21"/>
      <c r="I841" s="825"/>
      <c r="J841" s="825"/>
      <c r="M841" s="825"/>
      <c r="N841" s="825"/>
      <c r="O841" s="825"/>
      <c r="P841" s="825"/>
      <c r="Q841" s="825"/>
      <c r="R841" s="825"/>
      <c r="S841" s="825"/>
      <c r="T841" s="825"/>
      <c r="U841" s="825"/>
      <c r="V841" s="825"/>
      <c r="W841" s="825"/>
      <c r="X841" s="825"/>
      <c r="Y841" s="825"/>
      <c r="Z841" s="825"/>
      <c r="AA841" s="825"/>
      <c r="AB841" s="825"/>
      <c r="AC841" s="825"/>
    </row>
    <row r="842" spans="1:29" ht="15.8" customHeight="1" x14ac:dyDescent="0.3">
      <c r="A842" s="825"/>
      <c r="C842" s="825"/>
      <c r="D842" s="21"/>
      <c r="E842" s="17"/>
      <c r="F842" s="825"/>
      <c r="G842" s="825"/>
      <c r="H842" s="21"/>
      <c r="I842" s="825"/>
      <c r="J842" s="825"/>
      <c r="M842" s="825"/>
      <c r="N842" s="825"/>
      <c r="O842" s="825"/>
      <c r="P842" s="825"/>
      <c r="Q842" s="825"/>
      <c r="R842" s="825"/>
      <c r="S842" s="825"/>
      <c r="T842" s="825"/>
      <c r="U842" s="825"/>
      <c r="V842" s="825"/>
      <c r="W842" s="825"/>
      <c r="X842" s="825"/>
      <c r="Y842" s="825"/>
      <c r="Z842" s="825"/>
      <c r="AA842" s="825"/>
      <c r="AB842" s="825"/>
      <c r="AC842" s="825"/>
    </row>
    <row r="843" spans="1:29" ht="15.8" customHeight="1" x14ac:dyDescent="0.3">
      <c r="A843" s="825"/>
      <c r="C843" s="825"/>
      <c r="D843" s="21"/>
      <c r="E843" s="17"/>
      <c r="F843" s="825"/>
      <c r="G843" s="825"/>
      <c r="H843" s="21"/>
      <c r="I843" s="825"/>
      <c r="J843" s="825"/>
      <c r="M843" s="825"/>
      <c r="N843" s="825"/>
      <c r="O843" s="825"/>
      <c r="P843" s="825"/>
      <c r="Q843" s="825"/>
      <c r="R843" s="825"/>
      <c r="S843" s="825"/>
      <c r="T843" s="825"/>
      <c r="U843" s="825"/>
      <c r="V843" s="825"/>
      <c r="W843" s="825"/>
      <c r="X843" s="825"/>
      <c r="Y843" s="825"/>
      <c r="Z843" s="825"/>
      <c r="AA843" s="825"/>
      <c r="AB843" s="825"/>
      <c r="AC843" s="825"/>
    </row>
    <row r="844" spans="1:29" ht="15.8" customHeight="1" x14ac:dyDescent="0.3">
      <c r="A844" s="825"/>
      <c r="C844" s="825"/>
      <c r="D844" s="21"/>
      <c r="E844" s="17"/>
      <c r="F844" s="825"/>
      <c r="G844" s="825"/>
      <c r="H844" s="21"/>
      <c r="I844" s="825"/>
      <c r="J844" s="825"/>
      <c r="M844" s="825"/>
      <c r="N844" s="825"/>
      <c r="O844" s="825"/>
      <c r="P844" s="825"/>
      <c r="Q844" s="825"/>
      <c r="R844" s="825"/>
      <c r="S844" s="825"/>
      <c r="T844" s="825"/>
      <c r="U844" s="825"/>
      <c r="V844" s="825"/>
      <c r="W844" s="825"/>
      <c r="X844" s="825"/>
      <c r="Y844" s="825"/>
      <c r="Z844" s="825"/>
      <c r="AA844" s="825"/>
      <c r="AB844" s="825"/>
      <c r="AC844" s="825"/>
    </row>
    <row r="845" spans="1:29" ht="15.8" customHeight="1" x14ac:dyDescent="0.3">
      <c r="A845" s="825"/>
      <c r="C845" s="825"/>
      <c r="D845" s="21"/>
      <c r="E845" s="17"/>
      <c r="F845" s="825"/>
      <c r="G845" s="825"/>
      <c r="H845" s="21"/>
      <c r="I845" s="825"/>
      <c r="J845" s="825"/>
      <c r="M845" s="825"/>
      <c r="N845" s="825"/>
      <c r="O845" s="825"/>
      <c r="P845" s="825"/>
      <c r="Q845" s="825"/>
      <c r="R845" s="825"/>
      <c r="S845" s="825"/>
      <c r="T845" s="825"/>
      <c r="U845" s="825"/>
      <c r="V845" s="825"/>
      <c r="W845" s="825"/>
      <c r="X845" s="825"/>
      <c r="Y845" s="825"/>
      <c r="Z845" s="825"/>
      <c r="AA845" s="825"/>
      <c r="AB845" s="825"/>
      <c r="AC845" s="825"/>
    </row>
    <row r="846" spans="1:29" ht="15.8" customHeight="1" x14ac:dyDescent="0.3">
      <c r="A846" s="825"/>
      <c r="C846" s="825"/>
      <c r="D846" s="21"/>
      <c r="E846" s="17"/>
      <c r="F846" s="825"/>
      <c r="G846" s="825"/>
      <c r="H846" s="21"/>
      <c r="I846" s="825"/>
      <c r="J846" s="825"/>
      <c r="M846" s="825"/>
      <c r="N846" s="825"/>
      <c r="O846" s="825"/>
      <c r="P846" s="825"/>
      <c r="Q846" s="825"/>
      <c r="R846" s="825"/>
      <c r="S846" s="825"/>
      <c r="T846" s="825"/>
      <c r="U846" s="825"/>
      <c r="V846" s="825"/>
      <c r="W846" s="825"/>
      <c r="X846" s="825"/>
      <c r="Y846" s="825"/>
      <c r="Z846" s="825"/>
      <c r="AA846" s="825"/>
      <c r="AB846" s="825"/>
      <c r="AC846" s="825"/>
    </row>
    <row r="847" spans="1:29" ht="15.8" customHeight="1" x14ac:dyDescent="0.3">
      <c r="A847" s="825"/>
      <c r="C847" s="825"/>
      <c r="D847" s="21"/>
      <c r="E847" s="17"/>
      <c r="F847" s="825"/>
      <c r="G847" s="825"/>
      <c r="H847" s="21"/>
      <c r="I847" s="825"/>
      <c r="J847" s="825"/>
      <c r="M847" s="825"/>
      <c r="N847" s="825"/>
      <c r="O847" s="825"/>
      <c r="P847" s="825"/>
      <c r="Q847" s="825"/>
      <c r="R847" s="825"/>
      <c r="S847" s="825"/>
      <c r="T847" s="825"/>
      <c r="U847" s="825"/>
      <c r="V847" s="825"/>
      <c r="W847" s="825"/>
      <c r="X847" s="825"/>
      <c r="Y847" s="825"/>
      <c r="Z847" s="825"/>
      <c r="AA847" s="825"/>
      <c r="AB847" s="825"/>
      <c r="AC847" s="825"/>
    </row>
    <row r="848" spans="1:29" ht="15.8" customHeight="1" x14ac:dyDescent="0.3">
      <c r="A848" s="825"/>
      <c r="C848" s="825"/>
      <c r="D848" s="21"/>
      <c r="E848" s="17"/>
      <c r="F848" s="825"/>
      <c r="G848" s="825"/>
      <c r="H848" s="21"/>
      <c r="I848" s="825"/>
      <c r="J848" s="825"/>
      <c r="M848" s="825"/>
      <c r="N848" s="825"/>
      <c r="O848" s="825"/>
      <c r="P848" s="825"/>
      <c r="Q848" s="825"/>
      <c r="R848" s="825"/>
      <c r="S848" s="825"/>
      <c r="T848" s="825"/>
      <c r="U848" s="825"/>
      <c r="V848" s="825"/>
      <c r="W848" s="825"/>
      <c r="X848" s="825"/>
      <c r="Y848" s="825"/>
      <c r="Z848" s="825"/>
      <c r="AA848" s="825"/>
      <c r="AB848" s="825"/>
      <c r="AC848" s="825"/>
    </row>
    <row r="849" spans="1:29" ht="15.8" customHeight="1" x14ac:dyDescent="0.3">
      <c r="A849" s="825"/>
      <c r="C849" s="825"/>
      <c r="D849" s="21"/>
      <c r="E849" s="17"/>
      <c r="F849" s="825"/>
      <c r="G849" s="825"/>
      <c r="H849" s="21"/>
      <c r="I849" s="825"/>
      <c r="J849" s="825"/>
      <c r="M849" s="825"/>
      <c r="N849" s="825"/>
      <c r="O849" s="825"/>
      <c r="P849" s="825"/>
      <c r="Q849" s="825"/>
      <c r="R849" s="825"/>
      <c r="S849" s="825"/>
      <c r="T849" s="825"/>
      <c r="U849" s="825"/>
      <c r="V849" s="825"/>
      <c r="W849" s="825"/>
      <c r="X849" s="825"/>
      <c r="Y849" s="825"/>
      <c r="Z849" s="825"/>
      <c r="AA849" s="825"/>
      <c r="AB849" s="825"/>
      <c r="AC849" s="825"/>
    </row>
    <row r="850" spans="1:29" ht="15.8" customHeight="1" x14ac:dyDescent="0.3">
      <c r="A850" s="825"/>
      <c r="C850" s="825"/>
      <c r="D850" s="21"/>
      <c r="E850" s="17"/>
      <c r="F850" s="825"/>
      <c r="G850" s="825"/>
      <c r="H850" s="21"/>
      <c r="I850" s="825"/>
      <c r="J850" s="825"/>
      <c r="M850" s="825"/>
      <c r="N850" s="825"/>
      <c r="O850" s="825"/>
      <c r="P850" s="825"/>
      <c r="Q850" s="825"/>
      <c r="R850" s="825"/>
      <c r="S850" s="825"/>
      <c r="T850" s="825"/>
      <c r="U850" s="825"/>
      <c r="V850" s="825"/>
      <c r="W850" s="825"/>
      <c r="X850" s="825"/>
      <c r="Y850" s="825"/>
      <c r="Z850" s="825"/>
      <c r="AA850" s="825"/>
      <c r="AB850" s="825"/>
      <c r="AC850" s="825"/>
    </row>
    <row r="851" spans="1:29" ht="15.8" customHeight="1" x14ac:dyDescent="0.3">
      <c r="A851" s="825"/>
      <c r="C851" s="825"/>
      <c r="D851" s="21"/>
      <c r="E851" s="17"/>
      <c r="F851" s="825"/>
      <c r="G851" s="825"/>
      <c r="H851" s="21"/>
      <c r="I851" s="825"/>
      <c r="J851" s="825"/>
      <c r="M851" s="825"/>
      <c r="N851" s="825"/>
      <c r="O851" s="825"/>
      <c r="P851" s="825"/>
      <c r="Q851" s="825"/>
      <c r="R851" s="825"/>
      <c r="S851" s="825"/>
      <c r="T851" s="825"/>
      <c r="U851" s="825"/>
      <c r="V851" s="825"/>
      <c r="W851" s="825"/>
      <c r="X851" s="825"/>
      <c r="Y851" s="825"/>
      <c r="Z851" s="825"/>
      <c r="AA851" s="825"/>
      <c r="AB851" s="825"/>
      <c r="AC851" s="825"/>
    </row>
    <row r="852" spans="1:29" ht="15.8" customHeight="1" x14ac:dyDescent="0.3">
      <c r="A852" s="825"/>
      <c r="C852" s="825"/>
      <c r="D852" s="21"/>
      <c r="E852" s="17"/>
      <c r="F852" s="825"/>
      <c r="G852" s="825"/>
      <c r="H852" s="21"/>
      <c r="I852" s="825"/>
      <c r="J852" s="825"/>
      <c r="M852" s="825"/>
      <c r="N852" s="825"/>
      <c r="O852" s="825"/>
      <c r="P852" s="825"/>
      <c r="Q852" s="825"/>
      <c r="R852" s="825"/>
      <c r="S852" s="825"/>
      <c r="T852" s="825"/>
      <c r="U852" s="825"/>
      <c r="V852" s="825"/>
      <c r="W852" s="825"/>
      <c r="X852" s="825"/>
      <c r="Y852" s="825"/>
      <c r="Z852" s="825"/>
      <c r="AA852" s="825"/>
      <c r="AB852" s="825"/>
      <c r="AC852" s="825"/>
    </row>
    <row r="853" spans="1:29" ht="15.8" customHeight="1" x14ac:dyDescent="0.3">
      <c r="A853" s="825"/>
      <c r="C853" s="825"/>
      <c r="D853" s="21"/>
      <c r="E853" s="17"/>
      <c r="F853" s="825"/>
      <c r="G853" s="825"/>
      <c r="H853" s="21"/>
      <c r="I853" s="825"/>
      <c r="J853" s="825"/>
      <c r="M853" s="825"/>
      <c r="N853" s="825"/>
      <c r="O853" s="825"/>
      <c r="P853" s="825"/>
      <c r="Q853" s="825"/>
      <c r="R853" s="825"/>
      <c r="S853" s="825"/>
      <c r="T853" s="825"/>
      <c r="U853" s="825"/>
      <c r="V853" s="825"/>
      <c r="W853" s="825"/>
      <c r="X853" s="825"/>
      <c r="Y853" s="825"/>
      <c r="Z853" s="825"/>
      <c r="AA853" s="825"/>
      <c r="AB853" s="825"/>
      <c r="AC853" s="825"/>
    </row>
    <row r="854" spans="1:29" ht="15.8" customHeight="1" x14ac:dyDescent="0.3">
      <c r="A854" s="825"/>
      <c r="C854" s="825"/>
      <c r="D854" s="21"/>
      <c r="E854" s="17"/>
      <c r="F854" s="825"/>
      <c r="G854" s="825"/>
      <c r="H854" s="21"/>
      <c r="I854" s="825"/>
      <c r="J854" s="825"/>
      <c r="M854" s="825"/>
      <c r="N854" s="825"/>
      <c r="O854" s="825"/>
      <c r="P854" s="825"/>
      <c r="Q854" s="825"/>
      <c r="R854" s="825"/>
      <c r="S854" s="825"/>
      <c r="T854" s="825"/>
      <c r="U854" s="825"/>
      <c r="V854" s="825"/>
      <c r="W854" s="825"/>
      <c r="X854" s="825"/>
      <c r="Y854" s="825"/>
      <c r="Z854" s="825"/>
      <c r="AA854" s="825"/>
      <c r="AB854" s="825"/>
      <c r="AC854" s="825"/>
    </row>
    <row r="855" spans="1:29" ht="15.8" customHeight="1" x14ac:dyDescent="0.3">
      <c r="A855" s="825"/>
      <c r="C855" s="825"/>
      <c r="D855" s="21"/>
      <c r="E855" s="17"/>
      <c r="F855" s="825"/>
      <c r="G855" s="825"/>
      <c r="H855" s="21"/>
      <c r="I855" s="825"/>
      <c r="J855" s="825"/>
      <c r="M855" s="825"/>
      <c r="N855" s="825"/>
      <c r="O855" s="825"/>
      <c r="P855" s="825"/>
      <c r="Q855" s="825"/>
      <c r="R855" s="825"/>
      <c r="S855" s="825"/>
      <c r="T855" s="825"/>
      <c r="U855" s="825"/>
      <c r="V855" s="825"/>
      <c r="W855" s="825"/>
      <c r="X855" s="825"/>
      <c r="Y855" s="825"/>
      <c r="Z855" s="825"/>
      <c r="AA855" s="825"/>
      <c r="AB855" s="825"/>
      <c r="AC855" s="825"/>
    </row>
    <row r="856" spans="1:29" ht="15.8" customHeight="1" x14ac:dyDescent="0.3">
      <c r="A856" s="825"/>
      <c r="C856" s="825"/>
      <c r="D856" s="21"/>
      <c r="E856" s="17"/>
      <c r="F856" s="825"/>
      <c r="G856" s="825"/>
      <c r="H856" s="21"/>
      <c r="I856" s="825"/>
      <c r="J856" s="825"/>
      <c r="M856" s="825"/>
      <c r="N856" s="825"/>
      <c r="O856" s="825"/>
      <c r="P856" s="825"/>
      <c r="Q856" s="825"/>
      <c r="R856" s="825"/>
      <c r="S856" s="825"/>
      <c r="T856" s="825"/>
      <c r="U856" s="825"/>
      <c r="V856" s="825"/>
      <c r="W856" s="825"/>
      <c r="X856" s="825"/>
      <c r="Y856" s="825"/>
      <c r="Z856" s="825"/>
      <c r="AA856" s="825"/>
      <c r="AB856" s="825"/>
      <c r="AC856" s="825"/>
    </row>
    <row r="857" spans="1:29" ht="15.8" customHeight="1" x14ac:dyDescent="0.3">
      <c r="A857" s="825"/>
      <c r="C857" s="825"/>
      <c r="D857" s="21"/>
      <c r="E857" s="17"/>
      <c r="F857" s="825"/>
      <c r="G857" s="825"/>
      <c r="H857" s="21"/>
      <c r="I857" s="825"/>
      <c r="J857" s="825"/>
      <c r="M857" s="825"/>
      <c r="N857" s="825"/>
      <c r="O857" s="825"/>
      <c r="P857" s="825"/>
      <c r="Q857" s="825"/>
      <c r="R857" s="825"/>
      <c r="S857" s="825"/>
      <c r="T857" s="825"/>
      <c r="U857" s="825"/>
      <c r="V857" s="825"/>
      <c r="W857" s="825"/>
      <c r="X857" s="825"/>
      <c r="Y857" s="825"/>
      <c r="Z857" s="825"/>
      <c r="AA857" s="825"/>
      <c r="AB857" s="825"/>
      <c r="AC857" s="825"/>
    </row>
    <row r="858" spans="1:29" ht="15.8" customHeight="1" x14ac:dyDescent="0.3">
      <c r="A858" s="825"/>
      <c r="C858" s="825"/>
      <c r="D858" s="21"/>
      <c r="E858" s="17"/>
      <c r="F858" s="825"/>
      <c r="G858" s="825"/>
      <c r="H858" s="21"/>
      <c r="I858" s="825"/>
      <c r="J858" s="825"/>
      <c r="M858" s="825"/>
      <c r="N858" s="825"/>
      <c r="O858" s="825"/>
      <c r="P858" s="825"/>
      <c r="Q858" s="825"/>
      <c r="R858" s="825"/>
      <c r="S858" s="825"/>
      <c r="T858" s="825"/>
      <c r="U858" s="825"/>
      <c r="V858" s="825"/>
      <c r="W858" s="825"/>
      <c r="X858" s="825"/>
      <c r="Y858" s="825"/>
      <c r="Z858" s="825"/>
      <c r="AA858" s="825"/>
      <c r="AB858" s="825"/>
      <c r="AC858" s="825"/>
    </row>
    <row r="859" spans="1:29" ht="15.8" customHeight="1" x14ac:dyDescent="0.3">
      <c r="A859" s="825"/>
      <c r="C859" s="825"/>
      <c r="D859" s="21"/>
      <c r="E859" s="17"/>
      <c r="F859" s="825"/>
      <c r="G859" s="825"/>
      <c r="H859" s="21"/>
      <c r="I859" s="825"/>
      <c r="J859" s="825"/>
      <c r="M859" s="825"/>
      <c r="N859" s="825"/>
      <c r="O859" s="825"/>
      <c r="P859" s="825"/>
      <c r="Q859" s="825"/>
      <c r="R859" s="825"/>
      <c r="S859" s="825"/>
      <c r="T859" s="825"/>
      <c r="U859" s="825"/>
      <c r="V859" s="825"/>
      <c r="W859" s="825"/>
      <c r="X859" s="825"/>
      <c r="Y859" s="825"/>
      <c r="Z859" s="825"/>
      <c r="AA859" s="825"/>
      <c r="AB859" s="825"/>
      <c r="AC859" s="825"/>
    </row>
    <row r="860" spans="1:29" ht="15.8" customHeight="1" x14ac:dyDescent="0.3">
      <c r="A860" s="825"/>
      <c r="C860" s="825"/>
      <c r="D860" s="21"/>
      <c r="E860" s="17"/>
      <c r="F860" s="825"/>
      <c r="G860" s="825"/>
      <c r="H860" s="21"/>
      <c r="I860" s="825"/>
      <c r="J860" s="825"/>
      <c r="M860" s="825"/>
      <c r="N860" s="825"/>
      <c r="O860" s="825"/>
      <c r="P860" s="825"/>
      <c r="Q860" s="825"/>
      <c r="R860" s="825"/>
      <c r="S860" s="825"/>
      <c r="T860" s="825"/>
      <c r="U860" s="825"/>
      <c r="V860" s="825"/>
      <c r="W860" s="825"/>
      <c r="X860" s="825"/>
      <c r="Y860" s="825"/>
      <c r="Z860" s="825"/>
      <c r="AA860" s="825"/>
      <c r="AB860" s="825"/>
      <c r="AC860" s="825"/>
    </row>
    <row r="861" spans="1:29" ht="15.8" customHeight="1" x14ac:dyDescent="0.3">
      <c r="A861" s="825"/>
      <c r="C861" s="825"/>
      <c r="D861" s="21"/>
      <c r="E861" s="17"/>
      <c r="F861" s="825"/>
      <c r="G861" s="825"/>
      <c r="H861" s="21"/>
      <c r="I861" s="825"/>
      <c r="J861" s="825"/>
      <c r="M861" s="825"/>
      <c r="N861" s="825"/>
      <c r="O861" s="825"/>
      <c r="P861" s="825"/>
      <c r="Q861" s="825"/>
      <c r="R861" s="825"/>
      <c r="S861" s="825"/>
      <c r="T861" s="825"/>
      <c r="U861" s="825"/>
      <c r="V861" s="825"/>
      <c r="W861" s="825"/>
      <c r="X861" s="825"/>
      <c r="Y861" s="825"/>
      <c r="Z861" s="825"/>
      <c r="AA861" s="825"/>
      <c r="AB861" s="825"/>
      <c r="AC861" s="825"/>
    </row>
    <row r="862" spans="1:29" ht="15.8" customHeight="1" x14ac:dyDescent="0.3">
      <c r="A862" s="825"/>
      <c r="C862" s="825"/>
      <c r="D862" s="21"/>
      <c r="E862" s="17"/>
      <c r="F862" s="825"/>
      <c r="G862" s="825"/>
      <c r="H862" s="21"/>
      <c r="I862" s="825"/>
      <c r="J862" s="825"/>
      <c r="M862" s="825"/>
      <c r="N862" s="825"/>
      <c r="O862" s="825"/>
      <c r="P862" s="825"/>
      <c r="Q862" s="825"/>
      <c r="R862" s="825"/>
      <c r="S862" s="825"/>
      <c r="T862" s="825"/>
      <c r="U862" s="825"/>
      <c r="V862" s="825"/>
      <c r="W862" s="825"/>
      <c r="X862" s="825"/>
      <c r="Y862" s="825"/>
      <c r="Z862" s="825"/>
      <c r="AA862" s="825"/>
      <c r="AB862" s="825"/>
      <c r="AC862" s="825"/>
    </row>
    <row r="863" spans="1:29" ht="15.8" customHeight="1" x14ac:dyDescent="0.3">
      <c r="A863" s="825"/>
      <c r="C863" s="825"/>
      <c r="D863" s="21"/>
      <c r="E863" s="17"/>
      <c r="F863" s="825"/>
      <c r="G863" s="825"/>
      <c r="H863" s="21"/>
      <c r="I863" s="825"/>
      <c r="J863" s="825"/>
      <c r="M863" s="825"/>
      <c r="N863" s="825"/>
      <c r="O863" s="825"/>
      <c r="P863" s="825"/>
      <c r="Q863" s="825"/>
      <c r="R863" s="825"/>
      <c r="S863" s="825"/>
      <c r="T863" s="825"/>
      <c r="U863" s="825"/>
      <c r="V863" s="825"/>
      <c r="W863" s="825"/>
      <c r="X863" s="825"/>
      <c r="Y863" s="825"/>
      <c r="Z863" s="825"/>
      <c r="AA863" s="825"/>
      <c r="AB863" s="825"/>
      <c r="AC863" s="825"/>
    </row>
    <row r="864" spans="1:29" ht="15.8" customHeight="1" x14ac:dyDescent="0.3">
      <c r="A864" s="825"/>
      <c r="C864" s="825"/>
      <c r="D864" s="21"/>
      <c r="E864" s="17"/>
      <c r="F864" s="825"/>
      <c r="G864" s="825"/>
      <c r="H864" s="21"/>
      <c r="I864" s="825"/>
      <c r="J864" s="825"/>
      <c r="M864" s="825"/>
      <c r="N864" s="825"/>
      <c r="O864" s="825"/>
      <c r="P864" s="825"/>
      <c r="Q864" s="825"/>
      <c r="R864" s="825"/>
      <c r="S864" s="825"/>
      <c r="T864" s="825"/>
      <c r="U864" s="825"/>
      <c r="V864" s="825"/>
      <c r="W864" s="825"/>
      <c r="X864" s="825"/>
      <c r="Y864" s="825"/>
      <c r="Z864" s="825"/>
      <c r="AA864" s="825"/>
      <c r="AB864" s="825"/>
      <c r="AC864" s="825"/>
    </row>
    <row r="865" spans="1:29" ht="15.8" customHeight="1" x14ac:dyDescent="0.3">
      <c r="A865" s="825"/>
      <c r="C865" s="825"/>
      <c r="D865" s="21"/>
      <c r="E865" s="17"/>
      <c r="F865" s="825"/>
      <c r="G865" s="825"/>
      <c r="H865" s="21"/>
      <c r="I865" s="825"/>
      <c r="J865" s="825"/>
      <c r="M865" s="825"/>
      <c r="N865" s="825"/>
      <c r="O865" s="825"/>
      <c r="P865" s="825"/>
      <c r="Q865" s="825"/>
      <c r="R865" s="825"/>
      <c r="S865" s="825"/>
      <c r="T865" s="825"/>
      <c r="U865" s="825"/>
      <c r="V865" s="825"/>
      <c r="W865" s="825"/>
      <c r="X865" s="825"/>
      <c r="Y865" s="825"/>
      <c r="Z865" s="825"/>
      <c r="AA865" s="825"/>
      <c r="AB865" s="825"/>
      <c r="AC865" s="825"/>
    </row>
    <row r="866" spans="1:29" ht="15.8" customHeight="1" x14ac:dyDescent="0.3">
      <c r="A866" s="825"/>
      <c r="C866" s="825"/>
      <c r="D866" s="21"/>
      <c r="E866" s="17"/>
      <c r="F866" s="825"/>
      <c r="G866" s="825"/>
      <c r="H866" s="21"/>
      <c r="I866" s="825"/>
      <c r="J866" s="825"/>
      <c r="M866" s="825"/>
      <c r="N866" s="825"/>
      <c r="O866" s="825"/>
      <c r="P866" s="825"/>
      <c r="Q866" s="825"/>
      <c r="R866" s="825"/>
      <c r="S866" s="825"/>
      <c r="T866" s="825"/>
      <c r="U866" s="825"/>
      <c r="V866" s="825"/>
      <c r="W866" s="825"/>
      <c r="X866" s="825"/>
      <c r="Y866" s="825"/>
      <c r="Z866" s="825"/>
      <c r="AA866" s="825"/>
      <c r="AB866" s="825"/>
      <c r="AC866" s="825"/>
    </row>
    <row r="867" spans="1:29" ht="15.8" customHeight="1" x14ac:dyDescent="0.3">
      <c r="A867" s="825"/>
      <c r="C867" s="825"/>
      <c r="D867" s="21"/>
      <c r="E867" s="17"/>
      <c r="F867" s="825"/>
      <c r="G867" s="825"/>
      <c r="H867" s="21"/>
      <c r="I867" s="825"/>
      <c r="J867" s="825"/>
      <c r="M867" s="825"/>
      <c r="N867" s="825"/>
      <c r="O867" s="825"/>
      <c r="P867" s="825"/>
      <c r="Q867" s="825"/>
      <c r="R867" s="825"/>
      <c r="S867" s="825"/>
      <c r="T867" s="825"/>
      <c r="U867" s="825"/>
      <c r="V867" s="825"/>
      <c r="W867" s="825"/>
      <c r="X867" s="825"/>
      <c r="Y867" s="825"/>
      <c r="Z867" s="825"/>
      <c r="AA867" s="825"/>
      <c r="AB867" s="825"/>
      <c r="AC867" s="825"/>
    </row>
    <row r="868" spans="1:29" ht="15.8" customHeight="1" x14ac:dyDescent="0.3">
      <c r="A868" s="825"/>
      <c r="C868" s="825"/>
      <c r="D868" s="21"/>
      <c r="E868" s="17"/>
      <c r="F868" s="825"/>
      <c r="G868" s="825"/>
      <c r="H868" s="21"/>
      <c r="I868" s="825"/>
      <c r="J868" s="825"/>
      <c r="M868" s="825"/>
      <c r="N868" s="825"/>
      <c r="O868" s="825"/>
      <c r="P868" s="825"/>
      <c r="Q868" s="825"/>
      <c r="R868" s="825"/>
      <c r="S868" s="825"/>
      <c r="T868" s="825"/>
      <c r="U868" s="825"/>
      <c r="V868" s="825"/>
      <c r="W868" s="825"/>
      <c r="X868" s="825"/>
      <c r="Y868" s="825"/>
      <c r="Z868" s="825"/>
      <c r="AA868" s="825"/>
      <c r="AB868" s="825"/>
      <c r="AC868" s="825"/>
    </row>
    <row r="869" spans="1:29" ht="15.8" customHeight="1" x14ac:dyDescent="0.3">
      <c r="A869" s="825"/>
      <c r="C869" s="825"/>
      <c r="D869" s="21"/>
      <c r="E869" s="17"/>
      <c r="F869" s="825"/>
      <c r="G869" s="825"/>
      <c r="H869" s="21"/>
      <c r="I869" s="825"/>
      <c r="J869" s="825"/>
      <c r="M869" s="825"/>
      <c r="N869" s="825"/>
      <c r="O869" s="825"/>
      <c r="P869" s="825"/>
      <c r="Q869" s="825"/>
      <c r="R869" s="825"/>
      <c r="S869" s="825"/>
      <c r="T869" s="825"/>
      <c r="U869" s="825"/>
      <c r="V869" s="825"/>
      <c r="W869" s="825"/>
      <c r="X869" s="825"/>
      <c r="Y869" s="825"/>
      <c r="Z869" s="825"/>
      <c r="AA869" s="825"/>
      <c r="AB869" s="825"/>
      <c r="AC869" s="825"/>
    </row>
    <row r="870" spans="1:29" ht="15.8" customHeight="1" x14ac:dyDescent="0.3">
      <c r="A870" s="825"/>
      <c r="C870" s="825"/>
      <c r="D870" s="21"/>
      <c r="E870" s="17"/>
      <c r="F870" s="825"/>
      <c r="G870" s="825"/>
      <c r="H870" s="21"/>
      <c r="I870" s="825"/>
      <c r="J870" s="825"/>
      <c r="M870" s="825"/>
      <c r="N870" s="825"/>
      <c r="O870" s="825"/>
      <c r="P870" s="825"/>
      <c r="Q870" s="825"/>
      <c r="R870" s="825"/>
      <c r="S870" s="825"/>
      <c r="T870" s="825"/>
      <c r="U870" s="825"/>
      <c r="V870" s="825"/>
      <c r="W870" s="825"/>
      <c r="X870" s="825"/>
      <c r="Y870" s="825"/>
      <c r="Z870" s="825"/>
      <c r="AA870" s="825"/>
      <c r="AB870" s="825"/>
      <c r="AC870" s="825"/>
    </row>
    <row r="871" spans="1:29" ht="15.8" customHeight="1" x14ac:dyDescent="0.3">
      <c r="A871" s="825"/>
      <c r="C871" s="825"/>
      <c r="D871" s="21"/>
      <c r="E871" s="17"/>
      <c r="F871" s="825"/>
      <c r="G871" s="825"/>
      <c r="H871" s="21"/>
      <c r="I871" s="825"/>
      <c r="J871" s="825"/>
      <c r="M871" s="825"/>
      <c r="N871" s="825"/>
      <c r="O871" s="825"/>
      <c r="P871" s="825"/>
      <c r="Q871" s="825"/>
      <c r="R871" s="825"/>
      <c r="S871" s="825"/>
      <c r="T871" s="825"/>
      <c r="U871" s="825"/>
      <c r="V871" s="825"/>
      <c r="W871" s="825"/>
      <c r="X871" s="825"/>
      <c r="Y871" s="825"/>
      <c r="Z871" s="825"/>
      <c r="AA871" s="825"/>
      <c r="AB871" s="825"/>
      <c r="AC871" s="825"/>
    </row>
    <row r="872" spans="1:29" ht="15.8" customHeight="1" x14ac:dyDescent="0.3">
      <c r="A872" s="825"/>
      <c r="C872" s="825"/>
      <c r="D872" s="21"/>
      <c r="E872" s="17"/>
      <c r="F872" s="825"/>
      <c r="G872" s="825"/>
      <c r="H872" s="21"/>
      <c r="I872" s="825"/>
      <c r="J872" s="825"/>
      <c r="M872" s="825"/>
      <c r="N872" s="825"/>
      <c r="O872" s="825"/>
      <c r="P872" s="825"/>
      <c r="Q872" s="825"/>
      <c r="R872" s="825"/>
      <c r="S872" s="825"/>
      <c r="T872" s="825"/>
      <c r="U872" s="825"/>
      <c r="V872" s="825"/>
      <c r="W872" s="825"/>
      <c r="X872" s="825"/>
      <c r="Y872" s="825"/>
      <c r="Z872" s="825"/>
      <c r="AA872" s="825"/>
      <c r="AB872" s="825"/>
      <c r="AC872" s="825"/>
    </row>
    <row r="873" spans="1:29" ht="15.8" customHeight="1" x14ac:dyDescent="0.3">
      <c r="A873" s="825"/>
      <c r="C873" s="825"/>
      <c r="D873" s="21"/>
      <c r="E873" s="17"/>
      <c r="F873" s="825"/>
      <c r="G873" s="825"/>
      <c r="H873" s="21"/>
      <c r="I873" s="825"/>
      <c r="J873" s="825"/>
      <c r="M873" s="825"/>
      <c r="N873" s="825"/>
      <c r="O873" s="825"/>
      <c r="P873" s="825"/>
      <c r="Q873" s="825"/>
      <c r="R873" s="825"/>
      <c r="S873" s="825"/>
      <c r="T873" s="825"/>
      <c r="U873" s="825"/>
      <c r="V873" s="825"/>
      <c r="W873" s="825"/>
      <c r="X873" s="825"/>
      <c r="Y873" s="825"/>
      <c r="Z873" s="825"/>
      <c r="AA873" s="825"/>
      <c r="AB873" s="825"/>
      <c r="AC873" s="825"/>
    </row>
    <row r="874" spans="1:29" ht="15.8" customHeight="1" x14ac:dyDescent="0.3">
      <c r="A874" s="825"/>
      <c r="C874" s="825"/>
      <c r="D874" s="21"/>
      <c r="E874" s="17"/>
      <c r="F874" s="825"/>
      <c r="G874" s="825"/>
      <c r="H874" s="21"/>
      <c r="I874" s="825"/>
      <c r="J874" s="825"/>
      <c r="M874" s="825"/>
      <c r="N874" s="825"/>
      <c r="O874" s="825"/>
      <c r="P874" s="825"/>
      <c r="Q874" s="825"/>
      <c r="R874" s="825"/>
      <c r="S874" s="825"/>
      <c r="T874" s="825"/>
      <c r="U874" s="825"/>
      <c r="V874" s="825"/>
      <c r="W874" s="825"/>
      <c r="X874" s="825"/>
      <c r="Y874" s="825"/>
      <c r="Z874" s="825"/>
      <c r="AA874" s="825"/>
      <c r="AB874" s="825"/>
      <c r="AC874" s="825"/>
    </row>
    <row r="875" spans="1:29" ht="15.8" customHeight="1" x14ac:dyDescent="0.3">
      <c r="A875" s="825"/>
      <c r="C875" s="825"/>
      <c r="D875" s="21"/>
      <c r="E875" s="17"/>
      <c r="F875" s="825"/>
      <c r="G875" s="825"/>
      <c r="H875" s="21"/>
      <c r="I875" s="825"/>
      <c r="J875" s="825"/>
      <c r="M875" s="825"/>
      <c r="N875" s="825"/>
      <c r="O875" s="825"/>
      <c r="P875" s="825"/>
      <c r="Q875" s="825"/>
      <c r="R875" s="825"/>
      <c r="S875" s="825"/>
      <c r="T875" s="825"/>
      <c r="U875" s="825"/>
      <c r="V875" s="825"/>
      <c r="W875" s="825"/>
      <c r="X875" s="825"/>
      <c r="Y875" s="825"/>
      <c r="Z875" s="825"/>
      <c r="AA875" s="825"/>
      <c r="AB875" s="825"/>
      <c r="AC875" s="825"/>
    </row>
    <row r="876" spans="1:29" ht="15.8" customHeight="1" x14ac:dyDescent="0.3">
      <c r="A876" s="825"/>
      <c r="C876" s="825"/>
      <c r="D876" s="21"/>
      <c r="E876" s="17"/>
      <c r="F876" s="825"/>
      <c r="G876" s="825"/>
      <c r="H876" s="21"/>
      <c r="I876" s="825"/>
      <c r="J876" s="825"/>
      <c r="M876" s="825"/>
      <c r="N876" s="825"/>
      <c r="O876" s="825"/>
      <c r="P876" s="825"/>
      <c r="Q876" s="825"/>
      <c r="R876" s="825"/>
      <c r="S876" s="825"/>
      <c r="T876" s="825"/>
      <c r="U876" s="825"/>
      <c r="V876" s="825"/>
      <c r="W876" s="825"/>
      <c r="X876" s="825"/>
      <c r="Y876" s="825"/>
      <c r="Z876" s="825"/>
      <c r="AA876" s="825"/>
      <c r="AB876" s="825"/>
      <c r="AC876" s="825"/>
    </row>
    <row r="877" spans="1:29" ht="15.8" customHeight="1" x14ac:dyDescent="0.3">
      <c r="A877" s="825"/>
      <c r="C877" s="825"/>
      <c r="D877" s="21"/>
      <c r="E877" s="17"/>
      <c r="F877" s="825"/>
      <c r="G877" s="825"/>
      <c r="H877" s="21"/>
      <c r="I877" s="825"/>
      <c r="J877" s="825"/>
      <c r="M877" s="825"/>
      <c r="N877" s="825"/>
      <c r="O877" s="825"/>
      <c r="P877" s="825"/>
      <c r="Q877" s="825"/>
      <c r="R877" s="825"/>
      <c r="S877" s="825"/>
      <c r="T877" s="825"/>
      <c r="U877" s="825"/>
      <c r="V877" s="825"/>
      <c r="W877" s="825"/>
      <c r="X877" s="825"/>
      <c r="Y877" s="825"/>
      <c r="Z877" s="825"/>
      <c r="AA877" s="825"/>
      <c r="AB877" s="825"/>
      <c r="AC877" s="825"/>
    </row>
    <row r="878" spans="1:29" ht="15.8" customHeight="1" x14ac:dyDescent="0.3">
      <c r="A878" s="825"/>
      <c r="C878" s="825"/>
      <c r="D878" s="21"/>
      <c r="E878" s="17"/>
      <c r="F878" s="825"/>
      <c r="G878" s="825"/>
      <c r="H878" s="21"/>
      <c r="I878" s="825"/>
      <c r="J878" s="825"/>
      <c r="M878" s="825"/>
      <c r="N878" s="825"/>
      <c r="O878" s="825"/>
      <c r="P878" s="825"/>
      <c r="Q878" s="825"/>
      <c r="R878" s="825"/>
      <c r="S878" s="825"/>
      <c r="T878" s="825"/>
      <c r="U878" s="825"/>
      <c r="V878" s="825"/>
      <c r="W878" s="825"/>
      <c r="X878" s="825"/>
      <c r="Y878" s="825"/>
      <c r="Z878" s="825"/>
      <c r="AA878" s="825"/>
      <c r="AB878" s="825"/>
      <c r="AC878" s="825"/>
    </row>
    <row r="879" spans="1:29" ht="15.8" customHeight="1" x14ac:dyDescent="0.3">
      <c r="A879" s="825"/>
      <c r="C879" s="825"/>
      <c r="D879" s="21"/>
      <c r="E879" s="17"/>
      <c r="F879" s="825"/>
      <c r="G879" s="825"/>
      <c r="H879" s="21"/>
      <c r="I879" s="825"/>
      <c r="J879" s="825"/>
      <c r="M879" s="825"/>
      <c r="N879" s="825"/>
      <c r="O879" s="825"/>
      <c r="P879" s="825"/>
      <c r="Q879" s="825"/>
      <c r="R879" s="825"/>
      <c r="S879" s="825"/>
      <c r="T879" s="825"/>
      <c r="U879" s="825"/>
      <c r="V879" s="825"/>
      <c r="W879" s="825"/>
      <c r="X879" s="825"/>
      <c r="Y879" s="825"/>
      <c r="Z879" s="825"/>
      <c r="AA879" s="825"/>
      <c r="AB879" s="825"/>
      <c r="AC879" s="825"/>
    </row>
    <row r="880" spans="1:29" ht="15.8" customHeight="1" x14ac:dyDescent="0.3">
      <c r="A880" s="825"/>
      <c r="C880" s="825"/>
      <c r="D880" s="21"/>
      <c r="E880" s="17"/>
      <c r="F880" s="825"/>
      <c r="G880" s="825"/>
      <c r="H880" s="21"/>
      <c r="I880" s="825"/>
      <c r="J880" s="825"/>
      <c r="M880" s="825"/>
      <c r="N880" s="825"/>
      <c r="O880" s="825"/>
      <c r="P880" s="825"/>
      <c r="Q880" s="825"/>
      <c r="R880" s="825"/>
      <c r="S880" s="825"/>
      <c r="T880" s="825"/>
      <c r="U880" s="825"/>
      <c r="V880" s="825"/>
      <c r="W880" s="825"/>
      <c r="X880" s="825"/>
      <c r="Y880" s="825"/>
      <c r="Z880" s="825"/>
      <c r="AA880" s="825"/>
      <c r="AB880" s="825"/>
      <c r="AC880" s="825"/>
    </row>
    <row r="881" spans="1:29" ht="15.8" customHeight="1" x14ac:dyDescent="0.3">
      <c r="A881" s="825"/>
      <c r="C881" s="825"/>
      <c r="D881" s="21"/>
      <c r="E881" s="17"/>
      <c r="F881" s="825"/>
      <c r="G881" s="825"/>
      <c r="H881" s="21"/>
      <c r="I881" s="825"/>
      <c r="J881" s="825"/>
      <c r="M881" s="825"/>
      <c r="N881" s="825"/>
      <c r="O881" s="825"/>
      <c r="P881" s="825"/>
      <c r="Q881" s="825"/>
      <c r="R881" s="825"/>
      <c r="S881" s="825"/>
      <c r="T881" s="825"/>
      <c r="U881" s="825"/>
      <c r="V881" s="825"/>
      <c r="W881" s="825"/>
      <c r="X881" s="825"/>
      <c r="Y881" s="825"/>
      <c r="Z881" s="825"/>
      <c r="AA881" s="825"/>
      <c r="AB881" s="825"/>
      <c r="AC881" s="825"/>
    </row>
    <row r="882" spans="1:29" ht="15.8" customHeight="1" x14ac:dyDescent="0.3">
      <c r="A882" s="825"/>
      <c r="C882" s="825"/>
      <c r="D882" s="21"/>
      <c r="E882" s="17"/>
      <c r="F882" s="825"/>
      <c r="G882" s="825"/>
      <c r="H882" s="21"/>
      <c r="I882" s="825"/>
      <c r="J882" s="825"/>
      <c r="M882" s="825"/>
      <c r="N882" s="825"/>
      <c r="O882" s="825"/>
      <c r="P882" s="825"/>
      <c r="Q882" s="825"/>
      <c r="R882" s="825"/>
      <c r="S882" s="825"/>
      <c r="T882" s="825"/>
      <c r="U882" s="825"/>
      <c r="V882" s="825"/>
      <c r="W882" s="825"/>
      <c r="X882" s="825"/>
      <c r="Y882" s="825"/>
      <c r="Z882" s="825"/>
      <c r="AA882" s="825"/>
      <c r="AB882" s="825"/>
      <c r="AC882" s="825"/>
    </row>
    <row r="883" spans="1:29" ht="15.8" customHeight="1" x14ac:dyDescent="0.3">
      <c r="A883" s="825"/>
      <c r="C883" s="825"/>
      <c r="D883" s="21"/>
      <c r="E883" s="17"/>
      <c r="F883" s="825"/>
      <c r="G883" s="825"/>
      <c r="H883" s="21"/>
      <c r="I883" s="825"/>
      <c r="J883" s="825"/>
      <c r="M883" s="825"/>
      <c r="N883" s="825"/>
      <c r="O883" s="825"/>
      <c r="P883" s="825"/>
      <c r="Q883" s="825"/>
      <c r="R883" s="825"/>
      <c r="S883" s="825"/>
      <c r="T883" s="825"/>
      <c r="U883" s="825"/>
      <c r="V883" s="825"/>
      <c r="W883" s="825"/>
      <c r="X883" s="825"/>
      <c r="Y883" s="825"/>
      <c r="Z883" s="825"/>
      <c r="AA883" s="825"/>
      <c r="AB883" s="825"/>
      <c r="AC883" s="825"/>
    </row>
    <row r="884" spans="1:29" ht="15.8" customHeight="1" x14ac:dyDescent="0.3">
      <c r="A884" s="825"/>
      <c r="C884" s="825"/>
      <c r="D884" s="21"/>
      <c r="E884" s="17"/>
      <c r="F884" s="825"/>
      <c r="G884" s="825"/>
      <c r="H884" s="21"/>
      <c r="I884" s="825"/>
      <c r="J884" s="825"/>
      <c r="M884" s="825"/>
      <c r="N884" s="825"/>
      <c r="O884" s="825"/>
      <c r="P884" s="825"/>
      <c r="Q884" s="825"/>
      <c r="R884" s="825"/>
      <c r="S884" s="825"/>
      <c r="T884" s="825"/>
      <c r="U884" s="825"/>
      <c r="V884" s="825"/>
      <c r="W884" s="825"/>
      <c r="X884" s="825"/>
      <c r="Y884" s="825"/>
      <c r="Z884" s="825"/>
      <c r="AA884" s="825"/>
      <c r="AB884" s="825"/>
      <c r="AC884" s="825"/>
    </row>
    <row r="885" spans="1:29" ht="15.8" customHeight="1" x14ac:dyDescent="0.3">
      <c r="A885" s="825"/>
      <c r="C885" s="825"/>
      <c r="D885" s="21"/>
      <c r="E885" s="17"/>
      <c r="F885" s="825"/>
      <c r="G885" s="825"/>
      <c r="H885" s="21"/>
      <c r="I885" s="825"/>
      <c r="J885" s="825"/>
      <c r="M885" s="825"/>
      <c r="N885" s="825"/>
      <c r="O885" s="825"/>
      <c r="P885" s="825"/>
      <c r="Q885" s="825"/>
      <c r="R885" s="825"/>
      <c r="S885" s="825"/>
      <c r="T885" s="825"/>
      <c r="U885" s="825"/>
      <c r="V885" s="825"/>
      <c r="W885" s="825"/>
      <c r="X885" s="825"/>
      <c r="Y885" s="825"/>
      <c r="Z885" s="825"/>
      <c r="AA885" s="825"/>
      <c r="AB885" s="825"/>
      <c r="AC885" s="825"/>
    </row>
    <row r="886" spans="1:29" ht="15.8" customHeight="1" x14ac:dyDescent="0.3">
      <c r="A886" s="825"/>
      <c r="C886" s="825"/>
      <c r="D886" s="21"/>
      <c r="E886" s="17"/>
      <c r="F886" s="825"/>
      <c r="G886" s="825"/>
      <c r="H886" s="21"/>
      <c r="I886" s="825"/>
      <c r="J886" s="825"/>
      <c r="M886" s="825"/>
      <c r="N886" s="825"/>
      <c r="O886" s="825"/>
      <c r="P886" s="825"/>
      <c r="Q886" s="825"/>
      <c r="R886" s="825"/>
      <c r="S886" s="825"/>
      <c r="T886" s="825"/>
      <c r="U886" s="825"/>
      <c r="V886" s="825"/>
      <c r="W886" s="825"/>
      <c r="X886" s="825"/>
      <c r="Y886" s="825"/>
      <c r="Z886" s="825"/>
      <c r="AA886" s="825"/>
      <c r="AB886" s="825"/>
      <c r="AC886" s="825"/>
    </row>
    <row r="887" spans="1:29" ht="15.8" customHeight="1" x14ac:dyDescent="0.3">
      <c r="A887" s="825"/>
      <c r="C887" s="825"/>
      <c r="D887" s="21"/>
      <c r="E887" s="17"/>
      <c r="F887" s="825"/>
      <c r="G887" s="825"/>
      <c r="H887" s="21"/>
      <c r="I887" s="825"/>
      <c r="J887" s="825"/>
      <c r="M887" s="825"/>
      <c r="N887" s="825"/>
      <c r="O887" s="825"/>
      <c r="P887" s="825"/>
      <c r="Q887" s="825"/>
      <c r="R887" s="825"/>
      <c r="S887" s="825"/>
      <c r="T887" s="825"/>
      <c r="U887" s="825"/>
      <c r="V887" s="825"/>
      <c r="W887" s="825"/>
      <c r="X887" s="825"/>
      <c r="Y887" s="825"/>
      <c r="Z887" s="825"/>
      <c r="AA887" s="825"/>
      <c r="AB887" s="825"/>
      <c r="AC887" s="825"/>
    </row>
    <row r="888" spans="1:29" ht="15.8" customHeight="1" x14ac:dyDescent="0.3">
      <c r="A888" s="825"/>
      <c r="C888" s="825"/>
      <c r="D888" s="21"/>
      <c r="E888" s="17"/>
      <c r="F888" s="825"/>
      <c r="G888" s="825"/>
      <c r="H888" s="21"/>
      <c r="I888" s="825"/>
      <c r="J888" s="825"/>
      <c r="M888" s="825"/>
      <c r="N888" s="825"/>
      <c r="O888" s="825"/>
      <c r="P888" s="825"/>
      <c r="Q888" s="825"/>
      <c r="R888" s="825"/>
      <c r="S888" s="825"/>
      <c r="T888" s="825"/>
      <c r="U888" s="825"/>
      <c r="V888" s="825"/>
      <c r="W888" s="825"/>
      <c r="X888" s="825"/>
      <c r="Y888" s="825"/>
      <c r="Z888" s="825"/>
      <c r="AA888" s="825"/>
      <c r="AB888" s="825"/>
      <c r="AC888" s="825"/>
    </row>
    <row r="889" spans="1:29" ht="15.8" customHeight="1" x14ac:dyDescent="0.3">
      <c r="A889" s="825"/>
      <c r="C889" s="825"/>
      <c r="D889" s="21"/>
      <c r="E889" s="17"/>
      <c r="F889" s="825"/>
      <c r="G889" s="825"/>
      <c r="H889" s="21"/>
      <c r="I889" s="825"/>
      <c r="J889" s="825"/>
      <c r="M889" s="825"/>
      <c r="N889" s="825"/>
      <c r="O889" s="825"/>
      <c r="P889" s="825"/>
      <c r="Q889" s="825"/>
      <c r="R889" s="825"/>
      <c r="S889" s="825"/>
      <c r="T889" s="825"/>
      <c r="U889" s="825"/>
      <c r="V889" s="825"/>
      <c r="W889" s="825"/>
      <c r="X889" s="825"/>
      <c r="Y889" s="825"/>
      <c r="Z889" s="825"/>
      <c r="AA889" s="825"/>
      <c r="AB889" s="825"/>
      <c r="AC889" s="825"/>
    </row>
    <row r="890" spans="1:29" ht="15.8" customHeight="1" x14ac:dyDescent="0.3">
      <c r="A890" s="825"/>
      <c r="C890" s="825"/>
      <c r="D890" s="21"/>
      <c r="E890" s="17"/>
      <c r="F890" s="825"/>
      <c r="G890" s="825"/>
      <c r="H890" s="21"/>
      <c r="I890" s="825"/>
      <c r="J890" s="825"/>
      <c r="M890" s="825"/>
      <c r="N890" s="825"/>
      <c r="O890" s="825"/>
      <c r="P890" s="825"/>
      <c r="Q890" s="825"/>
      <c r="R890" s="825"/>
      <c r="S890" s="825"/>
      <c r="T890" s="825"/>
      <c r="U890" s="825"/>
      <c r="V890" s="825"/>
      <c r="W890" s="825"/>
      <c r="X890" s="825"/>
      <c r="Y890" s="825"/>
      <c r="Z890" s="825"/>
      <c r="AA890" s="825"/>
      <c r="AB890" s="825"/>
      <c r="AC890" s="825"/>
    </row>
    <row r="891" spans="1:29" ht="15.8" customHeight="1" x14ac:dyDescent="0.3">
      <c r="A891" s="825"/>
      <c r="C891" s="825"/>
      <c r="D891" s="21"/>
      <c r="E891" s="17"/>
      <c r="F891" s="825"/>
      <c r="G891" s="825"/>
      <c r="H891" s="21"/>
      <c r="I891" s="825"/>
      <c r="J891" s="825"/>
      <c r="M891" s="825"/>
      <c r="N891" s="825"/>
      <c r="O891" s="825"/>
      <c r="P891" s="825"/>
      <c r="Q891" s="825"/>
      <c r="R891" s="825"/>
      <c r="S891" s="825"/>
      <c r="T891" s="825"/>
      <c r="U891" s="825"/>
      <c r="V891" s="825"/>
      <c r="W891" s="825"/>
      <c r="X891" s="825"/>
      <c r="Y891" s="825"/>
      <c r="Z891" s="825"/>
      <c r="AA891" s="825"/>
      <c r="AB891" s="825"/>
      <c r="AC891" s="825"/>
    </row>
    <row r="892" spans="1:29" ht="15.8" customHeight="1" x14ac:dyDescent="0.3">
      <c r="A892" s="825"/>
      <c r="C892" s="825"/>
      <c r="D892" s="21"/>
      <c r="E892" s="17"/>
      <c r="F892" s="825"/>
      <c r="G892" s="825"/>
      <c r="H892" s="21"/>
      <c r="I892" s="825"/>
      <c r="J892" s="825"/>
      <c r="M892" s="825"/>
      <c r="N892" s="825"/>
      <c r="O892" s="825"/>
      <c r="P892" s="825"/>
      <c r="Q892" s="825"/>
      <c r="R892" s="825"/>
      <c r="S892" s="825"/>
      <c r="T892" s="825"/>
      <c r="U892" s="825"/>
      <c r="V892" s="825"/>
      <c r="W892" s="825"/>
      <c r="X892" s="825"/>
      <c r="Y892" s="825"/>
      <c r="Z892" s="825"/>
      <c r="AA892" s="825"/>
      <c r="AB892" s="825"/>
      <c r="AC892" s="825"/>
    </row>
    <row r="893" spans="1:29" ht="15.8" customHeight="1" x14ac:dyDescent="0.3">
      <c r="A893" s="825"/>
      <c r="C893" s="825"/>
      <c r="D893" s="21"/>
      <c r="E893" s="17"/>
      <c r="F893" s="825"/>
      <c r="G893" s="825"/>
      <c r="H893" s="21"/>
      <c r="I893" s="825"/>
      <c r="J893" s="825"/>
      <c r="M893" s="825"/>
      <c r="N893" s="825"/>
      <c r="O893" s="825"/>
      <c r="P893" s="825"/>
      <c r="Q893" s="825"/>
      <c r="R893" s="825"/>
      <c r="S893" s="825"/>
      <c r="T893" s="825"/>
      <c r="U893" s="825"/>
      <c r="V893" s="825"/>
      <c r="W893" s="825"/>
      <c r="X893" s="825"/>
      <c r="Y893" s="825"/>
      <c r="Z893" s="825"/>
      <c r="AA893" s="825"/>
      <c r="AB893" s="825"/>
      <c r="AC893" s="825"/>
    </row>
    <row r="894" spans="1:29" ht="15.8" customHeight="1" x14ac:dyDescent="0.3">
      <c r="A894" s="825"/>
      <c r="C894" s="825"/>
      <c r="D894" s="21"/>
      <c r="E894" s="17"/>
      <c r="F894" s="825"/>
      <c r="G894" s="825"/>
      <c r="H894" s="21"/>
      <c r="I894" s="825"/>
      <c r="J894" s="825"/>
      <c r="M894" s="825"/>
      <c r="N894" s="825"/>
      <c r="O894" s="825"/>
      <c r="P894" s="825"/>
      <c r="Q894" s="825"/>
      <c r="R894" s="825"/>
      <c r="S894" s="825"/>
      <c r="T894" s="825"/>
      <c r="U894" s="825"/>
      <c r="V894" s="825"/>
      <c r="W894" s="825"/>
      <c r="X894" s="825"/>
      <c r="Y894" s="825"/>
      <c r="Z894" s="825"/>
      <c r="AA894" s="825"/>
      <c r="AB894" s="825"/>
      <c r="AC894" s="825"/>
    </row>
    <row r="895" spans="1:29" ht="15.8" customHeight="1" x14ac:dyDescent="0.3">
      <c r="A895" s="825"/>
      <c r="C895" s="825"/>
      <c r="D895" s="21"/>
      <c r="E895" s="17"/>
      <c r="F895" s="825"/>
      <c r="G895" s="825"/>
      <c r="H895" s="21"/>
      <c r="I895" s="825"/>
      <c r="J895" s="825"/>
      <c r="M895" s="825"/>
      <c r="N895" s="825"/>
      <c r="O895" s="825"/>
      <c r="P895" s="825"/>
      <c r="Q895" s="825"/>
      <c r="R895" s="825"/>
      <c r="S895" s="825"/>
      <c r="T895" s="825"/>
      <c r="U895" s="825"/>
      <c r="V895" s="825"/>
      <c r="W895" s="825"/>
      <c r="X895" s="825"/>
      <c r="Y895" s="825"/>
      <c r="Z895" s="825"/>
      <c r="AA895" s="825"/>
      <c r="AB895" s="825"/>
      <c r="AC895" s="825"/>
    </row>
    <row r="896" spans="1:29" ht="15.8" customHeight="1" x14ac:dyDescent="0.3">
      <c r="A896" s="825"/>
      <c r="C896" s="825"/>
      <c r="D896" s="21"/>
      <c r="E896" s="17"/>
      <c r="F896" s="825"/>
      <c r="G896" s="825"/>
      <c r="H896" s="21"/>
      <c r="I896" s="825"/>
      <c r="J896" s="825"/>
      <c r="M896" s="825"/>
      <c r="N896" s="825"/>
      <c r="O896" s="825"/>
      <c r="P896" s="825"/>
      <c r="Q896" s="825"/>
      <c r="R896" s="825"/>
      <c r="S896" s="825"/>
      <c r="T896" s="825"/>
      <c r="U896" s="825"/>
      <c r="V896" s="825"/>
      <c r="W896" s="825"/>
      <c r="X896" s="825"/>
      <c r="Y896" s="825"/>
      <c r="Z896" s="825"/>
      <c r="AA896" s="825"/>
      <c r="AB896" s="825"/>
      <c r="AC896" s="825"/>
    </row>
    <row r="897" spans="1:29" ht="15.8" customHeight="1" x14ac:dyDescent="0.3">
      <c r="A897" s="825"/>
      <c r="C897" s="825"/>
      <c r="D897" s="21"/>
      <c r="E897" s="17"/>
      <c r="F897" s="825"/>
      <c r="G897" s="825"/>
      <c r="H897" s="21"/>
      <c r="I897" s="825"/>
      <c r="J897" s="825"/>
      <c r="M897" s="825"/>
      <c r="N897" s="825"/>
      <c r="O897" s="825"/>
      <c r="P897" s="825"/>
      <c r="Q897" s="825"/>
      <c r="R897" s="825"/>
      <c r="S897" s="825"/>
      <c r="T897" s="825"/>
      <c r="U897" s="825"/>
      <c r="V897" s="825"/>
      <c r="W897" s="825"/>
      <c r="X897" s="825"/>
      <c r="Y897" s="825"/>
      <c r="Z897" s="825"/>
      <c r="AA897" s="825"/>
      <c r="AB897" s="825"/>
      <c r="AC897" s="825"/>
    </row>
    <row r="898" spans="1:29" ht="15.8" customHeight="1" x14ac:dyDescent="0.3">
      <c r="A898" s="825"/>
      <c r="C898" s="825"/>
      <c r="D898" s="21"/>
      <c r="E898" s="17"/>
      <c r="F898" s="825"/>
      <c r="G898" s="825"/>
      <c r="H898" s="21"/>
      <c r="I898" s="825"/>
      <c r="J898" s="825"/>
      <c r="M898" s="825"/>
      <c r="N898" s="825"/>
      <c r="O898" s="825"/>
      <c r="P898" s="825"/>
      <c r="Q898" s="825"/>
      <c r="R898" s="825"/>
      <c r="S898" s="825"/>
      <c r="T898" s="825"/>
      <c r="U898" s="825"/>
      <c r="V898" s="825"/>
      <c r="W898" s="825"/>
      <c r="X898" s="825"/>
      <c r="Y898" s="825"/>
      <c r="Z898" s="825"/>
      <c r="AA898" s="825"/>
      <c r="AB898" s="825"/>
      <c r="AC898" s="825"/>
    </row>
    <row r="899" spans="1:29" ht="15.8" customHeight="1" x14ac:dyDescent="0.3">
      <c r="A899" s="825"/>
      <c r="C899" s="825"/>
      <c r="D899" s="21"/>
      <c r="E899" s="17"/>
      <c r="F899" s="825"/>
      <c r="G899" s="825"/>
      <c r="H899" s="21"/>
      <c r="I899" s="825"/>
      <c r="J899" s="825"/>
      <c r="M899" s="825"/>
      <c r="N899" s="825"/>
      <c r="O899" s="825"/>
      <c r="P899" s="825"/>
      <c r="Q899" s="825"/>
      <c r="R899" s="825"/>
      <c r="S899" s="825"/>
      <c r="T899" s="825"/>
      <c r="U899" s="825"/>
      <c r="V899" s="825"/>
      <c r="W899" s="825"/>
      <c r="X899" s="825"/>
      <c r="Y899" s="825"/>
      <c r="Z899" s="825"/>
      <c r="AA899" s="825"/>
      <c r="AB899" s="825"/>
      <c r="AC899" s="825"/>
    </row>
    <row r="900" spans="1:29" ht="15.8" customHeight="1" x14ac:dyDescent="0.3">
      <c r="A900" s="825"/>
      <c r="C900" s="825"/>
      <c r="D900" s="21"/>
      <c r="E900" s="17"/>
      <c r="F900" s="825"/>
      <c r="G900" s="825"/>
      <c r="H900" s="21"/>
      <c r="I900" s="825"/>
      <c r="J900" s="825"/>
      <c r="M900" s="825"/>
      <c r="N900" s="825"/>
      <c r="O900" s="825"/>
      <c r="P900" s="825"/>
      <c r="Q900" s="825"/>
      <c r="R900" s="825"/>
      <c r="S900" s="825"/>
      <c r="T900" s="825"/>
      <c r="U900" s="825"/>
      <c r="V900" s="825"/>
      <c r="W900" s="825"/>
      <c r="X900" s="825"/>
      <c r="Y900" s="825"/>
      <c r="Z900" s="825"/>
      <c r="AA900" s="825"/>
      <c r="AB900" s="825"/>
      <c r="AC900" s="825"/>
    </row>
    <row r="901" spans="1:29" ht="15.8" customHeight="1" x14ac:dyDescent="0.3">
      <c r="A901" s="825"/>
      <c r="C901" s="825"/>
      <c r="D901" s="21"/>
      <c r="E901" s="17"/>
      <c r="F901" s="825"/>
      <c r="G901" s="825"/>
      <c r="H901" s="21"/>
      <c r="I901" s="825"/>
      <c r="J901" s="825"/>
      <c r="M901" s="825"/>
      <c r="N901" s="825"/>
      <c r="O901" s="825"/>
      <c r="P901" s="825"/>
      <c r="Q901" s="825"/>
      <c r="R901" s="825"/>
      <c r="S901" s="825"/>
      <c r="T901" s="825"/>
      <c r="U901" s="825"/>
      <c r="V901" s="825"/>
      <c r="W901" s="825"/>
      <c r="X901" s="825"/>
      <c r="Y901" s="825"/>
      <c r="Z901" s="825"/>
      <c r="AA901" s="825"/>
      <c r="AB901" s="825"/>
      <c r="AC901" s="825"/>
    </row>
    <row r="902" spans="1:29" ht="15.8" customHeight="1" x14ac:dyDescent="0.3">
      <c r="A902" s="825"/>
      <c r="C902" s="825"/>
      <c r="D902" s="21"/>
      <c r="E902" s="17"/>
      <c r="F902" s="825"/>
      <c r="G902" s="825"/>
      <c r="H902" s="21"/>
      <c r="I902" s="825"/>
      <c r="J902" s="825"/>
      <c r="M902" s="825"/>
      <c r="N902" s="825"/>
      <c r="O902" s="825"/>
      <c r="P902" s="825"/>
      <c r="Q902" s="825"/>
      <c r="R902" s="825"/>
      <c r="S902" s="825"/>
      <c r="T902" s="825"/>
      <c r="U902" s="825"/>
      <c r="V902" s="825"/>
      <c r="W902" s="825"/>
      <c r="X902" s="825"/>
      <c r="Y902" s="825"/>
      <c r="Z902" s="825"/>
      <c r="AA902" s="825"/>
      <c r="AB902" s="825"/>
      <c r="AC902" s="825"/>
    </row>
    <row r="903" spans="1:29" ht="15.8" customHeight="1" x14ac:dyDescent="0.3">
      <c r="A903" s="825"/>
      <c r="C903" s="825"/>
      <c r="D903" s="21"/>
      <c r="E903" s="17"/>
      <c r="F903" s="825"/>
      <c r="G903" s="825"/>
      <c r="H903" s="21"/>
      <c r="I903" s="825"/>
      <c r="J903" s="825"/>
      <c r="M903" s="825"/>
      <c r="N903" s="825"/>
      <c r="O903" s="825"/>
      <c r="P903" s="825"/>
      <c r="Q903" s="825"/>
      <c r="R903" s="825"/>
      <c r="S903" s="825"/>
      <c r="T903" s="825"/>
      <c r="U903" s="825"/>
      <c r="V903" s="825"/>
      <c r="W903" s="825"/>
      <c r="X903" s="825"/>
      <c r="Y903" s="825"/>
      <c r="Z903" s="825"/>
      <c r="AA903" s="825"/>
      <c r="AB903" s="825"/>
      <c r="AC903" s="825"/>
    </row>
    <row r="904" spans="1:29" ht="15.8" customHeight="1" x14ac:dyDescent="0.3">
      <c r="A904" s="825"/>
      <c r="C904" s="825"/>
      <c r="D904" s="21"/>
      <c r="E904" s="17"/>
      <c r="F904" s="825"/>
      <c r="G904" s="825"/>
      <c r="H904" s="21"/>
      <c r="I904" s="825"/>
      <c r="J904" s="825"/>
      <c r="M904" s="825"/>
      <c r="N904" s="825"/>
      <c r="O904" s="825"/>
      <c r="P904" s="825"/>
      <c r="Q904" s="825"/>
      <c r="R904" s="825"/>
      <c r="S904" s="825"/>
      <c r="T904" s="825"/>
      <c r="U904" s="825"/>
      <c r="V904" s="825"/>
      <c r="W904" s="825"/>
      <c r="X904" s="825"/>
      <c r="Y904" s="825"/>
      <c r="Z904" s="825"/>
      <c r="AA904" s="825"/>
      <c r="AB904" s="825"/>
      <c r="AC904" s="825"/>
    </row>
    <row r="905" spans="1:29" ht="15.8" customHeight="1" x14ac:dyDescent="0.3">
      <c r="A905" s="825"/>
      <c r="C905" s="825"/>
      <c r="D905" s="21"/>
      <c r="E905" s="17"/>
      <c r="F905" s="825"/>
      <c r="G905" s="825"/>
      <c r="H905" s="21"/>
      <c r="I905" s="825"/>
      <c r="J905" s="825"/>
      <c r="M905" s="825"/>
      <c r="N905" s="825"/>
      <c r="O905" s="825"/>
      <c r="P905" s="825"/>
      <c r="Q905" s="825"/>
      <c r="R905" s="825"/>
      <c r="S905" s="825"/>
      <c r="T905" s="825"/>
      <c r="U905" s="825"/>
      <c r="V905" s="825"/>
      <c r="W905" s="825"/>
      <c r="X905" s="825"/>
      <c r="Y905" s="825"/>
      <c r="Z905" s="825"/>
      <c r="AA905" s="825"/>
      <c r="AB905" s="825"/>
      <c r="AC905" s="825"/>
    </row>
    <row r="906" spans="1:29" ht="15.8" customHeight="1" x14ac:dyDescent="0.3">
      <c r="A906" s="825"/>
      <c r="C906" s="825"/>
      <c r="D906" s="21"/>
      <c r="E906" s="17"/>
      <c r="F906" s="825"/>
      <c r="G906" s="825"/>
      <c r="H906" s="21"/>
      <c r="I906" s="825"/>
      <c r="J906" s="825"/>
      <c r="M906" s="825"/>
      <c r="N906" s="825"/>
      <c r="O906" s="825"/>
      <c r="P906" s="825"/>
      <c r="Q906" s="825"/>
      <c r="R906" s="825"/>
      <c r="S906" s="825"/>
      <c r="T906" s="825"/>
      <c r="U906" s="825"/>
      <c r="V906" s="825"/>
      <c r="W906" s="825"/>
      <c r="X906" s="825"/>
      <c r="Y906" s="825"/>
      <c r="Z906" s="825"/>
      <c r="AA906" s="825"/>
      <c r="AB906" s="825"/>
      <c r="AC906" s="825"/>
    </row>
    <row r="907" spans="1:29" ht="15.8" customHeight="1" x14ac:dyDescent="0.3">
      <c r="A907" s="825"/>
      <c r="C907" s="825"/>
      <c r="D907" s="21"/>
      <c r="E907" s="17"/>
      <c r="F907" s="825"/>
      <c r="G907" s="825"/>
      <c r="H907" s="21"/>
      <c r="I907" s="825"/>
      <c r="J907" s="825"/>
      <c r="M907" s="825"/>
      <c r="N907" s="825"/>
      <c r="O907" s="825"/>
      <c r="P907" s="825"/>
      <c r="Q907" s="825"/>
      <c r="R907" s="825"/>
      <c r="S907" s="825"/>
      <c r="T907" s="825"/>
      <c r="U907" s="825"/>
      <c r="V907" s="825"/>
      <c r="W907" s="825"/>
      <c r="X907" s="825"/>
      <c r="Y907" s="825"/>
      <c r="Z907" s="825"/>
      <c r="AA907" s="825"/>
      <c r="AB907" s="825"/>
      <c r="AC907" s="825"/>
    </row>
    <row r="908" spans="1:29" ht="15.8" customHeight="1" x14ac:dyDescent="0.3">
      <c r="A908" s="825"/>
      <c r="C908" s="825"/>
      <c r="D908" s="21"/>
      <c r="E908" s="17"/>
      <c r="F908" s="825"/>
      <c r="G908" s="825"/>
      <c r="H908" s="21"/>
      <c r="I908" s="825"/>
      <c r="J908" s="825"/>
      <c r="M908" s="825"/>
      <c r="N908" s="825"/>
      <c r="O908" s="825"/>
      <c r="P908" s="825"/>
      <c r="Q908" s="825"/>
      <c r="R908" s="825"/>
      <c r="S908" s="825"/>
      <c r="T908" s="825"/>
      <c r="U908" s="825"/>
      <c r="V908" s="825"/>
      <c r="W908" s="825"/>
      <c r="X908" s="825"/>
      <c r="Y908" s="825"/>
      <c r="Z908" s="825"/>
      <c r="AA908" s="825"/>
      <c r="AB908" s="825"/>
      <c r="AC908" s="825"/>
    </row>
    <row r="909" spans="1:29" ht="15.8" customHeight="1" x14ac:dyDescent="0.3">
      <c r="A909" s="825"/>
      <c r="C909" s="825"/>
      <c r="D909" s="21"/>
      <c r="E909" s="17"/>
      <c r="F909" s="825"/>
      <c r="G909" s="825"/>
      <c r="H909" s="21"/>
      <c r="I909" s="825"/>
      <c r="J909" s="825"/>
      <c r="M909" s="825"/>
      <c r="N909" s="825"/>
      <c r="O909" s="825"/>
      <c r="P909" s="825"/>
      <c r="Q909" s="825"/>
      <c r="R909" s="825"/>
      <c r="S909" s="825"/>
      <c r="T909" s="825"/>
      <c r="U909" s="825"/>
      <c r="V909" s="825"/>
      <c r="W909" s="825"/>
      <c r="X909" s="825"/>
      <c r="Y909" s="825"/>
      <c r="Z909" s="825"/>
      <c r="AA909" s="825"/>
      <c r="AB909" s="825"/>
      <c r="AC909" s="825"/>
    </row>
    <row r="910" spans="1:29" ht="15.8" customHeight="1" x14ac:dyDescent="0.3">
      <c r="A910" s="825"/>
      <c r="C910" s="825"/>
      <c r="D910" s="21"/>
      <c r="E910" s="17"/>
      <c r="F910" s="825"/>
      <c r="G910" s="825"/>
      <c r="H910" s="21"/>
      <c r="I910" s="825"/>
      <c r="J910" s="825"/>
      <c r="M910" s="825"/>
      <c r="N910" s="825"/>
      <c r="O910" s="825"/>
      <c r="P910" s="825"/>
      <c r="Q910" s="825"/>
      <c r="R910" s="825"/>
      <c r="S910" s="825"/>
      <c r="T910" s="825"/>
      <c r="U910" s="825"/>
      <c r="V910" s="825"/>
      <c r="W910" s="825"/>
      <c r="X910" s="825"/>
      <c r="Y910" s="825"/>
      <c r="Z910" s="825"/>
      <c r="AA910" s="825"/>
      <c r="AB910" s="825"/>
      <c r="AC910" s="825"/>
    </row>
    <row r="911" spans="1:29" ht="15.8" customHeight="1" x14ac:dyDescent="0.3">
      <c r="A911" s="825"/>
      <c r="C911" s="825"/>
      <c r="D911" s="21"/>
      <c r="E911" s="17"/>
      <c r="F911" s="825"/>
      <c r="G911" s="825"/>
      <c r="H911" s="21"/>
      <c r="I911" s="825"/>
      <c r="J911" s="825"/>
      <c r="M911" s="825"/>
      <c r="N911" s="825"/>
      <c r="O911" s="825"/>
      <c r="P911" s="825"/>
      <c r="Q911" s="825"/>
      <c r="R911" s="825"/>
      <c r="S911" s="825"/>
      <c r="T911" s="825"/>
      <c r="U911" s="825"/>
      <c r="V911" s="825"/>
      <c r="W911" s="825"/>
      <c r="X911" s="825"/>
      <c r="Y911" s="825"/>
      <c r="Z911" s="825"/>
      <c r="AA911" s="825"/>
      <c r="AB911" s="825"/>
      <c r="AC911" s="825"/>
    </row>
    <row r="912" spans="1:29" ht="15.8" customHeight="1" x14ac:dyDescent="0.3">
      <c r="A912" s="825"/>
      <c r="C912" s="825"/>
      <c r="D912" s="21"/>
      <c r="E912" s="17"/>
      <c r="F912" s="825"/>
      <c r="G912" s="825"/>
      <c r="H912" s="21"/>
      <c r="I912" s="825"/>
      <c r="J912" s="825"/>
      <c r="M912" s="825"/>
      <c r="N912" s="825"/>
      <c r="O912" s="825"/>
      <c r="P912" s="825"/>
      <c r="Q912" s="825"/>
      <c r="R912" s="825"/>
      <c r="S912" s="825"/>
      <c r="T912" s="825"/>
      <c r="U912" s="825"/>
      <c r="V912" s="825"/>
      <c r="W912" s="825"/>
      <c r="X912" s="825"/>
      <c r="Y912" s="825"/>
      <c r="Z912" s="825"/>
      <c r="AA912" s="825"/>
      <c r="AB912" s="825"/>
      <c r="AC912" s="825"/>
    </row>
    <row r="913" spans="1:29" ht="15.8" customHeight="1" x14ac:dyDescent="0.3">
      <c r="A913" s="825"/>
      <c r="C913" s="825"/>
      <c r="D913" s="21"/>
      <c r="E913" s="17"/>
      <c r="F913" s="825"/>
      <c r="G913" s="825"/>
      <c r="H913" s="21"/>
      <c r="I913" s="825"/>
      <c r="J913" s="825"/>
      <c r="M913" s="825"/>
      <c r="N913" s="825"/>
      <c r="O913" s="825"/>
      <c r="P913" s="825"/>
      <c r="Q913" s="825"/>
      <c r="R913" s="825"/>
      <c r="S913" s="825"/>
      <c r="T913" s="825"/>
      <c r="U913" s="825"/>
      <c r="V913" s="825"/>
      <c r="W913" s="825"/>
      <c r="X913" s="825"/>
      <c r="Y913" s="825"/>
      <c r="Z913" s="825"/>
      <c r="AA913" s="825"/>
      <c r="AB913" s="825"/>
      <c r="AC913" s="825"/>
    </row>
    <row r="914" spans="1:29" ht="15.8" customHeight="1" x14ac:dyDescent="0.3">
      <c r="A914" s="825"/>
      <c r="C914" s="825"/>
      <c r="D914" s="21"/>
      <c r="E914" s="17"/>
      <c r="F914" s="825"/>
      <c r="G914" s="825"/>
      <c r="H914" s="21"/>
      <c r="I914" s="825"/>
      <c r="J914" s="825"/>
      <c r="M914" s="825"/>
      <c r="N914" s="825"/>
      <c r="O914" s="825"/>
      <c r="P914" s="825"/>
      <c r="Q914" s="825"/>
      <c r="R914" s="825"/>
      <c r="S914" s="825"/>
      <c r="T914" s="825"/>
      <c r="U914" s="825"/>
      <c r="V914" s="825"/>
      <c r="W914" s="825"/>
      <c r="X914" s="825"/>
      <c r="Y914" s="825"/>
      <c r="Z914" s="825"/>
      <c r="AA914" s="825"/>
      <c r="AB914" s="825"/>
      <c r="AC914" s="825"/>
    </row>
    <row r="915" spans="1:29" ht="15.8" customHeight="1" x14ac:dyDescent="0.3">
      <c r="A915" s="825"/>
      <c r="C915" s="825"/>
      <c r="D915" s="21"/>
      <c r="E915" s="17"/>
      <c r="F915" s="825"/>
      <c r="G915" s="825"/>
      <c r="H915" s="21"/>
      <c r="I915" s="825"/>
      <c r="J915" s="825"/>
      <c r="M915" s="825"/>
      <c r="N915" s="825"/>
      <c r="O915" s="825"/>
      <c r="P915" s="825"/>
      <c r="Q915" s="825"/>
      <c r="R915" s="825"/>
      <c r="S915" s="825"/>
      <c r="T915" s="825"/>
      <c r="U915" s="825"/>
      <c r="V915" s="825"/>
      <c r="W915" s="825"/>
      <c r="X915" s="825"/>
      <c r="Y915" s="825"/>
      <c r="Z915" s="825"/>
      <c r="AA915" s="825"/>
      <c r="AB915" s="825"/>
      <c r="AC915" s="825"/>
    </row>
    <row r="916" spans="1:29" ht="15.8" customHeight="1" x14ac:dyDescent="0.3">
      <c r="A916" s="825"/>
      <c r="C916" s="825"/>
      <c r="D916" s="21"/>
      <c r="E916" s="17"/>
      <c r="F916" s="825"/>
      <c r="G916" s="825"/>
      <c r="H916" s="21"/>
      <c r="I916" s="825"/>
      <c r="J916" s="825"/>
      <c r="M916" s="825"/>
      <c r="N916" s="825"/>
      <c r="O916" s="825"/>
      <c r="P916" s="825"/>
      <c r="Q916" s="825"/>
      <c r="R916" s="825"/>
      <c r="S916" s="825"/>
      <c r="T916" s="825"/>
      <c r="U916" s="825"/>
      <c r="V916" s="825"/>
      <c r="W916" s="825"/>
      <c r="X916" s="825"/>
      <c r="Y916" s="825"/>
      <c r="Z916" s="825"/>
      <c r="AA916" s="825"/>
      <c r="AB916" s="825"/>
      <c r="AC916" s="825"/>
    </row>
    <row r="917" spans="1:29" ht="15.8" customHeight="1" x14ac:dyDescent="0.3">
      <c r="A917" s="825"/>
      <c r="C917" s="825"/>
      <c r="D917" s="21"/>
      <c r="E917" s="17"/>
      <c r="F917" s="825"/>
      <c r="G917" s="825"/>
      <c r="H917" s="21"/>
      <c r="I917" s="825"/>
      <c r="J917" s="825"/>
      <c r="M917" s="825"/>
      <c r="N917" s="825"/>
      <c r="O917" s="825"/>
      <c r="P917" s="825"/>
      <c r="Q917" s="825"/>
      <c r="R917" s="825"/>
      <c r="S917" s="825"/>
      <c r="T917" s="825"/>
      <c r="U917" s="825"/>
      <c r="V917" s="825"/>
      <c r="W917" s="825"/>
      <c r="X917" s="825"/>
      <c r="Y917" s="825"/>
      <c r="Z917" s="825"/>
      <c r="AA917" s="825"/>
      <c r="AB917" s="825"/>
      <c r="AC917" s="825"/>
    </row>
    <row r="918" spans="1:29" ht="15.8" customHeight="1" x14ac:dyDescent="0.3">
      <c r="A918" s="825"/>
      <c r="C918" s="825"/>
      <c r="D918" s="21"/>
      <c r="E918" s="17"/>
      <c r="F918" s="825"/>
      <c r="G918" s="825"/>
      <c r="H918" s="21"/>
      <c r="I918" s="825"/>
      <c r="J918" s="825"/>
      <c r="M918" s="825"/>
      <c r="N918" s="825"/>
      <c r="O918" s="825"/>
      <c r="P918" s="825"/>
      <c r="Q918" s="825"/>
      <c r="R918" s="825"/>
      <c r="S918" s="825"/>
      <c r="T918" s="825"/>
      <c r="U918" s="825"/>
      <c r="V918" s="825"/>
      <c r="W918" s="825"/>
      <c r="X918" s="825"/>
      <c r="Y918" s="825"/>
      <c r="Z918" s="825"/>
      <c r="AA918" s="825"/>
      <c r="AB918" s="825"/>
      <c r="AC918" s="825"/>
    </row>
    <row r="919" spans="1:29" ht="15.8" customHeight="1" x14ac:dyDescent="0.3">
      <c r="A919" s="825"/>
      <c r="C919" s="825"/>
      <c r="D919" s="21"/>
      <c r="E919" s="17"/>
      <c r="F919" s="825"/>
      <c r="G919" s="825"/>
      <c r="H919" s="21"/>
      <c r="I919" s="825"/>
      <c r="J919" s="825"/>
      <c r="M919" s="825"/>
      <c r="N919" s="825"/>
      <c r="O919" s="825"/>
      <c r="P919" s="825"/>
      <c r="Q919" s="825"/>
      <c r="R919" s="825"/>
      <c r="S919" s="825"/>
      <c r="T919" s="825"/>
      <c r="U919" s="825"/>
      <c r="V919" s="825"/>
      <c r="W919" s="825"/>
      <c r="X919" s="825"/>
      <c r="Y919" s="825"/>
      <c r="Z919" s="825"/>
      <c r="AA919" s="825"/>
      <c r="AB919" s="825"/>
      <c r="AC919" s="825"/>
    </row>
    <row r="920" spans="1:29" ht="15.8" customHeight="1" x14ac:dyDescent="0.3">
      <c r="A920" s="825"/>
      <c r="C920" s="825"/>
      <c r="D920" s="21"/>
      <c r="E920" s="17"/>
      <c r="F920" s="825"/>
      <c r="G920" s="825"/>
      <c r="H920" s="21"/>
      <c r="I920" s="825"/>
      <c r="J920" s="825"/>
      <c r="M920" s="825"/>
      <c r="N920" s="825"/>
      <c r="O920" s="825"/>
      <c r="P920" s="825"/>
      <c r="Q920" s="825"/>
      <c r="R920" s="825"/>
      <c r="S920" s="825"/>
      <c r="T920" s="825"/>
      <c r="U920" s="825"/>
      <c r="V920" s="825"/>
      <c r="W920" s="825"/>
      <c r="X920" s="825"/>
      <c r="Y920" s="825"/>
      <c r="Z920" s="825"/>
      <c r="AA920" s="825"/>
      <c r="AB920" s="825"/>
      <c r="AC920" s="825"/>
    </row>
    <row r="921" spans="1:29" ht="15.8" customHeight="1" x14ac:dyDescent="0.3">
      <c r="A921" s="825"/>
      <c r="C921" s="825"/>
      <c r="D921" s="21"/>
      <c r="E921" s="17"/>
      <c r="F921" s="825"/>
      <c r="G921" s="825"/>
      <c r="H921" s="21"/>
      <c r="I921" s="825"/>
      <c r="J921" s="825"/>
      <c r="M921" s="825"/>
      <c r="N921" s="825"/>
      <c r="O921" s="825"/>
      <c r="P921" s="825"/>
      <c r="Q921" s="825"/>
      <c r="R921" s="825"/>
      <c r="S921" s="825"/>
      <c r="T921" s="825"/>
      <c r="U921" s="825"/>
      <c r="V921" s="825"/>
      <c r="W921" s="825"/>
      <c r="X921" s="825"/>
      <c r="Y921" s="825"/>
      <c r="Z921" s="825"/>
      <c r="AA921" s="825"/>
      <c r="AB921" s="825"/>
      <c r="AC921" s="825"/>
    </row>
    <row r="922" spans="1:29" ht="15.8" customHeight="1" x14ac:dyDescent="0.3">
      <c r="A922" s="825"/>
      <c r="C922" s="825"/>
      <c r="D922" s="21"/>
      <c r="E922" s="17"/>
      <c r="F922" s="825"/>
      <c r="G922" s="825"/>
      <c r="H922" s="21"/>
      <c r="I922" s="825"/>
      <c r="J922" s="825"/>
      <c r="M922" s="825"/>
      <c r="N922" s="825"/>
      <c r="O922" s="825"/>
      <c r="P922" s="825"/>
      <c r="Q922" s="825"/>
      <c r="R922" s="825"/>
      <c r="S922" s="825"/>
      <c r="T922" s="825"/>
      <c r="U922" s="825"/>
      <c r="V922" s="825"/>
      <c r="W922" s="825"/>
      <c r="X922" s="825"/>
      <c r="Y922" s="825"/>
      <c r="Z922" s="825"/>
      <c r="AA922" s="825"/>
      <c r="AB922" s="825"/>
      <c r="AC922" s="825"/>
    </row>
    <row r="923" spans="1:29" ht="15.8" customHeight="1" x14ac:dyDescent="0.3">
      <c r="A923" s="825"/>
      <c r="C923" s="825"/>
      <c r="D923" s="21"/>
      <c r="E923" s="17"/>
      <c r="F923" s="825"/>
      <c r="G923" s="825"/>
      <c r="H923" s="21"/>
      <c r="I923" s="825"/>
      <c r="J923" s="825"/>
      <c r="M923" s="825"/>
      <c r="N923" s="825"/>
      <c r="O923" s="825"/>
      <c r="P923" s="825"/>
      <c r="Q923" s="825"/>
      <c r="R923" s="825"/>
      <c r="S923" s="825"/>
      <c r="T923" s="825"/>
      <c r="U923" s="825"/>
      <c r="V923" s="825"/>
      <c r="W923" s="825"/>
      <c r="X923" s="825"/>
      <c r="Y923" s="825"/>
      <c r="Z923" s="825"/>
      <c r="AA923" s="825"/>
      <c r="AB923" s="825"/>
      <c r="AC923" s="825"/>
    </row>
    <row r="924" spans="1:29" ht="15.8" customHeight="1" x14ac:dyDescent="0.3">
      <c r="A924" s="825"/>
      <c r="C924" s="825"/>
      <c r="D924" s="21"/>
      <c r="E924" s="17"/>
      <c r="F924" s="825"/>
      <c r="G924" s="825"/>
      <c r="H924" s="21"/>
      <c r="I924" s="825"/>
      <c r="J924" s="825"/>
      <c r="M924" s="825"/>
      <c r="N924" s="825"/>
      <c r="O924" s="825"/>
      <c r="P924" s="825"/>
      <c r="Q924" s="825"/>
      <c r="R924" s="825"/>
      <c r="S924" s="825"/>
      <c r="T924" s="825"/>
      <c r="U924" s="825"/>
      <c r="V924" s="825"/>
      <c r="W924" s="825"/>
      <c r="X924" s="825"/>
      <c r="Y924" s="825"/>
      <c r="Z924" s="825"/>
      <c r="AA924" s="825"/>
      <c r="AB924" s="825"/>
      <c r="AC924" s="825"/>
    </row>
    <row r="925" spans="1:29" ht="15.8" customHeight="1" x14ac:dyDescent="0.3">
      <c r="A925" s="825"/>
      <c r="C925" s="825"/>
      <c r="D925" s="21"/>
      <c r="E925" s="17"/>
      <c r="F925" s="825"/>
      <c r="G925" s="825"/>
      <c r="H925" s="21"/>
      <c r="I925" s="825"/>
      <c r="J925" s="825"/>
      <c r="M925" s="825"/>
      <c r="N925" s="825"/>
      <c r="O925" s="825"/>
      <c r="P925" s="825"/>
      <c r="Q925" s="825"/>
      <c r="R925" s="825"/>
      <c r="S925" s="825"/>
      <c r="T925" s="825"/>
      <c r="U925" s="825"/>
      <c r="V925" s="825"/>
      <c r="W925" s="825"/>
      <c r="X925" s="825"/>
      <c r="Y925" s="825"/>
      <c r="Z925" s="825"/>
      <c r="AA925" s="825"/>
      <c r="AB925" s="825"/>
      <c r="AC925" s="825"/>
    </row>
    <row r="926" spans="1:29" ht="15.8" customHeight="1" x14ac:dyDescent="0.3">
      <c r="A926" s="825"/>
      <c r="C926" s="825"/>
      <c r="D926" s="21"/>
      <c r="E926" s="17"/>
      <c r="F926" s="825"/>
      <c r="G926" s="825"/>
      <c r="H926" s="21"/>
      <c r="I926" s="825"/>
      <c r="J926" s="825"/>
      <c r="M926" s="825"/>
      <c r="N926" s="825"/>
      <c r="O926" s="825"/>
      <c r="P926" s="825"/>
      <c r="Q926" s="825"/>
      <c r="R926" s="825"/>
      <c r="S926" s="825"/>
      <c r="T926" s="825"/>
      <c r="U926" s="825"/>
      <c r="V926" s="825"/>
      <c r="W926" s="825"/>
      <c r="X926" s="825"/>
      <c r="Y926" s="825"/>
      <c r="Z926" s="825"/>
      <c r="AA926" s="825"/>
      <c r="AB926" s="825"/>
      <c r="AC926" s="825"/>
    </row>
    <row r="927" spans="1:29" ht="15.8" customHeight="1" x14ac:dyDescent="0.3">
      <c r="A927" s="825"/>
      <c r="C927" s="825"/>
      <c r="D927" s="21"/>
      <c r="E927" s="17"/>
      <c r="F927" s="825"/>
      <c r="G927" s="825"/>
      <c r="H927" s="21"/>
      <c r="I927" s="825"/>
      <c r="J927" s="825"/>
      <c r="M927" s="825"/>
      <c r="N927" s="825"/>
      <c r="O927" s="825"/>
      <c r="P927" s="825"/>
      <c r="Q927" s="825"/>
      <c r="R927" s="825"/>
      <c r="S927" s="825"/>
      <c r="T927" s="825"/>
      <c r="U927" s="825"/>
      <c r="V927" s="825"/>
      <c r="W927" s="825"/>
      <c r="X927" s="825"/>
      <c r="Y927" s="825"/>
      <c r="Z927" s="825"/>
      <c r="AA927" s="825"/>
      <c r="AB927" s="825"/>
      <c r="AC927" s="825"/>
    </row>
    <row r="928" spans="1:29" ht="15.8" customHeight="1" x14ac:dyDescent="0.3">
      <c r="A928" s="825"/>
      <c r="C928" s="825"/>
      <c r="D928" s="21"/>
      <c r="E928" s="17"/>
      <c r="F928" s="825"/>
      <c r="G928" s="825"/>
      <c r="H928" s="21"/>
      <c r="I928" s="825"/>
      <c r="J928" s="825"/>
      <c r="M928" s="825"/>
      <c r="N928" s="825"/>
      <c r="O928" s="825"/>
      <c r="P928" s="825"/>
      <c r="Q928" s="825"/>
      <c r="R928" s="825"/>
      <c r="S928" s="825"/>
      <c r="T928" s="825"/>
      <c r="U928" s="825"/>
      <c r="V928" s="825"/>
      <c r="W928" s="825"/>
      <c r="X928" s="825"/>
      <c r="Y928" s="825"/>
      <c r="Z928" s="825"/>
      <c r="AA928" s="825"/>
      <c r="AB928" s="825"/>
      <c r="AC928" s="825"/>
    </row>
    <row r="929" spans="1:29" ht="15.8" customHeight="1" x14ac:dyDescent="0.3">
      <c r="A929" s="825"/>
      <c r="C929" s="825"/>
      <c r="D929" s="21"/>
      <c r="E929" s="17"/>
      <c r="F929" s="825"/>
      <c r="G929" s="825"/>
      <c r="H929" s="21"/>
      <c r="I929" s="825"/>
      <c r="J929" s="825"/>
      <c r="M929" s="825"/>
      <c r="N929" s="825"/>
      <c r="O929" s="825"/>
      <c r="P929" s="825"/>
      <c r="Q929" s="825"/>
      <c r="R929" s="825"/>
      <c r="S929" s="825"/>
      <c r="T929" s="825"/>
      <c r="U929" s="825"/>
      <c r="V929" s="825"/>
      <c r="W929" s="825"/>
      <c r="X929" s="825"/>
      <c r="Y929" s="825"/>
      <c r="Z929" s="825"/>
      <c r="AA929" s="825"/>
      <c r="AB929" s="825"/>
      <c r="AC929" s="825"/>
    </row>
    <row r="930" spans="1:29" ht="15.8" customHeight="1" x14ac:dyDescent="0.3">
      <c r="A930" s="825"/>
      <c r="C930" s="825"/>
      <c r="D930" s="21"/>
      <c r="E930" s="17"/>
      <c r="F930" s="825"/>
      <c r="G930" s="825"/>
      <c r="H930" s="21"/>
      <c r="I930" s="825"/>
      <c r="J930" s="825"/>
      <c r="M930" s="825"/>
      <c r="N930" s="825"/>
      <c r="O930" s="825"/>
      <c r="P930" s="825"/>
      <c r="Q930" s="825"/>
      <c r="R930" s="825"/>
      <c r="S930" s="825"/>
      <c r="T930" s="825"/>
      <c r="U930" s="825"/>
      <c r="V930" s="825"/>
      <c r="W930" s="825"/>
      <c r="X930" s="825"/>
      <c r="Y930" s="825"/>
      <c r="Z930" s="825"/>
      <c r="AA930" s="825"/>
      <c r="AB930" s="825"/>
      <c r="AC930" s="825"/>
    </row>
    <row r="931" spans="1:29" ht="15.8" customHeight="1" x14ac:dyDescent="0.3">
      <c r="A931" s="825"/>
      <c r="C931" s="825"/>
      <c r="D931" s="21"/>
      <c r="E931" s="17"/>
      <c r="F931" s="825"/>
      <c r="G931" s="825"/>
      <c r="H931" s="21"/>
      <c r="I931" s="825"/>
      <c r="J931" s="825"/>
      <c r="M931" s="825"/>
      <c r="N931" s="825"/>
      <c r="O931" s="825"/>
      <c r="P931" s="825"/>
      <c r="Q931" s="825"/>
      <c r="R931" s="825"/>
      <c r="S931" s="825"/>
      <c r="T931" s="825"/>
      <c r="U931" s="825"/>
      <c r="V931" s="825"/>
      <c r="W931" s="825"/>
      <c r="X931" s="825"/>
      <c r="Y931" s="825"/>
      <c r="Z931" s="825"/>
      <c r="AA931" s="825"/>
      <c r="AB931" s="825"/>
      <c r="AC931" s="825"/>
    </row>
    <row r="932" spans="1:29" ht="15.8" customHeight="1" x14ac:dyDescent="0.3">
      <c r="A932" s="825"/>
      <c r="C932" s="825"/>
      <c r="D932" s="21"/>
      <c r="E932" s="17"/>
      <c r="F932" s="825"/>
      <c r="G932" s="825"/>
      <c r="H932" s="21"/>
      <c r="I932" s="825"/>
      <c r="J932" s="825"/>
      <c r="M932" s="825"/>
      <c r="N932" s="825"/>
      <c r="O932" s="825"/>
      <c r="P932" s="825"/>
      <c r="Q932" s="825"/>
      <c r="R932" s="825"/>
      <c r="S932" s="825"/>
      <c r="T932" s="825"/>
      <c r="U932" s="825"/>
      <c r="V932" s="825"/>
      <c r="W932" s="825"/>
      <c r="X932" s="825"/>
      <c r="Y932" s="825"/>
      <c r="Z932" s="825"/>
      <c r="AA932" s="825"/>
      <c r="AB932" s="825"/>
      <c r="AC932" s="825"/>
    </row>
    <row r="933" spans="1:29" ht="15.8" customHeight="1" x14ac:dyDescent="0.3">
      <c r="A933" s="825"/>
      <c r="C933" s="825"/>
      <c r="D933" s="21"/>
      <c r="E933" s="17"/>
      <c r="F933" s="825"/>
      <c r="G933" s="825"/>
      <c r="H933" s="21"/>
      <c r="I933" s="825"/>
      <c r="J933" s="825"/>
      <c r="M933" s="825"/>
      <c r="N933" s="825"/>
      <c r="O933" s="825"/>
      <c r="P933" s="825"/>
      <c r="Q933" s="825"/>
      <c r="R933" s="825"/>
      <c r="S933" s="825"/>
      <c r="T933" s="825"/>
      <c r="U933" s="825"/>
      <c r="V933" s="825"/>
      <c r="W933" s="825"/>
      <c r="X933" s="825"/>
      <c r="Y933" s="825"/>
      <c r="Z933" s="825"/>
      <c r="AA933" s="825"/>
      <c r="AB933" s="825"/>
      <c r="AC933" s="825"/>
    </row>
    <row r="934" spans="1:29" ht="15.8" customHeight="1" x14ac:dyDescent="0.3">
      <c r="A934" s="825"/>
      <c r="C934" s="825"/>
      <c r="D934" s="21"/>
      <c r="E934" s="17"/>
      <c r="F934" s="825"/>
      <c r="G934" s="825"/>
      <c r="H934" s="21"/>
      <c r="I934" s="825"/>
      <c r="J934" s="825"/>
      <c r="M934" s="825"/>
      <c r="N934" s="825"/>
      <c r="O934" s="825"/>
      <c r="P934" s="825"/>
      <c r="Q934" s="825"/>
      <c r="R934" s="825"/>
      <c r="S934" s="825"/>
      <c r="T934" s="825"/>
      <c r="U934" s="825"/>
      <c r="V934" s="825"/>
      <c r="W934" s="825"/>
      <c r="X934" s="825"/>
      <c r="Y934" s="825"/>
      <c r="Z934" s="825"/>
      <c r="AA934" s="825"/>
      <c r="AB934" s="825"/>
      <c r="AC934" s="825"/>
    </row>
    <row r="935" spans="1:29" ht="15.8" customHeight="1" x14ac:dyDescent="0.3">
      <c r="A935" s="825"/>
      <c r="C935" s="825"/>
      <c r="D935" s="21"/>
      <c r="E935" s="17"/>
      <c r="F935" s="825"/>
      <c r="G935" s="825"/>
      <c r="H935" s="21"/>
      <c r="I935" s="825"/>
      <c r="J935" s="825"/>
      <c r="M935" s="825"/>
      <c r="N935" s="825"/>
      <c r="O935" s="825"/>
      <c r="P935" s="825"/>
      <c r="Q935" s="825"/>
      <c r="R935" s="825"/>
      <c r="S935" s="825"/>
      <c r="T935" s="825"/>
      <c r="U935" s="825"/>
      <c r="V935" s="825"/>
      <c r="W935" s="825"/>
      <c r="X935" s="825"/>
      <c r="Y935" s="825"/>
      <c r="Z935" s="825"/>
      <c r="AA935" s="825"/>
      <c r="AB935" s="825"/>
      <c r="AC935" s="825"/>
    </row>
    <row r="936" spans="1:29" ht="15.8" customHeight="1" x14ac:dyDescent="0.3">
      <c r="A936" s="825"/>
      <c r="C936" s="825"/>
      <c r="D936" s="21"/>
      <c r="E936" s="17"/>
      <c r="F936" s="825"/>
      <c r="G936" s="825"/>
      <c r="H936" s="21"/>
      <c r="I936" s="825"/>
      <c r="J936" s="825"/>
      <c r="M936" s="825"/>
      <c r="N936" s="825"/>
      <c r="O936" s="825"/>
      <c r="P936" s="825"/>
      <c r="Q936" s="825"/>
      <c r="R936" s="825"/>
      <c r="S936" s="825"/>
      <c r="T936" s="825"/>
      <c r="U936" s="825"/>
      <c r="V936" s="825"/>
      <c r="W936" s="825"/>
      <c r="X936" s="825"/>
      <c r="Y936" s="825"/>
      <c r="Z936" s="825"/>
      <c r="AA936" s="825"/>
      <c r="AB936" s="825"/>
      <c r="AC936" s="825"/>
    </row>
    <row r="937" spans="1:29" ht="15.8" customHeight="1" x14ac:dyDescent="0.3">
      <c r="A937" s="825"/>
      <c r="C937" s="825"/>
      <c r="D937" s="21"/>
      <c r="E937" s="17"/>
      <c r="F937" s="825"/>
      <c r="G937" s="825"/>
      <c r="H937" s="21"/>
      <c r="I937" s="825"/>
      <c r="J937" s="825"/>
      <c r="M937" s="825"/>
      <c r="N937" s="825"/>
      <c r="O937" s="825"/>
      <c r="P937" s="825"/>
      <c r="Q937" s="825"/>
      <c r="R937" s="825"/>
      <c r="S937" s="825"/>
      <c r="T937" s="825"/>
      <c r="U937" s="825"/>
      <c r="V937" s="825"/>
      <c r="W937" s="825"/>
      <c r="X937" s="825"/>
      <c r="Y937" s="825"/>
      <c r="Z937" s="825"/>
      <c r="AA937" s="825"/>
      <c r="AB937" s="825"/>
      <c r="AC937" s="825"/>
    </row>
    <row r="938" spans="1:29" ht="15.8" customHeight="1" x14ac:dyDescent="0.3">
      <c r="A938" s="825"/>
      <c r="C938" s="825"/>
      <c r="D938" s="21"/>
      <c r="E938" s="17"/>
      <c r="F938" s="825"/>
      <c r="G938" s="825"/>
      <c r="H938" s="21"/>
      <c r="I938" s="825"/>
      <c r="J938" s="825"/>
      <c r="M938" s="825"/>
      <c r="N938" s="825"/>
      <c r="O938" s="825"/>
      <c r="P938" s="825"/>
      <c r="Q938" s="825"/>
      <c r="R938" s="825"/>
      <c r="S938" s="825"/>
      <c r="T938" s="825"/>
      <c r="U938" s="825"/>
      <c r="V938" s="825"/>
      <c r="W938" s="825"/>
      <c r="X938" s="825"/>
      <c r="Y938" s="825"/>
      <c r="Z938" s="825"/>
      <c r="AA938" s="825"/>
      <c r="AB938" s="825"/>
      <c r="AC938" s="825"/>
    </row>
    <row r="939" spans="1:29" ht="15.8" customHeight="1" x14ac:dyDescent="0.3">
      <c r="A939" s="825"/>
      <c r="C939" s="825"/>
      <c r="D939" s="21"/>
      <c r="E939" s="17"/>
      <c r="F939" s="825"/>
      <c r="G939" s="825"/>
      <c r="H939" s="21"/>
      <c r="I939" s="825"/>
      <c r="J939" s="825"/>
      <c r="M939" s="825"/>
      <c r="N939" s="825"/>
      <c r="O939" s="825"/>
      <c r="P939" s="825"/>
      <c r="Q939" s="825"/>
      <c r="R939" s="825"/>
      <c r="S939" s="825"/>
      <c r="T939" s="825"/>
      <c r="U939" s="825"/>
      <c r="V939" s="825"/>
      <c r="W939" s="825"/>
      <c r="X939" s="825"/>
      <c r="Y939" s="825"/>
      <c r="Z939" s="825"/>
      <c r="AA939" s="825"/>
      <c r="AB939" s="825"/>
      <c r="AC939" s="825"/>
    </row>
    <row r="940" spans="1:29" ht="15.8" customHeight="1" x14ac:dyDescent="0.3">
      <c r="A940" s="825"/>
      <c r="C940" s="825"/>
      <c r="D940" s="21"/>
      <c r="E940" s="17"/>
      <c r="F940" s="825"/>
      <c r="G940" s="825"/>
      <c r="H940" s="21"/>
      <c r="I940" s="825"/>
      <c r="J940" s="825"/>
      <c r="M940" s="825"/>
      <c r="N940" s="825"/>
      <c r="O940" s="825"/>
      <c r="P940" s="825"/>
      <c r="Q940" s="825"/>
      <c r="R940" s="825"/>
      <c r="S940" s="825"/>
      <c r="T940" s="825"/>
      <c r="U940" s="825"/>
      <c r="V940" s="825"/>
      <c r="W940" s="825"/>
      <c r="X940" s="825"/>
      <c r="Y940" s="825"/>
      <c r="Z940" s="825"/>
      <c r="AA940" s="825"/>
      <c r="AB940" s="825"/>
      <c r="AC940" s="825"/>
    </row>
    <row r="941" spans="1:29" ht="15.8" customHeight="1" x14ac:dyDescent="0.3">
      <c r="A941" s="825"/>
      <c r="C941" s="825"/>
      <c r="D941" s="21"/>
      <c r="E941" s="17"/>
      <c r="F941" s="825"/>
      <c r="G941" s="825"/>
      <c r="H941" s="21"/>
      <c r="I941" s="825"/>
      <c r="J941" s="825"/>
      <c r="M941" s="825"/>
      <c r="N941" s="825"/>
      <c r="O941" s="825"/>
      <c r="P941" s="825"/>
      <c r="Q941" s="825"/>
      <c r="R941" s="825"/>
      <c r="S941" s="825"/>
      <c r="T941" s="825"/>
      <c r="U941" s="825"/>
      <c r="V941" s="825"/>
      <c r="W941" s="825"/>
      <c r="X941" s="825"/>
      <c r="Y941" s="825"/>
      <c r="Z941" s="825"/>
      <c r="AA941" s="825"/>
      <c r="AB941" s="825"/>
      <c r="AC941" s="825"/>
    </row>
    <row r="942" spans="1:29" ht="15.8" customHeight="1" x14ac:dyDescent="0.3">
      <c r="A942" s="825"/>
      <c r="C942" s="825"/>
      <c r="D942" s="21"/>
      <c r="E942" s="17"/>
      <c r="F942" s="825"/>
      <c r="G942" s="825"/>
      <c r="H942" s="21"/>
      <c r="I942" s="825"/>
      <c r="J942" s="825"/>
      <c r="M942" s="825"/>
      <c r="N942" s="825"/>
      <c r="O942" s="825"/>
      <c r="P942" s="825"/>
      <c r="Q942" s="825"/>
      <c r="R942" s="825"/>
      <c r="S942" s="825"/>
      <c r="T942" s="825"/>
      <c r="U942" s="825"/>
      <c r="V942" s="825"/>
      <c r="W942" s="825"/>
      <c r="X942" s="825"/>
      <c r="Y942" s="825"/>
      <c r="Z942" s="825"/>
      <c r="AA942" s="825"/>
      <c r="AB942" s="825"/>
      <c r="AC942" s="825"/>
    </row>
    <row r="943" spans="1:29" ht="15.8" customHeight="1" x14ac:dyDescent="0.3">
      <c r="A943" s="825"/>
      <c r="C943" s="825"/>
      <c r="D943" s="21"/>
      <c r="E943" s="17"/>
      <c r="F943" s="825"/>
      <c r="G943" s="825"/>
      <c r="H943" s="21"/>
      <c r="I943" s="825"/>
      <c r="J943" s="825"/>
      <c r="M943" s="825"/>
      <c r="N943" s="825"/>
      <c r="O943" s="825"/>
      <c r="P943" s="825"/>
      <c r="Q943" s="825"/>
      <c r="R943" s="825"/>
      <c r="S943" s="825"/>
      <c r="T943" s="825"/>
      <c r="U943" s="825"/>
      <c r="V943" s="825"/>
      <c r="W943" s="825"/>
      <c r="X943" s="825"/>
      <c r="Y943" s="825"/>
      <c r="Z943" s="825"/>
      <c r="AA943" s="825"/>
      <c r="AB943" s="825"/>
      <c r="AC943" s="825"/>
    </row>
    <row r="944" spans="1:29" ht="15.8" customHeight="1" x14ac:dyDescent="0.3">
      <c r="A944" s="825"/>
      <c r="C944" s="825"/>
      <c r="D944" s="21"/>
      <c r="E944" s="17"/>
      <c r="F944" s="825"/>
      <c r="G944" s="825"/>
      <c r="H944" s="21"/>
      <c r="I944" s="825"/>
      <c r="J944" s="825"/>
      <c r="M944" s="825"/>
      <c r="N944" s="825"/>
      <c r="O944" s="825"/>
      <c r="P944" s="825"/>
      <c r="Q944" s="825"/>
      <c r="R944" s="825"/>
      <c r="S944" s="825"/>
      <c r="T944" s="825"/>
      <c r="U944" s="825"/>
      <c r="V944" s="825"/>
      <c r="W944" s="825"/>
      <c r="X944" s="825"/>
      <c r="Y944" s="825"/>
      <c r="Z944" s="825"/>
      <c r="AA944" s="825"/>
      <c r="AB944" s="825"/>
      <c r="AC944" s="825"/>
    </row>
    <row r="945" spans="1:29" ht="15.8" customHeight="1" x14ac:dyDescent="0.3">
      <c r="A945" s="825"/>
      <c r="C945" s="825"/>
      <c r="D945" s="21"/>
      <c r="E945" s="17"/>
      <c r="F945" s="825"/>
      <c r="G945" s="825"/>
      <c r="H945" s="21"/>
      <c r="I945" s="825"/>
      <c r="J945" s="825"/>
      <c r="M945" s="825"/>
      <c r="N945" s="825"/>
      <c r="O945" s="825"/>
      <c r="P945" s="825"/>
      <c r="Q945" s="825"/>
      <c r="R945" s="825"/>
      <c r="S945" s="825"/>
      <c r="T945" s="825"/>
      <c r="U945" s="825"/>
      <c r="V945" s="825"/>
      <c r="W945" s="825"/>
      <c r="X945" s="825"/>
      <c r="Y945" s="825"/>
      <c r="Z945" s="825"/>
      <c r="AA945" s="825"/>
      <c r="AB945" s="825"/>
      <c r="AC945" s="825"/>
    </row>
    <row r="946" spans="1:29" ht="15.8" customHeight="1" x14ac:dyDescent="0.3">
      <c r="A946" s="825"/>
      <c r="C946" s="825"/>
      <c r="D946" s="21"/>
      <c r="E946" s="17"/>
      <c r="F946" s="825"/>
      <c r="G946" s="825"/>
      <c r="H946" s="21"/>
      <c r="I946" s="825"/>
      <c r="J946" s="825"/>
      <c r="M946" s="825"/>
      <c r="N946" s="825"/>
      <c r="O946" s="825"/>
      <c r="P946" s="825"/>
      <c r="Q946" s="825"/>
      <c r="R946" s="825"/>
      <c r="S946" s="825"/>
      <c r="T946" s="825"/>
      <c r="U946" s="825"/>
      <c r="V946" s="825"/>
      <c r="W946" s="825"/>
      <c r="X946" s="825"/>
      <c r="Y946" s="825"/>
      <c r="Z946" s="825"/>
      <c r="AA946" s="825"/>
      <c r="AB946" s="825"/>
      <c r="AC946" s="825"/>
    </row>
    <row r="947" spans="1:29" ht="15.8" customHeight="1" x14ac:dyDescent="0.3">
      <c r="A947" s="825"/>
      <c r="C947" s="825"/>
      <c r="D947" s="21"/>
      <c r="E947" s="17"/>
      <c r="F947" s="825"/>
      <c r="G947" s="825"/>
      <c r="H947" s="21"/>
      <c r="I947" s="825"/>
      <c r="J947" s="825"/>
      <c r="M947" s="825"/>
      <c r="N947" s="825"/>
      <c r="O947" s="825"/>
      <c r="P947" s="825"/>
      <c r="Q947" s="825"/>
      <c r="R947" s="825"/>
      <c r="S947" s="825"/>
      <c r="T947" s="825"/>
      <c r="U947" s="825"/>
      <c r="V947" s="825"/>
      <c r="W947" s="825"/>
      <c r="X947" s="825"/>
      <c r="Y947" s="825"/>
      <c r="Z947" s="825"/>
      <c r="AA947" s="825"/>
      <c r="AB947" s="825"/>
      <c r="AC947" s="825"/>
    </row>
    <row r="948" spans="1:29" ht="15.8" customHeight="1" x14ac:dyDescent="0.3">
      <c r="A948" s="825"/>
      <c r="C948" s="825"/>
      <c r="D948" s="21"/>
      <c r="E948" s="17"/>
      <c r="F948" s="825"/>
      <c r="G948" s="825"/>
      <c r="H948" s="21"/>
      <c r="I948" s="825"/>
      <c r="J948" s="825"/>
      <c r="M948" s="825"/>
      <c r="N948" s="825"/>
      <c r="O948" s="825"/>
      <c r="P948" s="825"/>
      <c r="Q948" s="825"/>
      <c r="R948" s="825"/>
      <c r="S948" s="825"/>
      <c r="T948" s="825"/>
      <c r="U948" s="825"/>
      <c r="V948" s="825"/>
      <c r="W948" s="825"/>
      <c r="X948" s="825"/>
      <c r="Y948" s="825"/>
      <c r="Z948" s="825"/>
      <c r="AA948" s="825"/>
      <c r="AB948" s="825"/>
      <c r="AC948" s="825"/>
    </row>
    <row r="949" spans="1:29" ht="15.8" customHeight="1" x14ac:dyDescent="0.3">
      <c r="A949" s="825"/>
      <c r="C949" s="825"/>
      <c r="D949" s="21"/>
      <c r="E949" s="17"/>
      <c r="F949" s="825"/>
      <c r="G949" s="825"/>
      <c r="H949" s="21"/>
      <c r="I949" s="825"/>
      <c r="J949" s="825"/>
      <c r="M949" s="825"/>
      <c r="N949" s="825"/>
      <c r="O949" s="825"/>
      <c r="P949" s="825"/>
      <c r="Q949" s="825"/>
      <c r="R949" s="825"/>
      <c r="S949" s="825"/>
      <c r="T949" s="825"/>
      <c r="U949" s="825"/>
      <c r="V949" s="825"/>
      <c r="W949" s="825"/>
      <c r="X949" s="825"/>
      <c r="Y949" s="825"/>
      <c r="Z949" s="825"/>
      <c r="AA949" s="825"/>
      <c r="AB949" s="825"/>
      <c r="AC949" s="825"/>
    </row>
    <row r="950" spans="1:29" ht="15.8" customHeight="1" x14ac:dyDescent="0.3">
      <c r="A950" s="825"/>
      <c r="C950" s="825"/>
      <c r="D950" s="21"/>
      <c r="E950" s="17"/>
      <c r="F950" s="825"/>
      <c r="G950" s="825"/>
      <c r="H950" s="21"/>
      <c r="I950" s="825"/>
      <c r="J950" s="825"/>
      <c r="M950" s="825"/>
      <c r="N950" s="825"/>
      <c r="O950" s="825"/>
      <c r="P950" s="825"/>
      <c r="Q950" s="825"/>
      <c r="R950" s="825"/>
      <c r="S950" s="825"/>
      <c r="T950" s="825"/>
      <c r="U950" s="825"/>
      <c r="V950" s="825"/>
      <c r="W950" s="825"/>
      <c r="X950" s="825"/>
      <c r="Y950" s="825"/>
      <c r="Z950" s="825"/>
      <c r="AA950" s="825"/>
      <c r="AB950" s="825"/>
      <c r="AC950" s="825"/>
    </row>
    <row r="951" spans="1:29" ht="15.8" customHeight="1" x14ac:dyDescent="0.3">
      <c r="A951" s="825"/>
      <c r="C951" s="825"/>
      <c r="D951" s="21"/>
      <c r="E951" s="17"/>
      <c r="F951" s="825"/>
      <c r="G951" s="825"/>
      <c r="H951" s="21"/>
      <c r="I951" s="825"/>
      <c r="J951" s="825"/>
      <c r="M951" s="825"/>
      <c r="N951" s="825"/>
      <c r="O951" s="825"/>
      <c r="P951" s="825"/>
      <c r="Q951" s="825"/>
      <c r="R951" s="825"/>
      <c r="S951" s="825"/>
      <c r="T951" s="825"/>
      <c r="U951" s="825"/>
      <c r="V951" s="825"/>
      <c r="W951" s="825"/>
      <c r="X951" s="825"/>
      <c r="Y951" s="825"/>
      <c r="Z951" s="825"/>
      <c r="AA951" s="825"/>
      <c r="AB951" s="825"/>
      <c r="AC951" s="825"/>
    </row>
    <row r="952" spans="1:29" ht="15.8" customHeight="1" x14ac:dyDescent="0.3">
      <c r="A952" s="825"/>
      <c r="C952" s="825"/>
      <c r="D952" s="21"/>
      <c r="E952" s="17"/>
      <c r="F952" s="825"/>
      <c r="G952" s="825"/>
      <c r="H952" s="21"/>
      <c r="I952" s="825"/>
      <c r="J952" s="825"/>
      <c r="M952" s="825"/>
      <c r="N952" s="825"/>
      <c r="O952" s="825"/>
      <c r="P952" s="825"/>
      <c r="Q952" s="825"/>
      <c r="R952" s="825"/>
      <c r="S952" s="825"/>
      <c r="T952" s="825"/>
      <c r="U952" s="825"/>
      <c r="V952" s="825"/>
      <c r="W952" s="825"/>
      <c r="X952" s="825"/>
      <c r="Y952" s="825"/>
      <c r="Z952" s="825"/>
      <c r="AA952" s="825"/>
      <c r="AB952" s="825"/>
      <c r="AC952" s="825"/>
    </row>
    <row r="953" spans="1:29" ht="15.8" customHeight="1" x14ac:dyDescent="0.3">
      <c r="A953" s="825"/>
      <c r="C953" s="825"/>
      <c r="D953" s="21"/>
      <c r="E953" s="17"/>
      <c r="F953" s="825"/>
      <c r="G953" s="825"/>
      <c r="H953" s="21"/>
      <c r="I953" s="825"/>
      <c r="J953" s="825"/>
      <c r="M953" s="825"/>
      <c r="N953" s="825"/>
      <c r="O953" s="825"/>
      <c r="P953" s="825"/>
      <c r="Q953" s="825"/>
      <c r="R953" s="825"/>
      <c r="S953" s="825"/>
      <c r="T953" s="825"/>
      <c r="U953" s="825"/>
      <c r="V953" s="825"/>
      <c r="W953" s="825"/>
      <c r="X953" s="825"/>
      <c r="Y953" s="825"/>
      <c r="Z953" s="825"/>
      <c r="AA953" s="825"/>
      <c r="AB953" s="825"/>
      <c r="AC953" s="825"/>
    </row>
    <row r="954" spans="1:29" ht="15.8" customHeight="1" x14ac:dyDescent="0.3">
      <c r="A954" s="825"/>
      <c r="C954" s="825"/>
      <c r="D954" s="21"/>
      <c r="E954" s="17"/>
      <c r="F954" s="825"/>
      <c r="G954" s="825"/>
      <c r="H954" s="21"/>
      <c r="I954" s="825"/>
      <c r="J954" s="825"/>
      <c r="M954" s="825"/>
      <c r="N954" s="825"/>
      <c r="O954" s="825"/>
      <c r="P954" s="825"/>
      <c r="Q954" s="825"/>
      <c r="R954" s="825"/>
      <c r="S954" s="825"/>
      <c r="T954" s="825"/>
      <c r="U954" s="825"/>
      <c r="V954" s="825"/>
      <c r="W954" s="825"/>
      <c r="X954" s="825"/>
      <c r="Y954" s="825"/>
      <c r="Z954" s="825"/>
      <c r="AA954" s="825"/>
      <c r="AB954" s="825"/>
      <c r="AC954" s="825"/>
    </row>
    <row r="955" spans="1:29" ht="15.8" customHeight="1" x14ac:dyDescent="0.3">
      <c r="A955" s="825"/>
      <c r="C955" s="825"/>
      <c r="D955" s="21"/>
      <c r="E955" s="17"/>
      <c r="F955" s="825"/>
      <c r="G955" s="825"/>
      <c r="H955" s="21"/>
      <c r="I955" s="825"/>
      <c r="J955" s="825"/>
      <c r="M955" s="825"/>
      <c r="N955" s="825"/>
      <c r="O955" s="825"/>
      <c r="P955" s="825"/>
      <c r="Q955" s="825"/>
      <c r="R955" s="825"/>
      <c r="S955" s="825"/>
      <c r="T955" s="825"/>
      <c r="U955" s="825"/>
      <c r="V955" s="825"/>
      <c r="W955" s="825"/>
      <c r="X955" s="825"/>
      <c r="Y955" s="825"/>
      <c r="Z955" s="825"/>
      <c r="AA955" s="825"/>
      <c r="AB955" s="825"/>
      <c r="AC955" s="825"/>
    </row>
    <row r="956" spans="1:29" ht="15.8" customHeight="1" x14ac:dyDescent="0.3">
      <c r="A956" s="825"/>
      <c r="C956" s="825"/>
      <c r="D956" s="21"/>
      <c r="E956" s="17"/>
      <c r="F956" s="825"/>
      <c r="G956" s="825"/>
      <c r="H956" s="21"/>
      <c r="I956" s="825"/>
      <c r="J956" s="825"/>
      <c r="M956" s="825"/>
      <c r="N956" s="825"/>
      <c r="O956" s="825"/>
      <c r="P956" s="825"/>
      <c r="Q956" s="825"/>
      <c r="R956" s="825"/>
      <c r="S956" s="825"/>
      <c r="T956" s="825"/>
      <c r="U956" s="825"/>
      <c r="V956" s="825"/>
      <c r="W956" s="825"/>
      <c r="X956" s="825"/>
      <c r="Y956" s="825"/>
      <c r="Z956" s="825"/>
      <c r="AA956" s="825"/>
      <c r="AB956" s="825"/>
      <c r="AC956" s="825"/>
    </row>
    <row r="957" spans="1:29" ht="15.8" customHeight="1" x14ac:dyDescent="0.3">
      <c r="A957" s="825"/>
      <c r="C957" s="825"/>
      <c r="D957" s="21"/>
      <c r="E957" s="17"/>
      <c r="F957" s="825"/>
      <c r="G957" s="825"/>
      <c r="H957" s="21"/>
      <c r="I957" s="825"/>
      <c r="J957" s="825"/>
      <c r="M957" s="825"/>
      <c r="N957" s="825"/>
      <c r="O957" s="825"/>
      <c r="P957" s="825"/>
      <c r="Q957" s="825"/>
      <c r="R957" s="825"/>
      <c r="S957" s="825"/>
      <c r="T957" s="825"/>
      <c r="U957" s="825"/>
      <c r="V957" s="825"/>
      <c r="W957" s="825"/>
      <c r="X957" s="825"/>
      <c r="Y957" s="825"/>
      <c r="Z957" s="825"/>
      <c r="AA957" s="825"/>
      <c r="AB957" s="825"/>
      <c r="AC957" s="825"/>
    </row>
    <row r="958" spans="1:29" ht="15.8" customHeight="1" x14ac:dyDescent="0.3">
      <c r="A958" s="825"/>
      <c r="C958" s="825"/>
      <c r="D958" s="21"/>
      <c r="E958" s="17"/>
      <c r="F958" s="825"/>
      <c r="G958" s="825"/>
      <c r="H958" s="21"/>
      <c r="I958" s="825"/>
      <c r="J958" s="825"/>
      <c r="M958" s="825"/>
      <c r="N958" s="825"/>
      <c r="O958" s="825"/>
      <c r="P958" s="825"/>
      <c r="Q958" s="825"/>
      <c r="R958" s="825"/>
      <c r="S958" s="825"/>
      <c r="T958" s="825"/>
      <c r="U958" s="825"/>
      <c r="V958" s="825"/>
      <c r="W958" s="825"/>
      <c r="X958" s="825"/>
      <c r="Y958" s="825"/>
      <c r="Z958" s="825"/>
      <c r="AA958" s="825"/>
      <c r="AB958" s="825"/>
      <c r="AC958" s="825"/>
    </row>
    <row r="959" spans="1:29" ht="15.8" customHeight="1" x14ac:dyDescent="0.3">
      <c r="A959" s="825"/>
      <c r="C959" s="825"/>
      <c r="D959" s="21"/>
      <c r="E959" s="17"/>
      <c r="F959" s="825"/>
      <c r="G959" s="825"/>
      <c r="H959" s="21"/>
      <c r="I959" s="825"/>
      <c r="J959" s="825"/>
      <c r="M959" s="825"/>
      <c r="N959" s="825"/>
      <c r="O959" s="825"/>
      <c r="P959" s="825"/>
      <c r="Q959" s="825"/>
      <c r="R959" s="825"/>
      <c r="S959" s="825"/>
      <c r="T959" s="825"/>
      <c r="U959" s="825"/>
      <c r="V959" s="825"/>
      <c r="W959" s="825"/>
      <c r="X959" s="825"/>
      <c r="Y959" s="825"/>
      <c r="Z959" s="825"/>
      <c r="AA959" s="825"/>
      <c r="AB959" s="825"/>
      <c r="AC959" s="825"/>
    </row>
    <row r="960" spans="1:29" ht="15.8" customHeight="1" x14ac:dyDescent="0.3">
      <c r="A960" s="825"/>
      <c r="C960" s="825"/>
      <c r="D960" s="21"/>
      <c r="E960" s="17"/>
      <c r="F960" s="825"/>
      <c r="G960" s="825"/>
      <c r="H960" s="21"/>
      <c r="I960" s="825"/>
      <c r="J960" s="825"/>
      <c r="M960" s="825"/>
      <c r="N960" s="825"/>
      <c r="O960" s="825"/>
      <c r="P960" s="825"/>
      <c r="Q960" s="825"/>
      <c r="R960" s="825"/>
      <c r="S960" s="825"/>
      <c r="T960" s="825"/>
      <c r="U960" s="825"/>
      <c r="V960" s="825"/>
      <c r="W960" s="825"/>
      <c r="X960" s="825"/>
      <c r="Y960" s="825"/>
      <c r="Z960" s="825"/>
      <c r="AA960" s="825"/>
      <c r="AB960" s="825"/>
      <c r="AC960" s="825"/>
    </row>
    <row r="961" spans="1:29" ht="15.8" customHeight="1" x14ac:dyDescent="0.3">
      <c r="A961" s="825"/>
      <c r="C961" s="825"/>
      <c r="D961" s="21"/>
      <c r="E961" s="17"/>
      <c r="F961" s="825"/>
      <c r="G961" s="825"/>
      <c r="H961" s="21"/>
      <c r="I961" s="825"/>
      <c r="J961" s="825"/>
      <c r="M961" s="825"/>
      <c r="N961" s="825"/>
      <c r="O961" s="825"/>
      <c r="P961" s="825"/>
      <c r="Q961" s="825"/>
      <c r="R961" s="825"/>
      <c r="S961" s="825"/>
      <c r="T961" s="825"/>
      <c r="U961" s="825"/>
      <c r="V961" s="825"/>
      <c r="W961" s="825"/>
      <c r="X961" s="825"/>
      <c r="Y961" s="825"/>
      <c r="Z961" s="825"/>
      <c r="AA961" s="825"/>
      <c r="AB961" s="825"/>
      <c r="AC961" s="825"/>
    </row>
    <row r="962" spans="1:29" ht="15.8" customHeight="1" x14ac:dyDescent="0.3">
      <c r="A962" s="825"/>
      <c r="C962" s="825"/>
      <c r="D962" s="21"/>
      <c r="E962" s="17"/>
      <c r="F962" s="825"/>
      <c r="G962" s="825"/>
      <c r="H962" s="21"/>
      <c r="I962" s="825"/>
      <c r="J962" s="825"/>
      <c r="M962" s="825"/>
      <c r="N962" s="825"/>
      <c r="O962" s="825"/>
      <c r="P962" s="825"/>
      <c r="Q962" s="825"/>
      <c r="R962" s="825"/>
      <c r="S962" s="825"/>
      <c r="T962" s="825"/>
      <c r="U962" s="825"/>
      <c r="V962" s="825"/>
      <c r="W962" s="825"/>
      <c r="X962" s="825"/>
      <c r="Y962" s="825"/>
      <c r="Z962" s="825"/>
      <c r="AA962" s="825"/>
      <c r="AB962" s="825"/>
      <c r="AC962" s="825"/>
    </row>
    <row r="963" spans="1:29" ht="15.8" customHeight="1" x14ac:dyDescent="0.3">
      <c r="A963" s="825"/>
      <c r="C963" s="825"/>
      <c r="D963" s="21"/>
      <c r="E963" s="17"/>
      <c r="F963" s="825"/>
      <c r="G963" s="825"/>
      <c r="H963" s="21"/>
      <c r="I963" s="825"/>
      <c r="J963" s="825"/>
      <c r="M963" s="825"/>
      <c r="N963" s="825"/>
      <c r="O963" s="825"/>
      <c r="P963" s="825"/>
      <c r="Q963" s="825"/>
      <c r="R963" s="825"/>
      <c r="S963" s="825"/>
      <c r="T963" s="825"/>
      <c r="U963" s="825"/>
      <c r="V963" s="825"/>
      <c r="W963" s="825"/>
      <c r="X963" s="825"/>
      <c r="Y963" s="825"/>
      <c r="Z963" s="825"/>
      <c r="AA963" s="825"/>
      <c r="AB963" s="825"/>
      <c r="AC963" s="825"/>
    </row>
    <row r="964" spans="1:29" ht="15.8" customHeight="1" x14ac:dyDescent="0.3">
      <c r="A964" s="825"/>
      <c r="C964" s="825"/>
      <c r="D964" s="21"/>
      <c r="E964" s="17"/>
      <c r="F964" s="825"/>
      <c r="G964" s="825"/>
      <c r="H964" s="21"/>
      <c r="I964" s="825"/>
      <c r="J964" s="825"/>
      <c r="M964" s="825"/>
      <c r="N964" s="825"/>
      <c r="O964" s="825"/>
      <c r="P964" s="825"/>
      <c r="Q964" s="825"/>
      <c r="R964" s="825"/>
      <c r="S964" s="825"/>
      <c r="T964" s="825"/>
      <c r="U964" s="825"/>
      <c r="V964" s="825"/>
      <c r="W964" s="825"/>
      <c r="X964" s="825"/>
      <c r="Y964" s="825"/>
      <c r="Z964" s="825"/>
      <c r="AA964" s="825"/>
      <c r="AB964" s="825"/>
      <c r="AC964" s="825"/>
    </row>
    <row r="965" spans="1:29" ht="15.8" customHeight="1" x14ac:dyDescent="0.3">
      <c r="A965" s="825"/>
      <c r="C965" s="825"/>
      <c r="D965" s="21"/>
      <c r="E965" s="17"/>
      <c r="F965" s="825"/>
      <c r="G965" s="825"/>
      <c r="H965" s="21"/>
      <c r="I965" s="825"/>
      <c r="J965" s="825"/>
      <c r="M965" s="825"/>
      <c r="N965" s="825"/>
      <c r="O965" s="825"/>
      <c r="P965" s="825"/>
      <c r="Q965" s="825"/>
      <c r="R965" s="825"/>
      <c r="S965" s="825"/>
      <c r="T965" s="825"/>
      <c r="U965" s="825"/>
      <c r="V965" s="825"/>
      <c r="W965" s="825"/>
      <c r="X965" s="825"/>
      <c r="Y965" s="825"/>
      <c r="Z965" s="825"/>
      <c r="AA965" s="825"/>
      <c r="AB965" s="825"/>
      <c r="AC965" s="825"/>
    </row>
    <row r="966" spans="1:29" ht="15.8" customHeight="1" x14ac:dyDescent="0.3">
      <c r="A966" s="825"/>
      <c r="C966" s="825"/>
      <c r="D966" s="21"/>
      <c r="E966" s="17"/>
      <c r="F966" s="825"/>
      <c r="G966" s="825"/>
      <c r="H966" s="21"/>
      <c r="I966" s="825"/>
      <c r="J966" s="825"/>
      <c r="M966" s="825"/>
      <c r="N966" s="825"/>
      <c r="O966" s="825"/>
      <c r="P966" s="825"/>
      <c r="Q966" s="825"/>
      <c r="R966" s="825"/>
      <c r="S966" s="825"/>
      <c r="T966" s="825"/>
      <c r="U966" s="825"/>
      <c r="V966" s="825"/>
      <c r="W966" s="825"/>
      <c r="X966" s="825"/>
      <c r="Y966" s="825"/>
      <c r="Z966" s="825"/>
      <c r="AA966" s="825"/>
      <c r="AB966" s="825"/>
      <c r="AC966" s="825"/>
    </row>
    <row r="967" spans="1:29" ht="15.8" customHeight="1" x14ac:dyDescent="0.3">
      <c r="A967" s="825"/>
      <c r="C967" s="825"/>
      <c r="D967" s="21"/>
      <c r="E967" s="17"/>
      <c r="F967" s="825"/>
      <c r="G967" s="825"/>
      <c r="H967" s="21"/>
      <c r="I967" s="825"/>
      <c r="J967" s="825"/>
      <c r="M967" s="825"/>
      <c r="N967" s="825"/>
      <c r="O967" s="825"/>
      <c r="P967" s="825"/>
      <c r="Q967" s="825"/>
      <c r="R967" s="825"/>
      <c r="S967" s="825"/>
      <c r="T967" s="825"/>
      <c r="U967" s="825"/>
      <c r="V967" s="825"/>
      <c r="W967" s="825"/>
      <c r="X967" s="825"/>
      <c r="Y967" s="825"/>
      <c r="Z967" s="825"/>
      <c r="AA967" s="825"/>
      <c r="AB967" s="825"/>
      <c r="AC967" s="825"/>
    </row>
    <row r="968" spans="1:29" ht="15.8" customHeight="1" x14ac:dyDescent="0.3">
      <c r="A968" s="825"/>
      <c r="C968" s="825"/>
      <c r="D968" s="21"/>
      <c r="E968" s="17"/>
      <c r="F968" s="825"/>
      <c r="G968" s="825"/>
      <c r="H968" s="21"/>
      <c r="I968" s="825"/>
      <c r="J968" s="825"/>
      <c r="M968" s="825"/>
      <c r="N968" s="825"/>
      <c r="O968" s="825"/>
      <c r="P968" s="825"/>
      <c r="Q968" s="825"/>
      <c r="R968" s="825"/>
      <c r="S968" s="825"/>
      <c r="T968" s="825"/>
      <c r="U968" s="825"/>
      <c r="V968" s="825"/>
      <c r="W968" s="825"/>
      <c r="X968" s="825"/>
      <c r="Y968" s="825"/>
      <c r="Z968" s="825"/>
      <c r="AA968" s="825"/>
      <c r="AB968" s="825"/>
      <c r="AC968" s="825"/>
    </row>
    <row r="969" spans="1:29" ht="15.8" customHeight="1" x14ac:dyDescent="0.3">
      <c r="A969" s="825"/>
      <c r="C969" s="825"/>
      <c r="D969" s="21"/>
      <c r="E969" s="17"/>
      <c r="F969" s="825"/>
      <c r="G969" s="825"/>
      <c r="H969" s="21"/>
      <c r="I969" s="825"/>
      <c r="J969" s="825"/>
      <c r="M969" s="825"/>
      <c r="N969" s="825"/>
      <c r="O969" s="825"/>
      <c r="P969" s="825"/>
      <c r="Q969" s="825"/>
      <c r="R969" s="825"/>
      <c r="S969" s="825"/>
      <c r="T969" s="825"/>
      <c r="U969" s="825"/>
      <c r="V969" s="825"/>
      <c r="W969" s="825"/>
      <c r="X969" s="825"/>
      <c r="Y969" s="825"/>
      <c r="Z969" s="825"/>
      <c r="AA969" s="825"/>
      <c r="AB969" s="825"/>
      <c r="AC969" s="825"/>
    </row>
    <row r="970" spans="1:29" ht="15.8" customHeight="1" x14ac:dyDescent="0.3">
      <c r="A970" s="825"/>
      <c r="C970" s="825"/>
      <c r="D970" s="21"/>
      <c r="E970" s="17"/>
      <c r="F970" s="825"/>
      <c r="G970" s="825"/>
      <c r="H970" s="21"/>
      <c r="I970" s="825"/>
      <c r="J970" s="825"/>
      <c r="M970" s="825"/>
      <c r="N970" s="825"/>
      <c r="O970" s="825"/>
      <c r="P970" s="825"/>
      <c r="Q970" s="825"/>
      <c r="R970" s="825"/>
      <c r="S970" s="825"/>
      <c r="T970" s="825"/>
      <c r="U970" s="825"/>
      <c r="V970" s="825"/>
      <c r="W970" s="825"/>
      <c r="X970" s="825"/>
      <c r="Y970" s="825"/>
      <c r="Z970" s="825"/>
      <c r="AA970" s="825"/>
      <c r="AB970" s="825"/>
      <c r="AC970" s="825"/>
    </row>
    <row r="971" spans="1:29" ht="15.8" customHeight="1" x14ac:dyDescent="0.3">
      <c r="A971" s="825"/>
      <c r="C971" s="825"/>
      <c r="D971" s="21"/>
      <c r="E971" s="17"/>
      <c r="F971" s="825"/>
      <c r="G971" s="825"/>
      <c r="H971" s="21"/>
      <c r="I971" s="825"/>
      <c r="J971" s="825"/>
      <c r="M971" s="825"/>
      <c r="N971" s="825"/>
      <c r="O971" s="825"/>
      <c r="P971" s="825"/>
      <c r="Q971" s="825"/>
      <c r="R971" s="825"/>
      <c r="S971" s="825"/>
      <c r="T971" s="825"/>
      <c r="U971" s="825"/>
      <c r="V971" s="825"/>
      <c r="W971" s="825"/>
      <c r="X971" s="825"/>
      <c r="Y971" s="825"/>
      <c r="Z971" s="825"/>
      <c r="AA971" s="825"/>
      <c r="AB971" s="825"/>
      <c r="AC971" s="825"/>
    </row>
    <row r="972" spans="1:29" ht="15.8" customHeight="1" x14ac:dyDescent="0.3">
      <c r="A972" s="825"/>
      <c r="C972" s="825"/>
      <c r="D972" s="21"/>
      <c r="E972" s="17"/>
      <c r="F972" s="825"/>
      <c r="G972" s="825"/>
      <c r="H972" s="21"/>
      <c r="I972" s="825"/>
      <c r="J972" s="825"/>
      <c r="M972" s="825"/>
      <c r="N972" s="825"/>
      <c r="O972" s="825"/>
      <c r="P972" s="825"/>
      <c r="Q972" s="825"/>
      <c r="R972" s="825"/>
      <c r="S972" s="825"/>
      <c r="T972" s="825"/>
      <c r="U972" s="825"/>
      <c r="V972" s="825"/>
      <c r="W972" s="825"/>
      <c r="X972" s="825"/>
      <c r="Y972" s="825"/>
      <c r="Z972" s="825"/>
      <c r="AA972" s="825"/>
      <c r="AB972" s="825"/>
      <c r="AC972" s="825"/>
    </row>
    <row r="973" spans="1:29" ht="15.8" customHeight="1" x14ac:dyDescent="0.3">
      <c r="A973" s="825"/>
      <c r="C973" s="825"/>
      <c r="D973" s="21"/>
      <c r="E973" s="17"/>
      <c r="F973" s="825"/>
      <c r="G973" s="825"/>
      <c r="H973" s="21"/>
      <c r="I973" s="825"/>
      <c r="J973" s="825"/>
      <c r="M973" s="825"/>
      <c r="N973" s="825"/>
      <c r="O973" s="825"/>
      <c r="P973" s="825"/>
      <c r="Q973" s="825"/>
      <c r="R973" s="825"/>
      <c r="S973" s="825"/>
      <c r="T973" s="825"/>
      <c r="U973" s="825"/>
      <c r="V973" s="825"/>
      <c r="W973" s="825"/>
      <c r="X973" s="825"/>
      <c r="Y973" s="825"/>
      <c r="Z973" s="825"/>
      <c r="AA973" s="825"/>
      <c r="AB973" s="825"/>
      <c r="AC973" s="825"/>
    </row>
    <row r="974" spans="1:29" ht="15.8" customHeight="1" x14ac:dyDescent="0.3">
      <c r="A974" s="825"/>
      <c r="C974" s="825"/>
      <c r="D974" s="21"/>
      <c r="E974" s="17"/>
      <c r="F974" s="825"/>
      <c r="G974" s="825"/>
      <c r="H974" s="21"/>
      <c r="I974" s="825"/>
      <c r="J974" s="825"/>
      <c r="M974" s="825"/>
      <c r="N974" s="825"/>
      <c r="O974" s="825"/>
      <c r="P974" s="825"/>
      <c r="Q974" s="825"/>
      <c r="R974" s="825"/>
      <c r="S974" s="825"/>
      <c r="T974" s="825"/>
      <c r="U974" s="825"/>
      <c r="V974" s="825"/>
      <c r="W974" s="825"/>
      <c r="X974" s="825"/>
      <c r="Y974" s="825"/>
      <c r="Z974" s="825"/>
      <c r="AA974" s="825"/>
      <c r="AB974" s="825"/>
      <c r="AC974" s="825"/>
    </row>
    <row r="975" spans="1:29" ht="15.8" customHeight="1" x14ac:dyDescent="0.3">
      <c r="A975" s="825"/>
      <c r="C975" s="825"/>
      <c r="D975" s="21"/>
      <c r="E975" s="17"/>
      <c r="F975" s="825"/>
      <c r="G975" s="825"/>
      <c r="H975" s="21"/>
      <c r="I975" s="825"/>
      <c r="J975" s="825"/>
      <c r="M975" s="825"/>
      <c r="N975" s="825"/>
      <c r="O975" s="825"/>
      <c r="P975" s="825"/>
      <c r="Q975" s="825"/>
      <c r="R975" s="825"/>
      <c r="S975" s="825"/>
      <c r="T975" s="825"/>
      <c r="U975" s="825"/>
      <c r="V975" s="825"/>
      <c r="W975" s="825"/>
      <c r="X975" s="825"/>
      <c r="Y975" s="825"/>
      <c r="Z975" s="825"/>
      <c r="AA975" s="825"/>
      <c r="AB975" s="825"/>
      <c r="AC975" s="825"/>
    </row>
    <row r="976" spans="1:29" ht="15.8" customHeight="1" x14ac:dyDescent="0.3">
      <c r="A976" s="825"/>
      <c r="C976" s="825"/>
      <c r="D976" s="21"/>
      <c r="E976" s="17"/>
      <c r="F976" s="825"/>
      <c r="G976" s="825"/>
      <c r="H976" s="21"/>
      <c r="I976" s="825"/>
      <c r="J976" s="825"/>
      <c r="M976" s="825"/>
      <c r="N976" s="825"/>
      <c r="O976" s="825"/>
      <c r="P976" s="825"/>
      <c r="Q976" s="825"/>
      <c r="R976" s="825"/>
      <c r="S976" s="825"/>
      <c r="T976" s="825"/>
      <c r="U976" s="825"/>
      <c r="V976" s="825"/>
      <c r="W976" s="825"/>
      <c r="X976" s="825"/>
      <c r="Y976" s="825"/>
      <c r="Z976" s="825"/>
      <c r="AA976" s="825"/>
      <c r="AB976" s="825"/>
      <c r="AC976" s="825"/>
    </row>
    <row r="977" spans="1:29" ht="15.8" customHeight="1" x14ac:dyDescent="0.3">
      <c r="A977" s="825"/>
      <c r="C977" s="825"/>
      <c r="D977" s="21"/>
      <c r="E977" s="17"/>
      <c r="F977" s="825"/>
      <c r="G977" s="825"/>
      <c r="H977" s="21"/>
      <c r="I977" s="825"/>
      <c r="J977" s="825"/>
      <c r="M977" s="825"/>
      <c r="N977" s="825"/>
      <c r="O977" s="825"/>
      <c r="P977" s="825"/>
      <c r="Q977" s="825"/>
      <c r="R977" s="825"/>
      <c r="S977" s="825"/>
      <c r="T977" s="825"/>
      <c r="U977" s="825"/>
      <c r="V977" s="825"/>
      <c r="W977" s="825"/>
      <c r="X977" s="825"/>
      <c r="Y977" s="825"/>
      <c r="Z977" s="825"/>
      <c r="AA977" s="825"/>
      <c r="AB977" s="825"/>
      <c r="AC977" s="825"/>
    </row>
    <row r="978" spans="1:29" ht="15.8" customHeight="1" x14ac:dyDescent="0.3">
      <c r="A978" s="825"/>
      <c r="C978" s="825"/>
      <c r="D978" s="21"/>
      <c r="E978" s="17"/>
      <c r="F978" s="825"/>
      <c r="G978" s="825"/>
      <c r="H978" s="21"/>
      <c r="I978" s="825"/>
      <c r="J978" s="825"/>
      <c r="M978" s="825"/>
      <c r="N978" s="825"/>
      <c r="O978" s="825"/>
      <c r="P978" s="825"/>
      <c r="Q978" s="825"/>
      <c r="R978" s="825"/>
      <c r="S978" s="825"/>
      <c r="T978" s="825"/>
      <c r="U978" s="825"/>
      <c r="V978" s="825"/>
      <c r="W978" s="825"/>
      <c r="X978" s="825"/>
      <c r="Y978" s="825"/>
      <c r="Z978" s="825"/>
      <c r="AA978" s="825"/>
      <c r="AB978" s="825"/>
      <c r="AC978" s="825"/>
    </row>
    <row r="979" spans="1:29" ht="15.8" customHeight="1" x14ac:dyDescent="0.3">
      <c r="A979" s="825"/>
      <c r="C979" s="825"/>
      <c r="D979" s="21"/>
      <c r="E979" s="17"/>
      <c r="F979" s="825"/>
      <c r="G979" s="825"/>
      <c r="H979" s="21"/>
      <c r="I979" s="825"/>
      <c r="J979" s="825"/>
      <c r="M979" s="825"/>
      <c r="N979" s="825"/>
      <c r="O979" s="825"/>
      <c r="P979" s="825"/>
      <c r="Q979" s="825"/>
      <c r="R979" s="825"/>
      <c r="S979" s="825"/>
      <c r="T979" s="825"/>
      <c r="U979" s="825"/>
      <c r="V979" s="825"/>
      <c r="W979" s="825"/>
      <c r="X979" s="825"/>
      <c r="Y979" s="825"/>
      <c r="Z979" s="825"/>
      <c r="AA979" s="825"/>
      <c r="AB979" s="825"/>
      <c r="AC979" s="825"/>
    </row>
    <row r="980" spans="1:29" ht="15.8" customHeight="1" x14ac:dyDescent="0.3">
      <c r="A980" s="825"/>
      <c r="C980" s="825"/>
      <c r="D980" s="21"/>
      <c r="E980" s="17"/>
      <c r="F980" s="825"/>
      <c r="G980" s="825"/>
      <c r="H980" s="21"/>
      <c r="I980" s="825"/>
      <c r="J980" s="825"/>
      <c r="M980" s="825"/>
      <c r="N980" s="825"/>
      <c r="O980" s="825"/>
      <c r="P980" s="825"/>
      <c r="Q980" s="825"/>
      <c r="R980" s="825"/>
      <c r="S980" s="825"/>
      <c r="T980" s="825"/>
      <c r="U980" s="825"/>
      <c r="V980" s="825"/>
      <c r="W980" s="825"/>
      <c r="X980" s="825"/>
      <c r="Y980" s="825"/>
      <c r="Z980" s="825"/>
      <c r="AA980" s="825"/>
      <c r="AB980" s="825"/>
      <c r="AC980" s="825"/>
    </row>
    <row r="981" spans="1:29" ht="15.8" customHeight="1" x14ac:dyDescent="0.3">
      <c r="A981" s="825"/>
      <c r="C981" s="825"/>
      <c r="D981" s="21"/>
      <c r="E981" s="17"/>
      <c r="F981" s="825"/>
      <c r="G981" s="825"/>
      <c r="H981" s="21"/>
      <c r="I981" s="825"/>
      <c r="J981" s="825"/>
      <c r="M981" s="825"/>
      <c r="N981" s="825"/>
      <c r="O981" s="825"/>
      <c r="P981" s="825"/>
      <c r="Q981" s="825"/>
      <c r="R981" s="825"/>
      <c r="S981" s="825"/>
      <c r="T981" s="825"/>
      <c r="U981" s="825"/>
      <c r="V981" s="825"/>
      <c r="W981" s="825"/>
      <c r="X981" s="825"/>
      <c r="Y981" s="825"/>
      <c r="Z981" s="825"/>
      <c r="AA981" s="825"/>
      <c r="AB981" s="825"/>
      <c r="AC981" s="825"/>
    </row>
    <row r="982" spans="1:29" ht="15.8" customHeight="1" x14ac:dyDescent="0.3">
      <c r="A982" s="825"/>
      <c r="C982" s="825"/>
      <c r="D982" s="21"/>
      <c r="E982" s="17"/>
      <c r="F982" s="825"/>
      <c r="G982" s="825"/>
      <c r="H982" s="21"/>
      <c r="I982" s="825"/>
      <c r="J982" s="825"/>
      <c r="M982" s="825"/>
      <c r="N982" s="825"/>
      <c r="O982" s="825"/>
      <c r="P982" s="825"/>
      <c r="Q982" s="825"/>
      <c r="R982" s="825"/>
      <c r="S982" s="825"/>
      <c r="T982" s="825"/>
      <c r="U982" s="825"/>
      <c r="V982" s="825"/>
      <c r="W982" s="825"/>
      <c r="X982" s="825"/>
      <c r="Y982" s="825"/>
      <c r="Z982" s="825"/>
      <c r="AA982" s="825"/>
      <c r="AB982" s="825"/>
      <c r="AC982" s="825"/>
    </row>
    <row r="983" spans="1:29" ht="15.8" customHeight="1" x14ac:dyDescent="0.3">
      <c r="A983" s="825"/>
      <c r="C983" s="825"/>
      <c r="D983" s="21"/>
      <c r="E983" s="17"/>
      <c r="F983" s="825"/>
      <c r="G983" s="825"/>
      <c r="H983" s="21"/>
      <c r="I983" s="825"/>
      <c r="J983" s="825"/>
      <c r="M983" s="825"/>
      <c r="N983" s="825"/>
      <c r="O983" s="825"/>
      <c r="P983" s="825"/>
      <c r="Q983" s="825"/>
      <c r="R983" s="825"/>
      <c r="S983" s="825"/>
      <c r="T983" s="825"/>
      <c r="U983" s="825"/>
      <c r="V983" s="825"/>
      <c r="W983" s="825"/>
      <c r="X983" s="825"/>
      <c r="Y983" s="825"/>
      <c r="Z983" s="825"/>
      <c r="AA983" s="825"/>
      <c r="AB983" s="825"/>
      <c r="AC983" s="825"/>
    </row>
    <row r="984" spans="1:29" ht="15.8" customHeight="1" x14ac:dyDescent="0.3">
      <c r="A984" s="825"/>
      <c r="C984" s="825"/>
      <c r="D984" s="21"/>
      <c r="E984" s="17"/>
      <c r="F984" s="825"/>
      <c r="G984" s="825"/>
      <c r="H984" s="21"/>
      <c r="I984" s="825"/>
      <c r="J984" s="825"/>
      <c r="M984" s="825"/>
      <c r="N984" s="825"/>
      <c r="O984" s="825"/>
      <c r="P984" s="825"/>
      <c r="Q984" s="825"/>
      <c r="R984" s="825"/>
      <c r="S984" s="825"/>
      <c r="T984" s="825"/>
      <c r="U984" s="825"/>
      <c r="V984" s="825"/>
      <c r="W984" s="825"/>
      <c r="X984" s="825"/>
      <c r="Y984" s="825"/>
      <c r="Z984" s="825"/>
      <c r="AA984" s="825"/>
      <c r="AB984" s="825"/>
      <c r="AC984" s="825"/>
    </row>
    <row r="985" spans="1:29" ht="15.8" customHeight="1" x14ac:dyDescent="0.3">
      <c r="A985" s="825"/>
      <c r="C985" s="825"/>
      <c r="D985" s="21"/>
      <c r="E985" s="17"/>
      <c r="F985" s="825"/>
      <c r="G985" s="825"/>
      <c r="H985" s="21"/>
      <c r="I985" s="825"/>
      <c r="J985" s="825"/>
      <c r="M985" s="825"/>
      <c r="N985" s="825"/>
      <c r="O985" s="825"/>
      <c r="P985" s="825"/>
      <c r="Q985" s="825"/>
      <c r="R985" s="825"/>
      <c r="S985" s="825"/>
      <c r="T985" s="825"/>
      <c r="U985" s="825"/>
      <c r="V985" s="825"/>
      <c r="W985" s="825"/>
      <c r="X985" s="825"/>
      <c r="Y985" s="825"/>
      <c r="Z985" s="825"/>
      <c r="AA985" s="825"/>
      <c r="AB985" s="825"/>
      <c r="AC985" s="825"/>
    </row>
    <row r="986" spans="1:29" ht="15.8" customHeight="1" x14ac:dyDescent="0.3">
      <c r="A986" s="825"/>
      <c r="C986" s="825"/>
      <c r="D986" s="21"/>
      <c r="E986" s="17"/>
      <c r="F986" s="825"/>
      <c r="G986" s="825"/>
      <c r="H986" s="21"/>
      <c r="I986" s="825"/>
      <c r="J986" s="825"/>
      <c r="M986" s="825"/>
      <c r="N986" s="825"/>
      <c r="O986" s="825"/>
      <c r="P986" s="825"/>
      <c r="Q986" s="825"/>
      <c r="R986" s="825"/>
      <c r="S986" s="825"/>
      <c r="T986" s="825"/>
      <c r="U986" s="825"/>
      <c r="V986" s="825"/>
      <c r="W986" s="825"/>
      <c r="X986" s="825"/>
      <c r="Y986" s="825"/>
      <c r="Z986" s="825"/>
      <c r="AA986" s="825"/>
      <c r="AB986" s="825"/>
      <c r="AC986" s="825"/>
    </row>
    <row r="987" spans="1:29" ht="15.8" customHeight="1" x14ac:dyDescent="0.3">
      <c r="A987" s="825"/>
      <c r="C987" s="825"/>
      <c r="D987" s="21"/>
      <c r="E987" s="17"/>
      <c r="F987" s="825"/>
      <c r="G987" s="825"/>
      <c r="H987" s="21"/>
      <c r="I987" s="825"/>
      <c r="J987" s="825"/>
      <c r="M987" s="825"/>
      <c r="N987" s="825"/>
      <c r="O987" s="825"/>
      <c r="P987" s="825"/>
      <c r="Q987" s="825"/>
      <c r="R987" s="825"/>
      <c r="S987" s="825"/>
      <c r="T987" s="825"/>
      <c r="U987" s="825"/>
      <c r="V987" s="825"/>
      <c r="W987" s="825"/>
      <c r="X987" s="825"/>
      <c r="Y987" s="825"/>
      <c r="Z987" s="825"/>
      <c r="AA987" s="825"/>
      <c r="AB987" s="825"/>
      <c r="AC987" s="825"/>
    </row>
    <row r="988" spans="1:29" ht="15.8" customHeight="1" x14ac:dyDescent="0.3">
      <c r="A988" s="825"/>
      <c r="C988" s="825"/>
      <c r="D988" s="21"/>
      <c r="E988" s="17"/>
      <c r="F988" s="825"/>
      <c r="G988" s="825"/>
      <c r="H988" s="21"/>
      <c r="I988" s="825"/>
      <c r="J988" s="825"/>
      <c r="M988" s="825"/>
      <c r="N988" s="825"/>
      <c r="O988" s="825"/>
      <c r="P988" s="825"/>
      <c r="Q988" s="825"/>
      <c r="R988" s="825"/>
      <c r="S988" s="825"/>
      <c r="T988" s="825"/>
      <c r="U988" s="825"/>
      <c r="V988" s="825"/>
      <c r="W988" s="825"/>
      <c r="X988" s="825"/>
      <c r="Y988" s="825"/>
      <c r="Z988" s="825"/>
      <c r="AA988" s="825"/>
      <c r="AB988" s="825"/>
      <c r="AC988" s="825"/>
    </row>
    <row r="989" spans="1:29" ht="15.8" customHeight="1" x14ac:dyDescent="0.3">
      <c r="A989" s="825"/>
      <c r="C989" s="825"/>
      <c r="D989" s="21"/>
      <c r="E989" s="17"/>
      <c r="F989" s="825"/>
      <c r="G989" s="825"/>
      <c r="H989" s="21"/>
      <c r="I989" s="825"/>
      <c r="J989" s="825"/>
      <c r="M989" s="825"/>
      <c r="N989" s="825"/>
      <c r="O989" s="825"/>
      <c r="P989" s="825"/>
      <c r="Q989" s="825"/>
      <c r="R989" s="825"/>
      <c r="S989" s="825"/>
      <c r="T989" s="825"/>
      <c r="U989" s="825"/>
      <c r="V989" s="825"/>
      <c r="W989" s="825"/>
      <c r="X989" s="825"/>
      <c r="Y989" s="825"/>
      <c r="Z989" s="825"/>
      <c r="AA989" s="825"/>
      <c r="AB989" s="825"/>
      <c r="AC989" s="825"/>
    </row>
    <row r="990" spans="1:29" ht="15.8" customHeight="1" x14ac:dyDescent="0.3">
      <c r="A990" s="825"/>
      <c r="C990" s="825"/>
      <c r="D990" s="21"/>
      <c r="E990" s="17"/>
      <c r="F990" s="825"/>
      <c r="G990" s="825"/>
      <c r="H990" s="21"/>
      <c r="I990" s="825"/>
      <c r="J990" s="825"/>
      <c r="M990" s="825"/>
      <c r="N990" s="825"/>
      <c r="O990" s="825"/>
      <c r="P990" s="825"/>
      <c r="Q990" s="825"/>
      <c r="R990" s="825"/>
      <c r="S990" s="825"/>
      <c r="T990" s="825"/>
      <c r="U990" s="825"/>
      <c r="V990" s="825"/>
      <c r="W990" s="825"/>
      <c r="X990" s="825"/>
      <c r="Y990" s="825"/>
      <c r="Z990" s="825"/>
      <c r="AA990" s="825"/>
      <c r="AB990" s="825"/>
      <c r="AC990" s="825"/>
    </row>
    <row r="991" spans="1:29" ht="15.8" customHeight="1" x14ac:dyDescent="0.3">
      <c r="A991" s="825"/>
      <c r="C991" s="825"/>
      <c r="D991" s="21"/>
      <c r="E991" s="17"/>
      <c r="F991" s="825"/>
      <c r="G991" s="825"/>
      <c r="H991" s="21"/>
      <c r="I991" s="825"/>
      <c r="J991" s="825"/>
      <c r="M991" s="825"/>
      <c r="N991" s="825"/>
      <c r="O991" s="825"/>
      <c r="P991" s="825"/>
      <c r="Q991" s="825"/>
      <c r="R991" s="825"/>
      <c r="S991" s="825"/>
      <c r="T991" s="825"/>
      <c r="U991" s="825"/>
      <c r="V991" s="825"/>
      <c r="W991" s="825"/>
      <c r="X991" s="825"/>
      <c r="Y991" s="825"/>
      <c r="Z991" s="825"/>
      <c r="AA991" s="825"/>
      <c r="AB991" s="825"/>
      <c r="AC991" s="825"/>
    </row>
    <row r="992" spans="1:29" ht="15.8" customHeight="1" x14ac:dyDescent="0.3">
      <c r="A992" s="825"/>
      <c r="C992" s="825"/>
      <c r="D992" s="21"/>
      <c r="E992" s="17"/>
      <c r="F992" s="825"/>
      <c r="G992" s="825"/>
      <c r="H992" s="21"/>
      <c r="I992" s="825"/>
      <c r="J992" s="825"/>
      <c r="M992" s="825"/>
      <c r="N992" s="825"/>
      <c r="O992" s="825"/>
      <c r="P992" s="825"/>
      <c r="Q992" s="825"/>
      <c r="R992" s="825"/>
      <c r="S992" s="825"/>
      <c r="T992" s="825"/>
      <c r="U992" s="825"/>
      <c r="V992" s="825"/>
      <c r="W992" s="825"/>
      <c r="X992" s="825"/>
      <c r="Y992" s="825"/>
      <c r="Z992" s="825"/>
      <c r="AA992" s="825"/>
      <c r="AB992" s="825"/>
      <c r="AC992" s="825"/>
    </row>
    <row r="993" spans="1:29" ht="15.8" customHeight="1" x14ac:dyDescent="0.3">
      <c r="A993" s="825"/>
      <c r="C993" s="825"/>
      <c r="D993" s="21"/>
      <c r="E993" s="17"/>
      <c r="F993" s="825"/>
      <c r="G993" s="825"/>
      <c r="H993" s="21"/>
      <c r="I993" s="825"/>
      <c r="J993" s="825"/>
      <c r="M993" s="825"/>
      <c r="N993" s="825"/>
      <c r="O993" s="825"/>
      <c r="P993" s="825"/>
      <c r="Q993" s="825"/>
      <c r="R993" s="825"/>
      <c r="S993" s="825"/>
      <c r="T993" s="825"/>
      <c r="U993" s="825"/>
      <c r="V993" s="825"/>
      <c r="W993" s="825"/>
      <c r="X993" s="825"/>
      <c r="Y993" s="825"/>
      <c r="Z993" s="825"/>
      <c r="AA993" s="825"/>
      <c r="AB993" s="825"/>
      <c r="AC993" s="825"/>
    </row>
    <row r="994" spans="1:29" ht="15.8" customHeight="1" x14ac:dyDescent="0.3">
      <c r="A994" s="825"/>
      <c r="C994" s="825"/>
      <c r="D994" s="21"/>
      <c r="E994" s="17"/>
      <c r="F994" s="825"/>
      <c r="G994" s="825"/>
      <c r="H994" s="21"/>
      <c r="I994" s="825"/>
      <c r="J994" s="825"/>
      <c r="M994" s="825"/>
      <c r="N994" s="825"/>
      <c r="O994" s="825"/>
      <c r="P994" s="825"/>
      <c r="Q994" s="825"/>
      <c r="R994" s="825"/>
      <c r="S994" s="825"/>
      <c r="T994" s="825"/>
      <c r="U994" s="825"/>
      <c r="V994" s="825"/>
      <c r="W994" s="825"/>
      <c r="X994" s="825"/>
      <c r="Y994" s="825"/>
      <c r="Z994" s="825"/>
      <c r="AA994" s="825"/>
      <c r="AB994" s="825"/>
      <c r="AC994" s="825"/>
    </row>
    <row r="995" spans="1:29" ht="15.8" customHeight="1" x14ac:dyDescent="0.3">
      <c r="A995" s="825"/>
      <c r="C995" s="825"/>
      <c r="D995" s="21"/>
      <c r="E995" s="17"/>
      <c r="F995" s="825"/>
      <c r="G995" s="825"/>
      <c r="H995" s="21"/>
      <c r="I995" s="825"/>
      <c r="J995" s="825"/>
      <c r="M995" s="825"/>
      <c r="N995" s="825"/>
      <c r="O995" s="825"/>
      <c r="P995" s="825"/>
      <c r="Q995" s="825"/>
      <c r="R995" s="825"/>
      <c r="S995" s="825"/>
      <c r="T995" s="825"/>
      <c r="U995" s="825"/>
      <c r="V995" s="825"/>
      <c r="W995" s="825"/>
      <c r="X995" s="825"/>
      <c r="Y995" s="825"/>
      <c r="Z995" s="825"/>
      <c r="AA995" s="825"/>
      <c r="AB995" s="825"/>
      <c r="AC995" s="825"/>
    </row>
    <row r="996" spans="1:29" ht="15.8" customHeight="1" x14ac:dyDescent="0.3">
      <c r="A996" s="825"/>
      <c r="C996" s="825"/>
      <c r="D996" s="21"/>
      <c r="E996" s="17"/>
      <c r="F996" s="825"/>
      <c r="G996" s="825"/>
      <c r="H996" s="21"/>
      <c r="I996" s="825"/>
      <c r="J996" s="825"/>
      <c r="M996" s="825"/>
      <c r="N996" s="825"/>
      <c r="O996" s="825"/>
      <c r="P996" s="825"/>
      <c r="Q996" s="825"/>
      <c r="R996" s="825"/>
      <c r="S996" s="825"/>
      <c r="T996" s="825"/>
      <c r="U996" s="825"/>
      <c r="V996" s="825"/>
      <c r="W996" s="825"/>
      <c r="X996" s="825"/>
      <c r="Y996" s="825"/>
      <c r="Z996" s="825"/>
      <c r="AA996" s="825"/>
      <c r="AB996" s="825"/>
      <c r="AC996" s="825"/>
    </row>
    <row r="997" spans="1:29" ht="15.8" customHeight="1" x14ac:dyDescent="0.3">
      <c r="A997" s="825"/>
      <c r="C997" s="825"/>
      <c r="D997" s="21"/>
      <c r="E997" s="17"/>
      <c r="F997" s="825"/>
      <c r="G997" s="825"/>
      <c r="H997" s="21"/>
      <c r="I997" s="825"/>
      <c r="J997" s="825"/>
      <c r="M997" s="825"/>
      <c r="N997" s="825"/>
      <c r="O997" s="825"/>
      <c r="P997" s="825"/>
      <c r="Q997" s="825"/>
      <c r="R997" s="825"/>
      <c r="S997" s="825"/>
      <c r="T997" s="825"/>
      <c r="U997" s="825"/>
      <c r="V997" s="825"/>
      <c r="W997" s="825"/>
      <c r="X997" s="825"/>
      <c r="Y997" s="825"/>
      <c r="Z997" s="825"/>
      <c r="AA997" s="825"/>
      <c r="AB997" s="825"/>
      <c r="AC997" s="825"/>
    </row>
    <row r="998" spans="1:29" ht="15.8" customHeight="1" x14ac:dyDescent="0.3">
      <c r="A998" s="825"/>
      <c r="C998" s="825"/>
      <c r="D998" s="21"/>
      <c r="E998" s="17"/>
      <c r="F998" s="825"/>
      <c r="G998" s="825"/>
      <c r="H998" s="21"/>
      <c r="I998" s="825"/>
      <c r="J998" s="825"/>
      <c r="M998" s="825"/>
      <c r="N998" s="825"/>
      <c r="O998" s="825"/>
      <c r="P998" s="825"/>
      <c r="Q998" s="825"/>
      <c r="R998" s="825"/>
      <c r="S998" s="825"/>
      <c r="T998" s="825"/>
      <c r="U998" s="825"/>
      <c r="V998" s="825"/>
      <c r="W998" s="825"/>
      <c r="X998" s="825"/>
      <c r="Y998" s="825"/>
      <c r="Z998" s="825"/>
      <c r="AA998" s="825"/>
      <c r="AB998" s="825"/>
      <c r="AC998" s="825"/>
    </row>
    <row r="999" spans="1:29" ht="15.8" customHeight="1" x14ac:dyDescent="0.3">
      <c r="A999" s="825"/>
      <c r="C999" s="825"/>
      <c r="D999" s="21"/>
      <c r="E999" s="17"/>
      <c r="F999" s="825"/>
      <c r="G999" s="825"/>
      <c r="H999" s="21"/>
      <c r="I999" s="825"/>
      <c r="J999" s="825"/>
      <c r="M999" s="825"/>
      <c r="N999" s="825"/>
      <c r="O999" s="825"/>
      <c r="P999" s="825"/>
      <c r="Q999" s="825"/>
      <c r="R999" s="825"/>
      <c r="S999" s="825"/>
      <c r="T999" s="825"/>
      <c r="U999" s="825"/>
      <c r="V999" s="825"/>
      <c r="W999" s="825"/>
      <c r="X999" s="825"/>
      <c r="Y999" s="825"/>
      <c r="Z999" s="825"/>
      <c r="AA999" s="825"/>
      <c r="AB999" s="825"/>
      <c r="AC999" s="825"/>
    </row>
    <row r="1000" spans="1:29" ht="15.8" customHeight="1" x14ac:dyDescent="0.3">
      <c r="A1000" s="825"/>
      <c r="C1000" s="825"/>
      <c r="D1000" s="21"/>
      <c r="E1000" s="17"/>
      <c r="F1000" s="825"/>
      <c r="G1000" s="825"/>
      <c r="H1000" s="21"/>
      <c r="I1000" s="825"/>
      <c r="J1000" s="825"/>
      <c r="M1000" s="825"/>
      <c r="N1000" s="825"/>
      <c r="O1000" s="825"/>
      <c r="P1000" s="825"/>
      <c r="Q1000" s="825"/>
      <c r="R1000" s="825"/>
      <c r="S1000" s="825"/>
      <c r="T1000" s="825"/>
      <c r="U1000" s="825"/>
      <c r="V1000" s="825"/>
      <c r="W1000" s="825"/>
      <c r="X1000" s="825"/>
      <c r="Y1000" s="825"/>
      <c r="Z1000" s="825"/>
      <c r="AA1000" s="825"/>
      <c r="AB1000" s="825"/>
      <c r="AC1000" s="825"/>
    </row>
    <row r="1001" spans="1:29" ht="15.8" customHeight="1" x14ac:dyDescent="0.3">
      <c r="A1001" s="825"/>
      <c r="C1001" s="825"/>
      <c r="D1001" s="21"/>
      <c r="E1001" s="17"/>
      <c r="F1001" s="825"/>
      <c r="G1001" s="825"/>
      <c r="H1001" s="21"/>
      <c r="I1001" s="825"/>
      <c r="J1001" s="825"/>
      <c r="M1001" s="825"/>
      <c r="N1001" s="825"/>
      <c r="O1001" s="825"/>
      <c r="P1001" s="825"/>
      <c r="Q1001" s="825"/>
      <c r="R1001" s="825"/>
      <c r="S1001" s="825"/>
      <c r="T1001" s="825"/>
      <c r="U1001" s="825"/>
      <c r="V1001" s="825"/>
      <c r="W1001" s="825"/>
      <c r="X1001" s="825"/>
      <c r="Y1001" s="825"/>
      <c r="Z1001" s="825"/>
      <c r="AA1001" s="825"/>
      <c r="AB1001" s="825"/>
      <c r="AC1001" s="825"/>
    </row>
    <row r="1002" spans="1:29" ht="15.8" customHeight="1" x14ac:dyDescent="0.3">
      <c r="A1002" s="825"/>
      <c r="C1002" s="825"/>
      <c r="D1002" s="21"/>
      <c r="E1002" s="17"/>
      <c r="F1002" s="825"/>
      <c r="G1002" s="825"/>
      <c r="H1002" s="21"/>
      <c r="I1002" s="825"/>
      <c r="J1002" s="825"/>
      <c r="M1002" s="825"/>
      <c r="N1002" s="825"/>
      <c r="O1002" s="825"/>
      <c r="P1002" s="825"/>
      <c r="Q1002" s="825"/>
      <c r="R1002" s="825"/>
      <c r="S1002" s="825"/>
      <c r="T1002" s="825"/>
      <c r="U1002" s="825"/>
      <c r="V1002" s="825"/>
      <c r="W1002" s="825"/>
      <c r="X1002" s="825"/>
      <c r="Y1002" s="825"/>
      <c r="Z1002" s="825"/>
      <c r="AA1002" s="825"/>
      <c r="AB1002" s="825"/>
      <c r="AC1002" s="825"/>
    </row>
    <row r="1003" spans="1:29" ht="15.8" customHeight="1" x14ac:dyDescent="0.3">
      <c r="A1003" s="825"/>
      <c r="C1003" s="825"/>
      <c r="D1003" s="21"/>
      <c r="E1003" s="17"/>
      <c r="F1003" s="825"/>
      <c r="G1003" s="825"/>
      <c r="H1003" s="21"/>
      <c r="I1003" s="825"/>
      <c r="J1003" s="825"/>
      <c r="M1003" s="825"/>
      <c r="N1003" s="825"/>
      <c r="O1003" s="825"/>
      <c r="P1003" s="825"/>
      <c r="Q1003" s="825"/>
      <c r="R1003" s="825"/>
      <c r="S1003" s="825"/>
      <c r="T1003" s="825"/>
      <c r="U1003" s="825"/>
      <c r="V1003" s="825"/>
      <c r="W1003" s="825"/>
      <c r="X1003" s="825"/>
      <c r="Y1003" s="825"/>
      <c r="Z1003" s="825"/>
      <c r="AA1003" s="825"/>
      <c r="AB1003" s="825"/>
      <c r="AC1003" s="825"/>
    </row>
    <row r="1004" spans="1:29" ht="15.8" customHeight="1" x14ac:dyDescent="0.3">
      <c r="A1004" s="825"/>
      <c r="C1004" s="825"/>
      <c r="D1004" s="21"/>
      <c r="E1004" s="17"/>
      <c r="F1004" s="825"/>
      <c r="G1004" s="825"/>
      <c r="H1004" s="21"/>
      <c r="I1004" s="825"/>
      <c r="J1004" s="825"/>
      <c r="M1004" s="825"/>
      <c r="N1004" s="825"/>
      <c r="O1004" s="825"/>
      <c r="P1004" s="825"/>
      <c r="Q1004" s="825"/>
      <c r="R1004" s="825"/>
      <c r="S1004" s="825"/>
      <c r="T1004" s="825"/>
      <c r="U1004" s="825"/>
      <c r="V1004" s="825"/>
      <c r="W1004" s="825"/>
      <c r="X1004" s="825"/>
      <c r="Y1004" s="825"/>
      <c r="Z1004" s="825"/>
      <c r="AA1004" s="825"/>
      <c r="AB1004" s="825"/>
      <c r="AC1004" s="825"/>
    </row>
    <row r="1005" spans="1:29" ht="15.8" customHeight="1" x14ac:dyDescent="0.3">
      <c r="A1005" s="825"/>
      <c r="C1005" s="825"/>
      <c r="D1005" s="21"/>
      <c r="E1005" s="17"/>
      <c r="F1005" s="825"/>
      <c r="G1005" s="825"/>
      <c r="H1005" s="21"/>
      <c r="I1005" s="825"/>
      <c r="J1005" s="825"/>
      <c r="M1005" s="825"/>
      <c r="N1005" s="825"/>
      <c r="O1005" s="825"/>
      <c r="P1005" s="825"/>
      <c r="Q1005" s="825"/>
      <c r="R1005" s="825"/>
      <c r="S1005" s="825"/>
      <c r="T1005" s="825"/>
      <c r="U1005" s="825"/>
      <c r="V1005" s="825"/>
      <c r="W1005" s="825"/>
      <c r="X1005" s="825"/>
      <c r="Y1005" s="825"/>
      <c r="Z1005" s="825"/>
      <c r="AA1005" s="825"/>
      <c r="AB1005" s="825"/>
      <c r="AC1005" s="825"/>
    </row>
    <row r="1006" spans="1:29" ht="15.8" customHeight="1" x14ac:dyDescent="0.3">
      <c r="A1006" s="825"/>
      <c r="C1006" s="825"/>
      <c r="D1006" s="21"/>
      <c r="E1006" s="17"/>
      <c r="F1006" s="825"/>
      <c r="G1006" s="825"/>
      <c r="H1006" s="21"/>
      <c r="I1006" s="825"/>
      <c r="J1006" s="825"/>
      <c r="M1006" s="825"/>
      <c r="N1006" s="825"/>
      <c r="O1006" s="825"/>
      <c r="P1006" s="825"/>
      <c r="Q1006" s="825"/>
      <c r="R1006" s="825"/>
      <c r="S1006" s="825"/>
      <c r="T1006" s="825"/>
      <c r="U1006" s="825"/>
      <c r="V1006" s="825"/>
      <c r="W1006" s="825"/>
      <c r="X1006" s="825"/>
      <c r="Y1006" s="825"/>
      <c r="Z1006" s="825"/>
      <c r="AA1006" s="825"/>
      <c r="AB1006" s="825"/>
      <c r="AC1006" s="825"/>
    </row>
    <row r="1007" spans="1:29" ht="15.8" customHeight="1" x14ac:dyDescent="0.3">
      <c r="A1007" s="825"/>
      <c r="C1007" s="825"/>
      <c r="D1007" s="21"/>
      <c r="E1007" s="17"/>
      <c r="F1007" s="825"/>
      <c r="G1007" s="825"/>
      <c r="H1007" s="21"/>
      <c r="I1007" s="825"/>
      <c r="J1007" s="825"/>
      <c r="M1007" s="825"/>
      <c r="N1007" s="825"/>
      <c r="O1007" s="825"/>
      <c r="P1007" s="825"/>
      <c r="Q1007" s="825"/>
      <c r="R1007" s="825"/>
      <c r="S1007" s="825"/>
      <c r="T1007" s="825"/>
      <c r="U1007" s="825"/>
      <c r="V1007" s="825"/>
      <c r="W1007" s="825"/>
      <c r="X1007" s="825"/>
      <c r="Y1007" s="825"/>
      <c r="Z1007" s="825"/>
      <c r="AA1007" s="825"/>
      <c r="AB1007" s="825"/>
      <c r="AC1007" s="825"/>
    </row>
    <row r="1008" spans="1:29" ht="15.8" customHeight="1" x14ac:dyDescent="0.3">
      <c r="A1008" s="825"/>
      <c r="C1008" s="825"/>
      <c r="D1008" s="21"/>
      <c r="E1008" s="17"/>
      <c r="F1008" s="825"/>
      <c r="G1008" s="825"/>
      <c r="H1008" s="21"/>
      <c r="I1008" s="825"/>
      <c r="J1008" s="825"/>
      <c r="M1008" s="825"/>
      <c r="N1008" s="825"/>
      <c r="O1008" s="825"/>
      <c r="P1008" s="825"/>
      <c r="Q1008" s="825"/>
      <c r="R1008" s="825"/>
      <c r="S1008" s="825"/>
      <c r="T1008" s="825"/>
      <c r="U1008" s="825"/>
      <c r="V1008" s="825"/>
      <c r="W1008" s="825"/>
      <c r="X1008" s="825"/>
      <c r="Y1008" s="825"/>
      <c r="Z1008" s="825"/>
      <c r="AA1008" s="825"/>
      <c r="AB1008" s="825"/>
      <c r="AC1008" s="825"/>
    </row>
    <row r="1009" spans="1:29" ht="15.8" customHeight="1" x14ac:dyDescent="0.3">
      <c r="A1009" s="825"/>
      <c r="C1009" s="825"/>
      <c r="D1009" s="21"/>
      <c r="E1009" s="17"/>
      <c r="F1009" s="825"/>
      <c r="G1009" s="825"/>
      <c r="H1009" s="21"/>
      <c r="I1009" s="825"/>
      <c r="J1009" s="825"/>
      <c r="M1009" s="825"/>
      <c r="N1009" s="825"/>
      <c r="O1009" s="825"/>
      <c r="P1009" s="825"/>
      <c r="Q1009" s="825"/>
      <c r="R1009" s="825"/>
      <c r="S1009" s="825"/>
      <c r="T1009" s="825"/>
      <c r="U1009" s="825"/>
      <c r="V1009" s="825"/>
      <c r="W1009" s="825"/>
      <c r="X1009" s="825"/>
      <c r="Y1009" s="825"/>
      <c r="Z1009" s="825"/>
      <c r="AA1009" s="825"/>
      <c r="AB1009" s="825"/>
      <c r="AC1009" s="825"/>
    </row>
    <row r="1010" spans="1:29" ht="15.8" customHeight="1" x14ac:dyDescent="0.3">
      <c r="A1010" s="825"/>
      <c r="C1010" s="825"/>
      <c r="D1010" s="21"/>
      <c r="E1010" s="17"/>
      <c r="F1010" s="825"/>
      <c r="G1010" s="825"/>
      <c r="H1010" s="21"/>
      <c r="I1010" s="825"/>
      <c r="J1010" s="825"/>
      <c r="M1010" s="825"/>
      <c r="N1010" s="825"/>
      <c r="O1010" s="825"/>
      <c r="P1010" s="825"/>
      <c r="Q1010" s="825"/>
      <c r="R1010" s="825"/>
      <c r="S1010" s="825"/>
      <c r="T1010" s="825"/>
      <c r="U1010" s="825"/>
      <c r="V1010" s="825"/>
      <c r="W1010" s="825"/>
      <c r="X1010" s="825"/>
      <c r="Y1010" s="825"/>
      <c r="Z1010" s="825"/>
      <c r="AA1010" s="825"/>
      <c r="AB1010" s="825"/>
      <c r="AC1010" s="825"/>
    </row>
    <row r="1011" spans="1:29" ht="15.8" customHeight="1" x14ac:dyDescent="0.3">
      <c r="A1011" s="825"/>
      <c r="C1011" s="825"/>
      <c r="D1011" s="21"/>
      <c r="E1011" s="17"/>
      <c r="F1011" s="825"/>
      <c r="G1011" s="825"/>
      <c r="H1011" s="21"/>
      <c r="I1011" s="825"/>
      <c r="J1011" s="825"/>
      <c r="M1011" s="825"/>
      <c r="N1011" s="825"/>
      <c r="O1011" s="825"/>
      <c r="P1011" s="825"/>
      <c r="Q1011" s="825"/>
      <c r="R1011" s="825"/>
      <c r="S1011" s="825"/>
      <c r="T1011" s="825"/>
      <c r="U1011" s="825"/>
      <c r="V1011" s="825"/>
      <c r="W1011" s="825"/>
      <c r="X1011" s="825"/>
      <c r="Y1011" s="825"/>
      <c r="Z1011" s="825"/>
      <c r="AA1011" s="825"/>
      <c r="AB1011" s="825"/>
      <c r="AC1011" s="825"/>
    </row>
    <row r="1012" spans="1:29" ht="15.8" customHeight="1" x14ac:dyDescent="0.3">
      <c r="A1012" s="825"/>
      <c r="C1012" s="825"/>
      <c r="D1012" s="21"/>
      <c r="E1012" s="17"/>
      <c r="F1012" s="825"/>
      <c r="G1012" s="825"/>
      <c r="H1012" s="21"/>
      <c r="I1012" s="825"/>
      <c r="J1012" s="825"/>
      <c r="M1012" s="825"/>
      <c r="N1012" s="825"/>
      <c r="O1012" s="825"/>
      <c r="P1012" s="825"/>
      <c r="Q1012" s="825"/>
      <c r="R1012" s="825"/>
      <c r="S1012" s="825"/>
      <c r="T1012" s="825"/>
      <c r="U1012" s="825"/>
      <c r="V1012" s="825"/>
      <c r="W1012" s="825"/>
      <c r="X1012" s="825"/>
      <c r="Y1012" s="825"/>
      <c r="Z1012" s="825"/>
      <c r="AA1012" s="825"/>
      <c r="AB1012" s="825"/>
      <c r="AC1012" s="825"/>
    </row>
    <row r="1013" spans="1:29" ht="15.8" customHeight="1" x14ac:dyDescent="0.3">
      <c r="A1013" s="825"/>
      <c r="C1013" s="825"/>
      <c r="D1013" s="21"/>
      <c r="E1013" s="17"/>
      <c r="F1013" s="825"/>
      <c r="G1013" s="825"/>
      <c r="H1013" s="21"/>
      <c r="I1013" s="825"/>
      <c r="J1013" s="825"/>
      <c r="M1013" s="825"/>
      <c r="N1013" s="825"/>
      <c r="O1013" s="825"/>
      <c r="P1013" s="825"/>
      <c r="Q1013" s="825"/>
      <c r="R1013" s="825"/>
      <c r="S1013" s="825"/>
      <c r="T1013" s="825"/>
      <c r="U1013" s="825"/>
      <c r="V1013" s="825"/>
      <c r="W1013" s="825"/>
      <c r="X1013" s="825"/>
      <c r="Y1013" s="825"/>
      <c r="Z1013" s="825"/>
      <c r="AA1013" s="825"/>
      <c r="AB1013" s="825"/>
      <c r="AC1013" s="825"/>
    </row>
    <row r="1014" spans="1:29" ht="15.8" customHeight="1" x14ac:dyDescent="0.3">
      <c r="A1014" s="825"/>
      <c r="C1014" s="825"/>
      <c r="D1014" s="21"/>
      <c r="E1014" s="17"/>
      <c r="F1014" s="825"/>
      <c r="G1014" s="825"/>
      <c r="H1014" s="21"/>
      <c r="I1014" s="825"/>
      <c r="J1014" s="825"/>
      <c r="M1014" s="825"/>
      <c r="N1014" s="825"/>
      <c r="O1014" s="825"/>
      <c r="P1014" s="825"/>
      <c r="Q1014" s="825"/>
      <c r="R1014" s="825"/>
      <c r="S1014" s="825"/>
      <c r="T1014" s="825"/>
      <c r="U1014" s="825"/>
      <c r="V1014" s="825"/>
      <c r="W1014" s="825"/>
      <c r="X1014" s="825"/>
      <c r="Y1014" s="825"/>
      <c r="Z1014" s="825"/>
      <c r="AA1014" s="825"/>
      <c r="AB1014" s="825"/>
      <c r="AC1014" s="825"/>
    </row>
    <row r="1015" spans="1:29" ht="15.8" customHeight="1" x14ac:dyDescent="0.3">
      <c r="A1015" s="825"/>
      <c r="C1015" s="825"/>
      <c r="D1015" s="21"/>
      <c r="E1015" s="17"/>
      <c r="F1015" s="825"/>
      <c r="G1015" s="825"/>
      <c r="H1015" s="21"/>
      <c r="I1015" s="825"/>
      <c r="J1015" s="825"/>
      <c r="M1015" s="825"/>
      <c r="N1015" s="825"/>
      <c r="O1015" s="825"/>
      <c r="P1015" s="825"/>
      <c r="Q1015" s="825"/>
      <c r="R1015" s="825"/>
      <c r="S1015" s="825"/>
      <c r="T1015" s="825"/>
      <c r="U1015" s="825"/>
      <c r="V1015" s="825"/>
      <c r="W1015" s="825"/>
      <c r="X1015" s="825"/>
      <c r="Y1015" s="825"/>
      <c r="Z1015" s="825"/>
      <c r="AA1015" s="825"/>
      <c r="AB1015" s="825"/>
      <c r="AC1015" s="825"/>
    </row>
    <row r="1016" spans="1:29" ht="15.8" customHeight="1" x14ac:dyDescent="0.3">
      <c r="A1016" s="825"/>
      <c r="C1016" s="825"/>
      <c r="D1016" s="21"/>
      <c r="E1016" s="17"/>
      <c r="F1016" s="825"/>
      <c r="G1016" s="825"/>
      <c r="H1016" s="21"/>
      <c r="I1016" s="825"/>
      <c r="J1016" s="825"/>
      <c r="M1016" s="825"/>
      <c r="N1016" s="825"/>
      <c r="O1016" s="825"/>
      <c r="P1016" s="825"/>
      <c r="Q1016" s="825"/>
      <c r="R1016" s="825"/>
      <c r="S1016" s="825"/>
      <c r="T1016" s="825"/>
      <c r="U1016" s="825"/>
      <c r="V1016" s="825"/>
      <c r="W1016" s="825"/>
      <c r="X1016" s="825"/>
      <c r="Y1016" s="825"/>
      <c r="Z1016" s="825"/>
      <c r="AA1016" s="825"/>
      <c r="AB1016" s="825"/>
      <c r="AC1016" s="825"/>
    </row>
    <row r="1017" spans="1:29" ht="15.8" customHeight="1" x14ac:dyDescent="0.3">
      <c r="A1017" s="825"/>
      <c r="C1017" s="825"/>
      <c r="D1017" s="21"/>
      <c r="E1017" s="17"/>
      <c r="F1017" s="825"/>
      <c r="G1017" s="825"/>
      <c r="H1017" s="21"/>
      <c r="I1017" s="825"/>
      <c r="J1017" s="825"/>
      <c r="M1017" s="825"/>
      <c r="N1017" s="825"/>
      <c r="O1017" s="825"/>
      <c r="P1017" s="825"/>
      <c r="Q1017" s="825"/>
      <c r="R1017" s="825"/>
      <c r="S1017" s="825"/>
      <c r="T1017" s="825"/>
      <c r="U1017" s="825"/>
      <c r="V1017" s="825"/>
      <c r="W1017" s="825"/>
      <c r="X1017" s="825"/>
      <c r="Y1017" s="825"/>
      <c r="Z1017" s="825"/>
      <c r="AA1017" s="825"/>
      <c r="AB1017" s="825"/>
      <c r="AC1017" s="825"/>
    </row>
    <row r="1018" spans="1:29" ht="15.8" customHeight="1" x14ac:dyDescent="0.3">
      <c r="A1018" s="825"/>
      <c r="C1018" s="825"/>
      <c r="D1018" s="21"/>
      <c r="E1018" s="17"/>
      <c r="F1018" s="825"/>
      <c r="G1018" s="825"/>
      <c r="H1018" s="21"/>
      <c r="I1018" s="825"/>
      <c r="J1018" s="825"/>
      <c r="M1018" s="825"/>
      <c r="N1018" s="825"/>
      <c r="O1018" s="825"/>
      <c r="P1018" s="825"/>
      <c r="Q1018" s="825"/>
      <c r="R1018" s="825"/>
      <c r="S1018" s="825"/>
      <c r="T1018" s="825"/>
      <c r="U1018" s="825"/>
      <c r="V1018" s="825"/>
      <c r="W1018" s="825"/>
      <c r="X1018" s="825"/>
      <c r="Y1018" s="825"/>
      <c r="Z1018" s="825"/>
      <c r="AA1018" s="825"/>
      <c r="AB1018" s="825"/>
      <c r="AC1018" s="825"/>
    </row>
    <row r="1019" spans="1:29" ht="15.8" customHeight="1" x14ac:dyDescent="0.3">
      <c r="A1019" s="825"/>
      <c r="C1019" s="825"/>
      <c r="D1019" s="21"/>
      <c r="E1019" s="17"/>
      <c r="F1019" s="825"/>
      <c r="G1019" s="825"/>
      <c r="H1019" s="21"/>
      <c r="I1019" s="825"/>
      <c r="J1019" s="825"/>
      <c r="M1019" s="825"/>
      <c r="N1019" s="825"/>
      <c r="O1019" s="825"/>
      <c r="P1019" s="825"/>
      <c r="Q1019" s="825"/>
      <c r="R1019" s="825"/>
      <c r="S1019" s="825"/>
      <c r="T1019" s="825"/>
      <c r="U1019" s="825"/>
      <c r="V1019" s="825"/>
      <c r="W1019" s="825"/>
      <c r="X1019" s="825"/>
      <c r="Y1019" s="825"/>
      <c r="Z1019" s="825"/>
      <c r="AA1019" s="825"/>
      <c r="AB1019" s="825"/>
      <c r="AC1019" s="825"/>
    </row>
    <row r="1020" spans="1:29" ht="15.8" customHeight="1" x14ac:dyDescent="0.3">
      <c r="A1020" s="825"/>
      <c r="C1020" s="825"/>
      <c r="D1020" s="21"/>
      <c r="E1020" s="17"/>
      <c r="F1020" s="825"/>
      <c r="G1020" s="825"/>
      <c r="H1020" s="21"/>
      <c r="I1020" s="825"/>
      <c r="J1020" s="825"/>
      <c r="M1020" s="825"/>
      <c r="N1020" s="825"/>
      <c r="O1020" s="825"/>
      <c r="P1020" s="825"/>
      <c r="Q1020" s="825"/>
      <c r="R1020" s="825"/>
      <c r="S1020" s="825"/>
      <c r="T1020" s="825"/>
      <c r="U1020" s="825"/>
      <c r="V1020" s="825"/>
      <c r="W1020" s="825"/>
      <c r="X1020" s="825"/>
      <c r="Y1020" s="825"/>
      <c r="Z1020" s="825"/>
      <c r="AA1020" s="825"/>
      <c r="AB1020" s="825"/>
      <c r="AC1020" s="825"/>
    </row>
    <row r="1021" spans="1:29" ht="15.8" customHeight="1" x14ac:dyDescent="0.3">
      <c r="A1021" s="825"/>
      <c r="C1021" s="825"/>
      <c r="D1021" s="21"/>
      <c r="E1021" s="17"/>
      <c r="F1021" s="825"/>
      <c r="G1021" s="825"/>
      <c r="H1021" s="21"/>
      <c r="I1021" s="825"/>
      <c r="J1021" s="825"/>
      <c r="M1021" s="825"/>
      <c r="N1021" s="825"/>
      <c r="O1021" s="825"/>
      <c r="P1021" s="825"/>
      <c r="Q1021" s="825"/>
      <c r="R1021" s="825"/>
      <c r="S1021" s="825"/>
      <c r="T1021" s="825"/>
      <c r="U1021" s="825"/>
      <c r="V1021" s="825"/>
      <c r="W1021" s="825"/>
      <c r="X1021" s="825"/>
      <c r="Y1021" s="825"/>
      <c r="Z1021" s="825"/>
      <c r="AA1021" s="825"/>
      <c r="AB1021" s="825"/>
      <c r="AC1021" s="825"/>
    </row>
    <row r="1022" spans="1:29" ht="15.8" customHeight="1" x14ac:dyDescent="0.3">
      <c r="A1022" s="825"/>
      <c r="C1022" s="825"/>
      <c r="D1022" s="21"/>
      <c r="E1022" s="17"/>
      <c r="F1022" s="825"/>
      <c r="G1022" s="825"/>
      <c r="H1022" s="21"/>
      <c r="I1022" s="825"/>
      <c r="J1022" s="825"/>
      <c r="M1022" s="825"/>
      <c r="N1022" s="825"/>
      <c r="O1022" s="825"/>
      <c r="P1022" s="825"/>
      <c r="Q1022" s="825"/>
      <c r="R1022" s="825"/>
      <c r="S1022" s="825"/>
      <c r="T1022" s="825"/>
      <c r="U1022" s="825"/>
      <c r="V1022" s="825"/>
      <c r="W1022" s="825"/>
      <c r="X1022" s="825"/>
      <c r="Y1022" s="825"/>
      <c r="Z1022" s="825"/>
      <c r="AA1022" s="825"/>
      <c r="AB1022" s="825"/>
      <c r="AC1022" s="825"/>
    </row>
    <row r="1023" spans="1:29" ht="15.8" customHeight="1" x14ac:dyDescent="0.3">
      <c r="A1023" s="825"/>
      <c r="C1023" s="825"/>
      <c r="D1023" s="21"/>
      <c r="E1023" s="17"/>
      <c r="F1023" s="825"/>
      <c r="G1023" s="825"/>
      <c r="H1023" s="21"/>
      <c r="I1023" s="825"/>
      <c r="J1023" s="825"/>
      <c r="M1023" s="825"/>
      <c r="N1023" s="825"/>
      <c r="O1023" s="825"/>
      <c r="P1023" s="825"/>
      <c r="Q1023" s="825"/>
      <c r="R1023" s="825"/>
      <c r="S1023" s="825"/>
      <c r="T1023" s="825"/>
      <c r="U1023" s="825"/>
      <c r="V1023" s="825"/>
      <c r="W1023" s="825"/>
      <c r="X1023" s="825"/>
      <c r="Y1023" s="825"/>
      <c r="Z1023" s="825"/>
      <c r="AA1023" s="825"/>
      <c r="AB1023" s="825"/>
      <c r="AC1023" s="825"/>
    </row>
    <row r="1024" spans="1:29" ht="15.8" customHeight="1" x14ac:dyDescent="0.3">
      <c r="A1024" s="825"/>
      <c r="C1024" s="825"/>
      <c r="D1024" s="21"/>
      <c r="E1024" s="17"/>
      <c r="F1024" s="825"/>
      <c r="G1024" s="825"/>
      <c r="H1024" s="21"/>
      <c r="I1024" s="825"/>
      <c r="J1024" s="825"/>
      <c r="M1024" s="825"/>
      <c r="N1024" s="825"/>
      <c r="O1024" s="825"/>
      <c r="P1024" s="825"/>
      <c r="Q1024" s="825"/>
      <c r="R1024" s="825"/>
      <c r="S1024" s="825"/>
      <c r="T1024" s="825"/>
      <c r="U1024" s="825"/>
      <c r="V1024" s="825"/>
      <c r="W1024" s="825"/>
      <c r="X1024" s="825"/>
      <c r="Y1024" s="825"/>
      <c r="Z1024" s="825"/>
      <c r="AA1024" s="825"/>
      <c r="AB1024" s="825"/>
      <c r="AC1024" s="825"/>
    </row>
    <row r="1025" spans="1:29" ht="15.8" customHeight="1" x14ac:dyDescent="0.3">
      <c r="A1025" s="825"/>
      <c r="C1025" s="825"/>
      <c r="D1025" s="21"/>
      <c r="E1025" s="17"/>
      <c r="F1025" s="825"/>
      <c r="G1025" s="825"/>
      <c r="H1025" s="21"/>
      <c r="I1025" s="825"/>
      <c r="J1025" s="825"/>
      <c r="M1025" s="825"/>
      <c r="N1025" s="825"/>
      <c r="O1025" s="825"/>
      <c r="P1025" s="825"/>
      <c r="Q1025" s="825"/>
      <c r="R1025" s="825"/>
      <c r="S1025" s="825"/>
      <c r="T1025" s="825"/>
      <c r="U1025" s="825"/>
      <c r="V1025" s="825"/>
      <c r="W1025" s="825"/>
      <c r="X1025" s="825"/>
      <c r="Y1025" s="825"/>
      <c r="Z1025" s="825"/>
      <c r="AA1025" s="825"/>
      <c r="AB1025" s="825"/>
      <c r="AC1025" s="825"/>
    </row>
    <row r="1026" spans="1:29" ht="15.8" customHeight="1" x14ac:dyDescent="0.3">
      <c r="A1026" s="825"/>
      <c r="C1026" s="825"/>
      <c r="D1026" s="21"/>
      <c r="E1026" s="17"/>
      <c r="F1026" s="825"/>
      <c r="G1026" s="825"/>
      <c r="H1026" s="21"/>
      <c r="I1026" s="825"/>
      <c r="J1026" s="825"/>
      <c r="M1026" s="825"/>
      <c r="N1026" s="825"/>
      <c r="O1026" s="825"/>
      <c r="P1026" s="825"/>
      <c r="Q1026" s="825"/>
      <c r="R1026" s="825"/>
      <c r="S1026" s="825"/>
      <c r="T1026" s="825"/>
      <c r="U1026" s="825"/>
      <c r="V1026" s="825"/>
      <c r="W1026" s="825"/>
      <c r="X1026" s="825"/>
      <c r="Y1026" s="825"/>
      <c r="Z1026" s="825"/>
      <c r="AA1026" s="825"/>
      <c r="AB1026" s="825"/>
      <c r="AC1026" s="825"/>
    </row>
    <row r="1027" spans="1:29" ht="15.8" customHeight="1" x14ac:dyDescent="0.3">
      <c r="A1027" s="825"/>
      <c r="C1027" s="825"/>
      <c r="D1027" s="21"/>
      <c r="E1027" s="17"/>
      <c r="F1027" s="825"/>
      <c r="G1027" s="825"/>
      <c r="H1027" s="21"/>
      <c r="I1027" s="825"/>
      <c r="J1027" s="825"/>
      <c r="M1027" s="825"/>
      <c r="N1027" s="825"/>
      <c r="O1027" s="825"/>
      <c r="P1027" s="825"/>
      <c r="Q1027" s="825"/>
      <c r="R1027" s="825"/>
      <c r="S1027" s="825"/>
      <c r="T1027" s="825"/>
      <c r="U1027" s="825"/>
      <c r="V1027" s="825"/>
      <c r="W1027" s="825"/>
      <c r="X1027" s="825"/>
      <c r="Y1027" s="825"/>
      <c r="Z1027" s="825"/>
      <c r="AA1027" s="825"/>
      <c r="AB1027" s="825"/>
      <c r="AC1027" s="825"/>
    </row>
    <row r="1028" spans="1:29" ht="15.8" customHeight="1" x14ac:dyDescent="0.3">
      <c r="A1028" s="825"/>
      <c r="C1028" s="825"/>
      <c r="D1028" s="21"/>
      <c r="E1028" s="17"/>
      <c r="F1028" s="825"/>
      <c r="G1028" s="825"/>
      <c r="H1028" s="21"/>
      <c r="I1028" s="825"/>
      <c r="J1028" s="825"/>
      <c r="M1028" s="825"/>
      <c r="N1028" s="825"/>
      <c r="O1028" s="825"/>
      <c r="P1028" s="825"/>
      <c r="Q1028" s="825"/>
      <c r="R1028" s="825"/>
      <c r="S1028" s="825"/>
      <c r="T1028" s="825"/>
      <c r="U1028" s="825"/>
      <c r="V1028" s="825"/>
      <c r="W1028" s="825"/>
      <c r="X1028" s="825"/>
      <c r="Y1028" s="825"/>
      <c r="Z1028" s="825"/>
      <c r="AA1028" s="825"/>
      <c r="AB1028" s="825"/>
      <c r="AC1028" s="825"/>
    </row>
  </sheetData>
  <mergeCells count="21">
    <mergeCell ref="H38:H39"/>
    <mergeCell ref="U7:U8"/>
    <mergeCell ref="L49:M49"/>
    <mergeCell ref="L48:M48"/>
    <mergeCell ref="I38:I39"/>
    <mergeCell ref="J38:J39"/>
    <mergeCell ref="M7:M8"/>
    <mergeCell ref="L7:L8"/>
    <mergeCell ref="V7:Y7"/>
    <mergeCell ref="AA7:AA8"/>
    <mergeCell ref="C7:C8"/>
    <mergeCell ref="D7:D8"/>
    <mergeCell ref="E7:E8"/>
    <mergeCell ref="F7:F8"/>
    <mergeCell ref="G7:G8"/>
    <mergeCell ref="H7:H8"/>
    <mergeCell ref="I7:I8"/>
    <mergeCell ref="J7:J8"/>
    <mergeCell ref="K7:K8"/>
    <mergeCell ref="N7:O7"/>
    <mergeCell ref="P7:T7"/>
  </mergeCells>
  <pageMargins left="0.7" right="0.7" top="0.75" bottom="0.75" header="0" footer="0"/>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AB1039"/>
  <sheetViews>
    <sheetView showGridLines="0" topLeftCell="F166" zoomScale="70" zoomScaleNormal="70" workbookViewId="0">
      <selection activeCell="S178" sqref="S178"/>
    </sheetView>
  </sheetViews>
  <sheetFormatPr baseColWidth="10" defaultColWidth="11.19921875" defaultRowHeight="14.95" customHeight="1" x14ac:dyDescent="0.25"/>
  <cols>
    <col min="1" max="1" width="12.19921875" style="325" hidden="1" customWidth="1"/>
    <col min="2" max="2" width="5.796875" style="287" hidden="1" customWidth="1"/>
    <col min="3" max="3" width="4.19921875" bestFit="1" customWidth="1"/>
    <col min="4" max="4" width="29.3984375" customWidth="1"/>
    <col min="5" max="5" width="62.3984375" style="195" customWidth="1"/>
    <col min="6" max="6" width="14.69921875" customWidth="1"/>
    <col min="7" max="7" width="24.8984375" customWidth="1"/>
    <col min="8" max="8" width="7" hidden="1" customWidth="1"/>
    <col min="9" max="9" width="17.69921875" customWidth="1"/>
    <col min="10" max="11" width="8.69921875" customWidth="1"/>
    <col min="12" max="12" width="12.296875" customWidth="1"/>
    <col min="13" max="13" width="61.796875" style="195" customWidth="1"/>
    <col min="14" max="14" width="14.19921875" customWidth="1"/>
    <col min="15" max="15" width="10.69921875" bestFit="1" customWidth="1"/>
    <col min="16" max="16" width="10.296875" bestFit="1" customWidth="1"/>
    <col min="17" max="18" width="9.796875" bestFit="1" customWidth="1"/>
    <col min="19" max="19" width="10" bestFit="1" customWidth="1"/>
    <col min="20" max="21" width="9.3984375" bestFit="1" customWidth="1"/>
    <col min="22" max="22" width="8.69921875" hidden="1" customWidth="1"/>
    <col min="23" max="23" width="14.09765625" customWidth="1"/>
    <col min="24" max="24" width="12.796875" customWidth="1"/>
    <col min="25" max="25" width="12.69921875" customWidth="1"/>
    <col min="26" max="26" width="10.69921875" customWidth="1"/>
    <col min="27" max="27" width="10.69921875" hidden="1" customWidth="1"/>
    <col min="28" max="28" width="10.69921875" customWidth="1"/>
  </cols>
  <sheetData>
    <row r="1" spans="1:28" s="1186" customFormat="1" ht="14.95" customHeight="1" x14ac:dyDescent="0.25">
      <c r="B1" s="287"/>
      <c r="E1" s="195"/>
      <c r="M1" s="195"/>
    </row>
    <row r="2" spans="1:28" s="1186" customFormat="1" ht="14.95" customHeight="1" x14ac:dyDescent="0.25">
      <c r="B2" s="287"/>
      <c r="E2" s="195"/>
      <c r="M2" s="195"/>
    </row>
    <row r="3" spans="1:28" s="1186" customFormat="1" ht="14.95" customHeight="1" x14ac:dyDescent="0.25">
      <c r="B3" s="287"/>
      <c r="E3" s="195"/>
      <c r="M3" s="195"/>
    </row>
    <row r="4" spans="1:28" s="1186" customFormat="1" ht="14.95" customHeight="1" x14ac:dyDescent="0.25">
      <c r="B4" s="287"/>
      <c r="E4" s="195"/>
      <c r="M4" s="195"/>
    </row>
    <row r="5" spans="1:28" ht="11.25" customHeight="1" x14ac:dyDescent="0.25">
      <c r="A5" s="825"/>
      <c r="B5" s="16"/>
      <c r="C5" s="16"/>
      <c r="D5" s="22"/>
      <c r="E5" s="262"/>
      <c r="F5" s="16"/>
      <c r="G5" s="16"/>
      <c r="H5" s="16"/>
      <c r="I5" s="16">
        <f>42+64</f>
        <v>106</v>
      </c>
      <c r="J5" s="1"/>
      <c r="K5" s="1"/>
      <c r="L5" s="1"/>
      <c r="M5" s="262"/>
      <c r="N5" s="1"/>
      <c r="O5" s="1"/>
      <c r="P5" s="1"/>
      <c r="Q5" s="1"/>
      <c r="R5" s="1"/>
      <c r="S5" s="1"/>
      <c r="T5" s="1"/>
      <c r="U5" s="1"/>
      <c r="V5" s="1"/>
      <c r="W5" s="1"/>
      <c r="X5" s="1"/>
      <c r="Y5" s="1"/>
      <c r="Z5" s="1"/>
      <c r="AA5" s="1"/>
      <c r="AB5" s="1"/>
    </row>
    <row r="6" spans="1:28" ht="13.6" customHeight="1" x14ac:dyDescent="0.25">
      <c r="A6" s="825"/>
      <c r="B6" s="16"/>
      <c r="C6" s="1469" t="s">
        <v>1169</v>
      </c>
      <c r="D6" s="1470"/>
      <c r="E6" s="262"/>
      <c r="F6" s="16"/>
      <c r="G6" s="16"/>
      <c r="H6" s="16"/>
      <c r="I6" s="16"/>
      <c r="J6" s="1"/>
      <c r="K6" s="1"/>
      <c r="L6" s="1"/>
      <c r="M6" s="262"/>
      <c r="N6" s="1"/>
      <c r="O6" s="1"/>
      <c r="P6" s="1"/>
      <c r="Q6" s="1"/>
      <c r="R6" s="1"/>
      <c r="S6" s="1"/>
      <c r="T6" s="1"/>
      <c r="U6" s="1"/>
      <c r="V6" s="1"/>
      <c r="W6" s="1"/>
      <c r="X6" s="1"/>
      <c r="Y6" s="1"/>
      <c r="Z6" s="1"/>
      <c r="AA6" s="1"/>
      <c r="AB6" s="1"/>
    </row>
    <row r="7" spans="1:28" s="243" customFormat="1" ht="13.6" customHeight="1" x14ac:dyDescent="0.25">
      <c r="A7" s="825"/>
      <c r="B7" s="16"/>
      <c r="C7" s="244"/>
      <c r="D7" s="825"/>
      <c r="E7" s="262"/>
      <c r="F7" s="16"/>
      <c r="G7" s="16"/>
      <c r="H7" s="16"/>
      <c r="I7" s="16"/>
      <c r="J7" s="1"/>
      <c r="K7" s="1"/>
      <c r="L7" s="1"/>
      <c r="M7" s="262"/>
      <c r="N7" s="1"/>
      <c r="O7" s="1"/>
      <c r="P7" s="1"/>
      <c r="Q7" s="1"/>
      <c r="R7" s="1"/>
      <c r="S7" s="1"/>
      <c r="T7" s="1"/>
      <c r="U7" s="1"/>
      <c r="V7" s="1"/>
      <c r="W7" s="1"/>
      <c r="X7" s="1"/>
      <c r="Y7" s="1"/>
      <c r="Z7" s="1"/>
      <c r="AA7" s="1"/>
      <c r="AB7" s="1"/>
    </row>
    <row r="8" spans="1:28" ht="24.8" customHeight="1" x14ac:dyDescent="0.25">
      <c r="A8" s="825"/>
      <c r="B8" s="16"/>
      <c r="C8" s="1471" t="s">
        <v>120</v>
      </c>
      <c r="D8" s="1472"/>
      <c r="E8" s="1472"/>
      <c r="F8" s="1472"/>
      <c r="G8" s="1472"/>
      <c r="H8" s="1472"/>
      <c r="I8" s="1472"/>
      <c r="J8" s="1472"/>
      <c r="K8" s="1472"/>
      <c r="L8" s="1472"/>
      <c r="M8" s="1472"/>
      <c r="N8" s="1472"/>
      <c r="O8" s="1472"/>
      <c r="P8" s="1472"/>
      <c r="Q8" s="1472"/>
      <c r="R8" s="1472"/>
      <c r="S8" s="1472"/>
      <c r="T8" s="1472"/>
      <c r="U8" s="1472"/>
      <c r="V8" s="1472"/>
      <c r="W8" s="1472"/>
      <c r="X8" s="1472"/>
      <c r="Y8" s="1472"/>
      <c r="Z8" s="1472"/>
      <c r="AA8" s="1472"/>
      <c r="AB8" s="1472"/>
    </row>
    <row r="9" spans="1:28" ht="11.25" customHeight="1" x14ac:dyDescent="0.25">
      <c r="A9" s="825"/>
      <c r="B9" s="16"/>
      <c r="C9" s="16"/>
      <c r="D9" s="22"/>
      <c r="E9" s="262"/>
      <c r="F9" s="37"/>
      <c r="G9" s="826"/>
      <c r="H9" s="826"/>
      <c r="I9" s="826"/>
      <c r="J9" s="826"/>
      <c r="K9" s="826"/>
      <c r="L9" s="826"/>
      <c r="M9" s="873"/>
      <c r="N9" s="826"/>
      <c r="O9" s="826"/>
      <c r="P9" s="826"/>
      <c r="Q9" s="826"/>
      <c r="R9" s="826"/>
      <c r="S9" s="826"/>
      <c r="T9" s="826"/>
      <c r="U9" s="826"/>
      <c r="V9" s="826"/>
      <c r="W9" s="826"/>
      <c r="X9" s="826"/>
      <c r="Y9" s="826"/>
      <c r="Z9" s="826"/>
      <c r="AA9" s="826"/>
      <c r="AB9" s="827"/>
    </row>
    <row r="10" spans="1:28" ht="18.7" customHeight="1" x14ac:dyDescent="0.25">
      <c r="A10" s="825"/>
      <c r="B10" s="16"/>
      <c r="C10" s="1459" t="s">
        <v>1170</v>
      </c>
      <c r="D10" s="1405"/>
      <c r="E10" s="1406"/>
      <c r="F10" s="816" t="s">
        <v>129</v>
      </c>
      <c r="G10" s="809"/>
      <c r="H10" s="809"/>
      <c r="I10" s="809"/>
      <c r="J10" s="809"/>
      <c r="K10" s="809"/>
      <c r="L10" s="809"/>
      <c r="M10" s="936"/>
      <c r="N10" s="809"/>
      <c r="O10" s="809"/>
      <c r="P10" s="809"/>
      <c r="Q10" s="809"/>
      <c r="R10" s="809"/>
      <c r="S10" s="809"/>
      <c r="T10" s="809"/>
      <c r="U10" s="809"/>
      <c r="V10" s="809"/>
      <c r="W10" s="809"/>
      <c r="X10" s="809"/>
      <c r="Y10" s="809"/>
      <c r="Z10" s="809"/>
      <c r="AA10" s="809"/>
      <c r="AB10" s="810"/>
    </row>
    <row r="11" spans="1:28" ht="54.7" customHeight="1" x14ac:dyDescent="0.25">
      <c r="A11" s="825"/>
      <c r="B11" s="16"/>
      <c r="C11" s="1459" t="s">
        <v>1171</v>
      </c>
      <c r="D11" s="1405"/>
      <c r="E11" s="1406"/>
      <c r="F11" s="1445" t="s">
        <v>1172</v>
      </c>
      <c r="G11" s="1446"/>
      <c r="H11" s="1446"/>
      <c r="I11" s="1446"/>
      <c r="J11" s="1446"/>
      <c r="K11" s="1446"/>
      <c r="L11" s="1446"/>
      <c r="M11" s="1446"/>
      <c r="N11" s="1446"/>
      <c r="O11" s="1446"/>
      <c r="P11" s="1446"/>
      <c r="Q11" s="1446"/>
      <c r="R11" s="1446"/>
      <c r="S11" s="1446"/>
      <c r="T11" s="1446"/>
      <c r="U11" s="1446"/>
      <c r="V11" s="1446"/>
      <c r="W11" s="1446"/>
      <c r="X11" s="1446"/>
      <c r="Y11" s="1446"/>
      <c r="Z11" s="1446"/>
      <c r="AA11" s="1446"/>
      <c r="AB11" s="1447"/>
    </row>
    <row r="12" spans="1:28" ht="19.55" customHeight="1" x14ac:dyDescent="0.25">
      <c r="A12" s="825"/>
      <c r="B12" s="16"/>
      <c r="C12" s="1459" t="s">
        <v>1173</v>
      </c>
      <c r="D12" s="1405"/>
      <c r="E12" s="1406"/>
      <c r="F12" s="1445" t="s">
        <v>1174</v>
      </c>
      <c r="G12" s="1446"/>
      <c r="H12" s="1446"/>
      <c r="I12" s="1446"/>
      <c r="J12" s="1446"/>
      <c r="K12" s="1446"/>
      <c r="L12" s="1446"/>
      <c r="M12" s="1446"/>
      <c r="N12" s="1446"/>
      <c r="O12" s="1446"/>
      <c r="P12" s="1446"/>
      <c r="Q12" s="1446"/>
      <c r="R12" s="1446"/>
      <c r="S12" s="1446"/>
      <c r="T12" s="1446"/>
      <c r="U12" s="1446"/>
      <c r="V12" s="1446"/>
      <c r="W12" s="1446"/>
      <c r="X12" s="1446"/>
      <c r="Y12" s="1446"/>
      <c r="Z12" s="1446"/>
      <c r="AA12" s="1446"/>
      <c r="AB12" s="1447"/>
    </row>
    <row r="13" spans="1:28" ht="26.35" customHeight="1" x14ac:dyDescent="0.25">
      <c r="A13" s="825"/>
      <c r="B13" s="16"/>
      <c r="C13" s="1459" t="s">
        <v>1175</v>
      </c>
      <c r="D13" s="1405"/>
      <c r="E13" s="1406"/>
      <c r="F13" s="1445" t="s">
        <v>1176</v>
      </c>
      <c r="G13" s="1446"/>
      <c r="H13" s="1446"/>
      <c r="I13" s="1446"/>
      <c r="J13" s="1446"/>
      <c r="K13" s="1446"/>
      <c r="L13" s="1446"/>
      <c r="M13" s="1446"/>
      <c r="N13" s="1446"/>
      <c r="O13" s="1446"/>
      <c r="P13" s="1446"/>
      <c r="Q13" s="1446"/>
      <c r="R13" s="1446"/>
      <c r="S13" s="1446"/>
      <c r="T13" s="1446"/>
      <c r="U13" s="1446"/>
      <c r="V13" s="1446"/>
      <c r="W13" s="1446"/>
      <c r="X13" s="1446"/>
      <c r="Y13" s="1446"/>
      <c r="Z13" s="1446"/>
      <c r="AA13" s="1446"/>
      <c r="AB13" s="1447"/>
    </row>
    <row r="14" spans="1:28" ht="43.5" customHeight="1" x14ac:dyDescent="0.25">
      <c r="A14" s="825"/>
      <c r="B14" s="16"/>
      <c r="C14" s="1459" t="s">
        <v>142</v>
      </c>
      <c r="D14" s="1405"/>
      <c r="E14" s="1406"/>
      <c r="F14" s="1445" t="s">
        <v>1177</v>
      </c>
      <c r="G14" s="1446"/>
      <c r="H14" s="1446"/>
      <c r="I14" s="1446"/>
      <c r="J14" s="1446"/>
      <c r="K14" s="1446"/>
      <c r="L14" s="1446"/>
      <c r="M14" s="1446"/>
      <c r="N14" s="1446"/>
      <c r="O14" s="1446"/>
      <c r="P14" s="1446"/>
      <c r="Q14" s="1446"/>
      <c r="R14" s="1446"/>
      <c r="S14" s="1446"/>
      <c r="T14" s="1446"/>
      <c r="U14" s="1446"/>
      <c r="V14" s="1446"/>
      <c r="W14" s="1446"/>
      <c r="X14" s="1446"/>
      <c r="Y14" s="1446"/>
      <c r="Z14" s="1446"/>
      <c r="AA14" s="1446"/>
      <c r="AB14" s="1447"/>
    </row>
    <row r="15" spans="1:28" ht="50.95" customHeight="1" x14ac:dyDescent="0.25">
      <c r="A15" s="825"/>
      <c r="B15" s="16"/>
      <c r="C15" s="1459" t="s">
        <v>1178</v>
      </c>
      <c r="D15" s="1405"/>
      <c r="E15" s="1406"/>
      <c r="F15" s="1445" t="s">
        <v>1179</v>
      </c>
      <c r="G15" s="1446"/>
      <c r="H15" s="1446"/>
      <c r="I15" s="1446"/>
      <c r="J15" s="1446"/>
      <c r="K15" s="1446"/>
      <c r="L15" s="1446"/>
      <c r="M15" s="1446"/>
      <c r="N15" s="1446"/>
      <c r="O15" s="1446"/>
      <c r="P15" s="1446"/>
      <c r="Q15" s="1446"/>
      <c r="R15" s="1446"/>
      <c r="S15" s="1446"/>
      <c r="T15" s="1446"/>
      <c r="U15" s="1446"/>
      <c r="V15" s="1446"/>
      <c r="W15" s="1446"/>
      <c r="X15" s="1446"/>
      <c r="Y15" s="1446"/>
      <c r="Z15" s="1446"/>
      <c r="AA15" s="1446"/>
      <c r="AB15" s="1447"/>
    </row>
    <row r="16" spans="1:28" ht="18" customHeight="1" x14ac:dyDescent="0.25">
      <c r="A16" s="825"/>
      <c r="B16" s="16"/>
      <c r="C16" s="1452" t="s">
        <v>964</v>
      </c>
      <c r="D16" s="1452" t="s">
        <v>965</v>
      </c>
      <c r="E16" s="1464" t="s">
        <v>468</v>
      </c>
      <c r="F16" s="1452" t="s">
        <v>470</v>
      </c>
      <c r="G16" s="1452" t="s">
        <v>966</v>
      </c>
      <c r="H16" s="1452" t="s">
        <v>967</v>
      </c>
      <c r="I16" s="1452" t="s">
        <v>1180</v>
      </c>
      <c r="J16" s="1452" t="s">
        <v>968</v>
      </c>
      <c r="K16" s="1452" t="s">
        <v>969</v>
      </c>
      <c r="L16" s="1453" t="s">
        <v>970</v>
      </c>
      <c r="M16" s="1453" t="s">
        <v>971</v>
      </c>
      <c r="N16" s="1453" t="s">
        <v>972</v>
      </c>
      <c r="O16" s="1456" t="s">
        <v>973</v>
      </c>
      <c r="P16" s="1457"/>
      <c r="Q16" s="1456" t="s">
        <v>974</v>
      </c>
      <c r="R16" s="1458"/>
      <c r="S16" s="1458"/>
      <c r="T16" s="1458"/>
      <c r="U16" s="1457"/>
      <c r="V16" s="1452" t="s">
        <v>975</v>
      </c>
      <c r="W16" s="1465" t="s">
        <v>976</v>
      </c>
      <c r="X16" s="1405"/>
      <c r="Y16" s="1405"/>
      <c r="Z16" s="1406"/>
      <c r="AA16" s="808"/>
      <c r="AB16" s="1452" t="s">
        <v>977</v>
      </c>
    </row>
    <row r="17" spans="1:28" s="667" customFormat="1" ht="72" customHeight="1" x14ac:dyDescent="0.25">
      <c r="B17" s="811"/>
      <c r="C17" s="1449"/>
      <c r="D17" s="1449"/>
      <c r="E17" s="1451"/>
      <c r="F17" s="1449"/>
      <c r="G17" s="1449"/>
      <c r="H17" s="1449"/>
      <c r="I17" s="1449"/>
      <c r="J17" s="1449"/>
      <c r="K17" s="1449"/>
      <c r="L17" s="1454"/>
      <c r="M17" s="1455"/>
      <c r="N17" s="1454"/>
      <c r="O17" s="940" t="s">
        <v>978</v>
      </c>
      <c r="P17" s="940" t="s">
        <v>979</v>
      </c>
      <c r="Q17" s="940" t="s">
        <v>980</v>
      </c>
      <c r="R17" s="940" t="s">
        <v>981</v>
      </c>
      <c r="S17" s="940" t="s">
        <v>982</v>
      </c>
      <c r="T17" s="940" t="s">
        <v>983</v>
      </c>
      <c r="U17" s="940" t="s">
        <v>984</v>
      </c>
      <c r="V17" s="1449"/>
      <c r="W17" s="808" t="s">
        <v>985</v>
      </c>
      <c r="X17" s="808" t="s">
        <v>986</v>
      </c>
      <c r="Y17" s="808" t="s">
        <v>987</v>
      </c>
      <c r="Z17" s="808" t="s">
        <v>988</v>
      </c>
      <c r="AA17" s="808" t="s">
        <v>253</v>
      </c>
      <c r="AB17" s="1449"/>
    </row>
    <row r="18" spans="1:28" s="348" customFormat="1" ht="167.95" customHeight="1" x14ac:dyDescent="0.25">
      <c r="A18" s="334" t="s">
        <v>258</v>
      </c>
      <c r="B18" s="291" t="s">
        <v>254</v>
      </c>
      <c r="C18" s="12" t="s">
        <v>1181</v>
      </c>
      <c r="D18" s="787" t="s">
        <v>170</v>
      </c>
      <c r="E18" s="373" t="s">
        <v>1182</v>
      </c>
      <c r="F18" s="297" t="s">
        <v>1183</v>
      </c>
      <c r="G18" s="13" t="str">
        <f>+'8. BASE  CONSOLIDADA'!O7</f>
        <v>DERECHOS SOBRE LA TIERRA</v>
      </c>
      <c r="H18" s="13" t="str">
        <f>+'8. BASE  CONSOLIDADA'!P7</f>
        <v>C5</v>
      </c>
      <c r="I18" s="14">
        <f>519775.687891666/10</f>
        <v>51977.568789166602</v>
      </c>
      <c r="J18" s="14">
        <f>+I18*0.5</f>
        <v>25988.784394583301</v>
      </c>
      <c r="K18" s="14">
        <f>+I18*0.5</f>
        <v>25988.784394583301</v>
      </c>
      <c r="L18" s="26">
        <v>2000</v>
      </c>
      <c r="M18" s="788" t="s">
        <v>1184</v>
      </c>
      <c r="N18" s="13" t="s">
        <v>1185</v>
      </c>
      <c r="O18" s="26">
        <f>+J18*L18</f>
        <v>51977568.7891666</v>
      </c>
      <c r="P18" s="26">
        <f>+K18*L18</f>
        <v>51977568.7891666</v>
      </c>
      <c r="Q18" s="26">
        <f>+$O$18*0.1</f>
        <v>5197756.8789166603</v>
      </c>
      <c r="R18" s="26">
        <f>+$O$18*0.15</f>
        <v>7796635.3183749896</v>
      </c>
      <c r="S18" s="26">
        <f>+$O$18*0.2</f>
        <v>10395513.757833321</v>
      </c>
      <c r="T18" s="26">
        <f>+$O$18*0.3</f>
        <v>15593270.636749979</v>
      </c>
      <c r="U18" s="26">
        <f>+$O$18*0.25</f>
        <v>12994392.19729165</v>
      </c>
      <c r="V18" s="13"/>
      <c r="W18" s="13"/>
      <c r="X18" s="13"/>
      <c r="Y18" s="13" t="s">
        <v>148</v>
      </c>
      <c r="Z18" s="13"/>
      <c r="AA18" s="13" t="str">
        <f t="shared" ref="AA18" si="0">+B18</f>
        <v>RE</v>
      </c>
      <c r="AB18" s="13">
        <v>3</v>
      </c>
    </row>
    <row r="19" spans="1:28" ht="85.6" customHeight="1" x14ac:dyDescent="0.25">
      <c r="A19" s="285" t="s">
        <v>259</v>
      </c>
      <c r="B19" s="285" t="s">
        <v>254</v>
      </c>
      <c r="C19" s="12" t="s">
        <v>1186</v>
      </c>
      <c r="D19" s="263" t="s">
        <v>154</v>
      </c>
      <c r="E19" s="263" t="s">
        <v>1187</v>
      </c>
      <c r="F19" s="179" t="s">
        <v>1188</v>
      </c>
      <c r="G19" s="13" t="str">
        <f>+'8. BASE  CONSOLIDADA'!O8</f>
        <v>ASISTENCIA TÉCNICA</v>
      </c>
      <c r="H19" s="13" t="str">
        <f>+'8. BASE  CONSOLIDADA'!P8</f>
        <v>C1</v>
      </c>
      <c r="I19" s="75">
        <v>74562</v>
      </c>
      <c r="J19" s="75">
        <f t="shared" ref="J19:J20" si="1">I19*0.3</f>
        <v>22368.6</v>
      </c>
      <c r="K19" s="75">
        <f>I19*0.4</f>
        <v>29824.800000000003</v>
      </c>
      <c r="L19" s="76">
        <v>560</v>
      </c>
      <c r="M19" s="791" t="s">
        <v>1189</v>
      </c>
      <c r="N19" s="69" t="s">
        <v>1190</v>
      </c>
      <c r="O19" s="180">
        <f t="shared" ref="O19:O30" si="2">+J19*L19</f>
        <v>12526416</v>
      </c>
      <c r="P19" s="180">
        <f t="shared" ref="P19:P30" si="3">+K19*L19</f>
        <v>16701888.000000002</v>
      </c>
      <c r="Q19" s="180">
        <f t="shared" ref="Q19:U19" si="4">+$O$19*0.2</f>
        <v>2505283.2000000002</v>
      </c>
      <c r="R19" s="180">
        <f t="shared" si="4"/>
        <v>2505283.2000000002</v>
      </c>
      <c r="S19" s="180">
        <f t="shared" si="4"/>
        <v>2505283.2000000002</v>
      </c>
      <c r="T19" s="180">
        <f t="shared" si="4"/>
        <v>2505283.2000000002</v>
      </c>
      <c r="U19" s="180">
        <f t="shared" si="4"/>
        <v>2505283.2000000002</v>
      </c>
      <c r="V19" s="26"/>
      <c r="W19" s="69"/>
      <c r="X19" s="69"/>
      <c r="Y19" s="69" t="s">
        <v>148</v>
      </c>
      <c r="Z19" s="69"/>
      <c r="AA19" s="69" t="str">
        <f>+B19</f>
        <v>RE</v>
      </c>
      <c r="AB19" s="69">
        <v>2</v>
      </c>
    </row>
    <row r="20" spans="1:28" ht="46.55" customHeight="1" x14ac:dyDescent="0.25">
      <c r="A20" s="285" t="s">
        <v>259</v>
      </c>
      <c r="B20" s="285"/>
      <c r="C20" s="12" t="s">
        <v>1191</v>
      </c>
      <c r="D20" s="375" t="s">
        <v>162</v>
      </c>
      <c r="E20" s="373" t="s">
        <v>1192</v>
      </c>
      <c r="F20" s="181" t="s">
        <v>1193</v>
      </c>
      <c r="G20" s="13" t="str">
        <f>+'8. BASE  CONSOLIDADA'!O9</f>
        <v>TECNOLOGÍA</v>
      </c>
      <c r="H20" s="13" t="str">
        <f>+'8. BASE  CONSOLIDADA'!P9</f>
        <v>C17</v>
      </c>
      <c r="I20" s="181">
        <v>155570</v>
      </c>
      <c r="J20" s="75">
        <f t="shared" si="1"/>
        <v>46671</v>
      </c>
      <c r="K20" s="75">
        <f>I20*0.3</f>
        <v>46671</v>
      </c>
      <c r="L20" s="76">
        <v>500</v>
      </c>
      <c r="M20" s="791" t="s">
        <v>1194</v>
      </c>
      <c r="N20" s="69" t="s">
        <v>1190</v>
      </c>
      <c r="O20" s="180">
        <f t="shared" si="2"/>
        <v>23335500</v>
      </c>
      <c r="P20" s="180">
        <f t="shared" si="3"/>
        <v>23335500</v>
      </c>
      <c r="Q20" s="180">
        <f>+$O$20*0.3</f>
        <v>7000650</v>
      </c>
      <c r="R20" s="180">
        <f>+$O$20*0.25</f>
        <v>5833875</v>
      </c>
      <c r="S20" s="180">
        <f>+$O$20*0.2</f>
        <v>4667100</v>
      </c>
      <c r="T20" s="180">
        <f>+$O$20*0.15</f>
        <v>3500325</v>
      </c>
      <c r="U20" s="180">
        <f>+$O$20*0.1</f>
        <v>2333550</v>
      </c>
      <c r="V20" s="13"/>
      <c r="W20" s="69"/>
      <c r="X20" s="69"/>
      <c r="Y20" s="69" t="s">
        <v>148</v>
      </c>
      <c r="Z20" s="69"/>
      <c r="AA20" s="69"/>
      <c r="AB20" s="69">
        <v>3</v>
      </c>
    </row>
    <row r="21" spans="1:28" ht="56.25" customHeight="1" x14ac:dyDescent="0.25">
      <c r="A21" s="285" t="s">
        <v>259</v>
      </c>
      <c r="B21" s="285" t="s">
        <v>254</v>
      </c>
      <c r="C21" s="12" t="s">
        <v>1195</v>
      </c>
      <c r="D21" s="263" t="s">
        <v>158</v>
      </c>
      <c r="E21" s="263" t="s">
        <v>1196</v>
      </c>
      <c r="F21" s="179" t="s">
        <v>1197</v>
      </c>
      <c r="G21" s="13" t="str">
        <f>+'8. BASE  CONSOLIDADA'!O10</f>
        <v>TECNOLOGÍA</v>
      </c>
      <c r="H21" s="13" t="str">
        <f>+'8. BASE  CONSOLIDADA'!P10</f>
        <v>C17</v>
      </c>
      <c r="I21" s="181">
        <v>155570</v>
      </c>
      <c r="J21" s="75">
        <f>+I21*0.2</f>
        <v>31114</v>
      </c>
      <c r="K21" s="75">
        <f>+I21*0.3</f>
        <v>46671</v>
      </c>
      <c r="L21" s="76">
        <v>2500</v>
      </c>
      <c r="M21" s="791" t="s">
        <v>1198</v>
      </c>
      <c r="N21" s="69" t="s">
        <v>1190</v>
      </c>
      <c r="O21" s="180">
        <f t="shared" si="2"/>
        <v>77785000</v>
      </c>
      <c r="P21" s="180">
        <f t="shared" si="3"/>
        <v>116677500</v>
      </c>
      <c r="Q21" s="180">
        <f t="shared" ref="Q21:U21" si="5">+$O$21*0.2</f>
        <v>15557000</v>
      </c>
      <c r="R21" s="180">
        <f t="shared" si="5"/>
        <v>15557000</v>
      </c>
      <c r="S21" s="180">
        <f t="shared" si="5"/>
        <v>15557000</v>
      </c>
      <c r="T21" s="180">
        <f t="shared" si="5"/>
        <v>15557000</v>
      </c>
      <c r="U21" s="180">
        <f t="shared" si="5"/>
        <v>15557000</v>
      </c>
      <c r="V21" s="13"/>
      <c r="W21" s="69"/>
      <c r="X21" s="69"/>
      <c r="Y21" s="69" t="s">
        <v>148</v>
      </c>
      <c r="Z21" s="69"/>
      <c r="AA21" s="69" t="str">
        <f t="shared" ref="AA21:AA29" si="6">+B21</f>
        <v>RE</v>
      </c>
      <c r="AB21" s="69">
        <v>3</v>
      </c>
    </row>
    <row r="22" spans="1:28" ht="57.1" customHeight="1" x14ac:dyDescent="0.25">
      <c r="A22" s="333" t="s">
        <v>260</v>
      </c>
      <c r="B22" s="284" t="s">
        <v>254</v>
      </c>
      <c r="C22" s="12" t="s">
        <v>1199</v>
      </c>
      <c r="D22" s="263" t="s">
        <v>161</v>
      </c>
      <c r="E22" s="263" t="s">
        <v>1200</v>
      </c>
      <c r="F22" s="179" t="s">
        <v>1201</v>
      </c>
      <c r="G22" s="13" t="str">
        <f>+'8. BASE  CONSOLIDADA'!O11</f>
        <v>TECNOLOGÍA</v>
      </c>
      <c r="H22" s="13" t="str">
        <f>+'8. BASE  CONSOLIDADA'!P11</f>
        <v>C17</v>
      </c>
      <c r="I22" s="181">
        <v>155570</v>
      </c>
      <c r="J22" s="75">
        <f>+I22*0.05</f>
        <v>7778.5</v>
      </c>
      <c r="K22" s="75">
        <f t="shared" ref="K22:K23" si="7">+I22*0.1</f>
        <v>15557</v>
      </c>
      <c r="L22" s="76">
        <v>11500</v>
      </c>
      <c r="M22" s="791" t="s">
        <v>1202</v>
      </c>
      <c r="N22" s="69" t="s">
        <v>1190</v>
      </c>
      <c r="O22" s="180">
        <f t="shared" si="2"/>
        <v>89452750</v>
      </c>
      <c r="P22" s="180">
        <f t="shared" si="3"/>
        <v>178905500</v>
      </c>
      <c r="Q22" s="180">
        <f t="shared" ref="Q22:U22" si="8">+$O$22*0.2</f>
        <v>17890550</v>
      </c>
      <c r="R22" s="180">
        <f t="shared" si="8"/>
        <v>17890550</v>
      </c>
      <c r="S22" s="180">
        <f t="shared" si="8"/>
        <v>17890550</v>
      </c>
      <c r="T22" s="180">
        <f t="shared" si="8"/>
        <v>17890550</v>
      </c>
      <c r="U22" s="180">
        <f t="shared" si="8"/>
        <v>17890550</v>
      </c>
      <c r="V22" s="13"/>
      <c r="W22" s="69"/>
      <c r="X22" s="69"/>
      <c r="Y22" s="69" t="s">
        <v>148</v>
      </c>
      <c r="Z22" s="69"/>
      <c r="AA22" s="69" t="str">
        <f t="shared" si="6"/>
        <v>RE</v>
      </c>
      <c r="AB22" s="69">
        <v>3</v>
      </c>
    </row>
    <row r="23" spans="1:28" ht="84.75" customHeight="1" x14ac:dyDescent="0.25">
      <c r="A23" s="333" t="s">
        <v>260</v>
      </c>
      <c r="B23" s="284" t="s">
        <v>254</v>
      </c>
      <c r="C23" s="12" t="s">
        <v>1203</v>
      </c>
      <c r="D23" s="263" t="s">
        <v>166</v>
      </c>
      <c r="E23" s="263" t="s">
        <v>1204</v>
      </c>
      <c r="F23" s="179" t="s">
        <v>1205</v>
      </c>
      <c r="G23" s="13" t="str">
        <f>+'8. BASE  CONSOLIDADA'!O12</f>
        <v>RECONVERSIÓN</v>
      </c>
      <c r="H23" s="13" t="str">
        <f>+'8. BASE  CONSOLIDADA'!P12</f>
        <v>C12</v>
      </c>
      <c r="I23" s="75">
        <f>+I22*0.2</f>
        <v>31114</v>
      </c>
      <c r="J23" s="75">
        <f>+I23*0.1</f>
        <v>3111.4</v>
      </c>
      <c r="K23" s="75">
        <f t="shared" si="7"/>
        <v>3111.4</v>
      </c>
      <c r="L23" s="76">
        <v>15000</v>
      </c>
      <c r="M23" s="791" t="s">
        <v>1206</v>
      </c>
      <c r="N23" s="69" t="s">
        <v>1207</v>
      </c>
      <c r="O23" s="180">
        <f t="shared" si="2"/>
        <v>46671000</v>
      </c>
      <c r="P23" s="180">
        <f t="shared" si="3"/>
        <v>46671000</v>
      </c>
      <c r="Q23" s="180">
        <f t="shared" ref="Q23:U23" si="9">+$O$23*0.2</f>
        <v>9334200</v>
      </c>
      <c r="R23" s="180">
        <f t="shared" si="9"/>
        <v>9334200</v>
      </c>
      <c r="S23" s="180">
        <f t="shared" si="9"/>
        <v>9334200</v>
      </c>
      <c r="T23" s="180">
        <f t="shared" si="9"/>
        <v>9334200</v>
      </c>
      <c r="U23" s="180">
        <f t="shared" si="9"/>
        <v>9334200</v>
      </c>
      <c r="V23" s="13"/>
      <c r="W23" s="69" t="s">
        <v>148</v>
      </c>
      <c r="X23" s="69"/>
      <c r="Y23" s="69"/>
      <c r="Z23" s="69"/>
      <c r="AA23" s="69" t="str">
        <f t="shared" si="6"/>
        <v>RE</v>
      </c>
      <c r="AB23" s="69">
        <v>3</v>
      </c>
    </row>
    <row r="24" spans="1:28" ht="96.8" customHeight="1" x14ac:dyDescent="0.25">
      <c r="A24" s="285" t="s">
        <v>259</v>
      </c>
      <c r="B24" s="285" t="s">
        <v>254</v>
      </c>
      <c r="C24" s="12" t="s">
        <v>1208</v>
      </c>
      <c r="D24" s="375" t="s">
        <v>164</v>
      </c>
      <c r="E24" s="375" t="s">
        <v>1209</v>
      </c>
      <c r="F24" s="179" t="s">
        <v>1210</v>
      </c>
      <c r="G24" s="13" t="str">
        <f>+'8. BASE  CONSOLIDADA'!O13</f>
        <v>CAPACITACIÓN</v>
      </c>
      <c r="H24" s="13" t="str">
        <f>+'8. BASE  CONSOLIDADA'!P13</f>
        <v>C3</v>
      </c>
      <c r="I24" s="181">
        <f>+I19</f>
        <v>74562</v>
      </c>
      <c r="J24" s="75">
        <f>+I24*0.25</f>
        <v>18640.5</v>
      </c>
      <c r="K24" s="75">
        <f>+I24*0.35</f>
        <v>26096.699999999997</v>
      </c>
      <c r="L24" s="76">
        <f>3*4300</f>
        <v>12900</v>
      </c>
      <c r="M24" s="791" t="s">
        <v>1211</v>
      </c>
      <c r="N24" s="69" t="s">
        <v>1212</v>
      </c>
      <c r="O24" s="180">
        <f t="shared" si="2"/>
        <v>240462450</v>
      </c>
      <c r="P24" s="180">
        <f t="shared" si="3"/>
        <v>336647429.99999994</v>
      </c>
      <c r="Q24" s="180">
        <f t="shared" ref="Q24:U24" si="10">+$O$24*0.2</f>
        <v>48092490</v>
      </c>
      <c r="R24" s="180">
        <f t="shared" si="10"/>
        <v>48092490</v>
      </c>
      <c r="S24" s="180">
        <f t="shared" si="10"/>
        <v>48092490</v>
      </c>
      <c r="T24" s="180">
        <f t="shared" si="10"/>
        <v>48092490</v>
      </c>
      <c r="U24" s="180">
        <f t="shared" si="10"/>
        <v>48092490</v>
      </c>
      <c r="V24" s="13"/>
      <c r="W24" s="69"/>
      <c r="X24" s="69"/>
      <c r="Y24" s="69" t="s">
        <v>148</v>
      </c>
      <c r="Z24" s="69"/>
      <c r="AA24" s="69" t="str">
        <f t="shared" si="6"/>
        <v>RE</v>
      </c>
      <c r="AB24" s="69">
        <v>2</v>
      </c>
    </row>
    <row r="25" spans="1:28" ht="39.1" customHeight="1" x14ac:dyDescent="0.25">
      <c r="A25" s="285" t="s">
        <v>259</v>
      </c>
      <c r="B25" s="285" t="s">
        <v>254</v>
      </c>
      <c r="C25" s="12" t="s">
        <v>1213</v>
      </c>
      <c r="D25" s="263" t="s">
        <v>155</v>
      </c>
      <c r="E25" s="263" t="s">
        <v>1214</v>
      </c>
      <c r="F25" s="179" t="s">
        <v>1215</v>
      </c>
      <c r="G25" s="13" t="str">
        <f>+'8. BASE  CONSOLIDADA'!O14</f>
        <v>ASISTENCIA TÉCNICA</v>
      </c>
      <c r="H25" s="13" t="str">
        <f>+'8. BASE  CONSOLIDADA'!P14</f>
        <v>C1</v>
      </c>
      <c r="I25" s="179">
        <v>668</v>
      </c>
      <c r="J25" s="69">
        <f>+(I25*0.2)+I25</f>
        <v>801.6</v>
      </c>
      <c r="K25" s="69">
        <f>+(I25*0.4)+I25</f>
        <v>935.2</v>
      </c>
      <c r="L25" s="76">
        <v>560</v>
      </c>
      <c r="M25" s="791" t="s">
        <v>1216</v>
      </c>
      <c r="N25" s="69" t="s">
        <v>1038</v>
      </c>
      <c r="O25" s="180">
        <f t="shared" si="2"/>
        <v>448896</v>
      </c>
      <c r="P25" s="180">
        <f t="shared" si="3"/>
        <v>523712</v>
      </c>
      <c r="Q25" s="180">
        <f t="shared" ref="Q25:U25" si="11">+$O$25*0.2</f>
        <v>89779.200000000012</v>
      </c>
      <c r="R25" s="180">
        <f t="shared" si="11"/>
        <v>89779.200000000012</v>
      </c>
      <c r="S25" s="180">
        <f t="shared" si="11"/>
        <v>89779.200000000012</v>
      </c>
      <c r="T25" s="180">
        <f t="shared" si="11"/>
        <v>89779.200000000012</v>
      </c>
      <c r="U25" s="180">
        <f t="shared" si="11"/>
        <v>89779.200000000012</v>
      </c>
      <c r="V25" s="13"/>
      <c r="W25" s="69"/>
      <c r="X25" s="69"/>
      <c r="Y25" s="69" t="s">
        <v>148</v>
      </c>
      <c r="Z25" s="69"/>
      <c r="AA25" s="69" t="str">
        <f t="shared" si="6"/>
        <v>RE</v>
      </c>
      <c r="AB25" s="69">
        <v>3</v>
      </c>
    </row>
    <row r="26" spans="1:28" ht="74.25" customHeight="1" x14ac:dyDescent="0.25">
      <c r="A26" s="295" t="s">
        <v>257</v>
      </c>
      <c r="B26" s="288" t="s">
        <v>254</v>
      </c>
      <c r="C26" s="12" t="s">
        <v>1217</v>
      </c>
      <c r="D26" s="263" t="s">
        <v>160</v>
      </c>
      <c r="E26" s="263" t="s">
        <v>1218</v>
      </c>
      <c r="F26" s="179" t="s">
        <v>1219</v>
      </c>
      <c r="G26" s="13" t="str">
        <f>+'8. BASE  CONSOLIDADA'!O15</f>
        <v>FINANCIAMIENTO</v>
      </c>
      <c r="H26" s="13" t="str">
        <f>+'8. BASE  CONSOLIDADA'!P15</f>
        <v>C6</v>
      </c>
      <c r="I26" s="179">
        <v>668</v>
      </c>
      <c r="J26" s="69">
        <f t="shared" ref="J26:K26" si="12">+J25</f>
        <v>801.6</v>
      </c>
      <c r="K26" s="69">
        <f t="shared" si="12"/>
        <v>935.2</v>
      </c>
      <c r="L26" s="76">
        <f>3*4300</f>
        <v>12900</v>
      </c>
      <c r="M26" s="788" t="s">
        <v>1220</v>
      </c>
      <c r="N26" s="13" t="s">
        <v>1038</v>
      </c>
      <c r="O26" s="180">
        <f t="shared" si="2"/>
        <v>10340640</v>
      </c>
      <c r="P26" s="180">
        <f t="shared" si="3"/>
        <v>12064080</v>
      </c>
      <c r="Q26" s="180">
        <f t="shared" ref="Q26:R26" si="13">+$O$26*0.25</f>
        <v>2585160</v>
      </c>
      <c r="R26" s="180">
        <f t="shared" si="13"/>
        <v>2585160</v>
      </c>
      <c r="S26" s="180">
        <f>+$O$26*0.2</f>
        <v>2068128</v>
      </c>
      <c r="T26" s="180">
        <f t="shared" ref="T26:U26" si="14">+$O$26*0.15</f>
        <v>1551096</v>
      </c>
      <c r="U26" s="180">
        <f t="shared" si="14"/>
        <v>1551096</v>
      </c>
      <c r="V26" s="13"/>
      <c r="W26" s="69" t="s">
        <v>148</v>
      </c>
      <c r="X26" s="69"/>
      <c r="Y26" s="69"/>
      <c r="Z26" s="69"/>
      <c r="AA26" s="69" t="str">
        <f t="shared" si="6"/>
        <v>RE</v>
      </c>
      <c r="AB26" s="69">
        <v>3</v>
      </c>
    </row>
    <row r="27" spans="1:28" ht="102.75" customHeight="1" x14ac:dyDescent="0.25">
      <c r="A27" s="295" t="s">
        <v>257</v>
      </c>
      <c r="B27" s="288" t="s">
        <v>254</v>
      </c>
      <c r="C27" s="12" t="s">
        <v>1221</v>
      </c>
      <c r="D27" s="375" t="s">
        <v>163</v>
      </c>
      <c r="E27" s="812" t="s">
        <v>1222</v>
      </c>
      <c r="F27" s="69" t="s">
        <v>1219</v>
      </c>
      <c r="G27" s="13" t="str">
        <f>+'8. BASE  CONSOLIDADA'!O16</f>
        <v>FINANCIAMIENTO</v>
      </c>
      <c r="H27" s="13" t="str">
        <f>+'8. BASE  CONSOLIDADA'!P16</f>
        <v>C6</v>
      </c>
      <c r="I27" s="75">
        <f>+I19</f>
        <v>74562</v>
      </c>
      <c r="J27" s="75">
        <f>+I27*0.3</f>
        <v>22368.6</v>
      </c>
      <c r="K27" s="75">
        <f>+I27*0.2</f>
        <v>14912.400000000001</v>
      </c>
      <c r="L27" s="76">
        <f>4300*2.5</f>
        <v>10750</v>
      </c>
      <c r="M27" s="791" t="s">
        <v>1223</v>
      </c>
      <c r="N27" s="69" t="s">
        <v>1224</v>
      </c>
      <c r="O27" s="180">
        <f t="shared" si="2"/>
        <v>240462449.99999997</v>
      </c>
      <c r="P27" s="180">
        <f t="shared" si="3"/>
        <v>160308300.00000003</v>
      </c>
      <c r="Q27" s="180">
        <f t="shared" ref="Q27:U27" si="15">+$O$27*0.2</f>
        <v>48092490</v>
      </c>
      <c r="R27" s="180">
        <f t="shared" si="15"/>
        <v>48092490</v>
      </c>
      <c r="S27" s="180">
        <f t="shared" si="15"/>
        <v>48092490</v>
      </c>
      <c r="T27" s="180">
        <f t="shared" si="15"/>
        <v>48092490</v>
      </c>
      <c r="U27" s="180">
        <f t="shared" si="15"/>
        <v>48092490</v>
      </c>
      <c r="V27" s="13"/>
      <c r="W27" s="69" t="s">
        <v>148</v>
      </c>
      <c r="X27" s="69"/>
      <c r="Y27" s="69"/>
      <c r="Z27" s="69"/>
      <c r="AA27" s="69" t="str">
        <f t="shared" si="6"/>
        <v>RE</v>
      </c>
      <c r="AB27" s="69">
        <v>3</v>
      </c>
    </row>
    <row r="28" spans="1:28" ht="95.95" customHeight="1" x14ac:dyDescent="0.25">
      <c r="A28" s="333" t="s">
        <v>260</v>
      </c>
      <c r="B28" s="284" t="s">
        <v>254</v>
      </c>
      <c r="C28" s="12" t="s">
        <v>1225</v>
      </c>
      <c r="D28" s="373" t="s">
        <v>167</v>
      </c>
      <c r="E28" s="373" t="s">
        <v>1226</v>
      </c>
      <c r="F28" s="415" t="s">
        <v>1227</v>
      </c>
      <c r="G28" s="13" t="str">
        <f>+'8. BASE  CONSOLIDADA'!O17</f>
        <v>INFRAESTRUCTURA</v>
      </c>
      <c r="H28" s="13" t="str">
        <f>+'8. BASE  CONSOLIDADA'!P17</f>
        <v>C7</v>
      </c>
      <c r="I28" s="69">
        <v>48</v>
      </c>
      <c r="J28" s="182">
        <f>+I28*0.2</f>
        <v>9.6000000000000014</v>
      </c>
      <c r="K28" s="182">
        <f t="shared" ref="K28:K29" si="16">+I28*0.3</f>
        <v>14.399999999999999</v>
      </c>
      <c r="L28" s="76">
        <v>800000</v>
      </c>
      <c r="M28" s="791" t="s">
        <v>1228</v>
      </c>
      <c r="N28" s="69" t="s">
        <v>1229</v>
      </c>
      <c r="O28" s="180">
        <f t="shared" si="2"/>
        <v>7680000.0000000009</v>
      </c>
      <c r="P28" s="180">
        <f t="shared" si="3"/>
        <v>11519999.999999998</v>
      </c>
      <c r="Q28" s="180">
        <f t="shared" ref="Q28:R28" si="17">+$O$28*0.1</f>
        <v>768000.00000000012</v>
      </c>
      <c r="R28" s="180">
        <f t="shared" si="17"/>
        <v>768000.00000000012</v>
      </c>
      <c r="S28" s="180">
        <f t="shared" ref="S28:T28" si="18">+$O$28*0.25</f>
        <v>1920000.0000000002</v>
      </c>
      <c r="T28" s="180">
        <f t="shared" si="18"/>
        <v>1920000.0000000002</v>
      </c>
      <c r="U28" s="180">
        <f>+$O$28*0.3</f>
        <v>2304000</v>
      </c>
      <c r="V28" s="13"/>
      <c r="W28" s="69" t="s">
        <v>148</v>
      </c>
      <c r="X28" s="69"/>
      <c r="Y28" s="69"/>
      <c r="Z28" s="69"/>
      <c r="AA28" s="69" t="str">
        <f t="shared" si="6"/>
        <v>RE</v>
      </c>
      <c r="AB28" s="69">
        <v>3</v>
      </c>
    </row>
    <row r="29" spans="1:28" ht="66.099999999999994" customHeight="1" x14ac:dyDescent="0.25">
      <c r="A29" s="333" t="s">
        <v>260</v>
      </c>
      <c r="B29" s="284" t="s">
        <v>254</v>
      </c>
      <c r="C29" s="12" t="s">
        <v>1230</v>
      </c>
      <c r="D29" s="263" t="s">
        <v>159</v>
      </c>
      <c r="E29" s="263" t="s">
        <v>1231</v>
      </c>
      <c r="F29" s="69" t="s">
        <v>1040</v>
      </c>
      <c r="G29" s="13" t="str">
        <f>+'8. BASE  CONSOLIDADA'!O18</f>
        <v>CAPACITACIÓN</v>
      </c>
      <c r="H29" s="13" t="str">
        <f>+'8. BASE  CONSOLIDADA'!P18</f>
        <v>C3</v>
      </c>
      <c r="I29" s="69">
        <v>48</v>
      </c>
      <c r="J29" s="182">
        <f>+I29*0.6</f>
        <v>28.799999999999997</v>
      </c>
      <c r="K29" s="182">
        <f t="shared" si="16"/>
        <v>14.399999999999999</v>
      </c>
      <c r="L29" s="76">
        <v>50000</v>
      </c>
      <c r="M29" s="791" t="s">
        <v>1232</v>
      </c>
      <c r="N29" s="69" t="s">
        <v>1038</v>
      </c>
      <c r="O29" s="180">
        <f t="shared" si="2"/>
        <v>1439999.9999999998</v>
      </c>
      <c r="P29" s="180">
        <f t="shared" si="3"/>
        <v>719999.99999999988</v>
      </c>
      <c r="Q29" s="180">
        <f t="shared" ref="Q29:U29" si="19">+$O$29*0.2</f>
        <v>287999.99999999994</v>
      </c>
      <c r="R29" s="180">
        <f t="shared" si="19"/>
        <v>287999.99999999994</v>
      </c>
      <c r="S29" s="180">
        <f t="shared" si="19"/>
        <v>287999.99999999994</v>
      </c>
      <c r="T29" s="180">
        <f t="shared" si="19"/>
        <v>287999.99999999994</v>
      </c>
      <c r="U29" s="180">
        <f t="shared" si="19"/>
        <v>287999.99999999994</v>
      </c>
      <c r="V29" s="13"/>
      <c r="W29" s="69"/>
      <c r="X29" s="69"/>
      <c r="Y29" s="69" t="s">
        <v>148</v>
      </c>
      <c r="Z29" s="69"/>
      <c r="AA29" s="69" t="str">
        <f t="shared" si="6"/>
        <v>RE</v>
      </c>
      <c r="AB29" s="69">
        <v>2</v>
      </c>
    </row>
    <row r="30" spans="1:28" ht="104.95" customHeight="1" x14ac:dyDescent="0.25">
      <c r="A30" s="285" t="s">
        <v>259</v>
      </c>
      <c r="B30" s="285"/>
      <c r="C30" s="12" t="s">
        <v>1233</v>
      </c>
      <c r="D30" s="375" t="s">
        <v>165</v>
      </c>
      <c r="E30" s="375" t="s">
        <v>1234</v>
      </c>
      <c r="F30" s="13" t="s">
        <v>1235</v>
      </c>
      <c r="G30" s="13" t="str">
        <f>+'8. BASE  CONSOLIDADA'!O19</f>
        <v>ASOCIATIVIDAD</v>
      </c>
      <c r="H30" s="13" t="str">
        <f>+'8. BASE  CONSOLIDADA'!P19</f>
        <v>C2</v>
      </c>
      <c r="I30" s="69">
        <v>48</v>
      </c>
      <c r="J30" s="182">
        <f>+I30*0.2</f>
        <v>9.6000000000000014</v>
      </c>
      <c r="K30" s="182">
        <f>+I30*0.25</f>
        <v>12</v>
      </c>
      <c r="L30" s="26">
        <v>120000</v>
      </c>
      <c r="M30" s="788" t="s">
        <v>1236</v>
      </c>
      <c r="N30" s="13" t="s">
        <v>1237</v>
      </c>
      <c r="O30" s="180">
        <f t="shared" si="2"/>
        <v>1152000.0000000002</v>
      </c>
      <c r="P30" s="180">
        <f t="shared" si="3"/>
        <v>1440000</v>
      </c>
      <c r="Q30" s="180">
        <f t="shared" ref="Q30:U30" si="20">+$O$30*0.2</f>
        <v>230400.00000000006</v>
      </c>
      <c r="R30" s="180">
        <f t="shared" si="20"/>
        <v>230400.00000000006</v>
      </c>
      <c r="S30" s="180">
        <f t="shared" si="20"/>
        <v>230400.00000000006</v>
      </c>
      <c r="T30" s="180">
        <f t="shared" si="20"/>
        <v>230400.00000000006</v>
      </c>
      <c r="U30" s="180">
        <f t="shared" si="20"/>
        <v>230400.00000000006</v>
      </c>
      <c r="V30" s="13"/>
      <c r="W30" s="69"/>
      <c r="X30" s="69"/>
      <c r="Y30" s="69" t="s">
        <v>148</v>
      </c>
      <c r="Z30" s="69"/>
      <c r="AA30" s="69"/>
      <c r="AB30" s="69">
        <v>3</v>
      </c>
    </row>
    <row r="31" spans="1:28" ht="70.5" customHeight="1" x14ac:dyDescent="0.25">
      <c r="A31" s="333" t="s">
        <v>260</v>
      </c>
      <c r="B31" s="284"/>
      <c r="C31" s="12" t="s">
        <v>1238</v>
      </c>
      <c r="D31" s="373" t="s">
        <v>156</v>
      </c>
      <c r="E31" s="373" t="s">
        <v>1239</v>
      </c>
      <c r="F31" s="13" t="s">
        <v>1240</v>
      </c>
      <c r="G31" s="13" t="str">
        <f>+'8. BASE  CONSOLIDADA'!O20</f>
        <v>MERCADO</v>
      </c>
      <c r="H31" s="13" t="str">
        <f>+'8. BASE  CONSOLIDADA'!P20</f>
        <v>C9</v>
      </c>
      <c r="I31" s="14">
        <v>48</v>
      </c>
      <c r="J31" s="14">
        <f>+I31*0.4</f>
        <v>19.200000000000003</v>
      </c>
      <c r="K31" s="14">
        <f>+I31*0.4</f>
        <v>19.200000000000003</v>
      </c>
      <c r="L31" s="26">
        <v>40000</v>
      </c>
      <c r="M31" s="788" t="s">
        <v>1241</v>
      </c>
      <c r="N31" s="13" t="s">
        <v>1242</v>
      </c>
      <c r="O31" s="28">
        <f>+J31*L31*5</f>
        <v>3840000.0000000005</v>
      </c>
      <c r="P31" s="28">
        <f>+K31*L31*5</f>
        <v>3840000.0000000005</v>
      </c>
      <c r="Q31" s="28">
        <f t="shared" ref="Q31:U31" si="21">+$O$31*0.2</f>
        <v>768000.00000000012</v>
      </c>
      <c r="R31" s="28">
        <f t="shared" si="21"/>
        <v>768000.00000000012</v>
      </c>
      <c r="S31" s="28">
        <f t="shared" si="21"/>
        <v>768000.00000000012</v>
      </c>
      <c r="T31" s="28">
        <f t="shared" si="21"/>
        <v>768000.00000000012</v>
      </c>
      <c r="U31" s="28">
        <f t="shared" si="21"/>
        <v>768000.00000000012</v>
      </c>
      <c r="V31" s="13"/>
      <c r="W31" s="69"/>
      <c r="X31" s="69"/>
      <c r="Y31" s="69" t="s">
        <v>148</v>
      </c>
      <c r="Z31" s="69"/>
      <c r="AA31" s="69"/>
      <c r="AB31" s="69">
        <v>3</v>
      </c>
    </row>
    <row r="32" spans="1:28" ht="86.3" customHeight="1" x14ac:dyDescent="0.25">
      <c r="A32" s="293" t="s">
        <v>256</v>
      </c>
      <c r="B32" s="286"/>
      <c r="C32" s="12" t="s">
        <v>1243</v>
      </c>
      <c r="D32" s="375" t="s">
        <v>168</v>
      </c>
      <c r="E32" s="375" t="s">
        <v>1244</v>
      </c>
      <c r="F32" s="13" t="s">
        <v>1245</v>
      </c>
      <c r="G32" s="13" t="str">
        <f>+'8. BASE  CONSOLIDADA'!O21</f>
        <v>SERVICIOS ECOSISTÉMICOS</v>
      </c>
      <c r="H32" s="13" t="str">
        <f>+'8. BASE  CONSOLIDADA'!P21</f>
        <v>C15</v>
      </c>
      <c r="I32" s="14"/>
      <c r="J32" s="14">
        <f t="shared" ref="J32:K32" si="22">(5*7)*5</f>
        <v>175</v>
      </c>
      <c r="K32" s="14">
        <f t="shared" si="22"/>
        <v>175</v>
      </c>
      <c r="L32" s="26">
        <v>10000</v>
      </c>
      <c r="M32" s="788" t="s">
        <v>1246</v>
      </c>
      <c r="N32" s="13" t="s">
        <v>1247</v>
      </c>
      <c r="O32" s="28">
        <f>+J32*L32</f>
        <v>1750000</v>
      </c>
      <c r="P32" s="28">
        <f>+K32*L32</f>
        <v>1750000</v>
      </c>
      <c r="Q32" s="28">
        <f t="shared" ref="Q32:U32" si="23">+$O$32*0.2</f>
        <v>350000</v>
      </c>
      <c r="R32" s="28">
        <f t="shared" si="23"/>
        <v>350000</v>
      </c>
      <c r="S32" s="28">
        <f t="shared" si="23"/>
        <v>350000</v>
      </c>
      <c r="T32" s="28">
        <f t="shared" si="23"/>
        <v>350000</v>
      </c>
      <c r="U32" s="28">
        <f t="shared" si="23"/>
        <v>350000</v>
      </c>
      <c r="V32" s="13"/>
      <c r="W32" s="13" t="s">
        <v>148</v>
      </c>
      <c r="X32" s="13"/>
      <c r="Y32" s="13"/>
      <c r="Z32" s="13"/>
      <c r="AA32" s="69"/>
      <c r="AB32" s="13">
        <v>2</v>
      </c>
    </row>
    <row r="33" spans="1:28" ht="21.1" customHeight="1" x14ac:dyDescent="0.25">
      <c r="A33" s="825"/>
      <c r="B33" s="16"/>
      <c r="C33" s="16"/>
      <c r="D33" s="22"/>
      <c r="E33" s="262"/>
      <c r="F33" s="16"/>
      <c r="G33" s="16"/>
      <c r="H33" s="16"/>
      <c r="I33" s="16"/>
      <c r="J33" s="1"/>
      <c r="K33" s="1"/>
      <c r="L33" s="1"/>
      <c r="M33" s="262"/>
      <c r="N33" s="1"/>
      <c r="O33" s="29">
        <f>SUM(O18:O32)</f>
        <v>809324670.78916657</v>
      </c>
      <c r="P33" s="29">
        <f t="shared" ref="P33:U33" si="24">SUM(P18:P32)</f>
        <v>963082478.78916645</v>
      </c>
      <c r="Q33" s="29">
        <f t="shared" si="24"/>
        <v>158749759.27891666</v>
      </c>
      <c r="R33" s="29">
        <f t="shared" si="24"/>
        <v>160181862.718375</v>
      </c>
      <c r="S33" s="29">
        <f t="shared" si="24"/>
        <v>162248934.15783334</v>
      </c>
      <c r="T33" s="29">
        <f t="shared" si="24"/>
        <v>165762884.03674996</v>
      </c>
      <c r="U33" s="29">
        <f t="shared" si="24"/>
        <v>162381230.59729165</v>
      </c>
      <c r="V33" s="1"/>
      <c r="W33" s="1"/>
      <c r="X33" s="1"/>
      <c r="Y33" s="1"/>
      <c r="Z33" s="1"/>
      <c r="AA33" s="1"/>
      <c r="AB33" s="1"/>
    </row>
    <row r="34" spans="1:28" ht="11.25" customHeight="1" x14ac:dyDescent="0.25">
      <c r="A34" s="825"/>
      <c r="B34" s="16"/>
      <c r="C34" s="16"/>
      <c r="D34" s="366"/>
      <c r="E34" s="264"/>
      <c r="F34" s="366"/>
      <c r="G34" s="366"/>
      <c r="H34" s="366"/>
      <c r="I34" s="366"/>
      <c r="J34" s="366"/>
      <c r="K34" s="366"/>
      <c r="L34" s="366"/>
      <c r="M34" s="264"/>
      <c r="N34" s="366"/>
      <c r="O34" s="366"/>
      <c r="P34" s="366"/>
      <c r="Q34" s="366"/>
      <c r="R34" s="366"/>
      <c r="S34" s="366"/>
      <c r="T34" s="366"/>
      <c r="U34" s="366"/>
      <c r="V34" s="366"/>
      <c r="W34" s="1"/>
      <c r="X34" s="1"/>
      <c r="Y34" s="1"/>
      <c r="Z34" s="1"/>
      <c r="AA34" s="1"/>
      <c r="AB34" s="1"/>
    </row>
    <row r="35" spans="1:28" ht="11.25" customHeight="1" x14ac:dyDescent="0.25">
      <c r="A35" s="825"/>
      <c r="B35" s="16"/>
      <c r="C35" s="16"/>
      <c r="D35" s="366"/>
      <c r="E35" s="264"/>
      <c r="F35" s="366"/>
      <c r="G35" s="366"/>
      <c r="H35" s="366"/>
      <c r="I35" s="366"/>
      <c r="J35" s="366"/>
      <c r="K35" s="366"/>
      <c r="L35" s="366"/>
      <c r="M35" s="264"/>
      <c r="N35" s="366"/>
      <c r="O35" s="366"/>
      <c r="P35" s="366"/>
      <c r="Q35" s="366"/>
      <c r="R35" s="366"/>
      <c r="S35" s="366"/>
      <c r="T35" s="366"/>
      <c r="U35" s="366"/>
      <c r="V35" s="366"/>
      <c r="W35" s="1"/>
      <c r="X35" s="1"/>
      <c r="Y35" s="1"/>
      <c r="Z35" s="1"/>
      <c r="AA35" s="1"/>
      <c r="AB35" s="1"/>
    </row>
    <row r="36" spans="1:28" ht="11.25" customHeight="1" x14ac:dyDescent="0.25">
      <c r="A36" s="825"/>
      <c r="B36" s="16"/>
      <c r="C36" s="16"/>
      <c r="D36" s="366"/>
      <c r="E36" s="264"/>
      <c r="F36" s="366"/>
      <c r="G36" s="366"/>
      <c r="H36" s="366"/>
      <c r="I36" s="366"/>
      <c r="J36" s="366"/>
      <c r="K36" s="366"/>
      <c r="L36" s="366"/>
      <c r="M36" s="264"/>
      <c r="N36" s="366"/>
      <c r="O36" s="366"/>
      <c r="P36" s="366"/>
      <c r="Q36" s="366"/>
      <c r="R36" s="366"/>
      <c r="S36" s="366"/>
      <c r="T36" s="366"/>
      <c r="U36" s="366"/>
      <c r="V36" s="366"/>
      <c r="W36" s="1"/>
      <c r="X36" s="1"/>
      <c r="Y36" s="1"/>
      <c r="Z36" s="1"/>
      <c r="AA36" s="1"/>
      <c r="AB36" s="1"/>
    </row>
    <row r="37" spans="1:28" ht="15.8" customHeight="1" x14ac:dyDescent="0.25">
      <c r="A37" s="825"/>
      <c r="B37" s="16"/>
      <c r="C37" s="1459" t="s">
        <v>1170</v>
      </c>
      <c r="D37" s="1405"/>
      <c r="E37" s="1406"/>
      <c r="F37" s="816" t="s">
        <v>125</v>
      </c>
      <c r="G37" s="809"/>
      <c r="H37" s="809"/>
      <c r="I37" s="809"/>
      <c r="J37" s="809"/>
      <c r="K37" s="809"/>
      <c r="L37" s="809"/>
      <c r="M37" s="936"/>
      <c r="N37" s="809"/>
      <c r="O37" s="809"/>
      <c r="P37" s="809"/>
      <c r="Q37" s="809"/>
      <c r="R37" s="809"/>
      <c r="S37" s="809"/>
      <c r="T37" s="809"/>
      <c r="U37" s="809"/>
      <c r="V37" s="809"/>
      <c r="W37" s="809"/>
      <c r="X37" s="809"/>
      <c r="Y37" s="809"/>
      <c r="Z37" s="809"/>
      <c r="AA37" s="809"/>
      <c r="AB37" s="810"/>
    </row>
    <row r="38" spans="1:28" ht="33.799999999999997" customHeight="1" x14ac:dyDescent="0.25">
      <c r="A38" s="825"/>
      <c r="B38" s="16"/>
      <c r="C38" s="1459" t="s">
        <v>1171</v>
      </c>
      <c r="D38" s="1405"/>
      <c r="E38" s="1406"/>
      <c r="F38" s="1445" t="s">
        <v>1248</v>
      </c>
      <c r="G38" s="1446"/>
      <c r="H38" s="1446"/>
      <c r="I38" s="1446"/>
      <c r="J38" s="1446"/>
      <c r="K38" s="1446"/>
      <c r="L38" s="1446"/>
      <c r="M38" s="1446"/>
      <c r="N38" s="1446"/>
      <c r="O38" s="1446"/>
      <c r="P38" s="1446"/>
      <c r="Q38" s="1446"/>
      <c r="R38" s="1446"/>
      <c r="S38" s="1446"/>
      <c r="T38" s="1446"/>
      <c r="U38" s="1446"/>
      <c r="V38" s="1446"/>
      <c r="W38" s="1446"/>
      <c r="X38" s="1446"/>
      <c r="Y38" s="1446"/>
      <c r="Z38" s="1446"/>
      <c r="AA38" s="1446"/>
      <c r="AB38" s="1447"/>
    </row>
    <row r="39" spans="1:28" ht="13.6" customHeight="1" x14ac:dyDescent="0.25">
      <c r="A39" s="825"/>
      <c r="B39" s="16"/>
      <c r="C39" s="1459" t="s">
        <v>1173</v>
      </c>
      <c r="D39" s="1405"/>
      <c r="E39" s="1406"/>
      <c r="F39" s="1445" t="s">
        <v>1249</v>
      </c>
      <c r="G39" s="1446"/>
      <c r="H39" s="1446"/>
      <c r="I39" s="1446"/>
      <c r="J39" s="1446"/>
      <c r="K39" s="1446"/>
      <c r="L39" s="1446"/>
      <c r="M39" s="1446"/>
      <c r="N39" s="1446"/>
      <c r="O39" s="1446"/>
      <c r="P39" s="1446"/>
      <c r="Q39" s="1446"/>
      <c r="R39" s="1446"/>
      <c r="S39" s="1446"/>
      <c r="T39" s="1446"/>
      <c r="U39" s="1446"/>
      <c r="V39" s="1446"/>
      <c r="W39" s="1446"/>
      <c r="X39" s="1446"/>
      <c r="Y39" s="1446"/>
      <c r="Z39" s="1446"/>
      <c r="AA39" s="1446"/>
      <c r="AB39" s="1447"/>
    </row>
    <row r="40" spans="1:28" ht="22.6" customHeight="1" x14ac:dyDescent="0.25">
      <c r="A40" s="825"/>
      <c r="B40" s="16"/>
      <c r="C40" s="1459" t="s">
        <v>1175</v>
      </c>
      <c r="D40" s="1405"/>
      <c r="E40" s="1406"/>
      <c r="F40" s="1445" t="s">
        <v>1250</v>
      </c>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7"/>
    </row>
    <row r="41" spans="1:28" ht="46.55" customHeight="1" x14ac:dyDescent="0.25">
      <c r="A41" s="825"/>
      <c r="B41" s="16"/>
      <c r="C41" s="1459" t="s">
        <v>142</v>
      </c>
      <c r="D41" s="1405"/>
      <c r="E41" s="1406"/>
      <c r="F41" s="1445" t="s">
        <v>1177</v>
      </c>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7"/>
    </row>
    <row r="42" spans="1:28" ht="36" customHeight="1" x14ac:dyDescent="0.25">
      <c r="A42" s="825"/>
      <c r="B42" s="16"/>
      <c r="C42" s="1459" t="s">
        <v>1178</v>
      </c>
      <c r="D42" s="1405"/>
      <c r="E42" s="1406"/>
      <c r="F42" s="1445" t="s">
        <v>1251</v>
      </c>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7"/>
    </row>
    <row r="43" spans="1:28" ht="21.1" customHeight="1" x14ac:dyDescent="0.25">
      <c r="A43" s="825"/>
      <c r="B43" s="16"/>
      <c r="C43" s="1473" t="s">
        <v>964</v>
      </c>
      <c r="D43" s="1452" t="s">
        <v>965</v>
      </c>
      <c r="E43" s="1464" t="s">
        <v>468</v>
      </c>
      <c r="F43" s="1452" t="s">
        <v>470</v>
      </c>
      <c r="G43" s="1452" t="s">
        <v>966</v>
      </c>
      <c r="H43" s="1452" t="s">
        <v>967</v>
      </c>
      <c r="I43" s="1452" t="s">
        <v>1180</v>
      </c>
      <c r="J43" s="1452" t="s">
        <v>968</v>
      </c>
      <c r="K43" s="1452" t="s">
        <v>969</v>
      </c>
      <c r="L43" s="1453" t="s">
        <v>970</v>
      </c>
      <c r="M43" s="1453" t="s">
        <v>971</v>
      </c>
      <c r="N43" s="1453" t="s">
        <v>972</v>
      </c>
      <c r="O43" s="1456" t="s">
        <v>973</v>
      </c>
      <c r="P43" s="1457"/>
      <c r="Q43" s="1456" t="s">
        <v>974</v>
      </c>
      <c r="R43" s="1458"/>
      <c r="S43" s="1458"/>
      <c r="T43" s="1458"/>
      <c r="U43" s="1457"/>
      <c r="V43" s="1452" t="s">
        <v>975</v>
      </c>
      <c r="W43" s="1465" t="s">
        <v>976</v>
      </c>
      <c r="X43" s="1405"/>
      <c r="Y43" s="1405"/>
      <c r="Z43" s="1406"/>
      <c r="AA43" s="808"/>
      <c r="AB43" s="1452" t="s">
        <v>977</v>
      </c>
    </row>
    <row r="44" spans="1:28" s="785" customFormat="1" ht="57.1" customHeight="1" x14ac:dyDescent="0.25">
      <c r="A44" s="825"/>
      <c r="B44" s="16"/>
      <c r="C44" s="1467"/>
      <c r="D44" s="1449"/>
      <c r="E44" s="1451"/>
      <c r="F44" s="1449"/>
      <c r="G44" s="1449"/>
      <c r="H44" s="1449"/>
      <c r="I44" s="1449"/>
      <c r="J44" s="1449"/>
      <c r="K44" s="1449"/>
      <c r="L44" s="1454"/>
      <c r="M44" s="1455"/>
      <c r="N44" s="1454"/>
      <c r="O44" s="940" t="s">
        <v>978</v>
      </c>
      <c r="P44" s="940" t="s">
        <v>979</v>
      </c>
      <c r="Q44" s="940" t="s">
        <v>980</v>
      </c>
      <c r="R44" s="940" t="s">
        <v>981</v>
      </c>
      <c r="S44" s="940" t="s">
        <v>982</v>
      </c>
      <c r="T44" s="940" t="s">
        <v>983</v>
      </c>
      <c r="U44" s="940" t="s">
        <v>984</v>
      </c>
      <c r="V44" s="1449"/>
      <c r="W44" s="808" t="s">
        <v>985</v>
      </c>
      <c r="X44" s="808" t="s">
        <v>986</v>
      </c>
      <c r="Y44" s="808" t="s">
        <v>987</v>
      </c>
      <c r="Z44" s="808" t="s">
        <v>988</v>
      </c>
      <c r="AA44" s="808" t="s">
        <v>253</v>
      </c>
      <c r="AB44" s="1449"/>
    </row>
    <row r="45" spans="1:28" s="356" customFormat="1" ht="228.1" customHeight="1" x14ac:dyDescent="0.25">
      <c r="A45" s="334" t="s">
        <v>258</v>
      </c>
      <c r="B45" s="291" t="s">
        <v>254</v>
      </c>
      <c r="C45" s="12" t="s">
        <v>1252</v>
      </c>
      <c r="D45" s="252" t="s">
        <v>170</v>
      </c>
      <c r="E45" s="373" t="s">
        <v>1182</v>
      </c>
      <c r="F45" s="13" t="s">
        <v>1183</v>
      </c>
      <c r="G45" s="13" t="str">
        <f>+'8. BASE  CONSOLIDADA'!O22</f>
        <v>DERECHOS SOBRE LA TIERRA</v>
      </c>
      <c r="H45" s="13" t="str">
        <f>+'8. BASE  CONSOLIDADA'!P22</f>
        <v>C5</v>
      </c>
      <c r="I45" s="14">
        <f>25726.683236399/10</f>
        <v>2572.6683236398999</v>
      </c>
      <c r="J45" s="14">
        <f>+I45*0.5</f>
        <v>1286.3341618199499</v>
      </c>
      <c r="K45" s="14">
        <f>+I45*0.5</f>
        <v>1286.3341618199499</v>
      </c>
      <c r="L45" s="26">
        <v>2000</v>
      </c>
      <c r="M45" s="788" t="s">
        <v>1184</v>
      </c>
      <c r="N45" s="13" t="s">
        <v>1185</v>
      </c>
      <c r="O45" s="26">
        <f>+J45*L45</f>
        <v>2572668.3236399</v>
      </c>
      <c r="P45" s="26">
        <f>+K45*L45</f>
        <v>2572668.3236399</v>
      </c>
      <c r="Q45" s="26">
        <f>$O$45*0.1</f>
        <v>257266.83236399002</v>
      </c>
      <c r="R45" s="26">
        <f>+$O$45*0.15</f>
        <v>385900.24854598497</v>
      </c>
      <c r="S45" s="26">
        <f>+$O$45*0.2</f>
        <v>514533.66472798004</v>
      </c>
      <c r="T45" s="26">
        <f>+$O$45*0.3</f>
        <v>771800.49709196994</v>
      </c>
      <c r="U45" s="26">
        <f>+$O$45*0.25</f>
        <v>643167.08090997499</v>
      </c>
      <c r="V45" s="13"/>
      <c r="W45" s="13"/>
      <c r="X45" s="13"/>
      <c r="Y45" s="13" t="s">
        <v>148</v>
      </c>
      <c r="Z45" s="13"/>
      <c r="AA45" s="13" t="str">
        <f>+B45</f>
        <v>RE</v>
      </c>
      <c r="AB45" s="13">
        <v>3</v>
      </c>
    </row>
    <row r="46" spans="1:28" ht="61.5" customHeight="1" x14ac:dyDescent="0.25">
      <c r="A46" s="285" t="s">
        <v>259</v>
      </c>
      <c r="B46" s="285" t="s">
        <v>254</v>
      </c>
      <c r="C46" s="12" t="s">
        <v>1253</v>
      </c>
      <c r="D46" s="24" t="s">
        <v>169</v>
      </c>
      <c r="E46" s="263" t="s">
        <v>1254</v>
      </c>
      <c r="F46" s="183" t="s">
        <v>1255</v>
      </c>
      <c r="G46" s="13" t="str">
        <f>+'8. BASE  CONSOLIDADA'!O23</f>
        <v>TECNOLOGÍA</v>
      </c>
      <c r="H46" s="13" t="str">
        <f>+'8. BASE  CONSOLIDADA'!P23</f>
        <v>C17</v>
      </c>
      <c r="I46" s="75">
        <v>15</v>
      </c>
      <c r="J46" s="31">
        <f>+I46*0.5</f>
        <v>7.5</v>
      </c>
      <c r="K46" s="31">
        <f>+I46*0.5</f>
        <v>7.5</v>
      </c>
      <c r="L46" s="26">
        <v>15000</v>
      </c>
      <c r="M46" s="788" t="s">
        <v>1256</v>
      </c>
      <c r="N46" s="13" t="s">
        <v>1190</v>
      </c>
      <c r="O46" s="28">
        <f t="shared" ref="O46:O49" si="25">+J46*L46</f>
        <v>112500</v>
      </c>
      <c r="P46" s="28">
        <f t="shared" ref="P46:P49" si="26">+K46*L46</f>
        <v>112500</v>
      </c>
      <c r="Q46" s="28">
        <f>+$O$46*0.15</f>
        <v>16875</v>
      </c>
      <c r="R46" s="28">
        <f t="shared" ref="R46:S46" si="27">+$O$46*0.2</f>
        <v>22500</v>
      </c>
      <c r="S46" s="28">
        <f t="shared" si="27"/>
        <v>22500</v>
      </c>
      <c r="T46" s="28">
        <f>+$O$46*0.25</f>
        <v>28125</v>
      </c>
      <c r="U46" s="28">
        <f>+$O$46*0.2</f>
        <v>22500</v>
      </c>
      <c r="V46" s="13"/>
      <c r="W46" s="183"/>
      <c r="X46" s="183" t="s">
        <v>148</v>
      </c>
      <c r="Y46" s="183"/>
      <c r="Z46" s="183"/>
      <c r="AA46" s="183" t="str">
        <f t="shared" ref="AA46:AA49" si="28">+B46</f>
        <v>RE</v>
      </c>
      <c r="AB46" s="183">
        <v>3</v>
      </c>
    </row>
    <row r="47" spans="1:28" ht="90.7" customHeight="1" x14ac:dyDescent="0.25">
      <c r="A47" s="285" t="s">
        <v>259</v>
      </c>
      <c r="B47" s="285" t="s">
        <v>254</v>
      </c>
      <c r="C47" s="12" t="s">
        <v>1257</v>
      </c>
      <c r="D47" s="297" t="s">
        <v>279</v>
      </c>
      <c r="E47" s="373" t="s">
        <v>1258</v>
      </c>
      <c r="F47" s="179" t="s">
        <v>1188</v>
      </c>
      <c r="G47" s="13" t="str">
        <f>+'8. BASE  CONSOLIDADA'!O24</f>
        <v>CAPACITACIÓN</v>
      </c>
      <c r="H47" s="13" t="str">
        <f>+'8. BASE  CONSOLIDADA'!P24</f>
        <v>C3</v>
      </c>
      <c r="I47" s="75">
        <v>5747</v>
      </c>
      <c r="J47" s="182">
        <f>+I47*0.45</f>
        <v>2586.15</v>
      </c>
      <c r="K47" s="182">
        <f>+I47*0.55</f>
        <v>3160.8500000000004</v>
      </c>
      <c r="L47" s="76">
        <v>560</v>
      </c>
      <c r="M47" s="791" t="s">
        <v>1259</v>
      </c>
      <c r="N47" s="69" t="s">
        <v>1190</v>
      </c>
      <c r="O47" s="28">
        <f t="shared" si="25"/>
        <v>1448244</v>
      </c>
      <c r="P47" s="28">
        <f t="shared" si="26"/>
        <v>1770076.0000000002</v>
      </c>
      <c r="Q47" s="28">
        <f t="shared" ref="Q47:U47" si="29">+$O$47*0.2</f>
        <v>289648.8</v>
      </c>
      <c r="R47" s="28">
        <f t="shared" si="29"/>
        <v>289648.8</v>
      </c>
      <c r="S47" s="28">
        <f t="shared" si="29"/>
        <v>289648.8</v>
      </c>
      <c r="T47" s="28">
        <f t="shared" si="29"/>
        <v>289648.8</v>
      </c>
      <c r="U47" s="28">
        <f t="shared" si="29"/>
        <v>289648.8</v>
      </c>
      <c r="V47" s="13"/>
      <c r="W47" s="183"/>
      <c r="X47" s="183"/>
      <c r="Y47" s="183" t="s">
        <v>148</v>
      </c>
      <c r="Z47" s="183"/>
      <c r="AA47" s="183" t="str">
        <f t="shared" si="28"/>
        <v>RE</v>
      </c>
      <c r="AB47" s="183">
        <v>3</v>
      </c>
    </row>
    <row r="48" spans="1:28" ht="74.25" customHeight="1" x14ac:dyDescent="0.25">
      <c r="A48" s="333" t="s">
        <v>260</v>
      </c>
      <c r="B48" s="284" t="s">
        <v>254</v>
      </c>
      <c r="C48" s="12" t="s">
        <v>1260</v>
      </c>
      <c r="D48" s="297" t="s">
        <v>166</v>
      </c>
      <c r="E48" s="373" t="s">
        <v>1261</v>
      </c>
      <c r="F48" s="179" t="s">
        <v>1262</v>
      </c>
      <c r="G48" s="13" t="str">
        <f>+'8. BASE  CONSOLIDADA'!O25</f>
        <v>RECONVERSIÓN</v>
      </c>
      <c r="H48" s="13" t="str">
        <f>+'8. BASE  CONSOLIDADA'!P25</f>
        <v>C12</v>
      </c>
      <c r="I48" s="75">
        <f>29220*0.2</f>
        <v>5844</v>
      </c>
      <c r="J48" s="75">
        <f>+I48*0.1</f>
        <v>584.4</v>
      </c>
      <c r="K48" s="75">
        <f>+I48*0.1</f>
        <v>584.4</v>
      </c>
      <c r="L48" s="76">
        <v>15000</v>
      </c>
      <c r="M48" s="791" t="s">
        <v>1263</v>
      </c>
      <c r="N48" s="69" t="s">
        <v>1207</v>
      </c>
      <c r="O48" s="28">
        <f t="shared" si="25"/>
        <v>8766000</v>
      </c>
      <c r="P48" s="28">
        <f t="shared" si="26"/>
        <v>8766000</v>
      </c>
      <c r="Q48" s="28">
        <f t="shared" ref="Q48:U48" si="30">+$O$48*0.2</f>
        <v>1753200</v>
      </c>
      <c r="R48" s="28">
        <f t="shared" si="30"/>
        <v>1753200</v>
      </c>
      <c r="S48" s="28">
        <f t="shared" si="30"/>
        <v>1753200</v>
      </c>
      <c r="T48" s="28">
        <f t="shared" si="30"/>
        <v>1753200</v>
      </c>
      <c r="U48" s="28">
        <f t="shared" si="30"/>
        <v>1753200</v>
      </c>
      <c r="V48" s="32"/>
      <c r="W48" s="183"/>
      <c r="X48" s="183"/>
      <c r="Y48" s="183" t="s">
        <v>148</v>
      </c>
      <c r="Z48" s="183"/>
      <c r="AA48" s="183" t="str">
        <f t="shared" si="28"/>
        <v>RE</v>
      </c>
      <c r="AB48" s="183">
        <v>3</v>
      </c>
    </row>
    <row r="49" spans="1:28" ht="122.95" customHeight="1" x14ac:dyDescent="0.25">
      <c r="A49" s="295" t="s">
        <v>257</v>
      </c>
      <c r="B49" s="289" t="s">
        <v>254</v>
      </c>
      <c r="C49" s="12" t="s">
        <v>1264</v>
      </c>
      <c r="D49" s="24" t="s">
        <v>163</v>
      </c>
      <c r="E49" s="263" t="s">
        <v>1265</v>
      </c>
      <c r="F49" s="13" t="s">
        <v>1266</v>
      </c>
      <c r="G49" s="13" t="str">
        <f>+'8. BASE  CONSOLIDADA'!O26</f>
        <v>FINANCIAMIENTO</v>
      </c>
      <c r="H49" s="13" t="str">
        <f>+'8. BASE  CONSOLIDADA'!P26</f>
        <v>C6</v>
      </c>
      <c r="I49" s="75">
        <f>+I47</f>
        <v>5747</v>
      </c>
      <c r="J49" s="14">
        <f>+I49*0.3</f>
        <v>1724.1</v>
      </c>
      <c r="K49" s="14">
        <f>+I49*0.2</f>
        <v>1149.4000000000001</v>
      </c>
      <c r="L49" s="76">
        <f>4300*2.5</f>
        <v>10750</v>
      </c>
      <c r="M49" s="791" t="s">
        <v>1223</v>
      </c>
      <c r="N49" s="14" t="s">
        <v>1190</v>
      </c>
      <c r="O49" s="28">
        <f t="shared" si="25"/>
        <v>18534075</v>
      </c>
      <c r="P49" s="28">
        <f t="shared" si="26"/>
        <v>12356050.000000002</v>
      </c>
      <c r="Q49" s="28">
        <f>+$O$49*0.1</f>
        <v>1853407.5</v>
      </c>
      <c r="R49" s="28">
        <f>+$O$49*0.15</f>
        <v>2780111.25</v>
      </c>
      <c r="S49" s="28">
        <f>+$O$49*0.2</f>
        <v>3706815</v>
      </c>
      <c r="T49" s="28">
        <f>+$O$49*0.25</f>
        <v>4633518.75</v>
      </c>
      <c r="U49" s="28">
        <f>+$O$49*0.3</f>
        <v>5560222.5</v>
      </c>
      <c r="V49" s="13"/>
      <c r="W49" s="183" t="s">
        <v>148</v>
      </c>
      <c r="X49" s="183"/>
      <c r="Y49" s="183"/>
      <c r="Z49" s="183"/>
      <c r="AA49" s="183" t="str">
        <f t="shared" si="28"/>
        <v>RE</v>
      </c>
      <c r="AB49" s="183">
        <v>3</v>
      </c>
    </row>
    <row r="50" spans="1:28" ht="123.8" customHeight="1" x14ac:dyDescent="0.25">
      <c r="A50" s="285" t="s">
        <v>259</v>
      </c>
      <c r="B50" s="285"/>
      <c r="C50" s="12" t="s">
        <v>1267</v>
      </c>
      <c r="D50" s="24" t="s">
        <v>165</v>
      </c>
      <c r="E50" s="263" t="s">
        <v>1268</v>
      </c>
      <c r="F50" s="183" t="s">
        <v>1269</v>
      </c>
      <c r="G50" s="13" t="str">
        <f>+'8. BASE  CONSOLIDADA'!O27</f>
        <v>ASOCIATIVIDAD</v>
      </c>
      <c r="H50" s="13" t="str">
        <f>+'8. BASE  CONSOLIDADA'!P27</f>
        <v>C2</v>
      </c>
      <c r="I50" s="75">
        <v>3</v>
      </c>
      <c r="J50" s="13">
        <v>3</v>
      </c>
      <c r="K50" s="13">
        <v>4</v>
      </c>
      <c r="L50" s="26">
        <v>120000</v>
      </c>
      <c r="M50" s="788" t="s">
        <v>1236</v>
      </c>
      <c r="N50" s="14" t="s">
        <v>1270</v>
      </c>
      <c r="O50" s="28">
        <f t="shared" ref="O50:O51" si="31">+J50*L50*5</f>
        <v>1800000</v>
      </c>
      <c r="P50" s="28">
        <f t="shared" ref="P50:P51" si="32">+K50*L50*5</f>
        <v>2400000</v>
      </c>
      <c r="Q50" s="28">
        <f t="shared" ref="Q50:U50" si="33">+$O$50*0.2</f>
        <v>360000</v>
      </c>
      <c r="R50" s="28">
        <f t="shared" si="33"/>
        <v>360000</v>
      </c>
      <c r="S50" s="28">
        <f t="shared" si="33"/>
        <v>360000</v>
      </c>
      <c r="T50" s="28">
        <f t="shared" si="33"/>
        <v>360000</v>
      </c>
      <c r="U50" s="28">
        <f t="shared" si="33"/>
        <v>360000</v>
      </c>
      <c r="V50" s="13"/>
      <c r="W50" s="183"/>
      <c r="X50" s="183"/>
      <c r="Y50" s="183" t="s">
        <v>148</v>
      </c>
      <c r="Z50" s="183"/>
      <c r="AA50" s="183"/>
      <c r="AB50" s="183">
        <v>3</v>
      </c>
    </row>
    <row r="51" spans="1:28" ht="82.55" customHeight="1" x14ac:dyDescent="0.25">
      <c r="A51" s="333" t="s">
        <v>260</v>
      </c>
      <c r="B51" s="284"/>
      <c r="C51" s="12" t="s">
        <v>1271</v>
      </c>
      <c r="D51" s="24" t="s">
        <v>263</v>
      </c>
      <c r="E51" s="263" t="s">
        <v>1272</v>
      </c>
      <c r="F51" s="69" t="s">
        <v>1273</v>
      </c>
      <c r="G51" s="13" t="str">
        <f>+'8. BASE  CONSOLIDADA'!O28</f>
        <v>INFRAESTRUCTURA</v>
      </c>
      <c r="H51" s="13" t="str">
        <f>+'8. BASE  CONSOLIDADA'!P28</f>
        <v>C7</v>
      </c>
      <c r="I51" s="75"/>
      <c r="J51" s="13">
        <v>3</v>
      </c>
      <c r="K51" s="13">
        <v>4</v>
      </c>
      <c r="L51" s="26">
        <v>15000</v>
      </c>
      <c r="M51" s="786" t="s">
        <v>1274</v>
      </c>
      <c r="N51" s="14"/>
      <c r="O51" s="28">
        <f t="shared" si="31"/>
        <v>225000</v>
      </c>
      <c r="P51" s="28">
        <f t="shared" si="32"/>
        <v>300000</v>
      </c>
      <c r="Q51" s="28">
        <f>+O51*0.5</f>
        <v>112500</v>
      </c>
      <c r="R51" s="28"/>
      <c r="S51" s="28">
        <f>+O51*0.5</f>
        <v>112500</v>
      </c>
      <c r="T51" s="28"/>
      <c r="U51" s="28"/>
      <c r="V51" s="13"/>
      <c r="W51" s="183" t="s">
        <v>148</v>
      </c>
      <c r="X51" s="183"/>
      <c r="Y51" s="183"/>
      <c r="Z51" s="183"/>
      <c r="AA51" s="183"/>
      <c r="AB51" s="183">
        <v>3</v>
      </c>
    </row>
    <row r="52" spans="1:28" ht="76.599999999999994" customHeight="1" x14ac:dyDescent="0.25">
      <c r="A52" s="293" t="s">
        <v>256</v>
      </c>
      <c r="B52" s="286"/>
      <c r="C52" s="12" t="s">
        <v>1275</v>
      </c>
      <c r="D52" s="24" t="s">
        <v>168</v>
      </c>
      <c r="E52" s="263" t="s">
        <v>1244</v>
      </c>
      <c r="F52" s="13" t="s">
        <v>1245</v>
      </c>
      <c r="G52" s="13" t="str">
        <f>+'8. BASE  CONSOLIDADA'!O29</f>
        <v>SERVICIOS ECOSISTÉMICOS</v>
      </c>
      <c r="H52" s="13" t="str">
        <f>+'8. BASE  CONSOLIDADA'!P29</f>
        <v>C15</v>
      </c>
      <c r="I52" s="14"/>
      <c r="J52" s="14">
        <f t="shared" ref="J52:K52" si="34">(5*7)*5</f>
        <v>175</v>
      </c>
      <c r="K52" s="14">
        <f t="shared" si="34"/>
        <v>175</v>
      </c>
      <c r="L52" s="26">
        <v>10000</v>
      </c>
      <c r="M52" s="788" t="s">
        <v>1246</v>
      </c>
      <c r="N52" s="13" t="s">
        <v>1247</v>
      </c>
      <c r="O52" s="28">
        <f>+J52*L52</f>
        <v>1750000</v>
      </c>
      <c r="P52" s="28">
        <f>+K52*L52</f>
        <v>1750000</v>
      </c>
      <c r="Q52" s="28">
        <f t="shared" ref="Q52:U52" si="35">+$O$52*0.2</f>
        <v>350000</v>
      </c>
      <c r="R52" s="28">
        <f t="shared" si="35"/>
        <v>350000</v>
      </c>
      <c r="S52" s="28">
        <f t="shared" si="35"/>
        <v>350000</v>
      </c>
      <c r="T52" s="28">
        <f t="shared" si="35"/>
        <v>350000</v>
      </c>
      <c r="U52" s="28">
        <f t="shared" si="35"/>
        <v>350000</v>
      </c>
      <c r="V52" s="13"/>
      <c r="W52" s="183" t="s">
        <v>148</v>
      </c>
      <c r="X52" s="183"/>
      <c r="Y52" s="183"/>
      <c r="Z52" s="183"/>
      <c r="AA52" s="183"/>
      <c r="AB52" s="183">
        <v>2</v>
      </c>
    </row>
    <row r="53" spans="1:28" ht="18.7" customHeight="1" x14ac:dyDescent="0.25">
      <c r="A53" s="825"/>
      <c r="B53" s="16"/>
      <c r="C53" s="16"/>
      <c r="D53" s="366"/>
      <c r="E53" s="264"/>
      <c r="F53" s="366"/>
      <c r="G53" s="366"/>
      <c r="H53" s="366"/>
      <c r="I53" s="366"/>
      <c r="J53" s="366"/>
      <c r="K53" s="366"/>
      <c r="L53" s="366"/>
      <c r="M53" s="264"/>
      <c r="N53" s="366"/>
      <c r="O53" s="29">
        <f>SUM(O45:O52)</f>
        <v>35208487.323639899</v>
      </c>
      <c r="P53" s="29">
        <f t="shared" ref="P53:U53" si="36">SUM(P45:P52)</f>
        <v>30027294.323639899</v>
      </c>
      <c r="Q53" s="29">
        <f t="shared" si="36"/>
        <v>4992898.1323639899</v>
      </c>
      <c r="R53" s="29">
        <f t="shared" si="36"/>
        <v>5941360.2985459846</v>
      </c>
      <c r="S53" s="29">
        <f t="shared" si="36"/>
        <v>7109197.4647279801</v>
      </c>
      <c r="T53" s="29">
        <f t="shared" si="36"/>
        <v>8186293.0470919702</v>
      </c>
      <c r="U53" s="29">
        <f t="shared" si="36"/>
        <v>8978738.3809099756</v>
      </c>
      <c r="V53" s="366"/>
      <c r="W53" s="1"/>
      <c r="X53" s="1"/>
      <c r="Y53" s="1"/>
      <c r="Z53" s="1"/>
      <c r="AA53" s="1"/>
      <c r="AB53" s="1"/>
    </row>
    <row r="54" spans="1:28" ht="11.25" customHeight="1" x14ac:dyDescent="0.25">
      <c r="A54" s="825"/>
      <c r="B54" s="16"/>
      <c r="C54" s="16"/>
      <c r="D54" s="366"/>
      <c r="E54" s="265"/>
      <c r="F54" s="366"/>
      <c r="G54" s="366"/>
      <c r="H54" s="366"/>
      <c r="I54" s="366"/>
      <c r="J54" s="366"/>
      <c r="K54" s="366"/>
      <c r="L54" s="366"/>
      <c r="M54" s="264"/>
      <c r="N54" s="366"/>
      <c r="O54" s="366"/>
      <c r="P54" s="366"/>
      <c r="Q54" s="366"/>
      <c r="R54" s="366"/>
      <c r="S54" s="366"/>
      <c r="T54" s="366"/>
      <c r="U54" s="366"/>
      <c r="V54" s="366"/>
      <c r="W54" s="1"/>
      <c r="X54" s="1"/>
      <c r="Y54" s="1"/>
      <c r="Z54" s="1"/>
      <c r="AA54" s="1"/>
      <c r="AB54" s="1"/>
    </row>
    <row r="55" spans="1:28" ht="11.25" customHeight="1" x14ac:dyDescent="0.25">
      <c r="A55" s="825"/>
      <c r="B55" s="16"/>
      <c r="C55" s="16"/>
      <c r="D55" s="366"/>
      <c r="E55" s="265"/>
      <c r="F55" s="366"/>
      <c r="G55" s="366"/>
      <c r="H55" s="366"/>
      <c r="I55" s="366"/>
      <c r="J55" s="366"/>
      <c r="K55" s="366"/>
      <c r="L55" s="366"/>
      <c r="M55" s="264"/>
      <c r="N55" s="366"/>
      <c r="O55" s="366"/>
      <c r="P55" s="366"/>
      <c r="Q55" s="366"/>
      <c r="R55" s="366"/>
      <c r="S55" s="366"/>
      <c r="T55" s="366"/>
      <c r="U55" s="366"/>
      <c r="V55" s="366"/>
      <c r="W55" s="1"/>
      <c r="X55" s="1"/>
      <c r="Y55" s="1"/>
      <c r="Z55" s="1"/>
      <c r="AA55" s="1"/>
      <c r="AB55" s="1"/>
    </row>
    <row r="56" spans="1:28" ht="11.25" customHeight="1" x14ac:dyDescent="0.25">
      <c r="A56" s="825"/>
      <c r="B56" s="16"/>
      <c r="C56" s="16"/>
      <c r="D56" s="366"/>
      <c r="E56" s="265"/>
      <c r="F56" s="366"/>
      <c r="G56" s="366"/>
      <c r="H56" s="366"/>
      <c r="I56" s="366"/>
      <c r="J56" s="366"/>
      <c r="K56" s="366"/>
      <c r="L56" s="366"/>
      <c r="M56" s="264"/>
      <c r="N56" s="366"/>
      <c r="O56" s="366"/>
      <c r="P56" s="366"/>
      <c r="Q56" s="366"/>
      <c r="R56" s="366"/>
      <c r="S56" s="366"/>
      <c r="T56" s="366"/>
      <c r="U56" s="366"/>
      <c r="V56" s="366"/>
      <c r="W56" s="1"/>
      <c r="X56" s="1"/>
      <c r="Y56" s="1"/>
      <c r="Z56" s="1"/>
      <c r="AA56" s="1"/>
      <c r="AB56" s="1"/>
    </row>
    <row r="57" spans="1:28" ht="22.6" customHeight="1" x14ac:dyDescent="0.25">
      <c r="A57" s="825"/>
      <c r="B57" s="16"/>
      <c r="C57" s="1459" t="s">
        <v>1170</v>
      </c>
      <c r="D57" s="1405"/>
      <c r="E57" s="1406"/>
      <c r="F57" s="816" t="s">
        <v>126</v>
      </c>
      <c r="G57" s="809"/>
      <c r="H57" s="809"/>
      <c r="I57" s="809"/>
      <c r="J57" s="809"/>
      <c r="K57" s="809"/>
      <c r="L57" s="809"/>
      <c r="M57" s="936"/>
      <c r="N57" s="809"/>
      <c r="O57" s="809"/>
      <c r="P57" s="809"/>
      <c r="Q57" s="809"/>
      <c r="R57" s="809"/>
      <c r="S57" s="809"/>
      <c r="T57" s="809"/>
      <c r="U57" s="809"/>
      <c r="V57" s="809"/>
      <c r="W57" s="809"/>
      <c r="X57" s="809"/>
      <c r="Y57" s="809"/>
      <c r="Z57" s="809"/>
      <c r="AA57" s="809"/>
      <c r="AB57" s="810"/>
    </row>
    <row r="58" spans="1:28" ht="61.5" customHeight="1" x14ac:dyDescent="0.25">
      <c r="A58" s="825"/>
      <c r="B58" s="16"/>
      <c r="C58" s="1459" t="s">
        <v>1171</v>
      </c>
      <c r="D58" s="1405"/>
      <c r="E58" s="1406"/>
      <c r="F58" s="1445" t="s">
        <v>1276</v>
      </c>
      <c r="G58" s="1446"/>
      <c r="H58" s="1446"/>
      <c r="I58" s="1446"/>
      <c r="J58" s="1446"/>
      <c r="K58" s="1446"/>
      <c r="L58" s="1446"/>
      <c r="M58" s="1446"/>
      <c r="N58" s="1446"/>
      <c r="O58" s="1446"/>
      <c r="P58" s="1446"/>
      <c r="Q58" s="1446"/>
      <c r="R58" s="1446"/>
      <c r="S58" s="1446"/>
      <c r="T58" s="1446"/>
      <c r="U58" s="1446"/>
      <c r="V58" s="1446"/>
      <c r="W58" s="1446"/>
      <c r="X58" s="1446"/>
      <c r="Y58" s="1446"/>
      <c r="Z58" s="1446"/>
      <c r="AA58" s="1446"/>
      <c r="AB58" s="1447"/>
    </row>
    <row r="59" spans="1:28" ht="25.5" customHeight="1" x14ac:dyDescent="0.25">
      <c r="A59" s="825"/>
      <c r="B59" s="16"/>
      <c r="C59" s="1459" t="s">
        <v>1173</v>
      </c>
      <c r="D59" s="1405"/>
      <c r="E59" s="1406"/>
      <c r="F59" s="1445" t="s">
        <v>1277</v>
      </c>
      <c r="G59" s="1446"/>
      <c r="H59" s="1446"/>
      <c r="I59" s="1446"/>
      <c r="J59" s="1446"/>
      <c r="K59" s="1446"/>
      <c r="L59" s="1446"/>
      <c r="M59" s="1446"/>
      <c r="N59" s="1446"/>
      <c r="O59" s="1446"/>
      <c r="P59" s="1446"/>
      <c r="Q59" s="1446"/>
      <c r="R59" s="1446"/>
      <c r="S59" s="1446"/>
      <c r="T59" s="1446"/>
      <c r="U59" s="1446"/>
      <c r="V59" s="1446"/>
      <c r="W59" s="1446"/>
      <c r="X59" s="1446"/>
      <c r="Y59" s="1446"/>
      <c r="Z59" s="1446"/>
      <c r="AA59" s="1446"/>
      <c r="AB59" s="1447"/>
    </row>
    <row r="60" spans="1:28" ht="21.1" customHeight="1" x14ac:dyDescent="0.25">
      <c r="A60" s="825"/>
      <c r="B60" s="16"/>
      <c r="C60" s="1459" t="s">
        <v>1175</v>
      </c>
      <c r="D60" s="1405"/>
      <c r="E60" s="1406"/>
      <c r="F60" s="1445" t="s">
        <v>1278</v>
      </c>
      <c r="G60" s="1446"/>
      <c r="H60" s="1446"/>
      <c r="I60" s="1446"/>
      <c r="J60" s="1446"/>
      <c r="K60" s="1446"/>
      <c r="L60" s="1446"/>
      <c r="M60" s="1446"/>
      <c r="N60" s="1446"/>
      <c r="O60" s="1446"/>
      <c r="P60" s="1446"/>
      <c r="Q60" s="1446"/>
      <c r="R60" s="1446"/>
      <c r="S60" s="1446"/>
      <c r="T60" s="1446"/>
      <c r="U60" s="1446"/>
      <c r="V60" s="1446"/>
      <c r="W60" s="1446"/>
      <c r="X60" s="1446"/>
      <c r="Y60" s="1446"/>
      <c r="Z60" s="1446"/>
      <c r="AA60" s="1446"/>
      <c r="AB60" s="1447"/>
    </row>
    <row r="61" spans="1:28" ht="46.55" customHeight="1" x14ac:dyDescent="0.25">
      <c r="A61" s="825"/>
      <c r="B61" s="16"/>
      <c r="C61" s="1444" t="s">
        <v>142</v>
      </c>
      <c r="D61" s="1405"/>
      <c r="E61" s="1406"/>
      <c r="F61" s="1445" t="s">
        <v>1177</v>
      </c>
      <c r="G61" s="1446"/>
      <c r="H61" s="1446"/>
      <c r="I61" s="1446"/>
      <c r="J61" s="1446"/>
      <c r="K61" s="1446"/>
      <c r="L61" s="1446"/>
      <c r="M61" s="1446"/>
      <c r="N61" s="1446"/>
      <c r="O61" s="1446"/>
      <c r="P61" s="1446"/>
      <c r="Q61" s="1446"/>
      <c r="R61" s="1446"/>
      <c r="S61" s="1446"/>
      <c r="T61" s="1446"/>
      <c r="U61" s="1446"/>
      <c r="V61" s="1446"/>
      <c r="W61" s="1446"/>
      <c r="X61" s="1446"/>
      <c r="Y61" s="1446"/>
      <c r="Z61" s="1446"/>
      <c r="AA61" s="1446"/>
      <c r="AB61" s="1447"/>
    </row>
    <row r="62" spans="1:28" ht="46.55" customHeight="1" x14ac:dyDescent="0.25">
      <c r="A62" s="825"/>
      <c r="B62" s="16"/>
      <c r="C62" s="1444" t="s">
        <v>1178</v>
      </c>
      <c r="D62" s="1405"/>
      <c r="E62" s="1406"/>
      <c r="F62" s="1445" t="s">
        <v>1279</v>
      </c>
      <c r="G62" s="1446"/>
      <c r="H62" s="1446"/>
      <c r="I62" s="1446"/>
      <c r="J62" s="1446"/>
      <c r="K62" s="1446"/>
      <c r="L62" s="1446"/>
      <c r="M62" s="1446"/>
      <c r="N62" s="1446"/>
      <c r="O62" s="1446"/>
      <c r="P62" s="1446"/>
      <c r="Q62" s="1446"/>
      <c r="R62" s="1446"/>
      <c r="S62" s="1446"/>
      <c r="T62" s="1446"/>
      <c r="U62" s="1446"/>
      <c r="V62" s="1446"/>
      <c r="W62" s="1446"/>
      <c r="X62" s="1446"/>
      <c r="Y62" s="1446"/>
      <c r="Z62" s="1446"/>
      <c r="AA62" s="1446"/>
      <c r="AB62" s="1447"/>
    </row>
    <row r="63" spans="1:28" ht="23.95" customHeight="1" x14ac:dyDescent="0.25">
      <c r="A63" s="825"/>
      <c r="B63" s="16"/>
      <c r="C63" s="1418" t="s">
        <v>964</v>
      </c>
      <c r="D63" s="1418" t="s">
        <v>965</v>
      </c>
      <c r="E63" s="1450" t="s">
        <v>468</v>
      </c>
      <c r="F63" s="1452" t="s">
        <v>470</v>
      </c>
      <c r="G63" s="1452" t="s">
        <v>1280</v>
      </c>
      <c r="H63" s="1452" t="s">
        <v>967</v>
      </c>
      <c r="I63" s="1452" t="s">
        <v>1180</v>
      </c>
      <c r="J63" s="1452" t="s">
        <v>968</v>
      </c>
      <c r="K63" s="1452" t="s">
        <v>969</v>
      </c>
      <c r="L63" s="1453" t="s">
        <v>970</v>
      </c>
      <c r="M63" s="1453" t="s">
        <v>971</v>
      </c>
      <c r="N63" s="1453" t="s">
        <v>972</v>
      </c>
      <c r="O63" s="1456" t="s">
        <v>973</v>
      </c>
      <c r="P63" s="1457"/>
      <c r="Q63" s="1456" t="s">
        <v>974</v>
      </c>
      <c r="R63" s="1458"/>
      <c r="S63" s="1458"/>
      <c r="T63" s="1458"/>
      <c r="U63" s="1457"/>
      <c r="V63" s="1452" t="s">
        <v>975</v>
      </c>
      <c r="W63" s="1465" t="s">
        <v>976</v>
      </c>
      <c r="X63" s="1405"/>
      <c r="Y63" s="1405"/>
      <c r="Z63" s="1406"/>
      <c r="AA63" s="808"/>
      <c r="AB63" s="1452" t="s">
        <v>977</v>
      </c>
    </row>
    <row r="64" spans="1:28" s="785" customFormat="1" ht="63.7" customHeight="1" x14ac:dyDescent="0.25">
      <c r="A64" s="825"/>
      <c r="B64" s="16"/>
      <c r="C64" s="1449"/>
      <c r="D64" s="1449"/>
      <c r="E64" s="1451"/>
      <c r="F64" s="1449"/>
      <c r="G64" s="1449"/>
      <c r="H64" s="1449"/>
      <c r="I64" s="1449"/>
      <c r="J64" s="1449"/>
      <c r="K64" s="1449"/>
      <c r="L64" s="1454"/>
      <c r="M64" s="1455"/>
      <c r="N64" s="1454"/>
      <c r="O64" s="940" t="s">
        <v>978</v>
      </c>
      <c r="P64" s="940" t="s">
        <v>979</v>
      </c>
      <c r="Q64" s="940" t="s">
        <v>980</v>
      </c>
      <c r="R64" s="940" t="s">
        <v>981</v>
      </c>
      <c r="S64" s="940" t="s">
        <v>982</v>
      </c>
      <c r="T64" s="940" t="s">
        <v>983</v>
      </c>
      <c r="U64" s="940" t="s">
        <v>984</v>
      </c>
      <c r="V64" s="1449"/>
      <c r="W64" s="808" t="s">
        <v>985</v>
      </c>
      <c r="X64" s="808" t="s">
        <v>986</v>
      </c>
      <c r="Y64" s="808" t="s">
        <v>987</v>
      </c>
      <c r="Z64" s="808" t="s">
        <v>988</v>
      </c>
      <c r="AA64" s="808" t="s">
        <v>253</v>
      </c>
      <c r="AB64" s="1449"/>
    </row>
    <row r="65" spans="1:28" s="356" customFormat="1" ht="166.6" customHeight="1" x14ac:dyDescent="0.25">
      <c r="A65" s="334" t="s">
        <v>258</v>
      </c>
      <c r="B65" s="291" t="s">
        <v>254</v>
      </c>
      <c r="C65" s="12" t="s">
        <v>1281</v>
      </c>
      <c r="D65" s="786" t="s">
        <v>170</v>
      </c>
      <c r="E65" s="373" t="s">
        <v>1182</v>
      </c>
      <c r="F65" s="13" t="s">
        <v>1183</v>
      </c>
      <c r="G65" s="13" t="str">
        <f>+'8. BASE  CONSOLIDADA'!O30</f>
        <v>DERECHOS SOBRE LA TIERRA</v>
      </c>
      <c r="H65" s="13" t="str">
        <f>+'8. BASE  CONSOLIDADA'!P30</f>
        <v>C5</v>
      </c>
      <c r="I65" s="14">
        <f>58602.6053240357/10</f>
        <v>5860.2605324035703</v>
      </c>
      <c r="J65" s="14">
        <f>+I65*0.5</f>
        <v>2930.1302662017852</v>
      </c>
      <c r="K65" s="14">
        <f>+I65*0.5</f>
        <v>2930.1302662017852</v>
      </c>
      <c r="L65" s="26">
        <v>2000</v>
      </c>
      <c r="M65" s="788" t="s">
        <v>1184</v>
      </c>
      <c r="N65" s="13" t="s">
        <v>1185</v>
      </c>
      <c r="O65" s="26">
        <f>+J65*L65</f>
        <v>5860260.5324035706</v>
      </c>
      <c r="P65" s="26">
        <f>+K65*L65</f>
        <v>5860260.5324035706</v>
      </c>
      <c r="Q65" s="26">
        <f>$O$65*0.1</f>
        <v>586026.05324035708</v>
      </c>
      <c r="R65" s="26">
        <f>+$O$65*0.15</f>
        <v>879039.07986053557</v>
      </c>
      <c r="S65" s="26">
        <f>+$O$65*0.2</f>
        <v>1172052.1064807142</v>
      </c>
      <c r="T65" s="26">
        <f>+$O$65*0.3</f>
        <v>1758078.1597210711</v>
      </c>
      <c r="U65" s="26">
        <f>+$O$65*0.25</f>
        <v>1465065.1331008926</v>
      </c>
      <c r="V65" s="13"/>
      <c r="W65" s="13"/>
      <c r="X65" s="13"/>
      <c r="Y65" s="13" t="s">
        <v>148</v>
      </c>
      <c r="Z65" s="13"/>
      <c r="AA65" s="13" t="str">
        <f>+B65</f>
        <v>RE</v>
      </c>
      <c r="AB65" s="13">
        <v>3</v>
      </c>
    </row>
    <row r="66" spans="1:28" ht="63.7" customHeight="1" x14ac:dyDescent="0.25">
      <c r="A66" s="285" t="s">
        <v>259</v>
      </c>
      <c r="B66" s="285" t="s">
        <v>254</v>
      </c>
      <c r="C66" s="12" t="s">
        <v>1282</v>
      </c>
      <c r="D66" s="263" t="s">
        <v>267</v>
      </c>
      <c r="E66" s="263" t="s">
        <v>1283</v>
      </c>
      <c r="F66" s="13" t="s">
        <v>1284</v>
      </c>
      <c r="G66" s="13" t="str">
        <f>+'8. BASE  CONSOLIDADA'!O31</f>
        <v>ASISTENCIA TÉCNICA</v>
      </c>
      <c r="H66" s="13" t="str">
        <f>+'8. BASE  CONSOLIDADA'!P31</f>
        <v>C1</v>
      </c>
      <c r="I66" s="75">
        <v>2375</v>
      </c>
      <c r="J66" s="75">
        <f>+I66*0.6</f>
        <v>1425</v>
      </c>
      <c r="K66" s="75">
        <f>+I66*0.4</f>
        <v>950</v>
      </c>
      <c r="L66" s="26">
        <v>560</v>
      </c>
      <c r="M66" s="791" t="s">
        <v>1285</v>
      </c>
      <c r="N66" s="13" t="s">
        <v>1190</v>
      </c>
      <c r="O66" s="28">
        <f>+L66*J66</f>
        <v>798000</v>
      </c>
      <c r="P66" s="28">
        <f t="shared" ref="P66:P67" si="37">+L66*K66</f>
        <v>532000</v>
      </c>
      <c r="Q66" s="28">
        <f t="shared" ref="Q66:U66" si="38">+$O$66*0.2</f>
        <v>159600</v>
      </c>
      <c r="R66" s="28">
        <f t="shared" si="38"/>
        <v>159600</v>
      </c>
      <c r="S66" s="28">
        <f t="shared" si="38"/>
        <v>159600</v>
      </c>
      <c r="T66" s="28">
        <f t="shared" si="38"/>
        <v>159600</v>
      </c>
      <c r="U66" s="28">
        <f t="shared" si="38"/>
        <v>159600</v>
      </c>
      <c r="V66" s="13"/>
      <c r="W66" s="13"/>
      <c r="X66" s="13"/>
      <c r="Y66" s="13" t="s">
        <v>148</v>
      </c>
      <c r="Z66" s="13"/>
      <c r="AA66" s="13" t="str">
        <f t="shared" ref="AA66:AA67" si="39">+B66</f>
        <v>RE</v>
      </c>
      <c r="AB66" s="13">
        <v>3</v>
      </c>
    </row>
    <row r="67" spans="1:28" ht="54.7" customHeight="1" x14ac:dyDescent="0.25">
      <c r="A67" s="285" t="s">
        <v>259</v>
      </c>
      <c r="B67" s="285" t="s">
        <v>254</v>
      </c>
      <c r="C67" s="12" t="s">
        <v>1286</v>
      </c>
      <c r="D67" s="263" t="s">
        <v>162</v>
      </c>
      <c r="E67" s="263" t="s">
        <v>1287</v>
      </c>
      <c r="F67" s="13" t="s">
        <v>1193</v>
      </c>
      <c r="G67" s="13" t="str">
        <f>+'8. BASE  CONSOLIDADA'!O32</f>
        <v>TECNOLOGÍA</v>
      </c>
      <c r="H67" s="13" t="str">
        <f>+'8. BASE  CONSOLIDADA'!P32</f>
        <v>C17</v>
      </c>
      <c r="I67" s="75">
        <v>71251</v>
      </c>
      <c r="J67" s="75">
        <f>+I67*0.2</f>
        <v>14250.2</v>
      </c>
      <c r="K67" s="75">
        <f>+I67*0.2</f>
        <v>14250.2</v>
      </c>
      <c r="L67" s="26">
        <v>500</v>
      </c>
      <c r="M67" s="791" t="s">
        <v>1194</v>
      </c>
      <c r="N67" s="13" t="s">
        <v>1288</v>
      </c>
      <c r="O67" s="28">
        <f>+J67*L67</f>
        <v>7125100</v>
      </c>
      <c r="P67" s="28">
        <f t="shared" si="37"/>
        <v>7125100</v>
      </c>
      <c r="Q67" s="28">
        <f t="shared" ref="Q67:R67" si="40">+$O$67*0.15</f>
        <v>1068765</v>
      </c>
      <c r="R67" s="28">
        <f t="shared" si="40"/>
        <v>1068765</v>
      </c>
      <c r="S67" s="28">
        <f>+$O$67*0.2</f>
        <v>1425020</v>
      </c>
      <c r="T67" s="28">
        <f t="shared" ref="T67:U67" si="41">+$O$67*0.25</f>
        <v>1781275</v>
      </c>
      <c r="U67" s="28">
        <f t="shared" si="41"/>
        <v>1781275</v>
      </c>
      <c r="V67" s="13"/>
      <c r="W67" s="13"/>
      <c r="X67" s="13"/>
      <c r="Y67" s="13" t="s">
        <v>148</v>
      </c>
      <c r="Z67" s="13"/>
      <c r="AA67" s="13" t="str">
        <f t="shared" si="39"/>
        <v>RE</v>
      </c>
      <c r="AB67" s="13">
        <v>3</v>
      </c>
    </row>
    <row r="68" spans="1:28" ht="41.3" customHeight="1" x14ac:dyDescent="0.25">
      <c r="A68" s="285" t="s">
        <v>259</v>
      </c>
      <c r="B68" s="285"/>
      <c r="C68" s="12" t="s">
        <v>1289</v>
      </c>
      <c r="D68" s="263" t="s">
        <v>275</v>
      </c>
      <c r="E68" s="263" t="s">
        <v>1290</v>
      </c>
      <c r="F68" s="13" t="s">
        <v>1291</v>
      </c>
      <c r="G68" s="13" t="str">
        <f>+'8. BASE  CONSOLIDADA'!O33</f>
        <v>TECNOLOGÍA</v>
      </c>
      <c r="H68" s="13" t="str">
        <f>+'8. BASE  CONSOLIDADA'!P33</f>
        <v>C17</v>
      </c>
      <c r="I68" s="75"/>
      <c r="J68" s="75">
        <v>21</v>
      </c>
      <c r="K68" s="75">
        <v>21</v>
      </c>
      <c r="L68" s="26">
        <v>54800</v>
      </c>
      <c r="M68" s="788" t="s">
        <v>1292</v>
      </c>
      <c r="N68" s="13" t="s">
        <v>1038</v>
      </c>
      <c r="O68" s="28">
        <f>+(J68*L68)*5</f>
        <v>5754000</v>
      </c>
      <c r="P68" s="28">
        <f>+(L68*K68)*5</f>
        <v>5754000</v>
      </c>
      <c r="Q68" s="28">
        <f t="shared" ref="Q68:U68" si="42">+$O$68*0.2</f>
        <v>1150800</v>
      </c>
      <c r="R68" s="28">
        <f t="shared" si="42"/>
        <v>1150800</v>
      </c>
      <c r="S68" s="28">
        <f t="shared" si="42"/>
        <v>1150800</v>
      </c>
      <c r="T68" s="28">
        <f t="shared" si="42"/>
        <v>1150800</v>
      </c>
      <c r="U68" s="28">
        <f t="shared" si="42"/>
        <v>1150800</v>
      </c>
      <c r="V68" s="13"/>
      <c r="W68" s="13"/>
      <c r="X68" s="13" t="s">
        <v>148</v>
      </c>
      <c r="Y68" s="13"/>
      <c r="Z68" s="13"/>
      <c r="AA68" s="13"/>
      <c r="AB68" s="13">
        <v>3</v>
      </c>
    </row>
    <row r="69" spans="1:28" ht="84.75" customHeight="1" x14ac:dyDescent="0.25">
      <c r="A69" s="295" t="s">
        <v>257</v>
      </c>
      <c r="B69" s="290" t="s">
        <v>254</v>
      </c>
      <c r="C69" s="12" t="s">
        <v>1293</v>
      </c>
      <c r="D69" s="263" t="s">
        <v>163</v>
      </c>
      <c r="E69" s="263" t="s">
        <v>1294</v>
      </c>
      <c r="F69" s="13" t="s">
        <v>1295</v>
      </c>
      <c r="G69" s="13" t="str">
        <f>+'8. BASE  CONSOLIDADA'!O34</f>
        <v>FINANCIAMIENTO</v>
      </c>
      <c r="H69" s="13" t="str">
        <f>+'8. BASE  CONSOLIDADA'!P34</f>
        <v>C6</v>
      </c>
      <c r="I69" s="75">
        <f>+I66</f>
        <v>2375</v>
      </c>
      <c r="J69" s="75">
        <f>+I69*0.3</f>
        <v>712.5</v>
      </c>
      <c r="K69" s="75">
        <f>+I69*0.2</f>
        <v>475</v>
      </c>
      <c r="L69" s="76">
        <f>4300*2.5</f>
        <v>10750</v>
      </c>
      <c r="M69" s="791" t="s">
        <v>1223</v>
      </c>
      <c r="N69" s="69" t="s">
        <v>1224</v>
      </c>
      <c r="O69" s="28">
        <f>+J69*L69</f>
        <v>7659375</v>
      </c>
      <c r="P69" s="28">
        <f>+L69*K69</f>
        <v>5106250</v>
      </c>
      <c r="Q69" s="28">
        <f>+$O$69*0.1</f>
        <v>765937.5</v>
      </c>
      <c r="R69" s="28">
        <f t="shared" ref="R69:S69" si="43">+$O$69*0.15</f>
        <v>1148906.25</v>
      </c>
      <c r="S69" s="28">
        <f t="shared" si="43"/>
        <v>1148906.25</v>
      </c>
      <c r="T69" s="28">
        <f t="shared" ref="T69:U69" si="44">+$O$69*0.3</f>
        <v>2297812.5</v>
      </c>
      <c r="U69" s="28">
        <f t="shared" si="44"/>
        <v>2297812.5</v>
      </c>
      <c r="V69" s="13"/>
      <c r="W69" s="13" t="s">
        <v>148</v>
      </c>
      <c r="X69" s="13"/>
      <c r="Y69" s="13"/>
      <c r="Z69" s="13"/>
      <c r="AA69" s="13" t="str">
        <f>+B69</f>
        <v>RE</v>
      </c>
      <c r="AB69" s="13">
        <v>3</v>
      </c>
    </row>
    <row r="70" spans="1:28" ht="91.55" customHeight="1" x14ac:dyDescent="0.25">
      <c r="A70" s="285" t="s">
        <v>259</v>
      </c>
      <c r="B70" s="285"/>
      <c r="C70" s="12" t="s">
        <v>1296</v>
      </c>
      <c r="D70" s="263" t="s">
        <v>165</v>
      </c>
      <c r="E70" s="263" t="s">
        <v>1297</v>
      </c>
      <c r="F70" s="13" t="s">
        <v>1298</v>
      </c>
      <c r="G70" s="13" t="str">
        <f>+'8. BASE  CONSOLIDADA'!O35</f>
        <v>ASOCIATIVIDAD</v>
      </c>
      <c r="H70" s="13" t="str">
        <f>+'8. BASE  CONSOLIDADA'!P35</f>
        <v>C2</v>
      </c>
      <c r="I70" s="14">
        <v>24</v>
      </c>
      <c r="J70" s="14">
        <f>+I70*0.45</f>
        <v>10.8</v>
      </c>
      <c r="K70" s="14">
        <f>+I70*0.3</f>
        <v>7.1999999999999993</v>
      </c>
      <c r="L70" s="26">
        <v>120000</v>
      </c>
      <c r="M70" s="788" t="s">
        <v>1236</v>
      </c>
      <c r="N70" s="13" t="s">
        <v>1237</v>
      </c>
      <c r="O70" s="28">
        <f>+(J70*L70)*5</f>
        <v>6480000</v>
      </c>
      <c r="P70" s="28">
        <f>+(K70*L70)*5</f>
        <v>4319999.9999999991</v>
      </c>
      <c r="Q70" s="28">
        <f t="shared" ref="Q70:U70" si="45">+$O$70*0.2</f>
        <v>1296000</v>
      </c>
      <c r="R70" s="28">
        <f t="shared" si="45"/>
        <v>1296000</v>
      </c>
      <c r="S70" s="28">
        <f t="shared" si="45"/>
        <v>1296000</v>
      </c>
      <c r="T70" s="28">
        <f t="shared" si="45"/>
        <v>1296000</v>
      </c>
      <c r="U70" s="28">
        <f t="shared" si="45"/>
        <v>1296000</v>
      </c>
      <c r="V70" s="13"/>
      <c r="W70" s="13"/>
      <c r="X70" s="13"/>
      <c r="Y70" s="13" t="s">
        <v>148</v>
      </c>
      <c r="Z70" s="13"/>
      <c r="AA70" s="13"/>
      <c r="AB70" s="13">
        <v>3</v>
      </c>
    </row>
    <row r="71" spans="1:28" ht="66.75" customHeight="1" x14ac:dyDescent="0.25">
      <c r="A71" s="333" t="s">
        <v>260</v>
      </c>
      <c r="B71" s="284" t="s">
        <v>254</v>
      </c>
      <c r="C71" s="12" t="s">
        <v>1299</v>
      </c>
      <c r="D71" s="263" t="s">
        <v>263</v>
      </c>
      <c r="E71" s="263" t="s">
        <v>1300</v>
      </c>
      <c r="F71" s="13" t="s">
        <v>1301</v>
      </c>
      <c r="G71" s="13" t="str">
        <f>+'8. BASE  CONSOLIDADA'!O36</f>
        <v>TECNOLOGÍA</v>
      </c>
      <c r="H71" s="13" t="str">
        <f>+'8. BASE  CONSOLIDADA'!P36</f>
        <v>C17</v>
      </c>
      <c r="I71" s="14"/>
      <c r="J71" s="14">
        <v>20</v>
      </c>
      <c r="K71" s="14">
        <v>10</v>
      </c>
      <c r="L71" s="28">
        <v>800000</v>
      </c>
      <c r="M71" s="788" t="s">
        <v>1302</v>
      </c>
      <c r="N71" s="13" t="s">
        <v>1303</v>
      </c>
      <c r="O71" s="28">
        <f t="shared" ref="O71:O72" si="46">+J71*L71</f>
        <v>16000000</v>
      </c>
      <c r="P71" s="28">
        <f>+L71*K71</f>
        <v>8000000</v>
      </c>
      <c r="Q71" s="28">
        <f t="shared" ref="Q71:U71" si="47">+$O$71*0.2</f>
        <v>3200000</v>
      </c>
      <c r="R71" s="28">
        <f t="shared" si="47"/>
        <v>3200000</v>
      </c>
      <c r="S71" s="28">
        <f t="shared" si="47"/>
        <v>3200000</v>
      </c>
      <c r="T71" s="28">
        <f t="shared" si="47"/>
        <v>3200000</v>
      </c>
      <c r="U71" s="36">
        <f t="shared" si="47"/>
        <v>3200000</v>
      </c>
      <c r="V71" s="13"/>
      <c r="W71" s="13" t="s">
        <v>148</v>
      </c>
      <c r="X71" s="13"/>
      <c r="Y71" s="13"/>
      <c r="Z71" s="13"/>
      <c r="AA71" s="13" t="str">
        <f>+B71</f>
        <v>RE</v>
      </c>
      <c r="AB71" s="13">
        <v>3</v>
      </c>
    </row>
    <row r="72" spans="1:28" ht="64.55" customHeight="1" x14ac:dyDescent="0.25">
      <c r="A72" s="293" t="s">
        <v>256</v>
      </c>
      <c r="B72" s="286"/>
      <c r="C72" s="12" t="s">
        <v>1304</v>
      </c>
      <c r="D72" s="263" t="s">
        <v>168</v>
      </c>
      <c r="E72" s="263" t="s">
        <v>1244</v>
      </c>
      <c r="F72" s="13" t="s">
        <v>1245</v>
      </c>
      <c r="G72" s="13" t="str">
        <f>+'8. BASE  CONSOLIDADA'!O37</f>
        <v>SERVICIOS ECOSISTÉMICOS</v>
      </c>
      <c r="H72" s="13" t="str">
        <f>+'8. BASE  CONSOLIDADA'!P37</f>
        <v>C15</v>
      </c>
      <c r="I72" s="14"/>
      <c r="J72" s="14">
        <f t="shared" ref="J72:K72" si="48">(5*7)*5</f>
        <v>175</v>
      </c>
      <c r="K72" s="14">
        <f t="shared" si="48"/>
        <v>175</v>
      </c>
      <c r="L72" s="26">
        <v>10000</v>
      </c>
      <c r="M72" s="788" t="s">
        <v>1246</v>
      </c>
      <c r="N72" s="13" t="s">
        <v>1247</v>
      </c>
      <c r="O72" s="28">
        <f t="shared" si="46"/>
        <v>1750000</v>
      </c>
      <c r="P72" s="28">
        <f>+K72*L72</f>
        <v>1750000</v>
      </c>
      <c r="Q72" s="28">
        <f t="shared" ref="Q72:U72" si="49">+$O$72*0.2</f>
        <v>350000</v>
      </c>
      <c r="R72" s="28">
        <f t="shared" si="49"/>
        <v>350000</v>
      </c>
      <c r="S72" s="28">
        <f t="shared" si="49"/>
        <v>350000</v>
      </c>
      <c r="T72" s="28">
        <f t="shared" si="49"/>
        <v>350000</v>
      </c>
      <c r="U72" s="36">
        <f t="shared" si="49"/>
        <v>350000</v>
      </c>
      <c r="V72" s="13"/>
      <c r="W72" s="13" t="s">
        <v>148</v>
      </c>
      <c r="X72" s="13"/>
      <c r="Y72" s="13"/>
      <c r="Z72" s="13"/>
      <c r="AA72" s="13"/>
      <c r="AB72" s="13">
        <v>2</v>
      </c>
    </row>
    <row r="73" spans="1:28" ht="16.5" customHeight="1" x14ac:dyDescent="0.25">
      <c r="A73" s="825"/>
      <c r="B73" s="16"/>
      <c r="C73" s="16"/>
      <c r="D73" s="366"/>
      <c r="E73" s="264"/>
      <c r="F73" s="366"/>
      <c r="G73" s="366"/>
      <c r="H73" s="366"/>
      <c r="I73" s="366"/>
      <c r="J73" s="366"/>
      <c r="K73" s="366"/>
      <c r="L73" s="366"/>
      <c r="M73" s="264"/>
      <c r="N73" s="366"/>
      <c r="O73" s="29">
        <f>SUM(O65:O72)</f>
        <v>51426735.532403573</v>
      </c>
      <c r="P73" s="29">
        <f t="shared" ref="P73:U73" si="50">SUM(P65:P72)</f>
        <v>38447610.532403573</v>
      </c>
      <c r="Q73" s="29">
        <f t="shared" si="50"/>
        <v>8577128.553240357</v>
      </c>
      <c r="R73" s="29">
        <f t="shared" si="50"/>
        <v>9253110.3298605345</v>
      </c>
      <c r="S73" s="29">
        <f t="shared" si="50"/>
        <v>9902378.3564807139</v>
      </c>
      <c r="T73" s="29">
        <f t="shared" si="50"/>
        <v>11993565.659721071</v>
      </c>
      <c r="U73" s="29">
        <f t="shared" si="50"/>
        <v>11700552.633100893</v>
      </c>
      <c r="V73" s="366"/>
      <c r="W73" s="1"/>
      <c r="X73" s="1"/>
      <c r="Y73" s="1"/>
      <c r="Z73" s="1"/>
      <c r="AA73" s="1"/>
      <c r="AB73" s="1"/>
    </row>
    <row r="74" spans="1:28" ht="16.5" customHeight="1" x14ac:dyDescent="0.25">
      <c r="A74" s="825"/>
      <c r="B74" s="16"/>
      <c r="C74" s="16"/>
      <c r="D74" s="366"/>
      <c r="E74" s="264"/>
      <c r="F74" s="366"/>
      <c r="G74" s="366"/>
      <c r="H74" s="366"/>
      <c r="I74" s="366"/>
      <c r="J74" s="366"/>
      <c r="K74" s="366"/>
      <c r="L74" s="366"/>
      <c r="M74" s="264"/>
      <c r="N74" s="366"/>
      <c r="O74" s="366"/>
      <c r="P74" s="366"/>
      <c r="Q74" s="366"/>
      <c r="R74" s="366"/>
      <c r="S74" s="366"/>
      <c r="T74" s="366"/>
      <c r="U74" s="366"/>
      <c r="V74" s="366"/>
      <c r="W74" s="1"/>
      <c r="X74" s="1"/>
      <c r="Y74" s="1"/>
      <c r="Z74" s="1"/>
      <c r="AA74" s="1"/>
      <c r="AB74" s="1"/>
    </row>
    <row r="75" spans="1:28" ht="11.25" customHeight="1" x14ac:dyDescent="0.25">
      <c r="A75" s="825"/>
      <c r="B75" s="16"/>
      <c r="C75" s="16"/>
      <c r="D75" s="366"/>
      <c r="E75" s="264"/>
      <c r="F75" s="497"/>
      <c r="G75" s="497"/>
      <c r="H75" s="497"/>
      <c r="I75" s="497"/>
      <c r="J75" s="497"/>
      <c r="K75" s="497"/>
      <c r="L75" s="497"/>
      <c r="M75" s="937"/>
      <c r="N75" s="497"/>
      <c r="O75" s="497"/>
      <c r="P75" s="497"/>
      <c r="Q75" s="497"/>
      <c r="R75" s="497"/>
      <c r="S75" s="497"/>
      <c r="T75" s="497"/>
      <c r="U75" s="497"/>
      <c r="V75" s="497"/>
      <c r="W75" s="27"/>
      <c r="X75" s="27"/>
      <c r="Y75" s="27"/>
      <c r="Z75" s="27"/>
      <c r="AA75" s="27"/>
      <c r="AB75" s="27"/>
    </row>
    <row r="76" spans="1:28" ht="16.5" customHeight="1" x14ac:dyDescent="0.25">
      <c r="A76" s="825"/>
      <c r="B76" s="16"/>
      <c r="C76" s="1459" t="s">
        <v>1170</v>
      </c>
      <c r="D76" s="1405"/>
      <c r="E76" s="1406"/>
      <c r="F76" s="816" t="s">
        <v>130</v>
      </c>
      <c r="G76" s="809"/>
      <c r="H76" s="809"/>
      <c r="I76" s="809"/>
      <c r="J76" s="809"/>
      <c r="K76" s="809"/>
      <c r="L76" s="809"/>
      <c r="M76" s="936"/>
      <c r="N76" s="809"/>
      <c r="O76" s="809"/>
      <c r="P76" s="809"/>
      <c r="Q76" s="809"/>
      <c r="R76" s="809"/>
      <c r="S76" s="809"/>
      <c r="T76" s="809"/>
      <c r="U76" s="809"/>
      <c r="V76" s="809"/>
      <c r="W76" s="809"/>
      <c r="X76" s="809"/>
      <c r="Y76" s="809"/>
      <c r="Z76" s="809"/>
      <c r="AA76" s="809"/>
      <c r="AB76" s="810"/>
    </row>
    <row r="77" spans="1:28" ht="55.55" customHeight="1" x14ac:dyDescent="0.25">
      <c r="A77" s="825"/>
      <c r="B77" s="16"/>
      <c r="C77" s="1459" t="s">
        <v>1171</v>
      </c>
      <c r="D77" s="1405"/>
      <c r="E77" s="1406"/>
      <c r="F77" s="1445" t="s">
        <v>1305</v>
      </c>
      <c r="G77" s="1446"/>
      <c r="H77" s="1446"/>
      <c r="I77" s="1446"/>
      <c r="J77" s="1446"/>
      <c r="K77" s="1446"/>
      <c r="L77" s="1446"/>
      <c r="M77" s="1446"/>
      <c r="N77" s="1446"/>
      <c r="O77" s="1446"/>
      <c r="P77" s="1446"/>
      <c r="Q77" s="1446"/>
      <c r="R77" s="1446"/>
      <c r="S77" s="1446"/>
      <c r="T77" s="1446"/>
      <c r="U77" s="1446"/>
      <c r="V77" s="1446"/>
      <c r="W77" s="1446"/>
      <c r="X77" s="1446"/>
      <c r="Y77" s="1446"/>
      <c r="Z77" s="1446"/>
      <c r="AA77" s="1446"/>
      <c r="AB77" s="1447"/>
    </row>
    <row r="78" spans="1:28" ht="18" customHeight="1" x14ac:dyDescent="0.25">
      <c r="A78" s="825"/>
      <c r="B78" s="16"/>
      <c r="C78" s="1459" t="s">
        <v>1173</v>
      </c>
      <c r="D78" s="1405"/>
      <c r="E78" s="1406"/>
      <c r="F78" s="1445" t="s">
        <v>1306</v>
      </c>
      <c r="G78" s="1446"/>
      <c r="H78" s="1446"/>
      <c r="I78" s="1446"/>
      <c r="J78" s="1446"/>
      <c r="K78" s="1446"/>
      <c r="L78" s="1446"/>
      <c r="M78" s="1446"/>
      <c r="N78" s="1446"/>
      <c r="O78" s="1446"/>
      <c r="P78" s="1446"/>
      <c r="Q78" s="1446"/>
      <c r="R78" s="1446"/>
      <c r="S78" s="1446"/>
      <c r="T78" s="1446"/>
      <c r="U78" s="1446"/>
      <c r="V78" s="1446"/>
      <c r="W78" s="1446"/>
      <c r="X78" s="1446"/>
      <c r="Y78" s="1446"/>
      <c r="Z78" s="1446"/>
      <c r="AA78" s="1446"/>
      <c r="AB78" s="1447"/>
    </row>
    <row r="79" spans="1:28" ht="18.7" customHeight="1" x14ac:dyDescent="0.25">
      <c r="A79" s="825"/>
      <c r="B79" s="16"/>
      <c r="C79" s="1459" t="s">
        <v>1175</v>
      </c>
      <c r="D79" s="1405"/>
      <c r="E79" s="1406"/>
      <c r="F79" s="1445" t="s">
        <v>1307</v>
      </c>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7"/>
    </row>
    <row r="80" spans="1:28" ht="39.75" customHeight="1" x14ac:dyDescent="0.25">
      <c r="A80" s="825"/>
      <c r="B80" s="16"/>
      <c r="C80" s="1444" t="s">
        <v>142</v>
      </c>
      <c r="D80" s="1405"/>
      <c r="E80" s="1406"/>
      <c r="F80" s="1445" t="s">
        <v>1177</v>
      </c>
      <c r="G80" s="1446"/>
      <c r="H80" s="1446"/>
      <c r="I80" s="1446"/>
      <c r="J80" s="1446"/>
      <c r="K80" s="1446"/>
      <c r="L80" s="1446"/>
      <c r="M80" s="1446"/>
      <c r="N80" s="1446"/>
      <c r="O80" s="1446"/>
      <c r="P80" s="1446"/>
      <c r="Q80" s="1446"/>
      <c r="R80" s="1446"/>
      <c r="S80" s="1446"/>
      <c r="T80" s="1446"/>
      <c r="U80" s="1446"/>
      <c r="V80" s="1446"/>
      <c r="W80" s="1446"/>
      <c r="X80" s="1446"/>
      <c r="Y80" s="1446"/>
      <c r="Z80" s="1446"/>
      <c r="AA80" s="1446"/>
      <c r="AB80" s="1447"/>
    </row>
    <row r="81" spans="1:28" ht="39.75" customHeight="1" x14ac:dyDescent="0.25">
      <c r="A81" s="825"/>
      <c r="B81" s="16"/>
      <c r="C81" s="1444" t="s">
        <v>1178</v>
      </c>
      <c r="D81" s="1405"/>
      <c r="E81" s="1406"/>
      <c r="F81" s="1445" t="s">
        <v>1308</v>
      </c>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7"/>
    </row>
    <row r="82" spans="1:28" ht="22.6" customHeight="1" x14ac:dyDescent="0.25">
      <c r="A82" s="825"/>
      <c r="B82" s="16"/>
      <c r="C82" s="1418" t="s">
        <v>964</v>
      </c>
      <c r="D82" s="1418" t="s">
        <v>965</v>
      </c>
      <c r="E82" s="1450" t="s">
        <v>468</v>
      </c>
      <c r="F82" s="1418" t="s">
        <v>470</v>
      </c>
      <c r="G82" s="1418" t="s">
        <v>966</v>
      </c>
      <c r="H82" s="1418" t="s">
        <v>967</v>
      </c>
      <c r="I82" s="1418" t="s">
        <v>1180</v>
      </c>
      <c r="J82" s="1418" t="s">
        <v>968</v>
      </c>
      <c r="K82" s="1418" t="s">
        <v>969</v>
      </c>
      <c r="L82" s="1453" t="s">
        <v>970</v>
      </c>
      <c r="M82" s="1453" t="s">
        <v>971</v>
      </c>
      <c r="N82" s="1453" t="s">
        <v>972</v>
      </c>
      <c r="O82" s="1456" t="s">
        <v>973</v>
      </c>
      <c r="P82" s="1457"/>
      <c r="Q82" s="1456" t="s">
        <v>974</v>
      </c>
      <c r="R82" s="1458"/>
      <c r="S82" s="1458"/>
      <c r="T82" s="1458"/>
      <c r="U82" s="1457"/>
      <c r="V82" s="1418" t="s">
        <v>975</v>
      </c>
      <c r="W82" s="1477" t="s">
        <v>976</v>
      </c>
      <c r="X82" s="1478"/>
      <c r="Y82" s="1478"/>
      <c r="Z82" s="1479"/>
      <c r="AA82" s="815"/>
      <c r="AB82" s="1418" t="s">
        <v>977</v>
      </c>
    </row>
    <row r="83" spans="1:28" s="785" customFormat="1" ht="66.099999999999994" customHeight="1" x14ac:dyDescent="0.25">
      <c r="A83" s="825"/>
      <c r="B83" s="16"/>
      <c r="C83" s="1449"/>
      <c r="D83" s="1449"/>
      <c r="E83" s="1451"/>
      <c r="F83" s="1449"/>
      <c r="G83" s="1449"/>
      <c r="H83" s="1449"/>
      <c r="I83" s="1449"/>
      <c r="J83" s="1449"/>
      <c r="K83" s="1449"/>
      <c r="L83" s="1454"/>
      <c r="M83" s="1455"/>
      <c r="N83" s="1454"/>
      <c r="O83" s="940" t="s">
        <v>978</v>
      </c>
      <c r="P83" s="940" t="s">
        <v>979</v>
      </c>
      <c r="Q83" s="940" t="s">
        <v>980</v>
      </c>
      <c r="R83" s="940" t="s">
        <v>981</v>
      </c>
      <c r="S83" s="940" t="s">
        <v>982</v>
      </c>
      <c r="T83" s="940" t="s">
        <v>983</v>
      </c>
      <c r="U83" s="940" t="s">
        <v>984</v>
      </c>
      <c r="V83" s="1449"/>
      <c r="W83" s="808" t="s">
        <v>985</v>
      </c>
      <c r="X83" s="808" t="s">
        <v>986</v>
      </c>
      <c r="Y83" s="808" t="s">
        <v>987</v>
      </c>
      <c r="Z83" s="808" t="s">
        <v>988</v>
      </c>
      <c r="AA83" s="808" t="s">
        <v>253</v>
      </c>
      <c r="AB83" s="1449"/>
    </row>
    <row r="84" spans="1:28" ht="190.55" customHeight="1" x14ac:dyDescent="0.25">
      <c r="A84" s="334" t="s">
        <v>258</v>
      </c>
      <c r="B84" s="291">
        <f>16+5+16+22</f>
        <v>59</v>
      </c>
      <c r="C84" s="12" t="s">
        <v>1309</v>
      </c>
      <c r="D84" s="263" t="s">
        <v>172</v>
      </c>
      <c r="E84" s="263" t="s">
        <v>1310</v>
      </c>
      <c r="F84" s="13" t="s">
        <v>1311</v>
      </c>
      <c r="G84" s="13" t="str">
        <f>+'8. BASE  CONSOLIDADA'!O38</f>
        <v>DERECHOS SOBRE LA TIERRA</v>
      </c>
      <c r="H84" s="13" t="str">
        <f>+'8. BASE  CONSOLIDADA'!P38</f>
        <v>C5</v>
      </c>
      <c r="I84" s="13">
        <f>22+28+13</f>
        <v>63</v>
      </c>
      <c r="J84" s="14">
        <f>+I84*1</f>
        <v>63</v>
      </c>
      <c r="K84" s="14"/>
      <c r="L84" s="26">
        <v>71250</v>
      </c>
      <c r="M84" s="788" t="s">
        <v>1312</v>
      </c>
      <c r="N84" s="13" t="s">
        <v>1313</v>
      </c>
      <c r="O84" s="28">
        <f t="shared" ref="O84:O86" si="51">+J84*L84</f>
        <v>4488750</v>
      </c>
      <c r="P84" s="28">
        <f t="shared" ref="P84:P86" si="52">+L84*K84</f>
        <v>0</v>
      </c>
      <c r="Q84" s="28">
        <f t="shared" ref="Q84:U84" si="53">+$O$84*0.2</f>
        <v>897750</v>
      </c>
      <c r="R84" s="28">
        <f t="shared" si="53"/>
        <v>897750</v>
      </c>
      <c r="S84" s="28">
        <f t="shared" si="53"/>
        <v>897750</v>
      </c>
      <c r="T84" s="28">
        <f t="shared" si="53"/>
        <v>897750</v>
      </c>
      <c r="U84" s="28">
        <f t="shared" si="53"/>
        <v>897750</v>
      </c>
      <c r="V84" s="13"/>
      <c r="W84" s="13"/>
      <c r="X84" s="13"/>
      <c r="Y84" s="13" t="s">
        <v>148</v>
      </c>
      <c r="Z84" s="13"/>
      <c r="AA84" s="13"/>
      <c r="AB84" s="13">
        <v>3</v>
      </c>
    </row>
    <row r="85" spans="1:28" ht="89.35" customHeight="1" x14ac:dyDescent="0.25">
      <c r="A85" s="285" t="s">
        <v>259</v>
      </c>
      <c r="B85" s="285" t="s">
        <v>254</v>
      </c>
      <c r="C85" s="12" t="s">
        <v>1314</v>
      </c>
      <c r="D85" s="263" t="s">
        <v>171</v>
      </c>
      <c r="E85" s="263" t="s">
        <v>1315</v>
      </c>
      <c r="F85" s="13" t="s">
        <v>1316</v>
      </c>
      <c r="G85" s="13" t="str">
        <f>+'8. BASE  CONSOLIDADA'!O39</f>
        <v>ASISTENCIA TÉCNICA</v>
      </c>
      <c r="H85" s="13" t="str">
        <f>+'8. BASE  CONSOLIDADA'!P39</f>
        <v>C1</v>
      </c>
      <c r="I85" s="13">
        <f>69*100</f>
        <v>6900</v>
      </c>
      <c r="J85" s="13">
        <f>+I85*0.6</f>
        <v>4140</v>
      </c>
      <c r="K85" s="13">
        <f>+I85*0.4</f>
        <v>2760</v>
      </c>
      <c r="L85" s="26">
        <f>560</f>
        <v>560</v>
      </c>
      <c r="M85" s="791" t="s">
        <v>1317</v>
      </c>
      <c r="N85" s="13" t="s">
        <v>1313</v>
      </c>
      <c r="O85" s="28">
        <f t="shared" si="51"/>
        <v>2318400</v>
      </c>
      <c r="P85" s="28">
        <f t="shared" si="52"/>
        <v>1545600</v>
      </c>
      <c r="Q85" s="28">
        <f t="shared" ref="Q85:U85" si="54">+$O$85*0.2</f>
        <v>463680</v>
      </c>
      <c r="R85" s="28">
        <f t="shared" si="54"/>
        <v>463680</v>
      </c>
      <c r="S85" s="28">
        <f t="shared" si="54"/>
        <v>463680</v>
      </c>
      <c r="T85" s="28">
        <f t="shared" si="54"/>
        <v>463680</v>
      </c>
      <c r="U85" s="28">
        <f t="shared" si="54"/>
        <v>463680</v>
      </c>
      <c r="V85" s="13"/>
      <c r="W85" s="13"/>
      <c r="X85" s="13"/>
      <c r="Y85" s="13" t="s">
        <v>148</v>
      </c>
      <c r="Z85" s="13"/>
      <c r="AA85" s="13" t="str">
        <f t="shared" ref="AA85:AA88" si="55">+B85</f>
        <v>RE</v>
      </c>
      <c r="AB85" s="13">
        <v>3</v>
      </c>
    </row>
    <row r="86" spans="1:28" ht="94.6" customHeight="1" x14ac:dyDescent="0.25">
      <c r="A86" s="333" t="s">
        <v>260</v>
      </c>
      <c r="B86" s="284" t="s">
        <v>254</v>
      </c>
      <c r="C86" s="12" t="s">
        <v>1318</v>
      </c>
      <c r="D86" s="263" t="s">
        <v>177</v>
      </c>
      <c r="E86" s="375" t="s">
        <v>1319</v>
      </c>
      <c r="F86" s="13" t="s">
        <v>1320</v>
      </c>
      <c r="G86" s="13" t="str">
        <f>+'8. BASE  CONSOLIDADA'!O40</f>
        <v>INNOVACIÓN</v>
      </c>
      <c r="H86" s="13" t="str">
        <f>+'8. BASE  CONSOLIDADA'!P40</f>
        <v>C8</v>
      </c>
      <c r="I86" s="13"/>
      <c r="J86" s="13">
        <f>2*20</f>
        <v>40</v>
      </c>
      <c r="K86" s="13">
        <f>2*20</f>
        <v>40</v>
      </c>
      <c r="L86" s="26">
        <v>15000</v>
      </c>
      <c r="M86" s="788" t="s">
        <v>1321</v>
      </c>
      <c r="N86" s="13" t="s">
        <v>1322</v>
      </c>
      <c r="O86" s="28">
        <f t="shared" si="51"/>
        <v>600000</v>
      </c>
      <c r="P86" s="28">
        <f t="shared" si="52"/>
        <v>600000</v>
      </c>
      <c r="Q86" s="28">
        <f t="shared" ref="Q86:U86" si="56">+$O$86*0.2</f>
        <v>120000</v>
      </c>
      <c r="R86" s="28">
        <f t="shared" si="56"/>
        <v>120000</v>
      </c>
      <c r="S86" s="28">
        <f t="shared" si="56"/>
        <v>120000</v>
      </c>
      <c r="T86" s="28">
        <f t="shared" si="56"/>
        <v>120000</v>
      </c>
      <c r="U86" s="28">
        <f t="shared" si="56"/>
        <v>120000</v>
      </c>
      <c r="V86" s="13"/>
      <c r="W86" s="13" t="s">
        <v>148</v>
      </c>
      <c r="X86" s="13"/>
      <c r="Y86" s="13"/>
      <c r="Z86" s="13"/>
      <c r="AA86" s="13" t="str">
        <f t="shared" si="55"/>
        <v>RE</v>
      </c>
      <c r="AB86" s="13">
        <v>2</v>
      </c>
    </row>
    <row r="87" spans="1:28" ht="65.25" x14ac:dyDescent="0.25">
      <c r="A87" s="285" t="s">
        <v>259</v>
      </c>
      <c r="B87" s="285" t="s">
        <v>254</v>
      </c>
      <c r="C87" s="12" t="s">
        <v>1323</v>
      </c>
      <c r="D87" s="263" t="s">
        <v>174</v>
      </c>
      <c r="E87" s="375" t="s">
        <v>1324</v>
      </c>
      <c r="F87" s="13" t="s">
        <v>1325</v>
      </c>
      <c r="G87" s="13" t="str">
        <f>+'8. BASE  CONSOLIDADA'!O41</f>
        <v>ASOCIATIVIDAD</v>
      </c>
      <c r="H87" s="13" t="str">
        <f>+'8. BASE  CONSOLIDADA'!P41</f>
        <v>C2</v>
      </c>
      <c r="I87" s="13">
        <v>66</v>
      </c>
      <c r="J87" s="31">
        <f>+I87*0.6</f>
        <v>39.6</v>
      </c>
      <c r="K87" s="31">
        <f>+I87*0.4</f>
        <v>26.400000000000002</v>
      </c>
      <c r="L87" s="28">
        <f>6*4000*12</f>
        <v>288000</v>
      </c>
      <c r="M87" s="788" t="s">
        <v>1326</v>
      </c>
      <c r="N87" s="13" t="s">
        <v>1327</v>
      </c>
      <c r="O87" s="28">
        <f>+L87*5</f>
        <v>1440000</v>
      </c>
      <c r="P87" s="28">
        <f>+L87*5</f>
        <v>1440000</v>
      </c>
      <c r="Q87" s="28">
        <f t="shared" ref="Q87:U87" si="57">+$O$87*0.2</f>
        <v>288000</v>
      </c>
      <c r="R87" s="28">
        <f t="shared" si="57"/>
        <v>288000</v>
      </c>
      <c r="S87" s="28">
        <f t="shared" si="57"/>
        <v>288000</v>
      </c>
      <c r="T87" s="28">
        <f t="shared" si="57"/>
        <v>288000</v>
      </c>
      <c r="U87" s="28">
        <f t="shared" si="57"/>
        <v>288000</v>
      </c>
      <c r="V87" s="13"/>
      <c r="W87" s="13"/>
      <c r="X87" s="13"/>
      <c r="Y87" s="13" t="s">
        <v>148</v>
      </c>
      <c r="Z87" s="13"/>
      <c r="AA87" s="13" t="str">
        <f t="shared" si="55"/>
        <v>RE</v>
      </c>
      <c r="AB87" s="13">
        <v>2</v>
      </c>
    </row>
    <row r="88" spans="1:28" ht="54.35" x14ac:dyDescent="0.25">
      <c r="A88" s="333" t="s">
        <v>260</v>
      </c>
      <c r="B88" s="284" t="s">
        <v>254</v>
      </c>
      <c r="C88" s="12" t="s">
        <v>1328</v>
      </c>
      <c r="D88" s="375" t="s">
        <v>179</v>
      </c>
      <c r="E88" s="373" t="s">
        <v>1329</v>
      </c>
      <c r="F88" s="13" t="s">
        <v>994</v>
      </c>
      <c r="G88" s="13" t="str">
        <f>+'8. BASE  CONSOLIDADA'!O42</f>
        <v>MERCADO</v>
      </c>
      <c r="H88" s="13" t="str">
        <f>+'8. BASE  CONSOLIDADA'!P42</f>
        <v>C9</v>
      </c>
      <c r="I88" s="13"/>
      <c r="J88" s="13">
        <v>5</v>
      </c>
      <c r="K88" s="13">
        <v>5</v>
      </c>
      <c r="L88" s="28">
        <v>3500</v>
      </c>
      <c r="M88" s="788" t="s">
        <v>1330</v>
      </c>
      <c r="N88" s="13" t="s">
        <v>1331</v>
      </c>
      <c r="O88" s="28">
        <f>+J88*L88*60</f>
        <v>1050000</v>
      </c>
      <c r="P88" s="28">
        <f>+L88*K88*60</f>
        <v>1050000</v>
      </c>
      <c r="Q88" s="28">
        <f t="shared" ref="Q88:U88" si="58">+$O$88*0.2</f>
        <v>210000</v>
      </c>
      <c r="R88" s="28">
        <f t="shared" si="58"/>
        <v>210000</v>
      </c>
      <c r="S88" s="28">
        <f t="shared" si="58"/>
        <v>210000</v>
      </c>
      <c r="T88" s="28">
        <f t="shared" si="58"/>
        <v>210000</v>
      </c>
      <c r="U88" s="28">
        <f t="shared" si="58"/>
        <v>210000</v>
      </c>
      <c r="V88" s="13"/>
      <c r="W88" s="13" t="s">
        <v>148</v>
      </c>
      <c r="X88" s="13"/>
      <c r="Y88" s="13"/>
      <c r="Z88" s="13"/>
      <c r="AA88" s="13" t="str">
        <f t="shared" si="55"/>
        <v>RE</v>
      </c>
      <c r="AB88" s="13">
        <v>2</v>
      </c>
    </row>
    <row r="89" spans="1:28" ht="54.35" x14ac:dyDescent="0.25">
      <c r="A89" s="334" t="s">
        <v>258</v>
      </c>
      <c r="B89" s="291"/>
      <c r="C89" s="12" t="s">
        <v>1332</v>
      </c>
      <c r="D89" s="263" t="s">
        <v>175</v>
      </c>
      <c r="E89" s="263" t="s">
        <v>1333</v>
      </c>
      <c r="F89" s="13" t="s">
        <v>1334</v>
      </c>
      <c r="G89" s="13" t="str">
        <f>+'8. BASE  CONSOLIDADA'!O43</f>
        <v>FINANCIAMIENTO</v>
      </c>
      <c r="H89" s="13" t="str">
        <f>+'8. BASE  CONSOLIDADA'!P43</f>
        <v>C6</v>
      </c>
      <c r="I89" s="13">
        <v>9</v>
      </c>
      <c r="J89" s="13">
        <v>30</v>
      </c>
      <c r="K89" s="13">
        <v>27</v>
      </c>
      <c r="L89" s="254">
        <v>5000</v>
      </c>
      <c r="M89" s="786" t="s">
        <v>1335</v>
      </c>
      <c r="N89" s="13" t="s">
        <v>1336</v>
      </c>
      <c r="O89" s="28">
        <f>+J89*L89*5</f>
        <v>750000</v>
      </c>
      <c r="P89" s="28">
        <f>+L89*K89*5</f>
        <v>675000</v>
      </c>
      <c r="Q89" s="28">
        <f t="shared" ref="Q89:U89" si="59">+$O$89*0.2</f>
        <v>150000</v>
      </c>
      <c r="R89" s="28">
        <f t="shared" si="59"/>
        <v>150000</v>
      </c>
      <c r="S89" s="28">
        <f t="shared" si="59"/>
        <v>150000</v>
      </c>
      <c r="T89" s="28">
        <f t="shared" si="59"/>
        <v>150000</v>
      </c>
      <c r="U89" s="28">
        <f t="shared" si="59"/>
        <v>150000</v>
      </c>
      <c r="V89" s="13"/>
      <c r="W89" s="13"/>
      <c r="X89" s="13"/>
      <c r="Y89" s="13" t="s">
        <v>148</v>
      </c>
      <c r="Z89" s="13"/>
      <c r="AA89" s="13"/>
      <c r="AB89" s="13">
        <v>3</v>
      </c>
    </row>
    <row r="90" spans="1:28" ht="65.25" x14ac:dyDescent="0.25">
      <c r="A90" s="285" t="s">
        <v>259</v>
      </c>
      <c r="B90" s="285"/>
      <c r="C90" s="12" t="s">
        <v>1337</v>
      </c>
      <c r="D90" s="263" t="s">
        <v>173</v>
      </c>
      <c r="E90" s="263" t="s">
        <v>1338</v>
      </c>
      <c r="F90" s="13" t="s">
        <v>1339</v>
      </c>
      <c r="G90" s="13" t="str">
        <f>+'8. BASE  CONSOLIDADA'!O44</f>
        <v>SERVICIO DE EDUCACIÓN Y SALUD ADECUADOS</v>
      </c>
      <c r="H90" s="13" t="str">
        <f>+'8. BASE  CONSOLIDADA'!P44</f>
        <v>C14</v>
      </c>
      <c r="I90" s="13">
        <f>66*100</f>
        <v>6600</v>
      </c>
      <c r="J90" s="13">
        <f>+I90*0.3</f>
        <v>1980</v>
      </c>
      <c r="K90" s="13">
        <f>+I90*0.4</f>
        <v>2640</v>
      </c>
      <c r="L90" s="28">
        <v>30000</v>
      </c>
      <c r="M90" s="788" t="s">
        <v>1340</v>
      </c>
      <c r="N90" s="13" t="s">
        <v>1341</v>
      </c>
      <c r="O90" s="28">
        <f>+J90*L90</f>
        <v>59400000</v>
      </c>
      <c r="P90" s="28">
        <f>+L90*K90</f>
        <v>79200000</v>
      </c>
      <c r="Q90" s="28">
        <f t="shared" ref="Q90:U90" si="60">+$O$90*0.2</f>
        <v>11880000</v>
      </c>
      <c r="R90" s="28">
        <f t="shared" si="60"/>
        <v>11880000</v>
      </c>
      <c r="S90" s="28">
        <f t="shared" si="60"/>
        <v>11880000</v>
      </c>
      <c r="T90" s="28">
        <f t="shared" si="60"/>
        <v>11880000</v>
      </c>
      <c r="U90" s="28">
        <f t="shared" si="60"/>
        <v>11880000</v>
      </c>
      <c r="V90" s="13"/>
      <c r="W90" s="13"/>
      <c r="X90" s="13"/>
      <c r="Y90" s="13" t="s">
        <v>148</v>
      </c>
      <c r="Z90" s="13"/>
      <c r="AA90" s="13"/>
      <c r="AB90" s="13">
        <v>2</v>
      </c>
    </row>
    <row r="91" spans="1:28" ht="108.7" x14ac:dyDescent="0.25">
      <c r="A91" s="285" t="s">
        <v>259</v>
      </c>
      <c r="B91" s="285" t="s">
        <v>254</v>
      </c>
      <c r="C91" s="12" t="s">
        <v>1342</v>
      </c>
      <c r="D91" s="263" t="s">
        <v>176</v>
      </c>
      <c r="E91" s="263" t="s">
        <v>1343</v>
      </c>
      <c r="F91" s="13" t="s">
        <v>1344</v>
      </c>
      <c r="G91" s="13" t="str">
        <f>+'8. BASE  CONSOLIDADA'!O45</f>
        <v>SERVICIO DE EDUCACIÓN Y SALUD ADECUADOS</v>
      </c>
      <c r="H91" s="13" t="str">
        <f>+'8. BASE  CONSOLIDADA'!P45</f>
        <v>C14</v>
      </c>
      <c r="I91" s="13">
        <v>66</v>
      </c>
      <c r="J91" s="31">
        <v>36</v>
      </c>
      <c r="K91" s="31">
        <v>30</v>
      </c>
      <c r="L91" s="26">
        <v>150000</v>
      </c>
      <c r="M91" s="788" t="s">
        <v>1345</v>
      </c>
      <c r="N91" s="13" t="s">
        <v>1346</v>
      </c>
      <c r="O91" s="28">
        <f>+J91*L91*5</f>
        <v>27000000</v>
      </c>
      <c r="P91" s="28">
        <f>+L91*K91*5</f>
        <v>22500000</v>
      </c>
      <c r="Q91" s="28">
        <f t="shared" ref="Q91:U91" si="61">+$O$91*0.2</f>
        <v>5400000</v>
      </c>
      <c r="R91" s="28">
        <f t="shared" si="61"/>
        <v>5400000</v>
      </c>
      <c r="S91" s="28">
        <f t="shared" si="61"/>
        <v>5400000</v>
      </c>
      <c r="T91" s="28">
        <f t="shared" si="61"/>
        <v>5400000</v>
      </c>
      <c r="U91" s="28">
        <f t="shared" si="61"/>
        <v>5400000</v>
      </c>
      <c r="V91" s="13"/>
      <c r="W91" s="13" t="s">
        <v>148</v>
      </c>
      <c r="X91" s="13"/>
      <c r="Y91" s="13"/>
      <c r="Z91" s="13"/>
      <c r="AA91" s="13" t="str">
        <f>+B91</f>
        <v>RE</v>
      </c>
      <c r="AB91" s="13">
        <v>3</v>
      </c>
    </row>
    <row r="92" spans="1:28" ht="17.350000000000001" customHeight="1" x14ac:dyDescent="0.25">
      <c r="A92" s="825"/>
      <c r="B92" s="16"/>
      <c r="C92" s="16"/>
      <c r="D92" s="366"/>
      <c r="E92" s="264"/>
      <c r="F92" s="366"/>
      <c r="G92" s="366"/>
      <c r="H92" s="366"/>
      <c r="I92" s="366"/>
      <c r="J92" s="366"/>
      <c r="K92" s="366"/>
      <c r="L92" s="366"/>
      <c r="M92" s="264"/>
      <c r="N92" s="366"/>
      <c r="O92" s="29">
        <f>SUM(O84:O91)</f>
        <v>97047150</v>
      </c>
      <c r="P92" s="29">
        <f t="shared" ref="P92:U92" si="62">SUM(P84:P91)</f>
        <v>107010600</v>
      </c>
      <c r="Q92" s="29">
        <f t="shared" si="62"/>
        <v>19409430</v>
      </c>
      <c r="R92" s="29">
        <f t="shared" si="62"/>
        <v>19409430</v>
      </c>
      <c r="S92" s="29">
        <f t="shared" si="62"/>
        <v>19409430</v>
      </c>
      <c r="T92" s="29">
        <f t="shared" si="62"/>
        <v>19409430</v>
      </c>
      <c r="U92" s="29">
        <f t="shared" si="62"/>
        <v>19409430</v>
      </c>
      <c r="V92" s="366"/>
      <c r="W92" s="1"/>
      <c r="X92" s="1"/>
      <c r="Y92" s="1"/>
      <c r="Z92" s="1"/>
      <c r="AA92" s="1"/>
      <c r="AB92" s="1"/>
    </row>
    <row r="93" spans="1:28" ht="17.350000000000001" customHeight="1" x14ac:dyDescent="0.25">
      <c r="A93" s="825"/>
      <c r="B93" s="16"/>
      <c r="C93" s="16"/>
      <c r="D93" s="366"/>
      <c r="E93" s="264"/>
      <c r="F93" s="366"/>
      <c r="G93" s="366"/>
      <c r="H93" s="366"/>
      <c r="I93" s="366"/>
      <c r="J93" s="366"/>
      <c r="K93" s="366"/>
      <c r="L93" s="366"/>
      <c r="M93" s="264"/>
      <c r="N93" s="366"/>
      <c r="O93" s="366"/>
      <c r="P93" s="366"/>
      <c r="Q93" s="366"/>
      <c r="R93" s="366"/>
      <c r="S93" s="366"/>
      <c r="T93" s="366"/>
      <c r="U93" s="366"/>
      <c r="V93" s="366"/>
      <c r="W93" s="1"/>
      <c r="X93" s="1"/>
      <c r="Y93" s="1"/>
      <c r="Z93" s="1"/>
      <c r="AA93" s="1"/>
      <c r="AB93" s="1"/>
    </row>
    <row r="94" spans="1:28" ht="11.25" customHeight="1" x14ac:dyDescent="0.25">
      <c r="A94" s="825"/>
      <c r="B94" s="16"/>
      <c r="C94" s="16"/>
      <c r="D94" s="366"/>
      <c r="E94" s="264"/>
      <c r="F94" s="366"/>
      <c r="G94" s="366"/>
      <c r="H94" s="366"/>
      <c r="I94" s="366"/>
      <c r="J94" s="366"/>
      <c r="K94" s="366"/>
      <c r="L94" s="366"/>
      <c r="M94" s="264"/>
      <c r="N94" s="366"/>
      <c r="O94" s="366"/>
      <c r="P94" s="366"/>
      <c r="Q94" s="366"/>
      <c r="R94" s="366"/>
      <c r="S94" s="366"/>
      <c r="T94" s="366"/>
      <c r="U94" s="366"/>
      <c r="V94" s="366"/>
      <c r="W94" s="1"/>
      <c r="X94" s="1"/>
      <c r="Y94" s="1"/>
      <c r="Z94" s="1"/>
      <c r="AA94" s="1"/>
      <c r="AB94" s="1"/>
    </row>
    <row r="95" spans="1:28" ht="14.95" customHeight="1" x14ac:dyDescent="0.25">
      <c r="A95" s="825"/>
      <c r="B95" s="16"/>
      <c r="C95" s="1459" t="s">
        <v>1170</v>
      </c>
      <c r="D95" s="1405"/>
      <c r="E95" s="1406"/>
      <c r="F95" s="816" t="s">
        <v>122</v>
      </c>
      <c r="G95" s="809"/>
      <c r="H95" s="809"/>
      <c r="I95" s="809"/>
      <c r="J95" s="809"/>
      <c r="K95" s="809"/>
      <c r="L95" s="809"/>
      <c r="M95" s="936"/>
      <c r="N95" s="809"/>
      <c r="O95" s="809"/>
      <c r="P95" s="809"/>
      <c r="Q95" s="809"/>
      <c r="R95" s="809"/>
      <c r="S95" s="809"/>
      <c r="T95" s="809"/>
      <c r="U95" s="809"/>
      <c r="V95" s="809"/>
      <c r="W95" s="809"/>
      <c r="X95" s="809"/>
      <c r="Y95" s="809"/>
      <c r="Z95" s="809"/>
      <c r="AA95" s="809"/>
      <c r="AB95" s="810"/>
    </row>
    <row r="96" spans="1:28" ht="34.5" customHeight="1" x14ac:dyDescent="0.25">
      <c r="A96" s="825"/>
      <c r="B96" s="16"/>
      <c r="C96" s="1459" t="s">
        <v>1171</v>
      </c>
      <c r="D96" s="1405"/>
      <c r="E96" s="1406"/>
      <c r="F96" s="1445" t="s">
        <v>1347</v>
      </c>
      <c r="G96" s="1446"/>
      <c r="H96" s="1446"/>
      <c r="I96" s="1446"/>
      <c r="J96" s="1446"/>
      <c r="K96" s="1446"/>
      <c r="L96" s="1446"/>
      <c r="M96" s="1446"/>
      <c r="N96" s="1446"/>
      <c r="O96" s="1446"/>
      <c r="P96" s="1446"/>
      <c r="Q96" s="1446"/>
      <c r="R96" s="1446"/>
      <c r="S96" s="1446"/>
      <c r="T96" s="1446"/>
      <c r="U96" s="1446"/>
      <c r="V96" s="1446"/>
      <c r="W96" s="1446"/>
      <c r="X96" s="1446"/>
      <c r="Y96" s="1446"/>
      <c r="Z96" s="1446"/>
      <c r="AA96" s="1446"/>
      <c r="AB96" s="1447"/>
    </row>
    <row r="97" spans="1:28" ht="21.1" customHeight="1" x14ac:dyDescent="0.25">
      <c r="A97" s="825"/>
      <c r="B97" s="16"/>
      <c r="C97" s="1459" t="s">
        <v>1173</v>
      </c>
      <c r="D97" s="1405"/>
      <c r="E97" s="1406"/>
      <c r="F97" s="1445" t="s">
        <v>1348</v>
      </c>
      <c r="G97" s="1446"/>
      <c r="H97" s="1446"/>
      <c r="I97" s="1446"/>
      <c r="J97" s="1446"/>
      <c r="K97" s="1446"/>
      <c r="L97" s="1446"/>
      <c r="M97" s="1446"/>
      <c r="N97" s="1446"/>
      <c r="O97" s="1446"/>
      <c r="P97" s="1446"/>
      <c r="Q97" s="1446"/>
      <c r="R97" s="1446"/>
      <c r="S97" s="1446"/>
      <c r="T97" s="1446"/>
      <c r="U97" s="1446"/>
      <c r="V97" s="1446"/>
      <c r="W97" s="1446"/>
      <c r="X97" s="1446"/>
      <c r="Y97" s="1446"/>
      <c r="Z97" s="1446"/>
      <c r="AA97" s="1446"/>
      <c r="AB97" s="1447"/>
    </row>
    <row r="98" spans="1:28" ht="21.75" customHeight="1" x14ac:dyDescent="0.25">
      <c r="A98" s="825"/>
      <c r="B98" s="16"/>
      <c r="C98" s="1459" t="s">
        <v>1175</v>
      </c>
      <c r="D98" s="1405"/>
      <c r="E98" s="1406"/>
      <c r="F98" s="1445" t="s">
        <v>1349</v>
      </c>
      <c r="G98" s="1446"/>
      <c r="H98" s="1446"/>
      <c r="I98" s="1446"/>
      <c r="J98" s="1446"/>
      <c r="K98" s="1446"/>
      <c r="L98" s="1446"/>
      <c r="M98" s="1446"/>
      <c r="N98" s="1446"/>
      <c r="O98" s="1446"/>
      <c r="P98" s="1446"/>
      <c r="Q98" s="1446"/>
      <c r="R98" s="1446"/>
      <c r="S98" s="1446"/>
      <c r="T98" s="1446"/>
      <c r="U98" s="1446"/>
      <c r="V98" s="1446"/>
      <c r="W98" s="1446"/>
      <c r="X98" s="1446"/>
      <c r="Y98" s="1446"/>
      <c r="Z98" s="1446"/>
      <c r="AA98" s="1446"/>
      <c r="AB98" s="1447"/>
    </row>
    <row r="99" spans="1:28" ht="50.95" customHeight="1" x14ac:dyDescent="0.25">
      <c r="A99" s="825"/>
      <c r="B99" s="16"/>
      <c r="C99" s="1444" t="s">
        <v>142</v>
      </c>
      <c r="D99" s="1405"/>
      <c r="E99" s="1406"/>
      <c r="F99" s="1445" t="s">
        <v>1177</v>
      </c>
      <c r="G99" s="1446"/>
      <c r="H99" s="1446"/>
      <c r="I99" s="1446"/>
      <c r="J99" s="1446"/>
      <c r="K99" s="1446"/>
      <c r="L99" s="1446"/>
      <c r="M99" s="1446"/>
      <c r="N99" s="1446"/>
      <c r="O99" s="1446"/>
      <c r="P99" s="1446"/>
      <c r="Q99" s="1446"/>
      <c r="R99" s="1446"/>
      <c r="S99" s="1446"/>
      <c r="T99" s="1446"/>
      <c r="U99" s="1446"/>
      <c r="V99" s="1446"/>
      <c r="W99" s="1446"/>
      <c r="X99" s="1446"/>
      <c r="Y99" s="1446"/>
      <c r="Z99" s="1446"/>
      <c r="AA99" s="1446"/>
      <c r="AB99" s="1447"/>
    </row>
    <row r="100" spans="1:28" ht="32.950000000000003" customHeight="1" x14ac:dyDescent="0.25">
      <c r="A100" s="825"/>
      <c r="B100" s="16"/>
      <c r="C100" s="1444" t="s">
        <v>1178</v>
      </c>
      <c r="D100" s="1405"/>
      <c r="E100" s="1406"/>
      <c r="F100" s="1445" t="s">
        <v>1350</v>
      </c>
      <c r="G100" s="1446"/>
      <c r="H100" s="1446"/>
      <c r="I100" s="1446"/>
      <c r="J100" s="1446"/>
      <c r="K100" s="1446"/>
      <c r="L100" s="1446"/>
      <c r="M100" s="1446"/>
      <c r="N100" s="1446"/>
      <c r="O100" s="1446"/>
      <c r="P100" s="1446"/>
      <c r="Q100" s="1446"/>
      <c r="R100" s="1446"/>
      <c r="S100" s="1446"/>
      <c r="T100" s="1446"/>
      <c r="U100" s="1446"/>
      <c r="V100" s="1446"/>
      <c r="W100" s="1446"/>
      <c r="X100" s="1446"/>
      <c r="Y100" s="1446"/>
      <c r="Z100" s="1446"/>
      <c r="AA100" s="1446"/>
      <c r="AB100" s="1447"/>
    </row>
    <row r="101" spans="1:28" ht="42.8" customHeight="1" x14ac:dyDescent="0.25">
      <c r="A101" s="825"/>
      <c r="B101" s="16"/>
      <c r="C101" s="1418" t="s">
        <v>964</v>
      </c>
      <c r="D101" s="1450" t="s">
        <v>965</v>
      </c>
      <c r="E101" s="1450" t="s">
        <v>468</v>
      </c>
      <c r="F101" s="1418" t="s">
        <v>470</v>
      </c>
      <c r="G101" s="1418" t="s">
        <v>966</v>
      </c>
      <c r="H101" s="1418" t="s">
        <v>967</v>
      </c>
      <c r="I101" s="1418" t="s">
        <v>1180</v>
      </c>
      <c r="J101" s="1418" t="s">
        <v>968</v>
      </c>
      <c r="K101" s="1418" t="s">
        <v>969</v>
      </c>
      <c r="L101" s="1453" t="s">
        <v>970</v>
      </c>
      <c r="M101" s="1453" t="s">
        <v>971</v>
      </c>
      <c r="N101" s="1453" t="s">
        <v>972</v>
      </c>
      <c r="O101" s="1456" t="s">
        <v>973</v>
      </c>
      <c r="P101" s="1457"/>
      <c r="Q101" s="1456" t="s">
        <v>974</v>
      </c>
      <c r="R101" s="1458"/>
      <c r="S101" s="1458"/>
      <c r="T101" s="1458"/>
      <c r="U101" s="1457"/>
      <c r="V101" s="1418" t="s">
        <v>975</v>
      </c>
      <c r="W101" s="1477" t="s">
        <v>976</v>
      </c>
      <c r="X101" s="1478"/>
      <c r="Y101" s="1478"/>
      <c r="Z101" s="1479"/>
      <c r="AA101" s="815"/>
      <c r="AB101" s="1418" t="s">
        <v>977</v>
      </c>
    </row>
    <row r="102" spans="1:28" s="667" customFormat="1" ht="63.7" customHeight="1" x14ac:dyDescent="0.25">
      <c r="B102" s="811"/>
      <c r="C102" s="1449"/>
      <c r="D102" s="1451"/>
      <c r="E102" s="1451"/>
      <c r="F102" s="1449"/>
      <c r="G102" s="1449"/>
      <c r="H102" s="1449"/>
      <c r="I102" s="1449"/>
      <c r="J102" s="1449"/>
      <c r="K102" s="1449"/>
      <c r="L102" s="1454"/>
      <c r="M102" s="1455"/>
      <c r="N102" s="1454"/>
      <c r="O102" s="940" t="s">
        <v>978</v>
      </c>
      <c r="P102" s="940" t="s">
        <v>979</v>
      </c>
      <c r="Q102" s="940" t="s">
        <v>980</v>
      </c>
      <c r="R102" s="940" t="s">
        <v>981</v>
      </c>
      <c r="S102" s="940" t="s">
        <v>982</v>
      </c>
      <c r="T102" s="940" t="s">
        <v>983</v>
      </c>
      <c r="U102" s="940" t="s">
        <v>984</v>
      </c>
      <c r="V102" s="1449"/>
      <c r="W102" s="808" t="s">
        <v>985</v>
      </c>
      <c r="X102" s="808" t="s">
        <v>986</v>
      </c>
      <c r="Y102" s="808" t="s">
        <v>987</v>
      </c>
      <c r="Z102" s="808" t="s">
        <v>988</v>
      </c>
      <c r="AA102" s="808" t="s">
        <v>253</v>
      </c>
      <c r="AB102" s="1449"/>
    </row>
    <row r="103" spans="1:28" ht="91.55" customHeight="1" x14ac:dyDescent="0.25">
      <c r="A103" s="333" t="s">
        <v>260</v>
      </c>
      <c r="B103" s="284" t="s">
        <v>254</v>
      </c>
      <c r="C103" s="12" t="s">
        <v>1351</v>
      </c>
      <c r="D103" s="786" t="s">
        <v>264</v>
      </c>
      <c r="E103" s="266" t="s">
        <v>1352</v>
      </c>
      <c r="F103" s="13" t="s">
        <v>1320</v>
      </c>
      <c r="G103" s="12" t="str">
        <f>+'8. BASE  CONSOLIDADA'!O46</f>
        <v>FINANCIAMIENTO</v>
      </c>
      <c r="H103" s="12" t="str">
        <f>+'8. BASE  CONSOLIDADA'!P46</f>
        <v>C6</v>
      </c>
      <c r="I103" s="13">
        <v>14</v>
      </c>
      <c r="J103" s="31">
        <f>+I103*0.6</f>
        <v>8.4</v>
      </c>
      <c r="K103" s="31">
        <f>+I103*0.4</f>
        <v>5.6000000000000005</v>
      </c>
      <c r="L103" s="26">
        <v>150000</v>
      </c>
      <c r="M103" s="788" t="s">
        <v>1353</v>
      </c>
      <c r="N103" s="13" t="s">
        <v>1354</v>
      </c>
      <c r="O103" s="14">
        <f>+J103*L103</f>
        <v>1260000</v>
      </c>
      <c r="P103" s="14">
        <f>+L103*K103</f>
        <v>840000.00000000012</v>
      </c>
      <c r="Q103" s="14">
        <f t="shared" ref="Q103:U103" si="63">+$O$103*0.2</f>
        <v>252000</v>
      </c>
      <c r="R103" s="14">
        <f t="shared" si="63"/>
        <v>252000</v>
      </c>
      <c r="S103" s="14">
        <f t="shared" si="63"/>
        <v>252000</v>
      </c>
      <c r="T103" s="14">
        <f t="shared" si="63"/>
        <v>252000</v>
      </c>
      <c r="U103" s="14">
        <f t="shared" si="63"/>
        <v>252000</v>
      </c>
      <c r="V103" s="13"/>
      <c r="W103" s="13" t="s">
        <v>148</v>
      </c>
      <c r="X103" s="13"/>
      <c r="Y103" s="13"/>
      <c r="Z103" s="13"/>
      <c r="AA103" s="13" t="str">
        <f t="shared" ref="AA103:AA106" si="64">+B103</f>
        <v>RE</v>
      </c>
      <c r="AB103" s="13">
        <v>2</v>
      </c>
    </row>
    <row r="104" spans="1:28" ht="95.3" customHeight="1" x14ac:dyDescent="0.25">
      <c r="A104" s="285" t="s">
        <v>259</v>
      </c>
      <c r="B104" s="285" t="s">
        <v>254</v>
      </c>
      <c r="C104" s="12" t="s">
        <v>1355</v>
      </c>
      <c r="D104" s="786" t="s">
        <v>271</v>
      </c>
      <c r="E104" s="373" t="s">
        <v>1356</v>
      </c>
      <c r="F104" s="13" t="s">
        <v>994</v>
      </c>
      <c r="G104" s="12" t="str">
        <f>+'8. BASE  CONSOLIDADA'!O47</f>
        <v>ASISTENCIA TÉCNICA</v>
      </c>
      <c r="H104" s="12" t="str">
        <f>+'8. BASE  CONSOLIDADA'!P47</f>
        <v>C1</v>
      </c>
      <c r="I104" s="13"/>
      <c r="J104" s="13">
        <v>3</v>
      </c>
      <c r="K104" s="13">
        <v>3</v>
      </c>
      <c r="L104" s="26">
        <v>4000</v>
      </c>
      <c r="M104" s="788" t="s">
        <v>1357</v>
      </c>
      <c r="N104" s="13" t="s">
        <v>1354</v>
      </c>
      <c r="O104" s="14">
        <f>+(J104*L104)*60</f>
        <v>720000</v>
      </c>
      <c r="P104" s="14">
        <f>+(L104*K104)*60</f>
        <v>720000</v>
      </c>
      <c r="Q104" s="14">
        <f t="shared" ref="Q104:U104" si="65">+$O$104*0.2</f>
        <v>144000</v>
      </c>
      <c r="R104" s="14">
        <f t="shared" si="65"/>
        <v>144000</v>
      </c>
      <c r="S104" s="14">
        <f t="shared" si="65"/>
        <v>144000</v>
      </c>
      <c r="T104" s="14">
        <f t="shared" si="65"/>
        <v>144000</v>
      </c>
      <c r="U104" s="14">
        <f t="shared" si="65"/>
        <v>144000</v>
      </c>
      <c r="V104" s="13"/>
      <c r="W104" s="13"/>
      <c r="X104" s="13"/>
      <c r="Y104" s="13" t="s">
        <v>148</v>
      </c>
      <c r="Z104" s="13"/>
      <c r="AA104" s="13" t="str">
        <f t="shared" si="64"/>
        <v>RE</v>
      </c>
      <c r="AB104" s="13">
        <v>3</v>
      </c>
    </row>
    <row r="105" spans="1:28" ht="75.75" customHeight="1" x14ac:dyDescent="0.25">
      <c r="A105" s="333" t="s">
        <v>260</v>
      </c>
      <c r="B105" s="284" t="s">
        <v>254</v>
      </c>
      <c r="C105" s="12" t="s">
        <v>1358</v>
      </c>
      <c r="D105" s="263" t="s">
        <v>177</v>
      </c>
      <c r="E105" s="373" t="s">
        <v>1359</v>
      </c>
      <c r="F105" s="13" t="s">
        <v>1320</v>
      </c>
      <c r="G105" s="12" t="str">
        <f>+'8. BASE  CONSOLIDADA'!O48</f>
        <v>INNOVACIÓN</v>
      </c>
      <c r="H105" s="12" t="str">
        <f>+'8. BASE  CONSOLIDADA'!P48</f>
        <v>C8</v>
      </c>
      <c r="I105" s="13"/>
      <c r="J105" s="13">
        <v>7</v>
      </c>
      <c r="K105" s="13">
        <v>7</v>
      </c>
      <c r="L105" s="26">
        <v>150000</v>
      </c>
      <c r="M105" s="788" t="s">
        <v>1360</v>
      </c>
      <c r="N105" s="13" t="s">
        <v>1361</v>
      </c>
      <c r="O105" s="14">
        <f>+J105*L105</f>
        <v>1050000</v>
      </c>
      <c r="P105" s="14">
        <f>+L105*K105</f>
        <v>1050000</v>
      </c>
      <c r="Q105" s="14">
        <f t="shared" ref="Q105:U105" si="66">+$O$105*0.2</f>
        <v>210000</v>
      </c>
      <c r="R105" s="14">
        <f t="shared" si="66"/>
        <v>210000</v>
      </c>
      <c r="S105" s="14">
        <f t="shared" si="66"/>
        <v>210000</v>
      </c>
      <c r="T105" s="14">
        <f t="shared" si="66"/>
        <v>210000</v>
      </c>
      <c r="U105" s="14">
        <f t="shared" si="66"/>
        <v>210000</v>
      </c>
      <c r="V105" s="13"/>
      <c r="W105" s="13" t="s">
        <v>148</v>
      </c>
      <c r="X105" s="13"/>
      <c r="Y105" s="13"/>
      <c r="Z105" s="13"/>
      <c r="AA105" s="13" t="str">
        <f t="shared" si="64"/>
        <v>RE</v>
      </c>
      <c r="AB105" s="13">
        <v>3</v>
      </c>
    </row>
    <row r="106" spans="1:28" ht="65.25" x14ac:dyDescent="0.25">
      <c r="A106" s="333" t="s">
        <v>260</v>
      </c>
      <c r="B106" s="284" t="s">
        <v>254</v>
      </c>
      <c r="C106" s="12" t="s">
        <v>1362</v>
      </c>
      <c r="D106" s="786" t="s">
        <v>274</v>
      </c>
      <c r="E106" s="373" t="s">
        <v>1363</v>
      </c>
      <c r="F106" s="13" t="s">
        <v>1364</v>
      </c>
      <c r="G106" s="13" t="str">
        <f>+'8. BASE  CONSOLIDADA'!O49</f>
        <v>PROMOCIÓN ACTIVIDADES ECONÓMICOS</v>
      </c>
      <c r="H106" s="12" t="str">
        <f>+'8. BASE  CONSOLIDADA'!P49</f>
        <v>C11</v>
      </c>
      <c r="I106" s="13"/>
      <c r="J106" s="13">
        <v>7</v>
      </c>
      <c r="K106" s="13">
        <v>7</v>
      </c>
      <c r="L106" s="26">
        <v>40000</v>
      </c>
      <c r="M106" s="788" t="s">
        <v>1365</v>
      </c>
      <c r="N106" s="13" t="s">
        <v>1366</v>
      </c>
      <c r="O106" s="14">
        <f>+J106*L106*5</f>
        <v>1400000</v>
      </c>
      <c r="P106" s="14">
        <f>+L106*K106*5</f>
        <v>1400000</v>
      </c>
      <c r="Q106" s="14">
        <f t="shared" ref="Q106:U106" si="67">+$O$106*0.2</f>
        <v>280000</v>
      </c>
      <c r="R106" s="14">
        <f t="shared" si="67"/>
        <v>280000</v>
      </c>
      <c r="S106" s="14">
        <f t="shared" si="67"/>
        <v>280000</v>
      </c>
      <c r="T106" s="14">
        <f t="shared" si="67"/>
        <v>280000</v>
      </c>
      <c r="U106" s="14">
        <f t="shared" si="67"/>
        <v>280000</v>
      </c>
      <c r="V106" s="13"/>
      <c r="W106" s="13"/>
      <c r="X106" s="13"/>
      <c r="Y106" s="13" t="s">
        <v>148</v>
      </c>
      <c r="Z106" s="13"/>
      <c r="AA106" s="13" t="str">
        <f t="shared" si="64"/>
        <v>RE</v>
      </c>
      <c r="AB106" s="13">
        <v>3</v>
      </c>
    </row>
    <row r="107" spans="1:28" ht="19.55" customHeight="1" x14ac:dyDescent="0.25">
      <c r="A107" s="825"/>
      <c r="B107" s="16"/>
      <c r="C107" s="16"/>
      <c r="D107" s="366"/>
      <c r="E107" s="264"/>
      <c r="F107" s="366"/>
      <c r="G107" s="366"/>
      <c r="H107" s="366"/>
      <c r="I107" s="366"/>
      <c r="J107" s="366"/>
      <c r="K107" s="366"/>
      <c r="L107" s="366"/>
      <c r="M107" s="264"/>
      <c r="N107" s="366"/>
      <c r="O107" s="29">
        <f t="shared" ref="O107:U107" si="68">SUM(O103:O106)</f>
        <v>4430000</v>
      </c>
      <c r="P107" s="29">
        <f t="shared" si="68"/>
        <v>4010000</v>
      </c>
      <c r="Q107" s="29">
        <f t="shared" si="68"/>
        <v>886000</v>
      </c>
      <c r="R107" s="29">
        <f t="shared" si="68"/>
        <v>886000</v>
      </c>
      <c r="S107" s="29">
        <f t="shared" si="68"/>
        <v>886000</v>
      </c>
      <c r="T107" s="29">
        <f t="shared" si="68"/>
        <v>886000</v>
      </c>
      <c r="U107" s="29">
        <f t="shared" si="68"/>
        <v>886000</v>
      </c>
      <c r="V107" s="366"/>
      <c r="W107" s="1"/>
      <c r="X107" s="1"/>
      <c r="Y107" s="1"/>
      <c r="Z107" s="1"/>
      <c r="AA107" s="1"/>
      <c r="AB107" s="1"/>
    </row>
    <row r="108" spans="1:28" s="243" customFormat="1" ht="19.55" customHeight="1" x14ac:dyDescent="0.25">
      <c r="A108" s="825"/>
      <c r="B108" s="16"/>
      <c r="C108" s="16"/>
      <c r="D108" s="366"/>
      <c r="E108" s="264"/>
      <c r="F108" s="366"/>
      <c r="G108" s="366"/>
      <c r="H108" s="366"/>
      <c r="I108" s="366"/>
      <c r="J108" s="366"/>
      <c r="K108" s="366"/>
      <c r="L108" s="366"/>
      <c r="M108" s="264"/>
      <c r="N108" s="366"/>
      <c r="O108" s="366"/>
      <c r="P108" s="366"/>
      <c r="Q108" s="366"/>
      <c r="R108" s="366"/>
      <c r="S108" s="366"/>
      <c r="T108" s="366"/>
      <c r="U108" s="366"/>
      <c r="V108" s="366"/>
      <c r="W108" s="1"/>
      <c r="X108" s="1"/>
      <c r="Y108" s="1"/>
      <c r="Z108" s="1"/>
      <c r="AA108" s="1"/>
      <c r="AB108" s="1"/>
    </row>
    <row r="109" spans="1:28" ht="11.25" customHeight="1" x14ac:dyDescent="0.25">
      <c r="A109" s="825"/>
      <c r="B109" s="16"/>
      <c r="C109" s="16"/>
      <c r="D109" s="366"/>
      <c r="E109" s="264"/>
      <c r="F109" s="366"/>
      <c r="G109" s="366"/>
      <c r="H109" s="366"/>
      <c r="I109" s="366"/>
      <c r="J109" s="366"/>
      <c r="K109" s="366"/>
      <c r="L109" s="366"/>
      <c r="M109" s="264"/>
      <c r="N109" s="366"/>
      <c r="O109" s="366"/>
      <c r="P109" s="366"/>
      <c r="Q109" s="366"/>
      <c r="R109" s="366"/>
      <c r="S109" s="366"/>
      <c r="T109" s="366"/>
      <c r="U109" s="366"/>
      <c r="V109" s="366"/>
      <c r="W109" s="1"/>
      <c r="X109" s="1"/>
      <c r="Y109" s="1"/>
      <c r="Z109" s="1"/>
      <c r="AA109" s="1"/>
      <c r="AB109" s="1"/>
    </row>
    <row r="110" spans="1:28" ht="19.55" customHeight="1" x14ac:dyDescent="0.25">
      <c r="A110" s="825"/>
      <c r="B110" s="16"/>
      <c r="C110" s="1459" t="s">
        <v>1170</v>
      </c>
      <c r="D110" s="1405"/>
      <c r="E110" s="1406"/>
      <c r="F110" s="816" t="s">
        <v>121</v>
      </c>
      <c r="G110" s="813"/>
      <c r="H110" s="813"/>
      <c r="I110" s="813"/>
      <c r="J110" s="813"/>
      <c r="K110" s="813"/>
      <c r="L110" s="813"/>
      <c r="M110" s="938"/>
      <c r="N110" s="813"/>
      <c r="O110" s="813"/>
      <c r="P110" s="813"/>
      <c r="Q110" s="813"/>
      <c r="R110" s="813"/>
      <c r="S110" s="813"/>
      <c r="T110" s="813"/>
      <c r="U110" s="813"/>
      <c r="V110" s="813"/>
      <c r="W110" s="813"/>
      <c r="X110" s="813"/>
      <c r="Y110" s="813"/>
      <c r="Z110" s="813"/>
      <c r="AA110" s="813"/>
      <c r="AB110" s="814"/>
    </row>
    <row r="111" spans="1:28" ht="28.55" customHeight="1" x14ac:dyDescent="0.25">
      <c r="A111" s="825"/>
      <c r="B111" s="16"/>
      <c r="C111" s="1459" t="s">
        <v>1171</v>
      </c>
      <c r="D111" s="1405"/>
      <c r="E111" s="1406"/>
      <c r="F111" s="1445" t="s">
        <v>1367</v>
      </c>
      <c r="G111" s="1446"/>
      <c r="H111" s="1446"/>
      <c r="I111" s="1446"/>
      <c r="J111" s="1446"/>
      <c r="K111" s="1446"/>
      <c r="L111" s="1446"/>
      <c r="M111" s="1446"/>
      <c r="N111" s="1446"/>
      <c r="O111" s="1446"/>
      <c r="P111" s="1446"/>
      <c r="Q111" s="1446"/>
      <c r="R111" s="1446"/>
      <c r="S111" s="1446"/>
      <c r="T111" s="1446"/>
      <c r="U111" s="1446"/>
      <c r="V111" s="1446"/>
      <c r="W111" s="1446"/>
      <c r="X111" s="1446"/>
      <c r="Y111" s="1446"/>
      <c r="Z111" s="1446"/>
      <c r="AA111" s="1446"/>
      <c r="AB111" s="1447"/>
    </row>
    <row r="112" spans="1:28" ht="16.5" customHeight="1" x14ac:dyDescent="0.25">
      <c r="A112" s="825"/>
      <c r="B112" s="16"/>
      <c r="C112" s="1459" t="s">
        <v>1173</v>
      </c>
      <c r="D112" s="1405"/>
      <c r="E112" s="1406"/>
      <c r="F112" s="1445" t="s">
        <v>1368</v>
      </c>
      <c r="G112" s="1446"/>
      <c r="H112" s="1446"/>
      <c r="I112" s="1446"/>
      <c r="J112" s="1446"/>
      <c r="K112" s="1446"/>
      <c r="L112" s="1446"/>
      <c r="M112" s="1446"/>
      <c r="N112" s="1446"/>
      <c r="O112" s="1446"/>
      <c r="P112" s="1446"/>
      <c r="Q112" s="1446"/>
      <c r="R112" s="1446"/>
      <c r="S112" s="1446"/>
      <c r="T112" s="1446"/>
      <c r="U112" s="1446"/>
      <c r="V112" s="1446"/>
      <c r="W112" s="1446"/>
      <c r="X112" s="1446"/>
      <c r="Y112" s="1446"/>
      <c r="Z112" s="1446"/>
      <c r="AA112" s="1446"/>
      <c r="AB112" s="1447"/>
    </row>
    <row r="113" spans="1:28" ht="22.6" customHeight="1" x14ac:dyDescent="0.25">
      <c r="A113" s="825"/>
      <c r="B113" s="16"/>
      <c r="C113" s="1459" t="s">
        <v>1175</v>
      </c>
      <c r="D113" s="1405"/>
      <c r="E113" s="1406"/>
      <c r="F113" s="1445" t="s">
        <v>1369</v>
      </c>
      <c r="G113" s="1446"/>
      <c r="H113" s="1446"/>
      <c r="I113" s="1446"/>
      <c r="J113" s="1446"/>
      <c r="K113" s="1446"/>
      <c r="L113" s="1446"/>
      <c r="M113" s="1446"/>
      <c r="N113" s="1446"/>
      <c r="O113" s="1446"/>
      <c r="P113" s="1446"/>
      <c r="Q113" s="1446"/>
      <c r="R113" s="1446"/>
      <c r="S113" s="1446"/>
      <c r="T113" s="1446"/>
      <c r="U113" s="1446"/>
      <c r="V113" s="1446"/>
      <c r="W113" s="1446"/>
      <c r="X113" s="1446"/>
      <c r="Y113" s="1446"/>
      <c r="Z113" s="1446"/>
      <c r="AA113" s="1446"/>
      <c r="AB113" s="1447"/>
    </row>
    <row r="114" spans="1:28" ht="49.6" customHeight="1" x14ac:dyDescent="0.25">
      <c r="A114" s="825"/>
      <c r="B114" s="16"/>
      <c r="C114" s="1444" t="s">
        <v>142</v>
      </c>
      <c r="D114" s="1405"/>
      <c r="E114" s="1406"/>
      <c r="F114" s="1445" t="s">
        <v>1177</v>
      </c>
      <c r="G114" s="1446"/>
      <c r="H114" s="1446"/>
      <c r="I114" s="1446"/>
      <c r="J114" s="1446"/>
      <c r="K114" s="1446"/>
      <c r="L114" s="1446"/>
      <c r="M114" s="1446"/>
      <c r="N114" s="1446"/>
      <c r="O114" s="1446"/>
      <c r="P114" s="1446"/>
      <c r="Q114" s="1446"/>
      <c r="R114" s="1446"/>
      <c r="S114" s="1446"/>
      <c r="T114" s="1446"/>
      <c r="U114" s="1446"/>
      <c r="V114" s="1446"/>
      <c r="W114" s="1446"/>
      <c r="X114" s="1446"/>
      <c r="Y114" s="1446"/>
      <c r="Z114" s="1446"/>
      <c r="AA114" s="1446"/>
      <c r="AB114" s="1447"/>
    </row>
    <row r="115" spans="1:28" ht="34.5" customHeight="1" x14ac:dyDescent="0.25">
      <c r="A115" s="825"/>
      <c r="B115" s="16"/>
      <c r="C115" s="1444" t="s">
        <v>1178</v>
      </c>
      <c r="D115" s="1405"/>
      <c r="E115" s="1406"/>
      <c r="F115" s="1445" t="s">
        <v>1350</v>
      </c>
      <c r="G115" s="1446"/>
      <c r="H115" s="1446"/>
      <c r="I115" s="1446"/>
      <c r="J115" s="1446"/>
      <c r="K115" s="1446"/>
      <c r="L115" s="1446"/>
      <c r="M115" s="1446"/>
      <c r="N115" s="1446"/>
      <c r="O115" s="1446"/>
      <c r="P115" s="1446"/>
      <c r="Q115" s="1446"/>
      <c r="R115" s="1446"/>
      <c r="S115" s="1446"/>
      <c r="T115" s="1446"/>
      <c r="U115" s="1446"/>
      <c r="V115" s="1446"/>
      <c r="W115" s="1446"/>
      <c r="X115" s="1446"/>
      <c r="Y115" s="1446"/>
      <c r="Z115" s="1446"/>
      <c r="AA115" s="1446"/>
      <c r="AB115" s="1447"/>
    </row>
    <row r="116" spans="1:28" ht="23.95" customHeight="1" x14ac:dyDescent="0.25">
      <c r="A116" s="825"/>
      <c r="B116" s="16"/>
      <c r="C116" s="1474" t="s">
        <v>964</v>
      </c>
      <c r="D116" s="1474" t="s">
        <v>965</v>
      </c>
      <c r="E116" s="1475" t="s">
        <v>468</v>
      </c>
      <c r="F116" s="1466" t="s">
        <v>470</v>
      </c>
      <c r="G116" s="1466" t="s">
        <v>966</v>
      </c>
      <c r="H116" s="1466" t="s">
        <v>967</v>
      </c>
      <c r="I116" s="1466" t="s">
        <v>1180</v>
      </c>
      <c r="J116" s="1466" t="s">
        <v>968</v>
      </c>
      <c r="K116" s="1466" t="s">
        <v>969</v>
      </c>
      <c r="L116" s="1453" t="s">
        <v>970</v>
      </c>
      <c r="M116" s="1453" t="s">
        <v>971</v>
      </c>
      <c r="N116" s="1453" t="s">
        <v>972</v>
      </c>
      <c r="O116" s="1456" t="s">
        <v>973</v>
      </c>
      <c r="P116" s="1457"/>
      <c r="Q116" s="1456" t="s">
        <v>974</v>
      </c>
      <c r="R116" s="1458"/>
      <c r="S116" s="1458"/>
      <c r="T116" s="1458"/>
      <c r="U116" s="1457"/>
      <c r="V116" s="1466" t="s">
        <v>975</v>
      </c>
      <c r="W116" s="1468" t="s">
        <v>976</v>
      </c>
      <c r="X116" s="1393"/>
      <c r="Y116" s="1393"/>
      <c r="Z116" s="1394"/>
      <c r="AA116" s="23"/>
      <c r="AB116" s="1466" t="s">
        <v>977</v>
      </c>
    </row>
    <row r="117" spans="1:28" s="667" customFormat="1" ht="28.05" customHeight="1" x14ac:dyDescent="0.25">
      <c r="B117" s="811"/>
      <c r="C117" s="1467"/>
      <c r="D117" s="1467"/>
      <c r="E117" s="1476"/>
      <c r="F117" s="1467"/>
      <c r="G117" s="1467"/>
      <c r="H117" s="1467"/>
      <c r="I117" s="1467"/>
      <c r="J117" s="1467"/>
      <c r="K117" s="1467"/>
      <c r="L117" s="1454"/>
      <c r="M117" s="1455"/>
      <c r="N117" s="1454"/>
      <c r="O117" s="940" t="s">
        <v>978</v>
      </c>
      <c r="P117" s="940" t="s">
        <v>979</v>
      </c>
      <c r="Q117" s="940" t="s">
        <v>980</v>
      </c>
      <c r="R117" s="940" t="s">
        <v>981</v>
      </c>
      <c r="S117" s="940" t="s">
        <v>982</v>
      </c>
      <c r="T117" s="940" t="s">
        <v>983</v>
      </c>
      <c r="U117" s="940" t="s">
        <v>984</v>
      </c>
      <c r="V117" s="1467"/>
      <c r="W117" s="808" t="s">
        <v>985</v>
      </c>
      <c r="X117" s="808" t="s">
        <v>986</v>
      </c>
      <c r="Y117" s="808" t="s">
        <v>987</v>
      </c>
      <c r="Z117" s="808" t="s">
        <v>988</v>
      </c>
      <c r="AA117" s="808" t="s">
        <v>253</v>
      </c>
      <c r="AB117" s="1467"/>
    </row>
    <row r="118" spans="1:28" ht="38.25" customHeight="1" x14ac:dyDescent="0.25">
      <c r="A118" s="334" t="s">
        <v>258</v>
      </c>
      <c r="B118" s="291"/>
      <c r="C118" s="12" t="s">
        <v>1370</v>
      </c>
      <c r="D118" s="263" t="s">
        <v>281</v>
      </c>
      <c r="E118" s="263" t="s">
        <v>1371</v>
      </c>
      <c r="F118" s="13" t="s">
        <v>1372</v>
      </c>
      <c r="G118" s="13" t="str">
        <f>+'8. BASE  CONSOLIDADA'!O50</f>
        <v>DERECHOS SOBRE LA TIERRA</v>
      </c>
      <c r="H118" s="13" t="str">
        <f>+'8. BASE  CONSOLIDADA'!P50</f>
        <v>C5</v>
      </c>
      <c r="I118" s="13"/>
      <c r="J118" s="13">
        <v>9</v>
      </c>
      <c r="K118" s="13">
        <v>10</v>
      </c>
      <c r="L118" s="26">
        <v>30000</v>
      </c>
      <c r="M118" s="788" t="s">
        <v>1373</v>
      </c>
      <c r="N118" s="13" t="s">
        <v>1374</v>
      </c>
      <c r="O118" s="14">
        <f t="shared" ref="O118:O120" si="69">+J118*L118</f>
        <v>270000</v>
      </c>
      <c r="P118" s="14">
        <f t="shared" ref="P118:P119" si="70">+L118*K118</f>
        <v>300000</v>
      </c>
      <c r="Q118" s="14">
        <f>+$O$118*0.2</f>
        <v>54000</v>
      </c>
      <c r="R118" s="14">
        <f>+$O$118*0.4</f>
        <v>108000</v>
      </c>
      <c r="S118" s="14">
        <f>+$O$118*0.4</f>
        <v>108000</v>
      </c>
      <c r="T118" s="13"/>
      <c r="U118" s="13"/>
      <c r="V118" s="13"/>
      <c r="W118" s="13"/>
      <c r="X118" s="13"/>
      <c r="Y118" s="13" t="s">
        <v>148</v>
      </c>
      <c r="Z118" s="13"/>
      <c r="AA118" s="13"/>
      <c r="AB118" s="13">
        <v>3</v>
      </c>
    </row>
    <row r="119" spans="1:28" ht="47.25" customHeight="1" x14ac:dyDescent="0.25">
      <c r="A119" s="333" t="s">
        <v>260</v>
      </c>
      <c r="B119" s="284" t="s">
        <v>254</v>
      </c>
      <c r="C119" s="12" t="s">
        <v>1375</v>
      </c>
      <c r="D119" s="263" t="s">
        <v>284</v>
      </c>
      <c r="E119" s="263" t="s">
        <v>1376</v>
      </c>
      <c r="F119" s="13" t="s">
        <v>1219</v>
      </c>
      <c r="G119" s="13" t="str">
        <f>+'8. BASE  CONSOLIDADA'!O51</f>
        <v>FINANCIAMIENTO</v>
      </c>
      <c r="H119" s="13" t="str">
        <f>+'8. BASE  CONSOLIDADA'!P51</f>
        <v>C6</v>
      </c>
      <c r="I119" s="13"/>
      <c r="J119" s="13">
        <v>5</v>
      </c>
      <c r="K119" s="13">
        <v>10</v>
      </c>
      <c r="L119" s="26">
        <v>150000</v>
      </c>
      <c r="M119" s="788" t="s">
        <v>1377</v>
      </c>
      <c r="N119" s="13" t="s">
        <v>1374</v>
      </c>
      <c r="O119" s="14">
        <f t="shared" si="69"/>
        <v>750000</v>
      </c>
      <c r="P119" s="14">
        <f t="shared" si="70"/>
        <v>1500000</v>
      </c>
      <c r="Q119" s="14">
        <f>+$O$119*0.2</f>
        <v>150000</v>
      </c>
      <c r="R119" s="14">
        <f>+$O$119*0.2</f>
        <v>150000</v>
      </c>
      <c r="S119" s="14">
        <f>+$O$119*0.2</f>
        <v>150000</v>
      </c>
      <c r="T119" s="14">
        <f>+$O$119*0.2</f>
        <v>150000</v>
      </c>
      <c r="U119" s="14">
        <f>+$O$119*0.2</f>
        <v>150000</v>
      </c>
      <c r="V119" s="13"/>
      <c r="W119" s="13" t="s">
        <v>148</v>
      </c>
      <c r="X119" s="13"/>
      <c r="Y119" s="13"/>
      <c r="Z119" s="13"/>
      <c r="AA119" s="13" t="str">
        <f>+B119</f>
        <v>RE</v>
      </c>
      <c r="AB119" s="13">
        <v>3</v>
      </c>
    </row>
    <row r="120" spans="1:28" ht="48.75" customHeight="1" x14ac:dyDescent="0.25">
      <c r="A120" s="285" t="s">
        <v>259</v>
      </c>
      <c r="B120" s="285"/>
      <c r="C120" s="12" t="s">
        <v>1378</v>
      </c>
      <c r="D120" s="263" t="s">
        <v>288</v>
      </c>
      <c r="E120" s="263" t="s">
        <v>1379</v>
      </c>
      <c r="F120" s="13" t="s">
        <v>1380</v>
      </c>
      <c r="G120" s="13" t="str">
        <f>+'8. BASE  CONSOLIDADA'!O52</f>
        <v>GESTIÓN PUBLICA</v>
      </c>
      <c r="H120" s="13" t="str">
        <f>+'8. BASE  CONSOLIDADA'!P52</f>
        <v>C21</v>
      </c>
      <c r="I120" s="13"/>
      <c r="J120" s="13">
        <v>5</v>
      </c>
      <c r="K120" s="13">
        <v>0</v>
      </c>
      <c r="L120" s="26">
        <v>20000</v>
      </c>
      <c r="M120" s="788" t="s">
        <v>1373</v>
      </c>
      <c r="N120" s="13" t="s">
        <v>1374</v>
      </c>
      <c r="O120" s="14">
        <f t="shared" si="69"/>
        <v>100000</v>
      </c>
      <c r="P120" s="14"/>
      <c r="Q120" s="14">
        <f>+$O$120*0.2</f>
        <v>20000</v>
      </c>
      <c r="R120" s="14">
        <f>+$O$120*0.2</f>
        <v>20000</v>
      </c>
      <c r="S120" s="14">
        <f>+$O$120*0.2</f>
        <v>20000</v>
      </c>
      <c r="T120" s="14">
        <f>+$O$120*0.2</f>
        <v>20000</v>
      </c>
      <c r="U120" s="14">
        <f>+$O$120*0.2</f>
        <v>20000</v>
      </c>
      <c r="V120" s="13"/>
      <c r="W120" s="13"/>
      <c r="X120" s="13"/>
      <c r="Y120" s="13" t="s">
        <v>148</v>
      </c>
      <c r="Z120" s="13"/>
      <c r="AA120" s="13"/>
      <c r="AB120" s="13">
        <v>1</v>
      </c>
    </row>
    <row r="121" spans="1:28" ht="19.55" customHeight="1" x14ac:dyDescent="0.25">
      <c r="A121" s="825"/>
      <c r="B121" s="16"/>
      <c r="C121" s="16"/>
      <c r="D121" s="16"/>
      <c r="E121" s="267"/>
      <c r="F121" s="16"/>
      <c r="G121" s="16"/>
      <c r="H121" s="16"/>
      <c r="I121" s="16"/>
      <c r="J121" s="1"/>
      <c r="K121" s="1"/>
      <c r="L121" s="1"/>
      <c r="M121" s="262"/>
      <c r="N121" s="1"/>
      <c r="O121" s="29">
        <f>SUM(O118:O120)</f>
        <v>1120000</v>
      </c>
      <c r="P121" s="29">
        <f t="shared" ref="P121:U121" si="71">SUM(P118:P120)</f>
        <v>1800000</v>
      </c>
      <c r="Q121" s="29">
        <f t="shared" si="71"/>
        <v>224000</v>
      </c>
      <c r="R121" s="29">
        <f t="shared" si="71"/>
        <v>278000</v>
      </c>
      <c r="S121" s="29">
        <f t="shared" si="71"/>
        <v>278000</v>
      </c>
      <c r="T121" s="29">
        <f t="shared" si="71"/>
        <v>170000</v>
      </c>
      <c r="U121" s="29">
        <f t="shared" si="71"/>
        <v>170000</v>
      </c>
      <c r="V121" s="1"/>
      <c r="W121" s="1"/>
      <c r="X121" s="1"/>
      <c r="Y121" s="1"/>
      <c r="Z121" s="1"/>
      <c r="AA121" s="1"/>
      <c r="AB121" s="1"/>
    </row>
    <row r="122" spans="1:28" s="243" customFormat="1" ht="19.55" customHeight="1" x14ac:dyDescent="0.25">
      <c r="A122" s="825"/>
      <c r="B122" s="16"/>
      <c r="C122" s="16"/>
      <c r="D122" s="16"/>
      <c r="E122" s="267"/>
      <c r="F122" s="16"/>
      <c r="G122" s="16"/>
      <c r="H122" s="16"/>
      <c r="I122" s="16"/>
      <c r="J122" s="1"/>
      <c r="K122" s="1"/>
      <c r="L122" s="1"/>
      <c r="M122" s="262"/>
      <c r="N122" s="1"/>
      <c r="O122" s="1"/>
      <c r="P122" s="1"/>
      <c r="Q122" s="1"/>
      <c r="R122" s="1"/>
      <c r="S122" s="1"/>
      <c r="T122" s="1"/>
      <c r="U122" s="1"/>
      <c r="V122" s="1"/>
      <c r="W122" s="1"/>
      <c r="X122" s="1"/>
      <c r="Y122" s="1"/>
      <c r="Z122" s="1"/>
      <c r="AA122" s="1"/>
      <c r="AB122" s="1"/>
    </row>
    <row r="123" spans="1:28" ht="11.25" customHeight="1" x14ac:dyDescent="0.25">
      <c r="A123" s="825"/>
      <c r="B123" s="16"/>
      <c r="C123" s="16"/>
      <c r="D123" s="366"/>
      <c r="E123" s="264"/>
      <c r="F123" s="366"/>
      <c r="G123" s="366"/>
      <c r="H123" s="366"/>
      <c r="I123" s="366"/>
      <c r="J123" s="366"/>
      <c r="K123" s="366"/>
      <c r="L123" s="366"/>
      <c r="M123" s="264"/>
      <c r="N123" s="366"/>
      <c r="O123" s="366"/>
      <c r="P123" s="366"/>
      <c r="Q123" s="366"/>
      <c r="R123" s="366"/>
      <c r="S123" s="366"/>
      <c r="T123" s="366"/>
      <c r="U123" s="366"/>
      <c r="V123" s="366"/>
      <c r="W123" s="1"/>
      <c r="X123" s="1"/>
      <c r="Y123" s="1"/>
      <c r="Z123" s="1"/>
      <c r="AA123" s="1"/>
      <c r="AB123" s="1"/>
    </row>
    <row r="124" spans="1:28" ht="16.5" customHeight="1" x14ac:dyDescent="0.25">
      <c r="A124" s="825"/>
      <c r="B124" s="16"/>
      <c r="C124" s="1459" t="s">
        <v>1170</v>
      </c>
      <c r="D124" s="1405"/>
      <c r="E124" s="1406"/>
      <c r="F124" s="816" t="s">
        <v>124</v>
      </c>
      <c r="G124" s="809"/>
      <c r="H124" s="809"/>
      <c r="I124" s="809"/>
      <c r="J124" s="809"/>
      <c r="K124" s="809"/>
      <c r="L124" s="809"/>
      <c r="M124" s="936"/>
      <c r="N124" s="809"/>
      <c r="O124" s="809"/>
      <c r="P124" s="809"/>
      <c r="Q124" s="809"/>
      <c r="R124" s="809"/>
      <c r="S124" s="809"/>
      <c r="T124" s="809"/>
      <c r="U124" s="809"/>
      <c r="V124" s="809"/>
      <c r="W124" s="809"/>
      <c r="X124" s="809"/>
      <c r="Y124" s="809"/>
      <c r="Z124" s="809"/>
      <c r="AA124" s="809"/>
      <c r="AB124" s="810"/>
    </row>
    <row r="125" spans="1:28" ht="45" customHeight="1" x14ac:dyDescent="0.25">
      <c r="A125" s="825"/>
      <c r="B125" s="16"/>
      <c r="C125" s="1459" t="s">
        <v>1171</v>
      </c>
      <c r="D125" s="1405"/>
      <c r="E125" s="1406"/>
      <c r="F125" s="1445" t="s">
        <v>1381</v>
      </c>
      <c r="G125" s="1446"/>
      <c r="H125" s="1446"/>
      <c r="I125" s="1446"/>
      <c r="J125" s="1446"/>
      <c r="K125" s="1446"/>
      <c r="L125" s="1446"/>
      <c r="M125" s="1446"/>
      <c r="N125" s="1446"/>
      <c r="O125" s="1446"/>
      <c r="P125" s="1446"/>
      <c r="Q125" s="1446"/>
      <c r="R125" s="1446"/>
      <c r="S125" s="1446"/>
      <c r="T125" s="1446"/>
      <c r="U125" s="1446"/>
      <c r="V125" s="1446"/>
      <c r="W125" s="1446"/>
      <c r="X125" s="1446"/>
      <c r="Y125" s="1446"/>
      <c r="Z125" s="1446"/>
      <c r="AA125" s="1446"/>
      <c r="AB125" s="1447"/>
    </row>
    <row r="126" spans="1:28" ht="21.75" customHeight="1" x14ac:dyDescent="0.25">
      <c r="A126" s="825"/>
      <c r="B126" s="16"/>
      <c r="C126" s="1459" t="s">
        <v>1173</v>
      </c>
      <c r="D126" s="1405"/>
      <c r="E126" s="1406"/>
      <c r="F126" s="1445" t="s">
        <v>1382</v>
      </c>
      <c r="G126" s="1446"/>
      <c r="H126" s="1446"/>
      <c r="I126" s="1446"/>
      <c r="J126" s="1446"/>
      <c r="K126" s="1446"/>
      <c r="L126" s="1446"/>
      <c r="M126" s="1446"/>
      <c r="N126" s="1446"/>
      <c r="O126" s="1446"/>
      <c r="P126" s="1446"/>
      <c r="Q126" s="1446"/>
      <c r="R126" s="1446"/>
      <c r="S126" s="1446"/>
      <c r="T126" s="1446"/>
      <c r="U126" s="1446"/>
      <c r="V126" s="1446"/>
      <c r="W126" s="1446"/>
      <c r="X126" s="1446"/>
      <c r="Y126" s="1446"/>
      <c r="Z126" s="1446"/>
      <c r="AA126" s="1446"/>
      <c r="AB126" s="1447"/>
    </row>
    <row r="127" spans="1:28" ht="22.6" customHeight="1" x14ac:dyDescent="0.25">
      <c r="A127" s="825"/>
      <c r="B127" s="16"/>
      <c r="C127" s="1459" t="s">
        <v>1175</v>
      </c>
      <c r="D127" s="1405"/>
      <c r="E127" s="1406"/>
      <c r="F127" s="1445" t="s">
        <v>1383</v>
      </c>
      <c r="G127" s="1446"/>
      <c r="H127" s="1446"/>
      <c r="I127" s="1446"/>
      <c r="J127" s="1446"/>
      <c r="K127" s="1446"/>
      <c r="L127" s="1446"/>
      <c r="M127" s="1446"/>
      <c r="N127" s="1446"/>
      <c r="O127" s="1446"/>
      <c r="P127" s="1446"/>
      <c r="Q127" s="1446"/>
      <c r="R127" s="1446"/>
      <c r="S127" s="1446"/>
      <c r="T127" s="1446"/>
      <c r="U127" s="1446"/>
      <c r="V127" s="1446"/>
      <c r="W127" s="1446"/>
      <c r="X127" s="1446"/>
      <c r="Y127" s="1446"/>
      <c r="Z127" s="1446"/>
      <c r="AA127" s="1446"/>
      <c r="AB127" s="1447"/>
    </row>
    <row r="128" spans="1:28" ht="53.35" customHeight="1" x14ac:dyDescent="0.25">
      <c r="A128" s="825"/>
      <c r="B128" s="16"/>
      <c r="C128" s="1444" t="s">
        <v>142</v>
      </c>
      <c r="D128" s="1405"/>
      <c r="E128" s="1406"/>
      <c r="F128" s="1445" t="s">
        <v>1177</v>
      </c>
      <c r="G128" s="1446"/>
      <c r="H128" s="1446"/>
      <c r="I128" s="1446"/>
      <c r="J128" s="1446"/>
      <c r="K128" s="1446"/>
      <c r="L128" s="1446"/>
      <c r="M128" s="1446"/>
      <c r="N128" s="1446"/>
      <c r="O128" s="1446"/>
      <c r="P128" s="1446"/>
      <c r="Q128" s="1446"/>
      <c r="R128" s="1446"/>
      <c r="S128" s="1446"/>
      <c r="T128" s="1446"/>
      <c r="U128" s="1446"/>
      <c r="V128" s="1446"/>
      <c r="W128" s="1446"/>
      <c r="X128" s="1446"/>
      <c r="Y128" s="1446"/>
      <c r="Z128" s="1446"/>
      <c r="AA128" s="1446"/>
      <c r="AB128" s="1447"/>
    </row>
    <row r="129" spans="1:28" ht="32.950000000000003" customHeight="1" x14ac:dyDescent="0.25">
      <c r="A129" s="825"/>
      <c r="B129" s="16"/>
      <c r="C129" s="1444" t="s">
        <v>1178</v>
      </c>
      <c r="D129" s="1405"/>
      <c r="E129" s="1406"/>
      <c r="F129" s="1445" t="s">
        <v>1350</v>
      </c>
      <c r="G129" s="1446"/>
      <c r="H129" s="1446"/>
      <c r="I129" s="1446"/>
      <c r="J129" s="1446"/>
      <c r="K129" s="1446"/>
      <c r="L129" s="1446"/>
      <c r="M129" s="1446"/>
      <c r="N129" s="1446"/>
      <c r="O129" s="1446"/>
      <c r="P129" s="1446"/>
      <c r="Q129" s="1446"/>
      <c r="R129" s="1446"/>
      <c r="S129" s="1446"/>
      <c r="T129" s="1446"/>
      <c r="U129" s="1446"/>
      <c r="V129" s="1446"/>
      <c r="W129" s="1446"/>
      <c r="X129" s="1446"/>
      <c r="Y129" s="1446"/>
      <c r="Z129" s="1446"/>
      <c r="AA129" s="1446"/>
      <c r="AB129" s="1447"/>
    </row>
    <row r="130" spans="1:28" ht="23.3" customHeight="1" x14ac:dyDescent="0.25">
      <c r="A130" s="825"/>
      <c r="B130" s="16"/>
      <c r="C130" s="1448" t="s">
        <v>964</v>
      </c>
      <c r="D130" s="1418" t="s">
        <v>965</v>
      </c>
      <c r="E130" s="1450" t="s">
        <v>468</v>
      </c>
      <c r="F130" s="1452" t="s">
        <v>470</v>
      </c>
      <c r="G130" s="1452" t="s">
        <v>966</v>
      </c>
      <c r="H130" s="1452" t="s">
        <v>967</v>
      </c>
      <c r="I130" s="1452" t="s">
        <v>1180</v>
      </c>
      <c r="J130" s="1452" t="s">
        <v>968</v>
      </c>
      <c r="K130" s="1452" t="s">
        <v>969</v>
      </c>
      <c r="L130" s="1453" t="s">
        <v>970</v>
      </c>
      <c r="M130" s="1453" t="s">
        <v>971</v>
      </c>
      <c r="N130" s="1453" t="s">
        <v>972</v>
      </c>
      <c r="O130" s="1456" t="s">
        <v>973</v>
      </c>
      <c r="P130" s="1457"/>
      <c r="Q130" s="1456" t="s">
        <v>974</v>
      </c>
      <c r="R130" s="1458"/>
      <c r="S130" s="1458"/>
      <c r="T130" s="1458"/>
      <c r="U130" s="1457"/>
      <c r="V130" s="1452" t="s">
        <v>975</v>
      </c>
      <c r="W130" s="1465" t="s">
        <v>976</v>
      </c>
      <c r="X130" s="1405"/>
      <c r="Y130" s="1405"/>
      <c r="Z130" s="1406"/>
      <c r="AA130" s="808"/>
      <c r="AB130" s="1452" t="s">
        <v>977</v>
      </c>
    </row>
    <row r="131" spans="1:28" s="667" customFormat="1" ht="63.7" customHeight="1" x14ac:dyDescent="0.25">
      <c r="B131" s="811"/>
      <c r="C131" s="1449"/>
      <c r="D131" s="1449"/>
      <c r="E131" s="1451"/>
      <c r="F131" s="1449"/>
      <c r="G131" s="1449"/>
      <c r="H131" s="1449"/>
      <c r="I131" s="1449"/>
      <c r="J131" s="1449"/>
      <c r="K131" s="1449"/>
      <c r="L131" s="1454"/>
      <c r="M131" s="1455"/>
      <c r="N131" s="1454"/>
      <c r="O131" s="940" t="s">
        <v>978</v>
      </c>
      <c r="P131" s="940" t="s">
        <v>979</v>
      </c>
      <c r="Q131" s="940" t="s">
        <v>980</v>
      </c>
      <c r="R131" s="940" t="s">
        <v>981</v>
      </c>
      <c r="S131" s="940" t="s">
        <v>982</v>
      </c>
      <c r="T131" s="940" t="s">
        <v>983</v>
      </c>
      <c r="U131" s="940" t="s">
        <v>984</v>
      </c>
      <c r="V131" s="1449"/>
      <c r="W131" s="808" t="s">
        <v>985</v>
      </c>
      <c r="X131" s="808" t="s">
        <v>986</v>
      </c>
      <c r="Y131" s="808" t="s">
        <v>987</v>
      </c>
      <c r="Z131" s="808" t="s">
        <v>988</v>
      </c>
      <c r="AA131" s="808" t="s">
        <v>253</v>
      </c>
      <c r="AB131" s="1449"/>
    </row>
    <row r="132" spans="1:28" ht="56.25" customHeight="1" x14ac:dyDescent="0.25">
      <c r="A132" s="293" t="s">
        <v>256</v>
      </c>
      <c r="B132" s="286" t="s">
        <v>254</v>
      </c>
      <c r="C132" s="12" t="s">
        <v>1384</v>
      </c>
      <c r="D132" s="786" t="s">
        <v>270</v>
      </c>
      <c r="E132" s="266" t="s">
        <v>1385</v>
      </c>
      <c r="F132" s="13" t="s">
        <v>1386</v>
      </c>
      <c r="G132" s="252" t="str">
        <f>+'8. BASE  CONSOLIDADA'!O53</f>
        <v>CONTROL Y VIGILANCIA</v>
      </c>
      <c r="H132" s="252" t="str">
        <f>+'8. BASE  CONSOLIDADA'!P53</f>
        <v>C4</v>
      </c>
      <c r="I132" s="13"/>
      <c r="J132" s="13">
        <f>27*3</f>
        <v>81</v>
      </c>
      <c r="K132" s="13">
        <v>81</v>
      </c>
      <c r="L132" s="26">
        <v>8000</v>
      </c>
      <c r="M132" s="788" t="s">
        <v>1387</v>
      </c>
      <c r="N132" s="13" t="s">
        <v>1388</v>
      </c>
      <c r="O132" s="14">
        <f>+(J132*L132)*5</f>
        <v>3240000</v>
      </c>
      <c r="P132" s="14">
        <f>+(L132*K132)*5</f>
        <v>3240000</v>
      </c>
      <c r="Q132" s="14">
        <f>+$O$132*0.2</f>
        <v>648000</v>
      </c>
      <c r="R132" s="14">
        <f>+$O$132*0.2</f>
        <v>648000</v>
      </c>
      <c r="S132" s="14">
        <f t="shared" ref="S132:U132" si="72">+$O$132*0.2</f>
        <v>648000</v>
      </c>
      <c r="T132" s="14">
        <f t="shared" si="72"/>
        <v>648000</v>
      </c>
      <c r="U132" s="14">
        <f t="shared" si="72"/>
        <v>648000</v>
      </c>
      <c r="V132" s="13"/>
      <c r="W132" s="13"/>
      <c r="X132" s="13"/>
      <c r="Y132" s="13" t="s">
        <v>148</v>
      </c>
      <c r="Z132" s="13"/>
      <c r="AA132" s="13" t="str">
        <f t="shared" ref="AA132:AA133" si="73">+B132</f>
        <v>RE</v>
      </c>
      <c r="AB132" s="13">
        <v>3</v>
      </c>
    </row>
    <row r="133" spans="1:28" ht="27.7" customHeight="1" x14ac:dyDescent="0.25">
      <c r="A133" s="293" t="s">
        <v>256</v>
      </c>
      <c r="B133" s="286" t="s">
        <v>254</v>
      </c>
      <c r="C133" s="12" t="s">
        <v>1389</v>
      </c>
      <c r="D133" s="786" t="s">
        <v>268</v>
      </c>
      <c r="E133" s="266" t="s">
        <v>1390</v>
      </c>
      <c r="F133" s="13" t="s">
        <v>1391</v>
      </c>
      <c r="G133" s="252" t="str">
        <f>+'8. BASE  CONSOLIDADA'!O54</f>
        <v>CONTROL Y VIGILANCIA</v>
      </c>
      <c r="H133" s="252" t="str">
        <f>+'8. BASE  CONSOLIDADA'!P54</f>
        <v>C4</v>
      </c>
      <c r="I133" s="13"/>
      <c r="J133" s="13">
        <f>60-42</f>
        <v>18</v>
      </c>
      <c r="K133" s="13">
        <f>60-42</f>
        <v>18</v>
      </c>
      <c r="L133" s="26">
        <v>2000</v>
      </c>
      <c r="M133" s="788" t="s">
        <v>1392</v>
      </c>
      <c r="N133" s="13" t="s">
        <v>1388</v>
      </c>
      <c r="O133" s="14">
        <f>+L133*J133*60</f>
        <v>2160000</v>
      </c>
      <c r="P133" s="14">
        <f>+L133*K133*60</f>
        <v>2160000</v>
      </c>
      <c r="Q133" s="14">
        <f>+O133*0.2</f>
        <v>432000</v>
      </c>
      <c r="R133" s="14">
        <f>+Q133</f>
        <v>432000</v>
      </c>
      <c r="S133" s="14">
        <f t="shared" ref="S133:U133" si="74">+R133</f>
        <v>432000</v>
      </c>
      <c r="T133" s="14">
        <f t="shared" si="74"/>
        <v>432000</v>
      </c>
      <c r="U133" s="14">
        <f t="shared" si="74"/>
        <v>432000</v>
      </c>
      <c r="V133" s="26"/>
      <c r="W133" s="13"/>
      <c r="X133" s="13"/>
      <c r="Y133" s="13" t="s">
        <v>148</v>
      </c>
      <c r="Z133" s="13"/>
      <c r="AA133" s="13" t="str">
        <f t="shared" si="73"/>
        <v>RE</v>
      </c>
      <c r="AB133" s="13">
        <v>3</v>
      </c>
    </row>
    <row r="134" spans="1:28" ht="55.55" customHeight="1" x14ac:dyDescent="0.25">
      <c r="A134" s="1436" t="s">
        <v>259</v>
      </c>
      <c r="B134" s="1437"/>
      <c r="C134" s="12" t="s">
        <v>1393</v>
      </c>
      <c r="D134" s="266" t="s">
        <v>285</v>
      </c>
      <c r="E134" s="375" t="s">
        <v>280</v>
      </c>
      <c r="F134" s="13" t="s">
        <v>1394</v>
      </c>
      <c r="G134" s="252" t="str">
        <f>+'8. BASE  CONSOLIDADA'!O55</f>
        <v>PLANES DE VIDA</v>
      </c>
      <c r="H134" s="252" t="str">
        <f>+'8. BASE  CONSOLIDADA'!P55</f>
        <v>C10</v>
      </c>
      <c r="I134" s="13"/>
      <c r="J134" s="13">
        <f>27*3</f>
        <v>81</v>
      </c>
      <c r="K134" s="13">
        <f>27*5</f>
        <v>135</v>
      </c>
      <c r="L134" s="26">
        <v>10000</v>
      </c>
      <c r="M134" s="788" t="s">
        <v>1395</v>
      </c>
      <c r="N134" s="13" t="s">
        <v>1388</v>
      </c>
      <c r="O134" s="14">
        <f>+(J134*L134)</f>
        <v>810000</v>
      </c>
      <c r="P134" s="14">
        <f>+(L134*K134)</f>
        <v>1350000</v>
      </c>
      <c r="Q134" s="14">
        <f>+$O$134*0.2</f>
        <v>162000</v>
      </c>
      <c r="R134" s="14">
        <f>+$O$134*0.2</f>
        <v>162000</v>
      </c>
      <c r="S134" s="14">
        <f>+$O$134*0.2</f>
        <v>162000</v>
      </c>
      <c r="T134" s="14">
        <f>+$O$134*0.2</f>
        <v>162000</v>
      </c>
      <c r="U134" s="14">
        <f>+$O$134*0.2</f>
        <v>162000</v>
      </c>
      <c r="V134" s="13"/>
      <c r="W134" s="13"/>
      <c r="X134" s="13"/>
      <c r="Y134" s="13" t="s">
        <v>148</v>
      </c>
      <c r="Z134" s="13"/>
      <c r="AA134" s="13"/>
      <c r="AB134" s="13">
        <v>3</v>
      </c>
    </row>
    <row r="135" spans="1:28" ht="56.25" customHeight="1" x14ac:dyDescent="0.25">
      <c r="A135" s="1438" t="s">
        <v>260</v>
      </c>
      <c r="B135" s="1439"/>
      <c r="C135" s="12" t="s">
        <v>1396</v>
      </c>
      <c r="D135" s="266" t="s">
        <v>292</v>
      </c>
      <c r="E135" s="266" t="s">
        <v>1397</v>
      </c>
      <c r="F135" s="13" t="s">
        <v>1398</v>
      </c>
      <c r="G135" s="252" t="str">
        <f>+'8. BASE  CONSOLIDADA'!O56</f>
        <v>PROMOCIÓN ACTIVIDADES ECONÓMICOS</v>
      </c>
      <c r="H135" s="252" t="str">
        <f>+'8. BASE  CONSOLIDADA'!P56</f>
        <v>C11</v>
      </c>
      <c r="I135" s="13"/>
      <c r="J135" s="13">
        <f t="shared" ref="J135:K135" si="75">27*2</f>
        <v>54</v>
      </c>
      <c r="K135" s="13">
        <f t="shared" si="75"/>
        <v>54</v>
      </c>
      <c r="L135" s="26">
        <v>4000</v>
      </c>
      <c r="M135" s="788" t="s">
        <v>1399</v>
      </c>
      <c r="N135" s="13" t="s">
        <v>1388</v>
      </c>
      <c r="O135" s="14">
        <f t="shared" ref="O135:O136" si="76">+J135*L135*5</f>
        <v>1080000</v>
      </c>
      <c r="P135" s="14">
        <f t="shared" ref="P135:P136" si="77">+L135*K135*5</f>
        <v>1080000</v>
      </c>
      <c r="Q135" s="14">
        <f>+$O$135*0.2</f>
        <v>216000</v>
      </c>
      <c r="R135" s="14">
        <f>+$O$135*0.2</f>
        <v>216000</v>
      </c>
      <c r="S135" s="14">
        <f>+$O$135*0.2</f>
        <v>216000</v>
      </c>
      <c r="T135" s="14">
        <f>+$O$135*0.2</f>
        <v>216000</v>
      </c>
      <c r="U135" s="14">
        <f>+$O$135*0.2</f>
        <v>216000</v>
      </c>
      <c r="V135" s="13"/>
      <c r="W135" s="13"/>
      <c r="X135" s="13" t="s">
        <v>148</v>
      </c>
      <c r="Y135" s="13"/>
      <c r="Z135" s="13"/>
      <c r="AA135" s="13"/>
      <c r="AB135" s="13">
        <v>3</v>
      </c>
    </row>
    <row r="136" spans="1:28" ht="34.5" customHeight="1" x14ac:dyDescent="0.25">
      <c r="A136" s="1438" t="s">
        <v>260</v>
      </c>
      <c r="B136" s="1439"/>
      <c r="C136" s="12" t="s">
        <v>1400</v>
      </c>
      <c r="D136" s="266" t="s">
        <v>308</v>
      </c>
      <c r="E136" s="266" t="s">
        <v>1401</v>
      </c>
      <c r="F136" s="13" t="s">
        <v>1402</v>
      </c>
      <c r="G136" s="252" t="str">
        <f>+'8. BASE  CONSOLIDADA'!O57</f>
        <v>PROMOCIÓN ACTIVIDADES ECONÓMICOS</v>
      </c>
      <c r="H136" s="252" t="str">
        <f>+'8. BASE  CONSOLIDADA'!P57</f>
        <v>C11</v>
      </c>
      <c r="I136" s="13"/>
      <c r="J136" s="13">
        <v>54</v>
      </c>
      <c r="K136" s="13">
        <v>54</v>
      </c>
      <c r="L136" s="26">
        <v>5000</v>
      </c>
      <c r="M136" s="788" t="s">
        <v>1403</v>
      </c>
      <c r="N136" s="13" t="s">
        <v>1388</v>
      </c>
      <c r="O136" s="14">
        <f t="shared" si="76"/>
        <v>1350000</v>
      </c>
      <c r="P136" s="14">
        <f t="shared" si="77"/>
        <v>1350000</v>
      </c>
      <c r="Q136" s="14">
        <f>+$O$136*0.2</f>
        <v>270000</v>
      </c>
      <c r="R136" s="14">
        <f>+$O$136*0.2</f>
        <v>270000</v>
      </c>
      <c r="S136" s="14">
        <f>+$O$136*0.2</f>
        <v>270000</v>
      </c>
      <c r="T136" s="14">
        <f>+$O$136*0.2</f>
        <v>270000</v>
      </c>
      <c r="U136" s="14">
        <f>+$O$136*0.2</f>
        <v>270000</v>
      </c>
      <c r="V136" s="13"/>
      <c r="W136" s="13"/>
      <c r="X136" s="13" t="s">
        <v>148</v>
      </c>
      <c r="Y136" s="13"/>
      <c r="Z136" s="13"/>
      <c r="AA136" s="13">
        <f>+B136</f>
        <v>0</v>
      </c>
      <c r="AB136" s="13">
        <v>3</v>
      </c>
    </row>
    <row r="137" spans="1:28" ht="20.25" customHeight="1" x14ac:dyDescent="0.25">
      <c r="A137" s="825"/>
      <c r="B137" s="16"/>
      <c r="C137" s="16"/>
      <c r="D137" s="366"/>
      <c r="E137" s="264"/>
      <c r="F137" s="366"/>
      <c r="G137" s="366"/>
      <c r="H137" s="366"/>
      <c r="I137" s="366"/>
      <c r="J137" s="366"/>
      <c r="K137" s="366"/>
      <c r="L137" s="366"/>
      <c r="M137" s="264"/>
      <c r="N137" s="366"/>
      <c r="O137" s="29">
        <f>SUM(O132:O136)</f>
        <v>8640000</v>
      </c>
      <c r="P137" s="29">
        <f t="shared" ref="P137:U137" si="78">SUM(P132:P136)</f>
        <v>9180000</v>
      </c>
      <c r="Q137" s="29">
        <f t="shared" si="78"/>
        <v>1728000</v>
      </c>
      <c r="R137" s="29">
        <f t="shared" si="78"/>
        <v>1728000</v>
      </c>
      <c r="S137" s="29">
        <f t="shared" si="78"/>
        <v>1728000</v>
      </c>
      <c r="T137" s="29">
        <f t="shared" si="78"/>
        <v>1728000</v>
      </c>
      <c r="U137" s="29">
        <f t="shared" si="78"/>
        <v>1728000</v>
      </c>
      <c r="V137" s="366"/>
      <c r="W137" s="1"/>
      <c r="X137" s="1"/>
      <c r="Y137" s="1"/>
      <c r="Z137" s="1"/>
      <c r="AA137" s="1"/>
      <c r="AB137" s="1"/>
    </row>
    <row r="138" spans="1:28" s="241" customFormat="1" ht="20.25" customHeight="1" x14ac:dyDescent="0.25">
      <c r="A138" s="825"/>
      <c r="B138" s="16"/>
      <c r="C138" s="16"/>
      <c r="D138" s="366"/>
      <c r="E138" s="264"/>
      <c r="F138" s="366"/>
      <c r="G138" s="366"/>
      <c r="H138" s="366"/>
      <c r="I138" s="366"/>
      <c r="J138" s="366"/>
      <c r="K138" s="366"/>
      <c r="L138" s="366"/>
      <c r="M138" s="264"/>
      <c r="N138" s="366"/>
      <c r="O138" s="242"/>
      <c r="P138" s="242"/>
      <c r="Q138" s="242"/>
      <c r="R138" s="242"/>
      <c r="S138" s="242"/>
      <c r="T138" s="242"/>
      <c r="U138" s="242"/>
      <c r="V138" s="366"/>
      <c r="W138" s="1"/>
      <c r="X138" s="1"/>
      <c r="Y138" s="1"/>
      <c r="Z138" s="1"/>
      <c r="AA138" s="1"/>
      <c r="AB138" s="1"/>
    </row>
    <row r="139" spans="1:28" s="241" customFormat="1" ht="20.25" customHeight="1" x14ac:dyDescent="0.25">
      <c r="A139" s="825"/>
      <c r="B139" s="16"/>
      <c r="C139" s="1459" t="s">
        <v>1170</v>
      </c>
      <c r="D139" s="1405"/>
      <c r="E139" s="1406"/>
      <c r="F139" s="816" t="s">
        <v>128</v>
      </c>
      <c r="G139" s="809"/>
      <c r="H139" s="809"/>
      <c r="I139" s="809"/>
      <c r="J139" s="809"/>
      <c r="K139" s="809"/>
      <c r="L139" s="809"/>
      <c r="M139" s="936"/>
      <c r="N139" s="809"/>
      <c r="O139" s="809"/>
      <c r="P139" s="809"/>
      <c r="Q139" s="809"/>
      <c r="R139" s="809"/>
      <c r="S139" s="809"/>
      <c r="T139" s="809"/>
      <c r="U139" s="809"/>
      <c r="V139" s="809"/>
      <c r="W139" s="809"/>
      <c r="X139" s="809"/>
      <c r="Y139" s="809"/>
      <c r="Z139" s="809"/>
      <c r="AA139" s="809"/>
      <c r="AB139" s="810"/>
    </row>
    <row r="140" spans="1:28" s="241" customFormat="1" ht="33.799999999999997" customHeight="1" x14ac:dyDescent="0.25">
      <c r="A140" s="825"/>
      <c r="B140" s="16"/>
      <c r="C140" s="1459" t="s">
        <v>1171</v>
      </c>
      <c r="D140" s="1405"/>
      <c r="E140" s="1406"/>
      <c r="F140" s="1445" t="s">
        <v>1404</v>
      </c>
      <c r="G140" s="1446"/>
      <c r="H140" s="1446"/>
      <c r="I140" s="1446"/>
      <c r="J140" s="1446"/>
      <c r="K140" s="1446"/>
      <c r="L140" s="1446"/>
      <c r="M140" s="1446"/>
      <c r="N140" s="1446"/>
      <c r="O140" s="1446"/>
      <c r="P140" s="1446"/>
      <c r="Q140" s="1446"/>
      <c r="R140" s="1446"/>
      <c r="S140" s="1446"/>
      <c r="T140" s="1446"/>
      <c r="U140" s="1446"/>
      <c r="V140" s="1446"/>
      <c r="W140" s="1446"/>
      <c r="X140" s="1446"/>
      <c r="Y140" s="1446"/>
      <c r="Z140" s="1446"/>
      <c r="AA140" s="1446"/>
      <c r="AB140" s="1447"/>
    </row>
    <row r="141" spans="1:28" s="241" customFormat="1" ht="20.25" customHeight="1" x14ac:dyDescent="0.25">
      <c r="A141" s="825"/>
      <c r="B141" s="16"/>
      <c r="C141" s="1459" t="s">
        <v>1173</v>
      </c>
      <c r="D141" s="1405"/>
      <c r="E141" s="1406"/>
      <c r="F141" s="1445" t="s">
        <v>1405</v>
      </c>
      <c r="G141" s="1446"/>
      <c r="H141" s="1446"/>
      <c r="I141" s="1446"/>
      <c r="J141" s="1446"/>
      <c r="K141" s="1446"/>
      <c r="L141" s="1446"/>
      <c r="M141" s="1446"/>
      <c r="N141" s="1446"/>
      <c r="O141" s="1446"/>
      <c r="P141" s="1446"/>
      <c r="Q141" s="1446"/>
      <c r="R141" s="1446"/>
      <c r="S141" s="1446"/>
      <c r="T141" s="1446"/>
      <c r="U141" s="1446"/>
      <c r="V141" s="1446"/>
      <c r="W141" s="1446"/>
      <c r="X141" s="1446"/>
      <c r="Y141" s="1446"/>
      <c r="Z141" s="1446"/>
      <c r="AA141" s="1446"/>
      <c r="AB141" s="1447"/>
    </row>
    <row r="142" spans="1:28" s="241" customFormat="1" ht="21.1" customHeight="1" x14ac:dyDescent="0.25">
      <c r="A142" s="825"/>
      <c r="B142" s="16"/>
      <c r="C142" s="1459" t="s">
        <v>1175</v>
      </c>
      <c r="D142" s="1405"/>
      <c r="E142" s="1406"/>
      <c r="F142" s="1445" t="s">
        <v>1406</v>
      </c>
      <c r="G142" s="1446"/>
      <c r="H142" s="1446"/>
      <c r="I142" s="1446"/>
      <c r="J142" s="1446"/>
      <c r="K142" s="1446"/>
      <c r="L142" s="1446"/>
      <c r="M142" s="1446"/>
      <c r="N142" s="1446"/>
      <c r="O142" s="1446"/>
      <c r="P142" s="1446"/>
      <c r="Q142" s="1446"/>
      <c r="R142" s="1446"/>
      <c r="S142" s="1446"/>
      <c r="T142" s="1446"/>
      <c r="U142" s="1446"/>
      <c r="V142" s="1446"/>
      <c r="W142" s="1446"/>
      <c r="X142" s="1446"/>
      <c r="Y142" s="1446"/>
      <c r="Z142" s="1446"/>
      <c r="AA142" s="1446"/>
      <c r="AB142" s="1447"/>
    </row>
    <row r="143" spans="1:28" s="241" customFormat="1" ht="30.75" customHeight="1" x14ac:dyDescent="0.25">
      <c r="A143" s="825"/>
      <c r="B143" s="16"/>
      <c r="C143" s="1444" t="s">
        <v>142</v>
      </c>
      <c r="D143" s="1405"/>
      <c r="E143" s="1406"/>
      <c r="F143" s="1445" t="s">
        <v>1177</v>
      </c>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7"/>
    </row>
    <row r="144" spans="1:28" s="241" customFormat="1" ht="20.25" customHeight="1" x14ac:dyDescent="0.25">
      <c r="A144" s="825"/>
      <c r="B144" s="16"/>
      <c r="C144" s="1444" t="s">
        <v>1178</v>
      </c>
      <c r="D144" s="1405"/>
      <c r="E144" s="1406"/>
      <c r="F144" s="1445" t="s">
        <v>1350</v>
      </c>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7"/>
    </row>
    <row r="145" spans="1:28" s="241" customFormat="1" ht="20.25" customHeight="1" x14ac:dyDescent="0.25">
      <c r="A145" s="825"/>
      <c r="B145" s="16"/>
      <c r="C145" s="1448" t="s">
        <v>964</v>
      </c>
      <c r="D145" s="1418" t="s">
        <v>965</v>
      </c>
      <c r="E145" s="1450" t="s">
        <v>468</v>
      </c>
      <c r="F145" s="1452" t="s">
        <v>470</v>
      </c>
      <c r="G145" s="1452" t="s">
        <v>966</v>
      </c>
      <c r="H145" s="1452" t="s">
        <v>967</v>
      </c>
      <c r="I145" s="1452" t="s">
        <v>1180</v>
      </c>
      <c r="J145" s="1452" t="s">
        <v>968</v>
      </c>
      <c r="K145" s="1452" t="s">
        <v>969</v>
      </c>
      <c r="L145" s="1453" t="s">
        <v>970</v>
      </c>
      <c r="M145" s="1453" t="s">
        <v>971</v>
      </c>
      <c r="N145" s="1453" t="s">
        <v>972</v>
      </c>
      <c r="O145" s="1456" t="s">
        <v>973</v>
      </c>
      <c r="P145" s="1457"/>
      <c r="Q145" s="1456" t="s">
        <v>974</v>
      </c>
      <c r="R145" s="1458"/>
      <c r="S145" s="1458"/>
      <c r="T145" s="1458"/>
      <c r="U145" s="1457"/>
      <c r="V145" s="1452" t="s">
        <v>975</v>
      </c>
      <c r="W145" s="1465" t="s">
        <v>976</v>
      </c>
      <c r="X145" s="1405"/>
      <c r="Y145" s="1405"/>
      <c r="Z145" s="1406"/>
      <c r="AA145" s="808"/>
      <c r="AB145" s="1452" t="s">
        <v>977</v>
      </c>
    </row>
    <row r="146" spans="1:28" s="241" customFormat="1" ht="20.25" customHeight="1" x14ac:dyDescent="0.25">
      <c r="A146" s="825"/>
      <c r="B146" s="16"/>
      <c r="C146" s="1449"/>
      <c r="D146" s="1449"/>
      <c r="E146" s="1451"/>
      <c r="F146" s="1449"/>
      <c r="G146" s="1449"/>
      <c r="H146" s="1449"/>
      <c r="I146" s="1449"/>
      <c r="J146" s="1449"/>
      <c r="K146" s="1449"/>
      <c r="L146" s="1454"/>
      <c r="M146" s="1455"/>
      <c r="N146" s="1454"/>
      <c r="O146" s="940" t="s">
        <v>978</v>
      </c>
      <c r="P146" s="940" t="s">
        <v>979</v>
      </c>
      <c r="Q146" s="940" t="s">
        <v>980</v>
      </c>
      <c r="R146" s="940" t="s">
        <v>981</v>
      </c>
      <c r="S146" s="940" t="s">
        <v>982</v>
      </c>
      <c r="T146" s="940" t="s">
        <v>983</v>
      </c>
      <c r="U146" s="940" t="s">
        <v>984</v>
      </c>
      <c r="V146" s="1449"/>
      <c r="W146" s="808" t="s">
        <v>985</v>
      </c>
      <c r="X146" s="808" t="s">
        <v>986</v>
      </c>
      <c r="Y146" s="808" t="s">
        <v>987</v>
      </c>
      <c r="Z146" s="808" t="s">
        <v>988</v>
      </c>
      <c r="AA146" s="808" t="s">
        <v>253</v>
      </c>
      <c r="AB146" s="1449"/>
    </row>
    <row r="147" spans="1:28" s="241" customFormat="1" ht="59.3" customHeight="1" x14ac:dyDescent="0.25">
      <c r="A147" s="1436" t="s">
        <v>259</v>
      </c>
      <c r="B147" s="1437"/>
      <c r="C147" s="12" t="s">
        <v>1407</v>
      </c>
      <c r="D147" s="253" t="s">
        <v>285</v>
      </c>
      <c r="E147" s="266" t="s">
        <v>1408</v>
      </c>
      <c r="F147" s="13" t="s">
        <v>1394</v>
      </c>
      <c r="G147" s="252" t="str">
        <f>+'8. BASE  CONSOLIDADA'!O58</f>
        <v>PROMOCIÓN ACTIVIDADES ECONÓMICOS</v>
      </c>
      <c r="H147" s="252" t="str">
        <f>+'8. BASE  CONSOLIDADA'!P58</f>
        <v>C11</v>
      </c>
      <c r="I147" s="13"/>
      <c r="J147" s="13">
        <f>6*3</f>
        <v>18</v>
      </c>
      <c r="K147" s="13">
        <v>18</v>
      </c>
      <c r="L147" s="26">
        <v>10000</v>
      </c>
      <c r="M147" s="788" t="s">
        <v>1395</v>
      </c>
      <c r="N147" s="13" t="s">
        <v>1388</v>
      </c>
      <c r="O147" s="14">
        <f>+(J147*L147)</f>
        <v>180000</v>
      </c>
      <c r="P147" s="14">
        <f>+(L147*K147)</f>
        <v>180000</v>
      </c>
      <c r="Q147" s="14">
        <f>+$O$147*0.2</f>
        <v>36000</v>
      </c>
      <c r="R147" s="14">
        <f>+$O$147*0.2</f>
        <v>36000</v>
      </c>
      <c r="S147" s="14">
        <f>+$O$147*0.2</f>
        <v>36000</v>
      </c>
      <c r="T147" s="14">
        <f>+$O$147*0.2</f>
        <v>36000</v>
      </c>
      <c r="U147" s="14">
        <f>+$O$147*0.2</f>
        <v>36000</v>
      </c>
      <c r="V147" s="13"/>
      <c r="W147" s="13"/>
      <c r="X147" s="13"/>
      <c r="Y147" s="13" t="s">
        <v>148</v>
      </c>
      <c r="Z147" s="13"/>
      <c r="AA147" s="13"/>
      <c r="AB147" s="13">
        <v>3</v>
      </c>
    </row>
    <row r="148" spans="1:28" s="241" customFormat="1" ht="41.95" customHeight="1" x14ac:dyDescent="0.25">
      <c r="A148" s="1438" t="s">
        <v>260</v>
      </c>
      <c r="B148" s="1439"/>
      <c r="C148" s="12" t="s">
        <v>1409</v>
      </c>
      <c r="D148" s="253" t="s">
        <v>292</v>
      </c>
      <c r="E148" s="266" t="s">
        <v>1397</v>
      </c>
      <c r="F148" s="13" t="s">
        <v>1398</v>
      </c>
      <c r="G148" s="252" t="str">
        <f>+'8. BASE  CONSOLIDADA'!O59</f>
        <v>PROMOCIÓN ACTIVIDADES ECONÓMICOS</v>
      </c>
      <c r="H148" s="252" t="str">
        <f>+'8. BASE  CONSOLIDADA'!P59</f>
        <v>C11</v>
      </c>
      <c r="I148" s="13"/>
      <c r="J148" s="13">
        <f>18*2</f>
        <v>36</v>
      </c>
      <c r="K148" s="13">
        <f>18*2</f>
        <v>36</v>
      </c>
      <c r="L148" s="26">
        <v>4000</v>
      </c>
      <c r="M148" s="788" t="s">
        <v>1399</v>
      </c>
      <c r="N148" s="13" t="s">
        <v>1388</v>
      </c>
      <c r="O148" s="14">
        <f t="shared" ref="O148:O149" si="79">+J148*L148*5</f>
        <v>720000</v>
      </c>
      <c r="P148" s="14">
        <f t="shared" ref="P148:P149" si="80">+L148*K148*5</f>
        <v>720000</v>
      </c>
      <c r="Q148" s="14">
        <f>+$O$148*0.2</f>
        <v>144000</v>
      </c>
      <c r="R148" s="14">
        <f>+$O$148*0.2</f>
        <v>144000</v>
      </c>
      <c r="S148" s="14">
        <f>+$O$148*0.2</f>
        <v>144000</v>
      </c>
      <c r="T148" s="14">
        <f>+$O$148*0.2</f>
        <v>144000</v>
      </c>
      <c r="U148" s="14">
        <f>+$O$148*0.2</f>
        <v>144000</v>
      </c>
      <c r="V148" s="13"/>
      <c r="W148" s="13"/>
      <c r="X148" s="13" t="s">
        <v>148</v>
      </c>
      <c r="Y148" s="13"/>
      <c r="Z148" s="13"/>
      <c r="AA148" s="13"/>
      <c r="AB148" s="13">
        <v>3</v>
      </c>
    </row>
    <row r="149" spans="1:28" s="241" customFormat="1" ht="36" customHeight="1" x14ac:dyDescent="0.25">
      <c r="A149" s="1438" t="s">
        <v>260</v>
      </c>
      <c r="B149" s="1439"/>
      <c r="C149" s="12" t="s">
        <v>1410</v>
      </c>
      <c r="D149" s="253" t="s">
        <v>304</v>
      </c>
      <c r="E149" s="266" t="s">
        <v>1401</v>
      </c>
      <c r="F149" s="13" t="s">
        <v>1402</v>
      </c>
      <c r="G149" s="252" t="str">
        <f>+'8. BASE  CONSOLIDADA'!O60</f>
        <v>PROMOCIÓN ACTIVIDADES ECONÓMICOS</v>
      </c>
      <c r="H149" s="252" t="str">
        <f>+'8. BASE  CONSOLIDADA'!P60</f>
        <v>C11</v>
      </c>
      <c r="I149" s="13"/>
      <c r="J149" s="13">
        <v>36</v>
      </c>
      <c r="K149" s="13">
        <v>36</v>
      </c>
      <c r="L149" s="26">
        <v>5000</v>
      </c>
      <c r="M149" s="788" t="s">
        <v>1403</v>
      </c>
      <c r="N149" s="13" t="s">
        <v>1388</v>
      </c>
      <c r="O149" s="14">
        <f t="shared" si="79"/>
        <v>900000</v>
      </c>
      <c r="P149" s="14">
        <f t="shared" si="80"/>
        <v>900000</v>
      </c>
      <c r="Q149" s="14">
        <f>+$O$149*0.2</f>
        <v>180000</v>
      </c>
      <c r="R149" s="14">
        <f>+$O$149*0.2</f>
        <v>180000</v>
      </c>
      <c r="S149" s="14">
        <f>+$O$149*0.2</f>
        <v>180000</v>
      </c>
      <c r="T149" s="14">
        <f>+$O$149*0.2</f>
        <v>180000</v>
      </c>
      <c r="U149" s="14">
        <f>+$O$149*0.2</f>
        <v>180000</v>
      </c>
      <c r="V149" s="13"/>
      <c r="W149" s="13"/>
      <c r="X149" s="13" t="s">
        <v>148</v>
      </c>
      <c r="Y149" s="13"/>
      <c r="Z149" s="13"/>
      <c r="AA149" s="13"/>
      <c r="AB149" s="13">
        <v>3</v>
      </c>
    </row>
    <row r="150" spans="1:28" s="241" customFormat="1" ht="20.25" customHeight="1" x14ac:dyDescent="0.25">
      <c r="A150" s="825"/>
      <c r="B150" s="16"/>
      <c r="C150" s="16"/>
      <c r="D150" s="366"/>
      <c r="E150" s="264"/>
      <c r="F150" s="366"/>
      <c r="G150" s="366"/>
      <c r="H150" s="366"/>
      <c r="I150" s="366"/>
      <c r="J150" s="366"/>
      <c r="K150" s="366"/>
      <c r="L150" s="366"/>
      <c r="M150" s="264"/>
      <c r="N150" s="366"/>
      <c r="O150" s="29">
        <f>SUM(O147:O149)</f>
        <v>1800000</v>
      </c>
      <c r="P150" s="29">
        <f t="shared" ref="P150:U150" si="81">SUM(P147:P149)</f>
        <v>1800000</v>
      </c>
      <c r="Q150" s="29">
        <f t="shared" si="81"/>
        <v>360000</v>
      </c>
      <c r="R150" s="29">
        <f t="shared" si="81"/>
        <v>360000</v>
      </c>
      <c r="S150" s="29">
        <f t="shared" si="81"/>
        <v>360000</v>
      </c>
      <c r="T150" s="29">
        <f t="shared" si="81"/>
        <v>360000</v>
      </c>
      <c r="U150" s="29">
        <f t="shared" si="81"/>
        <v>360000</v>
      </c>
      <c r="V150" s="366"/>
      <c r="W150" s="1"/>
      <c r="X150" s="1"/>
      <c r="Y150" s="1"/>
      <c r="Z150" s="1"/>
      <c r="AA150" s="1"/>
      <c r="AB150" s="1"/>
    </row>
    <row r="151" spans="1:28" s="243" customFormat="1" ht="20.25" customHeight="1" x14ac:dyDescent="0.25">
      <c r="A151" s="825"/>
      <c r="B151" s="16"/>
      <c r="C151" s="16"/>
      <c r="D151" s="366"/>
      <c r="E151" s="264"/>
      <c r="F151" s="366"/>
      <c r="G151" s="366"/>
      <c r="H151" s="366"/>
      <c r="I151" s="366"/>
      <c r="J151" s="366"/>
      <c r="K151" s="366"/>
      <c r="L151" s="366"/>
      <c r="M151" s="264"/>
      <c r="N151" s="366"/>
      <c r="O151" s="366"/>
      <c r="P151" s="366"/>
      <c r="Q151" s="366"/>
      <c r="R151" s="366"/>
      <c r="S151" s="366"/>
      <c r="T151" s="366"/>
      <c r="U151" s="366"/>
      <c r="V151" s="366"/>
      <c r="W151" s="1"/>
      <c r="X151" s="1"/>
      <c r="Y151" s="1"/>
      <c r="Z151" s="1"/>
      <c r="AA151" s="1"/>
      <c r="AB151" s="1"/>
    </row>
    <row r="152" spans="1:28" ht="11.25" customHeight="1" x14ac:dyDescent="0.25">
      <c r="A152" s="825"/>
      <c r="B152" s="16"/>
      <c r="C152" s="16"/>
      <c r="D152" s="366"/>
      <c r="E152" s="264"/>
      <c r="F152" s="366"/>
      <c r="G152" s="366"/>
      <c r="H152" s="366"/>
      <c r="I152" s="366"/>
      <c r="J152" s="366"/>
      <c r="K152" s="366"/>
      <c r="L152" s="366"/>
      <c r="M152" s="264"/>
      <c r="N152" s="366"/>
      <c r="O152" s="366"/>
      <c r="P152" s="366"/>
      <c r="Q152" s="366"/>
      <c r="R152" s="366"/>
      <c r="S152" s="366"/>
      <c r="T152" s="366"/>
      <c r="U152" s="366"/>
      <c r="V152" s="366"/>
      <c r="W152" s="1"/>
      <c r="X152" s="1"/>
      <c r="Y152" s="1"/>
      <c r="Z152" s="1"/>
      <c r="AA152" s="1"/>
      <c r="AB152" s="1"/>
    </row>
    <row r="153" spans="1:28" ht="27" customHeight="1" x14ac:dyDescent="0.25">
      <c r="A153" s="825"/>
      <c r="B153" s="16"/>
      <c r="C153" s="1459" t="s">
        <v>1170</v>
      </c>
      <c r="D153" s="1405"/>
      <c r="E153" s="1406"/>
      <c r="F153" s="816" t="s">
        <v>127</v>
      </c>
      <c r="G153" s="813"/>
      <c r="H153" s="813"/>
      <c r="I153" s="813"/>
      <c r="J153" s="813"/>
      <c r="K153" s="813"/>
      <c r="L153" s="813"/>
      <c r="M153" s="938"/>
      <c r="N153" s="813"/>
      <c r="O153" s="813"/>
      <c r="P153" s="813"/>
      <c r="Q153" s="813"/>
      <c r="R153" s="813"/>
      <c r="S153" s="813"/>
      <c r="T153" s="813"/>
      <c r="U153" s="813"/>
      <c r="V153" s="813"/>
      <c r="W153" s="813"/>
      <c r="X153" s="813"/>
      <c r="Y153" s="813"/>
      <c r="Z153" s="813"/>
      <c r="AA153" s="813"/>
      <c r="AB153" s="814"/>
    </row>
    <row r="154" spans="1:28" ht="27" customHeight="1" x14ac:dyDescent="0.25">
      <c r="A154" s="825"/>
      <c r="B154" s="16"/>
      <c r="C154" s="1459" t="s">
        <v>1171</v>
      </c>
      <c r="D154" s="1405"/>
      <c r="E154" s="1406"/>
      <c r="F154" s="1445" t="s">
        <v>1411</v>
      </c>
      <c r="G154" s="1446"/>
      <c r="H154" s="1446"/>
      <c r="I154" s="1446"/>
      <c r="J154" s="1446"/>
      <c r="K154" s="1446"/>
      <c r="L154" s="1446"/>
      <c r="M154" s="1446"/>
      <c r="N154" s="1446"/>
      <c r="O154" s="1446"/>
      <c r="P154" s="1446"/>
      <c r="Q154" s="1446"/>
      <c r="R154" s="1446"/>
      <c r="S154" s="1446"/>
      <c r="T154" s="1446"/>
      <c r="U154" s="1446"/>
      <c r="V154" s="1446"/>
      <c r="W154" s="1446"/>
      <c r="X154" s="1446"/>
      <c r="Y154" s="1446"/>
      <c r="Z154" s="1446"/>
      <c r="AA154" s="1446"/>
      <c r="AB154" s="1447"/>
    </row>
    <row r="155" spans="1:28" ht="13.6" customHeight="1" x14ac:dyDescent="0.25">
      <c r="A155" s="825"/>
      <c r="B155" s="16"/>
      <c r="C155" s="1459" t="s">
        <v>1173</v>
      </c>
      <c r="D155" s="1405"/>
      <c r="E155" s="1406"/>
      <c r="F155" s="1445" t="s">
        <v>1412</v>
      </c>
      <c r="G155" s="1446"/>
      <c r="H155" s="1446"/>
      <c r="I155" s="1446"/>
      <c r="J155" s="1446"/>
      <c r="K155" s="1446"/>
      <c r="L155" s="1446"/>
      <c r="M155" s="1446"/>
      <c r="N155" s="1446"/>
      <c r="O155" s="1446"/>
      <c r="P155" s="1446"/>
      <c r="Q155" s="1446"/>
      <c r="R155" s="1446"/>
      <c r="S155" s="1446"/>
      <c r="T155" s="1446"/>
      <c r="U155" s="1446"/>
      <c r="V155" s="1446"/>
      <c r="W155" s="1446"/>
      <c r="X155" s="1446"/>
      <c r="Y155" s="1446"/>
      <c r="Z155" s="1446"/>
      <c r="AA155" s="1446"/>
      <c r="AB155" s="1447"/>
    </row>
    <row r="156" spans="1:28" ht="17.350000000000001" customHeight="1" x14ac:dyDescent="0.25">
      <c r="A156" s="825"/>
      <c r="B156" s="16"/>
      <c r="C156" s="1459" t="s">
        <v>1175</v>
      </c>
      <c r="D156" s="1405"/>
      <c r="E156" s="1406"/>
      <c r="F156" s="1445" t="s">
        <v>1383</v>
      </c>
      <c r="G156" s="1446"/>
      <c r="H156" s="1446"/>
      <c r="I156" s="1446"/>
      <c r="J156" s="1446"/>
      <c r="K156" s="1446"/>
      <c r="L156" s="1446"/>
      <c r="M156" s="1446"/>
      <c r="N156" s="1446"/>
      <c r="O156" s="1446"/>
      <c r="P156" s="1446"/>
      <c r="Q156" s="1446"/>
      <c r="R156" s="1446"/>
      <c r="S156" s="1446"/>
      <c r="T156" s="1446"/>
      <c r="U156" s="1446"/>
      <c r="V156" s="1446"/>
      <c r="W156" s="1446"/>
      <c r="X156" s="1446"/>
      <c r="Y156" s="1446"/>
      <c r="Z156" s="1446"/>
      <c r="AA156" s="1446"/>
      <c r="AB156" s="1447"/>
    </row>
    <row r="157" spans="1:28" ht="51.8" customHeight="1" x14ac:dyDescent="0.25">
      <c r="A157" s="825"/>
      <c r="B157" s="16"/>
      <c r="C157" s="1444" t="s">
        <v>142</v>
      </c>
      <c r="D157" s="1405"/>
      <c r="E157" s="1406"/>
      <c r="F157" s="1445" t="s">
        <v>1177</v>
      </c>
      <c r="G157" s="1446"/>
      <c r="H157" s="1446"/>
      <c r="I157" s="1446"/>
      <c r="J157" s="1446"/>
      <c r="K157" s="1446"/>
      <c r="L157" s="1446"/>
      <c r="M157" s="1446"/>
      <c r="N157" s="1446"/>
      <c r="O157" s="1446"/>
      <c r="P157" s="1446"/>
      <c r="Q157" s="1446"/>
      <c r="R157" s="1446"/>
      <c r="S157" s="1446"/>
      <c r="T157" s="1446"/>
      <c r="U157" s="1446"/>
      <c r="V157" s="1446"/>
      <c r="W157" s="1446"/>
      <c r="X157" s="1446"/>
      <c r="Y157" s="1446"/>
      <c r="Z157" s="1446"/>
      <c r="AA157" s="1446"/>
      <c r="AB157" s="1447"/>
    </row>
    <row r="158" spans="1:28" ht="34.5" customHeight="1" x14ac:dyDescent="0.25">
      <c r="A158" s="825"/>
      <c r="B158" s="16"/>
      <c r="C158" s="1444" t="s">
        <v>1178</v>
      </c>
      <c r="D158" s="1405"/>
      <c r="E158" s="1406"/>
      <c r="F158" s="1445" t="s">
        <v>1350</v>
      </c>
      <c r="G158" s="1446"/>
      <c r="H158" s="1446"/>
      <c r="I158" s="1446"/>
      <c r="J158" s="1446"/>
      <c r="K158" s="1446"/>
      <c r="L158" s="1446"/>
      <c r="M158" s="1446"/>
      <c r="N158" s="1446"/>
      <c r="O158" s="1446"/>
      <c r="P158" s="1446"/>
      <c r="Q158" s="1446"/>
      <c r="R158" s="1446"/>
      <c r="S158" s="1446"/>
      <c r="T158" s="1446"/>
      <c r="U158" s="1446"/>
      <c r="V158" s="1446"/>
      <c r="W158" s="1446"/>
      <c r="X158" s="1446"/>
      <c r="Y158" s="1446"/>
      <c r="Z158" s="1446"/>
      <c r="AA158" s="1446"/>
      <c r="AB158" s="1447"/>
    </row>
    <row r="159" spans="1:28" ht="18" customHeight="1" x14ac:dyDescent="0.25">
      <c r="A159" s="825"/>
      <c r="B159" s="16"/>
      <c r="C159" s="1418" t="s">
        <v>964</v>
      </c>
      <c r="D159" s="1418" t="s">
        <v>965</v>
      </c>
      <c r="E159" s="1450" t="s">
        <v>468</v>
      </c>
      <c r="F159" s="1452" t="s">
        <v>470</v>
      </c>
      <c r="G159" s="1452" t="s">
        <v>966</v>
      </c>
      <c r="H159" s="1452" t="s">
        <v>967</v>
      </c>
      <c r="I159" s="1452" t="s">
        <v>1180</v>
      </c>
      <c r="J159" s="1452" t="s">
        <v>968</v>
      </c>
      <c r="K159" s="1452" t="s">
        <v>969</v>
      </c>
      <c r="L159" s="1453" t="s">
        <v>970</v>
      </c>
      <c r="M159" s="1453" t="s">
        <v>971</v>
      </c>
      <c r="N159" s="1453" t="s">
        <v>972</v>
      </c>
      <c r="O159" s="1456" t="s">
        <v>973</v>
      </c>
      <c r="P159" s="1457"/>
      <c r="Q159" s="1456" t="s">
        <v>974</v>
      </c>
      <c r="R159" s="1458"/>
      <c r="S159" s="1458"/>
      <c r="T159" s="1458"/>
      <c r="U159" s="1457"/>
      <c r="V159" s="1452" t="s">
        <v>975</v>
      </c>
      <c r="W159" s="1465" t="s">
        <v>976</v>
      </c>
      <c r="X159" s="1405"/>
      <c r="Y159" s="1405"/>
      <c r="Z159" s="1406"/>
      <c r="AA159" s="808" t="s">
        <v>253</v>
      </c>
      <c r="AB159" s="1452" t="s">
        <v>977</v>
      </c>
    </row>
    <row r="160" spans="1:28" ht="66.099999999999994" customHeight="1" x14ac:dyDescent="0.25">
      <c r="A160" s="825"/>
      <c r="B160" s="16"/>
      <c r="C160" s="1449"/>
      <c r="D160" s="1449"/>
      <c r="E160" s="1451"/>
      <c r="F160" s="1449"/>
      <c r="G160" s="1449"/>
      <c r="H160" s="1449"/>
      <c r="I160" s="1449"/>
      <c r="J160" s="1449"/>
      <c r="K160" s="1449"/>
      <c r="L160" s="1454"/>
      <c r="M160" s="1455"/>
      <c r="N160" s="1454"/>
      <c r="O160" s="940" t="s">
        <v>978</v>
      </c>
      <c r="P160" s="940" t="s">
        <v>979</v>
      </c>
      <c r="Q160" s="940" t="s">
        <v>980</v>
      </c>
      <c r="R160" s="940" t="s">
        <v>981</v>
      </c>
      <c r="S160" s="940" t="s">
        <v>982</v>
      </c>
      <c r="T160" s="940" t="s">
        <v>983</v>
      </c>
      <c r="U160" s="940" t="s">
        <v>984</v>
      </c>
      <c r="V160" s="1449"/>
      <c r="W160" s="808" t="s">
        <v>985</v>
      </c>
      <c r="X160" s="808" t="s">
        <v>986</v>
      </c>
      <c r="Y160" s="808" t="s">
        <v>987</v>
      </c>
      <c r="Z160" s="808" t="s">
        <v>988</v>
      </c>
      <c r="AA160" s="808"/>
      <c r="AB160" s="1449"/>
    </row>
    <row r="161" spans="1:28" ht="48.1" customHeight="1" x14ac:dyDescent="0.25">
      <c r="A161" s="1440" t="s">
        <v>258</v>
      </c>
      <c r="B161" s="1441"/>
      <c r="C161" s="12" t="s">
        <v>1413</v>
      </c>
      <c r="D161" s="375" t="s">
        <v>277</v>
      </c>
      <c r="E161" s="373" t="s">
        <v>1414</v>
      </c>
      <c r="F161" s="297" t="s">
        <v>1415</v>
      </c>
      <c r="G161" s="376" t="str">
        <f>+'8. BASE  CONSOLIDADA'!O61</f>
        <v>DERECHOS SOBRE LA TIERRA</v>
      </c>
      <c r="H161" s="376" t="str">
        <f>+'8. BASE  CONSOLIDADA'!P61</f>
        <v>C5</v>
      </c>
      <c r="I161" s="353">
        <v>37076.060156214648</v>
      </c>
      <c r="J161" s="372">
        <f>$I$161/2</f>
        <v>18538.030078107324</v>
      </c>
      <c r="K161" s="372">
        <f>$I$161/2</f>
        <v>18538.030078107324</v>
      </c>
      <c r="L161" s="26">
        <v>15</v>
      </c>
      <c r="M161" s="788" t="s">
        <v>1416</v>
      </c>
      <c r="N161" s="13" t="s">
        <v>1417</v>
      </c>
      <c r="O161" s="14">
        <f>J161*$L$161</f>
        <v>278070.45117160986</v>
      </c>
      <c r="P161" s="14">
        <f>K161*$L$161</f>
        <v>278070.45117160986</v>
      </c>
      <c r="Q161" s="14">
        <f>$O$161*0.2</f>
        <v>55614.090234321979</v>
      </c>
      <c r="R161" s="14">
        <f>$O$161*0.2</f>
        <v>55614.090234321979</v>
      </c>
      <c r="S161" s="14">
        <f>$O$161*0.2</f>
        <v>55614.090234321979</v>
      </c>
      <c r="T161" s="14">
        <f>$O$161*0.2</f>
        <v>55614.090234321979</v>
      </c>
      <c r="U161" s="14">
        <f>$O$161*0.2</f>
        <v>55614.090234321979</v>
      </c>
      <c r="V161" s="13"/>
      <c r="W161" s="13"/>
      <c r="X161" s="13" t="s">
        <v>148</v>
      </c>
      <c r="Y161" s="13"/>
      <c r="Z161" s="13"/>
      <c r="AA161" s="13"/>
      <c r="AB161" s="13">
        <v>3</v>
      </c>
    </row>
    <row r="162" spans="1:28" ht="43.5" x14ac:dyDescent="0.25">
      <c r="A162" s="1442" t="s">
        <v>256</v>
      </c>
      <c r="B162" s="1443"/>
      <c r="C162" s="12" t="s">
        <v>1418</v>
      </c>
      <c r="D162" s="375" t="s">
        <v>181</v>
      </c>
      <c r="E162" s="373" t="s">
        <v>1419</v>
      </c>
      <c r="F162" s="297" t="s">
        <v>1420</v>
      </c>
      <c r="G162" s="376" t="str">
        <f>+'8. BASE  CONSOLIDADA'!O62</f>
        <v>DERECHOS SOBRE LA TIERRA</v>
      </c>
      <c r="H162" s="376" t="str">
        <f>+'8. BASE  CONSOLIDADA'!P62</f>
        <v>C5</v>
      </c>
      <c r="I162" s="13"/>
      <c r="J162" s="13">
        <v>20</v>
      </c>
      <c r="K162" s="13">
        <v>20</v>
      </c>
      <c r="L162" s="26">
        <v>150</v>
      </c>
      <c r="M162" s="788" t="s">
        <v>1092</v>
      </c>
      <c r="N162" s="13" t="s">
        <v>1417</v>
      </c>
      <c r="O162" s="14">
        <f>+J162*L162</f>
        <v>3000</v>
      </c>
      <c r="P162" s="14">
        <f>+K162*L162</f>
        <v>3000</v>
      </c>
      <c r="Q162" s="14">
        <f>+O162</f>
        <v>3000</v>
      </c>
      <c r="R162" s="14"/>
      <c r="S162" s="14"/>
      <c r="T162" s="14"/>
      <c r="U162" s="14"/>
      <c r="V162" s="13"/>
      <c r="W162" s="13"/>
      <c r="X162" s="13" t="s">
        <v>148</v>
      </c>
      <c r="Y162" s="13"/>
      <c r="Z162" s="13"/>
      <c r="AA162" s="13"/>
      <c r="AB162" s="13">
        <v>2</v>
      </c>
    </row>
    <row r="163" spans="1:28" ht="48.1" customHeight="1" x14ac:dyDescent="0.25">
      <c r="A163" s="1442" t="s">
        <v>256</v>
      </c>
      <c r="B163" s="1443"/>
      <c r="C163" s="12" t="s">
        <v>1421</v>
      </c>
      <c r="D163" s="375" t="s">
        <v>182</v>
      </c>
      <c r="E163" s="373" t="s">
        <v>1422</v>
      </c>
      <c r="F163" s="297" t="s">
        <v>1423</v>
      </c>
      <c r="G163" s="376" t="str">
        <f>+'8. BASE  CONSOLIDADA'!O63</f>
        <v>DERECHOS SOBRE LA TIERRA</v>
      </c>
      <c r="H163" s="376" t="str">
        <f>+'8. BASE  CONSOLIDADA'!P63</f>
        <v>C5</v>
      </c>
      <c r="I163" s="13"/>
      <c r="J163" s="13">
        <v>5</v>
      </c>
      <c r="K163" s="13">
        <v>5</v>
      </c>
      <c r="L163" s="26">
        <v>10000</v>
      </c>
      <c r="M163" s="788" t="s">
        <v>1424</v>
      </c>
      <c r="N163" s="13" t="s">
        <v>1417</v>
      </c>
      <c r="O163" s="14">
        <f>+J163*L163</f>
        <v>50000</v>
      </c>
      <c r="P163" s="14">
        <f>+K163*L163</f>
        <v>50000</v>
      </c>
      <c r="Q163" s="14">
        <f>+O163*0.3</f>
        <v>15000</v>
      </c>
      <c r="R163" s="14">
        <f>+O163*0.3</f>
        <v>15000</v>
      </c>
      <c r="S163" s="14">
        <f>+O163*0.4</f>
        <v>20000</v>
      </c>
      <c r="T163" s="14"/>
      <c r="U163" s="14"/>
      <c r="V163" s="13"/>
      <c r="W163" s="13"/>
      <c r="X163" s="13" t="s">
        <v>148</v>
      </c>
      <c r="Y163" s="13"/>
      <c r="Z163" s="13"/>
      <c r="AA163" s="13"/>
      <c r="AB163" s="13">
        <v>2</v>
      </c>
    </row>
    <row r="164" spans="1:28" ht="43.5" customHeight="1" x14ac:dyDescent="0.25">
      <c r="A164" s="1440" t="s">
        <v>258</v>
      </c>
      <c r="B164" s="1441"/>
      <c r="C164" s="12" t="s">
        <v>1425</v>
      </c>
      <c r="D164" s="375" t="s">
        <v>183</v>
      </c>
      <c r="E164" s="373" t="s">
        <v>1426</v>
      </c>
      <c r="F164" s="297" t="s">
        <v>1427</v>
      </c>
      <c r="G164" s="376" t="str">
        <f>+'8. BASE  CONSOLIDADA'!O64</f>
        <v>DERECHOS SOBRE LA TIERRA</v>
      </c>
      <c r="H164" s="376" t="str">
        <f>+'8. BASE  CONSOLIDADA'!P64</f>
        <v>C5</v>
      </c>
      <c r="I164" s="353">
        <v>37076.060156214648</v>
      </c>
      <c r="J164" s="372">
        <f>$I$164/2</f>
        <v>18538.030078107324</v>
      </c>
      <c r="K164" s="372">
        <f>$I$164/2</f>
        <v>18538.030078107324</v>
      </c>
      <c r="L164" s="26">
        <v>1</v>
      </c>
      <c r="M164" s="788" t="s">
        <v>1428</v>
      </c>
      <c r="N164" s="13" t="s">
        <v>1417</v>
      </c>
      <c r="O164" s="14">
        <f>+J164*L164</f>
        <v>18538.030078107324</v>
      </c>
      <c r="P164" s="14">
        <f>+K164*L164</f>
        <v>18538.030078107324</v>
      </c>
      <c r="Q164" s="14">
        <f>$O$164*0.2</f>
        <v>3707.6060156214648</v>
      </c>
      <c r="R164" s="14">
        <f>$O$164*0.2</f>
        <v>3707.6060156214648</v>
      </c>
      <c r="S164" s="14">
        <f>$O$164*0.2</f>
        <v>3707.6060156214648</v>
      </c>
      <c r="T164" s="14">
        <f>$O$164*0.2</f>
        <v>3707.6060156214648</v>
      </c>
      <c r="U164" s="14">
        <f>$O$164*0.2</f>
        <v>3707.6060156214648</v>
      </c>
      <c r="V164" s="13"/>
      <c r="W164" s="13"/>
      <c r="X164" s="13" t="s">
        <v>148</v>
      </c>
      <c r="Y164" s="13"/>
      <c r="Z164" s="13"/>
      <c r="AA164" s="13"/>
      <c r="AB164" s="13">
        <v>2</v>
      </c>
    </row>
    <row r="165" spans="1:28" ht="14.3" customHeight="1" x14ac:dyDescent="0.25">
      <c r="A165" s="825"/>
      <c r="B165" s="16"/>
      <c r="C165" s="38"/>
      <c r="D165" s="38"/>
      <c r="E165" s="268"/>
      <c r="F165" s="366"/>
      <c r="G165" s="366"/>
      <c r="H165" s="366"/>
      <c r="I165" s="366"/>
      <c r="J165" s="366"/>
      <c r="K165" s="366"/>
      <c r="L165" s="34"/>
      <c r="M165" s="264"/>
      <c r="N165" s="366"/>
      <c r="O165" s="29">
        <f>SUM(O161:O164)</f>
        <v>349608.48124971718</v>
      </c>
      <c r="P165" s="29">
        <f t="shared" ref="P165:U165" si="82">SUM(P161:P164)</f>
        <v>349608.48124971718</v>
      </c>
      <c r="Q165" s="29">
        <f t="shared" si="82"/>
        <v>77321.696249943445</v>
      </c>
      <c r="R165" s="29">
        <f t="shared" si="82"/>
        <v>74321.696249943445</v>
      </c>
      <c r="S165" s="29">
        <f t="shared" si="82"/>
        <v>79321.696249943445</v>
      </c>
      <c r="T165" s="29">
        <f t="shared" si="82"/>
        <v>59321.696249943445</v>
      </c>
      <c r="U165" s="29">
        <f t="shared" si="82"/>
        <v>59321.696249943445</v>
      </c>
      <c r="V165" s="366"/>
      <c r="W165" s="1"/>
      <c r="X165" s="1"/>
      <c r="Y165" s="1"/>
      <c r="Z165" s="1"/>
      <c r="AA165" s="1"/>
      <c r="AB165" s="1"/>
    </row>
    <row r="166" spans="1:28" s="347" customFormat="1" ht="14.3" customHeight="1" x14ac:dyDescent="0.25">
      <c r="A166" s="825"/>
      <c r="B166" s="16"/>
      <c r="C166" s="38"/>
      <c r="D166" s="38"/>
      <c r="E166" s="268"/>
      <c r="F166" s="366"/>
      <c r="G166" s="366"/>
      <c r="H166" s="366"/>
      <c r="I166" s="366"/>
      <c r="J166" s="366"/>
      <c r="K166" s="366"/>
      <c r="L166" s="34"/>
      <c r="M166" s="264"/>
      <c r="N166" s="366"/>
      <c r="O166" s="366"/>
      <c r="P166" s="366"/>
      <c r="Q166" s="366"/>
      <c r="R166" s="366"/>
      <c r="S166" s="366"/>
      <c r="T166" s="366"/>
      <c r="U166" s="366"/>
      <c r="V166" s="366"/>
      <c r="W166" s="1"/>
      <c r="X166" s="1"/>
      <c r="Y166" s="1"/>
      <c r="Z166" s="1"/>
      <c r="AA166" s="1"/>
      <c r="AB166" s="1"/>
    </row>
    <row r="167" spans="1:28" s="347" customFormat="1" ht="14.3" customHeight="1" x14ac:dyDescent="0.25">
      <c r="A167" s="825"/>
      <c r="B167" s="16"/>
      <c r="C167" s="38"/>
      <c r="D167" s="38"/>
      <c r="E167" s="268"/>
      <c r="F167" s="366"/>
      <c r="G167" s="366"/>
      <c r="H167" s="366"/>
      <c r="I167" s="366"/>
      <c r="J167" s="366"/>
      <c r="K167" s="366"/>
      <c r="L167" s="34"/>
      <c r="M167" s="264"/>
      <c r="N167" s="366"/>
      <c r="O167" s="366"/>
      <c r="P167" s="366"/>
      <c r="Q167" s="366"/>
      <c r="R167" s="366"/>
      <c r="S167" s="366"/>
      <c r="T167" s="366"/>
      <c r="U167" s="366"/>
      <c r="V167" s="366"/>
      <c r="W167" s="1"/>
      <c r="X167" s="1"/>
      <c r="Y167" s="1"/>
      <c r="Z167" s="1"/>
      <c r="AA167" s="1"/>
      <c r="AB167" s="1"/>
    </row>
    <row r="168" spans="1:28" s="347" customFormat="1" ht="15.65" customHeight="1" x14ac:dyDescent="0.25">
      <c r="A168" s="825"/>
      <c r="B168" s="16"/>
      <c r="C168" s="1459" t="s">
        <v>1170</v>
      </c>
      <c r="D168" s="1405"/>
      <c r="E168" s="1406"/>
      <c r="F168" s="816" t="s">
        <v>131</v>
      </c>
      <c r="G168" s="809"/>
      <c r="H168" s="809"/>
      <c r="I168" s="809"/>
      <c r="J168" s="809"/>
      <c r="K168" s="809"/>
      <c r="L168" s="809"/>
      <c r="M168" s="936"/>
      <c r="N168" s="809"/>
      <c r="O168" s="809"/>
      <c r="P168" s="809"/>
      <c r="Q168" s="809"/>
      <c r="R168" s="809"/>
      <c r="S168" s="809"/>
      <c r="T168" s="809"/>
      <c r="U168" s="809"/>
      <c r="V168" s="809"/>
      <c r="W168" s="809"/>
      <c r="X168" s="809"/>
      <c r="Y168" s="809"/>
      <c r="Z168" s="809"/>
      <c r="AA168" s="809"/>
      <c r="AB168" s="810"/>
    </row>
    <row r="169" spans="1:28" s="347" customFormat="1" ht="35.35" customHeight="1" x14ac:dyDescent="0.25">
      <c r="A169" s="825"/>
      <c r="B169" s="16"/>
      <c r="C169" s="1459" t="s">
        <v>1171</v>
      </c>
      <c r="D169" s="1405"/>
      <c r="E169" s="1406"/>
      <c r="F169" s="1445" t="s">
        <v>1429</v>
      </c>
      <c r="G169" s="1446"/>
      <c r="H169" s="1446"/>
      <c r="I169" s="1446"/>
      <c r="J169" s="1446"/>
      <c r="K169" s="1446"/>
      <c r="L169" s="1446"/>
      <c r="M169" s="1446"/>
      <c r="N169" s="1446"/>
      <c r="O169" s="1446"/>
      <c r="P169" s="1446"/>
      <c r="Q169" s="1446"/>
      <c r="R169" s="1446"/>
      <c r="S169" s="1446"/>
      <c r="T169" s="1446"/>
      <c r="U169" s="1446"/>
      <c r="V169" s="1446"/>
      <c r="W169" s="1446"/>
      <c r="X169" s="1446"/>
      <c r="Y169" s="1446"/>
      <c r="Z169" s="1446"/>
      <c r="AA169" s="1446"/>
      <c r="AB169" s="1447"/>
    </row>
    <row r="170" spans="1:28" s="347" customFormat="1" ht="17.350000000000001" customHeight="1" x14ac:dyDescent="0.25">
      <c r="A170" s="825"/>
      <c r="B170" s="16"/>
      <c r="C170" s="1459" t="s">
        <v>1173</v>
      </c>
      <c r="D170" s="1405"/>
      <c r="E170" s="1406"/>
      <c r="F170" s="1445" t="s">
        <v>1430</v>
      </c>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7"/>
    </row>
    <row r="171" spans="1:28" s="347" customFormat="1" ht="21.1" customHeight="1" x14ac:dyDescent="0.25">
      <c r="A171" s="825"/>
      <c r="B171" s="16"/>
      <c r="C171" s="1459" t="s">
        <v>1175</v>
      </c>
      <c r="D171" s="1405"/>
      <c r="E171" s="1406"/>
      <c r="F171" s="1445" t="s">
        <v>1431</v>
      </c>
      <c r="G171" s="1446"/>
      <c r="H171" s="1446"/>
      <c r="I171" s="1446"/>
      <c r="J171" s="1446"/>
      <c r="K171" s="1446"/>
      <c r="L171" s="1446"/>
      <c r="M171" s="1446"/>
      <c r="N171" s="1446"/>
      <c r="O171" s="1446"/>
      <c r="P171" s="1446"/>
      <c r="Q171" s="1446"/>
      <c r="R171" s="1446"/>
      <c r="S171" s="1446"/>
      <c r="T171" s="1446"/>
      <c r="U171" s="1446"/>
      <c r="V171" s="1446"/>
      <c r="W171" s="1446"/>
      <c r="X171" s="1446"/>
      <c r="Y171" s="1446"/>
      <c r="Z171" s="1446"/>
      <c r="AA171" s="1446"/>
      <c r="AB171" s="1447"/>
    </row>
    <row r="172" spans="1:28" s="347" customFormat="1" ht="45" customHeight="1" x14ac:dyDescent="0.25">
      <c r="A172" s="825"/>
      <c r="B172" s="16"/>
      <c r="C172" s="1444" t="s">
        <v>142</v>
      </c>
      <c r="D172" s="1405"/>
      <c r="E172" s="1406"/>
      <c r="F172" s="1445" t="s">
        <v>1177</v>
      </c>
      <c r="G172" s="1446"/>
      <c r="H172" s="1446"/>
      <c r="I172" s="1446"/>
      <c r="J172" s="1446"/>
      <c r="K172" s="1446"/>
      <c r="L172" s="1446"/>
      <c r="M172" s="1446"/>
      <c r="N172" s="1446"/>
      <c r="O172" s="1446"/>
      <c r="P172" s="1446"/>
      <c r="Q172" s="1446"/>
      <c r="R172" s="1446"/>
      <c r="S172" s="1446"/>
      <c r="T172" s="1446"/>
      <c r="U172" s="1446"/>
      <c r="V172" s="1446"/>
      <c r="W172" s="1446"/>
      <c r="X172" s="1446"/>
      <c r="Y172" s="1446"/>
      <c r="Z172" s="1446"/>
      <c r="AA172" s="1446"/>
      <c r="AB172" s="1447"/>
    </row>
    <row r="173" spans="1:28" s="347" customFormat="1" ht="24.8" customHeight="1" x14ac:dyDescent="0.25">
      <c r="A173" s="825"/>
      <c r="B173" s="16"/>
      <c r="C173" s="1444" t="s">
        <v>1178</v>
      </c>
      <c r="D173" s="1405"/>
      <c r="E173" s="1406"/>
      <c r="F173" s="1445" t="s">
        <v>1350</v>
      </c>
      <c r="G173" s="1446"/>
      <c r="H173" s="1446"/>
      <c r="I173" s="1446"/>
      <c r="J173" s="1446"/>
      <c r="K173" s="1446"/>
      <c r="L173" s="1446"/>
      <c r="M173" s="1446"/>
      <c r="N173" s="1446"/>
      <c r="O173" s="1446"/>
      <c r="P173" s="1446"/>
      <c r="Q173" s="1446"/>
      <c r="R173" s="1446"/>
      <c r="S173" s="1446"/>
      <c r="T173" s="1446"/>
      <c r="U173" s="1446"/>
      <c r="V173" s="1446"/>
      <c r="W173" s="1446"/>
      <c r="X173" s="1446"/>
      <c r="Y173" s="1446"/>
      <c r="Z173" s="1446"/>
      <c r="AA173" s="1446"/>
      <c r="AB173" s="1447"/>
    </row>
    <row r="174" spans="1:28" s="347" customFormat="1" ht="14.95" customHeight="1" x14ac:dyDescent="0.25">
      <c r="A174" s="825"/>
      <c r="B174" s="16"/>
      <c r="C174" s="1474" t="s">
        <v>964</v>
      </c>
      <c r="D174" s="1474" t="s">
        <v>965</v>
      </c>
      <c r="E174" s="1475" t="s">
        <v>468</v>
      </c>
      <c r="F174" s="1466" t="s">
        <v>470</v>
      </c>
      <c r="G174" s="1466" t="s">
        <v>966</v>
      </c>
      <c r="H174" s="1466" t="s">
        <v>967</v>
      </c>
      <c r="I174" s="1466" t="s">
        <v>1180</v>
      </c>
      <c r="J174" s="1466" t="s">
        <v>968</v>
      </c>
      <c r="K174" s="1466" t="s">
        <v>969</v>
      </c>
      <c r="L174" s="1453" t="s">
        <v>970</v>
      </c>
      <c r="M174" s="1453" t="s">
        <v>971</v>
      </c>
      <c r="N174" s="1453" t="s">
        <v>972</v>
      </c>
      <c r="O174" s="1456" t="s">
        <v>973</v>
      </c>
      <c r="P174" s="1457"/>
      <c r="Q174" s="1456" t="s">
        <v>974</v>
      </c>
      <c r="R174" s="1458"/>
      <c r="S174" s="1458"/>
      <c r="T174" s="1458"/>
      <c r="U174" s="1457"/>
      <c r="V174" s="1466" t="s">
        <v>975</v>
      </c>
      <c r="W174" s="1468" t="s">
        <v>976</v>
      </c>
      <c r="X174" s="1393"/>
      <c r="Y174" s="1393"/>
      <c r="Z174" s="1394"/>
      <c r="AA174" s="23" t="s">
        <v>253</v>
      </c>
      <c r="AB174" s="1466" t="s">
        <v>977</v>
      </c>
    </row>
    <row r="175" spans="1:28" s="347" customFormat="1" ht="65.25" x14ac:dyDescent="0.25">
      <c r="A175" s="825"/>
      <c r="B175" s="16"/>
      <c r="C175" s="1467"/>
      <c r="D175" s="1467"/>
      <c r="E175" s="1476"/>
      <c r="F175" s="1467"/>
      <c r="G175" s="1467"/>
      <c r="H175" s="1467"/>
      <c r="I175" s="1467"/>
      <c r="J175" s="1467"/>
      <c r="K175" s="1467"/>
      <c r="L175" s="1454"/>
      <c r="M175" s="1455"/>
      <c r="N175" s="1454"/>
      <c r="O175" s="940" t="s">
        <v>978</v>
      </c>
      <c r="P175" s="940" t="s">
        <v>979</v>
      </c>
      <c r="Q175" s="940" t="s">
        <v>980</v>
      </c>
      <c r="R175" s="940" t="s">
        <v>981</v>
      </c>
      <c r="S175" s="940" t="s">
        <v>982</v>
      </c>
      <c r="T175" s="940" t="s">
        <v>983</v>
      </c>
      <c r="U175" s="940" t="s">
        <v>984</v>
      </c>
      <c r="V175" s="1467"/>
      <c r="W175" s="23" t="s">
        <v>985</v>
      </c>
      <c r="X175" s="23" t="s">
        <v>986</v>
      </c>
      <c r="Y175" s="23" t="s">
        <v>987</v>
      </c>
      <c r="Z175" s="23" t="s">
        <v>988</v>
      </c>
      <c r="AA175" s="23"/>
      <c r="AB175" s="1467"/>
    </row>
    <row r="176" spans="1:28" s="347" customFormat="1" ht="73.55" customHeight="1" x14ac:dyDescent="0.25">
      <c r="A176" s="379" t="s">
        <v>258</v>
      </c>
      <c r="B176" s="380"/>
      <c r="C176" s="12" t="s">
        <v>1432</v>
      </c>
      <c r="D176" s="266" t="s">
        <v>184</v>
      </c>
      <c r="E176" s="373" t="s">
        <v>1433</v>
      </c>
      <c r="F176" s="13" t="s">
        <v>1415</v>
      </c>
      <c r="G176" s="13" t="str">
        <f>+'8. BASE  CONSOLIDADA'!O65</f>
        <v>DERECHOS SOBRE LA TIERRA</v>
      </c>
      <c r="H176" s="13" t="str">
        <f>+'8. BASE  CONSOLIDADA'!P65</f>
        <v>C5</v>
      </c>
      <c r="I176" s="353">
        <v>237645.43945778001</v>
      </c>
      <c r="J176" s="353">
        <f>237645.43945778/2</f>
        <v>118822.71972889001</v>
      </c>
      <c r="K176" s="353">
        <f>237645.43945778/2</f>
        <v>118822.71972889001</v>
      </c>
      <c r="L176" s="26">
        <v>15</v>
      </c>
      <c r="M176" s="788" t="s">
        <v>1416</v>
      </c>
      <c r="N176" s="13" t="s">
        <v>1417</v>
      </c>
      <c r="O176" s="14">
        <f>J176*$L$176</f>
        <v>1782340.79593335</v>
      </c>
      <c r="P176" s="14">
        <f>K176*$L$176</f>
        <v>1782340.79593335</v>
      </c>
      <c r="Q176" s="14">
        <f>O176*0.2</f>
        <v>356468.15918667003</v>
      </c>
      <c r="R176" s="14">
        <f>$O$176*0.2</f>
        <v>356468.15918667003</v>
      </c>
      <c r="S176" s="14">
        <f>$O$176*0.2</f>
        <v>356468.15918667003</v>
      </c>
      <c r="T176" s="14">
        <f>$O$176*0.2</f>
        <v>356468.15918667003</v>
      </c>
      <c r="U176" s="14">
        <f>$O$176*0.2</f>
        <v>356468.15918667003</v>
      </c>
      <c r="V176" s="13"/>
      <c r="W176" s="13"/>
      <c r="X176" s="13" t="s">
        <v>148</v>
      </c>
      <c r="Y176" s="13"/>
      <c r="Z176" s="13"/>
      <c r="AA176" s="13"/>
      <c r="AB176" s="13">
        <v>3</v>
      </c>
    </row>
    <row r="177" spans="1:28" s="347" customFormat="1" ht="43.5" x14ac:dyDescent="0.25">
      <c r="A177" s="381" t="s">
        <v>256</v>
      </c>
      <c r="B177" s="382"/>
      <c r="C177" s="12" t="s">
        <v>1434</v>
      </c>
      <c r="D177" s="266" t="s">
        <v>181</v>
      </c>
      <c r="E177" s="373" t="s">
        <v>1419</v>
      </c>
      <c r="F177" s="13" t="s">
        <v>1420</v>
      </c>
      <c r="G177" s="13" t="str">
        <f>+'8. BASE  CONSOLIDADA'!O66</f>
        <v>DERECHOS SOBRE LA TIERRA</v>
      </c>
      <c r="H177" s="13" t="str">
        <f>+'8. BASE  CONSOLIDADA'!P66</f>
        <v>C5</v>
      </c>
      <c r="I177" s="13"/>
      <c r="J177" s="13">
        <v>100</v>
      </c>
      <c r="K177" s="13">
        <v>80</v>
      </c>
      <c r="L177" s="26">
        <v>150</v>
      </c>
      <c r="M177" s="788" t="s">
        <v>1092</v>
      </c>
      <c r="N177" s="13" t="s">
        <v>1417</v>
      </c>
      <c r="O177" s="14">
        <f>+J177*L177</f>
        <v>15000</v>
      </c>
      <c r="P177" s="14">
        <f>+K177*L177</f>
        <v>12000</v>
      </c>
      <c r="Q177" s="14">
        <f>+O177</f>
        <v>15000</v>
      </c>
      <c r="R177" s="14"/>
      <c r="S177" s="14"/>
      <c r="T177" s="14"/>
      <c r="U177" s="14"/>
      <c r="V177" s="13"/>
      <c r="W177" s="13"/>
      <c r="X177" s="13" t="s">
        <v>148</v>
      </c>
      <c r="Y177" s="13"/>
      <c r="Z177" s="13"/>
      <c r="AA177" s="13"/>
      <c r="AB177" s="13">
        <v>2</v>
      </c>
    </row>
    <row r="178" spans="1:28" s="347" customFormat="1" ht="32.6" x14ac:dyDescent="0.25">
      <c r="A178" s="381" t="s">
        <v>256</v>
      </c>
      <c r="B178" s="382"/>
      <c r="C178" s="12" t="s">
        <v>1435</v>
      </c>
      <c r="D178" s="266" t="s">
        <v>182</v>
      </c>
      <c r="E178" s="373" t="s">
        <v>1436</v>
      </c>
      <c r="F178" s="13" t="s">
        <v>1423</v>
      </c>
      <c r="G178" s="13" t="str">
        <f>+'8. BASE  CONSOLIDADA'!O67</f>
        <v>DERECHOS SOBRE LA TIERRA</v>
      </c>
      <c r="H178" s="13" t="str">
        <f>+'8. BASE  CONSOLIDADA'!P67</f>
        <v>C5</v>
      </c>
      <c r="I178" s="13"/>
      <c r="J178" s="13">
        <v>10</v>
      </c>
      <c r="K178" s="13">
        <v>10</v>
      </c>
      <c r="L178" s="26">
        <v>10000</v>
      </c>
      <c r="M178" s="788" t="s">
        <v>1424</v>
      </c>
      <c r="N178" s="13" t="s">
        <v>1417</v>
      </c>
      <c r="O178" s="14">
        <f>+J178*L178</f>
        <v>100000</v>
      </c>
      <c r="P178" s="14">
        <f>+K178*L178</f>
        <v>100000</v>
      </c>
      <c r="Q178" s="14">
        <f>+O178*0.3</f>
        <v>30000</v>
      </c>
      <c r="R178" s="14">
        <f>+O178*0.3</f>
        <v>30000</v>
      </c>
      <c r="S178" s="14">
        <f>+O178*0.4</f>
        <v>40000</v>
      </c>
      <c r="T178" s="14"/>
      <c r="U178" s="14"/>
      <c r="V178" s="13"/>
      <c r="W178" s="13"/>
      <c r="X178" s="13" t="s">
        <v>148</v>
      </c>
      <c r="Y178" s="13"/>
      <c r="Z178" s="13"/>
      <c r="AA178" s="13"/>
      <c r="AB178" s="13">
        <v>2</v>
      </c>
    </row>
    <row r="179" spans="1:28" s="347" customFormat="1" ht="32.6" x14ac:dyDescent="0.25">
      <c r="A179" s="379" t="s">
        <v>258</v>
      </c>
      <c r="B179" s="380"/>
      <c r="C179" s="12" t="s">
        <v>1437</v>
      </c>
      <c r="D179" s="266" t="s">
        <v>183</v>
      </c>
      <c r="E179" s="373" t="s">
        <v>1426</v>
      </c>
      <c r="F179" s="13" t="s">
        <v>1427</v>
      </c>
      <c r="G179" s="13" t="str">
        <f>+'8. BASE  CONSOLIDADA'!O68</f>
        <v>DERECHOS SOBRE LA TIERRA</v>
      </c>
      <c r="H179" s="13" t="str">
        <f>+'8. BASE  CONSOLIDADA'!P68</f>
        <v>C5</v>
      </c>
      <c r="I179" s="353">
        <v>237645.43945778001</v>
      </c>
      <c r="J179" s="353">
        <f>237645.43945778/2</f>
        <v>118822.71972889001</v>
      </c>
      <c r="K179" s="353">
        <f>237645.43945778/2</f>
        <v>118822.71972889001</v>
      </c>
      <c r="L179" s="26">
        <v>1</v>
      </c>
      <c r="M179" s="788" t="s">
        <v>1428</v>
      </c>
      <c r="N179" s="13" t="s">
        <v>1417</v>
      </c>
      <c r="O179" s="14">
        <f>+J179*L179</f>
        <v>118822.71972889001</v>
      </c>
      <c r="P179" s="14">
        <f>+K179*L179</f>
        <v>118822.71972889001</v>
      </c>
      <c r="Q179" s="14">
        <f>$O$179*0.2</f>
        <v>23764.543945778001</v>
      </c>
      <c r="R179" s="14">
        <f>$O$179*0.2</f>
        <v>23764.543945778001</v>
      </c>
      <c r="S179" s="14">
        <f>$O$179*0.2</f>
        <v>23764.543945778001</v>
      </c>
      <c r="T179" s="14">
        <f>$O$179*0.2</f>
        <v>23764.543945778001</v>
      </c>
      <c r="U179" s="14">
        <f>$O$179*0.2</f>
        <v>23764.543945778001</v>
      </c>
      <c r="V179" s="13"/>
      <c r="W179" s="13"/>
      <c r="X179" s="13" t="s">
        <v>148</v>
      </c>
      <c r="Y179" s="13"/>
      <c r="Z179" s="13"/>
      <c r="AA179" s="13"/>
      <c r="AB179" s="13">
        <v>2</v>
      </c>
    </row>
    <row r="180" spans="1:28" s="347" customFormat="1" ht="66.75" customHeight="1" x14ac:dyDescent="0.25">
      <c r="A180" s="383" t="s">
        <v>257</v>
      </c>
      <c r="B180" s="384"/>
      <c r="C180" s="12" t="s">
        <v>1438</v>
      </c>
      <c r="D180" s="266" t="s">
        <v>185</v>
      </c>
      <c r="E180" s="373" t="s">
        <v>1439</v>
      </c>
      <c r="F180" s="13" t="s">
        <v>1440</v>
      </c>
      <c r="G180" s="13" t="str">
        <f>+'8. BASE  CONSOLIDADA'!O69</f>
        <v>DERECHOS SOBRE LA TIERRA</v>
      </c>
      <c r="H180" s="13" t="str">
        <f>+'8. BASE  CONSOLIDADA'!P69</f>
        <v>C5</v>
      </c>
      <c r="I180" s="13"/>
      <c r="J180" s="353">
        <f>88251.1355228438/2</f>
        <v>44125.567761421902</v>
      </c>
      <c r="K180" s="353">
        <f>88251.1355228438/2</f>
        <v>44125.567761421902</v>
      </c>
      <c r="L180" s="26">
        <v>500</v>
      </c>
      <c r="M180" s="788" t="s">
        <v>1441</v>
      </c>
      <c r="N180" s="13" t="s">
        <v>996</v>
      </c>
      <c r="O180" s="14">
        <f t="shared" ref="O180" si="83">+J180*L180</f>
        <v>22062783.880710952</v>
      </c>
      <c r="P180" s="14">
        <f t="shared" ref="P180" si="84">+K180*L180</f>
        <v>22062783.880710952</v>
      </c>
      <c r="Q180" s="14">
        <f>+O180</f>
        <v>22062783.880710952</v>
      </c>
      <c r="R180" s="14"/>
      <c r="S180" s="14"/>
      <c r="T180" s="14"/>
      <c r="U180" s="14"/>
      <c r="V180" s="13"/>
      <c r="W180" s="13"/>
      <c r="X180" s="13" t="s">
        <v>148</v>
      </c>
      <c r="Y180" s="13"/>
      <c r="Z180" s="13"/>
      <c r="AA180" s="13"/>
      <c r="AB180" s="13">
        <v>3</v>
      </c>
    </row>
    <row r="181" spans="1:28" s="347" customFormat="1" ht="15.65" x14ac:dyDescent="0.25">
      <c r="A181" s="16"/>
      <c r="B181" s="16"/>
      <c r="C181" s="349"/>
      <c r="D181" s="350"/>
      <c r="E181" s="351"/>
      <c r="F181" s="470"/>
      <c r="G181" s="470"/>
      <c r="H181" s="470"/>
      <c r="I181" s="470"/>
      <c r="J181" s="355"/>
      <c r="K181" s="355"/>
      <c r="L181" s="352"/>
      <c r="M181" s="939"/>
      <c r="N181" s="470"/>
      <c r="O181" s="29">
        <f>SUM(O176:O180)</f>
        <v>24078947.396373194</v>
      </c>
      <c r="P181" s="29">
        <f t="shared" ref="P181:U181" si="85">SUM(P176:P180)</f>
        <v>24075947.396373194</v>
      </c>
      <c r="Q181" s="29">
        <f t="shared" si="85"/>
        <v>22488016.583843399</v>
      </c>
      <c r="R181" s="29">
        <f t="shared" si="85"/>
        <v>410232.70313244802</v>
      </c>
      <c r="S181" s="29">
        <f t="shared" si="85"/>
        <v>420232.70313244802</v>
      </c>
      <c r="T181" s="29">
        <f t="shared" si="85"/>
        <v>380232.70313244802</v>
      </c>
      <c r="U181" s="29">
        <f t="shared" si="85"/>
        <v>380232.70313244802</v>
      </c>
      <c r="V181" s="470"/>
      <c r="W181" s="470"/>
      <c r="X181" s="470"/>
      <c r="Y181" s="470"/>
      <c r="Z181" s="470"/>
      <c r="AA181" s="470"/>
      <c r="AB181" s="470"/>
    </row>
    <row r="182" spans="1:28" s="347" customFormat="1" ht="14.3" customHeight="1" x14ac:dyDescent="0.25">
      <c r="A182" s="16"/>
      <c r="B182" s="16"/>
      <c r="C182" s="38"/>
      <c r="D182" s="38"/>
      <c r="E182" s="268"/>
      <c r="F182" s="366"/>
      <c r="G182" s="366"/>
      <c r="H182" s="366"/>
      <c r="I182" s="366"/>
      <c r="J182" s="366"/>
      <c r="K182" s="366"/>
      <c r="L182" s="34"/>
      <c r="M182" s="264"/>
      <c r="N182" s="363"/>
      <c r="O182" s="364"/>
      <c r="P182" s="366"/>
      <c r="Q182" s="366"/>
      <c r="R182" s="366"/>
      <c r="S182" s="366"/>
      <c r="T182" s="366"/>
      <c r="U182" s="366"/>
      <c r="V182" s="366"/>
      <c r="W182" s="1"/>
      <c r="X182" s="1"/>
      <c r="Y182" s="1"/>
      <c r="Z182" s="1"/>
      <c r="AA182" s="1"/>
      <c r="AB182" s="1"/>
    </row>
    <row r="183" spans="1:28" s="243" customFormat="1" ht="14.3" customHeight="1" x14ac:dyDescent="0.25">
      <c r="A183" s="825"/>
      <c r="B183" s="16"/>
      <c r="C183" s="38"/>
      <c r="D183" s="38"/>
      <c r="E183" s="268"/>
      <c r="F183" s="366"/>
      <c r="G183" s="366"/>
      <c r="H183" s="366"/>
      <c r="I183" s="366"/>
      <c r="J183" s="366"/>
      <c r="K183" s="366"/>
      <c r="L183" s="34"/>
      <c r="M183" s="264"/>
      <c r="N183" s="363"/>
      <c r="O183" s="366"/>
      <c r="P183" s="366"/>
      <c r="Q183" s="366"/>
      <c r="R183" s="366"/>
      <c r="S183" s="366"/>
      <c r="T183" s="366"/>
      <c r="U183" s="366"/>
      <c r="V183" s="366"/>
      <c r="W183" s="1"/>
      <c r="X183" s="1"/>
      <c r="Y183" s="1"/>
      <c r="Z183" s="1"/>
      <c r="AA183" s="1"/>
      <c r="AB183" s="1"/>
    </row>
    <row r="184" spans="1:28" ht="12.1" customHeight="1" x14ac:dyDescent="0.25">
      <c r="A184" s="825"/>
      <c r="B184" s="16"/>
      <c r="C184" s="16"/>
      <c r="D184" s="366"/>
      <c r="E184" s="264"/>
      <c r="F184" s="366"/>
      <c r="G184" s="366"/>
      <c r="H184" s="366"/>
      <c r="I184" s="366"/>
      <c r="J184" s="366"/>
      <c r="K184" s="366"/>
      <c r="L184" s="366"/>
      <c r="M184" s="264"/>
      <c r="N184" s="366"/>
      <c r="O184" s="366"/>
      <c r="P184" s="366"/>
      <c r="Q184" s="366"/>
      <c r="R184" s="366"/>
      <c r="S184" s="366"/>
      <c r="T184" s="366"/>
      <c r="U184" s="366"/>
      <c r="V184" s="366"/>
      <c r="W184" s="1"/>
      <c r="X184" s="1"/>
      <c r="Y184" s="1"/>
      <c r="Z184" s="1"/>
      <c r="AA184" s="1"/>
      <c r="AB184" s="1"/>
    </row>
    <row r="185" spans="1:28" ht="39.1" customHeight="1" x14ac:dyDescent="0.35">
      <c r="A185" s="825"/>
      <c r="B185" s="16"/>
      <c r="C185" s="1461" t="s">
        <v>123</v>
      </c>
      <c r="D185" s="1462"/>
      <c r="E185" s="1462"/>
      <c r="F185" s="1462"/>
      <c r="G185" s="1462"/>
      <c r="H185" s="1462"/>
      <c r="I185" s="1462"/>
      <c r="J185" s="1462"/>
      <c r="K185" s="1462"/>
      <c r="L185" s="1462"/>
      <c r="M185" s="1462"/>
      <c r="N185" s="1462"/>
      <c r="O185" s="1462"/>
      <c r="P185" s="1462"/>
      <c r="Q185" s="1462"/>
      <c r="R185" s="1462"/>
      <c r="S185" s="1462"/>
      <c r="T185" s="1462"/>
      <c r="U185" s="1462"/>
      <c r="V185" s="1462"/>
      <c r="W185" s="1462"/>
      <c r="X185" s="1462"/>
      <c r="Y185" s="1462"/>
      <c r="Z185" s="1462"/>
      <c r="AA185" s="1462"/>
      <c r="AB185" s="1463"/>
    </row>
    <row r="186" spans="1:28" ht="25.5" customHeight="1" x14ac:dyDescent="0.25">
      <c r="A186" s="825"/>
      <c r="B186" s="16"/>
      <c r="C186" s="1452" t="s">
        <v>964</v>
      </c>
      <c r="D186" s="1452" t="s">
        <v>965</v>
      </c>
      <c r="E186" s="1464" t="s">
        <v>468</v>
      </c>
      <c r="F186" s="1452" t="s">
        <v>470</v>
      </c>
      <c r="G186" s="1452" t="s">
        <v>966</v>
      </c>
      <c r="H186" s="1452" t="s">
        <v>967</v>
      </c>
      <c r="I186" s="1452" t="s">
        <v>1180</v>
      </c>
      <c r="J186" s="1452" t="s">
        <v>968</v>
      </c>
      <c r="K186" s="1452" t="s">
        <v>969</v>
      </c>
      <c r="L186" s="1453" t="s">
        <v>970</v>
      </c>
      <c r="M186" s="1453" t="s">
        <v>971</v>
      </c>
      <c r="N186" s="1453" t="s">
        <v>972</v>
      </c>
      <c r="O186" s="1456" t="s">
        <v>973</v>
      </c>
      <c r="P186" s="1457"/>
      <c r="Q186" s="1456" t="s">
        <v>974</v>
      </c>
      <c r="R186" s="1458"/>
      <c r="S186" s="1458"/>
      <c r="T186" s="1458"/>
      <c r="U186" s="1457"/>
      <c r="V186" s="1452" t="s">
        <v>975</v>
      </c>
      <c r="W186" s="1465" t="s">
        <v>976</v>
      </c>
      <c r="X186" s="1405"/>
      <c r="Y186" s="1405"/>
      <c r="Z186" s="1406"/>
      <c r="AA186" s="808" t="s">
        <v>253</v>
      </c>
      <c r="AB186" s="1452" t="s">
        <v>977</v>
      </c>
    </row>
    <row r="187" spans="1:28" ht="68.95" customHeight="1" x14ac:dyDescent="0.25">
      <c r="A187" s="825"/>
      <c r="B187" s="16"/>
      <c r="C187" s="1449"/>
      <c r="D187" s="1449"/>
      <c r="E187" s="1451"/>
      <c r="F187" s="1449"/>
      <c r="G187" s="1449"/>
      <c r="H187" s="1449"/>
      <c r="I187" s="1449"/>
      <c r="J187" s="1449"/>
      <c r="K187" s="1449"/>
      <c r="L187" s="1454"/>
      <c r="M187" s="1455"/>
      <c r="N187" s="1454"/>
      <c r="O187" s="940" t="s">
        <v>978</v>
      </c>
      <c r="P187" s="940" t="s">
        <v>979</v>
      </c>
      <c r="Q187" s="940" t="s">
        <v>980</v>
      </c>
      <c r="R187" s="940" t="s">
        <v>981</v>
      </c>
      <c r="S187" s="940" t="s">
        <v>982</v>
      </c>
      <c r="T187" s="940" t="s">
        <v>983</v>
      </c>
      <c r="U187" s="940" t="s">
        <v>984</v>
      </c>
      <c r="V187" s="1449"/>
      <c r="W187" s="808" t="s">
        <v>985</v>
      </c>
      <c r="X187" s="808" t="s">
        <v>986</v>
      </c>
      <c r="Y187" s="808" t="s">
        <v>987</v>
      </c>
      <c r="Z187" s="808" t="s">
        <v>988</v>
      </c>
      <c r="AA187" s="808" t="s">
        <v>253</v>
      </c>
      <c r="AB187" s="1449"/>
    </row>
    <row r="188" spans="1:28" ht="103.6" customHeight="1" x14ac:dyDescent="0.25">
      <c r="A188" s="285" t="s">
        <v>259</v>
      </c>
      <c r="B188" s="285" t="s">
        <v>254</v>
      </c>
      <c r="C188" s="12" t="s">
        <v>1442</v>
      </c>
      <c r="D188" s="263" t="s">
        <v>278</v>
      </c>
      <c r="E188" s="263" t="s">
        <v>1443</v>
      </c>
      <c r="F188" s="13" t="s">
        <v>1444</v>
      </c>
      <c r="G188" s="24" t="str">
        <f>+'8. BASE  CONSOLIDADA'!O70</f>
        <v>TRANSVERSALES X UDT</v>
      </c>
      <c r="H188" s="24" t="str">
        <f>+'8. BASE  CONSOLIDADA'!P70</f>
        <v>C18</v>
      </c>
      <c r="I188" s="13"/>
      <c r="J188" s="12">
        <v>25</v>
      </c>
      <c r="K188" s="12">
        <f>54-J188</f>
        <v>29</v>
      </c>
      <c r="L188" s="26">
        <v>2500</v>
      </c>
      <c r="M188" s="788" t="s">
        <v>1445</v>
      </c>
      <c r="N188" s="13" t="s">
        <v>1446</v>
      </c>
      <c r="O188" s="26">
        <f>+J188*L188*5</f>
        <v>312500</v>
      </c>
      <c r="P188" s="26">
        <f>+L188*K188*5</f>
        <v>362500</v>
      </c>
      <c r="Q188" s="26">
        <f t="shared" ref="Q188:U188" si="86">+$O$188*0.2</f>
        <v>62500</v>
      </c>
      <c r="R188" s="26">
        <f t="shared" si="86"/>
        <v>62500</v>
      </c>
      <c r="S188" s="26">
        <f t="shared" si="86"/>
        <v>62500</v>
      </c>
      <c r="T188" s="26">
        <f t="shared" si="86"/>
        <v>62500</v>
      </c>
      <c r="U188" s="26">
        <f t="shared" si="86"/>
        <v>62500</v>
      </c>
      <c r="V188" s="32"/>
      <c r="W188" s="13"/>
      <c r="X188" s="13"/>
      <c r="Y188" s="13" t="s">
        <v>148</v>
      </c>
      <c r="Z188" s="13"/>
      <c r="AA188" s="13" t="str">
        <f t="shared" ref="AA188:AA189" si="87">+B188</f>
        <v>RE</v>
      </c>
      <c r="AB188" s="13">
        <v>3</v>
      </c>
    </row>
    <row r="189" spans="1:28" ht="69.8" customHeight="1" x14ac:dyDescent="0.25">
      <c r="A189" s="285" t="s">
        <v>259</v>
      </c>
      <c r="B189" s="285" t="s">
        <v>254</v>
      </c>
      <c r="C189" s="12" t="s">
        <v>1447</v>
      </c>
      <c r="D189" s="263" t="s">
        <v>290</v>
      </c>
      <c r="E189" s="263" t="s">
        <v>1448</v>
      </c>
      <c r="F189" s="13" t="s">
        <v>994</v>
      </c>
      <c r="G189" s="24" t="str">
        <f>+'8. BASE  CONSOLIDADA'!O71</f>
        <v>TRANSVERSALES X UDT</v>
      </c>
      <c r="H189" s="24" t="str">
        <f>+'8. BASE  CONSOLIDADA'!P71</f>
        <v>C18</v>
      </c>
      <c r="I189" s="13"/>
      <c r="J189" s="12">
        <v>5</v>
      </c>
      <c r="K189" s="12">
        <v>5</v>
      </c>
      <c r="L189" s="26">
        <v>5000</v>
      </c>
      <c r="M189" s="788" t="s">
        <v>1449</v>
      </c>
      <c r="N189" s="13" t="s">
        <v>1450</v>
      </c>
      <c r="O189" s="26">
        <f>+J189*L189*60</f>
        <v>1500000</v>
      </c>
      <c r="P189" s="26">
        <f>+L189*K189*60</f>
        <v>1500000</v>
      </c>
      <c r="Q189" s="26">
        <f>+L189*J189*12</f>
        <v>300000</v>
      </c>
      <c r="R189" s="26">
        <f t="shared" ref="R189:U189" si="88">+$O$189*0.2</f>
        <v>300000</v>
      </c>
      <c r="S189" s="26">
        <f t="shared" si="88"/>
        <v>300000</v>
      </c>
      <c r="T189" s="26">
        <f t="shared" si="88"/>
        <v>300000</v>
      </c>
      <c r="U189" s="26">
        <f t="shared" si="88"/>
        <v>300000</v>
      </c>
      <c r="V189" s="32"/>
      <c r="W189" s="13"/>
      <c r="X189" s="13" t="s">
        <v>148</v>
      </c>
      <c r="Y189" s="13"/>
      <c r="Z189" s="13"/>
      <c r="AA189" s="13" t="str">
        <f t="shared" si="87"/>
        <v>RE</v>
      </c>
      <c r="AB189" s="13">
        <v>3</v>
      </c>
    </row>
    <row r="190" spans="1:28" ht="99.7" customHeight="1" x14ac:dyDescent="0.25">
      <c r="A190" s="285" t="s">
        <v>259</v>
      </c>
      <c r="B190" s="285"/>
      <c r="C190" s="12" t="s">
        <v>1451</v>
      </c>
      <c r="D190" s="263" t="s">
        <v>276</v>
      </c>
      <c r="E190" s="263" t="s">
        <v>1452</v>
      </c>
      <c r="F190" s="13" t="s">
        <v>1453</v>
      </c>
      <c r="G190" s="24" t="str">
        <f>+'8. BASE  CONSOLIDADA'!O72</f>
        <v>TRANSVERSALES X UDT</v>
      </c>
      <c r="H190" s="24" t="str">
        <f>+'8. BASE  CONSOLIDADA'!P72</f>
        <v>C18</v>
      </c>
      <c r="I190" s="14">
        <v>2864</v>
      </c>
      <c r="J190" s="39">
        <f>+I190*0.1</f>
        <v>286.40000000000003</v>
      </c>
      <c r="K190" s="39">
        <f>+I190*0.1</f>
        <v>286.40000000000003</v>
      </c>
      <c r="L190" s="28">
        <v>800000</v>
      </c>
      <c r="M190" s="788" t="s">
        <v>1454</v>
      </c>
      <c r="N190" s="13" t="s">
        <v>1455</v>
      </c>
      <c r="O190" s="26">
        <f t="shared" ref="O190" si="89">+J190*L190</f>
        <v>229120000.00000003</v>
      </c>
      <c r="P190" s="26">
        <f>+L190*K190</f>
        <v>229120000.00000003</v>
      </c>
      <c r="Q190" s="26">
        <f t="shared" ref="Q190:U190" si="90">+$O$190*0.2</f>
        <v>45824000.000000007</v>
      </c>
      <c r="R190" s="26">
        <f t="shared" si="90"/>
        <v>45824000.000000007</v>
      </c>
      <c r="S190" s="26">
        <f t="shared" si="90"/>
        <v>45824000.000000007</v>
      </c>
      <c r="T190" s="26">
        <f t="shared" si="90"/>
        <v>45824000.000000007</v>
      </c>
      <c r="U190" s="26">
        <f t="shared" si="90"/>
        <v>45824000.000000007</v>
      </c>
      <c r="V190" s="10"/>
      <c r="W190" s="13" t="s">
        <v>148</v>
      </c>
      <c r="X190" s="13"/>
      <c r="Y190" s="13"/>
      <c r="Z190" s="13"/>
      <c r="AA190" s="13"/>
      <c r="AB190" s="13">
        <v>3</v>
      </c>
    </row>
    <row r="191" spans="1:28" ht="57.1" customHeight="1" x14ac:dyDescent="0.25">
      <c r="A191" s="285" t="s">
        <v>259</v>
      </c>
      <c r="B191" s="285" t="s">
        <v>254</v>
      </c>
      <c r="C191" s="12" t="s">
        <v>1456</v>
      </c>
      <c r="D191" s="788" t="s">
        <v>269</v>
      </c>
      <c r="E191" s="263" t="s">
        <v>1457</v>
      </c>
      <c r="F191" s="13" t="s">
        <v>1440</v>
      </c>
      <c r="G191" s="24" t="str">
        <f>+'8. BASE  CONSOLIDADA'!O75</f>
        <v>TRANSVERSALES X UDT</v>
      </c>
      <c r="H191" s="24" t="str">
        <f>+'8. BASE  CONSOLIDADA'!P75</f>
        <v>C18</v>
      </c>
      <c r="I191" s="14">
        <f>216494.95-88251.14</f>
        <v>128243.81000000001</v>
      </c>
      <c r="J191" s="14">
        <f>+I191*0.25</f>
        <v>32060.952500000003</v>
      </c>
      <c r="K191" s="14">
        <f>+I191*0.2</f>
        <v>25648.762000000002</v>
      </c>
      <c r="L191" s="26">
        <v>500</v>
      </c>
      <c r="M191" s="788" t="s">
        <v>1441</v>
      </c>
      <c r="N191" s="13" t="s">
        <v>996</v>
      </c>
      <c r="O191" s="26">
        <f t="shared" ref="O191:O192" si="91">+J191*L191</f>
        <v>16030476.250000002</v>
      </c>
      <c r="P191" s="26">
        <f t="shared" ref="P191" si="92">+L191*K191</f>
        <v>12824381.000000002</v>
      </c>
      <c r="Q191" s="26">
        <f t="shared" ref="Q191:U191" si="93">+$O$191*0.2</f>
        <v>3206095.2500000005</v>
      </c>
      <c r="R191" s="26">
        <f t="shared" si="93"/>
        <v>3206095.2500000005</v>
      </c>
      <c r="S191" s="26">
        <f t="shared" si="93"/>
        <v>3206095.2500000005</v>
      </c>
      <c r="T191" s="26">
        <f t="shared" si="93"/>
        <v>3206095.2500000005</v>
      </c>
      <c r="U191" s="26">
        <f t="shared" si="93"/>
        <v>3206095.2500000005</v>
      </c>
      <c r="V191" s="10"/>
      <c r="W191" s="13"/>
      <c r="X191" s="13"/>
      <c r="Y191" s="13" t="s">
        <v>148</v>
      </c>
      <c r="Z191" s="13"/>
      <c r="AA191" s="13" t="str">
        <f t="shared" ref="AA191:AA193" si="94">+B191</f>
        <v>RE</v>
      </c>
      <c r="AB191" s="13">
        <v>3</v>
      </c>
    </row>
    <row r="192" spans="1:28" ht="111.1" customHeight="1" x14ac:dyDescent="0.25">
      <c r="A192" s="285" t="s">
        <v>259</v>
      </c>
      <c r="B192" s="285" t="s">
        <v>254</v>
      </c>
      <c r="C192" s="12" t="s">
        <v>1458</v>
      </c>
      <c r="D192" s="788" t="s">
        <v>273</v>
      </c>
      <c r="E192" s="263" t="s">
        <v>1459</v>
      </c>
      <c r="F192" s="13" t="s">
        <v>1460</v>
      </c>
      <c r="G192" s="24" t="str">
        <f>+'8. BASE  CONSOLIDADA'!O76</f>
        <v>TRANSVERSALES X UDT</v>
      </c>
      <c r="H192" s="24" t="str">
        <f>+'8. BASE  CONSOLIDADA'!P76</f>
        <v>C18</v>
      </c>
      <c r="I192" s="69"/>
      <c r="J192" s="75">
        <v>10</v>
      </c>
      <c r="K192" s="75">
        <v>16</v>
      </c>
      <c r="L192" s="26">
        <v>3500000</v>
      </c>
      <c r="M192" s="788" t="s">
        <v>1461</v>
      </c>
      <c r="N192" s="69" t="s">
        <v>1462</v>
      </c>
      <c r="O192" s="26">
        <f t="shared" si="91"/>
        <v>35000000</v>
      </c>
      <c r="P192" s="26">
        <f>+K192*L192</f>
        <v>56000000</v>
      </c>
      <c r="Q192" s="26">
        <f t="shared" ref="Q192:U192" si="95">+$O$192*0.2</f>
        <v>7000000</v>
      </c>
      <c r="R192" s="26">
        <f t="shared" si="95"/>
        <v>7000000</v>
      </c>
      <c r="S192" s="26">
        <f t="shared" si="95"/>
        <v>7000000</v>
      </c>
      <c r="T192" s="26">
        <f t="shared" si="95"/>
        <v>7000000</v>
      </c>
      <c r="U192" s="26">
        <f t="shared" si="95"/>
        <v>7000000</v>
      </c>
      <c r="V192" s="13"/>
      <c r="W192" s="13"/>
      <c r="X192" s="13" t="s">
        <v>148</v>
      </c>
      <c r="Y192" s="13"/>
      <c r="Z192" s="13"/>
      <c r="AA192" s="13" t="str">
        <f t="shared" si="94"/>
        <v>RE</v>
      </c>
      <c r="AB192" s="13">
        <v>3</v>
      </c>
    </row>
    <row r="193" spans="1:28" ht="77.95" customHeight="1" x14ac:dyDescent="0.25">
      <c r="A193" s="285" t="s">
        <v>259</v>
      </c>
      <c r="B193" s="285" t="s">
        <v>254</v>
      </c>
      <c r="C193" s="12" t="s">
        <v>1463</v>
      </c>
      <c r="D193" s="788" t="s">
        <v>272</v>
      </c>
      <c r="E193" s="263" t="s">
        <v>1464</v>
      </c>
      <c r="F193" s="13" t="s">
        <v>1465</v>
      </c>
      <c r="G193" s="24" t="str">
        <f>+'8. BASE  CONSOLIDADA'!O77</f>
        <v>DERECHOS SOBRE LA TIERRA</v>
      </c>
      <c r="H193" s="24" t="str">
        <f>+'8. BASE  CONSOLIDADA'!P77</f>
        <v>C5</v>
      </c>
      <c r="I193" s="13">
        <v>0</v>
      </c>
      <c r="J193" s="13">
        <f>28*5</f>
        <v>140</v>
      </c>
      <c r="K193" s="13">
        <f>28*10</f>
        <v>280</v>
      </c>
      <c r="L193" s="26">
        <v>5000</v>
      </c>
      <c r="M193" s="788" t="s">
        <v>1466</v>
      </c>
      <c r="N193" s="69" t="s">
        <v>1020</v>
      </c>
      <c r="O193" s="26">
        <f t="shared" ref="O193:O194" si="96">+J193*L193*5</f>
        <v>3500000</v>
      </c>
      <c r="P193" s="26">
        <f t="shared" ref="P193:P194" si="97">+K193*L193*5</f>
        <v>7000000</v>
      </c>
      <c r="Q193" s="26">
        <f t="shared" ref="Q193:U193" si="98">+$O$193*0.2</f>
        <v>700000</v>
      </c>
      <c r="R193" s="26">
        <f t="shared" si="98"/>
        <v>700000</v>
      </c>
      <c r="S193" s="26">
        <f t="shared" si="98"/>
        <v>700000</v>
      </c>
      <c r="T193" s="26">
        <f t="shared" si="98"/>
        <v>700000</v>
      </c>
      <c r="U193" s="26">
        <f t="shared" si="98"/>
        <v>700000</v>
      </c>
      <c r="V193" s="13"/>
      <c r="W193" s="13"/>
      <c r="X193" s="13" t="s">
        <v>148</v>
      </c>
      <c r="Y193" s="13"/>
      <c r="Z193" s="13"/>
      <c r="AA193" s="13" t="str">
        <f t="shared" si="94"/>
        <v>RE</v>
      </c>
      <c r="AB193" s="13">
        <v>3</v>
      </c>
    </row>
    <row r="194" spans="1:28" ht="43.5" customHeight="1" x14ac:dyDescent="0.25">
      <c r="A194" s="285" t="s">
        <v>259</v>
      </c>
      <c r="B194" s="285"/>
      <c r="C194" s="12" t="s">
        <v>1467</v>
      </c>
      <c r="D194" s="263" t="s">
        <v>266</v>
      </c>
      <c r="E194" s="373" t="s">
        <v>1468</v>
      </c>
      <c r="F194" s="13" t="s">
        <v>1469</v>
      </c>
      <c r="G194" s="24" t="str">
        <f>+'8. BASE  CONSOLIDADA'!O78</f>
        <v>ASISTENCIA TÉCNICA</v>
      </c>
      <c r="H194" s="24" t="str">
        <f>+'8. BASE  CONSOLIDADA'!P78</f>
        <v>C1</v>
      </c>
      <c r="I194" s="13">
        <v>0</v>
      </c>
      <c r="J194" s="14">
        <v>30</v>
      </c>
      <c r="K194" s="14">
        <v>40</v>
      </c>
      <c r="L194" s="26">
        <v>3000</v>
      </c>
      <c r="M194" s="788" t="s">
        <v>1470</v>
      </c>
      <c r="N194" s="416" t="s">
        <v>1471</v>
      </c>
      <c r="O194" s="68">
        <f t="shared" si="96"/>
        <v>450000</v>
      </c>
      <c r="P194" s="26">
        <f t="shared" si="97"/>
        <v>600000</v>
      </c>
      <c r="Q194" s="26">
        <f t="shared" ref="Q194:U194" si="99">+$O$194*0.2</f>
        <v>90000</v>
      </c>
      <c r="R194" s="26">
        <f t="shared" si="99"/>
        <v>90000</v>
      </c>
      <c r="S194" s="26">
        <f t="shared" si="99"/>
        <v>90000</v>
      </c>
      <c r="T194" s="26">
        <f t="shared" si="99"/>
        <v>90000</v>
      </c>
      <c r="U194" s="26">
        <f t="shared" si="99"/>
        <v>90000</v>
      </c>
      <c r="V194" s="30"/>
      <c r="W194" s="13"/>
      <c r="X194" s="13"/>
      <c r="Y194" s="13" t="s">
        <v>148</v>
      </c>
      <c r="Z194" s="13"/>
      <c r="AA194" s="13"/>
      <c r="AB194" s="13">
        <v>2</v>
      </c>
    </row>
    <row r="195" spans="1:28" ht="43" hidden="1" customHeight="1" x14ac:dyDescent="0.25">
      <c r="A195" s="825"/>
      <c r="B195" s="16"/>
      <c r="C195" s="12"/>
      <c r="D195" s="24"/>
      <c r="E195" s="263"/>
      <c r="F195" s="13"/>
      <c r="G195" s="93"/>
      <c r="H195" s="93"/>
      <c r="I195" s="13"/>
      <c r="J195" s="14"/>
      <c r="K195" s="14"/>
      <c r="L195" s="26"/>
      <c r="M195" s="872"/>
      <c r="N195" s="416"/>
      <c r="O195" s="68"/>
      <c r="P195" s="26"/>
      <c r="Q195" s="26"/>
      <c r="R195" s="26"/>
      <c r="S195" s="26"/>
      <c r="T195" s="26"/>
      <c r="U195" s="26"/>
      <c r="V195" s="66"/>
      <c r="W195" s="470"/>
      <c r="X195" s="470"/>
      <c r="Y195" s="470"/>
      <c r="Z195" s="470"/>
      <c r="AA195" s="470"/>
      <c r="AB195" s="470"/>
    </row>
    <row r="196" spans="1:28" ht="23.95" customHeight="1" x14ac:dyDescent="0.25">
      <c r="A196" s="825"/>
      <c r="B196" s="16"/>
      <c r="C196" s="16"/>
      <c r="D196" s="22"/>
      <c r="E196" s="262"/>
      <c r="F196" s="16"/>
      <c r="G196" s="16"/>
      <c r="H196" s="16"/>
      <c r="I196" s="16"/>
      <c r="J196" s="1"/>
      <c r="K196" s="1"/>
      <c r="L196" s="1"/>
      <c r="M196" s="262"/>
      <c r="N196" s="1"/>
      <c r="O196" s="29">
        <f>SUM(O188:O194)</f>
        <v>285912976.25</v>
      </c>
      <c r="P196" s="29">
        <f t="shared" ref="P196:U196" si="100">SUM(P188:P194)</f>
        <v>307406881</v>
      </c>
      <c r="Q196" s="29">
        <f t="shared" si="100"/>
        <v>57182595.250000007</v>
      </c>
      <c r="R196" s="29">
        <f t="shared" si="100"/>
        <v>57182595.250000007</v>
      </c>
      <c r="S196" s="29">
        <f t="shared" si="100"/>
        <v>57182595.250000007</v>
      </c>
      <c r="T196" s="29">
        <f t="shared" si="100"/>
        <v>57182595.250000007</v>
      </c>
      <c r="U196" s="29">
        <f t="shared" si="100"/>
        <v>57182595.250000007</v>
      </c>
      <c r="V196" s="1"/>
      <c r="W196" s="1"/>
      <c r="X196" s="1"/>
      <c r="Y196" s="1"/>
      <c r="Z196" s="1"/>
      <c r="AA196" s="1"/>
      <c r="AB196" s="1"/>
    </row>
    <row r="197" spans="1:28" ht="23.95" customHeight="1" x14ac:dyDescent="0.25">
      <c r="A197" s="825"/>
      <c r="B197" s="16"/>
      <c r="C197" s="16"/>
      <c r="D197" s="22"/>
      <c r="E197" s="262"/>
      <c r="F197" s="16"/>
      <c r="G197" s="16"/>
      <c r="H197" s="16"/>
      <c r="I197" s="16"/>
      <c r="J197" s="1"/>
      <c r="K197" s="1"/>
      <c r="L197" s="1"/>
      <c r="M197" s="1460" t="s">
        <v>1472</v>
      </c>
      <c r="N197" s="1394"/>
      <c r="O197" s="41">
        <f t="shared" ref="O197:U197" si="101">+O33+O53+O73+O92+O107+O121+O137+O165+O196+O150+O181</f>
        <v>1319338575.7728329</v>
      </c>
      <c r="P197" s="41">
        <f t="shared" si="101"/>
        <v>1487190420.5228329</v>
      </c>
      <c r="Q197" s="41">
        <f t="shared" si="101"/>
        <v>274675149.4946143</v>
      </c>
      <c r="R197" s="41">
        <f t="shared" si="101"/>
        <v>255704912.9961639</v>
      </c>
      <c r="S197" s="41">
        <f t="shared" si="101"/>
        <v>259604089.62842441</v>
      </c>
      <c r="T197" s="41">
        <f t="shared" si="101"/>
        <v>266118322.39294538</v>
      </c>
      <c r="U197" s="41">
        <f t="shared" si="101"/>
        <v>263236101.26068491</v>
      </c>
      <c r="V197" s="1"/>
      <c r="W197" s="1"/>
      <c r="X197" s="1"/>
      <c r="Y197" s="1"/>
      <c r="Z197" s="1"/>
      <c r="AA197" s="1"/>
      <c r="AB197" s="1"/>
    </row>
    <row r="198" spans="1:28" ht="11.25" customHeight="1" x14ac:dyDescent="0.25">
      <c r="A198" s="825"/>
      <c r="B198" s="16"/>
      <c r="C198" s="16"/>
      <c r="D198" s="22"/>
      <c r="E198" s="262"/>
      <c r="F198" s="16"/>
      <c r="G198" s="16"/>
      <c r="H198" s="16"/>
      <c r="I198" s="16"/>
      <c r="J198" s="1"/>
      <c r="K198" s="1"/>
      <c r="L198" s="1"/>
      <c r="M198" s="262"/>
      <c r="N198" s="1"/>
      <c r="O198" s="1"/>
      <c r="P198" s="1"/>
      <c r="Q198" s="1"/>
      <c r="R198" s="1"/>
      <c r="S198" s="1"/>
      <c r="T198" s="1"/>
      <c r="U198" s="1"/>
      <c r="V198" s="1"/>
      <c r="W198" s="1"/>
      <c r="X198" s="1"/>
      <c r="Y198" s="1"/>
      <c r="Z198" s="1"/>
      <c r="AA198" s="1"/>
      <c r="AB198" s="1"/>
    </row>
    <row r="199" spans="1:28" ht="11.25" customHeight="1" x14ac:dyDescent="0.25">
      <c r="A199" s="825"/>
      <c r="B199" s="16"/>
      <c r="C199" s="16"/>
      <c r="D199" s="22"/>
      <c r="E199" s="262"/>
      <c r="F199" s="16"/>
      <c r="G199" s="16"/>
      <c r="H199" s="16"/>
      <c r="I199" s="16"/>
      <c r="J199" s="1"/>
      <c r="K199" s="1"/>
      <c r="L199" s="1"/>
      <c r="M199" s="262"/>
      <c r="N199" s="1"/>
      <c r="O199" s="1"/>
      <c r="P199" s="1"/>
      <c r="Q199" s="1"/>
      <c r="R199" s="1"/>
      <c r="S199" s="1"/>
      <c r="T199" s="1"/>
      <c r="U199" s="1"/>
      <c r="V199" s="1"/>
      <c r="W199" s="1"/>
      <c r="X199" s="1"/>
      <c r="Y199" s="1"/>
      <c r="Z199" s="1"/>
      <c r="AA199" s="1"/>
      <c r="AB199" s="1"/>
    </row>
    <row r="200" spans="1:28" ht="11.25" customHeight="1" x14ac:dyDescent="0.25">
      <c r="A200" s="825"/>
      <c r="B200" s="16"/>
      <c r="C200" s="16"/>
      <c r="D200" s="22"/>
      <c r="E200" s="262"/>
      <c r="F200" s="16"/>
      <c r="G200" s="16"/>
      <c r="H200" s="16"/>
      <c r="I200" s="16"/>
      <c r="J200" s="1"/>
      <c r="K200" s="1"/>
      <c r="L200" s="1"/>
      <c r="M200" s="262"/>
      <c r="N200" s="1"/>
      <c r="O200" s="825"/>
      <c r="P200" s="825"/>
      <c r="Q200" s="1"/>
      <c r="R200" s="1"/>
      <c r="S200" s="1"/>
      <c r="T200" s="1"/>
      <c r="U200" s="1"/>
      <c r="V200" s="1"/>
      <c r="W200" s="1"/>
      <c r="X200" s="1"/>
      <c r="Y200" s="1"/>
      <c r="Z200" s="1"/>
      <c r="AA200" s="1"/>
      <c r="AB200" s="1"/>
    </row>
    <row r="201" spans="1:28" ht="11.25" customHeight="1" x14ac:dyDescent="0.25">
      <c r="A201" s="825"/>
      <c r="B201" s="16"/>
      <c r="C201" s="16"/>
      <c r="D201" s="22"/>
      <c r="E201" s="262"/>
      <c r="F201" s="16"/>
      <c r="G201" s="16"/>
      <c r="H201" s="16"/>
      <c r="I201" s="16"/>
      <c r="J201" s="1"/>
      <c r="K201" s="1"/>
      <c r="L201" s="1"/>
      <c r="M201" s="262"/>
      <c r="N201" s="1"/>
      <c r="O201" s="1"/>
      <c r="P201" s="1"/>
      <c r="Q201" s="1"/>
      <c r="R201" s="1"/>
      <c r="S201" s="1"/>
      <c r="T201" s="1"/>
      <c r="U201" s="1"/>
      <c r="V201" s="1"/>
      <c r="W201" s="1"/>
      <c r="X201" s="1"/>
      <c r="Y201" s="1"/>
      <c r="Z201" s="1"/>
      <c r="AA201" s="1"/>
      <c r="AB201" s="1"/>
    </row>
    <row r="202" spans="1:28" ht="11.25" customHeight="1" x14ac:dyDescent="0.25">
      <c r="A202" s="825"/>
      <c r="B202" s="16"/>
      <c r="C202" s="16"/>
      <c r="D202" s="22"/>
      <c r="E202" s="262"/>
      <c r="F202" s="16"/>
      <c r="G202" s="16"/>
      <c r="H202" s="16"/>
      <c r="I202" s="16"/>
      <c r="J202" s="1"/>
      <c r="K202" s="1"/>
      <c r="L202" s="1"/>
      <c r="M202" s="262"/>
      <c r="N202" s="1"/>
      <c r="O202" s="1"/>
      <c r="P202" s="1"/>
      <c r="Q202" s="1"/>
      <c r="R202" s="1"/>
      <c r="S202" s="1"/>
      <c r="T202" s="1"/>
      <c r="U202" s="1"/>
      <c r="V202" s="1"/>
      <c r="W202" s="1"/>
      <c r="X202" s="1"/>
      <c r="Y202" s="1"/>
      <c r="Z202" s="1"/>
      <c r="AA202" s="1"/>
      <c r="AB202" s="1"/>
    </row>
    <row r="203" spans="1:28" ht="11.25" customHeight="1" x14ac:dyDescent="0.25">
      <c r="A203" s="825"/>
      <c r="B203" s="16"/>
      <c r="C203" s="16"/>
      <c r="D203" s="22"/>
      <c r="E203" s="262"/>
      <c r="F203" s="16"/>
      <c r="G203" s="16"/>
      <c r="H203" s="16"/>
      <c r="I203" s="16"/>
      <c r="J203" s="1"/>
      <c r="K203" s="1"/>
      <c r="L203" s="1"/>
      <c r="M203" s="262"/>
      <c r="N203" s="1"/>
      <c r="O203" s="1"/>
      <c r="P203" s="1"/>
      <c r="Q203" s="1"/>
      <c r="R203" s="1"/>
      <c r="S203" s="1"/>
      <c r="T203" s="1"/>
      <c r="U203" s="1"/>
      <c r="V203" s="1"/>
      <c r="W203" s="1"/>
      <c r="X203" s="1"/>
      <c r="Y203" s="1"/>
      <c r="Z203" s="1"/>
      <c r="AA203" s="1"/>
      <c r="AB203" s="1"/>
    </row>
    <row r="204" spans="1:28" ht="11.25" customHeight="1" x14ac:dyDescent="0.25">
      <c r="A204" s="825"/>
      <c r="B204" s="16"/>
      <c r="C204" s="16"/>
      <c r="D204" s="22"/>
      <c r="E204" s="262"/>
      <c r="F204" s="16"/>
      <c r="G204" s="16"/>
      <c r="H204" s="16"/>
      <c r="I204" s="16"/>
      <c r="J204" s="1"/>
      <c r="K204" s="1"/>
      <c r="L204" s="1"/>
      <c r="M204" s="262"/>
      <c r="N204" s="1"/>
      <c r="O204" s="1"/>
      <c r="P204" s="1"/>
      <c r="Q204" s="1"/>
      <c r="R204" s="1"/>
      <c r="S204" s="1"/>
      <c r="T204" s="1"/>
      <c r="U204" s="1"/>
      <c r="V204" s="1"/>
      <c r="W204" s="1"/>
      <c r="X204" s="1"/>
      <c r="Y204" s="1"/>
      <c r="Z204" s="1"/>
      <c r="AA204" s="1"/>
      <c r="AB204" s="1"/>
    </row>
    <row r="205" spans="1:28" ht="11.25" customHeight="1" x14ac:dyDescent="0.25">
      <c r="A205" s="825"/>
      <c r="B205" s="16"/>
      <c r="C205" s="16"/>
      <c r="D205" s="22"/>
      <c r="E205" s="262"/>
      <c r="F205" s="16"/>
      <c r="G205" s="16"/>
      <c r="H205" s="16"/>
      <c r="I205" s="16"/>
      <c r="J205" s="1"/>
      <c r="K205" s="1"/>
      <c r="L205" s="1"/>
      <c r="M205" s="262"/>
      <c r="N205" s="1"/>
      <c r="O205" s="1"/>
      <c r="P205" s="1"/>
      <c r="Q205" s="1"/>
      <c r="R205" s="1"/>
      <c r="S205" s="1"/>
      <c r="T205" s="1"/>
      <c r="U205" s="1"/>
      <c r="V205" s="1"/>
      <c r="W205" s="1"/>
      <c r="X205" s="1"/>
      <c r="Y205" s="1"/>
      <c r="Z205" s="1"/>
      <c r="AA205" s="1"/>
      <c r="AB205" s="1"/>
    </row>
    <row r="206" spans="1:28" ht="11.25" customHeight="1" x14ac:dyDescent="0.25">
      <c r="A206" s="825"/>
      <c r="B206" s="16"/>
      <c r="C206" s="16"/>
      <c r="D206" s="22"/>
      <c r="E206" s="262"/>
      <c r="F206" s="16"/>
      <c r="G206" s="16"/>
      <c r="H206" s="16"/>
      <c r="I206" s="16"/>
      <c r="J206" s="1"/>
      <c r="K206" s="1"/>
      <c r="L206" s="1"/>
      <c r="M206" s="262"/>
      <c r="N206" s="1"/>
      <c r="O206" s="1"/>
      <c r="P206" s="1"/>
      <c r="Q206" s="1"/>
      <c r="R206" s="1"/>
      <c r="S206" s="1"/>
      <c r="T206" s="1"/>
      <c r="U206" s="1"/>
      <c r="V206" s="1"/>
      <c r="W206" s="1"/>
      <c r="X206" s="1"/>
      <c r="Y206" s="1"/>
      <c r="Z206" s="1"/>
      <c r="AA206" s="1"/>
      <c r="AB206" s="1"/>
    </row>
    <row r="207" spans="1:28" ht="11.25" customHeight="1" x14ac:dyDescent="0.25">
      <c r="A207" s="825"/>
      <c r="B207" s="16"/>
      <c r="C207" s="16"/>
      <c r="D207" s="22"/>
      <c r="E207" s="262"/>
      <c r="F207" s="16"/>
      <c r="G207" s="16"/>
      <c r="H207" s="16"/>
      <c r="I207" s="16"/>
      <c r="J207" s="1"/>
      <c r="K207" s="1"/>
      <c r="L207" s="1"/>
      <c r="M207" s="262"/>
      <c r="N207" s="1"/>
      <c r="O207" s="1"/>
      <c r="P207" s="1"/>
      <c r="Q207" s="1"/>
      <c r="R207" s="1"/>
      <c r="S207" s="1"/>
      <c r="T207" s="1"/>
      <c r="U207" s="1"/>
      <c r="V207" s="1"/>
      <c r="W207" s="1"/>
      <c r="X207" s="1"/>
      <c r="Y207" s="1"/>
      <c r="Z207" s="1"/>
      <c r="AA207" s="1"/>
      <c r="AB207" s="1"/>
    </row>
    <row r="208" spans="1:28" ht="11.25" customHeight="1" x14ac:dyDescent="0.25">
      <c r="A208" s="825"/>
      <c r="B208" s="16"/>
      <c r="C208" s="16"/>
      <c r="D208" s="22"/>
      <c r="E208" s="262"/>
      <c r="F208" s="16"/>
      <c r="G208" s="16"/>
      <c r="H208" s="16"/>
      <c r="I208" s="16"/>
      <c r="J208" s="1"/>
      <c r="K208" s="1"/>
      <c r="L208" s="1"/>
      <c r="M208" s="262"/>
      <c r="N208" s="1"/>
      <c r="O208" s="1"/>
      <c r="P208" s="1"/>
      <c r="Q208" s="1"/>
      <c r="R208" s="1"/>
      <c r="S208" s="1"/>
      <c r="T208" s="1"/>
      <c r="U208" s="1"/>
      <c r="V208" s="1"/>
      <c r="W208" s="1"/>
      <c r="X208" s="1"/>
      <c r="Y208" s="1"/>
      <c r="Z208" s="1"/>
      <c r="AA208" s="1"/>
      <c r="AB208" s="1"/>
    </row>
    <row r="209" spans="1:28" ht="11.25" customHeight="1" x14ac:dyDescent="0.25">
      <c r="A209" s="825"/>
      <c r="B209" s="16"/>
      <c r="C209" s="16"/>
      <c r="D209" s="22"/>
      <c r="E209" s="262"/>
      <c r="F209" s="16"/>
      <c r="G209" s="16"/>
      <c r="H209" s="16"/>
      <c r="I209" s="16"/>
      <c r="J209" s="1"/>
      <c r="K209" s="1"/>
      <c r="L209" s="1"/>
      <c r="M209" s="262"/>
      <c r="N209" s="1"/>
      <c r="O209" s="1"/>
      <c r="P209" s="1"/>
      <c r="Q209" s="1"/>
      <c r="R209" s="1"/>
      <c r="S209" s="1"/>
      <c r="T209" s="1"/>
      <c r="U209" s="1"/>
      <c r="V209" s="1"/>
      <c r="W209" s="1"/>
      <c r="X209" s="1"/>
      <c r="Y209" s="1"/>
      <c r="Z209" s="1"/>
      <c r="AA209" s="1"/>
      <c r="AB209" s="1"/>
    </row>
    <row r="210" spans="1:28" ht="11.25" customHeight="1" x14ac:dyDescent="0.25">
      <c r="A210" s="825"/>
      <c r="B210" s="16"/>
      <c r="C210" s="16"/>
      <c r="D210" s="22"/>
      <c r="E210" s="262"/>
      <c r="F210" s="16"/>
      <c r="G210" s="16"/>
      <c r="H210" s="16"/>
      <c r="I210" s="16"/>
      <c r="J210" s="1"/>
      <c r="K210" s="1"/>
      <c r="L210" s="1"/>
      <c r="M210" s="262"/>
      <c r="N210" s="1"/>
      <c r="O210" s="1"/>
      <c r="P210" s="1"/>
      <c r="Q210" s="1"/>
      <c r="R210" s="1"/>
      <c r="S210" s="1"/>
      <c r="T210" s="1"/>
      <c r="U210" s="1"/>
      <c r="V210" s="1"/>
      <c r="W210" s="1"/>
      <c r="X210" s="1"/>
      <c r="Y210" s="1"/>
      <c r="Z210" s="1"/>
      <c r="AA210" s="1"/>
      <c r="AB210" s="1"/>
    </row>
    <row r="211" spans="1:28" ht="11.25" customHeight="1" x14ac:dyDescent="0.25">
      <c r="A211" s="825"/>
      <c r="B211" s="16"/>
      <c r="C211" s="16"/>
      <c r="D211" s="22"/>
      <c r="E211" s="262"/>
      <c r="F211" s="16"/>
      <c r="G211" s="16"/>
      <c r="H211" s="16"/>
      <c r="I211" s="16"/>
      <c r="J211" s="1"/>
      <c r="K211" s="1"/>
      <c r="L211" s="1"/>
      <c r="M211" s="262"/>
      <c r="N211" s="1"/>
      <c r="O211" s="1"/>
      <c r="P211" s="1"/>
      <c r="Q211" s="1"/>
      <c r="R211" s="1"/>
      <c r="S211" s="1"/>
      <c r="T211" s="1"/>
      <c r="U211" s="1"/>
      <c r="V211" s="1"/>
      <c r="W211" s="1"/>
      <c r="X211" s="1"/>
      <c r="Y211" s="1"/>
      <c r="Z211" s="1"/>
      <c r="AA211" s="1"/>
      <c r="AB211" s="1"/>
    </row>
    <row r="212" spans="1:28" ht="11.25" customHeight="1" x14ac:dyDescent="0.25">
      <c r="A212" s="825"/>
      <c r="B212" s="16"/>
      <c r="C212" s="16"/>
      <c r="D212" s="22"/>
      <c r="E212" s="262"/>
      <c r="F212" s="16"/>
      <c r="G212" s="16"/>
      <c r="H212" s="16"/>
      <c r="I212" s="16"/>
      <c r="J212" s="1"/>
      <c r="K212" s="1"/>
      <c r="L212" s="1"/>
      <c r="M212" s="262"/>
      <c r="N212" s="1"/>
      <c r="O212" s="1"/>
      <c r="P212" s="1"/>
      <c r="Q212" s="1"/>
      <c r="R212" s="1"/>
      <c r="S212" s="1"/>
      <c r="T212" s="1"/>
      <c r="U212" s="1"/>
      <c r="V212" s="1"/>
      <c r="W212" s="1"/>
      <c r="X212" s="1"/>
      <c r="Y212" s="1"/>
      <c r="Z212" s="1"/>
      <c r="AA212" s="1"/>
      <c r="AB212" s="1"/>
    </row>
    <row r="213" spans="1:28" ht="11.25" customHeight="1" x14ac:dyDescent="0.25">
      <c r="A213" s="825"/>
      <c r="B213" s="16"/>
      <c r="C213" s="16"/>
      <c r="D213" s="22"/>
      <c r="E213" s="262"/>
      <c r="F213" s="16"/>
      <c r="G213" s="16"/>
      <c r="H213" s="16"/>
      <c r="I213" s="16"/>
      <c r="J213" s="1"/>
      <c r="K213" s="1"/>
      <c r="L213" s="1"/>
      <c r="M213" s="262"/>
      <c r="N213" s="1"/>
      <c r="O213" s="1"/>
      <c r="P213" s="1"/>
      <c r="Q213" s="1"/>
      <c r="R213" s="1"/>
      <c r="S213" s="1"/>
      <c r="T213" s="1"/>
      <c r="U213" s="1"/>
      <c r="V213" s="1"/>
      <c r="W213" s="1"/>
      <c r="X213" s="1"/>
      <c r="Y213" s="1"/>
      <c r="Z213" s="1"/>
      <c r="AA213" s="1"/>
      <c r="AB213" s="1"/>
    </row>
    <row r="214" spans="1:28" ht="11.25" customHeight="1" x14ac:dyDescent="0.25">
      <c r="A214" s="825"/>
      <c r="B214" s="16"/>
      <c r="C214" s="16"/>
      <c r="D214" s="22"/>
      <c r="E214" s="262"/>
      <c r="F214" s="16"/>
      <c r="G214" s="16"/>
      <c r="H214" s="16"/>
      <c r="I214" s="16"/>
      <c r="J214" s="1"/>
      <c r="K214" s="1"/>
      <c r="L214" s="1"/>
      <c r="M214" s="262"/>
      <c r="N214" s="1"/>
      <c r="O214" s="1"/>
      <c r="P214" s="1"/>
      <c r="Q214" s="1"/>
      <c r="R214" s="1"/>
      <c r="S214" s="1"/>
      <c r="T214" s="1"/>
      <c r="U214" s="1"/>
      <c r="V214" s="1"/>
      <c r="W214" s="1"/>
      <c r="X214" s="1"/>
      <c r="Y214" s="1"/>
      <c r="Z214" s="1"/>
      <c r="AA214" s="1"/>
      <c r="AB214" s="1"/>
    </row>
    <row r="215" spans="1:28" ht="11.25" customHeight="1" x14ac:dyDescent="0.25">
      <c r="A215" s="825"/>
      <c r="B215" s="16"/>
      <c r="C215" s="16"/>
      <c r="D215" s="22"/>
      <c r="E215" s="262"/>
      <c r="F215" s="16"/>
      <c r="G215" s="16"/>
      <c r="H215" s="16"/>
      <c r="I215" s="16"/>
      <c r="J215" s="1"/>
      <c r="K215" s="1"/>
      <c r="L215" s="1"/>
      <c r="M215" s="262"/>
      <c r="N215" s="1"/>
      <c r="O215" s="1"/>
      <c r="P215" s="1"/>
      <c r="Q215" s="1"/>
      <c r="R215" s="1"/>
      <c r="S215" s="1"/>
      <c r="T215" s="1"/>
      <c r="U215" s="1"/>
      <c r="V215" s="1"/>
      <c r="W215" s="1"/>
      <c r="X215" s="1"/>
      <c r="Y215" s="1"/>
      <c r="Z215" s="1"/>
      <c r="AA215" s="1"/>
      <c r="AB215" s="1"/>
    </row>
    <row r="216" spans="1:28" ht="11.25" customHeight="1" x14ac:dyDescent="0.25">
      <c r="A216" s="825"/>
      <c r="B216" s="16"/>
      <c r="C216" s="16"/>
      <c r="D216" s="22"/>
      <c r="E216" s="262"/>
      <c r="F216" s="16"/>
      <c r="G216" s="16"/>
      <c r="H216" s="16"/>
      <c r="I216" s="16"/>
      <c r="J216" s="1"/>
      <c r="K216" s="1"/>
      <c r="L216" s="1"/>
      <c r="M216" s="262"/>
      <c r="N216" s="1"/>
      <c r="O216" s="1"/>
      <c r="P216" s="1"/>
      <c r="Q216" s="1"/>
      <c r="R216" s="1"/>
      <c r="S216" s="1"/>
      <c r="T216" s="1"/>
      <c r="U216" s="1"/>
      <c r="V216" s="1"/>
      <c r="W216" s="1"/>
      <c r="X216" s="1"/>
      <c r="Y216" s="1"/>
      <c r="Z216" s="1"/>
      <c r="AA216" s="1"/>
      <c r="AB216" s="1"/>
    </row>
    <row r="217" spans="1:28" ht="11.25" customHeight="1" x14ac:dyDescent="0.25">
      <c r="A217" s="825"/>
      <c r="B217" s="16"/>
      <c r="C217" s="16"/>
      <c r="D217" s="22"/>
      <c r="E217" s="262"/>
      <c r="F217" s="16"/>
      <c r="G217" s="16"/>
      <c r="H217" s="16"/>
      <c r="I217" s="16"/>
      <c r="J217" s="1"/>
      <c r="K217" s="1"/>
      <c r="L217" s="1"/>
      <c r="M217" s="262"/>
      <c r="N217" s="1"/>
      <c r="O217" s="1"/>
      <c r="P217" s="1"/>
      <c r="Q217" s="1"/>
      <c r="R217" s="1"/>
      <c r="S217" s="1"/>
      <c r="T217" s="1"/>
      <c r="U217" s="1"/>
      <c r="V217" s="1"/>
      <c r="W217" s="1"/>
      <c r="X217" s="1"/>
      <c r="Y217" s="1"/>
      <c r="Z217" s="1"/>
      <c r="AA217" s="1"/>
      <c r="AB217" s="1"/>
    </row>
    <row r="218" spans="1:28" ht="11.25" customHeight="1" x14ac:dyDescent="0.25">
      <c r="A218" s="825"/>
      <c r="B218" s="16"/>
      <c r="C218" s="16"/>
      <c r="D218" s="22"/>
      <c r="E218" s="262"/>
      <c r="F218" s="16"/>
      <c r="G218" s="16"/>
      <c r="H218" s="16"/>
      <c r="I218" s="16"/>
      <c r="J218" s="1"/>
      <c r="K218" s="1"/>
      <c r="L218" s="1"/>
      <c r="M218" s="262"/>
      <c r="N218" s="1"/>
      <c r="O218" s="1"/>
      <c r="P218" s="1"/>
      <c r="Q218" s="1"/>
      <c r="R218" s="1"/>
      <c r="S218" s="1"/>
      <c r="T218" s="1"/>
      <c r="U218" s="1"/>
      <c r="V218" s="1"/>
      <c r="W218" s="1"/>
      <c r="X218" s="1"/>
      <c r="Y218" s="1"/>
      <c r="Z218" s="1"/>
      <c r="AA218" s="1"/>
      <c r="AB218" s="1"/>
    </row>
    <row r="219" spans="1:28" ht="11.25" customHeight="1" x14ac:dyDescent="0.25">
      <c r="A219" s="825"/>
      <c r="B219" s="16"/>
      <c r="C219" s="16"/>
      <c r="D219" s="22"/>
      <c r="E219" s="262"/>
      <c r="F219" s="16"/>
      <c r="G219" s="16"/>
      <c r="H219" s="16"/>
      <c r="I219" s="16"/>
      <c r="J219" s="1"/>
      <c r="K219" s="1"/>
      <c r="L219" s="1"/>
      <c r="M219" s="262"/>
      <c r="N219" s="1"/>
      <c r="O219" s="1"/>
      <c r="P219" s="1"/>
      <c r="Q219" s="1"/>
      <c r="R219" s="1"/>
      <c r="S219" s="1"/>
      <c r="T219" s="1"/>
      <c r="U219" s="1"/>
      <c r="V219" s="1"/>
      <c r="W219" s="1"/>
      <c r="X219" s="1"/>
      <c r="Y219" s="1"/>
      <c r="Z219" s="1"/>
      <c r="AA219" s="1"/>
      <c r="AB219" s="1"/>
    </row>
    <row r="220" spans="1:28" ht="11.25" customHeight="1" x14ac:dyDescent="0.25">
      <c r="A220" s="825"/>
      <c r="B220" s="16"/>
      <c r="C220" s="16"/>
      <c r="D220" s="22"/>
      <c r="E220" s="262"/>
      <c r="F220" s="16"/>
      <c r="G220" s="16"/>
      <c r="H220" s="16"/>
      <c r="I220" s="16"/>
      <c r="J220" s="1"/>
      <c r="K220" s="1"/>
      <c r="L220" s="1"/>
      <c r="M220" s="262"/>
      <c r="N220" s="1"/>
      <c r="O220" s="1"/>
      <c r="P220" s="1"/>
      <c r="Q220" s="1"/>
      <c r="R220" s="1"/>
      <c r="S220" s="1"/>
      <c r="T220" s="1"/>
      <c r="U220" s="1"/>
      <c r="V220" s="1"/>
      <c r="W220" s="1"/>
      <c r="X220" s="1"/>
      <c r="Y220" s="1"/>
      <c r="Z220" s="1"/>
      <c r="AA220" s="1"/>
      <c r="AB220" s="1"/>
    </row>
    <row r="221" spans="1:28" ht="11.25" customHeight="1" x14ac:dyDescent="0.25">
      <c r="A221" s="825"/>
      <c r="B221" s="16"/>
      <c r="C221" s="16"/>
      <c r="D221" s="22"/>
      <c r="E221" s="262"/>
      <c r="F221" s="16"/>
      <c r="G221" s="16"/>
      <c r="H221" s="16"/>
      <c r="I221" s="16"/>
      <c r="J221" s="1"/>
      <c r="K221" s="1"/>
      <c r="L221" s="1"/>
      <c r="M221" s="262"/>
      <c r="N221" s="1"/>
      <c r="O221" s="1"/>
      <c r="P221" s="1"/>
      <c r="Q221" s="1"/>
      <c r="R221" s="1"/>
      <c r="S221" s="1"/>
      <c r="T221" s="1"/>
      <c r="U221" s="1"/>
      <c r="V221" s="1"/>
      <c r="W221" s="1"/>
      <c r="X221" s="1"/>
      <c r="Y221" s="1"/>
      <c r="Z221" s="1"/>
      <c r="AA221" s="1"/>
      <c r="AB221" s="1"/>
    </row>
    <row r="222" spans="1:28" ht="11.25" customHeight="1" x14ac:dyDescent="0.25">
      <c r="A222" s="825"/>
      <c r="B222" s="16"/>
      <c r="C222" s="16"/>
      <c r="D222" s="22"/>
      <c r="E222" s="262"/>
      <c r="F222" s="16"/>
      <c r="G222" s="16"/>
      <c r="H222" s="16"/>
      <c r="I222" s="16"/>
      <c r="J222" s="1"/>
      <c r="K222" s="1"/>
      <c r="L222" s="1"/>
      <c r="M222" s="262"/>
      <c r="N222" s="1"/>
      <c r="O222" s="1"/>
      <c r="P222" s="1"/>
      <c r="Q222" s="1"/>
      <c r="R222" s="1"/>
      <c r="S222" s="1"/>
      <c r="T222" s="1"/>
      <c r="U222" s="1"/>
      <c r="V222" s="1"/>
      <c r="W222" s="1"/>
      <c r="X222" s="1"/>
      <c r="Y222" s="1"/>
      <c r="Z222" s="1"/>
      <c r="AA222" s="1"/>
      <c r="AB222" s="1"/>
    </row>
    <row r="223" spans="1:28" ht="11.25" customHeight="1" x14ac:dyDescent="0.25">
      <c r="A223" s="825"/>
      <c r="B223" s="16"/>
      <c r="C223" s="16"/>
      <c r="D223" s="22"/>
      <c r="E223" s="262"/>
      <c r="F223" s="16"/>
      <c r="G223" s="16"/>
      <c r="H223" s="16"/>
      <c r="I223" s="16"/>
      <c r="J223" s="1"/>
      <c r="K223" s="1"/>
      <c r="L223" s="1"/>
      <c r="M223" s="262"/>
      <c r="N223" s="1"/>
      <c r="O223" s="1"/>
      <c r="P223" s="1"/>
      <c r="Q223" s="1"/>
      <c r="R223" s="1"/>
      <c r="S223" s="1"/>
      <c r="T223" s="1"/>
      <c r="U223" s="1"/>
      <c r="V223" s="1"/>
      <c r="W223" s="1"/>
      <c r="X223" s="1"/>
      <c r="Y223" s="1"/>
      <c r="Z223" s="1"/>
      <c r="AA223" s="1"/>
      <c r="AB223" s="1"/>
    </row>
    <row r="224" spans="1:28" ht="11.25" customHeight="1" x14ac:dyDescent="0.25">
      <c r="A224" s="825"/>
      <c r="B224" s="16"/>
      <c r="C224" s="16"/>
      <c r="D224" s="22"/>
      <c r="E224" s="262"/>
      <c r="F224" s="16"/>
      <c r="G224" s="16"/>
      <c r="H224" s="16"/>
      <c r="I224" s="16"/>
      <c r="J224" s="1"/>
      <c r="K224" s="1"/>
      <c r="L224" s="1"/>
      <c r="M224" s="262"/>
      <c r="N224" s="1"/>
      <c r="O224" s="1"/>
      <c r="P224" s="1"/>
      <c r="Q224" s="1"/>
      <c r="R224" s="1"/>
      <c r="S224" s="1"/>
      <c r="T224" s="1"/>
      <c r="U224" s="1"/>
      <c r="V224" s="1"/>
      <c r="W224" s="1"/>
      <c r="X224" s="1"/>
      <c r="Y224" s="1"/>
      <c r="Z224" s="1"/>
      <c r="AA224" s="1"/>
      <c r="AB224" s="1"/>
    </row>
    <row r="225" spans="1:28" ht="11.25" customHeight="1" x14ac:dyDescent="0.25">
      <c r="A225" s="825"/>
      <c r="B225" s="16"/>
      <c r="C225" s="16"/>
      <c r="D225" s="22"/>
      <c r="E225" s="262"/>
      <c r="F225" s="16"/>
      <c r="G225" s="16"/>
      <c r="H225" s="16"/>
      <c r="I225" s="16"/>
      <c r="J225" s="1"/>
      <c r="K225" s="1"/>
      <c r="L225" s="1"/>
      <c r="M225" s="262"/>
      <c r="N225" s="1"/>
      <c r="O225" s="1"/>
      <c r="P225" s="1"/>
      <c r="Q225" s="1"/>
      <c r="R225" s="1"/>
      <c r="S225" s="1"/>
      <c r="T225" s="1"/>
      <c r="U225" s="1"/>
      <c r="V225" s="1"/>
      <c r="W225" s="1"/>
      <c r="X225" s="1"/>
      <c r="Y225" s="1"/>
      <c r="Z225" s="1"/>
      <c r="AA225" s="1"/>
      <c r="AB225" s="1"/>
    </row>
    <row r="226" spans="1:28" ht="11.25" customHeight="1" x14ac:dyDescent="0.25">
      <c r="A226" s="825"/>
      <c r="B226" s="16"/>
      <c r="C226" s="16"/>
      <c r="D226" s="22"/>
      <c r="E226" s="262"/>
      <c r="F226" s="16"/>
      <c r="G226" s="16"/>
      <c r="H226" s="16"/>
      <c r="I226" s="16"/>
      <c r="J226" s="1"/>
      <c r="K226" s="1"/>
      <c r="L226" s="1"/>
      <c r="M226" s="262"/>
      <c r="N226" s="1"/>
      <c r="O226" s="1"/>
      <c r="P226" s="1"/>
      <c r="Q226" s="1"/>
      <c r="R226" s="1"/>
      <c r="S226" s="1"/>
      <c r="T226" s="1"/>
      <c r="U226" s="1"/>
      <c r="V226" s="1"/>
      <c r="W226" s="1"/>
      <c r="X226" s="1"/>
      <c r="Y226" s="1"/>
      <c r="Z226" s="1"/>
      <c r="AA226" s="1"/>
      <c r="AB226" s="1"/>
    </row>
    <row r="227" spans="1:28" ht="11.25" customHeight="1" x14ac:dyDescent="0.25">
      <c r="A227" s="825"/>
      <c r="B227" s="16"/>
      <c r="C227" s="16"/>
      <c r="D227" s="22"/>
      <c r="E227" s="262"/>
      <c r="F227" s="16"/>
      <c r="G227" s="16"/>
      <c r="H227" s="16"/>
      <c r="I227" s="16"/>
      <c r="J227" s="1"/>
      <c r="K227" s="1"/>
      <c r="L227" s="1"/>
      <c r="M227" s="262"/>
      <c r="N227" s="1"/>
      <c r="O227" s="1"/>
      <c r="P227" s="1"/>
      <c r="Q227" s="1"/>
      <c r="R227" s="1"/>
      <c r="S227" s="1"/>
      <c r="T227" s="1"/>
      <c r="U227" s="1"/>
      <c r="V227" s="1"/>
      <c r="W227" s="1"/>
      <c r="X227" s="1"/>
      <c r="Y227" s="1"/>
      <c r="Z227" s="1"/>
      <c r="AA227" s="1"/>
      <c r="AB227" s="1"/>
    </row>
    <row r="228" spans="1:28" ht="11.25" customHeight="1" x14ac:dyDescent="0.25">
      <c r="A228" s="825"/>
      <c r="B228" s="16"/>
      <c r="C228" s="16"/>
      <c r="D228" s="22"/>
      <c r="E228" s="262"/>
      <c r="F228" s="16"/>
      <c r="G228" s="16"/>
      <c r="H228" s="16"/>
      <c r="I228" s="16"/>
      <c r="J228" s="1"/>
      <c r="K228" s="1"/>
      <c r="L228" s="1"/>
      <c r="M228" s="262"/>
      <c r="N228" s="1"/>
      <c r="O228" s="1"/>
      <c r="P228" s="1"/>
      <c r="Q228" s="1"/>
      <c r="R228" s="1"/>
      <c r="S228" s="1"/>
      <c r="T228" s="1"/>
      <c r="U228" s="1"/>
      <c r="V228" s="1"/>
      <c r="W228" s="1"/>
      <c r="X228" s="1"/>
      <c r="Y228" s="1"/>
      <c r="Z228" s="1"/>
      <c r="AA228" s="1"/>
      <c r="AB228" s="1"/>
    </row>
    <row r="229" spans="1:28" ht="11.25" customHeight="1" x14ac:dyDescent="0.25">
      <c r="A229" s="825"/>
      <c r="B229" s="16"/>
      <c r="C229" s="16"/>
      <c r="D229" s="22"/>
      <c r="E229" s="262"/>
      <c r="F229" s="16"/>
      <c r="G229" s="16"/>
      <c r="H229" s="16"/>
      <c r="I229" s="16"/>
      <c r="J229" s="1"/>
      <c r="K229" s="1"/>
      <c r="L229" s="1"/>
      <c r="M229" s="262"/>
      <c r="N229" s="1"/>
      <c r="O229" s="1"/>
      <c r="P229" s="1"/>
      <c r="Q229" s="1"/>
      <c r="R229" s="1"/>
      <c r="S229" s="1"/>
      <c r="T229" s="1"/>
      <c r="U229" s="1"/>
      <c r="V229" s="1"/>
      <c r="W229" s="1"/>
      <c r="X229" s="1"/>
      <c r="Y229" s="1"/>
      <c r="Z229" s="1"/>
      <c r="AA229" s="1"/>
      <c r="AB229" s="1"/>
    </row>
    <row r="230" spans="1:28" ht="11.25" customHeight="1" x14ac:dyDescent="0.25">
      <c r="A230" s="825"/>
      <c r="B230" s="16"/>
      <c r="C230" s="16"/>
      <c r="D230" s="22"/>
      <c r="E230" s="262"/>
      <c r="F230" s="16"/>
      <c r="G230" s="16"/>
      <c r="H230" s="16"/>
      <c r="I230" s="16"/>
      <c r="J230" s="1"/>
      <c r="K230" s="1"/>
      <c r="L230" s="1"/>
      <c r="M230" s="262"/>
      <c r="N230" s="1"/>
      <c r="O230" s="1"/>
      <c r="P230" s="1"/>
      <c r="Q230" s="1"/>
      <c r="R230" s="1"/>
      <c r="S230" s="1"/>
      <c r="T230" s="1"/>
      <c r="U230" s="1"/>
      <c r="V230" s="1"/>
      <c r="W230" s="1"/>
      <c r="X230" s="1"/>
      <c r="Y230" s="1"/>
      <c r="Z230" s="1"/>
      <c r="AA230" s="1"/>
      <c r="AB230" s="1"/>
    </row>
    <row r="231" spans="1:28" ht="11.25" customHeight="1" x14ac:dyDescent="0.25">
      <c r="A231" s="825"/>
      <c r="B231" s="16"/>
      <c r="C231" s="16"/>
      <c r="D231" s="22"/>
      <c r="E231" s="262"/>
      <c r="F231" s="16"/>
      <c r="G231" s="16"/>
      <c r="H231" s="16"/>
      <c r="I231" s="16"/>
      <c r="J231" s="1"/>
      <c r="K231" s="1"/>
      <c r="L231" s="1"/>
      <c r="M231" s="262"/>
      <c r="N231" s="1"/>
      <c r="O231" s="1"/>
      <c r="P231" s="1"/>
      <c r="Q231" s="1"/>
      <c r="R231" s="1"/>
      <c r="S231" s="1"/>
      <c r="T231" s="1"/>
      <c r="U231" s="1"/>
      <c r="V231" s="1"/>
      <c r="W231" s="1"/>
      <c r="X231" s="1"/>
      <c r="Y231" s="1"/>
      <c r="Z231" s="1"/>
      <c r="AA231" s="1"/>
      <c r="AB231" s="1"/>
    </row>
    <row r="232" spans="1:28" ht="11.25" customHeight="1" x14ac:dyDescent="0.25">
      <c r="A232" s="825"/>
      <c r="B232" s="16"/>
      <c r="C232" s="16"/>
      <c r="D232" s="22"/>
      <c r="E232" s="262"/>
      <c r="F232" s="16"/>
      <c r="G232" s="16"/>
      <c r="H232" s="16"/>
      <c r="I232" s="16"/>
      <c r="J232" s="1"/>
      <c r="K232" s="1"/>
      <c r="L232" s="1"/>
      <c r="M232" s="262"/>
      <c r="N232" s="1"/>
      <c r="O232" s="1"/>
      <c r="P232" s="1"/>
      <c r="Q232" s="1"/>
      <c r="R232" s="1"/>
      <c r="S232" s="1"/>
      <c r="T232" s="1"/>
      <c r="U232" s="1"/>
      <c r="V232" s="1"/>
      <c r="W232" s="1"/>
      <c r="X232" s="1"/>
      <c r="Y232" s="1"/>
      <c r="Z232" s="1"/>
      <c r="AA232" s="1"/>
      <c r="AB232" s="1"/>
    </row>
    <row r="233" spans="1:28" ht="11.25" customHeight="1" x14ac:dyDescent="0.25">
      <c r="A233" s="825"/>
      <c r="B233" s="16"/>
      <c r="C233" s="16"/>
      <c r="D233" s="22"/>
      <c r="E233" s="262"/>
      <c r="F233" s="16"/>
      <c r="G233" s="16"/>
      <c r="H233" s="16"/>
      <c r="I233" s="16"/>
      <c r="J233" s="1"/>
      <c r="K233" s="1"/>
      <c r="L233" s="1"/>
      <c r="M233" s="262"/>
      <c r="N233" s="1"/>
      <c r="O233" s="1"/>
      <c r="P233" s="1"/>
      <c r="Q233" s="1"/>
      <c r="R233" s="1"/>
      <c r="S233" s="1"/>
      <c r="T233" s="1"/>
      <c r="U233" s="1"/>
      <c r="V233" s="1"/>
      <c r="W233" s="1"/>
      <c r="X233" s="1"/>
      <c r="Y233" s="1"/>
      <c r="Z233" s="1"/>
      <c r="AA233" s="1"/>
      <c r="AB233" s="1"/>
    </row>
    <row r="234" spans="1:28" ht="11.25" customHeight="1" x14ac:dyDescent="0.25">
      <c r="A234" s="825"/>
      <c r="B234" s="16"/>
      <c r="C234" s="16"/>
      <c r="D234" s="22"/>
      <c r="E234" s="262"/>
      <c r="F234" s="16"/>
      <c r="G234" s="16"/>
      <c r="H234" s="16"/>
      <c r="I234" s="16"/>
      <c r="J234" s="1"/>
      <c r="K234" s="1"/>
      <c r="L234" s="1"/>
      <c r="M234" s="262"/>
      <c r="N234" s="1"/>
      <c r="O234" s="1"/>
      <c r="P234" s="1"/>
      <c r="Q234" s="1"/>
      <c r="R234" s="1"/>
      <c r="S234" s="1"/>
      <c r="T234" s="1"/>
      <c r="U234" s="1"/>
      <c r="V234" s="1"/>
      <c r="W234" s="1"/>
      <c r="X234" s="1"/>
      <c r="Y234" s="1"/>
      <c r="Z234" s="1"/>
      <c r="AA234" s="1"/>
      <c r="AB234" s="1"/>
    </row>
    <row r="235" spans="1:28" ht="11.25" customHeight="1" x14ac:dyDescent="0.25">
      <c r="A235" s="825"/>
      <c r="B235" s="16"/>
      <c r="C235" s="16"/>
      <c r="D235" s="22"/>
      <c r="E235" s="262"/>
      <c r="F235" s="16"/>
      <c r="G235" s="16"/>
      <c r="H235" s="16"/>
      <c r="I235" s="16"/>
      <c r="J235" s="1"/>
      <c r="K235" s="1"/>
      <c r="L235" s="1"/>
      <c r="M235" s="262"/>
      <c r="N235" s="1"/>
      <c r="O235" s="1"/>
      <c r="P235" s="1"/>
      <c r="Q235" s="1"/>
      <c r="R235" s="1"/>
      <c r="S235" s="1"/>
      <c r="T235" s="1"/>
      <c r="U235" s="1"/>
      <c r="V235" s="1"/>
      <c r="W235" s="1"/>
      <c r="X235" s="1"/>
      <c r="Y235" s="1"/>
      <c r="Z235" s="1"/>
      <c r="AA235" s="1"/>
      <c r="AB235" s="1"/>
    </row>
    <row r="236" spans="1:28" ht="11.25" customHeight="1" x14ac:dyDescent="0.25">
      <c r="A236" s="825"/>
      <c r="B236" s="16"/>
      <c r="C236" s="16"/>
      <c r="D236" s="22"/>
      <c r="E236" s="262"/>
      <c r="F236" s="16"/>
      <c r="G236" s="16"/>
      <c r="H236" s="16"/>
      <c r="I236" s="16"/>
      <c r="J236" s="1"/>
      <c r="K236" s="1"/>
      <c r="L236" s="1"/>
      <c r="M236" s="262"/>
      <c r="N236" s="1"/>
      <c r="O236" s="1"/>
      <c r="P236" s="1"/>
      <c r="Q236" s="1"/>
      <c r="R236" s="1"/>
      <c r="S236" s="1"/>
      <c r="T236" s="1"/>
      <c r="U236" s="1"/>
      <c r="V236" s="1"/>
      <c r="W236" s="1"/>
      <c r="X236" s="1"/>
      <c r="Y236" s="1"/>
      <c r="Z236" s="1"/>
      <c r="AA236" s="1"/>
      <c r="AB236" s="1"/>
    </row>
    <row r="237" spans="1:28" ht="11.25" customHeight="1" x14ac:dyDescent="0.25">
      <c r="A237" s="825"/>
      <c r="B237" s="16"/>
      <c r="C237" s="16"/>
      <c r="D237" s="22"/>
      <c r="E237" s="262"/>
      <c r="F237" s="16"/>
      <c r="G237" s="16"/>
      <c r="H237" s="16"/>
      <c r="I237" s="16"/>
      <c r="J237" s="1"/>
      <c r="K237" s="1"/>
      <c r="L237" s="1"/>
      <c r="M237" s="262"/>
      <c r="N237" s="1"/>
      <c r="O237" s="1"/>
      <c r="P237" s="1"/>
      <c r="Q237" s="1"/>
      <c r="R237" s="1"/>
      <c r="S237" s="1"/>
      <c r="T237" s="1"/>
      <c r="U237" s="1"/>
      <c r="V237" s="1"/>
      <c r="W237" s="1"/>
      <c r="X237" s="1"/>
      <c r="Y237" s="1"/>
      <c r="Z237" s="1"/>
      <c r="AA237" s="1"/>
      <c r="AB237" s="1"/>
    </row>
    <row r="238" spans="1:28" ht="11.25" customHeight="1" x14ac:dyDescent="0.25">
      <c r="A238" s="825"/>
      <c r="B238" s="16"/>
      <c r="C238" s="16"/>
      <c r="D238" s="22"/>
      <c r="E238" s="262"/>
      <c r="F238" s="16"/>
      <c r="G238" s="16"/>
      <c r="H238" s="16"/>
      <c r="I238" s="16"/>
      <c r="J238" s="1"/>
      <c r="K238" s="1"/>
      <c r="L238" s="1"/>
      <c r="M238" s="262"/>
      <c r="N238" s="1"/>
      <c r="O238" s="1"/>
      <c r="P238" s="1"/>
      <c r="Q238" s="1"/>
      <c r="R238" s="1"/>
      <c r="S238" s="1"/>
      <c r="T238" s="1"/>
      <c r="U238" s="1"/>
      <c r="V238" s="1"/>
      <c r="W238" s="1"/>
      <c r="X238" s="1"/>
      <c r="Y238" s="1"/>
      <c r="Z238" s="1"/>
      <c r="AA238" s="1"/>
      <c r="AB238" s="1"/>
    </row>
    <row r="239" spans="1:28" ht="11.25" customHeight="1" x14ac:dyDescent="0.25">
      <c r="A239" s="825"/>
      <c r="B239" s="16"/>
      <c r="C239" s="16"/>
      <c r="D239" s="22"/>
      <c r="E239" s="262"/>
      <c r="F239" s="16"/>
      <c r="G239" s="16"/>
      <c r="H239" s="16"/>
      <c r="I239" s="16"/>
      <c r="J239" s="1"/>
      <c r="K239" s="1"/>
      <c r="L239" s="1"/>
      <c r="M239" s="262"/>
      <c r="N239" s="1"/>
      <c r="O239" s="1"/>
      <c r="P239" s="1"/>
      <c r="Q239" s="1"/>
      <c r="R239" s="1"/>
      <c r="S239" s="1"/>
      <c r="T239" s="1"/>
      <c r="U239" s="1"/>
      <c r="V239" s="1"/>
      <c r="W239" s="1"/>
      <c r="X239" s="1"/>
      <c r="Y239" s="1"/>
      <c r="Z239" s="1"/>
      <c r="AA239" s="1"/>
      <c r="AB239" s="1"/>
    </row>
    <row r="240" spans="1:28" ht="11.25" customHeight="1" x14ac:dyDescent="0.25">
      <c r="A240" s="825"/>
      <c r="B240" s="16"/>
      <c r="C240" s="16"/>
      <c r="D240" s="22"/>
      <c r="E240" s="262"/>
      <c r="F240" s="16"/>
      <c r="G240" s="16"/>
      <c r="H240" s="16"/>
      <c r="I240" s="16"/>
      <c r="J240" s="1"/>
      <c r="K240" s="1"/>
      <c r="L240" s="1"/>
      <c r="M240" s="262"/>
      <c r="N240" s="1"/>
      <c r="O240" s="1"/>
      <c r="P240" s="1"/>
      <c r="Q240" s="1"/>
      <c r="R240" s="1"/>
      <c r="S240" s="1"/>
      <c r="T240" s="1"/>
      <c r="U240" s="1"/>
      <c r="V240" s="1"/>
      <c r="W240" s="1"/>
      <c r="X240" s="1"/>
      <c r="Y240" s="1"/>
      <c r="Z240" s="1"/>
      <c r="AA240" s="1"/>
      <c r="AB240" s="1"/>
    </row>
    <row r="241" spans="1:28" ht="11.25" customHeight="1" x14ac:dyDescent="0.25">
      <c r="A241" s="825"/>
      <c r="B241" s="16"/>
      <c r="C241" s="16"/>
      <c r="D241" s="22"/>
      <c r="E241" s="262"/>
      <c r="F241" s="16"/>
      <c r="G241" s="16"/>
      <c r="H241" s="16"/>
      <c r="I241" s="16"/>
      <c r="J241" s="1"/>
      <c r="K241" s="1"/>
      <c r="L241" s="1"/>
      <c r="M241" s="262"/>
      <c r="N241" s="1"/>
      <c r="O241" s="1"/>
      <c r="P241" s="1"/>
      <c r="Q241" s="1"/>
      <c r="R241" s="1"/>
      <c r="S241" s="1"/>
      <c r="T241" s="1"/>
      <c r="U241" s="1"/>
      <c r="V241" s="1"/>
      <c r="W241" s="1"/>
      <c r="X241" s="1"/>
      <c r="Y241" s="1"/>
      <c r="Z241" s="1"/>
      <c r="AA241" s="1"/>
      <c r="AB241" s="1"/>
    </row>
    <row r="242" spans="1:28" ht="11.25" customHeight="1" x14ac:dyDescent="0.25">
      <c r="A242" s="825"/>
      <c r="B242" s="16"/>
      <c r="C242" s="16"/>
      <c r="D242" s="22"/>
      <c r="E242" s="262"/>
      <c r="F242" s="16"/>
      <c r="G242" s="16"/>
      <c r="H242" s="16"/>
      <c r="I242" s="16"/>
      <c r="J242" s="1"/>
      <c r="K242" s="1"/>
      <c r="L242" s="1"/>
      <c r="M242" s="262"/>
      <c r="N242" s="1"/>
      <c r="O242" s="1"/>
      <c r="P242" s="1"/>
      <c r="Q242" s="1"/>
      <c r="R242" s="1"/>
      <c r="S242" s="1"/>
      <c r="T242" s="1"/>
      <c r="U242" s="1"/>
      <c r="V242" s="1"/>
      <c r="W242" s="1"/>
      <c r="X242" s="1"/>
      <c r="Y242" s="1"/>
      <c r="Z242" s="1"/>
      <c r="AA242" s="1"/>
      <c r="AB242" s="1"/>
    </row>
    <row r="243" spans="1:28" ht="11.25" customHeight="1" x14ac:dyDescent="0.25">
      <c r="A243" s="825"/>
      <c r="B243" s="16"/>
      <c r="C243" s="16"/>
      <c r="D243" s="22"/>
      <c r="E243" s="262"/>
      <c r="F243" s="16"/>
      <c r="G243" s="16"/>
      <c r="H243" s="16"/>
      <c r="I243" s="16"/>
      <c r="J243" s="1"/>
      <c r="K243" s="1"/>
      <c r="L243" s="1"/>
      <c r="M243" s="262"/>
      <c r="N243" s="1"/>
      <c r="O243" s="1"/>
      <c r="P243" s="1"/>
      <c r="Q243" s="1"/>
      <c r="R243" s="1"/>
      <c r="S243" s="1"/>
      <c r="T243" s="1"/>
      <c r="U243" s="1"/>
      <c r="V243" s="1"/>
      <c r="W243" s="1"/>
      <c r="X243" s="1"/>
      <c r="Y243" s="1"/>
      <c r="Z243" s="1"/>
      <c r="AA243" s="1"/>
      <c r="AB243" s="1"/>
    </row>
    <row r="244" spans="1:28" ht="11.25" customHeight="1" x14ac:dyDescent="0.25">
      <c r="A244" s="825"/>
      <c r="B244" s="16"/>
      <c r="C244" s="16"/>
      <c r="D244" s="22"/>
      <c r="E244" s="262"/>
      <c r="F244" s="16"/>
      <c r="G244" s="16"/>
      <c r="H244" s="16"/>
      <c r="I244" s="16"/>
      <c r="J244" s="1"/>
      <c r="K244" s="1"/>
      <c r="L244" s="1"/>
      <c r="M244" s="262"/>
      <c r="N244" s="1"/>
      <c r="O244" s="1"/>
      <c r="P244" s="1"/>
      <c r="Q244" s="1"/>
      <c r="R244" s="1"/>
      <c r="S244" s="1"/>
      <c r="T244" s="1"/>
      <c r="U244" s="1"/>
      <c r="V244" s="1"/>
      <c r="W244" s="1"/>
      <c r="X244" s="1"/>
      <c r="Y244" s="1"/>
      <c r="Z244" s="1"/>
      <c r="AA244" s="1"/>
      <c r="AB244" s="1"/>
    </row>
    <row r="245" spans="1:28" ht="11.25" customHeight="1" x14ac:dyDescent="0.25">
      <c r="A245" s="825"/>
      <c r="B245" s="16"/>
      <c r="C245" s="16"/>
      <c r="D245" s="22"/>
      <c r="E245" s="262"/>
      <c r="F245" s="16"/>
      <c r="G245" s="16"/>
      <c r="H245" s="16"/>
      <c r="I245" s="16"/>
      <c r="J245" s="1"/>
      <c r="K245" s="1"/>
      <c r="L245" s="1"/>
      <c r="M245" s="262"/>
      <c r="N245" s="1"/>
      <c r="O245" s="1"/>
      <c r="P245" s="1"/>
      <c r="Q245" s="1"/>
      <c r="R245" s="1"/>
      <c r="S245" s="1"/>
      <c r="T245" s="1"/>
      <c r="U245" s="1"/>
      <c r="V245" s="1"/>
      <c r="W245" s="1"/>
      <c r="X245" s="1"/>
      <c r="Y245" s="1"/>
      <c r="Z245" s="1"/>
      <c r="AA245" s="1"/>
      <c r="AB245" s="1"/>
    </row>
    <row r="246" spans="1:28" ht="11.25" customHeight="1" x14ac:dyDescent="0.25">
      <c r="A246" s="825"/>
      <c r="B246" s="16"/>
      <c r="C246" s="16"/>
      <c r="D246" s="22"/>
      <c r="E246" s="262"/>
      <c r="F246" s="16"/>
      <c r="G246" s="16"/>
      <c r="H246" s="16"/>
      <c r="I246" s="16"/>
      <c r="J246" s="1"/>
      <c r="K246" s="1"/>
      <c r="L246" s="1"/>
      <c r="M246" s="262"/>
      <c r="N246" s="1"/>
      <c r="O246" s="1"/>
      <c r="P246" s="1"/>
      <c r="Q246" s="1"/>
      <c r="R246" s="1"/>
      <c r="S246" s="1"/>
      <c r="T246" s="1"/>
      <c r="U246" s="1"/>
      <c r="V246" s="1"/>
      <c r="W246" s="1"/>
      <c r="X246" s="1"/>
      <c r="Y246" s="1"/>
      <c r="Z246" s="1"/>
      <c r="AA246" s="1"/>
      <c r="AB246" s="1"/>
    </row>
    <row r="247" spans="1:28" ht="11.25" customHeight="1" x14ac:dyDescent="0.25">
      <c r="A247" s="825"/>
      <c r="B247" s="16"/>
      <c r="C247" s="16"/>
      <c r="D247" s="22"/>
      <c r="E247" s="262"/>
      <c r="F247" s="16"/>
      <c r="G247" s="16"/>
      <c r="H247" s="16"/>
      <c r="I247" s="16"/>
      <c r="J247" s="1"/>
      <c r="K247" s="1"/>
      <c r="L247" s="1"/>
      <c r="M247" s="262"/>
      <c r="N247" s="1"/>
      <c r="O247" s="1"/>
      <c r="P247" s="1"/>
      <c r="Q247" s="1"/>
      <c r="R247" s="1"/>
      <c r="S247" s="1"/>
      <c r="T247" s="1"/>
      <c r="U247" s="1"/>
      <c r="V247" s="1"/>
      <c r="W247" s="1"/>
      <c r="X247" s="1"/>
      <c r="Y247" s="1"/>
      <c r="Z247" s="1"/>
      <c r="AA247" s="1"/>
      <c r="AB247" s="1"/>
    </row>
    <row r="248" spans="1:28" ht="11.25" customHeight="1" x14ac:dyDescent="0.25">
      <c r="A248" s="825"/>
      <c r="B248" s="16"/>
      <c r="C248" s="16"/>
      <c r="D248" s="22"/>
      <c r="E248" s="262"/>
      <c r="F248" s="16"/>
      <c r="G248" s="16"/>
      <c r="H248" s="16"/>
      <c r="I248" s="16"/>
      <c r="J248" s="1"/>
      <c r="K248" s="1"/>
      <c r="L248" s="1"/>
      <c r="M248" s="262"/>
      <c r="N248" s="1"/>
      <c r="O248" s="1"/>
      <c r="P248" s="1"/>
      <c r="Q248" s="1"/>
      <c r="R248" s="1"/>
      <c r="S248" s="1"/>
      <c r="T248" s="1"/>
      <c r="U248" s="1"/>
      <c r="V248" s="1"/>
      <c r="W248" s="1"/>
      <c r="X248" s="1"/>
      <c r="Y248" s="1"/>
      <c r="Z248" s="1"/>
      <c r="AA248" s="1"/>
      <c r="AB248" s="1"/>
    </row>
    <row r="249" spans="1:28" ht="11.25" customHeight="1" x14ac:dyDescent="0.25">
      <c r="A249" s="825"/>
      <c r="B249" s="16"/>
      <c r="C249" s="16"/>
      <c r="D249" s="22"/>
      <c r="E249" s="262"/>
      <c r="F249" s="16"/>
      <c r="G249" s="16"/>
      <c r="H249" s="16"/>
      <c r="I249" s="16"/>
      <c r="J249" s="1"/>
      <c r="K249" s="1"/>
      <c r="L249" s="1"/>
      <c r="M249" s="262"/>
      <c r="N249" s="1"/>
      <c r="O249" s="1"/>
      <c r="P249" s="1"/>
      <c r="Q249" s="1"/>
      <c r="R249" s="1"/>
      <c r="S249" s="1"/>
      <c r="T249" s="1"/>
      <c r="U249" s="1"/>
      <c r="V249" s="1"/>
      <c r="W249" s="1"/>
      <c r="X249" s="1"/>
      <c r="Y249" s="1"/>
      <c r="Z249" s="1"/>
      <c r="AA249" s="1"/>
      <c r="AB249" s="1"/>
    </row>
    <row r="250" spans="1:28" ht="11.25" customHeight="1" x14ac:dyDescent="0.25">
      <c r="A250" s="825"/>
      <c r="B250" s="16"/>
      <c r="C250" s="16"/>
      <c r="D250" s="22"/>
      <c r="E250" s="262"/>
      <c r="F250" s="16"/>
      <c r="G250" s="16"/>
      <c r="H250" s="16"/>
      <c r="I250" s="16"/>
      <c r="J250" s="1"/>
      <c r="K250" s="1"/>
      <c r="L250" s="1"/>
      <c r="M250" s="262"/>
      <c r="N250" s="1"/>
      <c r="O250" s="1"/>
      <c r="P250" s="1"/>
      <c r="Q250" s="1"/>
      <c r="R250" s="1"/>
      <c r="S250" s="1"/>
      <c r="T250" s="1"/>
      <c r="U250" s="1"/>
      <c r="V250" s="1"/>
      <c r="W250" s="1"/>
      <c r="X250" s="1"/>
      <c r="Y250" s="1"/>
      <c r="Z250" s="1"/>
      <c r="AA250" s="1"/>
      <c r="AB250" s="1"/>
    </row>
    <row r="251" spans="1:28" ht="11.25" customHeight="1" x14ac:dyDescent="0.25">
      <c r="A251" s="825"/>
      <c r="B251" s="16"/>
      <c r="C251" s="16"/>
      <c r="D251" s="22"/>
      <c r="E251" s="262"/>
      <c r="F251" s="16"/>
      <c r="G251" s="16"/>
      <c r="H251" s="16"/>
      <c r="I251" s="16"/>
      <c r="J251" s="1"/>
      <c r="K251" s="1"/>
      <c r="L251" s="1"/>
      <c r="M251" s="262"/>
      <c r="N251" s="1"/>
      <c r="O251" s="1"/>
      <c r="P251" s="1"/>
      <c r="Q251" s="1"/>
      <c r="R251" s="1"/>
      <c r="S251" s="1"/>
      <c r="T251" s="1"/>
      <c r="U251" s="1"/>
      <c r="V251" s="1"/>
      <c r="W251" s="1"/>
      <c r="X251" s="1"/>
      <c r="Y251" s="1"/>
      <c r="Z251" s="1"/>
      <c r="AA251" s="1"/>
      <c r="AB251" s="1"/>
    </row>
    <row r="252" spans="1:28" ht="11.25" customHeight="1" x14ac:dyDescent="0.25">
      <c r="A252" s="825"/>
      <c r="B252" s="16"/>
      <c r="C252" s="16"/>
      <c r="D252" s="22"/>
      <c r="E252" s="262"/>
      <c r="F252" s="16"/>
      <c r="G252" s="16"/>
      <c r="H252" s="16"/>
      <c r="I252" s="16"/>
      <c r="J252" s="1"/>
      <c r="K252" s="1"/>
      <c r="L252" s="1"/>
      <c r="M252" s="262"/>
      <c r="N252" s="1"/>
      <c r="O252" s="1"/>
      <c r="P252" s="1"/>
      <c r="Q252" s="1"/>
      <c r="R252" s="1"/>
      <c r="S252" s="1"/>
      <c r="T252" s="1"/>
      <c r="U252" s="1"/>
      <c r="V252" s="1"/>
      <c r="W252" s="1"/>
      <c r="X252" s="1"/>
      <c r="Y252" s="1"/>
      <c r="Z252" s="1"/>
      <c r="AA252" s="1"/>
      <c r="AB252" s="1"/>
    </row>
    <row r="253" spans="1:28" ht="11.25" customHeight="1" x14ac:dyDescent="0.25">
      <c r="A253" s="825"/>
      <c r="B253" s="16"/>
      <c r="C253" s="16"/>
      <c r="D253" s="22"/>
      <c r="E253" s="262"/>
      <c r="F253" s="16"/>
      <c r="G253" s="16"/>
      <c r="H253" s="16"/>
      <c r="I253" s="16"/>
      <c r="J253" s="1"/>
      <c r="K253" s="1"/>
      <c r="L253" s="1"/>
      <c r="M253" s="262"/>
      <c r="N253" s="1"/>
      <c r="O253" s="1"/>
      <c r="P253" s="1"/>
      <c r="Q253" s="1"/>
      <c r="R253" s="1"/>
      <c r="S253" s="1"/>
      <c r="T253" s="1"/>
      <c r="U253" s="1"/>
      <c r="V253" s="1"/>
      <c r="W253" s="1"/>
      <c r="X253" s="1"/>
      <c r="Y253" s="1"/>
      <c r="Z253" s="1"/>
      <c r="AA253" s="1"/>
      <c r="AB253" s="1"/>
    </row>
    <row r="254" spans="1:28" ht="11.25" customHeight="1" x14ac:dyDescent="0.25">
      <c r="A254" s="825"/>
      <c r="B254" s="16"/>
      <c r="C254" s="16"/>
      <c r="D254" s="22"/>
      <c r="E254" s="262"/>
      <c r="F254" s="16"/>
      <c r="G254" s="16"/>
      <c r="H254" s="16"/>
      <c r="I254" s="16"/>
      <c r="J254" s="1"/>
      <c r="K254" s="1"/>
      <c r="L254" s="1"/>
      <c r="M254" s="262"/>
      <c r="N254" s="1"/>
      <c r="O254" s="1"/>
      <c r="P254" s="1"/>
      <c r="Q254" s="1"/>
      <c r="R254" s="1"/>
      <c r="S254" s="1"/>
      <c r="T254" s="1"/>
      <c r="U254" s="1"/>
      <c r="V254" s="1"/>
      <c r="W254" s="1"/>
      <c r="X254" s="1"/>
      <c r="Y254" s="1"/>
      <c r="Z254" s="1"/>
      <c r="AA254" s="1"/>
      <c r="AB254" s="1"/>
    </row>
    <row r="255" spans="1:28" ht="11.25" customHeight="1" x14ac:dyDescent="0.25">
      <c r="A255" s="825"/>
      <c r="B255" s="16"/>
      <c r="C255" s="16"/>
      <c r="D255" s="22"/>
      <c r="E255" s="262"/>
      <c r="F255" s="16"/>
      <c r="G255" s="16"/>
      <c r="H255" s="16"/>
      <c r="I255" s="16"/>
      <c r="J255" s="1"/>
      <c r="K255" s="1"/>
      <c r="L255" s="1"/>
      <c r="M255" s="262"/>
      <c r="N255" s="1"/>
      <c r="O255" s="1"/>
      <c r="P255" s="1"/>
      <c r="Q255" s="1"/>
      <c r="R255" s="1"/>
      <c r="S255" s="1"/>
      <c r="T255" s="1"/>
      <c r="U255" s="1"/>
      <c r="V255" s="1"/>
      <c r="W255" s="1"/>
      <c r="X255" s="1"/>
      <c r="Y255" s="1"/>
      <c r="Z255" s="1"/>
      <c r="AA255" s="1"/>
      <c r="AB255" s="1"/>
    </row>
    <row r="256" spans="1:28" ht="11.25" customHeight="1" x14ac:dyDescent="0.25">
      <c r="A256" s="825"/>
      <c r="B256" s="16"/>
      <c r="C256" s="16"/>
      <c r="D256" s="22"/>
      <c r="E256" s="262"/>
      <c r="F256" s="16"/>
      <c r="G256" s="16"/>
      <c r="H256" s="16"/>
      <c r="I256" s="16"/>
      <c r="J256" s="1"/>
      <c r="K256" s="1"/>
      <c r="L256" s="1"/>
      <c r="M256" s="262"/>
      <c r="N256" s="1"/>
      <c r="O256" s="1"/>
      <c r="P256" s="1"/>
      <c r="Q256" s="1"/>
      <c r="R256" s="1"/>
      <c r="S256" s="1"/>
      <c r="T256" s="1"/>
      <c r="U256" s="1"/>
      <c r="V256" s="1"/>
      <c r="W256" s="1"/>
      <c r="X256" s="1"/>
      <c r="Y256" s="1"/>
      <c r="Z256" s="1"/>
      <c r="AA256" s="1"/>
      <c r="AB256" s="1"/>
    </row>
    <row r="257" spans="1:28" ht="11.25" customHeight="1" x14ac:dyDescent="0.25">
      <c r="A257" s="825"/>
      <c r="B257" s="16"/>
      <c r="C257" s="16"/>
      <c r="D257" s="22"/>
      <c r="E257" s="262"/>
      <c r="F257" s="16"/>
      <c r="G257" s="16"/>
      <c r="H257" s="16"/>
      <c r="I257" s="16"/>
      <c r="J257" s="1"/>
      <c r="K257" s="1"/>
      <c r="L257" s="1"/>
      <c r="M257" s="262"/>
      <c r="N257" s="1"/>
      <c r="O257" s="1"/>
      <c r="P257" s="1"/>
      <c r="Q257" s="1"/>
      <c r="R257" s="1"/>
      <c r="S257" s="1"/>
      <c r="T257" s="1"/>
      <c r="U257" s="1"/>
      <c r="V257" s="1"/>
      <c r="W257" s="1"/>
      <c r="X257" s="1"/>
      <c r="Y257" s="1"/>
      <c r="Z257" s="1"/>
      <c r="AA257" s="1"/>
      <c r="AB257" s="1"/>
    </row>
    <row r="258" spans="1:28" ht="11.25" customHeight="1" x14ac:dyDescent="0.25">
      <c r="A258" s="825"/>
      <c r="B258" s="16"/>
      <c r="C258" s="16"/>
      <c r="D258" s="22"/>
      <c r="E258" s="262"/>
      <c r="F258" s="16"/>
      <c r="G258" s="16"/>
      <c r="H258" s="16"/>
      <c r="I258" s="16"/>
      <c r="J258" s="1"/>
      <c r="K258" s="1"/>
      <c r="L258" s="1"/>
      <c r="M258" s="262"/>
      <c r="N258" s="1"/>
      <c r="O258" s="1"/>
      <c r="P258" s="1"/>
      <c r="Q258" s="1"/>
      <c r="R258" s="1"/>
      <c r="S258" s="1"/>
      <c r="T258" s="1"/>
      <c r="U258" s="1"/>
      <c r="V258" s="1"/>
      <c r="W258" s="1"/>
      <c r="X258" s="1"/>
      <c r="Y258" s="1"/>
      <c r="Z258" s="1"/>
      <c r="AA258" s="1"/>
      <c r="AB258" s="1"/>
    </row>
    <row r="259" spans="1:28" ht="11.25" customHeight="1" x14ac:dyDescent="0.25">
      <c r="A259" s="825"/>
      <c r="B259" s="16"/>
      <c r="C259" s="16"/>
      <c r="D259" s="22"/>
      <c r="E259" s="262"/>
      <c r="F259" s="16"/>
      <c r="G259" s="16"/>
      <c r="H259" s="16"/>
      <c r="I259" s="16"/>
      <c r="J259" s="1"/>
      <c r="K259" s="1"/>
      <c r="L259" s="1"/>
      <c r="M259" s="262"/>
      <c r="N259" s="1"/>
      <c r="O259" s="1"/>
      <c r="P259" s="1"/>
      <c r="Q259" s="1"/>
      <c r="R259" s="1"/>
      <c r="S259" s="1"/>
      <c r="T259" s="1"/>
      <c r="U259" s="1"/>
      <c r="V259" s="1"/>
      <c r="W259" s="1"/>
      <c r="X259" s="1"/>
      <c r="Y259" s="1"/>
      <c r="Z259" s="1"/>
      <c r="AA259" s="1"/>
      <c r="AB259" s="1"/>
    </row>
    <row r="260" spans="1:28" ht="11.25" customHeight="1" x14ac:dyDescent="0.25">
      <c r="A260" s="825"/>
      <c r="B260" s="16"/>
      <c r="C260" s="16"/>
      <c r="D260" s="22"/>
      <c r="E260" s="262"/>
      <c r="F260" s="16"/>
      <c r="G260" s="16"/>
      <c r="H260" s="16"/>
      <c r="I260" s="16"/>
      <c r="J260" s="1"/>
      <c r="K260" s="1"/>
      <c r="L260" s="1"/>
      <c r="M260" s="262"/>
      <c r="N260" s="1"/>
      <c r="O260" s="1"/>
      <c r="P260" s="1"/>
      <c r="Q260" s="1"/>
      <c r="R260" s="1"/>
      <c r="S260" s="1"/>
      <c r="T260" s="1"/>
      <c r="U260" s="1"/>
      <c r="V260" s="1"/>
      <c r="W260" s="1"/>
      <c r="X260" s="1"/>
      <c r="Y260" s="1"/>
      <c r="Z260" s="1"/>
      <c r="AA260" s="1"/>
      <c r="AB260" s="1"/>
    </row>
    <row r="261" spans="1:28" ht="11.25" customHeight="1" x14ac:dyDescent="0.25">
      <c r="A261" s="825"/>
      <c r="B261" s="16"/>
      <c r="C261" s="16"/>
      <c r="D261" s="22"/>
      <c r="E261" s="262"/>
      <c r="F261" s="16"/>
      <c r="G261" s="16"/>
      <c r="H261" s="16"/>
      <c r="I261" s="16"/>
      <c r="J261" s="1"/>
      <c r="K261" s="1"/>
      <c r="L261" s="1"/>
      <c r="M261" s="262"/>
      <c r="N261" s="1"/>
      <c r="O261" s="1"/>
      <c r="P261" s="1"/>
      <c r="Q261" s="1"/>
      <c r="R261" s="1"/>
      <c r="S261" s="1"/>
      <c r="T261" s="1"/>
      <c r="U261" s="1"/>
      <c r="V261" s="1"/>
      <c r="W261" s="1"/>
      <c r="X261" s="1"/>
      <c r="Y261" s="1"/>
      <c r="Z261" s="1"/>
      <c r="AA261" s="1"/>
      <c r="AB261" s="1"/>
    </row>
    <row r="262" spans="1:28" ht="11.25" customHeight="1" x14ac:dyDescent="0.25">
      <c r="A262" s="825"/>
      <c r="B262" s="16"/>
      <c r="C262" s="16"/>
      <c r="D262" s="22"/>
      <c r="E262" s="262"/>
      <c r="F262" s="16"/>
      <c r="G262" s="16"/>
      <c r="H262" s="16"/>
      <c r="I262" s="16"/>
      <c r="J262" s="1"/>
      <c r="K262" s="1"/>
      <c r="L262" s="1"/>
      <c r="M262" s="262"/>
      <c r="N262" s="1"/>
      <c r="O262" s="1"/>
      <c r="P262" s="1"/>
      <c r="Q262" s="1"/>
      <c r="R262" s="1"/>
      <c r="S262" s="1"/>
      <c r="T262" s="1"/>
      <c r="U262" s="1"/>
      <c r="V262" s="1"/>
      <c r="W262" s="1"/>
      <c r="X262" s="1"/>
      <c r="Y262" s="1"/>
      <c r="Z262" s="1"/>
      <c r="AA262" s="1"/>
      <c r="AB262" s="1"/>
    </row>
    <row r="263" spans="1:28" ht="11.25" customHeight="1" x14ac:dyDescent="0.25">
      <c r="A263" s="825"/>
      <c r="B263" s="16"/>
      <c r="C263" s="16"/>
      <c r="D263" s="22"/>
      <c r="E263" s="262"/>
      <c r="F263" s="16"/>
      <c r="G263" s="16"/>
      <c r="H263" s="16"/>
      <c r="I263" s="16"/>
      <c r="J263" s="1"/>
      <c r="K263" s="1"/>
      <c r="L263" s="1"/>
      <c r="M263" s="262"/>
      <c r="N263" s="1"/>
      <c r="O263" s="1"/>
      <c r="P263" s="1"/>
      <c r="Q263" s="1"/>
      <c r="R263" s="1"/>
      <c r="S263" s="1"/>
      <c r="T263" s="1"/>
      <c r="U263" s="1"/>
      <c r="V263" s="1"/>
      <c r="W263" s="1"/>
      <c r="X263" s="1"/>
      <c r="Y263" s="1"/>
      <c r="Z263" s="1"/>
      <c r="AA263" s="1"/>
      <c r="AB263" s="1"/>
    </row>
    <row r="264" spans="1:28" ht="11.25" customHeight="1" x14ac:dyDescent="0.25">
      <c r="A264" s="825"/>
      <c r="B264" s="16"/>
      <c r="C264" s="16"/>
      <c r="D264" s="22"/>
      <c r="E264" s="262"/>
      <c r="F264" s="16"/>
      <c r="G264" s="16"/>
      <c r="H264" s="16"/>
      <c r="I264" s="16"/>
      <c r="J264" s="1"/>
      <c r="K264" s="1"/>
      <c r="L264" s="1"/>
      <c r="M264" s="262"/>
      <c r="N264" s="1"/>
      <c r="O264" s="1"/>
      <c r="P264" s="1"/>
      <c r="Q264" s="1"/>
      <c r="R264" s="1"/>
      <c r="S264" s="1"/>
      <c r="T264" s="1"/>
      <c r="U264" s="1"/>
      <c r="V264" s="1"/>
      <c r="W264" s="1"/>
      <c r="X264" s="1"/>
      <c r="Y264" s="1"/>
      <c r="Z264" s="1"/>
      <c r="AA264" s="1"/>
      <c r="AB264" s="1"/>
    </row>
    <row r="265" spans="1:28" ht="11.25" customHeight="1" x14ac:dyDescent="0.25">
      <c r="A265" s="825"/>
      <c r="B265" s="16"/>
      <c r="C265" s="16"/>
      <c r="D265" s="22"/>
      <c r="E265" s="262"/>
      <c r="F265" s="16"/>
      <c r="G265" s="16"/>
      <c r="H265" s="16"/>
      <c r="I265" s="16"/>
      <c r="J265" s="1"/>
      <c r="K265" s="1"/>
      <c r="L265" s="1"/>
      <c r="M265" s="262"/>
      <c r="N265" s="1"/>
      <c r="O265" s="1"/>
      <c r="P265" s="1"/>
      <c r="Q265" s="1"/>
      <c r="R265" s="1"/>
      <c r="S265" s="1"/>
      <c r="T265" s="1"/>
      <c r="U265" s="1"/>
      <c r="V265" s="1"/>
      <c r="W265" s="1"/>
      <c r="X265" s="1"/>
      <c r="Y265" s="1"/>
      <c r="Z265" s="1"/>
      <c r="AA265" s="1"/>
      <c r="AB265" s="1"/>
    </row>
    <row r="266" spans="1:28" ht="11.25" customHeight="1" x14ac:dyDescent="0.25">
      <c r="A266" s="825"/>
      <c r="B266" s="16"/>
      <c r="C266" s="16"/>
      <c r="D266" s="22"/>
      <c r="E266" s="262"/>
      <c r="F266" s="16"/>
      <c r="G266" s="16"/>
      <c r="H266" s="16"/>
      <c r="I266" s="16"/>
      <c r="J266" s="1"/>
      <c r="K266" s="1"/>
      <c r="L266" s="1"/>
      <c r="M266" s="262"/>
      <c r="N266" s="1"/>
      <c r="O266" s="1"/>
      <c r="P266" s="1"/>
      <c r="Q266" s="1"/>
      <c r="R266" s="1"/>
      <c r="S266" s="1"/>
      <c r="T266" s="1"/>
      <c r="U266" s="1"/>
      <c r="V266" s="1"/>
      <c r="W266" s="1"/>
      <c r="X266" s="1"/>
      <c r="Y266" s="1"/>
      <c r="Z266" s="1"/>
      <c r="AA266" s="1"/>
      <c r="AB266" s="1"/>
    </row>
    <row r="267" spans="1:28" ht="11.25" customHeight="1" x14ac:dyDescent="0.25">
      <c r="A267" s="825"/>
      <c r="B267" s="16"/>
      <c r="C267" s="16"/>
      <c r="D267" s="22"/>
      <c r="E267" s="262"/>
      <c r="F267" s="16"/>
      <c r="G267" s="16"/>
      <c r="H267" s="16"/>
      <c r="I267" s="16"/>
      <c r="J267" s="1"/>
      <c r="K267" s="1"/>
      <c r="L267" s="1"/>
      <c r="M267" s="262"/>
      <c r="N267" s="1"/>
      <c r="O267" s="1"/>
      <c r="P267" s="1"/>
      <c r="Q267" s="1"/>
      <c r="R267" s="1"/>
      <c r="S267" s="1"/>
      <c r="T267" s="1"/>
      <c r="U267" s="1"/>
      <c r="V267" s="1"/>
      <c r="W267" s="1"/>
      <c r="X267" s="1"/>
      <c r="Y267" s="1"/>
      <c r="Z267" s="1"/>
      <c r="AA267" s="1"/>
      <c r="AB267" s="1"/>
    </row>
    <row r="268" spans="1:28" ht="11.25" customHeight="1" x14ac:dyDescent="0.25">
      <c r="A268" s="825"/>
      <c r="B268" s="16"/>
      <c r="C268" s="16"/>
      <c r="D268" s="22"/>
      <c r="E268" s="262"/>
      <c r="F268" s="16"/>
      <c r="G268" s="16"/>
      <c r="H268" s="16"/>
      <c r="I268" s="16"/>
      <c r="J268" s="1"/>
      <c r="K268" s="1"/>
      <c r="L268" s="1"/>
      <c r="M268" s="262"/>
      <c r="N268" s="1"/>
      <c r="O268" s="1"/>
      <c r="P268" s="1"/>
      <c r="Q268" s="1"/>
      <c r="R268" s="1"/>
      <c r="S268" s="1"/>
      <c r="T268" s="1"/>
      <c r="U268" s="1"/>
      <c r="V268" s="1"/>
      <c r="W268" s="1"/>
      <c r="X268" s="1"/>
      <c r="Y268" s="1"/>
      <c r="Z268" s="1"/>
      <c r="AA268" s="1"/>
      <c r="AB268" s="1"/>
    </row>
    <row r="269" spans="1:28" ht="11.25" customHeight="1" x14ac:dyDescent="0.25">
      <c r="A269" s="825"/>
      <c r="B269" s="16"/>
      <c r="C269" s="16"/>
      <c r="D269" s="22"/>
      <c r="E269" s="262"/>
      <c r="F269" s="16"/>
      <c r="G269" s="16"/>
      <c r="H269" s="16"/>
      <c r="I269" s="16"/>
      <c r="J269" s="1"/>
      <c r="K269" s="1"/>
      <c r="L269" s="1"/>
      <c r="M269" s="262"/>
      <c r="N269" s="1"/>
      <c r="O269" s="1"/>
      <c r="P269" s="1"/>
      <c r="Q269" s="1"/>
      <c r="R269" s="1"/>
      <c r="S269" s="1"/>
      <c r="T269" s="1"/>
      <c r="U269" s="1"/>
      <c r="V269" s="1"/>
      <c r="W269" s="1"/>
      <c r="X269" s="1"/>
      <c r="Y269" s="1"/>
      <c r="Z269" s="1"/>
      <c r="AA269" s="1"/>
      <c r="AB269" s="1"/>
    </row>
    <row r="270" spans="1:28" ht="11.25" customHeight="1" x14ac:dyDescent="0.25">
      <c r="A270" s="825"/>
      <c r="B270" s="16"/>
      <c r="C270" s="16"/>
      <c r="D270" s="22"/>
      <c r="E270" s="262"/>
      <c r="F270" s="16"/>
      <c r="G270" s="16"/>
      <c r="H270" s="16"/>
      <c r="I270" s="16"/>
      <c r="J270" s="1"/>
      <c r="K270" s="1"/>
      <c r="L270" s="1"/>
      <c r="M270" s="262"/>
      <c r="N270" s="1"/>
      <c r="O270" s="1"/>
      <c r="P270" s="1"/>
      <c r="Q270" s="1"/>
      <c r="R270" s="1"/>
      <c r="S270" s="1"/>
      <c r="T270" s="1"/>
      <c r="U270" s="1"/>
      <c r="V270" s="1"/>
      <c r="W270" s="1"/>
      <c r="X270" s="1"/>
      <c r="Y270" s="1"/>
      <c r="Z270" s="1"/>
      <c r="AA270" s="1"/>
      <c r="AB270" s="1"/>
    </row>
    <row r="271" spans="1:28" ht="11.25" customHeight="1" x14ac:dyDescent="0.25">
      <c r="A271" s="825"/>
      <c r="B271" s="16"/>
      <c r="C271" s="16"/>
      <c r="D271" s="22"/>
      <c r="E271" s="262"/>
      <c r="F271" s="16"/>
      <c r="G271" s="16"/>
      <c r="H271" s="16"/>
      <c r="I271" s="16"/>
      <c r="J271" s="1"/>
      <c r="K271" s="1"/>
      <c r="L271" s="1"/>
      <c r="M271" s="262"/>
      <c r="N271" s="1"/>
      <c r="O271" s="1"/>
      <c r="P271" s="1"/>
      <c r="Q271" s="1"/>
      <c r="R271" s="1"/>
      <c r="S271" s="1"/>
      <c r="T271" s="1"/>
      <c r="U271" s="1"/>
      <c r="V271" s="1"/>
      <c r="W271" s="1"/>
      <c r="X271" s="1"/>
      <c r="Y271" s="1"/>
      <c r="Z271" s="1"/>
      <c r="AA271" s="1"/>
      <c r="AB271" s="1"/>
    </row>
    <row r="272" spans="1:28" ht="11.25" customHeight="1" x14ac:dyDescent="0.25">
      <c r="A272" s="825"/>
      <c r="B272" s="16"/>
      <c r="C272" s="16"/>
      <c r="D272" s="22"/>
      <c r="E272" s="262"/>
      <c r="F272" s="16"/>
      <c r="G272" s="16"/>
      <c r="H272" s="16"/>
      <c r="I272" s="16"/>
      <c r="J272" s="1"/>
      <c r="K272" s="1"/>
      <c r="L272" s="1"/>
      <c r="M272" s="262"/>
      <c r="N272" s="1"/>
      <c r="O272" s="1"/>
      <c r="P272" s="1"/>
      <c r="Q272" s="1"/>
      <c r="R272" s="1"/>
      <c r="S272" s="1"/>
      <c r="T272" s="1"/>
      <c r="U272" s="1"/>
      <c r="V272" s="1"/>
      <c r="W272" s="1"/>
      <c r="X272" s="1"/>
      <c r="Y272" s="1"/>
      <c r="Z272" s="1"/>
      <c r="AA272" s="1"/>
      <c r="AB272" s="1"/>
    </row>
    <row r="273" spans="1:28" ht="11.25" customHeight="1" x14ac:dyDescent="0.25">
      <c r="A273" s="825"/>
      <c r="B273" s="16"/>
      <c r="C273" s="16"/>
      <c r="D273" s="22"/>
      <c r="E273" s="262"/>
      <c r="F273" s="16"/>
      <c r="G273" s="16"/>
      <c r="H273" s="16"/>
      <c r="I273" s="16"/>
      <c r="J273" s="1"/>
      <c r="K273" s="1"/>
      <c r="L273" s="1"/>
      <c r="M273" s="262"/>
      <c r="N273" s="1"/>
      <c r="O273" s="1"/>
      <c r="P273" s="1"/>
      <c r="Q273" s="1"/>
      <c r="R273" s="1"/>
      <c r="S273" s="1"/>
      <c r="T273" s="1"/>
      <c r="U273" s="1"/>
      <c r="V273" s="1"/>
      <c r="W273" s="1"/>
      <c r="X273" s="1"/>
      <c r="Y273" s="1"/>
      <c r="Z273" s="1"/>
      <c r="AA273" s="1"/>
      <c r="AB273" s="1"/>
    </row>
    <row r="274" spans="1:28" ht="11.25" customHeight="1" x14ac:dyDescent="0.25">
      <c r="A274" s="825"/>
      <c r="B274" s="16"/>
      <c r="C274" s="16"/>
      <c r="D274" s="22"/>
      <c r="E274" s="262"/>
      <c r="F274" s="16"/>
      <c r="G274" s="16"/>
      <c r="H274" s="16"/>
      <c r="I274" s="16"/>
      <c r="J274" s="1"/>
      <c r="K274" s="1"/>
      <c r="L274" s="1"/>
      <c r="M274" s="262"/>
      <c r="N274" s="1"/>
      <c r="O274" s="1"/>
      <c r="P274" s="1"/>
      <c r="Q274" s="1"/>
      <c r="R274" s="1"/>
      <c r="S274" s="1"/>
      <c r="T274" s="1"/>
      <c r="U274" s="1"/>
      <c r="V274" s="1"/>
      <c r="W274" s="1"/>
      <c r="X274" s="1"/>
      <c r="Y274" s="1"/>
      <c r="Z274" s="1"/>
      <c r="AA274" s="1"/>
      <c r="AB274" s="1"/>
    </row>
    <row r="275" spans="1:28" ht="11.25" customHeight="1" x14ac:dyDescent="0.25">
      <c r="A275" s="825"/>
      <c r="B275" s="16"/>
      <c r="C275" s="16"/>
      <c r="D275" s="22"/>
      <c r="E275" s="262"/>
      <c r="F275" s="16"/>
      <c r="G275" s="16"/>
      <c r="H275" s="16"/>
      <c r="I275" s="16"/>
      <c r="J275" s="1"/>
      <c r="K275" s="1"/>
      <c r="L275" s="1"/>
      <c r="M275" s="262"/>
      <c r="N275" s="1"/>
      <c r="O275" s="1"/>
      <c r="P275" s="1"/>
      <c r="Q275" s="1"/>
      <c r="R275" s="1"/>
      <c r="S275" s="1"/>
      <c r="T275" s="1"/>
      <c r="U275" s="1"/>
      <c r="V275" s="1"/>
      <c r="W275" s="1"/>
      <c r="X275" s="1"/>
      <c r="Y275" s="1"/>
      <c r="Z275" s="1"/>
      <c r="AA275" s="1"/>
      <c r="AB275" s="1"/>
    </row>
    <row r="276" spans="1:28" ht="11.25" customHeight="1" x14ac:dyDescent="0.25">
      <c r="A276" s="825"/>
      <c r="B276" s="16"/>
      <c r="C276" s="16"/>
      <c r="D276" s="22"/>
      <c r="E276" s="262"/>
      <c r="F276" s="16"/>
      <c r="G276" s="16"/>
      <c r="H276" s="16"/>
      <c r="I276" s="16"/>
      <c r="J276" s="1"/>
      <c r="K276" s="1"/>
      <c r="L276" s="1"/>
      <c r="M276" s="262"/>
      <c r="N276" s="1"/>
      <c r="O276" s="1"/>
      <c r="P276" s="1"/>
      <c r="Q276" s="1"/>
      <c r="R276" s="1"/>
      <c r="S276" s="1"/>
      <c r="T276" s="1"/>
      <c r="U276" s="1"/>
      <c r="V276" s="1"/>
      <c r="W276" s="1"/>
      <c r="X276" s="1"/>
      <c r="Y276" s="1"/>
      <c r="Z276" s="1"/>
      <c r="AA276" s="1"/>
      <c r="AB276" s="1"/>
    </row>
    <row r="277" spans="1:28" ht="11.25" customHeight="1" x14ac:dyDescent="0.25">
      <c r="A277" s="825"/>
      <c r="B277" s="16"/>
      <c r="C277" s="16"/>
      <c r="D277" s="22"/>
      <c r="E277" s="262"/>
      <c r="F277" s="16"/>
      <c r="G277" s="16"/>
      <c r="H277" s="16"/>
      <c r="I277" s="16"/>
      <c r="J277" s="1"/>
      <c r="K277" s="1"/>
      <c r="L277" s="1"/>
      <c r="M277" s="262"/>
      <c r="N277" s="1"/>
      <c r="O277" s="1"/>
      <c r="P277" s="1"/>
      <c r="Q277" s="1"/>
      <c r="R277" s="1"/>
      <c r="S277" s="1"/>
      <c r="T277" s="1"/>
      <c r="U277" s="1"/>
      <c r="V277" s="1"/>
      <c r="W277" s="1"/>
      <c r="X277" s="1"/>
      <c r="Y277" s="1"/>
      <c r="Z277" s="1"/>
      <c r="AA277" s="1"/>
      <c r="AB277" s="1"/>
    </row>
    <row r="278" spans="1:28" ht="11.25" customHeight="1" x14ac:dyDescent="0.25">
      <c r="A278" s="825"/>
      <c r="B278" s="16"/>
      <c r="C278" s="16"/>
      <c r="D278" s="22"/>
      <c r="E278" s="262"/>
      <c r="F278" s="16"/>
      <c r="G278" s="16"/>
      <c r="H278" s="16"/>
      <c r="I278" s="16"/>
      <c r="J278" s="1"/>
      <c r="K278" s="1"/>
      <c r="L278" s="1"/>
      <c r="M278" s="262"/>
      <c r="N278" s="1"/>
      <c r="O278" s="1"/>
      <c r="P278" s="1"/>
      <c r="Q278" s="1"/>
      <c r="R278" s="1"/>
      <c r="S278" s="1"/>
      <c r="T278" s="1"/>
      <c r="U278" s="1"/>
      <c r="V278" s="1"/>
      <c r="W278" s="1"/>
      <c r="X278" s="1"/>
      <c r="Y278" s="1"/>
      <c r="Z278" s="1"/>
      <c r="AA278" s="1"/>
      <c r="AB278" s="1"/>
    </row>
    <row r="279" spans="1:28" ht="11.25" customHeight="1" x14ac:dyDescent="0.25">
      <c r="A279" s="825"/>
      <c r="B279" s="16"/>
      <c r="C279" s="16"/>
      <c r="D279" s="22"/>
      <c r="E279" s="262"/>
      <c r="F279" s="16"/>
      <c r="G279" s="16"/>
      <c r="H279" s="16"/>
      <c r="I279" s="16"/>
      <c r="J279" s="1"/>
      <c r="K279" s="1"/>
      <c r="L279" s="1"/>
      <c r="M279" s="262"/>
      <c r="N279" s="1"/>
      <c r="O279" s="1"/>
      <c r="P279" s="1"/>
      <c r="Q279" s="1"/>
      <c r="R279" s="1"/>
      <c r="S279" s="1"/>
      <c r="T279" s="1"/>
      <c r="U279" s="1"/>
      <c r="V279" s="1"/>
      <c r="W279" s="1"/>
      <c r="X279" s="1"/>
      <c r="Y279" s="1"/>
      <c r="Z279" s="1"/>
      <c r="AA279" s="1"/>
      <c r="AB279" s="1"/>
    </row>
    <row r="280" spans="1:28" ht="11.25" customHeight="1" x14ac:dyDescent="0.25">
      <c r="A280" s="825"/>
      <c r="B280" s="16"/>
      <c r="C280" s="16"/>
      <c r="D280" s="22"/>
      <c r="E280" s="262"/>
      <c r="F280" s="16"/>
      <c r="G280" s="16"/>
      <c r="H280" s="16"/>
      <c r="I280" s="16"/>
      <c r="J280" s="1"/>
      <c r="K280" s="1"/>
      <c r="L280" s="1"/>
      <c r="M280" s="262"/>
      <c r="N280" s="1"/>
      <c r="O280" s="1"/>
      <c r="P280" s="1"/>
      <c r="Q280" s="1"/>
      <c r="R280" s="1"/>
      <c r="S280" s="1"/>
      <c r="T280" s="1"/>
      <c r="U280" s="1"/>
      <c r="V280" s="1"/>
      <c r="W280" s="1"/>
      <c r="X280" s="1"/>
      <c r="Y280" s="1"/>
      <c r="Z280" s="1"/>
      <c r="AA280" s="1"/>
      <c r="AB280" s="1"/>
    </row>
    <row r="281" spans="1:28" ht="11.25" customHeight="1" x14ac:dyDescent="0.25">
      <c r="A281" s="825"/>
      <c r="B281" s="16"/>
      <c r="C281" s="16"/>
      <c r="D281" s="22"/>
      <c r="E281" s="262"/>
      <c r="F281" s="16"/>
      <c r="G281" s="16"/>
      <c r="H281" s="16"/>
      <c r="I281" s="16"/>
      <c r="J281" s="1"/>
      <c r="K281" s="1"/>
      <c r="L281" s="1"/>
      <c r="M281" s="262"/>
      <c r="N281" s="1"/>
      <c r="O281" s="1"/>
      <c r="P281" s="1"/>
      <c r="Q281" s="1"/>
      <c r="R281" s="1"/>
      <c r="S281" s="1"/>
      <c r="T281" s="1"/>
      <c r="U281" s="1"/>
      <c r="V281" s="1"/>
      <c r="W281" s="1"/>
      <c r="X281" s="1"/>
      <c r="Y281" s="1"/>
      <c r="Z281" s="1"/>
      <c r="AA281" s="1"/>
      <c r="AB281" s="1"/>
    </row>
    <row r="282" spans="1:28" ht="11.25" customHeight="1" x14ac:dyDescent="0.25">
      <c r="A282" s="825"/>
      <c r="B282" s="16"/>
      <c r="C282" s="16"/>
      <c r="D282" s="22"/>
      <c r="E282" s="262"/>
      <c r="F282" s="16"/>
      <c r="G282" s="16"/>
      <c r="H282" s="16"/>
      <c r="I282" s="16"/>
      <c r="J282" s="1"/>
      <c r="K282" s="1"/>
      <c r="L282" s="1"/>
      <c r="M282" s="262"/>
      <c r="N282" s="1"/>
      <c r="O282" s="1"/>
      <c r="P282" s="1"/>
      <c r="Q282" s="1"/>
      <c r="R282" s="1"/>
      <c r="S282" s="1"/>
      <c r="T282" s="1"/>
      <c r="U282" s="1"/>
      <c r="V282" s="1"/>
      <c r="W282" s="1"/>
      <c r="X282" s="1"/>
      <c r="Y282" s="1"/>
      <c r="Z282" s="1"/>
      <c r="AA282" s="1"/>
      <c r="AB282" s="1"/>
    </row>
    <row r="283" spans="1:28" ht="11.25" customHeight="1" x14ac:dyDescent="0.25">
      <c r="A283" s="825"/>
      <c r="B283" s="16"/>
      <c r="C283" s="16"/>
      <c r="D283" s="22"/>
      <c r="E283" s="262"/>
      <c r="F283" s="16"/>
      <c r="G283" s="16"/>
      <c r="H283" s="16"/>
      <c r="I283" s="16"/>
      <c r="J283" s="1"/>
      <c r="K283" s="1"/>
      <c r="L283" s="1"/>
      <c r="M283" s="262"/>
      <c r="N283" s="1"/>
      <c r="O283" s="1"/>
      <c r="P283" s="1"/>
      <c r="Q283" s="1"/>
      <c r="R283" s="1"/>
      <c r="S283" s="1"/>
      <c r="T283" s="1"/>
      <c r="U283" s="1"/>
      <c r="V283" s="1"/>
      <c r="W283" s="1"/>
      <c r="X283" s="1"/>
      <c r="Y283" s="1"/>
      <c r="Z283" s="1"/>
      <c r="AA283" s="1"/>
      <c r="AB283" s="1"/>
    </row>
    <row r="284" spans="1:28" ht="11.25" customHeight="1" x14ac:dyDescent="0.25">
      <c r="A284" s="825"/>
      <c r="B284" s="16"/>
      <c r="C284" s="16"/>
      <c r="D284" s="22"/>
      <c r="E284" s="262"/>
      <c r="F284" s="16"/>
      <c r="G284" s="16"/>
      <c r="H284" s="16"/>
      <c r="I284" s="16"/>
      <c r="J284" s="1"/>
      <c r="K284" s="1"/>
      <c r="L284" s="1"/>
      <c r="M284" s="262"/>
      <c r="N284" s="1"/>
      <c r="O284" s="1"/>
      <c r="P284" s="1"/>
      <c r="Q284" s="1"/>
      <c r="R284" s="1"/>
      <c r="S284" s="1"/>
      <c r="T284" s="1"/>
      <c r="U284" s="1"/>
      <c r="V284" s="1"/>
      <c r="W284" s="1"/>
      <c r="X284" s="1"/>
      <c r="Y284" s="1"/>
      <c r="Z284" s="1"/>
      <c r="AA284" s="1"/>
      <c r="AB284" s="1"/>
    </row>
    <row r="285" spans="1:28" ht="11.25" customHeight="1" x14ac:dyDescent="0.25">
      <c r="A285" s="825"/>
      <c r="B285" s="16"/>
      <c r="C285" s="16"/>
      <c r="D285" s="22"/>
      <c r="E285" s="262"/>
      <c r="F285" s="16"/>
      <c r="G285" s="16"/>
      <c r="H285" s="16"/>
      <c r="I285" s="16"/>
      <c r="J285" s="1"/>
      <c r="K285" s="1"/>
      <c r="L285" s="1"/>
      <c r="M285" s="262"/>
      <c r="N285" s="1"/>
      <c r="O285" s="1"/>
      <c r="P285" s="1"/>
      <c r="Q285" s="1"/>
      <c r="R285" s="1"/>
      <c r="S285" s="1"/>
      <c r="T285" s="1"/>
      <c r="U285" s="1"/>
      <c r="V285" s="1"/>
      <c r="W285" s="1"/>
      <c r="X285" s="1"/>
      <c r="Y285" s="1"/>
      <c r="Z285" s="1"/>
      <c r="AA285" s="1"/>
      <c r="AB285" s="1"/>
    </row>
    <row r="286" spans="1:28" ht="11.25" customHeight="1" x14ac:dyDescent="0.25">
      <c r="A286" s="825"/>
      <c r="B286" s="16"/>
      <c r="C286" s="16"/>
      <c r="D286" s="22"/>
      <c r="E286" s="262"/>
      <c r="F286" s="16"/>
      <c r="G286" s="16"/>
      <c r="H286" s="16"/>
      <c r="I286" s="16"/>
      <c r="J286" s="1"/>
      <c r="K286" s="1"/>
      <c r="L286" s="1"/>
      <c r="M286" s="262"/>
      <c r="N286" s="1"/>
      <c r="O286" s="1"/>
      <c r="P286" s="1"/>
      <c r="Q286" s="1"/>
      <c r="R286" s="1"/>
      <c r="S286" s="1"/>
      <c r="T286" s="1"/>
      <c r="U286" s="1"/>
      <c r="V286" s="1"/>
      <c r="W286" s="1"/>
      <c r="X286" s="1"/>
      <c r="Y286" s="1"/>
      <c r="Z286" s="1"/>
      <c r="AA286" s="1"/>
      <c r="AB286" s="1"/>
    </row>
    <row r="287" spans="1:28" ht="11.25" customHeight="1" x14ac:dyDescent="0.25">
      <c r="A287" s="825"/>
      <c r="B287" s="16"/>
      <c r="C287" s="16"/>
      <c r="D287" s="22"/>
      <c r="E287" s="262"/>
      <c r="F287" s="16"/>
      <c r="G287" s="16"/>
      <c r="H287" s="16"/>
      <c r="I287" s="16"/>
      <c r="J287" s="1"/>
      <c r="K287" s="1"/>
      <c r="L287" s="1"/>
      <c r="M287" s="262"/>
      <c r="N287" s="1"/>
      <c r="O287" s="1"/>
      <c r="P287" s="1"/>
      <c r="Q287" s="1"/>
      <c r="R287" s="1"/>
      <c r="S287" s="1"/>
      <c r="T287" s="1"/>
      <c r="U287" s="1"/>
      <c r="V287" s="1"/>
      <c r="W287" s="1"/>
      <c r="X287" s="1"/>
      <c r="Y287" s="1"/>
      <c r="Z287" s="1"/>
      <c r="AA287" s="1"/>
      <c r="AB287" s="1"/>
    </row>
    <row r="288" spans="1:28" ht="11.25" customHeight="1" x14ac:dyDescent="0.25">
      <c r="A288" s="825"/>
      <c r="B288" s="16"/>
      <c r="C288" s="16"/>
      <c r="D288" s="22"/>
      <c r="E288" s="262"/>
      <c r="F288" s="16"/>
      <c r="G288" s="16"/>
      <c r="H288" s="16"/>
      <c r="I288" s="16"/>
      <c r="J288" s="1"/>
      <c r="K288" s="1"/>
      <c r="L288" s="1"/>
      <c r="M288" s="262"/>
      <c r="N288" s="1"/>
      <c r="O288" s="1"/>
      <c r="P288" s="1"/>
      <c r="Q288" s="1"/>
      <c r="R288" s="1"/>
      <c r="S288" s="1"/>
      <c r="T288" s="1"/>
      <c r="U288" s="1"/>
      <c r="V288" s="1"/>
      <c r="W288" s="1"/>
      <c r="X288" s="1"/>
      <c r="Y288" s="1"/>
      <c r="Z288" s="1"/>
      <c r="AA288" s="1"/>
      <c r="AB288" s="1"/>
    </row>
    <row r="289" spans="1:28" ht="11.25" customHeight="1" x14ac:dyDescent="0.25">
      <c r="A289" s="825"/>
      <c r="B289" s="16"/>
      <c r="C289" s="16"/>
      <c r="D289" s="22"/>
      <c r="E289" s="262"/>
      <c r="F289" s="16"/>
      <c r="G289" s="16"/>
      <c r="H289" s="16"/>
      <c r="I289" s="16"/>
      <c r="J289" s="1"/>
      <c r="K289" s="1"/>
      <c r="L289" s="1"/>
      <c r="M289" s="262"/>
      <c r="N289" s="1"/>
      <c r="O289" s="1"/>
      <c r="P289" s="1"/>
      <c r="Q289" s="1"/>
      <c r="R289" s="1"/>
      <c r="S289" s="1"/>
      <c r="T289" s="1"/>
      <c r="U289" s="1"/>
      <c r="V289" s="1"/>
      <c r="W289" s="1"/>
      <c r="X289" s="1"/>
      <c r="Y289" s="1"/>
      <c r="Z289" s="1"/>
      <c r="AA289" s="1"/>
      <c r="AB289" s="1"/>
    </row>
    <row r="290" spans="1:28" ht="11.25" customHeight="1" x14ac:dyDescent="0.25">
      <c r="A290" s="825"/>
      <c r="B290" s="16"/>
      <c r="C290" s="16"/>
      <c r="D290" s="22"/>
      <c r="E290" s="262"/>
      <c r="F290" s="16"/>
      <c r="G290" s="16"/>
      <c r="H290" s="16"/>
      <c r="I290" s="16"/>
      <c r="J290" s="1"/>
      <c r="K290" s="1"/>
      <c r="L290" s="1"/>
      <c r="M290" s="262"/>
      <c r="N290" s="1"/>
      <c r="O290" s="1"/>
      <c r="P290" s="1"/>
      <c r="Q290" s="1"/>
      <c r="R290" s="1"/>
      <c r="S290" s="1"/>
      <c r="T290" s="1"/>
      <c r="U290" s="1"/>
      <c r="V290" s="1"/>
      <c r="W290" s="1"/>
      <c r="X290" s="1"/>
      <c r="Y290" s="1"/>
      <c r="Z290" s="1"/>
      <c r="AA290" s="1"/>
      <c r="AB290" s="1"/>
    </row>
    <row r="291" spans="1:28" ht="11.25" customHeight="1" x14ac:dyDescent="0.25">
      <c r="A291" s="825"/>
      <c r="B291" s="16"/>
      <c r="C291" s="16"/>
      <c r="D291" s="22"/>
      <c r="E291" s="262"/>
      <c r="F291" s="16"/>
      <c r="G291" s="16"/>
      <c r="H291" s="16"/>
      <c r="I291" s="16"/>
      <c r="J291" s="1"/>
      <c r="K291" s="1"/>
      <c r="L291" s="1"/>
      <c r="M291" s="262"/>
      <c r="N291" s="1"/>
      <c r="O291" s="1"/>
      <c r="P291" s="1"/>
      <c r="Q291" s="1"/>
      <c r="R291" s="1"/>
      <c r="S291" s="1"/>
      <c r="T291" s="1"/>
      <c r="U291" s="1"/>
      <c r="V291" s="1"/>
      <c r="W291" s="1"/>
      <c r="X291" s="1"/>
      <c r="Y291" s="1"/>
      <c r="Z291" s="1"/>
      <c r="AA291" s="1"/>
      <c r="AB291" s="1"/>
    </row>
    <row r="292" spans="1:28" ht="11.25" customHeight="1" x14ac:dyDescent="0.25">
      <c r="A292" s="825"/>
      <c r="B292" s="16"/>
      <c r="C292" s="16"/>
      <c r="D292" s="22"/>
      <c r="E292" s="262"/>
      <c r="F292" s="16"/>
      <c r="G292" s="16"/>
      <c r="H292" s="16"/>
      <c r="I292" s="16"/>
      <c r="J292" s="1"/>
      <c r="K292" s="1"/>
      <c r="L292" s="1"/>
      <c r="M292" s="262"/>
      <c r="N292" s="1"/>
      <c r="O292" s="1"/>
      <c r="P292" s="1"/>
      <c r="Q292" s="1"/>
      <c r="R292" s="1"/>
      <c r="S292" s="1"/>
      <c r="T292" s="1"/>
      <c r="U292" s="1"/>
      <c r="V292" s="1"/>
      <c r="W292" s="1"/>
      <c r="X292" s="1"/>
      <c r="Y292" s="1"/>
      <c r="Z292" s="1"/>
      <c r="AA292" s="1"/>
      <c r="AB292" s="1"/>
    </row>
    <row r="293" spans="1:28" ht="11.25" customHeight="1" x14ac:dyDescent="0.25">
      <c r="A293" s="825"/>
      <c r="B293" s="16"/>
      <c r="C293" s="16"/>
      <c r="D293" s="22"/>
      <c r="E293" s="262"/>
      <c r="F293" s="16"/>
      <c r="G293" s="16"/>
      <c r="H293" s="16"/>
      <c r="I293" s="16"/>
      <c r="J293" s="1"/>
      <c r="K293" s="1"/>
      <c r="L293" s="1"/>
      <c r="M293" s="262"/>
      <c r="N293" s="1"/>
      <c r="O293" s="1"/>
      <c r="P293" s="1"/>
      <c r="Q293" s="1"/>
      <c r="R293" s="1"/>
      <c r="S293" s="1"/>
      <c r="T293" s="1"/>
      <c r="U293" s="1"/>
      <c r="V293" s="1"/>
      <c r="W293" s="1"/>
      <c r="X293" s="1"/>
      <c r="Y293" s="1"/>
      <c r="Z293" s="1"/>
      <c r="AA293" s="1"/>
      <c r="AB293" s="1"/>
    </row>
    <row r="294" spans="1:28" ht="11.25" customHeight="1" x14ac:dyDescent="0.25">
      <c r="A294" s="825"/>
      <c r="B294" s="16"/>
      <c r="C294" s="16"/>
      <c r="D294" s="22"/>
      <c r="E294" s="262"/>
      <c r="F294" s="16"/>
      <c r="G294" s="16"/>
      <c r="H294" s="16"/>
      <c r="I294" s="16"/>
      <c r="J294" s="1"/>
      <c r="K294" s="1"/>
      <c r="L294" s="1"/>
      <c r="M294" s="262"/>
      <c r="N294" s="1"/>
      <c r="O294" s="1"/>
      <c r="P294" s="1"/>
      <c r="Q294" s="1"/>
      <c r="R294" s="1"/>
      <c r="S294" s="1"/>
      <c r="T294" s="1"/>
      <c r="U294" s="1"/>
      <c r="V294" s="1"/>
      <c r="W294" s="1"/>
      <c r="X294" s="1"/>
      <c r="Y294" s="1"/>
      <c r="Z294" s="1"/>
      <c r="AA294" s="1"/>
      <c r="AB294" s="1"/>
    </row>
    <row r="295" spans="1:28" ht="11.25" customHeight="1" x14ac:dyDescent="0.25">
      <c r="A295" s="825"/>
      <c r="B295" s="16"/>
      <c r="C295" s="16"/>
      <c r="D295" s="22"/>
      <c r="E295" s="262"/>
      <c r="F295" s="16"/>
      <c r="G295" s="16"/>
      <c r="H295" s="16"/>
      <c r="I295" s="16"/>
      <c r="J295" s="1"/>
      <c r="K295" s="1"/>
      <c r="L295" s="1"/>
      <c r="M295" s="262"/>
      <c r="N295" s="1"/>
      <c r="O295" s="1"/>
      <c r="P295" s="1"/>
      <c r="Q295" s="1"/>
      <c r="R295" s="1"/>
      <c r="S295" s="1"/>
      <c r="T295" s="1"/>
      <c r="U295" s="1"/>
      <c r="V295" s="1"/>
      <c r="W295" s="1"/>
      <c r="X295" s="1"/>
      <c r="Y295" s="1"/>
      <c r="Z295" s="1"/>
      <c r="AA295" s="1"/>
      <c r="AB295" s="1"/>
    </row>
    <row r="296" spans="1:28" ht="11.25" customHeight="1" x14ac:dyDescent="0.25">
      <c r="A296" s="825"/>
      <c r="B296" s="16"/>
      <c r="C296" s="16"/>
      <c r="D296" s="22"/>
      <c r="E296" s="262"/>
      <c r="F296" s="16"/>
      <c r="G296" s="16"/>
      <c r="H296" s="16"/>
      <c r="I296" s="16"/>
      <c r="J296" s="1"/>
      <c r="K296" s="1"/>
      <c r="L296" s="1"/>
      <c r="M296" s="262"/>
      <c r="N296" s="1"/>
      <c r="O296" s="1"/>
      <c r="P296" s="1"/>
      <c r="Q296" s="1"/>
      <c r="R296" s="1"/>
      <c r="S296" s="1"/>
      <c r="T296" s="1"/>
      <c r="U296" s="1"/>
      <c r="V296" s="1"/>
      <c r="W296" s="1"/>
      <c r="X296" s="1"/>
      <c r="Y296" s="1"/>
      <c r="Z296" s="1"/>
      <c r="AA296" s="1"/>
      <c r="AB296" s="1"/>
    </row>
    <row r="297" spans="1:28" ht="11.25" customHeight="1" x14ac:dyDescent="0.25">
      <c r="A297" s="825"/>
      <c r="B297" s="16"/>
      <c r="C297" s="16"/>
      <c r="D297" s="22"/>
      <c r="E297" s="262"/>
      <c r="F297" s="16"/>
      <c r="G297" s="16"/>
      <c r="H297" s="16"/>
      <c r="I297" s="16"/>
      <c r="J297" s="1"/>
      <c r="K297" s="1"/>
      <c r="L297" s="1"/>
      <c r="M297" s="262"/>
      <c r="N297" s="1"/>
      <c r="O297" s="1"/>
      <c r="P297" s="1"/>
      <c r="Q297" s="1"/>
      <c r="R297" s="1"/>
      <c r="S297" s="1"/>
      <c r="T297" s="1"/>
      <c r="U297" s="1"/>
      <c r="V297" s="1"/>
      <c r="W297" s="1"/>
      <c r="X297" s="1"/>
      <c r="Y297" s="1"/>
      <c r="Z297" s="1"/>
      <c r="AA297" s="1"/>
      <c r="AB297" s="1"/>
    </row>
    <row r="298" spans="1:28" ht="11.25" customHeight="1" x14ac:dyDescent="0.25">
      <c r="A298" s="825"/>
      <c r="B298" s="16"/>
      <c r="C298" s="16"/>
      <c r="D298" s="22"/>
      <c r="E298" s="262"/>
      <c r="F298" s="16"/>
      <c r="G298" s="16"/>
      <c r="H298" s="16"/>
      <c r="I298" s="16"/>
      <c r="J298" s="1"/>
      <c r="K298" s="1"/>
      <c r="L298" s="1"/>
      <c r="M298" s="262"/>
      <c r="N298" s="1"/>
      <c r="O298" s="1"/>
      <c r="P298" s="1"/>
      <c r="Q298" s="1"/>
      <c r="R298" s="1"/>
      <c r="S298" s="1"/>
      <c r="T298" s="1"/>
      <c r="U298" s="1"/>
      <c r="V298" s="1"/>
      <c r="W298" s="1"/>
      <c r="X298" s="1"/>
      <c r="Y298" s="1"/>
      <c r="Z298" s="1"/>
      <c r="AA298" s="1"/>
      <c r="AB298" s="1"/>
    </row>
    <row r="299" spans="1:28" ht="11.25" customHeight="1" x14ac:dyDescent="0.25">
      <c r="A299" s="825"/>
      <c r="B299" s="16"/>
      <c r="C299" s="16"/>
      <c r="D299" s="22"/>
      <c r="E299" s="262"/>
      <c r="F299" s="16"/>
      <c r="G299" s="16"/>
      <c r="H299" s="16"/>
      <c r="I299" s="16"/>
      <c r="J299" s="1"/>
      <c r="K299" s="1"/>
      <c r="L299" s="1"/>
      <c r="M299" s="262"/>
      <c r="N299" s="1"/>
      <c r="O299" s="1"/>
      <c r="P299" s="1"/>
      <c r="Q299" s="1"/>
      <c r="R299" s="1"/>
      <c r="S299" s="1"/>
      <c r="T299" s="1"/>
      <c r="U299" s="1"/>
      <c r="V299" s="1"/>
      <c r="W299" s="1"/>
      <c r="X299" s="1"/>
      <c r="Y299" s="1"/>
      <c r="Z299" s="1"/>
      <c r="AA299" s="1"/>
      <c r="AB299" s="1"/>
    </row>
    <row r="300" spans="1:28" ht="11.25" customHeight="1" x14ac:dyDescent="0.25">
      <c r="A300" s="825"/>
      <c r="B300" s="16"/>
      <c r="C300" s="16"/>
      <c r="D300" s="22"/>
      <c r="E300" s="262"/>
      <c r="F300" s="16"/>
      <c r="G300" s="16"/>
      <c r="H300" s="16"/>
      <c r="I300" s="16"/>
      <c r="J300" s="1"/>
      <c r="K300" s="1"/>
      <c r="L300" s="1"/>
      <c r="M300" s="262"/>
      <c r="N300" s="1"/>
      <c r="O300" s="1"/>
      <c r="P300" s="1"/>
      <c r="Q300" s="1"/>
      <c r="R300" s="1"/>
      <c r="S300" s="1"/>
      <c r="T300" s="1"/>
      <c r="U300" s="1"/>
      <c r="V300" s="1"/>
      <c r="W300" s="1"/>
      <c r="X300" s="1"/>
      <c r="Y300" s="1"/>
      <c r="Z300" s="1"/>
      <c r="AA300" s="1"/>
      <c r="AB300" s="1"/>
    </row>
    <row r="301" spans="1:28" ht="11.25" customHeight="1" x14ac:dyDescent="0.25">
      <c r="A301" s="825"/>
      <c r="B301" s="16"/>
      <c r="C301" s="16"/>
      <c r="D301" s="22"/>
      <c r="E301" s="262"/>
      <c r="F301" s="16"/>
      <c r="G301" s="16"/>
      <c r="H301" s="16"/>
      <c r="I301" s="16"/>
      <c r="J301" s="1"/>
      <c r="K301" s="1"/>
      <c r="L301" s="1"/>
      <c r="M301" s="262"/>
      <c r="N301" s="1"/>
      <c r="O301" s="1"/>
      <c r="P301" s="1"/>
      <c r="Q301" s="1"/>
      <c r="R301" s="1"/>
      <c r="S301" s="1"/>
      <c r="T301" s="1"/>
      <c r="U301" s="1"/>
      <c r="V301" s="1"/>
      <c r="W301" s="1"/>
      <c r="X301" s="1"/>
      <c r="Y301" s="1"/>
      <c r="Z301" s="1"/>
      <c r="AA301" s="1"/>
      <c r="AB301" s="1"/>
    </row>
    <row r="302" spans="1:28" ht="11.25" customHeight="1" x14ac:dyDescent="0.25">
      <c r="A302" s="825"/>
      <c r="B302" s="16"/>
      <c r="C302" s="16"/>
      <c r="D302" s="22"/>
      <c r="E302" s="262"/>
      <c r="F302" s="16"/>
      <c r="G302" s="16"/>
      <c r="H302" s="16"/>
      <c r="I302" s="16"/>
      <c r="J302" s="1"/>
      <c r="K302" s="1"/>
      <c r="L302" s="1"/>
      <c r="M302" s="262"/>
      <c r="N302" s="1"/>
      <c r="O302" s="1"/>
      <c r="P302" s="1"/>
      <c r="Q302" s="1"/>
      <c r="R302" s="1"/>
      <c r="S302" s="1"/>
      <c r="T302" s="1"/>
      <c r="U302" s="1"/>
      <c r="V302" s="1"/>
      <c r="W302" s="1"/>
      <c r="X302" s="1"/>
      <c r="Y302" s="1"/>
      <c r="Z302" s="1"/>
      <c r="AA302" s="1"/>
      <c r="AB302" s="1"/>
    </row>
    <row r="303" spans="1:28" ht="11.25" customHeight="1" x14ac:dyDescent="0.25">
      <c r="A303" s="825"/>
      <c r="B303" s="16"/>
      <c r="C303" s="16"/>
      <c r="D303" s="22"/>
      <c r="E303" s="262"/>
      <c r="F303" s="16"/>
      <c r="G303" s="16"/>
      <c r="H303" s="16"/>
      <c r="I303" s="16"/>
      <c r="J303" s="1"/>
      <c r="K303" s="1"/>
      <c r="L303" s="1"/>
      <c r="M303" s="262"/>
      <c r="N303" s="1"/>
      <c r="O303" s="1"/>
      <c r="P303" s="1"/>
      <c r="Q303" s="1"/>
      <c r="R303" s="1"/>
      <c r="S303" s="1"/>
      <c r="T303" s="1"/>
      <c r="U303" s="1"/>
      <c r="V303" s="1"/>
      <c r="W303" s="1"/>
      <c r="X303" s="1"/>
      <c r="Y303" s="1"/>
      <c r="Z303" s="1"/>
      <c r="AA303" s="1"/>
      <c r="AB303" s="1"/>
    </row>
    <row r="304" spans="1:28" ht="11.25" customHeight="1" x14ac:dyDescent="0.25">
      <c r="A304" s="825"/>
      <c r="B304" s="16"/>
      <c r="C304" s="16"/>
      <c r="D304" s="22"/>
      <c r="E304" s="262"/>
      <c r="F304" s="16"/>
      <c r="G304" s="16"/>
      <c r="H304" s="16"/>
      <c r="I304" s="16"/>
      <c r="J304" s="1"/>
      <c r="K304" s="1"/>
      <c r="L304" s="1"/>
      <c r="M304" s="262"/>
      <c r="N304" s="1"/>
      <c r="O304" s="1"/>
      <c r="P304" s="1"/>
      <c r="Q304" s="1"/>
      <c r="R304" s="1"/>
      <c r="S304" s="1"/>
      <c r="T304" s="1"/>
      <c r="U304" s="1"/>
      <c r="V304" s="1"/>
      <c r="W304" s="1"/>
      <c r="X304" s="1"/>
      <c r="Y304" s="1"/>
      <c r="Z304" s="1"/>
      <c r="AA304" s="1"/>
      <c r="AB304" s="1"/>
    </row>
    <row r="305" spans="1:28" ht="11.25" customHeight="1" x14ac:dyDescent="0.25">
      <c r="A305" s="825"/>
      <c r="B305" s="16"/>
      <c r="C305" s="16"/>
      <c r="D305" s="22"/>
      <c r="E305" s="262"/>
      <c r="F305" s="16"/>
      <c r="G305" s="16"/>
      <c r="H305" s="16"/>
      <c r="I305" s="16"/>
      <c r="J305" s="1"/>
      <c r="K305" s="1"/>
      <c r="L305" s="1"/>
      <c r="M305" s="262"/>
      <c r="N305" s="1"/>
      <c r="O305" s="1"/>
      <c r="P305" s="1"/>
      <c r="Q305" s="1"/>
      <c r="R305" s="1"/>
      <c r="S305" s="1"/>
      <c r="T305" s="1"/>
      <c r="U305" s="1"/>
      <c r="V305" s="1"/>
      <c r="W305" s="1"/>
      <c r="X305" s="1"/>
      <c r="Y305" s="1"/>
      <c r="Z305" s="1"/>
      <c r="AA305" s="1"/>
      <c r="AB305" s="1"/>
    </row>
    <row r="306" spans="1:28" ht="11.25" customHeight="1" x14ac:dyDescent="0.25">
      <c r="A306" s="825"/>
      <c r="B306" s="16"/>
      <c r="C306" s="16"/>
      <c r="D306" s="22"/>
      <c r="E306" s="262"/>
      <c r="F306" s="16"/>
      <c r="G306" s="16"/>
      <c r="H306" s="16"/>
      <c r="I306" s="16"/>
      <c r="J306" s="1"/>
      <c r="K306" s="1"/>
      <c r="L306" s="1"/>
      <c r="M306" s="262"/>
      <c r="N306" s="1"/>
      <c r="O306" s="1"/>
      <c r="P306" s="1"/>
      <c r="Q306" s="1"/>
      <c r="R306" s="1"/>
      <c r="S306" s="1"/>
      <c r="T306" s="1"/>
      <c r="U306" s="1"/>
      <c r="V306" s="1"/>
      <c r="W306" s="1"/>
      <c r="X306" s="1"/>
      <c r="Y306" s="1"/>
      <c r="Z306" s="1"/>
      <c r="AA306" s="1"/>
      <c r="AB306" s="1"/>
    </row>
    <row r="307" spans="1:28" ht="11.25" customHeight="1" x14ac:dyDescent="0.25">
      <c r="A307" s="825"/>
      <c r="B307" s="16"/>
      <c r="C307" s="16"/>
      <c r="D307" s="22"/>
      <c r="E307" s="262"/>
      <c r="F307" s="16"/>
      <c r="G307" s="16"/>
      <c r="H307" s="16"/>
      <c r="I307" s="16"/>
      <c r="J307" s="1"/>
      <c r="K307" s="1"/>
      <c r="L307" s="1"/>
      <c r="M307" s="262"/>
      <c r="N307" s="1"/>
      <c r="O307" s="1"/>
      <c r="P307" s="1"/>
      <c r="Q307" s="1"/>
      <c r="R307" s="1"/>
      <c r="S307" s="1"/>
      <c r="T307" s="1"/>
      <c r="U307" s="1"/>
      <c r="V307" s="1"/>
      <c r="W307" s="1"/>
      <c r="X307" s="1"/>
      <c r="Y307" s="1"/>
      <c r="Z307" s="1"/>
      <c r="AA307" s="1"/>
      <c r="AB307" s="1"/>
    </row>
    <row r="308" spans="1:28" ht="11.25" customHeight="1" x14ac:dyDescent="0.25">
      <c r="A308" s="825"/>
      <c r="B308" s="16"/>
      <c r="C308" s="16"/>
      <c r="D308" s="22"/>
      <c r="E308" s="262"/>
      <c r="F308" s="16"/>
      <c r="G308" s="16"/>
      <c r="H308" s="16"/>
      <c r="I308" s="16"/>
      <c r="J308" s="1"/>
      <c r="K308" s="1"/>
      <c r="L308" s="1"/>
      <c r="M308" s="262"/>
      <c r="N308" s="1"/>
      <c r="O308" s="1"/>
      <c r="P308" s="1"/>
      <c r="Q308" s="1"/>
      <c r="R308" s="1"/>
      <c r="S308" s="1"/>
      <c r="T308" s="1"/>
      <c r="U308" s="1"/>
      <c r="V308" s="1"/>
      <c r="W308" s="1"/>
      <c r="X308" s="1"/>
      <c r="Y308" s="1"/>
      <c r="Z308" s="1"/>
      <c r="AA308" s="1"/>
      <c r="AB308" s="1"/>
    </row>
    <row r="309" spans="1:28" ht="11.25" customHeight="1" x14ac:dyDescent="0.25">
      <c r="A309" s="825"/>
      <c r="B309" s="16"/>
      <c r="C309" s="16"/>
      <c r="D309" s="22"/>
      <c r="E309" s="262"/>
      <c r="F309" s="16"/>
      <c r="G309" s="16"/>
      <c r="H309" s="16"/>
      <c r="I309" s="16"/>
      <c r="J309" s="1"/>
      <c r="K309" s="1"/>
      <c r="L309" s="1"/>
      <c r="M309" s="262"/>
      <c r="N309" s="1"/>
      <c r="O309" s="1"/>
      <c r="P309" s="1"/>
      <c r="Q309" s="1"/>
      <c r="R309" s="1"/>
      <c r="S309" s="1"/>
      <c r="T309" s="1"/>
      <c r="U309" s="1"/>
      <c r="V309" s="1"/>
      <c r="W309" s="1"/>
      <c r="X309" s="1"/>
      <c r="Y309" s="1"/>
      <c r="Z309" s="1"/>
      <c r="AA309" s="1"/>
      <c r="AB309" s="1"/>
    </row>
    <row r="310" spans="1:28" ht="11.25" customHeight="1" x14ac:dyDescent="0.25">
      <c r="A310" s="825"/>
      <c r="B310" s="16"/>
      <c r="C310" s="16"/>
      <c r="D310" s="22"/>
      <c r="E310" s="262"/>
      <c r="F310" s="16"/>
      <c r="G310" s="16"/>
      <c r="H310" s="16"/>
      <c r="I310" s="16"/>
      <c r="J310" s="1"/>
      <c r="K310" s="1"/>
      <c r="L310" s="1"/>
      <c r="M310" s="262"/>
      <c r="N310" s="1"/>
      <c r="O310" s="1"/>
      <c r="P310" s="1"/>
      <c r="Q310" s="1"/>
      <c r="R310" s="1"/>
      <c r="S310" s="1"/>
      <c r="T310" s="1"/>
      <c r="U310" s="1"/>
      <c r="V310" s="1"/>
      <c r="W310" s="1"/>
      <c r="X310" s="1"/>
      <c r="Y310" s="1"/>
      <c r="Z310" s="1"/>
      <c r="AA310" s="1"/>
      <c r="AB310" s="1"/>
    </row>
    <row r="311" spans="1:28" ht="11.25" customHeight="1" x14ac:dyDescent="0.25">
      <c r="A311" s="825"/>
      <c r="B311" s="16"/>
      <c r="C311" s="16"/>
      <c r="D311" s="22"/>
      <c r="E311" s="262"/>
      <c r="F311" s="16"/>
      <c r="G311" s="16"/>
      <c r="H311" s="16"/>
      <c r="I311" s="16"/>
      <c r="J311" s="1"/>
      <c r="K311" s="1"/>
      <c r="L311" s="1"/>
      <c r="M311" s="262"/>
      <c r="N311" s="1"/>
      <c r="O311" s="1"/>
      <c r="P311" s="1"/>
      <c r="Q311" s="1"/>
      <c r="R311" s="1"/>
      <c r="S311" s="1"/>
      <c r="T311" s="1"/>
      <c r="U311" s="1"/>
      <c r="V311" s="1"/>
      <c r="W311" s="1"/>
      <c r="X311" s="1"/>
      <c r="Y311" s="1"/>
      <c r="Z311" s="1"/>
      <c r="AA311" s="1"/>
      <c r="AB311" s="1"/>
    </row>
    <row r="312" spans="1:28" ht="11.25" customHeight="1" x14ac:dyDescent="0.25">
      <c r="A312" s="825"/>
      <c r="B312" s="16"/>
      <c r="C312" s="16"/>
      <c r="D312" s="22"/>
      <c r="E312" s="262"/>
      <c r="F312" s="16"/>
      <c r="G312" s="16"/>
      <c r="H312" s="16"/>
      <c r="I312" s="16"/>
      <c r="J312" s="1"/>
      <c r="K312" s="1"/>
      <c r="L312" s="1"/>
      <c r="M312" s="262"/>
      <c r="N312" s="1"/>
      <c r="O312" s="1"/>
      <c r="P312" s="1"/>
      <c r="Q312" s="1"/>
      <c r="R312" s="1"/>
      <c r="S312" s="1"/>
      <c r="T312" s="1"/>
      <c r="U312" s="1"/>
      <c r="V312" s="1"/>
      <c r="W312" s="1"/>
      <c r="X312" s="1"/>
      <c r="Y312" s="1"/>
      <c r="Z312" s="1"/>
      <c r="AA312" s="1"/>
      <c r="AB312" s="1"/>
    </row>
    <row r="313" spans="1:28" ht="11.25" customHeight="1" x14ac:dyDescent="0.25">
      <c r="A313" s="825"/>
      <c r="B313" s="16"/>
      <c r="C313" s="16"/>
      <c r="D313" s="22"/>
      <c r="E313" s="262"/>
      <c r="F313" s="16"/>
      <c r="G313" s="16"/>
      <c r="H313" s="16"/>
      <c r="I313" s="16"/>
      <c r="J313" s="1"/>
      <c r="K313" s="1"/>
      <c r="L313" s="1"/>
      <c r="M313" s="262"/>
      <c r="N313" s="1"/>
      <c r="O313" s="1"/>
      <c r="P313" s="1"/>
      <c r="Q313" s="1"/>
      <c r="R313" s="1"/>
      <c r="S313" s="1"/>
      <c r="T313" s="1"/>
      <c r="U313" s="1"/>
      <c r="V313" s="1"/>
      <c r="W313" s="1"/>
      <c r="X313" s="1"/>
      <c r="Y313" s="1"/>
      <c r="Z313" s="1"/>
      <c r="AA313" s="1"/>
      <c r="AB313" s="1"/>
    </row>
    <row r="314" spans="1:28" ht="11.25" customHeight="1" x14ac:dyDescent="0.25">
      <c r="A314" s="825"/>
      <c r="B314" s="16"/>
      <c r="C314" s="16"/>
      <c r="D314" s="22"/>
      <c r="E314" s="262"/>
      <c r="F314" s="16"/>
      <c r="G314" s="16"/>
      <c r="H314" s="16"/>
      <c r="I314" s="16"/>
      <c r="J314" s="1"/>
      <c r="K314" s="1"/>
      <c r="L314" s="1"/>
      <c r="M314" s="262"/>
      <c r="N314" s="1"/>
      <c r="O314" s="1"/>
      <c r="P314" s="1"/>
      <c r="Q314" s="1"/>
      <c r="R314" s="1"/>
      <c r="S314" s="1"/>
      <c r="T314" s="1"/>
      <c r="U314" s="1"/>
      <c r="V314" s="1"/>
      <c r="W314" s="1"/>
      <c r="X314" s="1"/>
      <c r="Y314" s="1"/>
      <c r="Z314" s="1"/>
      <c r="AA314" s="1"/>
      <c r="AB314" s="1"/>
    </row>
    <row r="315" spans="1:28" ht="11.25" customHeight="1" x14ac:dyDescent="0.25">
      <c r="A315" s="825"/>
      <c r="B315" s="16"/>
      <c r="C315" s="16"/>
      <c r="D315" s="22"/>
      <c r="E315" s="262"/>
      <c r="F315" s="16"/>
      <c r="G315" s="16"/>
      <c r="H315" s="16"/>
      <c r="I315" s="16"/>
      <c r="J315" s="1"/>
      <c r="K315" s="1"/>
      <c r="L315" s="1"/>
      <c r="M315" s="262"/>
      <c r="N315" s="1"/>
      <c r="O315" s="1"/>
      <c r="P315" s="1"/>
      <c r="Q315" s="1"/>
      <c r="R315" s="1"/>
      <c r="S315" s="1"/>
      <c r="T315" s="1"/>
      <c r="U315" s="1"/>
      <c r="V315" s="1"/>
      <c r="W315" s="1"/>
      <c r="X315" s="1"/>
      <c r="Y315" s="1"/>
      <c r="Z315" s="1"/>
      <c r="AA315" s="1"/>
      <c r="AB315" s="1"/>
    </row>
    <row r="316" spans="1:28" ht="11.25" customHeight="1" x14ac:dyDescent="0.25">
      <c r="A316" s="825"/>
      <c r="B316" s="16"/>
      <c r="C316" s="16"/>
      <c r="D316" s="22"/>
      <c r="E316" s="262"/>
      <c r="F316" s="16"/>
      <c r="G316" s="16"/>
      <c r="H316" s="16"/>
      <c r="I316" s="16"/>
      <c r="J316" s="1"/>
      <c r="K316" s="1"/>
      <c r="L316" s="1"/>
      <c r="M316" s="262"/>
      <c r="N316" s="1"/>
      <c r="O316" s="1"/>
      <c r="P316" s="1"/>
      <c r="Q316" s="1"/>
      <c r="R316" s="1"/>
      <c r="S316" s="1"/>
      <c r="T316" s="1"/>
      <c r="U316" s="1"/>
      <c r="V316" s="1"/>
      <c r="W316" s="1"/>
      <c r="X316" s="1"/>
      <c r="Y316" s="1"/>
      <c r="Z316" s="1"/>
      <c r="AA316" s="1"/>
      <c r="AB316" s="1"/>
    </row>
    <row r="317" spans="1:28" ht="11.25" customHeight="1" x14ac:dyDescent="0.25">
      <c r="A317" s="825"/>
      <c r="B317" s="16"/>
      <c r="C317" s="16"/>
      <c r="D317" s="22"/>
      <c r="E317" s="262"/>
      <c r="F317" s="16"/>
      <c r="G317" s="16"/>
      <c r="H317" s="16"/>
      <c r="I317" s="16"/>
      <c r="J317" s="1"/>
      <c r="K317" s="1"/>
      <c r="L317" s="1"/>
      <c r="M317" s="262"/>
      <c r="N317" s="1"/>
      <c r="O317" s="1"/>
      <c r="P317" s="1"/>
      <c r="Q317" s="1"/>
      <c r="R317" s="1"/>
      <c r="S317" s="1"/>
      <c r="T317" s="1"/>
      <c r="U317" s="1"/>
      <c r="V317" s="1"/>
      <c r="W317" s="1"/>
      <c r="X317" s="1"/>
      <c r="Y317" s="1"/>
      <c r="Z317" s="1"/>
      <c r="AA317" s="1"/>
      <c r="AB317" s="1"/>
    </row>
    <row r="318" spans="1:28" ht="11.25" customHeight="1" x14ac:dyDescent="0.25">
      <c r="A318" s="825"/>
      <c r="B318" s="16"/>
      <c r="C318" s="16"/>
      <c r="D318" s="22"/>
      <c r="E318" s="262"/>
      <c r="F318" s="16"/>
      <c r="G318" s="16"/>
      <c r="H318" s="16"/>
      <c r="I318" s="16"/>
      <c r="J318" s="1"/>
      <c r="K318" s="1"/>
      <c r="L318" s="1"/>
      <c r="M318" s="262"/>
      <c r="N318" s="1"/>
      <c r="O318" s="1"/>
      <c r="P318" s="1"/>
      <c r="Q318" s="1"/>
      <c r="R318" s="1"/>
      <c r="S318" s="1"/>
      <c r="T318" s="1"/>
      <c r="U318" s="1"/>
      <c r="V318" s="1"/>
      <c r="W318" s="1"/>
      <c r="X318" s="1"/>
      <c r="Y318" s="1"/>
      <c r="Z318" s="1"/>
      <c r="AA318" s="1"/>
      <c r="AB318" s="1"/>
    </row>
    <row r="319" spans="1:28" ht="11.25" customHeight="1" x14ac:dyDescent="0.25">
      <c r="A319" s="825"/>
      <c r="B319" s="16"/>
      <c r="C319" s="16"/>
      <c r="D319" s="22"/>
      <c r="E319" s="262"/>
      <c r="F319" s="16"/>
      <c r="G319" s="16"/>
      <c r="H319" s="16"/>
      <c r="I319" s="16"/>
      <c r="J319" s="1"/>
      <c r="K319" s="1"/>
      <c r="L319" s="1"/>
      <c r="M319" s="262"/>
      <c r="N319" s="1"/>
      <c r="O319" s="1"/>
      <c r="P319" s="1"/>
      <c r="Q319" s="1"/>
      <c r="R319" s="1"/>
      <c r="S319" s="1"/>
      <c r="T319" s="1"/>
      <c r="U319" s="1"/>
      <c r="V319" s="1"/>
      <c r="W319" s="1"/>
      <c r="X319" s="1"/>
      <c r="Y319" s="1"/>
      <c r="Z319" s="1"/>
      <c r="AA319" s="1"/>
      <c r="AB319" s="1"/>
    </row>
    <row r="320" spans="1:28" ht="11.25" customHeight="1" x14ac:dyDescent="0.25">
      <c r="A320" s="825"/>
      <c r="B320" s="16"/>
      <c r="C320" s="16"/>
      <c r="D320" s="22"/>
      <c r="E320" s="262"/>
      <c r="F320" s="16"/>
      <c r="G320" s="16"/>
      <c r="H320" s="16"/>
      <c r="I320" s="16"/>
      <c r="J320" s="1"/>
      <c r="K320" s="1"/>
      <c r="L320" s="1"/>
      <c r="M320" s="262"/>
      <c r="N320" s="1"/>
      <c r="O320" s="1"/>
      <c r="P320" s="1"/>
      <c r="Q320" s="1"/>
      <c r="R320" s="1"/>
      <c r="S320" s="1"/>
      <c r="T320" s="1"/>
      <c r="U320" s="1"/>
      <c r="V320" s="1"/>
      <c r="W320" s="1"/>
      <c r="X320" s="1"/>
      <c r="Y320" s="1"/>
      <c r="Z320" s="1"/>
      <c r="AA320" s="1"/>
      <c r="AB320" s="1"/>
    </row>
    <row r="321" spans="1:28" ht="11.25" customHeight="1" x14ac:dyDescent="0.25">
      <c r="A321" s="825"/>
      <c r="B321" s="16"/>
      <c r="C321" s="16"/>
      <c r="D321" s="22"/>
      <c r="E321" s="262"/>
      <c r="F321" s="16"/>
      <c r="G321" s="16"/>
      <c r="H321" s="16"/>
      <c r="I321" s="16"/>
      <c r="J321" s="1"/>
      <c r="K321" s="1"/>
      <c r="L321" s="1"/>
      <c r="M321" s="262"/>
      <c r="N321" s="1"/>
      <c r="O321" s="1"/>
      <c r="P321" s="1"/>
      <c r="Q321" s="1"/>
      <c r="R321" s="1"/>
      <c r="S321" s="1"/>
      <c r="T321" s="1"/>
      <c r="U321" s="1"/>
      <c r="V321" s="1"/>
      <c r="W321" s="1"/>
      <c r="X321" s="1"/>
      <c r="Y321" s="1"/>
      <c r="Z321" s="1"/>
      <c r="AA321" s="1"/>
      <c r="AB321" s="1"/>
    </row>
    <row r="322" spans="1:28" ht="11.25" customHeight="1" x14ac:dyDescent="0.25">
      <c r="A322" s="825"/>
      <c r="B322" s="16"/>
      <c r="C322" s="16"/>
      <c r="D322" s="22"/>
      <c r="E322" s="262"/>
      <c r="F322" s="16"/>
      <c r="G322" s="16"/>
      <c r="H322" s="16"/>
      <c r="I322" s="16"/>
      <c r="J322" s="1"/>
      <c r="K322" s="1"/>
      <c r="L322" s="1"/>
      <c r="M322" s="262"/>
      <c r="N322" s="1"/>
      <c r="O322" s="1"/>
      <c r="P322" s="1"/>
      <c r="Q322" s="1"/>
      <c r="R322" s="1"/>
      <c r="S322" s="1"/>
      <c r="T322" s="1"/>
      <c r="U322" s="1"/>
      <c r="V322" s="1"/>
      <c r="W322" s="1"/>
      <c r="X322" s="1"/>
      <c r="Y322" s="1"/>
      <c r="Z322" s="1"/>
      <c r="AA322" s="1"/>
      <c r="AB322" s="1"/>
    </row>
    <row r="323" spans="1:28" ht="11.25" customHeight="1" x14ac:dyDescent="0.25">
      <c r="A323" s="825"/>
      <c r="B323" s="16"/>
      <c r="C323" s="16"/>
      <c r="D323" s="22"/>
      <c r="E323" s="262"/>
      <c r="F323" s="16"/>
      <c r="G323" s="16"/>
      <c r="H323" s="16"/>
      <c r="I323" s="16"/>
      <c r="J323" s="1"/>
      <c r="K323" s="1"/>
      <c r="L323" s="1"/>
      <c r="M323" s="262"/>
      <c r="N323" s="1"/>
      <c r="O323" s="1"/>
      <c r="P323" s="1"/>
      <c r="Q323" s="1"/>
      <c r="R323" s="1"/>
      <c r="S323" s="1"/>
      <c r="T323" s="1"/>
      <c r="U323" s="1"/>
      <c r="V323" s="1"/>
      <c r="W323" s="1"/>
      <c r="X323" s="1"/>
      <c r="Y323" s="1"/>
      <c r="Z323" s="1"/>
      <c r="AA323" s="1"/>
      <c r="AB323" s="1"/>
    </row>
    <row r="324" spans="1:28" ht="11.25" customHeight="1" x14ac:dyDescent="0.25">
      <c r="A324" s="825"/>
      <c r="B324" s="16"/>
      <c r="C324" s="16"/>
      <c r="D324" s="22"/>
      <c r="E324" s="262"/>
      <c r="F324" s="16"/>
      <c r="G324" s="16"/>
      <c r="H324" s="16"/>
      <c r="I324" s="16"/>
      <c r="J324" s="1"/>
      <c r="K324" s="1"/>
      <c r="L324" s="1"/>
      <c r="M324" s="262"/>
      <c r="N324" s="1"/>
      <c r="O324" s="1"/>
      <c r="P324" s="1"/>
      <c r="Q324" s="1"/>
      <c r="R324" s="1"/>
      <c r="S324" s="1"/>
      <c r="T324" s="1"/>
      <c r="U324" s="1"/>
      <c r="V324" s="1"/>
      <c r="W324" s="1"/>
      <c r="X324" s="1"/>
      <c r="Y324" s="1"/>
      <c r="Z324" s="1"/>
      <c r="AA324" s="1"/>
      <c r="AB324" s="1"/>
    </row>
    <row r="325" spans="1:28" ht="11.25" customHeight="1" x14ac:dyDescent="0.25">
      <c r="A325" s="825"/>
      <c r="B325" s="16"/>
      <c r="C325" s="16"/>
      <c r="D325" s="22"/>
      <c r="E325" s="262"/>
      <c r="F325" s="16"/>
      <c r="G325" s="16"/>
      <c r="H325" s="16"/>
      <c r="I325" s="16"/>
      <c r="J325" s="1"/>
      <c r="K325" s="1"/>
      <c r="L325" s="1"/>
      <c r="M325" s="262"/>
      <c r="N325" s="1"/>
      <c r="O325" s="1"/>
      <c r="P325" s="1"/>
      <c r="Q325" s="1"/>
      <c r="R325" s="1"/>
      <c r="S325" s="1"/>
      <c r="T325" s="1"/>
      <c r="U325" s="1"/>
      <c r="V325" s="1"/>
      <c r="W325" s="1"/>
      <c r="X325" s="1"/>
      <c r="Y325" s="1"/>
      <c r="Z325" s="1"/>
      <c r="AA325" s="1"/>
      <c r="AB325" s="1"/>
    </row>
    <row r="326" spans="1:28" ht="11.25" customHeight="1" x14ac:dyDescent="0.25">
      <c r="A326" s="825"/>
      <c r="B326" s="16"/>
      <c r="C326" s="16"/>
      <c r="D326" s="22"/>
      <c r="E326" s="262"/>
      <c r="F326" s="16"/>
      <c r="G326" s="16"/>
      <c r="H326" s="16"/>
      <c r="I326" s="16"/>
      <c r="J326" s="1"/>
      <c r="K326" s="1"/>
      <c r="L326" s="1"/>
      <c r="M326" s="262"/>
      <c r="N326" s="1"/>
      <c r="O326" s="1"/>
      <c r="P326" s="1"/>
      <c r="Q326" s="1"/>
      <c r="R326" s="1"/>
      <c r="S326" s="1"/>
      <c r="T326" s="1"/>
      <c r="U326" s="1"/>
      <c r="V326" s="1"/>
      <c r="W326" s="1"/>
      <c r="X326" s="1"/>
      <c r="Y326" s="1"/>
      <c r="Z326" s="1"/>
      <c r="AA326" s="1"/>
      <c r="AB326" s="1"/>
    </row>
    <row r="327" spans="1:28" ht="11.25" customHeight="1" x14ac:dyDescent="0.25">
      <c r="A327" s="825"/>
      <c r="B327" s="16"/>
      <c r="C327" s="16"/>
      <c r="D327" s="22"/>
      <c r="E327" s="262"/>
      <c r="F327" s="16"/>
      <c r="G327" s="16"/>
      <c r="H327" s="16"/>
      <c r="I327" s="16"/>
      <c r="J327" s="1"/>
      <c r="K327" s="1"/>
      <c r="L327" s="1"/>
      <c r="M327" s="262"/>
      <c r="N327" s="1"/>
      <c r="O327" s="1"/>
      <c r="P327" s="1"/>
      <c r="Q327" s="1"/>
      <c r="R327" s="1"/>
      <c r="S327" s="1"/>
      <c r="T327" s="1"/>
      <c r="U327" s="1"/>
      <c r="V327" s="1"/>
      <c r="W327" s="1"/>
      <c r="X327" s="1"/>
      <c r="Y327" s="1"/>
      <c r="Z327" s="1"/>
      <c r="AA327" s="1"/>
      <c r="AB327" s="1"/>
    </row>
    <row r="328" spans="1:28" ht="11.25" customHeight="1" x14ac:dyDescent="0.25">
      <c r="A328" s="825"/>
      <c r="B328" s="16"/>
      <c r="C328" s="16"/>
      <c r="D328" s="22"/>
      <c r="E328" s="262"/>
      <c r="F328" s="16"/>
      <c r="G328" s="16"/>
      <c r="H328" s="16"/>
      <c r="I328" s="16"/>
      <c r="J328" s="1"/>
      <c r="K328" s="1"/>
      <c r="L328" s="1"/>
      <c r="M328" s="262"/>
      <c r="N328" s="1"/>
      <c r="O328" s="1"/>
      <c r="P328" s="1"/>
      <c r="Q328" s="1"/>
      <c r="R328" s="1"/>
      <c r="S328" s="1"/>
      <c r="T328" s="1"/>
      <c r="U328" s="1"/>
      <c r="V328" s="1"/>
      <c r="W328" s="1"/>
      <c r="X328" s="1"/>
      <c r="Y328" s="1"/>
      <c r="Z328" s="1"/>
      <c r="AA328" s="1"/>
      <c r="AB328" s="1"/>
    </row>
    <row r="329" spans="1:28" ht="11.25" customHeight="1" x14ac:dyDescent="0.25">
      <c r="A329" s="825"/>
      <c r="B329" s="16"/>
      <c r="C329" s="16"/>
      <c r="D329" s="22"/>
      <c r="E329" s="262"/>
      <c r="F329" s="16"/>
      <c r="G329" s="16"/>
      <c r="H329" s="16"/>
      <c r="I329" s="16"/>
      <c r="J329" s="1"/>
      <c r="K329" s="1"/>
      <c r="L329" s="1"/>
      <c r="M329" s="262"/>
      <c r="N329" s="1"/>
      <c r="O329" s="1"/>
      <c r="P329" s="1"/>
      <c r="Q329" s="1"/>
      <c r="R329" s="1"/>
      <c r="S329" s="1"/>
      <c r="T329" s="1"/>
      <c r="U329" s="1"/>
      <c r="V329" s="1"/>
      <c r="W329" s="1"/>
      <c r="X329" s="1"/>
      <c r="Y329" s="1"/>
      <c r="Z329" s="1"/>
      <c r="AA329" s="1"/>
      <c r="AB329" s="1"/>
    </row>
    <row r="330" spans="1:28" ht="11.25" customHeight="1" x14ac:dyDescent="0.25">
      <c r="A330" s="825"/>
      <c r="B330" s="16"/>
      <c r="C330" s="16"/>
      <c r="D330" s="22"/>
      <c r="E330" s="262"/>
      <c r="F330" s="16"/>
      <c r="G330" s="16"/>
      <c r="H330" s="16"/>
      <c r="I330" s="16"/>
      <c r="J330" s="1"/>
      <c r="K330" s="1"/>
      <c r="L330" s="1"/>
      <c r="M330" s="262"/>
      <c r="N330" s="1"/>
      <c r="O330" s="1"/>
      <c r="P330" s="1"/>
      <c r="Q330" s="1"/>
      <c r="R330" s="1"/>
      <c r="S330" s="1"/>
      <c r="T330" s="1"/>
      <c r="U330" s="1"/>
      <c r="V330" s="1"/>
      <c r="W330" s="1"/>
      <c r="X330" s="1"/>
      <c r="Y330" s="1"/>
      <c r="Z330" s="1"/>
      <c r="AA330" s="1"/>
      <c r="AB330" s="1"/>
    </row>
    <row r="331" spans="1:28" ht="11.25" customHeight="1" x14ac:dyDescent="0.25">
      <c r="A331" s="825"/>
      <c r="B331" s="16"/>
      <c r="C331" s="16"/>
      <c r="D331" s="22"/>
      <c r="E331" s="262"/>
      <c r="F331" s="16"/>
      <c r="G331" s="16"/>
      <c r="H331" s="16"/>
      <c r="I331" s="16"/>
      <c r="J331" s="1"/>
      <c r="K331" s="1"/>
      <c r="L331" s="1"/>
      <c r="M331" s="262"/>
      <c r="N331" s="1"/>
      <c r="O331" s="1"/>
      <c r="P331" s="1"/>
      <c r="Q331" s="1"/>
      <c r="R331" s="1"/>
      <c r="S331" s="1"/>
      <c r="T331" s="1"/>
      <c r="U331" s="1"/>
      <c r="V331" s="1"/>
      <c r="W331" s="1"/>
      <c r="X331" s="1"/>
      <c r="Y331" s="1"/>
      <c r="Z331" s="1"/>
      <c r="AA331" s="1"/>
      <c r="AB331" s="1"/>
    </row>
    <row r="332" spans="1:28" ht="11.25" customHeight="1" x14ac:dyDescent="0.25">
      <c r="A332" s="825"/>
      <c r="B332" s="16"/>
      <c r="C332" s="16"/>
      <c r="D332" s="22"/>
      <c r="E332" s="262"/>
      <c r="F332" s="16"/>
      <c r="G332" s="16"/>
      <c r="H332" s="16"/>
      <c r="I332" s="16"/>
      <c r="J332" s="1"/>
      <c r="K332" s="1"/>
      <c r="L332" s="1"/>
      <c r="M332" s="262"/>
      <c r="N332" s="1"/>
      <c r="O332" s="1"/>
      <c r="P332" s="1"/>
      <c r="Q332" s="1"/>
      <c r="R332" s="1"/>
      <c r="S332" s="1"/>
      <c r="T332" s="1"/>
      <c r="U332" s="1"/>
      <c r="V332" s="1"/>
      <c r="W332" s="1"/>
      <c r="X332" s="1"/>
      <c r="Y332" s="1"/>
      <c r="Z332" s="1"/>
      <c r="AA332" s="1"/>
      <c r="AB332" s="1"/>
    </row>
    <row r="333" spans="1:28" ht="11.25" customHeight="1" x14ac:dyDescent="0.25">
      <c r="A333" s="825"/>
      <c r="B333" s="16"/>
      <c r="C333" s="16"/>
      <c r="D333" s="22"/>
      <c r="E333" s="262"/>
      <c r="F333" s="16"/>
      <c r="G333" s="16"/>
      <c r="H333" s="16"/>
      <c r="I333" s="16"/>
      <c r="J333" s="1"/>
      <c r="K333" s="1"/>
      <c r="L333" s="1"/>
      <c r="M333" s="262"/>
      <c r="N333" s="1"/>
      <c r="O333" s="1"/>
      <c r="P333" s="1"/>
      <c r="Q333" s="1"/>
      <c r="R333" s="1"/>
      <c r="S333" s="1"/>
      <c r="T333" s="1"/>
      <c r="U333" s="1"/>
      <c r="V333" s="1"/>
      <c r="W333" s="1"/>
      <c r="X333" s="1"/>
      <c r="Y333" s="1"/>
      <c r="Z333" s="1"/>
      <c r="AA333" s="1"/>
      <c r="AB333" s="1"/>
    </row>
    <row r="334" spans="1:28" ht="11.25" customHeight="1" x14ac:dyDescent="0.25">
      <c r="A334" s="825"/>
      <c r="B334" s="16"/>
      <c r="C334" s="16"/>
      <c r="D334" s="22"/>
      <c r="E334" s="262"/>
      <c r="F334" s="16"/>
      <c r="G334" s="16"/>
      <c r="H334" s="16"/>
      <c r="I334" s="16"/>
      <c r="J334" s="1"/>
      <c r="K334" s="1"/>
      <c r="L334" s="1"/>
      <c r="M334" s="262"/>
      <c r="N334" s="1"/>
      <c r="O334" s="1"/>
      <c r="P334" s="1"/>
      <c r="Q334" s="1"/>
      <c r="R334" s="1"/>
      <c r="S334" s="1"/>
      <c r="T334" s="1"/>
      <c r="U334" s="1"/>
      <c r="V334" s="1"/>
      <c r="W334" s="1"/>
      <c r="X334" s="1"/>
      <c r="Y334" s="1"/>
      <c r="Z334" s="1"/>
      <c r="AA334" s="1"/>
      <c r="AB334" s="1"/>
    </row>
    <row r="335" spans="1:28" ht="11.25" customHeight="1" x14ac:dyDescent="0.25">
      <c r="A335" s="825"/>
      <c r="B335" s="16"/>
      <c r="C335" s="16"/>
      <c r="D335" s="22"/>
      <c r="E335" s="262"/>
      <c r="F335" s="16"/>
      <c r="G335" s="16"/>
      <c r="H335" s="16"/>
      <c r="I335" s="16"/>
      <c r="J335" s="1"/>
      <c r="K335" s="1"/>
      <c r="L335" s="1"/>
      <c r="M335" s="262"/>
      <c r="N335" s="1"/>
      <c r="O335" s="1"/>
      <c r="P335" s="1"/>
      <c r="Q335" s="1"/>
      <c r="R335" s="1"/>
      <c r="S335" s="1"/>
      <c r="T335" s="1"/>
      <c r="U335" s="1"/>
      <c r="V335" s="1"/>
      <c r="W335" s="1"/>
      <c r="X335" s="1"/>
      <c r="Y335" s="1"/>
      <c r="Z335" s="1"/>
      <c r="AA335" s="1"/>
      <c r="AB335" s="1"/>
    </row>
    <row r="336" spans="1:28" ht="11.25" customHeight="1" x14ac:dyDescent="0.25">
      <c r="A336" s="825"/>
      <c r="B336" s="16"/>
      <c r="C336" s="16"/>
      <c r="D336" s="22"/>
      <c r="E336" s="262"/>
      <c r="F336" s="16"/>
      <c r="G336" s="16"/>
      <c r="H336" s="16"/>
      <c r="I336" s="16"/>
      <c r="J336" s="1"/>
      <c r="K336" s="1"/>
      <c r="L336" s="1"/>
      <c r="M336" s="262"/>
      <c r="N336" s="1"/>
      <c r="O336" s="1"/>
      <c r="P336" s="1"/>
      <c r="Q336" s="1"/>
      <c r="R336" s="1"/>
      <c r="S336" s="1"/>
      <c r="T336" s="1"/>
      <c r="U336" s="1"/>
      <c r="V336" s="1"/>
      <c r="W336" s="1"/>
      <c r="X336" s="1"/>
      <c r="Y336" s="1"/>
      <c r="Z336" s="1"/>
      <c r="AA336" s="1"/>
      <c r="AB336" s="1"/>
    </row>
    <row r="337" spans="1:28" ht="11.25" customHeight="1" x14ac:dyDescent="0.25">
      <c r="A337" s="825"/>
      <c r="B337" s="16"/>
      <c r="C337" s="16"/>
      <c r="D337" s="22"/>
      <c r="E337" s="262"/>
      <c r="F337" s="16"/>
      <c r="G337" s="16"/>
      <c r="H337" s="16"/>
      <c r="I337" s="16"/>
      <c r="J337" s="1"/>
      <c r="K337" s="1"/>
      <c r="L337" s="1"/>
      <c r="M337" s="262"/>
      <c r="N337" s="1"/>
      <c r="O337" s="1"/>
      <c r="P337" s="1"/>
      <c r="Q337" s="1"/>
      <c r="R337" s="1"/>
      <c r="S337" s="1"/>
      <c r="T337" s="1"/>
      <c r="U337" s="1"/>
      <c r="V337" s="1"/>
      <c r="W337" s="1"/>
      <c r="X337" s="1"/>
      <c r="Y337" s="1"/>
      <c r="Z337" s="1"/>
      <c r="AA337" s="1"/>
      <c r="AB337" s="1"/>
    </row>
    <row r="338" spans="1:28" ht="11.25" customHeight="1" x14ac:dyDescent="0.25">
      <c r="A338" s="825"/>
      <c r="B338" s="16"/>
      <c r="C338" s="16"/>
      <c r="D338" s="22"/>
      <c r="E338" s="262"/>
      <c r="F338" s="16"/>
      <c r="G338" s="16"/>
      <c r="H338" s="16"/>
      <c r="I338" s="16"/>
      <c r="J338" s="1"/>
      <c r="K338" s="1"/>
      <c r="L338" s="1"/>
      <c r="M338" s="262"/>
      <c r="N338" s="1"/>
      <c r="O338" s="1"/>
      <c r="P338" s="1"/>
      <c r="Q338" s="1"/>
      <c r="R338" s="1"/>
      <c r="S338" s="1"/>
      <c r="T338" s="1"/>
      <c r="U338" s="1"/>
      <c r="V338" s="1"/>
      <c r="W338" s="1"/>
      <c r="X338" s="1"/>
      <c r="Y338" s="1"/>
      <c r="Z338" s="1"/>
      <c r="AA338" s="1"/>
      <c r="AB338" s="1"/>
    </row>
    <row r="339" spans="1:28" ht="11.25" customHeight="1" x14ac:dyDescent="0.25">
      <c r="A339" s="825"/>
      <c r="B339" s="16"/>
      <c r="C339" s="16"/>
      <c r="D339" s="22"/>
      <c r="E339" s="262"/>
      <c r="F339" s="16"/>
      <c r="G339" s="16"/>
      <c r="H339" s="16"/>
      <c r="I339" s="16"/>
      <c r="J339" s="1"/>
      <c r="K339" s="1"/>
      <c r="L339" s="1"/>
      <c r="M339" s="262"/>
      <c r="N339" s="1"/>
      <c r="O339" s="1"/>
      <c r="P339" s="1"/>
      <c r="Q339" s="1"/>
      <c r="R339" s="1"/>
      <c r="S339" s="1"/>
      <c r="T339" s="1"/>
      <c r="U339" s="1"/>
      <c r="V339" s="1"/>
      <c r="W339" s="1"/>
      <c r="X339" s="1"/>
      <c r="Y339" s="1"/>
      <c r="Z339" s="1"/>
      <c r="AA339" s="1"/>
      <c r="AB339" s="1"/>
    </row>
    <row r="340" spans="1:28" ht="11.25" customHeight="1" x14ac:dyDescent="0.25">
      <c r="A340" s="825"/>
      <c r="B340" s="16"/>
      <c r="C340" s="16"/>
      <c r="D340" s="22"/>
      <c r="E340" s="262"/>
      <c r="F340" s="16"/>
      <c r="G340" s="16"/>
      <c r="H340" s="16"/>
      <c r="I340" s="16"/>
      <c r="J340" s="1"/>
      <c r="K340" s="1"/>
      <c r="L340" s="1"/>
      <c r="M340" s="262"/>
      <c r="N340" s="1"/>
      <c r="O340" s="1"/>
      <c r="P340" s="1"/>
      <c r="Q340" s="1"/>
      <c r="R340" s="1"/>
      <c r="S340" s="1"/>
      <c r="T340" s="1"/>
      <c r="U340" s="1"/>
      <c r="V340" s="1"/>
      <c r="W340" s="1"/>
      <c r="X340" s="1"/>
      <c r="Y340" s="1"/>
      <c r="Z340" s="1"/>
      <c r="AA340" s="1"/>
      <c r="AB340" s="1"/>
    </row>
    <row r="341" spans="1:28" ht="11.25" customHeight="1" x14ac:dyDescent="0.25">
      <c r="A341" s="825"/>
      <c r="B341" s="16"/>
      <c r="C341" s="16"/>
      <c r="D341" s="22"/>
      <c r="E341" s="262"/>
      <c r="F341" s="16"/>
      <c r="G341" s="16"/>
      <c r="H341" s="16"/>
      <c r="I341" s="16"/>
      <c r="J341" s="1"/>
      <c r="K341" s="1"/>
      <c r="L341" s="1"/>
      <c r="M341" s="262"/>
      <c r="N341" s="1"/>
      <c r="O341" s="1"/>
      <c r="P341" s="1"/>
      <c r="Q341" s="1"/>
      <c r="R341" s="1"/>
      <c r="S341" s="1"/>
      <c r="T341" s="1"/>
      <c r="U341" s="1"/>
      <c r="V341" s="1"/>
      <c r="W341" s="1"/>
      <c r="X341" s="1"/>
      <c r="Y341" s="1"/>
      <c r="Z341" s="1"/>
      <c r="AA341" s="1"/>
      <c r="AB341" s="1"/>
    </row>
    <row r="342" spans="1:28" ht="11.25" customHeight="1" x14ac:dyDescent="0.25">
      <c r="A342" s="825"/>
      <c r="B342" s="16"/>
      <c r="C342" s="16"/>
      <c r="D342" s="22"/>
      <c r="E342" s="262"/>
      <c r="F342" s="16"/>
      <c r="G342" s="16"/>
      <c r="H342" s="16"/>
      <c r="I342" s="16"/>
      <c r="J342" s="1"/>
      <c r="K342" s="1"/>
      <c r="L342" s="1"/>
      <c r="M342" s="262"/>
      <c r="N342" s="1"/>
      <c r="O342" s="1"/>
      <c r="P342" s="1"/>
      <c r="Q342" s="1"/>
      <c r="R342" s="1"/>
      <c r="S342" s="1"/>
      <c r="T342" s="1"/>
      <c r="U342" s="1"/>
      <c r="V342" s="1"/>
      <c r="W342" s="1"/>
      <c r="X342" s="1"/>
      <c r="Y342" s="1"/>
      <c r="Z342" s="1"/>
      <c r="AA342" s="1"/>
      <c r="AB342" s="1"/>
    </row>
    <row r="343" spans="1:28" ht="11.25" customHeight="1" x14ac:dyDescent="0.25">
      <c r="A343" s="825"/>
      <c r="B343" s="16"/>
      <c r="C343" s="16"/>
      <c r="D343" s="22"/>
      <c r="E343" s="262"/>
      <c r="F343" s="16"/>
      <c r="G343" s="16"/>
      <c r="H343" s="16"/>
      <c r="I343" s="16"/>
      <c r="J343" s="1"/>
      <c r="K343" s="1"/>
      <c r="L343" s="1"/>
      <c r="M343" s="262"/>
      <c r="N343" s="1"/>
      <c r="O343" s="1"/>
      <c r="P343" s="1"/>
      <c r="Q343" s="1"/>
      <c r="R343" s="1"/>
      <c r="S343" s="1"/>
      <c r="T343" s="1"/>
      <c r="U343" s="1"/>
      <c r="V343" s="1"/>
      <c r="W343" s="1"/>
      <c r="X343" s="1"/>
      <c r="Y343" s="1"/>
      <c r="Z343" s="1"/>
      <c r="AA343" s="1"/>
      <c r="AB343" s="1"/>
    </row>
    <row r="344" spans="1:28" ht="11.25" customHeight="1" x14ac:dyDescent="0.25">
      <c r="A344" s="825"/>
      <c r="B344" s="16"/>
      <c r="C344" s="16"/>
      <c r="D344" s="22"/>
      <c r="E344" s="262"/>
      <c r="F344" s="16"/>
      <c r="G344" s="16"/>
      <c r="H344" s="16"/>
      <c r="I344" s="16"/>
      <c r="J344" s="1"/>
      <c r="K344" s="1"/>
      <c r="L344" s="1"/>
      <c r="M344" s="262"/>
      <c r="N344" s="1"/>
      <c r="O344" s="1"/>
      <c r="P344" s="1"/>
      <c r="Q344" s="1"/>
      <c r="R344" s="1"/>
      <c r="S344" s="1"/>
      <c r="T344" s="1"/>
      <c r="U344" s="1"/>
      <c r="V344" s="1"/>
      <c r="W344" s="1"/>
      <c r="X344" s="1"/>
      <c r="Y344" s="1"/>
      <c r="Z344" s="1"/>
      <c r="AA344" s="1"/>
      <c r="AB344" s="1"/>
    </row>
    <row r="345" spans="1:28" ht="11.25" customHeight="1" x14ac:dyDescent="0.25">
      <c r="A345" s="825"/>
      <c r="B345" s="16"/>
      <c r="C345" s="16"/>
      <c r="D345" s="22"/>
      <c r="E345" s="262"/>
      <c r="F345" s="16"/>
      <c r="G345" s="16"/>
      <c r="H345" s="16"/>
      <c r="I345" s="16"/>
      <c r="J345" s="1"/>
      <c r="K345" s="1"/>
      <c r="L345" s="1"/>
      <c r="M345" s="262"/>
      <c r="N345" s="1"/>
      <c r="O345" s="1"/>
      <c r="P345" s="1"/>
      <c r="Q345" s="1"/>
      <c r="R345" s="1"/>
      <c r="S345" s="1"/>
      <c r="T345" s="1"/>
      <c r="U345" s="1"/>
      <c r="V345" s="1"/>
      <c r="W345" s="1"/>
      <c r="X345" s="1"/>
      <c r="Y345" s="1"/>
      <c r="Z345" s="1"/>
      <c r="AA345" s="1"/>
      <c r="AB345" s="1"/>
    </row>
    <row r="346" spans="1:28" ht="11.25" customHeight="1" x14ac:dyDescent="0.25">
      <c r="A346" s="825"/>
      <c r="B346" s="16"/>
      <c r="C346" s="16"/>
      <c r="D346" s="22"/>
      <c r="E346" s="262"/>
      <c r="F346" s="16"/>
      <c r="G346" s="16"/>
      <c r="H346" s="16"/>
      <c r="I346" s="16"/>
      <c r="J346" s="1"/>
      <c r="K346" s="1"/>
      <c r="L346" s="1"/>
      <c r="M346" s="262"/>
      <c r="N346" s="1"/>
      <c r="O346" s="1"/>
      <c r="P346" s="1"/>
      <c r="Q346" s="1"/>
      <c r="R346" s="1"/>
      <c r="S346" s="1"/>
      <c r="T346" s="1"/>
      <c r="U346" s="1"/>
      <c r="V346" s="1"/>
      <c r="W346" s="1"/>
      <c r="X346" s="1"/>
      <c r="Y346" s="1"/>
      <c r="Z346" s="1"/>
      <c r="AA346" s="1"/>
      <c r="AB346" s="1"/>
    </row>
    <row r="347" spans="1:28" ht="11.25" customHeight="1" x14ac:dyDescent="0.25">
      <c r="A347" s="825"/>
      <c r="B347" s="16"/>
      <c r="C347" s="16"/>
      <c r="D347" s="22"/>
      <c r="E347" s="262"/>
      <c r="F347" s="16"/>
      <c r="G347" s="16"/>
      <c r="H347" s="16"/>
      <c r="I347" s="16"/>
      <c r="J347" s="1"/>
      <c r="K347" s="1"/>
      <c r="L347" s="1"/>
      <c r="M347" s="262"/>
      <c r="N347" s="1"/>
      <c r="O347" s="1"/>
      <c r="P347" s="1"/>
      <c r="Q347" s="1"/>
      <c r="R347" s="1"/>
      <c r="S347" s="1"/>
      <c r="T347" s="1"/>
      <c r="U347" s="1"/>
      <c r="V347" s="1"/>
      <c r="W347" s="1"/>
      <c r="X347" s="1"/>
      <c r="Y347" s="1"/>
      <c r="Z347" s="1"/>
      <c r="AA347" s="1"/>
      <c r="AB347" s="1"/>
    </row>
    <row r="348" spans="1:28" ht="11.25" customHeight="1" x14ac:dyDescent="0.25">
      <c r="A348" s="825"/>
      <c r="B348" s="16"/>
      <c r="C348" s="16"/>
      <c r="D348" s="22"/>
      <c r="E348" s="262"/>
      <c r="F348" s="16"/>
      <c r="G348" s="16"/>
      <c r="H348" s="16"/>
      <c r="I348" s="16"/>
      <c r="J348" s="1"/>
      <c r="K348" s="1"/>
      <c r="L348" s="1"/>
      <c r="M348" s="262"/>
      <c r="N348" s="1"/>
      <c r="O348" s="1"/>
      <c r="P348" s="1"/>
      <c r="Q348" s="1"/>
      <c r="R348" s="1"/>
      <c r="S348" s="1"/>
      <c r="T348" s="1"/>
      <c r="U348" s="1"/>
      <c r="V348" s="1"/>
      <c r="W348" s="1"/>
      <c r="X348" s="1"/>
      <c r="Y348" s="1"/>
      <c r="Z348" s="1"/>
      <c r="AA348" s="1"/>
      <c r="AB348" s="1"/>
    </row>
    <row r="349" spans="1:28" ht="11.25" customHeight="1" x14ac:dyDescent="0.25">
      <c r="A349" s="825"/>
      <c r="B349" s="16"/>
      <c r="C349" s="16"/>
      <c r="D349" s="22"/>
      <c r="E349" s="262"/>
      <c r="F349" s="16"/>
      <c r="G349" s="16"/>
      <c r="H349" s="16"/>
      <c r="I349" s="16"/>
      <c r="J349" s="1"/>
      <c r="K349" s="1"/>
      <c r="L349" s="1"/>
      <c r="M349" s="262"/>
      <c r="N349" s="1"/>
      <c r="O349" s="1"/>
      <c r="P349" s="1"/>
      <c r="Q349" s="1"/>
      <c r="R349" s="1"/>
      <c r="S349" s="1"/>
      <c r="T349" s="1"/>
      <c r="U349" s="1"/>
      <c r="V349" s="1"/>
      <c r="W349" s="1"/>
      <c r="X349" s="1"/>
      <c r="Y349" s="1"/>
      <c r="Z349" s="1"/>
      <c r="AA349" s="1"/>
      <c r="AB349" s="1"/>
    </row>
    <row r="350" spans="1:28" ht="11.25" customHeight="1" x14ac:dyDescent="0.25">
      <c r="A350" s="825"/>
      <c r="B350" s="16"/>
      <c r="C350" s="16"/>
      <c r="D350" s="22"/>
      <c r="E350" s="262"/>
      <c r="F350" s="16"/>
      <c r="G350" s="16"/>
      <c r="H350" s="16"/>
      <c r="I350" s="16"/>
      <c r="J350" s="1"/>
      <c r="K350" s="1"/>
      <c r="L350" s="1"/>
      <c r="M350" s="262"/>
      <c r="N350" s="1"/>
      <c r="O350" s="1"/>
      <c r="P350" s="1"/>
      <c r="Q350" s="1"/>
      <c r="R350" s="1"/>
      <c r="S350" s="1"/>
      <c r="T350" s="1"/>
      <c r="U350" s="1"/>
      <c r="V350" s="1"/>
      <c r="W350" s="1"/>
      <c r="X350" s="1"/>
      <c r="Y350" s="1"/>
      <c r="Z350" s="1"/>
      <c r="AA350" s="1"/>
      <c r="AB350" s="1"/>
    </row>
    <row r="351" spans="1:28" ht="11.25" customHeight="1" x14ac:dyDescent="0.25">
      <c r="A351" s="825"/>
      <c r="B351" s="16"/>
      <c r="C351" s="16"/>
      <c r="D351" s="22"/>
      <c r="E351" s="262"/>
      <c r="F351" s="16"/>
      <c r="G351" s="16"/>
      <c r="H351" s="16"/>
      <c r="I351" s="16"/>
      <c r="J351" s="1"/>
      <c r="K351" s="1"/>
      <c r="L351" s="1"/>
      <c r="M351" s="262"/>
      <c r="N351" s="1"/>
      <c r="O351" s="1"/>
      <c r="P351" s="1"/>
      <c r="Q351" s="1"/>
      <c r="R351" s="1"/>
      <c r="S351" s="1"/>
      <c r="T351" s="1"/>
      <c r="U351" s="1"/>
      <c r="V351" s="1"/>
      <c r="W351" s="1"/>
      <c r="X351" s="1"/>
      <c r="Y351" s="1"/>
      <c r="Z351" s="1"/>
      <c r="AA351" s="1"/>
      <c r="AB351" s="1"/>
    </row>
    <row r="352" spans="1:28" ht="11.25" customHeight="1" x14ac:dyDescent="0.25">
      <c r="A352" s="825"/>
      <c r="B352" s="16"/>
      <c r="C352" s="16"/>
      <c r="D352" s="22"/>
      <c r="E352" s="262"/>
      <c r="F352" s="16"/>
      <c r="G352" s="16"/>
      <c r="H352" s="16"/>
      <c r="I352" s="16"/>
      <c r="J352" s="1"/>
      <c r="K352" s="1"/>
      <c r="L352" s="1"/>
      <c r="M352" s="262"/>
      <c r="N352" s="1"/>
      <c r="O352" s="1"/>
      <c r="P352" s="1"/>
      <c r="Q352" s="1"/>
      <c r="R352" s="1"/>
      <c r="S352" s="1"/>
      <c r="T352" s="1"/>
      <c r="U352" s="1"/>
      <c r="V352" s="1"/>
      <c r="W352" s="1"/>
      <c r="X352" s="1"/>
      <c r="Y352" s="1"/>
      <c r="Z352" s="1"/>
      <c r="AA352" s="1"/>
      <c r="AB352" s="1"/>
    </row>
    <row r="353" spans="1:28" ht="11.25" customHeight="1" x14ac:dyDescent="0.25">
      <c r="A353" s="825"/>
      <c r="B353" s="16"/>
      <c r="C353" s="16"/>
      <c r="D353" s="22"/>
      <c r="E353" s="262"/>
      <c r="F353" s="16"/>
      <c r="G353" s="16"/>
      <c r="H353" s="16"/>
      <c r="I353" s="16"/>
      <c r="J353" s="1"/>
      <c r="K353" s="1"/>
      <c r="L353" s="1"/>
      <c r="M353" s="262"/>
      <c r="N353" s="1"/>
      <c r="O353" s="1"/>
      <c r="P353" s="1"/>
      <c r="Q353" s="1"/>
      <c r="R353" s="1"/>
      <c r="S353" s="1"/>
      <c r="T353" s="1"/>
      <c r="U353" s="1"/>
      <c r="V353" s="1"/>
      <c r="W353" s="1"/>
      <c r="X353" s="1"/>
      <c r="Y353" s="1"/>
      <c r="Z353" s="1"/>
      <c r="AA353" s="1"/>
      <c r="AB353" s="1"/>
    </row>
    <row r="354" spans="1:28" ht="11.25" customHeight="1" x14ac:dyDescent="0.25">
      <c r="A354" s="825"/>
      <c r="B354" s="16"/>
      <c r="C354" s="16"/>
      <c r="D354" s="22"/>
      <c r="E354" s="262"/>
      <c r="F354" s="16"/>
      <c r="G354" s="16"/>
      <c r="H354" s="16"/>
      <c r="I354" s="16"/>
      <c r="J354" s="1"/>
      <c r="K354" s="1"/>
      <c r="L354" s="1"/>
      <c r="M354" s="262"/>
      <c r="N354" s="1"/>
      <c r="O354" s="1"/>
      <c r="P354" s="1"/>
      <c r="Q354" s="1"/>
      <c r="R354" s="1"/>
      <c r="S354" s="1"/>
      <c r="T354" s="1"/>
      <c r="U354" s="1"/>
      <c r="V354" s="1"/>
      <c r="W354" s="1"/>
      <c r="X354" s="1"/>
      <c r="Y354" s="1"/>
      <c r="Z354" s="1"/>
      <c r="AA354" s="1"/>
      <c r="AB354" s="1"/>
    </row>
    <row r="355" spans="1:28" ht="11.25" customHeight="1" x14ac:dyDescent="0.25">
      <c r="A355" s="825"/>
      <c r="B355" s="16"/>
      <c r="C355" s="16"/>
      <c r="D355" s="22"/>
      <c r="E355" s="262"/>
      <c r="F355" s="16"/>
      <c r="G355" s="16"/>
      <c r="H355" s="16"/>
      <c r="I355" s="16"/>
      <c r="J355" s="1"/>
      <c r="K355" s="1"/>
      <c r="L355" s="1"/>
      <c r="M355" s="262"/>
      <c r="N355" s="1"/>
      <c r="O355" s="1"/>
      <c r="P355" s="1"/>
      <c r="Q355" s="1"/>
      <c r="R355" s="1"/>
      <c r="S355" s="1"/>
      <c r="T355" s="1"/>
      <c r="U355" s="1"/>
      <c r="V355" s="1"/>
      <c r="W355" s="1"/>
      <c r="X355" s="1"/>
      <c r="Y355" s="1"/>
      <c r="Z355" s="1"/>
      <c r="AA355" s="1"/>
      <c r="AB355" s="1"/>
    </row>
    <row r="356" spans="1:28" ht="11.25" customHeight="1" x14ac:dyDescent="0.25">
      <c r="A356" s="825"/>
      <c r="B356" s="16"/>
      <c r="C356" s="16"/>
      <c r="D356" s="22"/>
      <c r="E356" s="262"/>
      <c r="F356" s="16"/>
      <c r="G356" s="16"/>
      <c r="H356" s="16"/>
      <c r="I356" s="16"/>
      <c r="J356" s="1"/>
      <c r="K356" s="1"/>
      <c r="L356" s="1"/>
      <c r="M356" s="262"/>
      <c r="N356" s="1"/>
      <c r="O356" s="1"/>
      <c r="P356" s="1"/>
      <c r="Q356" s="1"/>
      <c r="R356" s="1"/>
      <c r="S356" s="1"/>
      <c r="T356" s="1"/>
      <c r="U356" s="1"/>
      <c r="V356" s="1"/>
      <c r="W356" s="1"/>
      <c r="X356" s="1"/>
      <c r="Y356" s="1"/>
      <c r="Z356" s="1"/>
      <c r="AA356" s="1"/>
      <c r="AB356" s="1"/>
    </row>
    <row r="357" spans="1:28" ht="11.25" customHeight="1" x14ac:dyDescent="0.25">
      <c r="A357" s="825"/>
      <c r="B357" s="16"/>
      <c r="C357" s="16"/>
      <c r="D357" s="22"/>
      <c r="E357" s="262"/>
      <c r="F357" s="16"/>
      <c r="G357" s="16"/>
      <c r="H357" s="16"/>
      <c r="I357" s="16"/>
      <c r="J357" s="1"/>
      <c r="K357" s="1"/>
      <c r="L357" s="1"/>
      <c r="M357" s="262"/>
      <c r="N357" s="1"/>
      <c r="O357" s="1"/>
      <c r="P357" s="1"/>
      <c r="Q357" s="1"/>
      <c r="R357" s="1"/>
      <c r="S357" s="1"/>
      <c r="T357" s="1"/>
      <c r="U357" s="1"/>
      <c r="V357" s="1"/>
      <c r="W357" s="1"/>
      <c r="X357" s="1"/>
      <c r="Y357" s="1"/>
      <c r="Z357" s="1"/>
      <c r="AA357" s="1"/>
      <c r="AB357" s="1"/>
    </row>
    <row r="358" spans="1:28" ht="11.25" customHeight="1" x14ac:dyDescent="0.25">
      <c r="A358" s="825"/>
      <c r="B358" s="16"/>
      <c r="C358" s="16"/>
      <c r="D358" s="22"/>
      <c r="E358" s="262"/>
      <c r="F358" s="16"/>
      <c r="G358" s="16"/>
      <c r="H358" s="16"/>
      <c r="I358" s="16"/>
      <c r="J358" s="1"/>
      <c r="K358" s="1"/>
      <c r="L358" s="1"/>
      <c r="M358" s="262"/>
      <c r="N358" s="1"/>
      <c r="O358" s="1"/>
      <c r="P358" s="1"/>
      <c r="Q358" s="1"/>
      <c r="R358" s="1"/>
      <c r="S358" s="1"/>
      <c r="T358" s="1"/>
      <c r="U358" s="1"/>
      <c r="V358" s="1"/>
      <c r="W358" s="1"/>
      <c r="X358" s="1"/>
      <c r="Y358" s="1"/>
      <c r="Z358" s="1"/>
      <c r="AA358" s="1"/>
      <c r="AB358" s="1"/>
    </row>
    <row r="359" spans="1:28" ht="11.25" customHeight="1" x14ac:dyDescent="0.25">
      <c r="A359" s="825"/>
      <c r="B359" s="16"/>
      <c r="C359" s="16"/>
      <c r="D359" s="22"/>
      <c r="E359" s="262"/>
      <c r="F359" s="16"/>
      <c r="G359" s="16"/>
      <c r="H359" s="16"/>
      <c r="I359" s="16"/>
      <c r="J359" s="1"/>
      <c r="K359" s="1"/>
      <c r="L359" s="1"/>
      <c r="M359" s="262"/>
      <c r="N359" s="1"/>
      <c r="O359" s="1"/>
      <c r="P359" s="1"/>
      <c r="Q359" s="1"/>
      <c r="R359" s="1"/>
      <c r="S359" s="1"/>
      <c r="T359" s="1"/>
      <c r="U359" s="1"/>
      <c r="V359" s="1"/>
      <c r="W359" s="1"/>
      <c r="X359" s="1"/>
      <c r="Y359" s="1"/>
      <c r="Z359" s="1"/>
      <c r="AA359" s="1"/>
      <c r="AB359" s="1"/>
    </row>
    <row r="360" spans="1:28" ht="11.25" customHeight="1" x14ac:dyDescent="0.25">
      <c r="A360" s="825"/>
      <c r="B360" s="16"/>
      <c r="C360" s="16"/>
      <c r="D360" s="22"/>
      <c r="E360" s="262"/>
      <c r="F360" s="16"/>
      <c r="G360" s="16"/>
      <c r="H360" s="16"/>
      <c r="I360" s="16"/>
      <c r="J360" s="1"/>
      <c r="K360" s="1"/>
      <c r="L360" s="1"/>
      <c r="M360" s="262"/>
      <c r="N360" s="1"/>
      <c r="O360" s="1"/>
      <c r="P360" s="1"/>
      <c r="Q360" s="1"/>
      <c r="R360" s="1"/>
      <c r="S360" s="1"/>
      <c r="T360" s="1"/>
      <c r="U360" s="1"/>
      <c r="V360" s="1"/>
      <c r="W360" s="1"/>
      <c r="X360" s="1"/>
      <c r="Y360" s="1"/>
      <c r="Z360" s="1"/>
      <c r="AA360" s="1"/>
      <c r="AB360" s="1"/>
    </row>
    <row r="361" spans="1:28" ht="11.25" customHeight="1" x14ac:dyDescent="0.25">
      <c r="A361" s="825"/>
      <c r="B361" s="16"/>
      <c r="C361" s="16"/>
      <c r="D361" s="22"/>
      <c r="E361" s="262"/>
      <c r="F361" s="16"/>
      <c r="G361" s="16"/>
      <c r="H361" s="16"/>
      <c r="I361" s="16"/>
      <c r="J361" s="1"/>
      <c r="K361" s="1"/>
      <c r="L361" s="1"/>
      <c r="M361" s="262"/>
      <c r="N361" s="1"/>
      <c r="O361" s="1"/>
      <c r="P361" s="1"/>
      <c r="Q361" s="1"/>
      <c r="R361" s="1"/>
      <c r="S361" s="1"/>
      <c r="T361" s="1"/>
      <c r="U361" s="1"/>
      <c r="V361" s="1"/>
      <c r="W361" s="1"/>
      <c r="X361" s="1"/>
      <c r="Y361" s="1"/>
      <c r="Z361" s="1"/>
      <c r="AA361" s="1"/>
      <c r="AB361" s="1"/>
    </row>
    <row r="362" spans="1:28" ht="11.25" customHeight="1" x14ac:dyDescent="0.25">
      <c r="A362" s="825"/>
      <c r="B362" s="16"/>
      <c r="C362" s="16"/>
      <c r="D362" s="22"/>
      <c r="E362" s="262"/>
      <c r="F362" s="16"/>
      <c r="G362" s="16"/>
      <c r="H362" s="16"/>
      <c r="I362" s="16"/>
      <c r="J362" s="1"/>
      <c r="K362" s="1"/>
      <c r="L362" s="1"/>
      <c r="M362" s="262"/>
      <c r="N362" s="1"/>
      <c r="O362" s="1"/>
      <c r="P362" s="1"/>
      <c r="Q362" s="1"/>
      <c r="R362" s="1"/>
      <c r="S362" s="1"/>
      <c r="T362" s="1"/>
      <c r="U362" s="1"/>
      <c r="V362" s="1"/>
      <c r="W362" s="1"/>
      <c r="X362" s="1"/>
      <c r="Y362" s="1"/>
      <c r="Z362" s="1"/>
      <c r="AA362" s="1"/>
      <c r="AB362" s="1"/>
    </row>
    <row r="363" spans="1:28" ht="11.25" customHeight="1" x14ac:dyDescent="0.25">
      <c r="A363" s="825"/>
      <c r="B363" s="16"/>
      <c r="C363" s="16"/>
      <c r="D363" s="22"/>
      <c r="E363" s="262"/>
      <c r="F363" s="16"/>
      <c r="G363" s="16"/>
      <c r="H363" s="16"/>
      <c r="I363" s="16"/>
      <c r="J363" s="1"/>
      <c r="K363" s="1"/>
      <c r="L363" s="1"/>
      <c r="M363" s="262"/>
      <c r="N363" s="1"/>
      <c r="O363" s="1"/>
      <c r="P363" s="1"/>
      <c r="Q363" s="1"/>
      <c r="R363" s="1"/>
      <c r="S363" s="1"/>
      <c r="T363" s="1"/>
      <c r="U363" s="1"/>
      <c r="V363" s="1"/>
      <c r="W363" s="1"/>
      <c r="X363" s="1"/>
      <c r="Y363" s="1"/>
      <c r="Z363" s="1"/>
      <c r="AA363" s="1"/>
      <c r="AB363" s="1"/>
    </row>
    <row r="364" spans="1:28" ht="11.25" customHeight="1" x14ac:dyDescent="0.25">
      <c r="A364" s="825"/>
      <c r="B364" s="16"/>
      <c r="C364" s="16"/>
      <c r="D364" s="22"/>
      <c r="E364" s="262"/>
      <c r="F364" s="16"/>
      <c r="G364" s="16"/>
      <c r="H364" s="16"/>
      <c r="I364" s="16"/>
      <c r="J364" s="1"/>
      <c r="K364" s="1"/>
      <c r="L364" s="1"/>
      <c r="M364" s="262"/>
      <c r="N364" s="1"/>
      <c r="O364" s="1"/>
      <c r="P364" s="1"/>
      <c r="Q364" s="1"/>
      <c r="R364" s="1"/>
      <c r="S364" s="1"/>
      <c r="T364" s="1"/>
      <c r="U364" s="1"/>
      <c r="V364" s="1"/>
      <c r="W364" s="1"/>
      <c r="X364" s="1"/>
      <c r="Y364" s="1"/>
      <c r="Z364" s="1"/>
      <c r="AA364" s="1"/>
      <c r="AB364" s="1"/>
    </row>
    <row r="365" spans="1:28" ht="11.25" customHeight="1" x14ac:dyDescent="0.25">
      <c r="A365" s="825"/>
      <c r="B365" s="16"/>
      <c r="C365" s="16"/>
      <c r="D365" s="22"/>
      <c r="E365" s="262"/>
      <c r="F365" s="16"/>
      <c r="G365" s="16"/>
      <c r="H365" s="16"/>
      <c r="I365" s="16"/>
      <c r="J365" s="1"/>
      <c r="K365" s="1"/>
      <c r="L365" s="1"/>
      <c r="M365" s="262"/>
      <c r="N365" s="1"/>
      <c r="O365" s="1"/>
      <c r="P365" s="1"/>
      <c r="Q365" s="1"/>
      <c r="R365" s="1"/>
      <c r="S365" s="1"/>
      <c r="T365" s="1"/>
      <c r="U365" s="1"/>
      <c r="V365" s="1"/>
      <c r="W365" s="1"/>
      <c r="X365" s="1"/>
      <c r="Y365" s="1"/>
      <c r="Z365" s="1"/>
      <c r="AA365" s="1"/>
      <c r="AB365" s="1"/>
    </row>
    <row r="366" spans="1:28" ht="11.25" customHeight="1" x14ac:dyDescent="0.25">
      <c r="A366" s="825"/>
      <c r="B366" s="16"/>
      <c r="C366" s="16"/>
      <c r="D366" s="22"/>
      <c r="E366" s="262"/>
      <c r="F366" s="16"/>
      <c r="G366" s="16"/>
      <c r="H366" s="16"/>
      <c r="I366" s="16"/>
      <c r="J366" s="1"/>
      <c r="K366" s="1"/>
      <c r="L366" s="1"/>
      <c r="M366" s="262"/>
      <c r="N366" s="1"/>
      <c r="O366" s="1"/>
      <c r="P366" s="1"/>
      <c r="Q366" s="1"/>
      <c r="R366" s="1"/>
      <c r="S366" s="1"/>
      <c r="T366" s="1"/>
      <c r="U366" s="1"/>
      <c r="V366" s="1"/>
      <c r="W366" s="1"/>
      <c r="X366" s="1"/>
      <c r="Y366" s="1"/>
      <c r="Z366" s="1"/>
      <c r="AA366" s="1"/>
      <c r="AB366" s="1"/>
    </row>
    <row r="367" spans="1:28" ht="11.25" customHeight="1" x14ac:dyDescent="0.25">
      <c r="A367" s="825"/>
      <c r="B367" s="16"/>
      <c r="C367" s="16"/>
      <c r="D367" s="22"/>
      <c r="E367" s="262"/>
      <c r="F367" s="16"/>
      <c r="G367" s="16"/>
      <c r="H367" s="16"/>
      <c r="I367" s="16"/>
      <c r="J367" s="1"/>
      <c r="K367" s="1"/>
      <c r="L367" s="1"/>
      <c r="M367" s="262"/>
      <c r="N367" s="1"/>
      <c r="O367" s="1"/>
      <c r="P367" s="1"/>
      <c r="Q367" s="1"/>
      <c r="R367" s="1"/>
      <c r="S367" s="1"/>
      <c r="T367" s="1"/>
      <c r="U367" s="1"/>
      <c r="V367" s="1"/>
      <c r="W367" s="1"/>
      <c r="X367" s="1"/>
      <c r="Y367" s="1"/>
      <c r="Z367" s="1"/>
      <c r="AA367" s="1"/>
      <c r="AB367" s="1"/>
    </row>
    <row r="368" spans="1:28" ht="11.25" customHeight="1" x14ac:dyDescent="0.25">
      <c r="A368" s="825"/>
      <c r="B368" s="16"/>
      <c r="C368" s="16"/>
      <c r="D368" s="22"/>
      <c r="E368" s="262"/>
      <c r="F368" s="16"/>
      <c r="G368" s="16"/>
      <c r="H368" s="16"/>
      <c r="I368" s="16"/>
      <c r="J368" s="1"/>
      <c r="K368" s="1"/>
      <c r="L368" s="1"/>
      <c r="M368" s="262"/>
      <c r="N368" s="1"/>
      <c r="O368" s="1"/>
      <c r="P368" s="1"/>
      <c r="Q368" s="1"/>
      <c r="R368" s="1"/>
      <c r="S368" s="1"/>
      <c r="T368" s="1"/>
      <c r="U368" s="1"/>
      <c r="V368" s="1"/>
      <c r="W368" s="1"/>
      <c r="X368" s="1"/>
      <c r="Y368" s="1"/>
      <c r="Z368" s="1"/>
      <c r="AA368" s="1"/>
      <c r="AB368" s="1"/>
    </row>
    <row r="369" spans="1:28" ht="11.25" customHeight="1" x14ac:dyDescent="0.25">
      <c r="A369" s="825"/>
      <c r="B369" s="16"/>
      <c r="C369" s="16"/>
      <c r="D369" s="22"/>
      <c r="E369" s="262"/>
      <c r="F369" s="16"/>
      <c r="G369" s="16"/>
      <c r="H369" s="16"/>
      <c r="I369" s="16"/>
      <c r="J369" s="1"/>
      <c r="K369" s="1"/>
      <c r="L369" s="1"/>
      <c r="M369" s="262"/>
      <c r="N369" s="1"/>
      <c r="O369" s="1"/>
      <c r="P369" s="1"/>
      <c r="Q369" s="1"/>
      <c r="R369" s="1"/>
      <c r="S369" s="1"/>
      <c r="T369" s="1"/>
      <c r="U369" s="1"/>
      <c r="V369" s="1"/>
      <c r="W369" s="1"/>
      <c r="X369" s="1"/>
      <c r="Y369" s="1"/>
      <c r="Z369" s="1"/>
      <c r="AA369" s="1"/>
      <c r="AB369" s="1"/>
    </row>
    <row r="370" spans="1:28" ht="11.25" customHeight="1" x14ac:dyDescent="0.25">
      <c r="A370" s="825"/>
      <c r="B370" s="16"/>
      <c r="C370" s="16"/>
      <c r="D370" s="22"/>
      <c r="E370" s="262"/>
      <c r="F370" s="16"/>
      <c r="G370" s="16"/>
      <c r="H370" s="16"/>
      <c r="I370" s="16"/>
      <c r="J370" s="1"/>
      <c r="K370" s="1"/>
      <c r="L370" s="1"/>
      <c r="M370" s="262"/>
      <c r="N370" s="1"/>
      <c r="O370" s="1"/>
      <c r="P370" s="1"/>
      <c r="Q370" s="1"/>
      <c r="R370" s="1"/>
      <c r="S370" s="1"/>
      <c r="T370" s="1"/>
      <c r="U370" s="1"/>
      <c r="V370" s="1"/>
      <c r="W370" s="1"/>
      <c r="X370" s="1"/>
      <c r="Y370" s="1"/>
      <c r="Z370" s="1"/>
      <c r="AA370" s="1"/>
      <c r="AB370" s="1"/>
    </row>
    <row r="371" spans="1:28" ht="11.25" customHeight="1" x14ac:dyDescent="0.25">
      <c r="A371" s="825"/>
      <c r="B371" s="16"/>
      <c r="C371" s="16"/>
      <c r="D371" s="22"/>
      <c r="E371" s="262"/>
      <c r="F371" s="16"/>
      <c r="G371" s="16"/>
      <c r="H371" s="16"/>
      <c r="I371" s="16"/>
      <c r="J371" s="1"/>
      <c r="K371" s="1"/>
      <c r="L371" s="1"/>
      <c r="M371" s="262"/>
      <c r="N371" s="1"/>
      <c r="O371" s="1"/>
      <c r="P371" s="1"/>
      <c r="Q371" s="1"/>
      <c r="R371" s="1"/>
      <c r="S371" s="1"/>
      <c r="T371" s="1"/>
      <c r="U371" s="1"/>
      <c r="V371" s="1"/>
      <c r="W371" s="1"/>
      <c r="X371" s="1"/>
      <c r="Y371" s="1"/>
      <c r="Z371" s="1"/>
      <c r="AA371" s="1"/>
      <c r="AB371" s="1"/>
    </row>
    <row r="372" spans="1:28" ht="11.25" customHeight="1" x14ac:dyDescent="0.25">
      <c r="A372" s="825"/>
      <c r="B372" s="16"/>
      <c r="C372" s="16"/>
      <c r="D372" s="22"/>
      <c r="E372" s="262"/>
      <c r="F372" s="16"/>
      <c r="G372" s="16"/>
      <c r="H372" s="16"/>
      <c r="I372" s="16"/>
      <c r="J372" s="1"/>
      <c r="K372" s="1"/>
      <c r="L372" s="1"/>
      <c r="M372" s="262"/>
      <c r="N372" s="1"/>
      <c r="O372" s="1"/>
      <c r="P372" s="1"/>
      <c r="Q372" s="1"/>
      <c r="R372" s="1"/>
      <c r="S372" s="1"/>
      <c r="T372" s="1"/>
      <c r="U372" s="1"/>
      <c r="V372" s="1"/>
      <c r="W372" s="1"/>
      <c r="X372" s="1"/>
      <c r="Y372" s="1"/>
      <c r="Z372" s="1"/>
      <c r="AA372" s="1"/>
      <c r="AB372" s="1"/>
    </row>
    <row r="373" spans="1:28" ht="11.25" customHeight="1" x14ac:dyDescent="0.25">
      <c r="A373" s="825"/>
      <c r="B373" s="16"/>
      <c r="C373" s="16"/>
      <c r="D373" s="22"/>
      <c r="E373" s="262"/>
      <c r="F373" s="16"/>
      <c r="G373" s="16"/>
      <c r="H373" s="16"/>
      <c r="I373" s="16"/>
      <c r="J373" s="1"/>
      <c r="K373" s="1"/>
      <c r="L373" s="1"/>
      <c r="M373" s="262"/>
      <c r="N373" s="1"/>
      <c r="O373" s="1"/>
      <c r="P373" s="1"/>
      <c r="Q373" s="1"/>
      <c r="R373" s="1"/>
      <c r="S373" s="1"/>
      <c r="T373" s="1"/>
      <c r="U373" s="1"/>
      <c r="V373" s="1"/>
      <c r="W373" s="1"/>
      <c r="X373" s="1"/>
      <c r="Y373" s="1"/>
      <c r="Z373" s="1"/>
      <c r="AA373" s="1"/>
      <c r="AB373" s="1"/>
    </row>
    <row r="374" spans="1:28" ht="11.25" customHeight="1" x14ac:dyDescent="0.25">
      <c r="A374" s="825"/>
      <c r="B374" s="16"/>
      <c r="C374" s="16"/>
      <c r="D374" s="22"/>
      <c r="E374" s="262"/>
      <c r="F374" s="16"/>
      <c r="G374" s="16"/>
      <c r="H374" s="16"/>
      <c r="I374" s="16"/>
      <c r="J374" s="1"/>
      <c r="K374" s="1"/>
      <c r="L374" s="1"/>
      <c r="M374" s="262"/>
      <c r="N374" s="1"/>
      <c r="O374" s="1"/>
      <c r="P374" s="1"/>
      <c r="Q374" s="1"/>
      <c r="R374" s="1"/>
      <c r="S374" s="1"/>
      <c r="T374" s="1"/>
      <c r="U374" s="1"/>
      <c r="V374" s="1"/>
      <c r="W374" s="1"/>
      <c r="X374" s="1"/>
      <c r="Y374" s="1"/>
      <c r="Z374" s="1"/>
      <c r="AA374" s="1"/>
      <c r="AB374" s="1"/>
    </row>
    <row r="375" spans="1:28" ht="11.25" customHeight="1" x14ac:dyDescent="0.25">
      <c r="A375" s="825"/>
      <c r="B375" s="16"/>
      <c r="C375" s="16"/>
      <c r="D375" s="22"/>
      <c r="E375" s="262"/>
      <c r="F375" s="16"/>
      <c r="G375" s="16"/>
      <c r="H375" s="16"/>
      <c r="I375" s="16"/>
      <c r="J375" s="1"/>
      <c r="K375" s="1"/>
      <c r="L375" s="1"/>
      <c r="M375" s="262"/>
      <c r="N375" s="1"/>
      <c r="O375" s="1"/>
      <c r="P375" s="1"/>
      <c r="Q375" s="1"/>
      <c r="R375" s="1"/>
      <c r="S375" s="1"/>
      <c r="T375" s="1"/>
      <c r="U375" s="1"/>
      <c r="V375" s="1"/>
      <c r="W375" s="1"/>
      <c r="X375" s="1"/>
      <c r="Y375" s="1"/>
      <c r="Z375" s="1"/>
      <c r="AA375" s="1"/>
      <c r="AB375" s="1"/>
    </row>
    <row r="376" spans="1:28" ht="11.25" customHeight="1" x14ac:dyDescent="0.25">
      <c r="A376" s="825"/>
      <c r="B376" s="16"/>
      <c r="C376" s="16"/>
      <c r="D376" s="22"/>
      <c r="E376" s="262"/>
      <c r="F376" s="16"/>
      <c r="G376" s="16"/>
      <c r="H376" s="16"/>
      <c r="I376" s="16"/>
      <c r="J376" s="1"/>
      <c r="K376" s="1"/>
      <c r="L376" s="1"/>
      <c r="M376" s="262"/>
      <c r="N376" s="1"/>
      <c r="O376" s="1"/>
      <c r="P376" s="1"/>
      <c r="Q376" s="1"/>
      <c r="R376" s="1"/>
      <c r="S376" s="1"/>
      <c r="T376" s="1"/>
      <c r="U376" s="1"/>
      <c r="V376" s="1"/>
      <c r="W376" s="1"/>
      <c r="X376" s="1"/>
      <c r="Y376" s="1"/>
      <c r="Z376" s="1"/>
      <c r="AA376" s="1"/>
      <c r="AB376" s="1"/>
    </row>
    <row r="377" spans="1:28" ht="11.25" customHeight="1" x14ac:dyDescent="0.25">
      <c r="A377" s="825"/>
      <c r="B377" s="16"/>
      <c r="C377" s="16"/>
      <c r="D377" s="22"/>
      <c r="E377" s="262"/>
      <c r="F377" s="16"/>
      <c r="G377" s="16"/>
      <c r="H377" s="16"/>
      <c r="I377" s="16"/>
      <c r="J377" s="1"/>
      <c r="K377" s="1"/>
      <c r="L377" s="1"/>
      <c r="M377" s="262"/>
      <c r="N377" s="1"/>
      <c r="O377" s="1"/>
      <c r="P377" s="1"/>
      <c r="Q377" s="1"/>
      <c r="R377" s="1"/>
      <c r="S377" s="1"/>
      <c r="T377" s="1"/>
      <c r="U377" s="1"/>
      <c r="V377" s="1"/>
      <c r="W377" s="1"/>
      <c r="X377" s="1"/>
      <c r="Y377" s="1"/>
      <c r="Z377" s="1"/>
      <c r="AA377" s="1"/>
      <c r="AB377" s="1"/>
    </row>
    <row r="378" spans="1:28" ht="11.25" customHeight="1" x14ac:dyDescent="0.25">
      <c r="A378" s="825"/>
      <c r="B378" s="16"/>
      <c r="C378" s="16"/>
      <c r="D378" s="22"/>
      <c r="E378" s="262"/>
      <c r="F378" s="16"/>
      <c r="G378" s="16"/>
      <c r="H378" s="16"/>
      <c r="I378" s="16"/>
      <c r="J378" s="1"/>
      <c r="K378" s="1"/>
      <c r="L378" s="1"/>
      <c r="M378" s="262"/>
      <c r="N378" s="1"/>
      <c r="O378" s="1"/>
      <c r="P378" s="1"/>
      <c r="Q378" s="1"/>
      <c r="R378" s="1"/>
      <c r="S378" s="1"/>
      <c r="T378" s="1"/>
      <c r="U378" s="1"/>
      <c r="V378" s="1"/>
      <c r="W378" s="1"/>
      <c r="X378" s="1"/>
      <c r="Y378" s="1"/>
      <c r="Z378" s="1"/>
      <c r="AA378" s="1"/>
      <c r="AB378" s="1"/>
    </row>
    <row r="379" spans="1:28" ht="11.25" customHeight="1" x14ac:dyDescent="0.25">
      <c r="A379" s="825"/>
      <c r="B379" s="16"/>
      <c r="C379" s="16"/>
      <c r="D379" s="22"/>
      <c r="E379" s="262"/>
      <c r="F379" s="16"/>
      <c r="G379" s="16"/>
      <c r="H379" s="16"/>
      <c r="I379" s="16"/>
      <c r="J379" s="1"/>
      <c r="K379" s="1"/>
      <c r="L379" s="1"/>
      <c r="M379" s="262"/>
      <c r="N379" s="1"/>
      <c r="O379" s="1"/>
      <c r="P379" s="1"/>
      <c r="Q379" s="1"/>
      <c r="R379" s="1"/>
      <c r="S379" s="1"/>
      <c r="T379" s="1"/>
      <c r="U379" s="1"/>
      <c r="V379" s="1"/>
      <c r="W379" s="1"/>
      <c r="X379" s="1"/>
      <c r="Y379" s="1"/>
      <c r="Z379" s="1"/>
      <c r="AA379" s="1"/>
      <c r="AB379" s="1"/>
    </row>
    <row r="380" spans="1:28" ht="11.25" customHeight="1" x14ac:dyDescent="0.25">
      <c r="A380" s="825"/>
      <c r="B380" s="16"/>
      <c r="C380" s="16"/>
      <c r="D380" s="22"/>
      <c r="E380" s="262"/>
      <c r="F380" s="16"/>
      <c r="G380" s="16"/>
      <c r="H380" s="16"/>
      <c r="I380" s="16"/>
      <c r="J380" s="1"/>
      <c r="K380" s="1"/>
      <c r="L380" s="1"/>
      <c r="M380" s="262"/>
      <c r="N380" s="1"/>
      <c r="O380" s="1"/>
      <c r="P380" s="1"/>
      <c r="Q380" s="1"/>
      <c r="R380" s="1"/>
      <c r="S380" s="1"/>
      <c r="T380" s="1"/>
      <c r="U380" s="1"/>
      <c r="V380" s="1"/>
      <c r="W380" s="1"/>
      <c r="X380" s="1"/>
      <c r="Y380" s="1"/>
      <c r="Z380" s="1"/>
      <c r="AA380" s="1"/>
      <c r="AB380" s="1"/>
    </row>
    <row r="381" spans="1:28" ht="11.25" customHeight="1" x14ac:dyDescent="0.25">
      <c r="A381" s="825"/>
      <c r="B381" s="16"/>
      <c r="C381" s="16"/>
      <c r="D381" s="22"/>
      <c r="E381" s="262"/>
      <c r="F381" s="16"/>
      <c r="G381" s="16"/>
      <c r="H381" s="16"/>
      <c r="I381" s="16"/>
      <c r="J381" s="1"/>
      <c r="K381" s="1"/>
      <c r="L381" s="1"/>
      <c r="M381" s="262"/>
      <c r="N381" s="1"/>
      <c r="O381" s="1"/>
      <c r="P381" s="1"/>
      <c r="Q381" s="1"/>
      <c r="R381" s="1"/>
      <c r="S381" s="1"/>
      <c r="T381" s="1"/>
      <c r="U381" s="1"/>
      <c r="V381" s="1"/>
      <c r="W381" s="1"/>
      <c r="X381" s="1"/>
      <c r="Y381" s="1"/>
      <c r="Z381" s="1"/>
      <c r="AA381" s="1"/>
      <c r="AB381" s="1"/>
    </row>
    <row r="382" spans="1:28" ht="11.25" customHeight="1" x14ac:dyDescent="0.25">
      <c r="A382" s="825"/>
      <c r="B382" s="16"/>
      <c r="C382" s="16"/>
      <c r="D382" s="22"/>
      <c r="E382" s="262"/>
      <c r="F382" s="16"/>
      <c r="G382" s="16"/>
      <c r="H382" s="16"/>
      <c r="I382" s="16"/>
      <c r="J382" s="1"/>
      <c r="K382" s="1"/>
      <c r="L382" s="1"/>
      <c r="M382" s="262"/>
      <c r="N382" s="1"/>
      <c r="O382" s="1"/>
      <c r="P382" s="1"/>
      <c r="Q382" s="1"/>
      <c r="R382" s="1"/>
      <c r="S382" s="1"/>
      <c r="T382" s="1"/>
      <c r="U382" s="1"/>
      <c r="V382" s="1"/>
      <c r="W382" s="1"/>
      <c r="X382" s="1"/>
      <c r="Y382" s="1"/>
      <c r="Z382" s="1"/>
      <c r="AA382" s="1"/>
      <c r="AB382" s="1"/>
    </row>
    <row r="383" spans="1:28" ht="11.25" customHeight="1" x14ac:dyDescent="0.25">
      <c r="A383" s="825"/>
      <c r="B383" s="16"/>
      <c r="C383" s="16"/>
      <c r="D383" s="22"/>
      <c r="E383" s="262"/>
      <c r="F383" s="16"/>
      <c r="G383" s="16"/>
      <c r="H383" s="16"/>
      <c r="I383" s="16"/>
      <c r="J383" s="1"/>
      <c r="K383" s="1"/>
      <c r="L383" s="1"/>
      <c r="M383" s="262"/>
      <c r="N383" s="1"/>
      <c r="O383" s="1"/>
      <c r="P383" s="1"/>
      <c r="Q383" s="1"/>
      <c r="R383" s="1"/>
      <c r="S383" s="1"/>
      <c r="T383" s="1"/>
      <c r="U383" s="1"/>
      <c r="V383" s="1"/>
      <c r="W383" s="1"/>
      <c r="X383" s="1"/>
      <c r="Y383" s="1"/>
      <c r="Z383" s="1"/>
      <c r="AA383" s="1"/>
      <c r="AB383" s="1"/>
    </row>
    <row r="384" spans="1:28" ht="11.25" customHeight="1" x14ac:dyDescent="0.25">
      <c r="A384" s="825"/>
      <c r="B384" s="16"/>
      <c r="C384" s="16"/>
      <c r="D384" s="22"/>
      <c r="E384" s="262"/>
      <c r="F384" s="16"/>
      <c r="G384" s="16"/>
      <c r="H384" s="16"/>
      <c r="I384" s="16"/>
      <c r="J384" s="1"/>
      <c r="K384" s="1"/>
      <c r="L384" s="1"/>
      <c r="M384" s="262"/>
      <c r="N384" s="1"/>
      <c r="O384" s="1"/>
      <c r="P384" s="1"/>
      <c r="Q384" s="1"/>
      <c r="R384" s="1"/>
      <c r="S384" s="1"/>
      <c r="T384" s="1"/>
      <c r="U384" s="1"/>
      <c r="V384" s="1"/>
      <c r="W384" s="1"/>
      <c r="X384" s="1"/>
      <c r="Y384" s="1"/>
      <c r="Z384" s="1"/>
      <c r="AA384" s="1"/>
      <c r="AB384" s="1"/>
    </row>
    <row r="385" spans="1:28" ht="11.25" customHeight="1" x14ac:dyDescent="0.25">
      <c r="A385" s="825"/>
      <c r="B385" s="16"/>
      <c r="C385" s="16"/>
      <c r="D385" s="22"/>
      <c r="E385" s="262"/>
      <c r="F385" s="16"/>
      <c r="G385" s="16"/>
      <c r="H385" s="16"/>
      <c r="I385" s="16"/>
      <c r="J385" s="1"/>
      <c r="K385" s="1"/>
      <c r="L385" s="1"/>
      <c r="M385" s="262"/>
      <c r="N385" s="1"/>
      <c r="O385" s="1"/>
      <c r="P385" s="1"/>
      <c r="Q385" s="1"/>
      <c r="R385" s="1"/>
      <c r="S385" s="1"/>
      <c r="T385" s="1"/>
      <c r="U385" s="1"/>
      <c r="V385" s="1"/>
      <c r="W385" s="1"/>
      <c r="X385" s="1"/>
      <c r="Y385" s="1"/>
      <c r="Z385" s="1"/>
      <c r="AA385" s="1"/>
      <c r="AB385" s="1"/>
    </row>
    <row r="386" spans="1:28" ht="11.25" customHeight="1" x14ac:dyDescent="0.25">
      <c r="A386" s="825"/>
      <c r="B386" s="16"/>
      <c r="C386" s="16"/>
      <c r="D386" s="22"/>
      <c r="E386" s="262"/>
      <c r="F386" s="16"/>
      <c r="G386" s="16"/>
      <c r="H386" s="16"/>
      <c r="I386" s="16"/>
      <c r="J386" s="1"/>
      <c r="K386" s="1"/>
      <c r="L386" s="1"/>
      <c r="M386" s="262"/>
      <c r="N386" s="1"/>
      <c r="O386" s="1"/>
      <c r="P386" s="1"/>
      <c r="Q386" s="1"/>
      <c r="R386" s="1"/>
      <c r="S386" s="1"/>
      <c r="T386" s="1"/>
      <c r="U386" s="1"/>
      <c r="V386" s="1"/>
      <c r="W386" s="1"/>
      <c r="X386" s="1"/>
      <c r="Y386" s="1"/>
      <c r="Z386" s="1"/>
      <c r="AA386" s="1"/>
      <c r="AB386" s="1"/>
    </row>
    <row r="387" spans="1:28" ht="11.25" customHeight="1" x14ac:dyDescent="0.25">
      <c r="A387" s="825"/>
      <c r="B387" s="16"/>
      <c r="C387" s="16"/>
      <c r="D387" s="22"/>
      <c r="E387" s="262"/>
      <c r="F387" s="16"/>
      <c r="G387" s="16"/>
      <c r="H387" s="16"/>
      <c r="I387" s="16"/>
      <c r="J387" s="1"/>
      <c r="K387" s="1"/>
      <c r="L387" s="1"/>
      <c r="M387" s="262"/>
      <c r="N387" s="1"/>
      <c r="O387" s="1"/>
      <c r="P387" s="1"/>
      <c r="Q387" s="1"/>
      <c r="R387" s="1"/>
      <c r="S387" s="1"/>
      <c r="T387" s="1"/>
      <c r="U387" s="1"/>
      <c r="V387" s="1"/>
      <c r="W387" s="1"/>
      <c r="X387" s="1"/>
      <c r="Y387" s="1"/>
      <c r="Z387" s="1"/>
      <c r="AA387" s="1"/>
      <c r="AB387" s="1"/>
    </row>
    <row r="388" spans="1:28" ht="11.25" customHeight="1" x14ac:dyDescent="0.25">
      <c r="A388" s="825"/>
      <c r="B388" s="16"/>
      <c r="C388" s="16"/>
      <c r="D388" s="22"/>
      <c r="E388" s="262"/>
      <c r="F388" s="16"/>
      <c r="G388" s="16"/>
      <c r="H388" s="16"/>
      <c r="I388" s="16"/>
      <c r="J388" s="1"/>
      <c r="K388" s="1"/>
      <c r="L388" s="1"/>
      <c r="M388" s="262"/>
      <c r="N388" s="1"/>
      <c r="O388" s="1"/>
      <c r="P388" s="1"/>
      <c r="Q388" s="1"/>
      <c r="R388" s="1"/>
      <c r="S388" s="1"/>
      <c r="T388" s="1"/>
      <c r="U388" s="1"/>
      <c r="V388" s="1"/>
      <c r="W388" s="1"/>
      <c r="X388" s="1"/>
      <c r="Y388" s="1"/>
      <c r="Z388" s="1"/>
      <c r="AA388" s="1"/>
      <c r="AB388" s="1"/>
    </row>
    <row r="389" spans="1:28" ht="11.25" customHeight="1" x14ac:dyDescent="0.25">
      <c r="A389" s="825"/>
      <c r="B389" s="16"/>
      <c r="C389" s="16"/>
      <c r="D389" s="22"/>
      <c r="E389" s="262"/>
      <c r="F389" s="16"/>
      <c r="G389" s="16"/>
      <c r="H389" s="16"/>
      <c r="I389" s="16"/>
      <c r="J389" s="1"/>
      <c r="K389" s="1"/>
      <c r="L389" s="1"/>
      <c r="M389" s="262"/>
      <c r="N389" s="1"/>
      <c r="O389" s="1"/>
      <c r="P389" s="1"/>
      <c r="Q389" s="1"/>
      <c r="R389" s="1"/>
      <c r="S389" s="1"/>
      <c r="T389" s="1"/>
      <c r="U389" s="1"/>
      <c r="V389" s="1"/>
      <c r="W389" s="1"/>
      <c r="X389" s="1"/>
      <c r="Y389" s="1"/>
      <c r="Z389" s="1"/>
      <c r="AA389" s="1"/>
      <c r="AB389" s="1"/>
    </row>
    <row r="390" spans="1:28" ht="11.25" customHeight="1" x14ac:dyDescent="0.25">
      <c r="A390" s="825"/>
      <c r="B390" s="16"/>
      <c r="C390" s="16"/>
      <c r="D390" s="22"/>
      <c r="E390" s="262"/>
      <c r="F390" s="16"/>
      <c r="G390" s="16"/>
      <c r="H390" s="16"/>
      <c r="I390" s="16"/>
      <c r="J390" s="1"/>
      <c r="K390" s="1"/>
      <c r="L390" s="1"/>
      <c r="M390" s="262"/>
      <c r="N390" s="1"/>
      <c r="O390" s="1"/>
      <c r="P390" s="1"/>
      <c r="Q390" s="1"/>
      <c r="R390" s="1"/>
      <c r="S390" s="1"/>
      <c r="T390" s="1"/>
      <c r="U390" s="1"/>
      <c r="V390" s="1"/>
      <c r="W390" s="1"/>
      <c r="X390" s="1"/>
      <c r="Y390" s="1"/>
      <c r="Z390" s="1"/>
      <c r="AA390" s="1"/>
      <c r="AB390" s="1"/>
    </row>
    <row r="391" spans="1:28" ht="11.25" customHeight="1" x14ac:dyDescent="0.25">
      <c r="A391" s="825"/>
      <c r="B391" s="16"/>
      <c r="C391" s="16"/>
      <c r="D391" s="22"/>
      <c r="E391" s="262"/>
      <c r="F391" s="16"/>
      <c r="G391" s="16"/>
      <c r="H391" s="16"/>
      <c r="I391" s="16"/>
      <c r="J391" s="1"/>
      <c r="K391" s="1"/>
      <c r="L391" s="1"/>
      <c r="M391" s="262"/>
      <c r="N391" s="1"/>
      <c r="O391" s="1"/>
      <c r="P391" s="1"/>
      <c r="Q391" s="1"/>
      <c r="R391" s="1"/>
      <c r="S391" s="1"/>
      <c r="T391" s="1"/>
      <c r="U391" s="1"/>
      <c r="V391" s="1"/>
      <c r="W391" s="1"/>
      <c r="X391" s="1"/>
      <c r="Y391" s="1"/>
      <c r="Z391" s="1"/>
      <c r="AA391" s="1"/>
      <c r="AB391" s="1"/>
    </row>
    <row r="392" spans="1:28" ht="11.25" customHeight="1" x14ac:dyDescent="0.25">
      <c r="A392" s="825"/>
      <c r="B392" s="16"/>
      <c r="C392" s="16"/>
      <c r="D392" s="22"/>
      <c r="E392" s="262"/>
      <c r="F392" s="16"/>
      <c r="G392" s="16"/>
      <c r="H392" s="16"/>
      <c r="I392" s="16"/>
      <c r="J392" s="1"/>
      <c r="K392" s="1"/>
      <c r="L392" s="1"/>
      <c r="M392" s="262"/>
      <c r="N392" s="1"/>
      <c r="O392" s="1"/>
      <c r="P392" s="1"/>
      <c r="Q392" s="1"/>
      <c r="R392" s="1"/>
      <c r="S392" s="1"/>
      <c r="T392" s="1"/>
      <c r="U392" s="1"/>
      <c r="V392" s="1"/>
      <c r="W392" s="1"/>
      <c r="X392" s="1"/>
      <c r="Y392" s="1"/>
      <c r="Z392" s="1"/>
      <c r="AA392" s="1"/>
      <c r="AB392" s="1"/>
    </row>
    <row r="393" spans="1:28" ht="11.25" customHeight="1" x14ac:dyDescent="0.25">
      <c r="A393" s="825"/>
      <c r="B393" s="16"/>
      <c r="C393" s="16"/>
      <c r="D393" s="22"/>
      <c r="E393" s="262"/>
      <c r="F393" s="16"/>
      <c r="G393" s="16"/>
      <c r="H393" s="16"/>
      <c r="I393" s="16"/>
      <c r="J393" s="1"/>
      <c r="K393" s="1"/>
      <c r="L393" s="1"/>
      <c r="M393" s="262"/>
      <c r="N393" s="1"/>
      <c r="O393" s="1"/>
      <c r="P393" s="1"/>
      <c r="Q393" s="1"/>
      <c r="R393" s="1"/>
      <c r="S393" s="1"/>
      <c r="T393" s="1"/>
      <c r="U393" s="1"/>
      <c r="V393" s="1"/>
      <c r="W393" s="1"/>
      <c r="X393" s="1"/>
      <c r="Y393" s="1"/>
      <c r="Z393" s="1"/>
      <c r="AA393" s="1"/>
      <c r="AB393" s="1"/>
    </row>
    <row r="394" spans="1:28" ht="11.25" customHeight="1" x14ac:dyDescent="0.25">
      <c r="A394" s="825"/>
      <c r="B394" s="16"/>
      <c r="C394" s="16"/>
      <c r="D394" s="22"/>
      <c r="E394" s="262"/>
      <c r="F394" s="16"/>
      <c r="G394" s="16"/>
      <c r="H394" s="16"/>
      <c r="I394" s="16"/>
      <c r="J394" s="1"/>
      <c r="K394" s="1"/>
      <c r="L394" s="1"/>
      <c r="M394" s="262"/>
      <c r="N394" s="1"/>
      <c r="O394" s="1"/>
      <c r="P394" s="1"/>
      <c r="Q394" s="1"/>
      <c r="R394" s="1"/>
      <c r="S394" s="1"/>
      <c r="T394" s="1"/>
      <c r="U394" s="1"/>
      <c r="V394" s="1"/>
      <c r="W394" s="1"/>
      <c r="X394" s="1"/>
      <c r="Y394" s="1"/>
      <c r="Z394" s="1"/>
      <c r="AA394" s="1"/>
      <c r="AB394" s="1"/>
    </row>
    <row r="395" spans="1:28" ht="11.25" customHeight="1" x14ac:dyDescent="0.25">
      <c r="A395" s="825"/>
      <c r="B395" s="16"/>
      <c r="C395" s="16"/>
      <c r="D395" s="22"/>
      <c r="E395" s="262"/>
      <c r="F395" s="16"/>
      <c r="G395" s="16"/>
      <c r="H395" s="16"/>
      <c r="I395" s="16"/>
      <c r="J395" s="1"/>
      <c r="K395" s="1"/>
      <c r="L395" s="1"/>
      <c r="M395" s="262"/>
      <c r="N395" s="1"/>
      <c r="O395" s="1"/>
      <c r="P395" s="1"/>
      <c r="Q395" s="1"/>
      <c r="R395" s="1"/>
      <c r="S395" s="1"/>
      <c r="T395" s="1"/>
      <c r="U395" s="1"/>
      <c r="V395" s="1"/>
      <c r="W395" s="1"/>
      <c r="X395" s="1"/>
      <c r="Y395" s="1"/>
      <c r="Z395" s="1"/>
      <c r="AA395" s="1"/>
      <c r="AB395" s="1"/>
    </row>
    <row r="396" spans="1:28" ht="11.25" customHeight="1" x14ac:dyDescent="0.25">
      <c r="A396" s="825"/>
      <c r="B396" s="16"/>
      <c r="C396" s="16"/>
      <c r="D396" s="22"/>
      <c r="E396" s="262"/>
      <c r="F396" s="16"/>
      <c r="G396" s="16"/>
      <c r="H396" s="16"/>
      <c r="I396" s="16"/>
      <c r="J396" s="1"/>
      <c r="K396" s="1"/>
      <c r="L396" s="1"/>
      <c r="M396" s="262"/>
      <c r="N396" s="1"/>
      <c r="O396" s="1"/>
      <c r="P396" s="1"/>
      <c r="Q396" s="1"/>
      <c r="R396" s="1"/>
      <c r="S396" s="1"/>
      <c r="T396" s="1"/>
      <c r="U396" s="1"/>
      <c r="V396" s="1"/>
      <c r="W396" s="1"/>
      <c r="X396" s="1"/>
      <c r="Y396" s="1"/>
      <c r="Z396" s="1"/>
      <c r="AA396" s="1"/>
      <c r="AB396" s="1"/>
    </row>
    <row r="397" spans="1:28" ht="11.25" customHeight="1" x14ac:dyDescent="0.25">
      <c r="A397" s="825"/>
      <c r="B397" s="16"/>
      <c r="C397" s="16"/>
      <c r="D397" s="22"/>
      <c r="E397" s="262"/>
      <c r="F397" s="16"/>
      <c r="G397" s="16"/>
      <c r="H397" s="16"/>
      <c r="I397" s="16"/>
      <c r="J397" s="1"/>
      <c r="K397" s="1"/>
      <c r="L397" s="1"/>
      <c r="M397" s="262"/>
      <c r="N397" s="1"/>
      <c r="O397" s="1"/>
      <c r="P397" s="1"/>
      <c r="Q397" s="1"/>
      <c r="R397" s="1"/>
      <c r="S397" s="1"/>
      <c r="T397" s="1"/>
      <c r="U397" s="1"/>
      <c r="V397" s="1"/>
      <c r="W397" s="1"/>
      <c r="X397" s="1"/>
      <c r="Y397" s="1"/>
      <c r="Z397" s="1"/>
      <c r="AA397" s="1"/>
      <c r="AB397" s="1"/>
    </row>
    <row r="398" spans="1:28" ht="11.25" customHeight="1" x14ac:dyDescent="0.25">
      <c r="A398" s="825"/>
      <c r="B398" s="16"/>
      <c r="C398" s="16"/>
      <c r="D398" s="22"/>
      <c r="E398" s="262"/>
      <c r="F398" s="16"/>
      <c r="G398" s="16"/>
      <c r="H398" s="16"/>
      <c r="I398" s="16"/>
      <c r="J398" s="1"/>
      <c r="K398" s="1"/>
      <c r="L398" s="1"/>
      <c r="M398" s="262"/>
      <c r="N398" s="1"/>
      <c r="O398" s="1"/>
      <c r="P398" s="1"/>
      <c r="Q398" s="1"/>
      <c r="R398" s="1"/>
      <c r="S398" s="1"/>
      <c r="T398" s="1"/>
      <c r="U398" s="1"/>
      <c r="V398" s="1"/>
      <c r="W398" s="1"/>
      <c r="X398" s="1"/>
      <c r="Y398" s="1"/>
      <c r="Z398" s="1"/>
      <c r="AA398" s="1"/>
      <c r="AB398" s="1"/>
    </row>
    <row r="399" spans="1:28" ht="11.25" customHeight="1" x14ac:dyDescent="0.25">
      <c r="A399" s="825"/>
      <c r="B399" s="16"/>
      <c r="C399" s="16"/>
      <c r="D399" s="22"/>
      <c r="E399" s="262"/>
      <c r="F399" s="16"/>
      <c r="G399" s="16"/>
      <c r="H399" s="16"/>
      <c r="I399" s="16"/>
      <c r="J399" s="1"/>
      <c r="K399" s="1"/>
      <c r="L399" s="1"/>
      <c r="M399" s="262"/>
      <c r="N399" s="1"/>
      <c r="O399" s="1"/>
      <c r="P399" s="1"/>
      <c r="Q399" s="1"/>
      <c r="R399" s="1"/>
      <c r="S399" s="1"/>
      <c r="T399" s="1"/>
      <c r="U399" s="1"/>
      <c r="V399" s="1"/>
      <c r="W399" s="1"/>
      <c r="X399" s="1"/>
      <c r="Y399" s="1"/>
      <c r="Z399" s="1"/>
      <c r="AA399" s="1"/>
      <c r="AB399" s="1"/>
    </row>
    <row r="400" spans="1:28" ht="11.25" customHeight="1" x14ac:dyDescent="0.25">
      <c r="A400" s="825"/>
      <c r="B400" s="16"/>
      <c r="C400" s="16"/>
      <c r="D400" s="22"/>
      <c r="E400" s="262"/>
      <c r="F400" s="16"/>
      <c r="G400" s="16"/>
      <c r="H400" s="16"/>
      <c r="I400" s="16"/>
      <c r="J400" s="1"/>
      <c r="K400" s="1"/>
      <c r="L400" s="1"/>
      <c r="M400" s="262"/>
      <c r="N400" s="1"/>
      <c r="O400" s="1"/>
      <c r="P400" s="1"/>
      <c r="Q400" s="1"/>
      <c r="R400" s="1"/>
      <c r="S400" s="1"/>
      <c r="T400" s="1"/>
      <c r="U400" s="1"/>
      <c r="V400" s="1"/>
      <c r="W400" s="1"/>
      <c r="X400" s="1"/>
      <c r="Y400" s="1"/>
      <c r="Z400" s="1"/>
      <c r="AA400" s="1"/>
      <c r="AB400" s="1"/>
    </row>
    <row r="401" spans="1:28" ht="11.25" customHeight="1" x14ac:dyDescent="0.25">
      <c r="A401" s="825"/>
      <c r="B401" s="16"/>
      <c r="C401" s="16"/>
      <c r="D401" s="22"/>
      <c r="E401" s="262"/>
      <c r="F401" s="16"/>
      <c r="G401" s="16"/>
      <c r="H401" s="16"/>
      <c r="I401" s="16"/>
      <c r="J401" s="1"/>
      <c r="K401" s="1"/>
      <c r="L401" s="1"/>
      <c r="M401" s="262"/>
      <c r="N401" s="1"/>
      <c r="O401" s="1"/>
      <c r="P401" s="1"/>
      <c r="Q401" s="1"/>
      <c r="R401" s="1"/>
      <c r="S401" s="1"/>
      <c r="T401" s="1"/>
      <c r="U401" s="1"/>
      <c r="V401" s="1"/>
      <c r="W401" s="1"/>
      <c r="X401" s="1"/>
      <c r="Y401" s="1"/>
      <c r="Z401" s="1"/>
      <c r="AA401" s="1"/>
      <c r="AB401" s="1"/>
    </row>
    <row r="402" spans="1:28" ht="11.25" customHeight="1" x14ac:dyDescent="0.25">
      <c r="A402" s="825"/>
      <c r="B402" s="16"/>
      <c r="C402" s="16"/>
      <c r="D402" s="22"/>
      <c r="E402" s="262"/>
      <c r="F402" s="16"/>
      <c r="G402" s="16"/>
      <c r="H402" s="16"/>
      <c r="I402" s="16"/>
      <c r="J402" s="1"/>
      <c r="K402" s="1"/>
      <c r="L402" s="1"/>
      <c r="M402" s="262"/>
      <c r="N402" s="1"/>
      <c r="O402" s="1"/>
      <c r="P402" s="1"/>
      <c r="Q402" s="1"/>
      <c r="R402" s="1"/>
      <c r="S402" s="1"/>
      <c r="T402" s="1"/>
      <c r="U402" s="1"/>
      <c r="V402" s="1"/>
      <c r="W402" s="1"/>
      <c r="X402" s="1"/>
      <c r="Y402" s="1"/>
      <c r="Z402" s="1"/>
      <c r="AA402" s="1"/>
      <c r="AB402" s="1"/>
    </row>
    <row r="403" spans="1:28" ht="11.25" customHeight="1" x14ac:dyDescent="0.25">
      <c r="A403" s="825"/>
      <c r="B403" s="16"/>
      <c r="C403" s="16"/>
      <c r="D403" s="22"/>
      <c r="E403" s="262"/>
      <c r="F403" s="16"/>
      <c r="G403" s="16"/>
      <c r="H403" s="16"/>
      <c r="I403" s="16"/>
      <c r="J403" s="1"/>
      <c r="K403" s="1"/>
      <c r="L403" s="1"/>
      <c r="M403" s="262"/>
      <c r="N403" s="1"/>
      <c r="O403" s="1"/>
      <c r="P403" s="1"/>
      <c r="Q403" s="1"/>
      <c r="R403" s="1"/>
      <c r="S403" s="1"/>
      <c r="T403" s="1"/>
      <c r="U403" s="1"/>
      <c r="V403" s="1"/>
      <c r="W403" s="1"/>
      <c r="X403" s="1"/>
      <c r="Y403" s="1"/>
      <c r="Z403" s="1"/>
      <c r="AA403" s="1"/>
      <c r="AB403" s="1"/>
    </row>
    <row r="404" spans="1:28" ht="11.25" customHeight="1" x14ac:dyDescent="0.25">
      <c r="A404" s="825"/>
      <c r="B404" s="16"/>
      <c r="C404" s="16"/>
      <c r="D404" s="22"/>
      <c r="E404" s="262"/>
      <c r="F404" s="16"/>
      <c r="G404" s="16"/>
      <c r="H404" s="16"/>
      <c r="I404" s="16"/>
      <c r="J404" s="1"/>
      <c r="K404" s="1"/>
      <c r="L404" s="1"/>
      <c r="M404" s="262"/>
      <c r="N404" s="1"/>
      <c r="O404" s="1"/>
      <c r="P404" s="1"/>
      <c r="Q404" s="1"/>
      <c r="R404" s="1"/>
      <c r="S404" s="1"/>
      <c r="T404" s="1"/>
      <c r="U404" s="1"/>
      <c r="V404" s="1"/>
      <c r="W404" s="1"/>
      <c r="X404" s="1"/>
      <c r="Y404" s="1"/>
      <c r="Z404" s="1"/>
      <c r="AA404" s="1"/>
      <c r="AB404" s="1"/>
    </row>
    <row r="405" spans="1:28" ht="11.25" customHeight="1" x14ac:dyDescent="0.25">
      <c r="A405" s="825"/>
      <c r="B405" s="16"/>
      <c r="C405" s="16"/>
      <c r="D405" s="22"/>
      <c r="E405" s="262"/>
      <c r="F405" s="16"/>
      <c r="G405" s="16"/>
      <c r="H405" s="16"/>
      <c r="I405" s="16"/>
      <c r="J405" s="1"/>
      <c r="K405" s="1"/>
      <c r="L405" s="1"/>
      <c r="M405" s="262"/>
      <c r="N405" s="1"/>
      <c r="O405" s="1"/>
      <c r="P405" s="1"/>
      <c r="Q405" s="1"/>
      <c r="R405" s="1"/>
      <c r="S405" s="1"/>
      <c r="T405" s="1"/>
      <c r="U405" s="1"/>
      <c r="V405" s="1"/>
      <c r="W405" s="1"/>
      <c r="X405" s="1"/>
      <c r="Y405" s="1"/>
      <c r="Z405" s="1"/>
      <c r="AA405" s="1"/>
      <c r="AB405" s="1"/>
    </row>
    <row r="406" spans="1:28" ht="11.25" customHeight="1" x14ac:dyDescent="0.25">
      <c r="A406" s="825"/>
      <c r="B406" s="16"/>
      <c r="C406" s="16"/>
      <c r="D406" s="22"/>
      <c r="E406" s="262"/>
      <c r="F406" s="16"/>
      <c r="G406" s="16"/>
      <c r="H406" s="16"/>
      <c r="I406" s="16"/>
      <c r="J406" s="1"/>
      <c r="K406" s="1"/>
      <c r="L406" s="1"/>
      <c r="M406" s="262"/>
      <c r="N406" s="1"/>
      <c r="O406" s="1"/>
      <c r="P406" s="1"/>
      <c r="Q406" s="1"/>
      <c r="R406" s="1"/>
      <c r="S406" s="1"/>
      <c r="T406" s="1"/>
      <c r="U406" s="1"/>
      <c r="V406" s="1"/>
      <c r="W406" s="1"/>
      <c r="X406" s="1"/>
      <c r="Y406" s="1"/>
      <c r="Z406" s="1"/>
      <c r="AA406" s="1"/>
      <c r="AB406" s="1"/>
    </row>
    <row r="407" spans="1:28" ht="11.25" customHeight="1" x14ac:dyDescent="0.25">
      <c r="A407" s="825"/>
      <c r="B407" s="16"/>
      <c r="C407" s="16"/>
      <c r="D407" s="22"/>
      <c r="E407" s="262"/>
      <c r="F407" s="16"/>
      <c r="G407" s="16"/>
      <c r="H407" s="16"/>
      <c r="I407" s="16"/>
      <c r="J407" s="1"/>
      <c r="K407" s="1"/>
      <c r="L407" s="1"/>
      <c r="M407" s="262"/>
      <c r="N407" s="1"/>
      <c r="O407" s="1"/>
      <c r="P407" s="1"/>
      <c r="Q407" s="1"/>
      <c r="R407" s="1"/>
      <c r="S407" s="1"/>
      <c r="T407" s="1"/>
      <c r="U407" s="1"/>
      <c r="V407" s="1"/>
      <c r="W407" s="1"/>
      <c r="X407" s="1"/>
      <c r="Y407" s="1"/>
      <c r="Z407" s="1"/>
      <c r="AA407" s="1"/>
      <c r="AB407" s="1"/>
    </row>
    <row r="408" spans="1:28" ht="11.25" customHeight="1" x14ac:dyDescent="0.25">
      <c r="A408" s="825"/>
      <c r="B408" s="16"/>
      <c r="C408" s="16"/>
      <c r="D408" s="22"/>
      <c r="E408" s="262"/>
      <c r="F408" s="16"/>
      <c r="G408" s="16"/>
      <c r="H408" s="16"/>
      <c r="I408" s="16"/>
      <c r="J408" s="1"/>
      <c r="K408" s="1"/>
      <c r="L408" s="1"/>
      <c r="M408" s="262"/>
      <c r="N408" s="1"/>
      <c r="O408" s="1"/>
      <c r="P408" s="1"/>
      <c r="Q408" s="1"/>
      <c r="R408" s="1"/>
      <c r="S408" s="1"/>
      <c r="T408" s="1"/>
      <c r="U408" s="1"/>
      <c r="V408" s="1"/>
      <c r="W408" s="1"/>
      <c r="X408" s="1"/>
      <c r="Y408" s="1"/>
      <c r="Z408" s="1"/>
      <c r="AA408" s="1"/>
      <c r="AB408" s="1"/>
    </row>
    <row r="409" spans="1:28" ht="11.25" customHeight="1" x14ac:dyDescent="0.25">
      <c r="A409" s="825"/>
      <c r="B409" s="16"/>
      <c r="C409" s="16"/>
      <c r="D409" s="22"/>
      <c r="E409" s="262"/>
      <c r="F409" s="16"/>
      <c r="G409" s="16"/>
      <c r="H409" s="16"/>
      <c r="I409" s="16"/>
      <c r="J409" s="1"/>
      <c r="K409" s="1"/>
      <c r="L409" s="1"/>
      <c r="M409" s="262"/>
      <c r="N409" s="1"/>
      <c r="O409" s="1"/>
      <c r="P409" s="1"/>
      <c r="Q409" s="1"/>
      <c r="R409" s="1"/>
      <c r="S409" s="1"/>
      <c r="T409" s="1"/>
      <c r="U409" s="1"/>
      <c r="V409" s="1"/>
      <c r="W409" s="1"/>
      <c r="X409" s="1"/>
      <c r="Y409" s="1"/>
      <c r="Z409" s="1"/>
      <c r="AA409" s="1"/>
      <c r="AB409" s="1"/>
    </row>
    <row r="410" spans="1:28" ht="11.25" customHeight="1" x14ac:dyDescent="0.25">
      <c r="A410" s="825"/>
      <c r="B410" s="16"/>
      <c r="C410" s="16"/>
      <c r="D410" s="22"/>
      <c r="E410" s="262"/>
      <c r="F410" s="16"/>
      <c r="G410" s="16"/>
      <c r="H410" s="16"/>
      <c r="I410" s="16"/>
      <c r="J410" s="1"/>
      <c r="K410" s="1"/>
      <c r="L410" s="1"/>
      <c r="M410" s="262"/>
      <c r="N410" s="1"/>
      <c r="O410" s="1"/>
      <c r="P410" s="1"/>
      <c r="Q410" s="1"/>
      <c r="R410" s="1"/>
      <c r="S410" s="1"/>
      <c r="T410" s="1"/>
      <c r="U410" s="1"/>
      <c r="V410" s="1"/>
      <c r="W410" s="1"/>
      <c r="X410" s="1"/>
      <c r="Y410" s="1"/>
      <c r="Z410" s="1"/>
      <c r="AA410" s="1"/>
      <c r="AB410" s="1"/>
    </row>
    <row r="411" spans="1:28" ht="11.25" customHeight="1" x14ac:dyDescent="0.25">
      <c r="A411" s="825"/>
      <c r="B411" s="16"/>
      <c r="C411" s="16"/>
      <c r="D411" s="22"/>
      <c r="E411" s="262"/>
      <c r="F411" s="16"/>
      <c r="G411" s="16"/>
      <c r="H411" s="16"/>
      <c r="I411" s="16"/>
      <c r="J411" s="1"/>
      <c r="K411" s="1"/>
      <c r="L411" s="1"/>
      <c r="M411" s="262"/>
      <c r="N411" s="1"/>
      <c r="O411" s="1"/>
      <c r="P411" s="1"/>
      <c r="Q411" s="1"/>
      <c r="R411" s="1"/>
      <c r="S411" s="1"/>
      <c r="T411" s="1"/>
      <c r="U411" s="1"/>
      <c r="V411" s="1"/>
      <c r="W411" s="1"/>
      <c r="X411" s="1"/>
      <c r="Y411" s="1"/>
      <c r="Z411" s="1"/>
      <c r="AA411" s="1"/>
      <c r="AB411" s="1"/>
    </row>
    <row r="412" spans="1:28" ht="11.25" customHeight="1" x14ac:dyDescent="0.25">
      <c r="A412" s="825"/>
      <c r="B412" s="16"/>
      <c r="C412" s="16"/>
      <c r="D412" s="22"/>
      <c r="E412" s="262"/>
      <c r="F412" s="16"/>
      <c r="G412" s="16"/>
      <c r="H412" s="16"/>
      <c r="I412" s="16"/>
      <c r="J412" s="1"/>
      <c r="K412" s="1"/>
      <c r="L412" s="1"/>
      <c r="M412" s="262"/>
      <c r="N412" s="1"/>
      <c r="O412" s="1"/>
      <c r="P412" s="1"/>
      <c r="Q412" s="1"/>
      <c r="R412" s="1"/>
      <c r="S412" s="1"/>
      <c r="T412" s="1"/>
      <c r="U412" s="1"/>
      <c r="V412" s="1"/>
      <c r="W412" s="1"/>
      <c r="X412" s="1"/>
      <c r="Y412" s="1"/>
      <c r="Z412" s="1"/>
      <c r="AA412" s="1"/>
      <c r="AB412" s="1"/>
    </row>
    <row r="413" spans="1:28" ht="11.25" customHeight="1" x14ac:dyDescent="0.25">
      <c r="A413" s="825"/>
      <c r="B413" s="16"/>
      <c r="C413" s="16"/>
      <c r="D413" s="22"/>
      <c r="E413" s="262"/>
      <c r="F413" s="16"/>
      <c r="G413" s="16"/>
      <c r="H413" s="16"/>
      <c r="I413" s="16"/>
      <c r="J413" s="1"/>
      <c r="K413" s="1"/>
      <c r="L413" s="1"/>
      <c r="M413" s="262"/>
      <c r="N413" s="1"/>
      <c r="O413" s="1"/>
      <c r="P413" s="1"/>
      <c r="Q413" s="1"/>
      <c r="R413" s="1"/>
      <c r="S413" s="1"/>
      <c r="T413" s="1"/>
      <c r="U413" s="1"/>
      <c r="V413" s="1"/>
      <c r="W413" s="1"/>
      <c r="X413" s="1"/>
      <c r="Y413" s="1"/>
      <c r="Z413" s="1"/>
      <c r="AA413" s="1"/>
      <c r="AB413" s="1"/>
    </row>
    <row r="414" spans="1:28" ht="11.25" customHeight="1" x14ac:dyDescent="0.25">
      <c r="A414" s="825"/>
      <c r="B414" s="16"/>
      <c r="C414" s="16"/>
      <c r="D414" s="22"/>
      <c r="E414" s="262"/>
      <c r="F414" s="16"/>
      <c r="G414" s="16"/>
      <c r="H414" s="16"/>
      <c r="I414" s="16"/>
      <c r="J414" s="1"/>
      <c r="K414" s="1"/>
      <c r="L414" s="1"/>
      <c r="M414" s="262"/>
      <c r="N414" s="1"/>
      <c r="O414" s="1"/>
      <c r="P414" s="1"/>
      <c r="Q414" s="1"/>
      <c r="R414" s="1"/>
      <c r="S414" s="1"/>
      <c r="T414" s="1"/>
      <c r="U414" s="1"/>
      <c r="V414" s="1"/>
      <c r="W414" s="1"/>
      <c r="X414" s="1"/>
      <c r="Y414" s="1"/>
      <c r="Z414" s="1"/>
      <c r="AA414" s="1"/>
      <c r="AB414" s="1"/>
    </row>
    <row r="415" spans="1:28" ht="11.25" customHeight="1" x14ac:dyDescent="0.25">
      <c r="A415" s="825"/>
      <c r="B415" s="16"/>
      <c r="C415" s="16"/>
      <c r="D415" s="22"/>
      <c r="E415" s="262"/>
      <c r="F415" s="16"/>
      <c r="G415" s="16"/>
      <c r="H415" s="16"/>
      <c r="I415" s="16"/>
      <c r="J415" s="1"/>
      <c r="K415" s="1"/>
      <c r="L415" s="1"/>
      <c r="M415" s="262"/>
      <c r="N415" s="1"/>
      <c r="O415" s="1"/>
      <c r="P415" s="1"/>
      <c r="Q415" s="1"/>
      <c r="R415" s="1"/>
      <c r="S415" s="1"/>
      <c r="T415" s="1"/>
      <c r="U415" s="1"/>
      <c r="V415" s="1"/>
      <c r="W415" s="1"/>
      <c r="X415" s="1"/>
      <c r="Y415" s="1"/>
      <c r="Z415" s="1"/>
      <c r="AA415" s="1"/>
      <c r="AB415" s="1"/>
    </row>
    <row r="416" spans="1:28" ht="11.25" customHeight="1" x14ac:dyDescent="0.25">
      <c r="A416" s="825"/>
      <c r="B416" s="16"/>
      <c r="C416" s="16"/>
      <c r="D416" s="22"/>
      <c r="E416" s="262"/>
      <c r="F416" s="16"/>
      <c r="G416" s="16"/>
      <c r="H416" s="16"/>
      <c r="I416" s="16"/>
      <c r="J416" s="1"/>
      <c r="K416" s="1"/>
      <c r="L416" s="1"/>
      <c r="M416" s="262"/>
      <c r="N416" s="1"/>
      <c r="O416" s="1"/>
      <c r="P416" s="1"/>
      <c r="Q416" s="1"/>
      <c r="R416" s="1"/>
      <c r="S416" s="1"/>
      <c r="T416" s="1"/>
      <c r="U416" s="1"/>
      <c r="V416" s="1"/>
      <c r="W416" s="1"/>
      <c r="X416" s="1"/>
      <c r="Y416" s="1"/>
      <c r="Z416" s="1"/>
      <c r="AA416" s="1"/>
      <c r="AB416" s="1"/>
    </row>
    <row r="417" spans="1:28" ht="11.25" customHeight="1" x14ac:dyDescent="0.25">
      <c r="A417" s="825"/>
      <c r="B417" s="16"/>
      <c r="C417" s="16"/>
      <c r="D417" s="22"/>
      <c r="E417" s="262"/>
      <c r="F417" s="16"/>
      <c r="G417" s="16"/>
      <c r="H417" s="16"/>
      <c r="I417" s="16"/>
      <c r="J417" s="1"/>
      <c r="K417" s="1"/>
      <c r="L417" s="1"/>
      <c r="M417" s="262"/>
      <c r="N417" s="1"/>
      <c r="O417" s="1"/>
      <c r="P417" s="1"/>
      <c r="Q417" s="1"/>
      <c r="R417" s="1"/>
      <c r="S417" s="1"/>
      <c r="T417" s="1"/>
      <c r="U417" s="1"/>
      <c r="V417" s="1"/>
      <c r="W417" s="1"/>
      <c r="X417" s="1"/>
      <c r="Y417" s="1"/>
      <c r="Z417" s="1"/>
      <c r="AA417" s="1"/>
      <c r="AB417" s="1"/>
    </row>
    <row r="418" spans="1:28" ht="11.25" customHeight="1" x14ac:dyDescent="0.25">
      <c r="A418" s="825"/>
      <c r="B418" s="16"/>
      <c r="C418" s="16"/>
      <c r="D418" s="22"/>
      <c r="E418" s="262"/>
      <c r="F418" s="16"/>
      <c r="G418" s="16"/>
      <c r="H418" s="16"/>
      <c r="I418" s="16"/>
      <c r="J418" s="1"/>
      <c r="K418" s="1"/>
      <c r="L418" s="1"/>
      <c r="M418" s="262"/>
      <c r="N418" s="1"/>
      <c r="O418" s="1"/>
      <c r="P418" s="1"/>
      <c r="Q418" s="1"/>
      <c r="R418" s="1"/>
      <c r="S418" s="1"/>
      <c r="T418" s="1"/>
      <c r="U418" s="1"/>
      <c r="V418" s="1"/>
      <c r="W418" s="1"/>
      <c r="X418" s="1"/>
      <c r="Y418" s="1"/>
      <c r="Z418" s="1"/>
      <c r="AA418" s="1"/>
      <c r="AB418" s="1"/>
    </row>
    <row r="419" spans="1:28" ht="11.25" customHeight="1" x14ac:dyDescent="0.25">
      <c r="A419" s="825"/>
      <c r="B419" s="16"/>
      <c r="C419" s="16"/>
      <c r="D419" s="22"/>
      <c r="E419" s="262"/>
      <c r="F419" s="16"/>
      <c r="G419" s="16"/>
      <c r="H419" s="16"/>
      <c r="I419" s="16"/>
      <c r="J419" s="1"/>
      <c r="K419" s="1"/>
      <c r="L419" s="1"/>
      <c r="M419" s="262"/>
      <c r="N419" s="1"/>
      <c r="O419" s="1"/>
      <c r="P419" s="1"/>
      <c r="Q419" s="1"/>
      <c r="R419" s="1"/>
      <c r="S419" s="1"/>
      <c r="T419" s="1"/>
      <c r="U419" s="1"/>
      <c r="V419" s="1"/>
      <c r="W419" s="1"/>
      <c r="X419" s="1"/>
      <c r="Y419" s="1"/>
      <c r="Z419" s="1"/>
      <c r="AA419" s="1"/>
      <c r="AB419" s="1"/>
    </row>
    <row r="420" spans="1:28" ht="11.25" customHeight="1" x14ac:dyDescent="0.25">
      <c r="A420" s="825"/>
      <c r="B420" s="16"/>
      <c r="C420" s="16"/>
      <c r="D420" s="22"/>
      <c r="E420" s="262"/>
      <c r="F420" s="16"/>
      <c r="G420" s="16"/>
      <c r="H420" s="16"/>
      <c r="I420" s="16"/>
      <c r="J420" s="1"/>
      <c r="K420" s="1"/>
      <c r="L420" s="1"/>
      <c r="M420" s="262"/>
      <c r="N420" s="1"/>
      <c r="O420" s="1"/>
      <c r="P420" s="1"/>
      <c r="Q420" s="1"/>
      <c r="R420" s="1"/>
      <c r="S420" s="1"/>
      <c r="T420" s="1"/>
      <c r="U420" s="1"/>
      <c r="V420" s="1"/>
      <c r="W420" s="1"/>
      <c r="X420" s="1"/>
      <c r="Y420" s="1"/>
      <c r="Z420" s="1"/>
      <c r="AA420" s="1"/>
      <c r="AB420" s="1"/>
    </row>
    <row r="421" spans="1:28" ht="11.25" customHeight="1" x14ac:dyDescent="0.25">
      <c r="A421" s="825"/>
      <c r="B421" s="16"/>
      <c r="C421" s="16"/>
      <c r="D421" s="22"/>
      <c r="E421" s="262"/>
      <c r="F421" s="16"/>
      <c r="G421" s="16"/>
      <c r="H421" s="16"/>
      <c r="I421" s="16"/>
      <c r="J421" s="1"/>
      <c r="K421" s="1"/>
      <c r="L421" s="1"/>
      <c r="M421" s="262"/>
      <c r="N421" s="1"/>
      <c r="O421" s="1"/>
      <c r="P421" s="1"/>
      <c r="Q421" s="1"/>
      <c r="R421" s="1"/>
      <c r="S421" s="1"/>
      <c r="T421" s="1"/>
      <c r="U421" s="1"/>
      <c r="V421" s="1"/>
      <c r="W421" s="1"/>
      <c r="X421" s="1"/>
      <c r="Y421" s="1"/>
      <c r="Z421" s="1"/>
      <c r="AA421" s="1"/>
      <c r="AB421" s="1"/>
    </row>
    <row r="422" spans="1:28" ht="11.25" customHeight="1" x14ac:dyDescent="0.25">
      <c r="A422" s="825"/>
      <c r="B422" s="16"/>
      <c r="C422" s="16"/>
      <c r="D422" s="22"/>
      <c r="E422" s="262"/>
      <c r="F422" s="16"/>
      <c r="G422" s="16"/>
      <c r="H422" s="16"/>
      <c r="I422" s="16"/>
      <c r="J422" s="1"/>
      <c r="K422" s="1"/>
      <c r="L422" s="1"/>
      <c r="M422" s="262"/>
      <c r="N422" s="1"/>
      <c r="O422" s="1"/>
      <c r="P422" s="1"/>
      <c r="Q422" s="1"/>
      <c r="R422" s="1"/>
      <c r="S422" s="1"/>
      <c r="T422" s="1"/>
      <c r="U422" s="1"/>
      <c r="V422" s="1"/>
      <c r="W422" s="1"/>
      <c r="X422" s="1"/>
      <c r="Y422" s="1"/>
      <c r="Z422" s="1"/>
      <c r="AA422" s="1"/>
      <c r="AB422" s="1"/>
    </row>
    <row r="423" spans="1:28" ht="11.25" customHeight="1" x14ac:dyDescent="0.25">
      <c r="A423" s="825"/>
      <c r="B423" s="16"/>
      <c r="C423" s="16"/>
      <c r="D423" s="22"/>
      <c r="E423" s="262"/>
      <c r="F423" s="16"/>
      <c r="G423" s="16"/>
      <c r="H423" s="16"/>
      <c r="I423" s="16"/>
      <c r="J423" s="1"/>
      <c r="K423" s="1"/>
      <c r="L423" s="1"/>
      <c r="M423" s="262"/>
      <c r="N423" s="1"/>
      <c r="O423" s="1"/>
      <c r="P423" s="1"/>
      <c r="Q423" s="1"/>
      <c r="R423" s="1"/>
      <c r="S423" s="1"/>
      <c r="T423" s="1"/>
      <c r="U423" s="1"/>
      <c r="V423" s="1"/>
      <c r="W423" s="1"/>
      <c r="X423" s="1"/>
      <c r="Y423" s="1"/>
      <c r="Z423" s="1"/>
      <c r="AA423" s="1"/>
      <c r="AB423" s="1"/>
    </row>
    <row r="424" spans="1:28" ht="11.25" customHeight="1" x14ac:dyDescent="0.25">
      <c r="A424" s="825"/>
      <c r="B424" s="16"/>
      <c r="C424" s="16"/>
      <c r="D424" s="22"/>
      <c r="E424" s="262"/>
      <c r="F424" s="16"/>
      <c r="G424" s="16"/>
      <c r="H424" s="16"/>
      <c r="I424" s="16"/>
      <c r="J424" s="1"/>
      <c r="K424" s="1"/>
      <c r="L424" s="1"/>
      <c r="M424" s="262"/>
      <c r="N424" s="1"/>
      <c r="O424" s="1"/>
      <c r="P424" s="1"/>
      <c r="Q424" s="1"/>
      <c r="R424" s="1"/>
      <c r="S424" s="1"/>
      <c r="T424" s="1"/>
      <c r="U424" s="1"/>
      <c r="V424" s="1"/>
      <c r="W424" s="1"/>
      <c r="X424" s="1"/>
      <c r="Y424" s="1"/>
      <c r="Z424" s="1"/>
      <c r="AA424" s="1"/>
      <c r="AB424" s="1"/>
    </row>
    <row r="425" spans="1:28" ht="11.25" customHeight="1" x14ac:dyDescent="0.25">
      <c r="A425" s="825"/>
      <c r="B425" s="16"/>
      <c r="C425" s="16"/>
      <c r="D425" s="22"/>
      <c r="E425" s="262"/>
      <c r="F425" s="16"/>
      <c r="G425" s="16"/>
      <c r="H425" s="16"/>
      <c r="I425" s="16"/>
      <c r="J425" s="1"/>
      <c r="K425" s="1"/>
      <c r="L425" s="1"/>
      <c r="M425" s="262"/>
      <c r="N425" s="1"/>
      <c r="O425" s="1"/>
      <c r="P425" s="1"/>
      <c r="Q425" s="1"/>
      <c r="R425" s="1"/>
      <c r="S425" s="1"/>
      <c r="T425" s="1"/>
      <c r="U425" s="1"/>
      <c r="V425" s="1"/>
      <c r="W425" s="1"/>
      <c r="X425" s="1"/>
      <c r="Y425" s="1"/>
      <c r="Z425" s="1"/>
      <c r="AA425" s="1"/>
      <c r="AB425" s="1"/>
    </row>
    <row r="426" spans="1:28" ht="11.25" customHeight="1" x14ac:dyDescent="0.25">
      <c r="A426" s="825"/>
      <c r="B426" s="16"/>
      <c r="C426" s="16"/>
      <c r="D426" s="22"/>
      <c r="E426" s="262"/>
      <c r="F426" s="16"/>
      <c r="G426" s="16"/>
      <c r="H426" s="16"/>
      <c r="I426" s="16"/>
      <c r="J426" s="1"/>
      <c r="K426" s="1"/>
      <c r="L426" s="1"/>
      <c r="M426" s="262"/>
      <c r="N426" s="1"/>
      <c r="O426" s="1"/>
      <c r="P426" s="1"/>
      <c r="Q426" s="1"/>
      <c r="R426" s="1"/>
      <c r="S426" s="1"/>
      <c r="T426" s="1"/>
      <c r="U426" s="1"/>
      <c r="V426" s="1"/>
      <c r="W426" s="1"/>
      <c r="X426" s="1"/>
      <c r="Y426" s="1"/>
      <c r="Z426" s="1"/>
      <c r="AA426" s="1"/>
      <c r="AB426" s="1"/>
    </row>
    <row r="427" spans="1:28" ht="11.25" customHeight="1" x14ac:dyDescent="0.25">
      <c r="A427" s="825"/>
      <c r="B427" s="16"/>
      <c r="C427" s="16"/>
      <c r="D427" s="22"/>
      <c r="E427" s="262"/>
      <c r="F427" s="16"/>
      <c r="G427" s="16"/>
      <c r="H427" s="16"/>
      <c r="I427" s="16"/>
      <c r="J427" s="1"/>
      <c r="K427" s="1"/>
      <c r="L427" s="1"/>
      <c r="M427" s="262"/>
      <c r="N427" s="1"/>
      <c r="O427" s="1"/>
      <c r="P427" s="1"/>
      <c r="Q427" s="1"/>
      <c r="R427" s="1"/>
      <c r="S427" s="1"/>
      <c r="T427" s="1"/>
      <c r="U427" s="1"/>
      <c r="V427" s="1"/>
      <c r="W427" s="1"/>
      <c r="X427" s="1"/>
      <c r="Y427" s="1"/>
      <c r="Z427" s="1"/>
      <c r="AA427" s="1"/>
      <c r="AB427" s="1"/>
    </row>
    <row r="428" spans="1:28" ht="11.25" customHeight="1" x14ac:dyDescent="0.25">
      <c r="A428" s="825"/>
      <c r="B428" s="16"/>
      <c r="C428" s="16"/>
      <c r="D428" s="22"/>
      <c r="E428" s="262"/>
      <c r="F428" s="16"/>
      <c r="G428" s="16"/>
      <c r="H428" s="16"/>
      <c r="I428" s="16"/>
      <c r="J428" s="1"/>
      <c r="K428" s="1"/>
      <c r="L428" s="1"/>
      <c r="M428" s="262"/>
      <c r="N428" s="1"/>
      <c r="O428" s="1"/>
      <c r="P428" s="1"/>
      <c r="Q428" s="1"/>
      <c r="R428" s="1"/>
      <c r="S428" s="1"/>
      <c r="T428" s="1"/>
      <c r="U428" s="1"/>
      <c r="V428" s="1"/>
      <c r="W428" s="1"/>
      <c r="X428" s="1"/>
      <c r="Y428" s="1"/>
      <c r="Z428" s="1"/>
      <c r="AA428" s="1"/>
      <c r="AB428" s="1"/>
    </row>
    <row r="429" spans="1:28" ht="11.25" customHeight="1" x14ac:dyDescent="0.25">
      <c r="A429" s="825"/>
      <c r="B429" s="16"/>
      <c r="C429" s="16"/>
      <c r="D429" s="22"/>
      <c r="E429" s="262"/>
      <c r="F429" s="16"/>
      <c r="G429" s="16"/>
      <c r="H429" s="16"/>
      <c r="I429" s="16"/>
      <c r="J429" s="1"/>
      <c r="K429" s="1"/>
      <c r="L429" s="1"/>
      <c r="M429" s="262"/>
      <c r="N429" s="1"/>
      <c r="O429" s="1"/>
      <c r="P429" s="1"/>
      <c r="Q429" s="1"/>
      <c r="R429" s="1"/>
      <c r="S429" s="1"/>
      <c r="T429" s="1"/>
      <c r="U429" s="1"/>
      <c r="V429" s="1"/>
      <c r="W429" s="1"/>
      <c r="X429" s="1"/>
      <c r="Y429" s="1"/>
      <c r="Z429" s="1"/>
      <c r="AA429" s="1"/>
      <c r="AB429" s="1"/>
    </row>
    <row r="430" spans="1:28" ht="11.25" customHeight="1" x14ac:dyDescent="0.25">
      <c r="A430" s="825"/>
      <c r="B430" s="16"/>
      <c r="C430" s="16"/>
      <c r="D430" s="22"/>
      <c r="E430" s="262"/>
      <c r="F430" s="16"/>
      <c r="G430" s="16"/>
      <c r="H430" s="16"/>
      <c r="I430" s="16"/>
      <c r="J430" s="1"/>
      <c r="K430" s="1"/>
      <c r="L430" s="1"/>
      <c r="M430" s="262"/>
      <c r="N430" s="1"/>
      <c r="O430" s="1"/>
      <c r="P430" s="1"/>
      <c r="Q430" s="1"/>
      <c r="R430" s="1"/>
      <c r="S430" s="1"/>
      <c r="T430" s="1"/>
      <c r="U430" s="1"/>
      <c r="V430" s="1"/>
      <c r="W430" s="1"/>
      <c r="X430" s="1"/>
      <c r="Y430" s="1"/>
      <c r="Z430" s="1"/>
      <c r="AA430" s="1"/>
      <c r="AB430" s="1"/>
    </row>
    <row r="431" spans="1:28" ht="11.25" customHeight="1" x14ac:dyDescent="0.25">
      <c r="A431" s="825"/>
      <c r="B431" s="16"/>
      <c r="C431" s="16"/>
      <c r="D431" s="22"/>
      <c r="E431" s="262"/>
      <c r="F431" s="16"/>
      <c r="G431" s="16"/>
      <c r="H431" s="16"/>
      <c r="I431" s="16"/>
      <c r="J431" s="1"/>
      <c r="K431" s="1"/>
      <c r="L431" s="1"/>
      <c r="M431" s="262"/>
      <c r="N431" s="1"/>
      <c r="O431" s="1"/>
      <c r="P431" s="1"/>
      <c r="Q431" s="1"/>
      <c r="R431" s="1"/>
      <c r="S431" s="1"/>
      <c r="T431" s="1"/>
      <c r="U431" s="1"/>
      <c r="V431" s="1"/>
      <c r="W431" s="1"/>
      <c r="X431" s="1"/>
      <c r="Y431" s="1"/>
      <c r="Z431" s="1"/>
      <c r="AA431" s="1"/>
      <c r="AB431" s="1"/>
    </row>
    <row r="432" spans="1:28" ht="11.25" customHeight="1" x14ac:dyDescent="0.25">
      <c r="A432" s="825"/>
      <c r="B432" s="16"/>
      <c r="C432" s="16"/>
      <c r="D432" s="22"/>
      <c r="E432" s="262"/>
      <c r="F432" s="16"/>
      <c r="G432" s="16"/>
      <c r="H432" s="16"/>
      <c r="I432" s="16"/>
      <c r="J432" s="1"/>
      <c r="K432" s="1"/>
      <c r="L432" s="1"/>
      <c r="M432" s="262"/>
      <c r="N432" s="1"/>
      <c r="O432" s="1"/>
      <c r="P432" s="1"/>
      <c r="Q432" s="1"/>
      <c r="R432" s="1"/>
      <c r="S432" s="1"/>
      <c r="T432" s="1"/>
      <c r="U432" s="1"/>
      <c r="V432" s="1"/>
      <c r="W432" s="1"/>
      <c r="X432" s="1"/>
      <c r="Y432" s="1"/>
      <c r="Z432" s="1"/>
      <c r="AA432" s="1"/>
      <c r="AB432" s="1"/>
    </row>
    <row r="433" spans="1:28" ht="11.25" customHeight="1" x14ac:dyDescent="0.25">
      <c r="A433" s="825"/>
      <c r="B433" s="16"/>
      <c r="C433" s="16"/>
      <c r="D433" s="22"/>
      <c r="E433" s="262"/>
      <c r="F433" s="16"/>
      <c r="G433" s="16"/>
      <c r="H433" s="16"/>
      <c r="I433" s="16"/>
      <c r="J433" s="1"/>
      <c r="K433" s="1"/>
      <c r="L433" s="1"/>
      <c r="M433" s="262"/>
      <c r="N433" s="1"/>
      <c r="O433" s="1"/>
      <c r="P433" s="1"/>
      <c r="Q433" s="1"/>
      <c r="R433" s="1"/>
      <c r="S433" s="1"/>
      <c r="T433" s="1"/>
      <c r="U433" s="1"/>
      <c r="V433" s="1"/>
      <c r="W433" s="1"/>
      <c r="X433" s="1"/>
      <c r="Y433" s="1"/>
      <c r="Z433" s="1"/>
      <c r="AA433" s="1"/>
      <c r="AB433" s="1"/>
    </row>
    <row r="434" spans="1:28" ht="11.25" customHeight="1" x14ac:dyDescent="0.25">
      <c r="A434" s="825"/>
      <c r="B434" s="16"/>
      <c r="C434" s="16"/>
      <c r="D434" s="22"/>
      <c r="E434" s="262"/>
      <c r="F434" s="16"/>
      <c r="G434" s="16"/>
      <c r="H434" s="16"/>
      <c r="I434" s="16"/>
      <c r="J434" s="1"/>
      <c r="K434" s="1"/>
      <c r="L434" s="1"/>
      <c r="M434" s="262"/>
      <c r="N434" s="1"/>
      <c r="O434" s="1"/>
      <c r="P434" s="1"/>
      <c r="Q434" s="1"/>
      <c r="R434" s="1"/>
      <c r="S434" s="1"/>
      <c r="T434" s="1"/>
      <c r="U434" s="1"/>
      <c r="V434" s="1"/>
      <c r="W434" s="1"/>
      <c r="X434" s="1"/>
      <c r="Y434" s="1"/>
      <c r="Z434" s="1"/>
      <c r="AA434" s="1"/>
      <c r="AB434" s="1"/>
    </row>
    <row r="435" spans="1:28" ht="11.25" customHeight="1" x14ac:dyDescent="0.25">
      <c r="A435" s="825"/>
      <c r="B435" s="16"/>
      <c r="C435" s="16"/>
      <c r="D435" s="22"/>
      <c r="E435" s="262"/>
      <c r="F435" s="16"/>
      <c r="G435" s="16"/>
      <c r="H435" s="16"/>
      <c r="I435" s="16"/>
      <c r="J435" s="1"/>
      <c r="K435" s="1"/>
      <c r="L435" s="1"/>
      <c r="M435" s="262"/>
      <c r="N435" s="1"/>
      <c r="O435" s="1"/>
      <c r="P435" s="1"/>
      <c r="Q435" s="1"/>
      <c r="R435" s="1"/>
      <c r="S435" s="1"/>
      <c r="T435" s="1"/>
      <c r="U435" s="1"/>
      <c r="V435" s="1"/>
      <c r="W435" s="1"/>
      <c r="X435" s="1"/>
      <c r="Y435" s="1"/>
      <c r="Z435" s="1"/>
      <c r="AA435" s="1"/>
      <c r="AB435" s="1"/>
    </row>
    <row r="436" spans="1:28" ht="11.25" customHeight="1" x14ac:dyDescent="0.25">
      <c r="A436" s="825"/>
      <c r="B436" s="16"/>
      <c r="C436" s="16"/>
      <c r="D436" s="22"/>
      <c r="E436" s="262"/>
      <c r="F436" s="16"/>
      <c r="G436" s="16"/>
      <c r="H436" s="16"/>
      <c r="I436" s="16"/>
      <c r="J436" s="1"/>
      <c r="K436" s="1"/>
      <c r="L436" s="1"/>
      <c r="M436" s="262"/>
      <c r="N436" s="1"/>
      <c r="O436" s="1"/>
      <c r="P436" s="1"/>
      <c r="Q436" s="1"/>
      <c r="R436" s="1"/>
      <c r="S436" s="1"/>
      <c r="T436" s="1"/>
      <c r="U436" s="1"/>
      <c r="V436" s="1"/>
      <c r="W436" s="1"/>
      <c r="X436" s="1"/>
      <c r="Y436" s="1"/>
      <c r="Z436" s="1"/>
      <c r="AA436" s="1"/>
      <c r="AB436" s="1"/>
    </row>
    <row r="437" spans="1:28" ht="11.25" customHeight="1" x14ac:dyDescent="0.25">
      <c r="A437" s="825"/>
      <c r="B437" s="16"/>
      <c r="C437" s="16"/>
      <c r="D437" s="22"/>
      <c r="E437" s="262"/>
      <c r="F437" s="16"/>
      <c r="G437" s="16"/>
      <c r="H437" s="16"/>
      <c r="I437" s="16"/>
      <c r="J437" s="1"/>
      <c r="K437" s="1"/>
      <c r="L437" s="1"/>
      <c r="M437" s="262"/>
      <c r="N437" s="1"/>
      <c r="O437" s="1"/>
      <c r="P437" s="1"/>
      <c r="Q437" s="1"/>
      <c r="R437" s="1"/>
      <c r="S437" s="1"/>
      <c r="T437" s="1"/>
      <c r="U437" s="1"/>
      <c r="V437" s="1"/>
      <c r="W437" s="1"/>
      <c r="X437" s="1"/>
      <c r="Y437" s="1"/>
      <c r="Z437" s="1"/>
      <c r="AA437" s="1"/>
      <c r="AB437" s="1"/>
    </row>
    <row r="438" spans="1:28" ht="11.25" customHeight="1" x14ac:dyDescent="0.25">
      <c r="A438" s="825"/>
      <c r="B438" s="16"/>
      <c r="C438" s="16"/>
      <c r="D438" s="22"/>
      <c r="E438" s="262"/>
      <c r="F438" s="16"/>
      <c r="G438" s="16"/>
      <c r="H438" s="16"/>
      <c r="I438" s="16"/>
      <c r="J438" s="1"/>
      <c r="K438" s="1"/>
      <c r="L438" s="1"/>
      <c r="M438" s="262"/>
      <c r="N438" s="1"/>
      <c r="O438" s="1"/>
      <c r="P438" s="1"/>
      <c r="Q438" s="1"/>
      <c r="R438" s="1"/>
      <c r="S438" s="1"/>
      <c r="T438" s="1"/>
      <c r="U438" s="1"/>
      <c r="V438" s="1"/>
      <c r="W438" s="1"/>
      <c r="X438" s="1"/>
      <c r="Y438" s="1"/>
      <c r="Z438" s="1"/>
      <c r="AA438" s="1"/>
      <c r="AB438" s="1"/>
    </row>
    <row r="439" spans="1:28" ht="11.25" customHeight="1" x14ac:dyDescent="0.25">
      <c r="A439" s="825"/>
      <c r="B439" s="16"/>
      <c r="C439" s="16"/>
      <c r="D439" s="22"/>
      <c r="E439" s="262"/>
      <c r="F439" s="16"/>
      <c r="G439" s="16"/>
      <c r="H439" s="16"/>
      <c r="I439" s="16"/>
      <c r="J439" s="1"/>
      <c r="K439" s="1"/>
      <c r="L439" s="1"/>
      <c r="M439" s="262"/>
      <c r="N439" s="1"/>
      <c r="O439" s="1"/>
      <c r="P439" s="1"/>
      <c r="Q439" s="1"/>
      <c r="R439" s="1"/>
      <c r="S439" s="1"/>
      <c r="T439" s="1"/>
      <c r="U439" s="1"/>
      <c r="V439" s="1"/>
      <c r="W439" s="1"/>
      <c r="X439" s="1"/>
      <c r="Y439" s="1"/>
      <c r="Z439" s="1"/>
      <c r="AA439" s="1"/>
      <c r="AB439" s="1"/>
    </row>
    <row r="440" spans="1:28" ht="11.25" customHeight="1" x14ac:dyDescent="0.25">
      <c r="A440" s="825"/>
      <c r="B440" s="16"/>
      <c r="C440" s="16"/>
      <c r="D440" s="22"/>
      <c r="E440" s="262"/>
      <c r="F440" s="16"/>
      <c r="G440" s="16"/>
      <c r="H440" s="16"/>
      <c r="I440" s="16"/>
      <c r="J440" s="1"/>
      <c r="K440" s="1"/>
      <c r="L440" s="1"/>
      <c r="M440" s="262"/>
      <c r="N440" s="1"/>
      <c r="O440" s="1"/>
      <c r="P440" s="1"/>
      <c r="Q440" s="1"/>
      <c r="R440" s="1"/>
      <c r="S440" s="1"/>
      <c r="T440" s="1"/>
      <c r="U440" s="1"/>
      <c r="V440" s="1"/>
      <c r="W440" s="1"/>
      <c r="X440" s="1"/>
      <c r="Y440" s="1"/>
      <c r="Z440" s="1"/>
      <c r="AA440" s="1"/>
      <c r="AB440" s="1"/>
    </row>
    <row r="441" spans="1:28" ht="11.25" customHeight="1" x14ac:dyDescent="0.25">
      <c r="A441" s="825"/>
      <c r="B441" s="16"/>
      <c r="C441" s="16"/>
      <c r="D441" s="22"/>
      <c r="E441" s="262"/>
      <c r="F441" s="16"/>
      <c r="G441" s="16"/>
      <c r="H441" s="16"/>
      <c r="I441" s="16"/>
      <c r="J441" s="1"/>
      <c r="K441" s="1"/>
      <c r="L441" s="1"/>
      <c r="M441" s="262"/>
      <c r="N441" s="1"/>
      <c r="O441" s="1"/>
      <c r="P441" s="1"/>
      <c r="Q441" s="1"/>
      <c r="R441" s="1"/>
      <c r="S441" s="1"/>
      <c r="T441" s="1"/>
      <c r="U441" s="1"/>
      <c r="V441" s="1"/>
      <c r="W441" s="1"/>
      <c r="X441" s="1"/>
      <c r="Y441" s="1"/>
      <c r="Z441" s="1"/>
      <c r="AA441" s="1"/>
      <c r="AB441" s="1"/>
    </row>
    <row r="442" spans="1:28" ht="11.25" customHeight="1" x14ac:dyDescent="0.25">
      <c r="A442" s="825"/>
      <c r="B442" s="16"/>
      <c r="C442" s="16"/>
      <c r="D442" s="22"/>
      <c r="E442" s="262"/>
      <c r="F442" s="16"/>
      <c r="G442" s="16"/>
      <c r="H442" s="16"/>
      <c r="I442" s="16"/>
      <c r="J442" s="1"/>
      <c r="K442" s="1"/>
      <c r="L442" s="1"/>
      <c r="M442" s="262"/>
      <c r="N442" s="1"/>
      <c r="O442" s="1"/>
      <c r="P442" s="1"/>
      <c r="Q442" s="1"/>
      <c r="R442" s="1"/>
      <c r="S442" s="1"/>
      <c r="T442" s="1"/>
      <c r="U442" s="1"/>
      <c r="V442" s="1"/>
      <c r="W442" s="1"/>
      <c r="X442" s="1"/>
      <c r="Y442" s="1"/>
      <c r="Z442" s="1"/>
      <c r="AA442" s="1"/>
      <c r="AB442" s="1"/>
    </row>
    <row r="443" spans="1:28" ht="11.25" customHeight="1" x14ac:dyDescent="0.25">
      <c r="A443" s="825"/>
      <c r="B443" s="16"/>
      <c r="C443" s="16"/>
      <c r="D443" s="22"/>
      <c r="E443" s="262"/>
      <c r="F443" s="16"/>
      <c r="G443" s="16"/>
      <c r="H443" s="16"/>
      <c r="I443" s="16"/>
      <c r="J443" s="1"/>
      <c r="K443" s="1"/>
      <c r="L443" s="1"/>
      <c r="M443" s="262"/>
      <c r="N443" s="1"/>
      <c r="O443" s="1"/>
      <c r="P443" s="1"/>
      <c r="Q443" s="1"/>
      <c r="R443" s="1"/>
      <c r="S443" s="1"/>
      <c r="T443" s="1"/>
      <c r="U443" s="1"/>
      <c r="V443" s="1"/>
      <c r="W443" s="1"/>
      <c r="X443" s="1"/>
      <c r="Y443" s="1"/>
      <c r="Z443" s="1"/>
      <c r="AA443" s="1"/>
      <c r="AB443" s="1"/>
    </row>
    <row r="444" spans="1:28" ht="11.25" customHeight="1" x14ac:dyDescent="0.25">
      <c r="A444" s="825"/>
      <c r="B444" s="16"/>
      <c r="C444" s="16"/>
      <c r="D444" s="22"/>
      <c r="E444" s="262"/>
      <c r="F444" s="16"/>
      <c r="G444" s="16"/>
      <c r="H444" s="16"/>
      <c r="I444" s="16"/>
      <c r="J444" s="1"/>
      <c r="K444" s="1"/>
      <c r="L444" s="1"/>
      <c r="M444" s="262"/>
      <c r="N444" s="1"/>
      <c r="O444" s="1"/>
      <c r="P444" s="1"/>
      <c r="Q444" s="1"/>
      <c r="R444" s="1"/>
      <c r="S444" s="1"/>
      <c r="T444" s="1"/>
      <c r="U444" s="1"/>
      <c r="V444" s="1"/>
      <c r="W444" s="1"/>
      <c r="X444" s="1"/>
      <c r="Y444" s="1"/>
      <c r="Z444" s="1"/>
      <c r="AA444" s="1"/>
      <c r="AB444" s="1"/>
    </row>
    <row r="445" spans="1:28" ht="11.25" customHeight="1" x14ac:dyDescent="0.25">
      <c r="A445" s="825"/>
      <c r="B445" s="16"/>
      <c r="C445" s="16"/>
      <c r="D445" s="22"/>
      <c r="E445" s="262"/>
      <c r="F445" s="16"/>
      <c r="G445" s="16"/>
      <c r="H445" s="16"/>
      <c r="I445" s="16"/>
      <c r="J445" s="1"/>
      <c r="K445" s="1"/>
      <c r="L445" s="1"/>
      <c r="M445" s="262"/>
      <c r="N445" s="1"/>
      <c r="O445" s="1"/>
      <c r="P445" s="1"/>
      <c r="Q445" s="1"/>
      <c r="R445" s="1"/>
      <c r="S445" s="1"/>
      <c r="T445" s="1"/>
      <c r="U445" s="1"/>
      <c r="V445" s="1"/>
      <c r="W445" s="1"/>
      <c r="X445" s="1"/>
      <c r="Y445" s="1"/>
      <c r="Z445" s="1"/>
      <c r="AA445" s="1"/>
      <c r="AB445" s="1"/>
    </row>
    <row r="446" spans="1:28" ht="11.25" customHeight="1" x14ac:dyDescent="0.25">
      <c r="A446" s="825"/>
      <c r="B446" s="16"/>
      <c r="C446" s="16"/>
      <c r="D446" s="22"/>
      <c r="E446" s="262"/>
      <c r="F446" s="16"/>
      <c r="G446" s="16"/>
      <c r="H446" s="16"/>
      <c r="I446" s="16"/>
      <c r="J446" s="1"/>
      <c r="K446" s="1"/>
      <c r="L446" s="1"/>
      <c r="M446" s="262"/>
      <c r="N446" s="1"/>
      <c r="O446" s="1"/>
      <c r="P446" s="1"/>
      <c r="Q446" s="1"/>
      <c r="R446" s="1"/>
      <c r="S446" s="1"/>
      <c r="T446" s="1"/>
      <c r="U446" s="1"/>
      <c r="V446" s="1"/>
      <c r="W446" s="1"/>
      <c r="X446" s="1"/>
      <c r="Y446" s="1"/>
      <c r="Z446" s="1"/>
      <c r="AA446" s="1"/>
      <c r="AB446" s="1"/>
    </row>
    <row r="447" spans="1:28" ht="11.25" customHeight="1" x14ac:dyDescent="0.25">
      <c r="A447" s="825"/>
      <c r="B447" s="16"/>
      <c r="C447" s="16"/>
      <c r="D447" s="22"/>
      <c r="E447" s="262"/>
      <c r="F447" s="16"/>
      <c r="G447" s="16"/>
      <c r="H447" s="16"/>
      <c r="I447" s="16"/>
      <c r="J447" s="1"/>
      <c r="K447" s="1"/>
      <c r="L447" s="1"/>
      <c r="M447" s="262"/>
      <c r="N447" s="1"/>
      <c r="O447" s="1"/>
      <c r="P447" s="1"/>
      <c r="Q447" s="1"/>
      <c r="R447" s="1"/>
      <c r="S447" s="1"/>
      <c r="T447" s="1"/>
      <c r="U447" s="1"/>
      <c r="V447" s="1"/>
      <c r="W447" s="1"/>
      <c r="X447" s="1"/>
      <c r="Y447" s="1"/>
      <c r="Z447" s="1"/>
      <c r="AA447" s="1"/>
      <c r="AB447" s="1"/>
    </row>
    <row r="448" spans="1:28" ht="11.25" customHeight="1" x14ac:dyDescent="0.25">
      <c r="A448" s="825"/>
      <c r="B448" s="16"/>
      <c r="C448" s="16"/>
      <c r="D448" s="22"/>
      <c r="E448" s="262"/>
      <c r="F448" s="16"/>
      <c r="G448" s="16"/>
      <c r="H448" s="16"/>
      <c r="I448" s="16"/>
      <c r="J448" s="1"/>
      <c r="K448" s="1"/>
      <c r="L448" s="1"/>
      <c r="M448" s="262"/>
      <c r="N448" s="1"/>
      <c r="O448" s="1"/>
      <c r="P448" s="1"/>
      <c r="Q448" s="1"/>
      <c r="R448" s="1"/>
      <c r="S448" s="1"/>
      <c r="T448" s="1"/>
      <c r="U448" s="1"/>
      <c r="V448" s="1"/>
      <c r="W448" s="1"/>
      <c r="X448" s="1"/>
      <c r="Y448" s="1"/>
      <c r="Z448" s="1"/>
      <c r="AA448" s="1"/>
      <c r="AB448" s="1"/>
    </row>
    <row r="449" spans="1:28" ht="11.25" customHeight="1" x14ac:dyDescent="0.25">
      <c r="A449" s="825"/>
      <c r="B449" s="16"/>
      <c r="C449" s="16"/>
      <c r="D449" s="22"/>
      <c r="E449" s="262"/>
      <c r="F449" s="16"/>
      <c r="G449" s="16"/>
      <c r="H449" s="16"/>
      <c r="I449" s="16"/>
      <c r="J449" s="1"/>
      <c r="K449" s="1"/>
      <c r="L449" s="1"/>
      <c r="M449" s="262"/>
      <c r="N449" s="1"/>
      <c r="O449" s="1"/>
      <c r="P449" s="1"/>
      <c r="Q449" s="1"/>
      <c r="R449" s="1"/>
      <c r="S449" s="1"/>
      <c r="T449" s="1"/>
      <c r="U449" s="1"/>
      <c r="V449" s="1"/>
      <c r="W449" s="1"/>
      <c r="X449" s="1"/>
      <c r="Y449" s="1"/>
      <c r="Z449" s="1"/>
      <c r="AA449" s="1"/>
      <c r="AB449" s="1"/>
    </row>
    <row r="450" spans="1:28" ht="11.25" customHeight="1" x14ac:dyDescent="0.25">
      <c r="A450" s="825"/>
      <c r="B450" s="16"/>
      <c r="C450" s="16"/>
      <c r="D450" s="22"/>
      <c r="E450" s="262"/>
      <c r="F450" s="16"/>
      <c r="G450" s="16"/>
      <c r="H450" s="16"/>
      <c r="I450" s="16"/>
      <c r="J450" s="1"/>
      <c r="K450" s="1"/>
      <c r="L450" s="1"/>
      <c r="M450" s="262"/>
      <c r="N450" s="1"/>
      <c r="O450" s="1"/>
      <c r="P450" s="1"/>
      <c r="Q450" s="1"/>
      <c r="R450" s="1"/>
      <c r="S450" s="1"/>
      <c r="T450" s="1"/>
      <c r="U450" s="1"/>
      <c r="V450" s="1"/>
      <c r="W450" s="1"/>
      <c r="X450" s="1"/>
      <c r="Y450" s="1"/>
      <c r="Z450" s="1"/>
      <c r="AA450" s="1"/>
      <c r="AB450" s="1"/>
    </row>
    <row r="451" spans="1:28" ht="11.25" customHeight="1" x14ac:dyDescent="0.25">
      <c r="A451" s="825"/>
      <c r="B451" s="16"/>
      <c r="C451" s="16"/>
      <c r="D451" s="22"/>
      <c r="E451" s="262"/>
      <c r="F451" s="16"/>
      <c r="G451" s="16"/>
      <c r="H451" s="16"/>
      <c r="I451" s="16"/>
      <c r="J451" s="1"/>
      <c r="K451" s="1"/>
      <c r="L451" s="1"/>
      <c r="M451" s="262"/>
      <c r="N451" s="1"/>
      <c r="O451" s="1"/>
      <c r="P451" s="1"/>
      <c r="Q451" s="1"/>
      <c r="R451" s="1"/>
      <c r="S451" s="1"/>
      <c r="T451" s="1"/>
      <c r="U451" s="1"/>
      <c r="V451" s="1"/>
      <c r="W451" s="1"/>
      <c r="X451" s="1"/>
      <c r="Y451" s="1"/>
      <c r="Z451" s="1"/>
      <c r="AA451" s="1"/>
      <c r="AB451" s="1"/>
    </row>
    <row r="452" spans="1:28" ht="11.25" customHeight="1" x14ac:dyDescent="0.25">
      <c r="A452" s="825"/>
      <c r="B452" s="16"/>
      <c r="C452" s="16"/>
      <c r="D452" s="22"/>
      <c r="E452" s="262"/>
      <c r="F452" s="16"/>
      <c r="G452" s="16"/>
      <c r="H452" s="16"/>
      <c r="I452" s="16"/>
      <c r="J452" s="1"/>
      <c r="K452" s="1"/>
      <c r="L452" s="1"/>
      <c r="M452" s="262"/>
      <c r="N452" s="1"/>
      <c r="O452" s="1"/>
      <c r="P452" s="1"/>
      <c r="Q452" s="1"/>
      <c r="R452" s="1"/>
      <c r="S452" s="1"/>
      <c r="T452" s="1"/>
      <c r="U452" s="1"/>
      <c r="V452" s="1"/>
      <c r="W452" s="1"/>
      <c r="X452" s="1"/>
      <c r="Y452" s="1"/>
      <c r="Z452" s="1"/>
      <c r="AA452" s="1"/>
      <c r="AB452" s="1"/>
    </row>
    <row r="453" spans="1:28" ht="11.25" customHeight="1" x14ac:dyDescent="0.25">
      <c r="A453" s="825"/>
      <c r="B453" s="16"/>
      <c r="C453" s="16"/>
      <c r="D453" s="22"/>
      <c r="E453" s="262"/>
      <c r="F453" s="16"/>
      <c r="G453" s="16"/>
      <c r="H453" s="16"/>
      <c r="I453" s="16"/>
      <c r="J453" s="1"/>
      <c r="K453" s="1"/>
      <c r="L453" s="1"/>
      <c r="M453" s="262"/>
      <c r="N453" s="1"/>
      <c r="O453" s="1"/>
      <c r="P453" s="1"/>
      <c r="Q453" s="1"/>
      <c r="R453" s="1"/>
      <c r="S453" s="1"/>
      <c r="T453" s="1"/>
      <c r="U453" s="1"/>
      <c r="V453" s="1"/>
      <c r="W453" s="1"/>
      <c r="X453" s="1"/>
      <c r="Y453" s="1"/>
      <c r="Z453" s="1"/>
      <c r="AA453" s="1"/>
      <c r="AB453" s="1"/>
    </row>
    <row r="454" spans="1:28" ht="11.25" customHeight="1" x14ac:dyDescent="0.25">
      <c r="A454" s="825"/>
      <c r="B454" s="16"/>
      <c r="C454" s="16"/>
      <c r="D454" s="22"/>
      <c r="E454" s="262"/>
      <c r="F454" s="16"/>
      <c r="G454" s="16"/>
      <c r="H454" s="16"/>
      <c r="I454" s="16"/>
      <c r="J454" s="1"/>
      <c r="K454" s="1"/>
      <c r="L454" s="1"/>
      <c r="M454" s="262"/>
      <c r="N454" s="1"/>
      <c r="O454" s="1"/>
      <c r="P454" s="1"/>
      <c r="Q454" s="1"/>
      <c r="R454" s="1"/>
      <c r="S454" s="1"/>
      <c r="T454" s="1"/>
      <c r="U454" s="1"/>
      <c r="V454" s="1"/>
      <c r="W454" s="1"/>
      <c r="X454" s="1"/>
      <c r="Y454" s="1"/>
      <c r="Z454" s="1"/>
      <c r="AA454" s="1"/>
      <c r="AB454" s="1"/>
    </row>
    <row r="455" spans="1:28" ht="11.25" customHeight="1" x14ac:dyDescent="0.25">
      <c r="A455" s="825"/>
      <c r="B455" s="16"/>
      <c r="C455" s="16"/>
      <c r="D455" s="22"/>
      <c r="E455" s="262"/>
      <c r="F455" s="16"/>
      <c r="G455" s="16"/>
      <c r="H455" s="16"/>
      <c r="I455" s="16"/>
      <c r="J455" s="1"/>
      <c r="K455" s="1"/>
      <c r="L455" s="1"/>
      <c r="M455" s="262"/>
      <c r="N455" s="1"/>
      <c r="O455" s="1"/>
      <c r="P455" s="1"/>
      <c r="Q455" s="1"/>
      <c r="R455" s="1"/>
      <c r="S455" s="1"/>
      <c r="T455" s="1"/>
      <c r="U455" s="1"/>
      <c r="V455" s="1"/>
      <c r="W455" s="1"/>
      <c r="X455" s="1"/>
      <c r="Y455" s="1"/>
      <c r="Z455" s="1"/>
      <c r="AA455" s="1"/>
      <c r="AB455" s="1"/>
    </row>
    <row r="456" spans="1:28" ht="11.25" customHeight="1" x14ac:dyDescent="0.25">
      <c r="A456" s="825"/>
      <c r="B456" s="16"/>
      <c r="C456" s="16"/>
      <c r="D456" s="22"/>
      <c r="E456" s="262"/>
      <c r="F456" s="16"/>
      <c r="G456" s="16"/>
      <c r="H456" s="16"/>
      <c r="I456" s="16"/>
      <c r="J456" s="1"/>
      <c r="K456" s="1"/>
      <c r="L456" s="1"/>
      <c r="M456" s="262"/>
      <c r="N456" s="1"/>
      <c r="O456" s="1"/>
      <c r="P456" s="1"/>
      <c r="Q456" s="1"/>
      <c r="R456" s="1"/>
      <c r="S456" s="1"/>
      <c r="T456" s="1"/>
      <c r="U456" s="1"/>
      <c r="V456" s="1"/>
      <c r="W456" s="1"/>
      <c r="X456" s="1"/>
      <c r="Y456" s="1"/>
      <c r="Z456" s="1"/>
      <c r="AA456" s="1"/>
      <c r="AB456" s="1"/>
    </row>
    <row r="457" spans="1:28" ht="11.25" customHeight="1" x14ac:dyDescent="0.25">
      <c r="A457" s="825"/>
      <c r="B457" s="16"/>
      <c r="C457" s="16"/>
      <c r="D457" s="22"/>
      <c r="E457" s="262"/>
      <c r="F457" s="16"/>
      <c r="G457" s="16"/>
      <c r="H457" s="16"/>
      <c r="I457" s="16"/>
      <c r="J457" s="1"/>
      <c r="K457" s="1"/>
      <c r="L457" s="1"/>
      <c r="M457" s="262"/>
      <c r="N457" s="1"/>
      <c r="O457" s="1"/>
      <c r="P457" s="1"/>
      <c r="Q457" s="1"/>
      <c r="R457" s="1"/>
      <c r="S457" s="1"/>
      <c r="T457" s="1"/>
      <c r="U457" s="1"/>
      <c r="V457" s="1"/>
      <c r="W457" s="1"/>
      <c r="X457" s="1"/>
      <c r="Y457" s="1"/>
      <c r="Z457" s="1"/>
      <c r="AA457" s="1"/>
      <c r="AB457" s="1"/>
    </row>
    <row r="458" spans="1:28" ht="11.25" customHeight="1" x14ac:dyDescent="0.25">
      <c r="A458" s="825"/>
      <c r="B458" s="16"/>
      <c r="C458" s="16"/>
      <c r="D458" s="22"/>
      <c r="E458" s="262"/>
      <c r="F458" s="16"/>
      <c r="G458" s="16"/>
      <c r="H458" s="16"/>
      <c r="I458" s="16"/>
      <c r="J458" s="1"/>
      <c r="K458" s="1"/>
      <c r="L458" s="1"/>
      <c r="M458" s="262"/>
      <c r="N458" s="1"/>
      <c r="O458" s="1"/>
      <c r="P458" s="1"/>
      <c r="Q458" s="1"/>
      <c r="R458" s="1"/>
      <c r="S458" s="1"/>
      <c r="T458" s="1"/>
      <c r="U458" s="1"/>
      <c r="V458" s="1"/>
      <c r="W458" s="1"/>
      <c r="X458" s="1"/>
      <c r="Y458" s="1"/>
      <c r="Z458" s="1"/>
      <c r="AA458" s="1"/>
      <c r="AB458" s="1"/>
    </row>
    <row r="459" spans="1:28" ht="11.25" customHeight="1" x14ac:dyDescent="0.25">
      <c r="A459" s="825"/>
      <c r="B459" s="16"/>
      <c r="C459" s="16"/>
      <c r="D459" s="22"/>
      <c r="E459" s="262"/>
      <c r="F459" s="16"/>
      <c r="G459" s="16"/>
      <c r="H459" s="16"/>
      <c r="I459" s="16"/>
      <c r="J459" s="1"/>
      <c r="K459" s="1"/>
      <c r="L459" s="1"/>
      <c r="M459" s="262"/>
      <c r="N459" s="1"/>
      <c r="O459" s="1"/>
      <c r="P459" s="1"/>
      <c r="Q459" s="1"/>
      <c r="R459" s="1"/>
      <c r="S459" s="1"/>
      <c r="T459" s="1"/>
      <c r="U459" s="1"/>
      <c r="V459" s="1"/>
      <c r="W459" s="1"/>
      <c r="X459" s="1"/>
      <c r="Y459" s="1"/>
      <c r="Z459" s="1"/>
      <c r="AA459" s="1"/>
      <c r="AB459" s="1"/>
    </row>
    <row r="460" spans="1:28" ht="11.25" customHeight="1" x14ac:dyDescent="0.25">
      <c r="A460" s="825"/>
      <c r="B460" s="16"/>
      <c r="C460" s="16"/>
      <c r="D460" s="22"/>
      <c r="E460" s="262"/>
      <c r="F460" s="16"/>
      <c r="G460" s="16"/>
      <c r="H460" s="16"/>
      <c r="I460" s="16"/>
      <c r="J460" s="1"/>
      <c r="K460" s="1"/>
      <c r="L460" s="1"/>
      <c r="M460" s="262"/>
      <c r="N460" s="1"/>
      <c r="O460" s="1"/>
      <c r="P460" s="1"/>
      <c r="Q460" s="1"/>
      <c r="R460" s="1"/>
      <c r="S460" s="1"/>
      <c r="T460" s="1"/>
      <c r="U460" s="1"/>
      <c r="V460" s="1"/>
      <c r="W460" s="1"/>
      <c r="X460" s="1"/>
      <c r="Y460" s="1"/>
      <c r="Z460" s="1"/>
      <c r="AA460" s="1"/>
      <c r="AB460" s="1"/>
    </row>
    <row r="461" spans="1:28" ht="11.25" customHeight="1" x14ac:dyDescent="0.25">
      <c r="A461" s="825"/>
      <c r="B461" s="16"/>
      <c r="C461" s="16"/>
      <c r="D461" s="22"/>
      <c r="E461" s="262"/>
      <c r="F461" s="16"/>
      <c r="G461" s="16"/>
      <c r="H461" s="16"/>
      <c r="I461" s="16"/>
      <c r="J461" s="1"/>
      <c r="K461" s="1"/>
      <c r="L461" s="1"/>
      <c r="M461" s="262"/>
      <c r="N461" s="1"/>
      <c r="O461" s="1"/>
      <c r="P461" s="1"/>
      <c r="Q461" s="1"/>
      <c r="R461" s="1"/>
      <c r="S461" s="1"/>
      <c r="T461" s="1"/>
      <c r="U461" s="1"/>
      <c r="V461" s="1"/>
      <c r="W461" s="1"/>
      <c r="X461" s="1"/>
      <c r="Y461" s="1"/>
      <c r="Z461" s="1"/>
      <c r="AA461" s="1"/>
      <c r="AB461" s="1"/>
    </row>
    <row r="462" spans="1:28" ht="11.25" customHeight="1" x14ac:dyDescent="0.25">
      <c r="A462" s="825"/>
      <c r="B462" s="16"/>
      <c r="C462" s="16"/>
      <c r="D462" s="22"/>
      <c r="E462" s="262"/>
      <c r="F462" s="16"/>
      <c r="G462" s="16"/>
      <c r="H462" s="16"/>
      <c r="I462" s="16"/>
      <c r="J462" s="1"/>
      <c r="K462" s="1"/>
      <c r="L462" s="1"/>
      <c r="M462" s="262"/>
      <c r="N462" s="1"/>
      <c r="O462" s="1"/>
      <c r="P462" s="1"/>
      <c r="Q462" s="1"/>
      <c r="R462" s="1"/>
      <c r="S462" s="1"/>
      <c r="T462" s="1"/>
      <c r="U462" s="1"/>
      <c r="V462" s="1"/>
      <c r="W462" s="1"/>
      <c r="X462" s="1"/>
      <c r="Y462" s="1"/>
      <c r="Z462" s="1"/>
      <c r="AA462" s="1"/>
      <c r="AB462" s="1"/>
    </row>
    <row r="463" spans="1:28" ht="11.25" customHeight="1" x14ac:dyDescent="0.25">
      <c r="A463" s="825"/>
      <c r="B463" s="16"/>
      <c r="C463" s="16"/>
      <c r="D463" s="22"/>
      <c r="E463" s="262"/>
      <c r="F463" s="16"/>
      <c r="G463" s="16"/>
      <c r="H463" s="16"/>
      <c r="I463" s="16"/>
      <c r="J463" s="1"/>
      <c r="K463" s="1"/>
      <c r="L463" s="1"/>
      <c r="M463" s="262"/>
      <c r="N463" s="1"/>
      <c r="O463" s="1"/>
      <c r="P463" s="1"/>
      <c r="Q463" s="1"/>
      <c r="R463" s="1"/>
      <c r="S463" s="1"/>
      <c r="T463" s="1"/>
      <c r="U463" s="1"/>
      <c r="V463" s="1"/>
      <c r="W463" s="1"/>
      <c r="X463" s="1"/>
      <c r="Y463" s="1"/>
      <c r="Z463" s="1"/>
      <c r="AA463" s="1"/>
      <c r="AB463" s="1"/>
    </row>
    <row r="464" spans="1:28" ht="11.25" customHeight="1" x14ac:dyDescent="0.25">
      <c r="A464" s="825"/>
      <c r="B464" s="16"/>
      <c r="C464" s="16"/>
      <c r="D464" s="22"/>
      <c r="E464" s="262"/>
      <c r="F464" s="16"/>
      <c r="G464" s="16"/>
      <c r="H464" s="16"/>
      <c r="I464" s="16"/>
      <c r="J464" s="1"/>
      <c r="K464" s="1"/>
      <c r="L464" s="1"/>
      <c r="M464" s="262"/>
      <c r="N464" s="1"/>
      <c r="O464" s="1"/>
      <c r="P464" s="1"/>
      <c r="Q464" s="1"/>
      <c r="R464" s="1"/>
      <c r="S464" s="1"/>
      <c r="T464" s="1"/>
      <c r="U464" s="1"/>
      <c r="V464" s="1"/>
      <c r="W464" s="1"/>
      <c r="X464" s="1"/>
      <c r="Y464" s="1"/>
      <c r="Z464" s="1"/>
      <c r="AA464" s="1"/>
      <c r="AB464" s="1"/>
    </row>
    <row r="465" spans="1:28" ht="11.25" customHeight="1" x14ac:dyDescent="0.25">
      <c r="A465" s="825"/>
      <c r="B465" s="16"/>
      <c r="C465" s="16"/>
      <c r="D465" s="22"/>
      <c r="E465" s="262"/>
      <c r="F465" s="16"/>
      <c r="G465" s="16"/>
      <c r="H465" s="16"/>
      <c r="I465" s="16"/>
      <c r="J465" s="1"/>
      <c r="K465" s="1"/>
      <c r="L465" s="1"/>
      <c r="M465" s="262"/>
      <c r="N465" s="1"/>
      <c r="O465" s="1"/>
      <c r="P465" s="1"/>
      <c r="Q465" s="1"/>
      <c r="R465" s="1"/>
      <c r="S465" s="1"/>
      <c r="T465" s="1"/>
      <c r="U465" s="1"/>
      <c r="V465" s="1"/>
      <c r="W465" s="1"/>
      <c r="X465" s="1"/>
      <c r="Y465" s="1"/>
      <c r="Z465" s="1"/>
      <c r="AA465" s="1"/>
      <c r="AB465" s="1"/>
    </row>
    <row r="466" spans="1:28" ht="11.25" customHeight="1" x14ac:dyDescent="0.25">
      <c r="A466" s="825"/>
      <c r="B466" s="16"/>
      <c r="C466" s="16"/>
      <c r="D466" s="22"/>
      <c r="E466" s="262"/>
      <c r="F466" s="16"/>
      <c r="G466" s="16"/>
      <c r="H466" s="16"/>
      <c r="I466" s="16"/>
      <c r="J466" s="1"/>
      <c r="K466" s="1"/>
      <c r="L466" s="1"/>
      <c r="M466" s="262"/>
      <c r="N466" s="1"/>
      <c r="O466" s="1"/>
      <c r="P466" s="1"/>
      <c r="Q466" s="1"/>
      <c r="R466" s="1"/>
      <c r="S466" s="1"/>
      <c r="T466" s="1"/>
      <c r="U466" s="1"/>
      <c r="V466" s="1"/>
      <c r="W466" s="1"/>
      <c r="X466" s="1"/>
      <c r="Y466" s="1"/>
      <c r="Z466" s="1"/>
      <c r="AA466" s="1"/>
      <c r="AB466" s="1"/>
    </row>
    <row r="467" spans="1:28" ht="11.25" customHeight="1" x14ac:dyDescent="0.25">
      <c r="A467" s="825"/>
      <c r="B467" s="16"/>
      <c r="C467" s="16"/>
      <c r="D467" s="22"/>
      <c r="E467" s="262"/>
      <c r="F467" s="16"/>
      <c r="G467" s="16"/>
      <c r="H467" s="16"/>
      <c r="I467" s="16"/>
      <c r="J467" s="1"/>
      <c r="K467" s="1"/>
      <c r="L467" s="1"/>
      <c r="M467" s="262"/>
      <c r="N467" s="1"/>
      <c r="O467" s="1"/>
      <c r="P467" s="1"/>
      <c r="Q467" s="1"/>
      <c r="R467" s="1"/>
      <c r="S467" s="1"/>
      <c r="T467" s="1"/>
      <c r="U467" s="1"/>
      <c r="V467" s="1"/>
      <c r="W467" s="1"/>
      <c r="X467" s="1"/>
      <c r="Y467" s="1"/>
      <c r="Z467" s="1"/>
      <c r="AA467" s="1"/>
      <c r="AB467" s="1"/>
    </row>
    <row r="468" spans="1:28" ht="11.25" customHeight="1" x14ac:dyDescent="0.25">
      <c r="A468" s="825"/>
      <c r="B468" s="16"/>
      <c r="C468" s="16"/>
      <c r="D468" s="22"/>
      <c r="E468" s="262"/>
      <c r="F468" s="16"/>
      <c r="G468" s="16"/>
      <c r="H468" s="16"/>
      <c r="I468" s="16"/>
      <c r="J468" s="1"/>
      <c r="K468" s="1"/>
      <c r="L468" s="1"/>
      <c r="M468" s="262"/>
      <c r="N468" s="1"/>
      <c r="O468" s="1"/>
      <c r="P468" s="1"/>
      <c r="Q468" s="1"/>
      <c r="R468" s="1"/>
      <c r="S468" s="1"/>
      <c r="T468" s="1"/>
      <c r="U468" s="1"/>
      <c r="V468" s="1"/>
      <c r="W468" s="1"/>
      <c r="X468" s="1"/>
      <c r="Y468" s="1"/>
      <c r="Z468" s="1"/>
      <c r="AA468" s="1"/>
      <c r="AB468" s="1"/>
    </row>
    <row r="469" spans="1:28" ht="11.25" customHeight="1" x14ac:dyDescent="0.25">
      <c r="A469" s="825"/>
      <c r="B469" s="16"/>
      <c r="C469" s="16"/>
      <c r="D469" s="22"/>
      <c r="E469" s="262"/>
      <c r="F469" s="16"/>
      <c r="G469" s="16"/>
      <c r="H469" s="16"/>
      <c r="I469" s="16"/>
      <c r="J469" s="1"/>
      <c r="K469" s="1"/>
      <c r="L469" s="1"/>
      <c r="M469" s="262"/>
      <c r="N469" s="1"/>
      <c r="O469" s="1"/>
      <c r="P469" s="1"/>
      <c r="Q469" s="1"/>
      <c r="R469" s="1"/>
      <c r="S469" s="1"/>
      <c r="T469" s="1"/>
      <c r="U469" s="1"/>
      <c r="V469" s="1"/>
      <c r="W469" s="1"/>
      <c r="X469" s="1"/>
      <c r="Y469" s="1"/>
      <c r="Z469" s="1"/>
      <c r="AA469" s="1"/>
      <c r="AB469" s="1"/>
    </row>
    <row r="470" spans="1:28" ht="11.25" customHeight="1" x14ac:dyDescent="0.25">
      <c r="A470" s="825"/>
      <c r="B470" s="16"/>
      <c r="C470" s="16"/>
      <c r="D470" s="22"/>
      <c r="E470" s="262"/>
      <c r="F470" s="16"/>
      <c r="G470" s="16"/>
      <c r="H470" s="16"/>
      <c r="I470" s="16"/>
      <c r="J470" s="1"/>
      <c r="K470" s="1"/>
      <c r="L470" s="1"/>
      <c r="M470" s="262"/>
      <c r="N470" s="1"/>
      <c r="O470" s="1"/>
      <c r="P470" s="1"/>
      <c r="Q470" s="1"/>
      <c r="R470" s="1"/>
      <c r="S470" s="1"/>
      <c r="T470" s="1"/>
      <c r="U470" s="1"/>
      <c r="V470" s="1"/>
      <c r="W470" s="1"/>
      <c r="X470" s="1"/>
      <c r="Y470" s="1"/>
      <c r="Z470" s="1"/>
      <c r="AA470" s="1"/>
      <c r="AB470" s="1"/>
    </row>
    <row r="471" spans="1:28" ht="11.25" customHeight="1" x14ac:dyDescent="0.25">
      <c r="A471" s="825"/>
      <c r="B471" s="16"/>
      <c r="C471" s="16"/>
      <c r="D471" s="22"/>
      <c r="E471" s="262"/>
      <c r="F471" s="16"/>
      <c r="G471" s="16"/>
      <c r="H471" s="16"/>
      <c r="I471" s="16"/>
      <c r="J471" s="1"/>
      <c r="K471" s="1"/>
      <c r="L471" s="1"/>
      <c r="M471" s="262"/>
      <c r="N471" s="1"/>
      <c r="O471" s="1"/>
      <c r="P471" s="1"/>
      <c r="Q471" s="1"/>
      <c r="R471" s="1"/>
      <c r="S471" s="1"/>
      <c r="T471" s="1"/>
      <c r="U471" s="1"/>
      <c r="V471" s="1"/>
      <c r="W471" s="1"/>
      <c r="X471" s="1"/>
      <c r="Y471" s="1"/>
      <c r="Z471" s="1"/>
      <c r="AA471" s="1"/>
      <c r="AB471" s="1"/>
    </row>
    <row r="472" spans="1:28" ht="11.25" customHeight="1" x14ac:dyDescent="0.25">
      <c r="A472" s="825"/>
      <c r="B472" s="16"/>
      <c r="C472" s="16"/>
      <c r="D472" s="22"/>
      <c r="E472" s="262"/>
      <c r="F472" s="16"/>
      <c r="G472" s="16"/>
      <c r="H472" s="16"/>
      <c r="I472" s="16"/>
      <c r="J472" s="1"/>
      <c r="K472" s="1"/>
      <c r="L472" s="1"/>
      <c r="M472" s="262"/>
      <c r="N472" s="1"/>
      <c r="O472" s="1"/>
      <c r="P472" s="1"/>
      <c r="Q472" s="1"/>
      <c r="R472" s="1"/>
      <c r="S472" s="1"/>
      <c r="T472" s="1"/>
      <c r="U472" s="1"/>
      <c r="V472" s="1"/>
      <c r="W472" s="1"/>
      <c r="X472" s="1"/>
      <c r="Y472" s="1"/>
      <c r="Z472" s="1"/>
      <c r="AA472" s="1"/>
      <c r="AB472" s="1"/>
    </row>
    <row r="473" spans="1:28" ht="11.25" customHeight="1" x14ac:dyDescent="0.25">
      <c r="A473" s="825"/>
      <c r="B473" s="16"/>
      <c r="C473" s="16"/>
      <c r="D473" s="22"/>
      <c r="E473" s="262"/>
      <c r="F473" s="16"/>
      <c r="G473" s="16"/>
      <c r="H473" s="16"/>
      <c r="I473" s="16"/>
      <c r="J473" s="1"/>
      <c r="K473" s="1"/>
      <c r="L473" s="1"/>
      <c r="M473" s="262"/>
      <c r="N473" s="1"/>
      <c r="O473" s="1"/>
      <c r="P473" s="1"/>
      <c r="Q473" s="1"/>
      <c r="R473" s="1"/>
      <c r="S473" s="1"/>
      <c r="T473" s="1"/>
      <c r="U473" s="1"/>
      <c r="V473" s="1"/>
      <c r="W473" s="1"/>
      <c r="X473" s="1"/>
      <c r="Y473" s="1"/>
      <c r="Z473" s="1"/>
      <c r="AA473" s="1"/>
      <c r="AB473" s="1"/>
    </row>
    <row r="474" spans="1:28" ht="11.25" customHeight="1" x14ac:dyDescent="0.25">
      <c r="A474" s="825"/>
      <c r="B474" s="16"/>
      <c r="C474" s="16"/>
      <c r="D474" s="22"/>
      <c r="E474" s="262"/>
      <c r="F474" s="16"/>
      <c r="G474" s="16"/>
      <c r="H474" s="16"/>
      <c r="I474" s="16"/>
      <c r="J474" s="1"/>
      <c r="K474" s="1"/>
      <c r="L474" s="1"/>
      <c r="M474" s="262"/>
      <c r="N474" s="1"/>
      <c r="O474" s="1"/>
      <c r="P474" s="1"/>
      <c r="Q474" s="1"/>
      <c r="R474" s="1"/>
      <c r="S474" s="1"/>
      <c r="T474" s="1"/>
      <c r="U474" s="1"/>
      <c r="V474" s="1"/>
      <c r="W474" s="1"/>
      <c r="X474" s="1"/>
      <c r="Y474" s="1"/>
      <c r="Z474" s="1"/>
      <c r="AA474" s="1"/>
      <c r="AB474" s="1"/>
    </row>
    <row r="475" spans="1:28" ht="11.25" customHeight="1" x14ac:dyDescent="0.25">
      <c r="A475" s="825"/>
      <c r="B475" s="16"/>
      <c r="C475" s="16"/>
      <c r="D475" s="22"/>
      <c r="E475" s="262"/>
      <c r="F475" s="16"/>
      <c r="G475" s="16"/>
      <c r="H475" s="16"/>
      <c r="I475" s="16"/>
      <c r="J475" s="1"/>
      <c r="K475" s="1"/>
      <c r="L475" s="1"/>
      <c r="M475" s="262"/>
      <c r="N475" s="1"/>
      <c r="O475" s="1"/>
      <c r="P475" s="1"/>
      <c r="Q475" s="1"/>
      <c r="R475" s="1"/>
      <c r="S475" s="1"/>
      <c r="T475" s="1"/>
      <c r="U475" s="1"/>
      <c r="V475" s="1"/>
      <c r="W475" s="1"/>
      <c r="X475" s="1"/>
      <c r="Y475" s="1"/>
      <c r="Z475" s="1"/>
      <c r="AA475" s="1"/>
      <c r="AB475" s="1"/>
    </row>
    <row r="476" spans="1:28" ht="11.25" customHeight="1" x14ac:dyDescent="0.25">
      <c r="A476" s="825"/>
      <c r="B476" s="16"/>
      <c r="C476" s="16"/>
      <c r="D476" s="22"/>
      <c r="E476" s="262"/>
      <c r="F476" s="16"/>
      <c r="G476" s="16"/>
      <c r="H476" s="16"/>
      <c r="I476" s="16"/>
      <c r="J476" s="1"/>
      <c r="K476" s="1"/>
      <c r="L476" s="1"/>
      <c r="M476" s="262"/>
      <c r="N476" s="1"/>
      <c r="O476" s="1"/>
      <c r="P476" s="1"/>
      <c r="Q476" s="1"/>
      <c r="R476" s="1"/>
      <c r="S476" s="1"/>
      <c r="T476" s="1"/>
      <c r="U476" s="1"/>
      <c r="V476" s="1"/>
      <c r="W476" s="1"/>
      <c r="X476" s="1"/>
      <c r="Y476" s="1"/>
      <c r="Z476" s="1"/>
      <c r="AA476" s="1"/>
      <c r="AB476" s="1"/>
    </row>
    <row r="477" spans="1:28" ht="11.25" customHeight="1" x14ac:dyDescent="0.25">
      <c r="A477" s="825"/>
      <c r="B477" s="16"/>
      <c r="C477" s="16"/>
      <c r="D477" s="22"/>
      <c r="E477" s="262"/>
      <c r="F477" s="16"/>
      <c r="G477" s="16"/>
      <c r="H477" s="16"/>
      <c r="I477" s="16"/>
      <c r="J477" s="1"/>
      <c r="K477" s="1"/>
      <c r="L477" s="1"/>
      <c r="M477" s="262"/>
      <c r="N477" s="1"/>
      <c r="O477" s="1"/>
      <c r="P477" s="1"/>
      <c r="Q477" s="1"/>
      <c r="R477" s="1"/>
      <c r="S477" s="1"/>
      <c r="T477" s="1"/>
      <c r="U477" s="1"/>
      <c r="V477" s="1"/>
      <c r="W477" s="1"/>
      <c r="X477" s="1"/>
      <c r="Y477" s="1"/>
      <c r="Z477" s="1"/>
      <c r="AA477" s="1"/>
      <c r="AB477" s="1"/>
    </row>
    <row r="478" spans="1:28" ht="11.25" customHeight="1" x14ac:dyDescent="0.25">
      <c r="A478" s="825"/>
      <c r="B478" s="16"/>
      <c r="C478" s="16"/>
      <c r="D478" s="22"/>
      <c r="E478" s="262"/>
      <c r="F478" s="16"/>
      <c r="G478" s="16"/>
      <c r="H478" s="16"/>
      <c r="I478" s="16"/>
      <c r="J478" s="1"/>
      <c r="K478" s="1"/>
      <c r="L478" s="1"/>
      <c r="M478" s="262"/>
      <c r="N478" s="1"/>
      <c r="O478" s="1"/>
      <c r="P478" s="1"/>
      <c r="Q478" s="1"/>
      <c r="R478" s="1"/>
      <c r="S478" s="1"/>
      <c r="T478" s="1"/>
      <c r="U478" s="1"/>
      <c r="V478" s="1"/>
      <c r="W478" s="1"/>
      <c r="X478" s="1"/>
      <c r="Y478" s="1"/>
      <c r="Z478" s="1"/>
      <c r="AA478" s="1"/>
      <c r="AB478" s="1"/>
    </row>
    <row r="479" spans="1:28" ht="11.25" customHeight="1" x14ac:dyDescent="0.25">
      <c r="A479" s="825"/>
      <c r="B479" s="16"/>
      <c r="C479" s="16"/>
      <c r="D479" s="22"/>
      <c r="E479" s="262"/>
      <c r="F479" s="16"/>
      <c r="G479" s="16"/>
      <c r="H479" s="16"/>
      <c r="I479" s="16"/>
      <c r="J479" s="1"/>
      <c r="K479" s="1"/>
      <c r="L479" s="1"/>
      <c r="M479" s="262"/>
      <c r="N479" s="1"/>
      <c r="O479" s="1"/>
      <c r="P479" s="1"/>
      <c r="Q479" s="1"/>
      <c r="R479" s="1"/>
      <c r="S479" s="1"/>
      <c r="T479" s="1"/>
      <c r="U479" s="1"/>
      <c r="V479" s="1"/>
      <c r="W479" s="1"/>
      <c r="X479" s="1"/>
      <c r="Y479" s="1"/>
      <c r="Z479" s="1"/>
      <c r="AA479" s="1"/>
      <c r="AB479" s="1"/>
    </row>
    <row r="480" spans="1:28" ht="11.25" customHeight="1" x14ac:dyDescent="0.25">
      <c r="A480" s="825"/>
      <c r="B480" s="16"/>
      <c r="C480" s="16"/>
      <c r="D480" s="22"/>
      <c r="E480" s="262"/>
      <c r="F480" s="16"/>
      <c r="G480" s="16"/>
      <c r="H480" s="16"/>
      <c r="I480" s="16"/>
      <c r="J480" s="1"/>
      <c r="K480" s="1"/>
      <c r="L480" s="1"/>
      <c r="M480" s="262"/>
      <c r="N480" s="1"/>
      <c r="O480" s="1"/>
      <c r="P480" s="1"/>
      <c r="Q480" s="1"/>
      <c r="R480" s="1"/>
      <c r="S480" s="1"/>
      <c r="T480" s="1"/>
      <c r="U480" s="1"/>
      <c r="V480" s="1"/>
      <c r="W480" s="1"/>
      <c r="X480" s="1"/>
      <c r="Y480" s="1"/>
      <c r="Z480" s="1"/>
      <c r="AA480" s="1"/>
      <c r="AB480" s="1"/>
    </row>
    <row r="481" spans="1:28" ht="11.25" customHeight="1" x14ac:dyDescent="0.25">
      <c r="A481" s="825"/>
      <c r="B481" s="16"/>
      <c r="C481" s="16"/>
      <c r="D481" s="22"/>
      <c r="E481" s="262"/>
      <c r="F481" s="16"/>
      <c r="G481" s="16"/>
      <c r="H481" s="16"/>
      <c r="I481" s="16"/>
      <c r="J481" s="1"/>
      <c r="K481" s="1"/>
      <c r="L481" s="1"/>
      <c r="M481" s="262"/>
      <c r="N481" s="1"/>
      <c r="O481" s="1"/>
      <c r="P481" s="1"/>
      <c r="Q481" s="1"/>
      <c r="R481" s="1"/>
      <c r="S481" s="1"/>
      <c r="T481" s="1"/>
      <c r="U481" s="1"/>
      <c r="V481" s="1"/>
      <c r="W481" s="1"/>
      <c r="X481" s="1"/>
      <c r="Y481" s="1"/>
      <c r="Z481" s="1"/>
      <c r="AA481" s="1"/>
      <c r="AB481" s="1"/>
    </row>
    <row r="482" spans="1:28" ht="11.25" customHeight="1" x14ac:dyDescent="0.25">
      <c r="A482" s="825"/>
      <c r="B482" s="16"/>
      <c r="C482" s="16"/>
      <c r="D482" s="22"/>
      <c r="E482" s="262"/>
      <c r="F482" s="16"/>
      <c r="G482" s="16"/>
      <c r="H482" s="16"/>
      <c r="I482" s="16"/>
      <c r="J482" s="1"/>
      <c r="K482" s="1"/>
      <c r="L482" s="1"/>
      <c r="M482" s="262"/>
      <c r="N482" s="1"/>
      <c r="O482" s="1"/>
      <c r="P482" s="1"/>
      <c r="Q482" s="1"/>
      <c r="R482" s="1"/>
      <c r="S482" s="1"/>
      <c r="T482" s="1"/>
      <c r="U482" s="1"/>
      <c r="V482" s="1"/>
      <c r="W482" s="1"/>
      <c r="X482" s="1"/>
      <c r="Y482" s="1"/>
      <c r="Z482" s="1"/>
      <c r="AA482" s="1"/>
      <c r="AB482" s="1"/>
    </row>
    <row r="483" spans="1:28" ht="11.25" customHeight="1" x14ac:dyDescent="0.25">
      <c r="A483" s="825"/>
      <c r="B483" s="16"/>
      <c r="C483" s="16"/>
      <c r="D483" s="22"/>
      <c r="E483" s="262"/>
      <c r="F483" s="16"/>
      <c r="G483" s="16"/>
      <c r="H483" s="16"/>
      <c r="I483" s="16"/>
      <c r="J483" s="1"/>
      <c r="K483" s="1"/>
      <c r="L483" s="1"/>
      <c r="M483" s="262"/>
      <c r="N483" s="1"/>
      <c r="O483" s="1"/>
      <c r="P483" s="1"/>
      <c r="Q483" s="1"/>
      <c r="R483" s="1"/>
      <c r="S483" s="1"/>
      <c r="T483" s="1"/>
      <c r="U483" s="1"/>
      <c r="V483" s="1"/>
      <c r="W483" s="1"/>
      <c r="X483" s="1"/>
      <c r="Y483" s="1"/>
      <c r="Z483" s="1"/>
      <c r="AA483" s="1"/>
      <c r="AB483" s="1"/>
    </row>
    <row r="484" spans="1:28" ht="11.25" customHeight="1" x14ac:dyDescent="0.25">
      <c r="A484" s="825"/>
      <c r="B484" s="16"/>
      <c r="C484" s="16"/>
      <c r="D484" s="22"/>
      <c r="E484" s="262"/>
      <c r="F484" s="16"/>
      <c r="G484" s="16"/>
      <c r="H484" s="16"/>
      <c r="I484" s="16"/>
      <c r="J484" s="1"/>
      <c r="K484" s="1"/>
      <c r="L484" s="1"/>
      <c r="M484" s="262"/>
      <c r="N484" s="1"/>
      <c r="O484" s="1"/>
      <c r="P484" s="1"/>
      <c r="Q484" s="1"/>
      <c r="R484" s="1"/>
      <c r="S484" s="1"/>
      <c r="T484" s="1"/>
      <c r="U484" s="1"/>
      <c r="V484" s="1"/>
      <c r="W484" s="1"/>
      <c r="X484" s="1"/>
      <c r="Y484" s="1"/>
      <c r="Z484" s="1"/>
      <c r="AA484" s="1"/>
      <c r="AB484" s="1"/>
    </row>
    <row r="485" spans="1:28" ht="11.25" customHeight="1" x14ac:dyDescent="0.25">
      <c r="A485" s="825"/>
      <c r="B485" s="16"/>
      <c r="C485" s="16"/>
      <c r="D485" s="22"/>
      <c r="E485" s="262"/>
      <c r="F485" s="16"/>
      <c r="G485" s="16"/>
      <c r="H485" s="16"/>
      <c r="I485" s="16"/>
      <c r="J485" s="1"/>
      <c r="K485" s="1"/>
      <c r="L485" s="1"/>
      <c r="M485" s="262"/>
      <c r="N485" s="1"/>
      <c r="O485" s="1"/>
      <c r="P485" s="1"/>
      <c r="Q485" s="1"/>
      <c r="R485" s="1"/>
      <c r="S485" s="1"/>
      <c r="T485" s="1"/>
      <c r="U485" s="1"/>
      <c r="V485" s="1"/>
      <c r="W485" s="1"/>
      <c r="X485" s="1"/>
      <c r="Y485" s="1"/>
      <c r="Z485" s="1"/>
      <c r="AA485" s="1"/>
      <c r="AB485" s="1"/>
    </row>
    <row r="486" spans="1:28" ht="11.25" customHeight="1" x14ac:dyDescent="0.25">
      <c r="A486" s="825"/>
      <c r="B486" s="16"/>
      <c r="C486" s="16"/>
      <c r="D486" s="22"/>
      <c r="E486" s="262"/>
      <c r="F486" s="16"/>
      <c r="G486" s="16"/>
      <c r="H486" s="16"/>
      <c r="I486" s="16"/>
      <c r="J486" s="1"/>
      <c r="K486" s="1"/>
      <c r="L486" s="1"/>
      <c r="M486" s="262"/>
      <c r="N486" s="1"/>
      <c r="O486" s="1"/>
      <c r="P486" s="1"/>
      <c r="Q486" s="1"/>
      <c r="R486" s="1"/>
      <c r="S486" s="1"/>
      <c r="T486" s="1"/>
      <c r="U486" s="1"/>
      <c r="V486" s="1"/>
      <c r="W486" s="1"/>
      <c r="X486" s="1"/>
      <c r="Y486" s="1"/>
      <c r="Z486" s="1"/>
      <c r="AA486" s="1"/>
      <c r="AB486" s="1"/>
    </row>
    <row r="487" spans="1:28" ht="11.25" customHeight="1" x14ac:dyDescent="0.25">
      <c r="A487" s="825"/>
      <c r="B487" s="16"/>
      <c r="C487" s="16"/>
      <c r="D487" s="22"/>
      <c r="E487" s="262"/>
      <c r="F487" s="16"/>
      <c r="G487" s="16"/>
      <c r="H487" s="16"/>
      <c r="I487" s="16"/>
      <c r="J487" s="1"/>
      <c r="K487" s="1"/>
      <c r="L487" s="1"/>
      <c r="M487" s="262"/>
      <c r="N487" s="1"/>
      <c r="O487" s="1"/>
      <c r="P487" s="1"/>
      <c r="Q487" s="1"/>
      <c r="R487" s="1"/>
      <c r="S487" s="1"/>
      <c r="T487" s="1"/>
      <c r="U487" s="1"/>
      <c r="V487" s="1"/>
      <c r="W487" s="1"/>
      <c r="X487" s="1"/>
      <c r="Y487" s="1"/>
      <c r="Z487" s="1"/>
      <c r="AA487" s="1"/>
      <c r="AB487" s="1"/>
    </row>
    <row r="488" spans="1:28" ht="11.25" customHeight="1" x14ac:dyDescent="0.25">
      <c r="A488" s="825"/>
      <c r="B488" s="16"/>
      <c r="C488" s="16"/>
      <c r="D488" s="22"/>
      <c r="E488" s="262"/>
      <c r="F488" s="16"/>
      <c r="G488" s="16"/>
      <c r="H488" s="16"/>
      <c r="I488" s="16"/>
      <c r="J488" s="1"/>
      <c r="K488" s="1"/>
      <c r="L488" s="1"/>
      <c r="M488" s="262"/>
      <c r="N488" s="1"/>
      <c r="O488" s="1"/>
      <c r="P488" s="1"/>
      <c r="Q488" s="1"/>
      <c r="R488" s="1"/>
      <c r="S488" s="1"/>
      <c r="T488" s="1"/>
      <c r="U488" s="1"/>
      <c r="V488" s="1"/>
      <c r="W488" s="1"/>
      <c r="X488" s="1"/>
      <c r="Y488" s="1"/>
      <c r="Z488" s="1"/>
      <c r="AA488" s="1"/>
      <c r="AB488" s="1"/>
    </row>
    <row r="489" spans="1:28" ht="11.25" customHeight="1" x14ac:dyDescent="0.25">
      <c r="A489" s="825"/>
      <c r="B489" s="16"/>
      <c r="C489" s="16"/>
      <c r="D489" s="22"/>
      <c r="E489" s="262"/>
      <c r="F489" s="16"/>
      <c r="G489" s="16"/>
      <c r="H489" s="16"/>
      <c r="I489" s="16"/>
      <c r="J489" s="1"/>
      <c r="K489" s="1"/>
      <c r="L489" s="1"/>
      <c r="M489" s="262"/>
      <c r="N489" s="1"/>
      <c r="O489" s="1"/>
      <c r="P489" s="1"/>
      <c r="Q489" s="1"/>
      <c r="R489" s="1"/>
      <c r="S489" s="1"/>
      <c r="T489" s="1"/>
      <c r="U489" s="1"/>
      <c r="V489" s="1"/>
      <c r="W489" s="1"/>
      <c r="X489" s="1"/>
      <c r="Y489" s="1"/>
      <c r="Z489" s="1"/>
      <c r="AA489" s="1"/>
      <c r="AB489" s="1"/>
    </row>
    <row r="490" spans="1:28" ht="11.25" customHeight="1" x14ac:dyDescent="0.25">
      <c r="A490" s="825"/>
      <c r="B490" s="16"/>
      <c r="C490" s="16"/>
      <c r="D490" s="22"/>
      <c r="E490" s="262"/>
      <c r="F490" s="16"/>
      <c r="G490" s="16"/>
      <c r="H490" s="16"/>
      <c r="I490" s="16"/>
      <c r="J490" s="1"/>
      <c r="K490" s="1"/>
      <c r="L490" s="1"/>
      <c r="M490" s="262"/>
      <c r="N490" s="1"/>
      <c r="O490" s="1"/>
      <c r="P490" s="1"/>
      <c r="Q490" s="1"/>
      <c r="R490" s="1"/>
      <c r="S490" s="1"/>
      <c r="T490" s="1"/>
      <c r="U490" s="1"/>
      <c r="V490" s="1"/>
      <c r="W490" s="1"/>
      <c r="X490" s="1"/>
      <c r="Y490" s="1"/>
      <c r="Z490" s="1"/>
      <c r="AA490" s="1"/>
      <c r="AB490" s="1"/>
    </row>
    <row r="491" spans="1:28" ht="11.25" customHeight="1" x14ac:dyDescent="0.25">
      <c r="A491" s="825"/>
      <c r="B491" s="16"/>
      <c r="C491" s="16"/>
      <c r="D491" s="22"/>
      <c r="E491" s="262"/>
      <c r="F491" s="16"/>
      <c r="G491" s="16"/>
      <c r="H491" s="16"/>
      <c r="I491" s="16"/>
      <c r="J491" s="1"/>
      <c r="K491" s="1"/>
      <c r="L491" s="1"/>
      <c r="M491" s="262"/>
      <c r="N491" s="1"/>
      <c r="O491" s="1"/>
      <c r="P491" s="1"/>
      <c r="Q491" s="1"/>
      <c r="R491" s="1"/>
      <c r="S491" s="1"/>
      <c r="T491" s="1"/>
      <c r="U491" s="1"/>
      <c r="V491" s="1"/>
      <c r="W491" s="1"/>
      <c r="X491" s="1"/>
      <c r="Y491" s="1"/>
      <c r="Z491" s="1"/>
      <c r="AA491" s="1"/>
      <c r="AB491" s="1"/>
    </row>
    <row r="492" spans="1:28" ht="11.25" customHeight="1" x14ac:dyDescent="0.25">
      <c r="A492" s="825"/>
      <c r="B492" s="16"/>
      <c r="C492" s="16"/>
      <c r="D492" s="22"/>
      <c r="E492" s="262"/>
      <c r="F492" s="16"/>
      <c r="G492" s="16"/>
      <c r="H492" s="16"/>
      <c r="I492" s="16"/>
      <c r="J492" s="1"/>
      <c r="K492" s="1"/>
      <c r="L492" s="1"/>
      <c r="M492" s="262"/>
      <c r="N492" s="1"/>
      <c r="O492" s="1"/>
      <c r="P492" s="1"/>
      <c r="Q492" s="1"/>
      <c r="R492" s="1"/>
      <c r="S492" s="1"/>
      <c r="T492" s="1"/>
      <c r="U492" s="1"/>
      <c r="V492" s="1"/>
      <c r="W492" s="1"/>
      <c r="X492" s="1"/>
      <c r="Y492" s="1"/>
      <c r="Z492" s="1"/>
      <c r="AA492" s="1"/>
      <c r="AB492" s="1"/>
    </row>
    <row r="493" spans="1:28" ht="11.25" customHeight="1" x14ac:dyDescent="0.25">
      <c r="A493" s="825"/>
      <c r="B493" s="16"/>
      <c r="C493" s="16"/>
      <c r="D493" s="22"/>
      <c r="E493" s="262"/>
      <c r="F493" s="16"/>
      <c r="G493" s="16"/>
      <c r="H493" s="16"/>
      <c r="I493" s="16"/>
      <c r="J493" s="1"/>
      <c r="K493" s="1"/>
      <c r="L493" s="1"/>
      <c r="M493" s="262"/>
      <c r="N493" s="1"/>
      <c r="O493" s="1"/>
      <c r="P493" s="1"/>
      <c r="Q493" s="1"/>
      <c r="R493" s="1"/>
      <c r="S493" s="1"/>
      <c r="T493" s="1"/>
      <c r="U493" s="1"/>
      <c r="V493" s="1"/>
      <c r="W493" s="1"/>
      <c r="X493" s="1"/>
      <c r="Y493" s="1"/>
      <c r="Z493" s="1"/>
      <c r="AA493" s="1"/>
      <c r="AB493" s="1"/>
    </row>
    <row r="494" spans="1:28" ht="11.25" customHeight="1" x14ac:dyDescent="0.25">
      <c r="A494" s="825"/>
      <c r="B494" s="16"/>
      <c r="C494" s="16"/>
      <c r="D494" s="22"/>
      <c r="E494" s="262"/>
      <c r="F494" s="16"/>
      <c r="G494" s="16"/>
      <c r="H494" s="16"/>
      <c r="I494" s="16"/>
      <c r="J494" s="1"/>
      <c r="K494" s="1"/>
      <c r="L494" s="1"/>
      <c r="M494" s="262"/>
      <c r="N494" s="1"/>
      <c r="O494" s="1"/>
      <c r="P494" s="1"/>
      <c r="Q494" s="1"/>
      <c r="R494" s="1"/>
      <c r="S494" s="1"/>
      <c r="T494" s="1"/>
      <c r="U494" s="1"/>
      <c r="V494" s="1"/>
      <c r="W494" s="1"/>
      <c r="X494" s="1"/>
      <c r="Y494" s="1"/>
      <c r="Z494" s="1"/>
      <c r="AA494" s="1"/>
      <c r="AB494" s="1"/>
    </row>
    <row r="495" spans="1:28" ht="11.25" customHeight="1" x14ac:dyDescent="0.25">
      <c r="A495" s="825"/>
      <c r="B495" s="16"/>
      <c r="C495" s="16"/>
      <c r="D495" s="22"/>
      <c r="E495" s="262"/>
      <c r="F495" s="16"/>
      <c r="G495" s="16"/>
      <c r="H495" s="16"/>
      <c r="I495" s="16"/>
      <c r="J495" s="1"/>
      <c r="K495" s="1"/>
      <c r="L495" s="1"/>
      <c r="M495" s="262"/>
      <c r="N495" s="1"/>
      <c r="O495" s="1"/>
      <c r="P495" s="1"/>
      <c r="Q495" s="1"/>
      <c r="R495" s="1"/>
      <c r="S495" s="1"/>
      <c r="T495" s="1"/>
      <c r="U495" s="1"/>
      <c r="V495" s="1"/>
      <c r="W495" s="1"/>
      <c r="X495" s="1"/>
      <c r="Y495" s="1"/>
      <c r="Z495" s="1"/>
      <c r="AA495" s="1"/>
      <c r="AB495" s="1"/>
    </row>
    <row r="496" spans="1:28" ht="11.25" customHeight="1" x14ac:dyDescent="0.25">
      <c r="A496" s="825"/>
      <c r="B496" s="16"/>
      <c r="C496" s="16"/>
      <c r="D496" s="22"/>
      <c r="E496" s="262"/>
      <c r="F496" s="16"/>
      <c r="G496" s="16"/>
      <c r="H496" s="16"/>
      <c r="I496" s="16"/>
      <c r="J496" s="1"/>
      <c r="K496" s="1"/>
      <c r="L496" s="1"/>
      <c r="M496" s="262"/>
      <c r="N496" s="1"/>
      <c r="O496" s="1"/>
      <c r="P496" s="1"/>
      <c r="Q496" s="1"/>
      <c r="R496" s="1"/>
      <c r="S496" s="1"/>
      <c r="T496" s="1"/>
      <c r="U496" s="1"/>
      <c r="V496" s="1"/>
      <c r="W496" s="1"/>
      <c r="X496" s="1"/>
      <c r="Y496" s="1"/>
      <c r="Z496" s="1"/>
      <c r="AA496" s="1"/>
      <c r="AB496" s="1"/>
    </row>
    <row r="497" spans="1:28" ht="11.25" customHeight="1" x14ac:dyDescent="0.25">
      <c r="A497" s="825"/>
      <c r="B497" s="16"/>
      <c r="C497" s="16"/>
      <c r="D497" s="22"/>
      <c r="E497" s="262"/>
      <c r="F497" s="16"/>
      <c r="G497" s="16"/>
      <c r="H497" s="16"/>
      <c r="I497" s="16"/>
      <c r="J497" s="1"/>
      <c r="K497" s="1"/>
      <c r="L497" s="1"/>
      <c r="M497" s="262"/>
      <c r="N497" s="1"/>
      <c r="O497" s="1"/>
      <c r="P497" s="1"/>
      <c r="Q497" s="1"/>
      <c r="R497" s="1"/>
      <c r="S497" s="1"/>
      <c r="T497" s="1"/>
      <c r="U497" s="1"/>
      <c r="V497" s="1"/>
      <c r="W497" s="1"/>
      <c r="X497" s="1"/>
      <c r="Y497" s="1"/>
      <c r="Z497" s="1"/>
      <c r="AA497" s="1"/>
      <c r="AB497" s="1"/>
    </row>
    <row r="498" spans="1:28" ht="11.25" customHeight="1" x14ac:dyDescent="0.25">
      <c r="A498" s="825"/>
      <c r="B498" s="16"/>
      <c r="C498" s="16"/>
      <c r="D498" s="22"/>
      <c r="E498" s="262"/>
      <c r="F498" s="16"/>
      <c r="G498" s="16"/>
      <c r="H498" s="16"/>
      <c r="I498" s="16"/>
      <c r="J498" s="1"/>
      <c r="K498" s="1"/>
      <c r="L498" s="1"/>
      <c r="M498" s="262"/>
      <c r="N498" s="1"/>
      <c r="O498" s="1"/>
      <c r="P498" s="1"/>
      <c r="Q498" s="1"/>
      <c r="R498" s="1"/>
      <c r="S498" s="1"/>
      <c r="T498" s="1"/>
      <c r="U498" s="1"/>
      <c r="V498" s="1"/>
      <c r="W498" s="1"/>
      <c r="X498" s="1"/>
      <c r="Y498" s="1"/>
      <c r="Z498" s="1"/>
      <c r="AA498" s="1"/>
      <c r="AB498" s="1"/>
    </row>
    <row r="499" spans="1:28" ht="11.25" customHeight="1" x14ac:dyDescent="0.25">
      <c r="A499" s="825"/>
      <c r="B499" s="16"/>
      <c r="C499" s="16"/>
      <c r="D499" s="22"/>
      <c r="E499" s="262"/>
      <c r="F499" s="16"/>
      <c r="G499" s="16"/>
      <c r="H499" s="16"/>
      <c r="I499" s="16"/>
      <c r="J499" s="1"/>
      <c r="K499" s="1"/>
      <c r="L499" s="1"/>
      <c r="M499" s="262"/>
      <c r="N499" s="1"/>
      <c r="O499" s="1"/>
      <c r="P499" s="1"/>
      <c r="Q499" s="1"/>
      <c r="R499" s="1"/>
      <c r="S499" s="1"/>
      <c r="T499" s="1"/>
      <c r="U499" s="1"/>
      <c r="V499" s="1"/>
      <c r="W499" s="1"/>
      <c r="X499" s="1"/>
      <c r="Y499" s="1"/>
      <c r="Z499" s="1"/>
      <c r="AA499" s="1"/>
      <c r="AB499" s="1"/>
    </row>
    <row r="500" spans="1:28" ht="11.25" customHeight="1" x14ac:dyDescent="0.25">
      <c r="A500" s="825"/>
      <c r="B500" s="16"/>
      <c r="C500" s="16"/>
      <c r="D500" s="22"/>
      <c r="E500" s="262"/>
      <c r="F500" s="16"/>
      <c r="G500" s="16"/>
      <c r="H500" s="16"/>
      <c r="I500" s="16"/>
      <c r="J500" s="1"/>
      <c r="K500" s="1"/>
      <c r="L500" s="1"/>
      <c r="M500" s="262"/>
      <c r="N500" s="1"/>
      <c r="O500" s="1"/>
      <c r="P500" s="1"/>
      <c r="Q500" s="1"/>
      <c r="R500" s="1"/>
      <c r="S500" s="1"/>
      <c r="T500" s="1"/>
      <c r="U500" s="1"/>
      <c r="V500" s="1"/>
      <c r="W500" s="1"/>
      <c r="X500" s="1"/>
      <c r="Y500" s="1"/>
      <c r="Z500" s="1"/>
      <c r="AA500" s="1"/>
      <c r="AB500" s="1"/>
    </row>
    <row r="501" spans="1:28" ht="11.25" customHeight="1" x14ac:dyDescent="0.25">
      <c r="A501" s="825"/>
      <c r="B501" s="16"/>
      <c r="C501" s="16"/>
      <c r="D501" s="22"/>
      <c r="E501" s="262"/>
      <c r="F501" s="16"/>
      <c r="G501" s="16"/>
      <c r="H501" s="16"/>
      <c r="I501" s="16"/>
      <c r="J501" s="1"/>
      <c r="K501" s="1"/>
      <c r="L501" s="1"/>
      <c r="M501" s="262"/>
      <c r="N501" s="1"/>
      <c r="O501" s="1"/>
      <c r="P501" s="1"/>
      <c r="Q501" s="1"/>
      <c r="R501" s="1"/>
      <c r="S501" s="1"/>
      <c r="T501" s="1"/>
      <c r="U501" s="1"/>
      <c r="V501" s="1"/>
      <c r="W501" s="1"/>
      <c r="X501" s="1"/>
      <c r="Y501" s="1"/>
      <c r="Z501" s="1"/>
      <c r="AA501" s="1"/>
      <c r="AB501" s="1"/>
    </row>
    <row r="502" spans="1:28" ht="11.25" customHeight="1" x14ac:dyDescent="0.25">
      <c r="A502" s="825"/>
      <c r="B502" s="16"/>
      <c r="C502" s="16"/>
      <c r="D502" s="22"/>
      <c r="E502" s="262"/>
      <c r="F502" s="16"/>
      <c r="G502" s="16"/>
      <c r="H502" s="16"/>
      <c r="I502" s="16"/>
      <c r="J502" s="1"/>
      <c r="K502" s="1"/>
      <c r="L502" s="1"/>
      <c r="M502" s="262"/>
      <c r="N502" s="1"/>
      <c r="O502" s="1"/>
      <c r="P502" s="1"/>
      <c r="Q502" s="1"/>
      <c r="R502" s="1"/>
      <c r="S502" s="1"/>
      <c r="T502" s="1"/>
      <c r="U502" s="1"/>
      <c r="V502" s="1"/>
      <c r="W502" s="1"/>
      <c r="X502" s="1"/>
      <c r="Y502" s="1"/>
      <c r="Z502" s="1"/>
      <c r="AA502" s="1"/>
      <c r="AB502" s="1"/>
    </row>
    <row r="503" spans="1:28" ht="11.25" customHeight="1" x14ac:dyDescent="0.25">
      <c r="A503" s="825"/>
      <c r="B503" s="16"/>
      <c r="C503" s="16"/>
      <c r="D503" s="22"/>
      <c r="E503" s="262"/>
      <c r="F503" s="16"/>
      <c r="G503" s="16"/>
      <c r="H503" s="16"/>
      <c r="I503" s="16"/>
      <c r="J503" s="1"/>
      <c r="K503" s="1"/>
      <c r="L503" s="1"/>
      <c r="M503" s="262"/>
      <c r="N503" s="1"/>
      <c r="O503" s="1"/>
      <c r="P503" s="1"/>
      <c r="Q503" s="1"/>
      <c r="R503" s="1"/>
      <c r="S503" s="1"/>
      <c r="T503" s="1"/>
      <c r="U503" s="1"/>
      <c r="V503" s="1"/>
      <c r="W503" s="1"/>
      <c r="X503" s="1"/>
      <c r="Y503" s="1"/>
      <c r="Z503" s="1"/>
      <c r="AA503" s="1"/>
      <c r="AB503" s="1"/>
    </row>
    <row r="504" spans="1:28" ht="11.25" customHeight="1" x14ac:dyDescent="0.25">
      <c r="A504" s="825"/>
      <c r="B504" s="16"/>
      <c r="C504" s="16"/>
      <c r="D504" s="22"/>
      <c r="E504" s="262"/>
      <c r="F504" s="16"/>
      <c r="G504" s="16"/>
      <c r="H504" s="16"/>
      <c r="I504" s="16"/>
      <c r="J504" s="1"/>
      <c r="K504" s="1"/>
      <c r="L504" s="1"/>
      <c r="M504" s="262"/>
      <c r="N504" s="1"/>
      <c r="O504" s="1"/>
      <c r="P504" s="1"/>
      <c r="Q504" s="1"/>
      <c r="R504" s="1"/>
      <c r="S504" s="1"/>
      <c r="T504" s="1"/>
      <c r="U504" s="1"/>
      <c r="V504" s="1"/>
      <c r="W504" s="1"/>
      <c r="X504" s="1"/>
      <c r="Y504" s="1"/>
      <c r="Z504" s="1"/>
      <c r="AA504" s="1"/>
      <c r="AB504" s="1"/>
    </row>
    <row r="505" spans="1:28" ht="11.25" customHeight="1" x14ac:dyDescent="0.25">
      <c r="A505" s="825"/>
      <c r="B505" s="16"/>
      <c r="C505" s="16"/>
      <c r="D505" s="22"/>
      <c r="E505" s="262"/>
      <c r="F505" s="16"/>
      <c r="G505" s="16"/>
      <c r="H505" s="16"/>
      <c r="I505" s="16"/>
      <c r="J505" s="1"/>
      <c r="K505" s="1"/>
      <c r="L505" s="1"/>
      <c r="M505" s="262"/>
      <c r="N505" s="1"/>
      <c r="O505" s="1"/>
      <c r="P505" s="1"/>
      <c r="Q505" s="1"/>
      <c r="R505" s="1"/>
      <c r="S505" s="1"/>
      <c r="T505" s="1"/>
      <c r="U505" s="1"/>
      <c r="V505" s="1"/>
      <c r="W505" s="1"/>
      <c r="X505" s="1"/>
      <c r="Y505" s="1"/>
      <c r="Z505" s="1"/>
      <c r="AA505" s="1"/>
      <c r="AB505" s="1"/>
    </row>
    <row r="506" spans="1:28" ht="11.25" customHeight="1" x14ac:dyDescent="0.25">
      <c r="A506" s="825"/>
      <c r="B506" s="16"/>
      <c r="C506" s="16"/>
      <c r="D506" s="22"/>
      <c r="E506" s="262"/>
      <c r="F506" s="16"/>
      <c r="G506" s="16"/>
      <c r="H506" s="16"/>
      <c r="I506" s="16"/>
      <c r="J506" s="1"/>
      <c r="K506" s="1"/>
      <c r="L506" s="1"/>
      <c r="M506" s="262"/>
      <c r="N506" s="1"/>
      <c r="O506" s="1"/>
      <c r="P506" s="1"/>
      <c r="Q506" s="1"/>
      <c r="R506" s="1"/>
      <c r="S506" s="1"/>
      <c r="T506" s="1"/>
      <c r="U506" s="1"/>
      <c r="V506" s="1"/>
      <c r="W506" s="1"/>
      <c r="X506" s="1"/>
      <c r="Y506" s="1"/>
      <c r="Z506" s="1"/>
      <c r="AA506" s="1"/>
      <c r="AB506" s="1"/>
    </row>
    <row r="507" spans="1:28" ht="11.25" customHeight="1" x14ac:dyDescent="0.25">
      <c r="A507" s="825"/>
      <c r="B507" s="16"/>
      <c r="C507" s="16"/>
      <c r="D507" s="22"/>
      <c r="E507" s="262"/>
      <c r="F507" s="16"/>
      <c r="G507" s="16"/>
      <c r="H507" s="16"/>
      <c r="I507" s="16"/>
      <c r="J507" s="1"/>
      <c r="K507" s="1"/>
      <c r="L507" s="1"/>
      <c r="M507" s="262"/>
      <c r="N507" s="1"/>
      <c r="O507" s="1"/>
      <c r="P507" s="1"/>
      <c r="Q507" s="1"/>
      <c r="R507" s="1"/>
      <c r="S507" s="1"/>
      <c r="T507" s="1"/>
      <c r="U507" s="1"/>
      <c r="V507" s="1"/>
      <c r="W507" s="1"/>
      <c r="X507" s="1"/>
      <c r="Y507" s="1"/>
      <c r="Z507" s="1"/>
      <c r="AA507" s="1"/>
      <c r="AB507" s="1"/>
    </row>
    <row r="508" spans="1:28" ht="11.25" customHeight="1" x14ac:dyDescent="0.25">
      <c r="A508" s="825"/>
      <c r="B508" s="16"/>
      <c r="C508" s="16"/>
      <c r="D508" s="22"/>
      <c r="E508" s="262"/>
      <c r="F508" s="16"/>
      <c r="G508" s="16"/>
      <c r="H508" s="16"/>
      <c r="I508" s="16"/>
      <c r="J508" s="1"/>
      <c r="K508" s="1"/>
      <c r="L508" s="1"/>
      <c r="M508" s="262"/>
      <c r="N508" s="1"/>
      <c r="O508" s="1"/>
      <c r="P508" s="1"/>
      <c r="Q508" s="1"/>
      <c r="R508" s="1"/>
      <c r="S508" s="1"/>
      <c r="T508" s="1"/>
      <c r="U508" s="1"/>
      <c r="V508" s="1"/>
      <c r="W508" s="1"/>
      <c r="X508" s="1"/>
      <c r="Y508" s="1"/>
      <c r="Z508" s="1"/>
      <c r="AA508" s="1"/>
      <c r="AB508" s="1"/>
    </row>
    <row r="509" spans="1:28" ht="11.25" customHeight="1" x14ac:dyDescent="0.25">
      <c r="A509" s="825"/>
      <c r="B509" s="16"/>
      <c r="C509" s="16"/>
      <c r="D509" s="22"/>
      <c r="E509" s="262"/>
      <c r="F509" s="16"/>
      <c r="G509" s="16"/>
      <c r="H509" s="16"/>
      <c r="I509" s="16"/>
      <c r="J509" s="1"/>
      <c r="K509" s="1"/>
      <c r="L509" s="1"/>
      <c r="M509" s="262"/>
      <c r="N509" s="1"/>
      <c r="O509" s="1"/>
      <c r="P509" s="1"/>
      <c r="Q509" s="1"/>
      <c r="R509" s="1"/>
      <c r="S509" s="1"/>
      <c r="T509" s="1"/>
      <c r="U509" s="1"/>
      <c r="V509" s="1"/>
      <c r="W509" s="1"/>
      <c r="X509" s="1"/>
      <c r="Y509" s="1"/>
      <c r="Z509" s="1"/>
      <c r="AA509" s="1"/>
      <c r="AB509" s="1"/>
    </row>
    <row r="510" spans="1:28" ht="11.25" customHeight="1" x14ac:dyDescent="0.25">
      <c r="A510" s="825"/>
      <c r="B510" s="16"/>
      <c r="C510" s="16"/>
      <c r="D510" s="22"/>
      <c r="E510" s="262"/>
      <c r="F510" s="16"/>
      <c r="G510" s="16"/>
      <c r="H510" s="16"/>
      <c r="I510" s="16"/>
      <c r="J510" s="1"/>
      <c r="K510" s="1"/>
      <c r="L510" s="1"/>
      <c r="M510" s="262"/>
      <c r="N510" s="1"/>
      <c r="O510" s="1"/>
      <c r="P510" s="1"/>
      <c r="Q510" s="1"/>
      <c r="R510" s="1"/>
      <c r="S510" s="1"/>
      <c r="T510" s="1"/>
      <c r="U510" s="1"/>
      <c r="V510" s="1"/>
      <c r="W510" s="1"/>
      <c r="X510" s="1"/>
      <c r="Y510" s="1"/>
      <c r="Z510" s="1"/>
      <c r="AA510" s="1"/>
      <c r="AB510" s="1"/>
    </row>
    <row r="511" spans="1:28" ht="11.25" customHeight="1" x14ac:dyDescent="0.25">
      <c r="A511" s="825"/>
      <c r="B511" s="16"/>
      <c r="C511" s="16"/>
      <c r="D511" s="22"/>
      <c r="E511" s="262"/>
      <c r="F511" s="16"/>
      <c r="G511" s="16"/>
      <c r="H511" s="16"/>
      <c r="I511" s="16"/>
      <c r="J511" s="1"/>
      <c r="K511" s="1"/>
      <c r="L511" s="1"/>
      <c r="M511" s="262"/>
      <c r="N511" s="1"/>
      <c r="O511" s="1"/>
      <c r="P511" s="1"/>
      <c r="Q511" s="1"/>
      <c r="R511" s="1"/>
      <c r="S511" s="1"/>
      <c r="T511" s="1"/>
      <c r="U511" s="1"/>
      <c r="V511" s="1"/>
      <c r="W511" s="1"/>
      <c r="X511" s="1"/>
      <c r="Y511" s="1"/>
      <c r="Z511" s="1"/>
      <c r="AA511" s="1"/>
      <c r="AB511" s="1"/>
    </row>
    <row r="512" spans="1:28" ht="11.25" customHeight="1" x14ac:dyDescent="0.25">
      <c r="A512" s="825"/>
      <c r="B512" s="16"/>
      <c r="C512" s="16"/>
      <c r="D512" s="22"/>
      <c r="E512" s="262"/>
      <c r="F512" s="16"/>
      <c r="G512" s="16"/>
      <c r="H512" s="16"/>
      <c r="I512" s="16"/>
      <c r="J512" s="1"/>
      <c r="K512" s="1"/>
      <c r="L512" s="1"/>
      <c r="M512" s="262"/>
      <c r="N512" s="1"/>
      <c r="O512" s="1"/>
      <c r="P512" s="1"/>
      <c r="Q512" s="1"/>
      <c r="R512" s="1"/>
      <c r="S512" s="1"/>
      <c r="T512" s="1"/>
      <c r="U512" s="1"/>
      <c r="V512" s="1"/>
      <c r="W512" s="1"/>
      <c r="X512" s="1"/>
      <c r="Y512" s="1"/>
      <c r="Z512" s="1"/>
      <c r="AA512" s="1"/>
      <c r="AB512" s="1"/>
    </row>
    <row r="513" spans="1:28" ht="11.25" customHeight="1" x14ac:dyDescent="0.25">
      <c r="A513" s="825"/>
      <c r="B513" s="16"/>
      <c r="C513" s="16"/>
      <c r="D513" s="22"/>
      <c r="E513" s="262"/>
      <c r="F513" s="16"/>
      <c r="G513" s="16"/>
      <c r="H513" s="16"/>
      <c r="I513" s="16"/>
      <c r="J513" s="1"/>
      <c r="K513" s="1"/>
      <c r="L513" s="1"/>
      <c r="M513" s="262"/>
      <c r="N513" s="1"/>
      <c r="O513" s="1"/>
      <c r="P513" s="1"/>
      <c r="Q513" s="1"/>
      <c r="R513" s="1"/>
      <c r="S513" s="1"/>
      <c r="T513" s="1"/>
      <c r="U513" s="1"/>
      <c r="V513" s="1"/>
      <c r="W513" s="1"/>
      <c r="X513" s="1"/>
      <c r="Y513" s="1"/>
      <c r="Z513" s="1"/>
      <c r="AA513" s="1"/>
      <c r="AB513" s="1"/>
    </row>
    <row r="514" spans="1:28" ht="11.25" customHeight="1" x14ac:dyDescent="0.25">
      <c r="A514" s="825"/>
      <c r="B514" s="16"/>
      <c r="C514" s="16"/>
      <c r="D514" s="22"/>
      <c r="E514" s="262"/>
      <c r="F514" s="16"/>
      <c r="G514" s="16"/>
      <c r="H514" s="16"/>
      <c r="I514" s="16"/>
      <c r="J514" s="1"/>
      <c r="K514" s="1"/>
      <c r="L514" s="1"/>
      <c r="M514" s="262"/>
      <c r="N514" s="1"/>
      <c r="O514" s="1"/>
      <c r="P514" s="1"/>
      <c r="Q514" s="1"/>
      <c r="R514" s="1"/>
      <c r="S514" s="1"/>
      <c r="T514" s="1"/>
      <c r="U514" s="1"/>
      <c r="V514" s="1"/>
      <c r="W514" s="1"/>
      <c r="X514" s="1"/>
      <c r="Y514" s="1"/>
      <c r="Z514" s="1"/>
      <c r="AA514" s="1"/>
      <c r="AB514" s="1"/>
    </row>
    <row r="515" spans="1:28" ht="11.25" customHeight="1" x14ac:dyDescent="0.25">
      <c r="A515" s="825"/>
      <c r="B515" s="16"/>
      <c r="C515" s="16"/>
      <c r="D515" s="22"/>
      <c r="E515" s="262"/>
      <c r="F515" s="16"/>
      <c r="G515" s="16"/>
      <c r="H515" s="16"/>
      <c r="I515" s="16"/>
      <c r="J515" s="1"/>
      <c r="K515" s="1"/>
      <c r="L515" s="1"/>
      <c r="M515" s="262"/>
      <c r="N515" s="1"/>
      <c r="O515" s="1"/>
      <c r="P515" s="1"/>
      <c r="Q515" s="1"/>
      <c r="R515" s="1"/>
      <c r="S515" s="1"/>
      <c r="T515" s="1"/>
      <c r="U515" s="1"/>
      <c r="V515" s="1"/>
      <c r="W515" s="1"/>
      <c r="X515" s="1"/>
      <c r="Y515" s="1"/>
      <c r="Z515" s="1"/>
      <c r="AA515" s="1"/>
      <c r="AB515" s="1"/>
    </row>
    <row r="516" spans="1:28" ht="11.25" customHeight="1" x14ac:dyDescent="0.25">
      <c r="A516" s="825"/>
      <c r="B516" s="16"/>
      <c r="C516" s="16"/>
      <c r="D516" s="22"/>
      <c r="E516" s="262"/>
      <c r="F516" s="16"/>
      <c r="G516" s="16"/>
      <c r="H516" s="16"/>
      <c r="I516" s="16"/>
      <c r="J516" s="1"/>
      <c r="K516" s="1"/>
      <c r="L516" s="1"/>
      <c r="M516" s="262"/>
      <c r="N516" s="1"/>
      <c r="O516" s="1"/>
      <c r="P516" s="1"/>
      <c r="Q516" s="1"/>
      <c r="R516" s="1"/>
      <c r="S516" s="1"/>
      <c r="T516" s="1"/>
      <c r="U516" s="1"/>
      <c r="V516" s="1"/>
      <c r="W516" s="1"/>
      <c r="X516" s="1"/>
      <c r="Y516" s="1"/>
      <c r="Z516" s="1"/>
      <c r="AA516" s="1"/>
      <c r="AB516" s="1"/>
    </row>
    <row r="517" spans="1:28" ht="11.25" customHeight="1" x14ac:dyDescent="0.25">
      <c r="A517" s="825"/>
      <c r="B517" s="16"/>
      <c r="C517" s="16"/>
      <c r="D517" s="22"/>
      <c r="E517" s="262"/>
      <c r="F517" s="16"/>
      <c r="G517" s="16"/>
      <c r="H517" s="16"/>
      <c r="I517" s="16"/>
      <c r="J517" s="1"/>
      <c r="K517" s="1"/>
      <c r="L517" s="1"/>
      <c r="M517" s="262"/>
      <c r="N517" s="1"/>
      <c r="O517" s="1"/>
      <c r="P517" s="1"/>
      <c r="Q517" s="1"/>
      <c r="R517" s="1"/>
      <c r="S517" s="1"/>
      <c r="T517" s="1"/>
      <c r="U517" s="1"/>
      <c r="V517" s="1"/>
      <c r="W517" s="1"/>
      <c r="X517" s="1"/>
      <c r="Y517" s="1"/>
      <c r="Z517" s="1"/>
      <c r="AA517" s="1"/>
      <c r="AB517" s="1"/>
    </row>
    <row r="518" spans="1:28" ht="11.25" customHeight="1" x14ac:dyDescent="0.25">
      <c r="A518" s="825"/>
      <c r="B518" s="16"/>
      <c r="C518" s="16"/>
      <c r="D518" s="22"/>
      <c r="E518" s="262"/>
      <c r="F518" s="16"/>
      <c r="G518" s="16"/>
      <c r="H518" s="16"/>
      <c r="I518" s="16"/>
      <c r="J518" s="1"/>
      <c r="K518" s="1"/>
      <c r="L518" s="1"/>
      <c r="M518" s="262"/>
      <c r="N518" s="1"/>
      <c r="O518" s="1"/>
      <c r="P518" s="1"/>
      <c r="Q518" s="1"/>
      <c r="R518" s="1"/>
      <c r="S518" s="1"/>
      <c r="T518" s="1"/>
      <c r="U518" s="1"/>
      <c r="V518" s="1"/>
      <c r="W518" s="1"/>
      <c r="X518" s="1"/>
      <c r="Y518" s="1"/>
      <c r="Z518" s="1"/>
      <c r="AA518" s="1"/>
      <c r="AB518" s="1"/>
    </row>
    <row r="519" spans="1:28" ht="11.25" customHeight="1" x14ac:dyDescent="0.25">
      <c r="A519" s="825"/>
      <c r="B519" s="16"/>
      <c r="C519" s="16"/>
      <c r="D519" s="22"/>
      <c r="E519" s="262"/>
      <c r="F519" s="16"/>
      <c r="G519" s="16"/>
      <c r="H519" s="16"/>
      <c r="I519" s="16"/>
      <c r="J519" s="1"/>
      <c r="K519" s="1"/>
      <c r="L519" s="1"/>
      <c r="M519" s="262"/>
      <c r="N519" s="1"/>
      <c r="O519" s="1"/>
      <c r="P519" s="1"/>
      <c r="Q519" s="1"/>
      <c r="R519" s="1"/>
      <c r="S519" s="1"/>
      <c r="T519" s="1"/>
      <c r="U519" s="1"/>
      <c r="V519" s="1"/>
      <c r="W519" s="1"/>
      <c r="X519" s="1"/>
      <c r="Y519" s="1"/>
      <c r="Z519" s="1"/>
      <c r="AA519" s="1"/>
      <c r="AB519" s="1"/>
    </row>
    <row r="520" spans="1:28" ht="11.25" customHeight="1" x14ac:dyDescent="0.25">
      <c r="A520" s="825"/>
      <c r="B520" s="16"/>
      <c r="C520" s="16"/>
      <c r="D520" s="22"/>
      <c r="E520" s="262"/>
      <c r="F520" s="16"/>
      <c r="G520" s="16"/>
      <c r="H520" s="16"/>
      <c r="I520" s="16"/>
      <c r="J520" s="1"/>
      <c r="K520" s="1"/>
      <c r="L520" s="1"/>
      <c r="M520" s="262"/>
      <c r="N520" s="1"/>
      <c r="O520" s="1"/>
      <c r="P520" s="1"/>
      <c r="Q520" s="1"/>
      <c r="R520" s="1"/>
      <c r="S520" s="1"/>
      <c r="T520" s="1"/>
      <c r="U520" s="1"/>
      <c r="V520" s="1"/>
      <c r="W520" s="1"/>
      <c r="X520" s="1"/>
      <c r="Y520" s="1"/>
      <c r="Z520" s="1"/>
      <c r="AA520" s="1"/>
      <c r="AB520" s="1"/>
    </row>
    <row r="521" spans="1:28" ht="11.25" customHeight="1" x14ac:dyDescent="0.25">
      <c r="A521" s="825"/>
      <c r="B521" s="16"/>
      <c r="C521" s="16"/>
      <c r="D521" s="22"/>
      <c r="E521" s="262"/>
      <c r="F521" s="16"/>
      <c r="G521" s="16"/>
      <c r="H521" s="16"/>
      <c r="I521" s="16"/>
      <c r="J521" s="1"/>
      <c r="K521" s="1"/>
      <c r="L521" s="1"/>
      <c r="M521" s="262"/>
      <c r="N521" s="1"/>
      <c r="O521" s="1"/>
      <c r="P521" s="1"/>
      <c r="Q521" s="1"/>
      <c r="R521" s="1"/>
      <c r="S521" s="1"/>
      <c r="T521" s="1"/>
      <c r="U521" s="1"/>
      <c r="V521" s="1"/>
      <c r="W521" s="1"/>
      <c r="X521" s="1"/>
      <c r="Y521" s="1"/>
      <c r="Z521" s="1"/>
      <c r="AA521" s="1"/>
      <c r="AB521" s="1"/>
    </row>
    <row r="522" spans="1:28" ht="11.25" customHeight="1" x14ac:dyDescent="0.25">
      <c r="A522" s="825"/>
      <c r="B522" s="16"/>
      <c r="C522" s="16"/>
      <c r="D522" s="22"/>
      <c r="E522" s="262"/>
      <c r="F522" s="16"/>
      <c r="G522" s="16"/>
      <c r="H522" s="16"/>
      <c r="I522" s="16"/>
      <c r="J522" s="1"/>
      <c r="K522" s="1"/>
      <c r="L522" s="1"/>
      <c r="M522" s="262"/>
      <c r="N522" s="1"/>
      <c r="O522" s="1"/>
      <c r="P522" s="1"/>
      <c r="Q522" s="1"/>
      <c r="R522" s="1"/>
      <c r="S522" s="1"/>
      <c r="T522" s="1"/>
      <c r="U522" s="1"/>
      <c r="V522" s="1"/>
      <c r="W522" s="1"/>
      <c r="X522" s="1"/>
      <c r="Y522" s="1"/>
      <c r="Z522" s="1"/>
      <c r="AA522" s="1"/>
      <c r="AB522" s="1"/>
    </row>
    <row r="523" spans="1:28" ht="11.25" customHeight="1" x14ac:dyDescent="0.25">
      <c r="A523" s="825"/>
      <c r="B523" s="16"/>
      <c r="C523" s="16"/>
      <c r="D523" s="22"/>
      <c r="E523" s="262"/>
      <c r="F523" s="16"/>
      <c r="G523" s="16"/>
      <c r="H523" s="16"/>
      <c r="I523" s="16"/>
      <c r="J523" s="1"/>
      <c r="K523" s="1"/>
      <c r="L523" s="1"/>
      <c r="M523" s="262"/>
      <c r="N523" s="1"/>
      <c r="O523" s="1"/>
      <c r="P523" s="1"/>
      <c r="Q523" s="1"/>
      <c r="R523" s="1"/>
      <c r="S523" s="1"/>
      <c r="T523" s="1"/>
      <c r="U523" s="1"/>
      <c r="V523" s="1"/>
      <c r="W523" s="1"/>
      <c r="X523" s="1"/>
      <c r="Y523" s="1"/>
      <c r="Z523" s="1"/>
      <c r="AA523" s="1"/>
      <c r="AB523" s="1"/>
    </row>
    <row r="524" spans="1:28" ht="11.25" customHeight="1" x14ac:dyDescent="0.25">
      <c r="A524" s="825"/>
      <c r="B524" s="16"/>
      <c r="C524" s="16"/>
      <c r="D524" s="22"/>
      <c r="E524" s="262"/>
      <c r="F524" s="16"/>
      <c r="G524" s="16"/>
      <c r="H524" s="16"/>
      <c r="I524" s="16"/>
      <c r="J524" s="1"/>
      <c r="K524" s="1"/>
      <c r="L524" s="1"/>
      <c r="M524" s="262"/>
      <c r="N524" s="1"/>
      <c r="O524" s="1"/>
      <c r="P524" s="1"/>
      <c r="Q524" s="1"/>
      <c r="R524" s="1"/>
      <c r="S524" s="1"/>
      <c r="T524" s="1"/>
      <c r="U524" s="1"/>
      <c r="V524" s="1"/>
      <c r="W524" s="1"/>
      <c r="X524" s="1"/>
      <c r="Y524" s="1"/>
      <c r="Z524" s="1"/>
      <c r="AA524" s="1"/>
      <c r="AB524" s="1"/>
    </row>
    <row r="525" spans="1:28" ht="11.25" customHeight="1" x14ac:dyDescent="0.25">
      <c r="A525" s="825"/>
      <c r="B525" s="16"/>
      <c r="C525" s="16"/>
      <c r="D525" s="22"/>
      <c r="E525" s="262"/>
      <c r="F525" s="16"/>
      <c r="G525" s="16"/>
      <c r="H525" s="16"/>
      <c r="I525" s="16"/>
      <c r="J525" s="1"/>
      <c r="K525" s="1"/>
      <c r="L525" s="1"/>
      <c r="M525" s="262"/>
      <c r="N525" s="1"/>
      <c r="O525" s="1"/>
      <c r="P525" s="1"/>
      <c r="Q525" s="1"/>
      <c r="R525" s="1"/>
      <c r="S525" s="1"/>
      <c r="T525" s="1"/>
      <c r="U525" s="1"/>
      <c r="V525" s="1"/>
      <c r="W525" s="1"/>
      <c r="X525" s="1"/>
      <c r="Y525" s="1"/>
      <c r="Z525" s="1"/>
      <c r="AA525" s="1"/>
      <c r="AB525" s="1"/>
    </row>
    <row r="526" spans="1:28" ht="11.25" customHeight="1" x14ac:dyDescent="0.25">
      <c r="A526" s="825"/>
      <c r="B526" s="16"/>
      <c r="C526" s="16"/>
      <c r="D526" s="22"/>
      <c r="E526" s="262"/>
      <c r="F526" s="16"/>
      <c r="G526" s="16"/>
      <c r="H526" s="16"/>
      <c r="I526" s="16"/>
      <c r="J526" s="1"/>
      <c r="K526" s="1"/>
      <c r="L526" s="1"/>
      <c r="M526" s="262"/>
      <c r="N526" s="1"/>
      <c r="O526" s="1"/>
      <c r="P526" s="1"/>
      <c r="Q526" s="1"/>
      <c r="R526" s="1"/>
      <c r="S526" s="1"/>
      <c r="T526" s="1"/>
      <c r="U526" s="1"/>
      <c r="V526" s="1"/>
      <c r="W526" s="1"/>
      <c r="X526" s="1"/>
      <c r="Y526" s="1"/>
      <c r="Z526" s="1"/>
      <c r="AA526" s="1"/>
      <c r="AB526" s="1"/>
    </row>
    <row r="527" spans="1:28" ht="11.25" customHeight="1" x14ac:dyDescent="0.25">
      <c r="A527" s="825"/>
      <c r="B527" s="16"/>
      <c r="C527" s="16"/>
      <c r="D527" s="22"/>
      <c r="E527" s="262"/>
      <c r="F527" s="16"/>
      <c r="G527" s="16"/>
      <c r="H527" s="16"/>
      <c r="I527" s="16"/>
      <c r="J527" s="1"/>
      <c r="K527" s="1"/>
      <c r="L527" s="1"/>
      <c r="M527" s="262"/>
      <c r="N527" s="1"/>
      <c r="O527" s="1"/>
      <c r="P527" s="1"/>
      <c r="Q527" s="1"/>
      <c r="R527" s="1"/>
      <c r="S527" s="1"/>
      <c r="T527" s="1"/>
      <c r="U527" s="1"/>
      <c r="V527" s="1"/>
      <c r="W527" s="1"/>
      <c r="X527" s="1"/>
      <c r="Y527" s="1"/>
      <c r="Z527" s="1"/>
      <c r="AA527" s="1"/>
      <c r="AB527" s="1"/>
    </row>
    <row r="528" spans="1:28" ht="11.25" customHeight="1" x14ac:dyDescent="0.25">
      <c r="A528" s="825"/>
      <c r="B528" s="16"/>
      <c r="C528" s="16"/>
      <c r="D528" s="22"/>
      <c r="E528" s="262"/>
      <c r="F528" s="16"/>
      <c r="G528" s="16"/>
      <c r="H528" s="16"/>
      <c r="I528" s="16"/>
      <c r="J528" s="1"/>
      <c r="K528" s="1"/>
      <c r="L528" s="1"/>
      <c r="M528" s="262"/>
      <c r="N528" s="1"/>
      <c r="O528" s="1"/>
      <c r="P528" s="1"/>
      <c r="Q528" s="1"/>
      <c r="R528" s="1"/>
      <c r="S528" s="1"/>
      <c r="T528" s="1"/>
      <c r="U528" s="1"/>
      <c r="V528" s="1"/>
      <c r="W528" s="1"/>
      <c r="X528" s="1"/>
      <c r="Y528" s="1"/>
      <c r="Z528" s="1"/>
      <c r="AA528" s="1"/>
      <c r="AB528" s="1"/>
    </row>
    <row r="529" spans="1:28" ht="11.25" customHeight="1" x14ac:dyDescent="0.25">
      <c r="A529" s="825"/>
      <c r="B529" s="16"/>
      <c r="C529" s="16"/>
      <c r="D529" s="22"/>
      <c r="E529" s="262"/>
      <c r="F529" s="16"/>
      <c r="G529" s="16"/>
      <c r="H529" s="16"/>
      <c r="I529" s="16"/>
      <c r="J529" s="1"/>
      <c r="K529" s="1"/>
      <c r="L529" s="1"/>
      <c r="M529" s="262"/>
      <c r="N529" s="1"/>
      <c r="O529" s="1"/>
      <c r="P529" s="1"/>
      <c r="Q529" s="1"/>
      <c r="R529" s="1"/>
      <c r="S529" s="1"/>
      <c r="T529" s="1"/>
      <c r="U529" s="1"/>
      <c r="V529" s="1"/>
      <c r="W529" s="1"/>
      <c r="X529" s="1"/>
      <c r="Y529" s="1"/>
      <c r="Z529" s="1"/>
      <c r="AA529" s="1"/>
      <c r="AB529" s="1"/>
    </row>
    <row r="530" spans="1:28" ht="11.25" customHeight="1" x14ac:dyDescent="0.25">
      <c r="A530" s="825"/>
      <c r="B530" s="16"/>
      <c r="C530" s="16"/>
      <c r="D530" s="22"/>
      <c r="E530" s="262"/>
      <c r="F530" s="16"/>
      <c r="G530" s="16"/>
      <c r="H530" s="16"/>
      <c r="I530" s="16"/>
      <c r="J530" s="1"/>
      <c r="K530" s="1"/>
      <c r="L530" s="1"/>
      <c r="M530" s="262"/>
      <c r="N530" s="1"/>
      <c r="O530" s="1"/>
      <c r="P530" s="1"/>
      <c r="Q530" s="1"/>
      <c r="R530" s="1"/>
      <c r="S530" s="1"/>
      <c r="T530" s="1"/>
      <c r="U530" s="1"/>
      <c r="V530" s="1"/>
      <c r="W530" s="1"/>
      <c r="X530" s="1"/>
      <c r="Y530" s="1"/>
      <c r="Z530" s="1"/>
      <c r="AA530" s="1"/>
      <c r="AB530" s="1"/>
    </row>
    <row r="531" spans="1:28" ht="11.25" customHeight="1" x14ac:dyDescent="0.25">
      <c r="A531" s="825"/>
      <c r="B531" s="16"/>
      <c r="C531" s="16"/>
      <c r="D531" s="22"/>
      <c r="E531" s="262"/>
      <c r="F531" s="16"/>
      <c r="G531" s="16"/>
      <c r="H531" s="16"/>
      <c r="I531" s="16"/>
      <c r="J531" s="1"/>
      <c r="K531" s="1"/>
      <c r="L531" s="1"/>
      <c r="M531" s="262"/>
      <c r="N531" s="1"/>
      <c r="O531" s="1"/>
      <c r="P531" s="1"/>
      <c r="Q531" s="1"/>
      <c r="R531" s="1"/>
      <c r="S531" s="1"/>
      <c r="T531" s="1"/>
      <c r="U531" s="1"/>
      <c r="V531" s="1"/>
      <c r="W531" s="1"/>
      <c r="X531" s="1"/>
      <c r="Y531" s="1"/>
      <c r="Z531" s="1"/>
      <c r="AA531" s="1"/>
      <c r="AB531" s="1"/>
    </row>
    <row r="532" spans="1:28" ht="11.25" customHeight="1" x14ac:dyDescent="0.25">
      <c r="A532" s="825"/>
      <c r="B532" s="16"/>
      <c r="C532" s="16"/>
      <c r="D532" s="22"/>
      <c r="E532" s="262"/>
      <c r="F532" s="16"/>
      <c r="G532" s="16"/>
      <c r="H532" s="16"/>
      <c r="I532" s="16"/>
      <c r="J532" s="1"/>
      <c r="K532" s="1"/>
      <c r="L532" s="1"/>
      <c r="M532" s="262"/>
      <c r="N532" s="1"/>
      <c r="O532" s="1"/>
      <c r="P532" s="1"/>
      <c r="Q532" s="1"/>
      <c r="R532" s="1"/>
      <c r="S532" s="1"/>
      <c r="T532" s="1"/>
      <c r="U532" s="1"/>
      <c r="V532" s="1"/>
      <c r="W532" s="1"/>
      <c r="X532" s="1"/>
      <c r="Y532" s="1"/>
      <c r="Z532" s="1"/>
      <c r="AA532" s="1"/>
      <c r="AB532" s="1"/>
    </row>
    <row r="533" spans="1:28" ht="11.25" customHeight="1" x14ac:dyDescent="0.25">
      <c r="A533" s="825"/>
      <c r="B533" s="16"/>
      <c r="C533" s="16"/>
      <c r="D533" s="22"/>
      <c r="E533" s="262"/>
      <c r="F533" s="16"/>
      <c r="G533" s="16"/>
      <c r="H533" s="16"/>
      <c r="I533" s="16"/>
      <c r="J533" s="1"/>
      <c r="K533" s="1"/>
      <c r="L533" s="1"/>
      <c r="M533" s="262"/>
      <c r="N533" s="1"/>
      <c r="O533" s="1"/>
      <c r="P533" s="1"/>
      <c r="Q533" s="1"/>
      <c r="R533" s="1"/>
      <c r="S533" s="1"/>
      <c r="T533" s="1"/>
      <c r="U533" s="1"/>
      <c r="V533" s="1"/>
      <c r="W533" s="1"/>
      <c r="X533" s="1"/>
      <c r="Y533" s="1"/>
      <c r="Z533" s="1"/>
      <c r="AA533" s="1"/>
      <c r="AB533" s="1"/>
    </row>
    <row r="534" spans="1:28" ht="11.25" customHeight="1" x14ac:dyDescent="0.25">
      <c r="A534" s="825"/>
      <c r="B534" s="16"/>
      <c r="C534" s="16"/>
      <c r="D534" s="22"/>
      <c r="E534" s="262"/>
      <c r="F534" s="16"/>
      <c r="G534" s="16"/>
      <c r="H534" s="16"/>
      <c r="I534" s="16"/>
      <c r="J534" s="1"/>
      <c r="K534" s="1"/>
      <c r="L534" s="1"/>
      <c r="M534" s="262"/>
      <c r="N534" s="1"/>
      <c r="O534" s="1"/>
      <c r="P534" s="1"/>
      <c r="Q534" s="1"/>
      <c r="R534" s="1"/>
      <c r="S534" s="1"/>
      <c r="T534" s="1"/>
      <c r="U534" s="1"/>
      <c r="V534" s="1"/>
      <c r="W534" s="1"/>
      <c r="X534" s="1"/>
      <c r="Y534" s="1"/>
      <c r="Z534" s="1"/>
      <c r="AA534" s="1"/>
      <c r="AB534" s="1"/>
    </row>
    <row r="535" spans="1:28" ht="11.25" customHeight="1" x14ac:dyDescent="0.25">
      <c r="A535" s="825"/>
      <c r="B535" s="16"/>
      <c r="C535" s="16"/>
      <c r="D535" s="22"/>
      <c r="E535" s="262"/>
      <c r="F535" s="16"/>
      <c r="G535" s="16"/>
      <c r="H535" s="16"/>
      <c r="I535" s="16"/>
      <c r="J535" s="1"/>
      <c r="K535" s="1"/>
      <c r="L535" s="1"/>
      <c r="M535" s="262"/>
      <c r="N535" s="1"/>
      <c r="O535" s="1"/>
      <c r="P535" s="1"/>
      <c r="Q535" s="1"/>
      <c r="R535" s="1"/>
      <c r="S535" s="1"/>
      <c r="T535" s="1"/>
      <c r="U535" s="1"/>
      <c r="V535" s="1"/>
      <c r="W535" s="1"/>
      <c r="X535" s="1"/>
      <c r="Y535" s="1"/>
      <c r="Z535" s="1"/>
      <c r="AA535" s="1"/>
      <c r="AB535" s="1"/>
    </row>
    <row r="536" spans="1:28" ht="11.25" customHeight="1" x14ac:dyDescent="0.25">
      <c r="A536" s="825"/>
      <c r="B536" s="16"/>
      <c r="C536" s="16"/>
      <c r="D536" s="22"/>
      <c r="E536" s="262"/>
      <c r="F536" s="16"/>
      <c r="G536" s="16"/>
      <c r="H536" s="16"/>
      <c r="I536" s="16"/>
      <c r="J536" s="1"/>
      <c r="K536" s="1"/>
      <c r="L536" s="1"/>
      <c r="M536" s="262"/>
      <c r="N536" s="1"/>
      <c r="O536" s="1"/>
      <c r="P536" s="1"/>
      <c r="Q536" s="1"/>
      <c r="R536" s="1"/>
      <c r="S536" s="1"/>
      <c r="T536" s="1"/>
      <c r="U536" s="1"/>
      <c r="V536" s="1"/>
      <c r="W536" s="1"/>
      <c r="X536" s="1"/>
      <c r="Y536" s="1"/>
      <c r="Z536" s="1"/>
      <c r="AA536" s="1"/>
      <c r="AB536" s="1"/>
    </row>
    <row r="537" spans="1:28" ht="11.25" customHeight="1" x14ac:dyDescent="0.25">
      <c r="A537" s="825"/>
      <c r="B537" s="16"/>
      <c r="C537" s="16"/>
      <c r="D537" s="22"/>
      <c r="E537" s="262"/>
      <c r="F537" s="16"/>
      <c r="G537" s="16"/>
      <c r="H537" s="16"/>
      <c r="I537" s="16"/>
      <c r="J537" s="1"/>
      <c r="K537" s="1"/>
      <c r="L537" s="1"/>
      <c r="M537" s="262"/>
      <c r="N537" s="1"/>
      <c r="O537" s="1"/>
      <c r="P537" s="1"/>
      <c r="Q537" s="1"/>
      <c r="R537" s="1"/>
      <c r="S537" s="1"/>
      <c r="T537" s="1"/>
      <c r="U537" s="1"/>
      <c r="V537" s="1"/>
      <c r="W537" s="1"/>
      <c r="X537" s="1"/>
      <c r="Y537" s="1"/>
      <c r="Z537" s="1"/>
      <c r="AA537" s="1"/>
      <c r="AB537" s="1"/>
    </row>
    <row r="538" spans="1:28" ht="11.25" customHeight="1" x14ac:dyDescent="0.25">
      <c r="A538" s="825"/>
      <c r="B538" s="16"/>
      <c r="C538" s="16"/>
      <c r="D538" s="22"/>
      <c r="E538" s="262"/>
      <c r="F538" s="16"/>
      <c r="G538" s="16"/>
      <c r="H538" s="16"/>
      <c r="I538" s="16"/>
      <c r="J538" s="1"/>
      <c r="K538" s="1"/>
      <c r="L538" s="1"/>
      <c r="M538" s="262"/>
      <c r="N538" s="1"/>
      <c r="O538" s="1"/>
      <c r="P538" s="1"/>
      <c r="Q538" s="1"/>
      <c r="R538" s="1"/>
      <c r="S538" s="1"/>
      <c r="T538" s="1"/>
      <c r="U538" s="1"/>
      <c r="V538" s="1"/>
      <c r="W538" s="1"/>
      <c r="X538" s="1"/>
      <c r="Y538" s="1"/>
      <c r="Z538" s="1"/>
      <c r="AA538" s="1"/>
      <c r="AB538" s="1"/>
    </row>
    <row r="539" spans="1:28" ht="11.25" customHeight="1" x14ac:dyDescent="0.25">
      <c r="A539" s="825"/>
      <c r="B539" s="16"/>
      <c r="C539" s="16"/>
      <c r="D539" s="22"/>
      <c r="E539" s="262"/>
      <c r="F539" s="16"/>
      <c r="G539" s="16"/>
      <c r="H539" s="16"/>
      <c r="I539" s="16"/>
      <c r="J539" s="1"/>
      <c r="K539" s="1"/>
      <c r="L539" s="1"/>
      <c r="M539" s="262"/>
      <c r="N539" s="1"/>
      <c r="O539" s="1"/>
      <c r="P539" s="1"/>
      <c r="Q539" s="1"/>
      <c r="R539" s="1"/>
      <c r="S539" s="1"/>
      <c r="T539" s="1"/>
      <c r="U539" s="1"/>
      <c r="V539" s="1"/>
      <c r="W539" s="1"/>
      <c r="X539" s="1"/>
      <c r="Y539" s="1"/>
      <c r="Z539" s="1"/>
      <c r="AA539" s="1"/>
      <c r="AB539" s="1"/>
    </row>
    <row r="540" spans="1:28" ht="11.25" customHeight="1" x14ac:dyDescent="0.25">
      <c r="A540" s="825"/>
      <c r="B540" s="16"/>
      <c r="C540" s="16"/>
      <c r="D540" s="22"/>
      <c r="E540" s="262"/>
      <c r="F540" s="16"/>
      <c r="G540" s="16"/>
      <c r="H540" s="16"/>
      <c r="I540" s="16"/>
      <c r="J540" s="1"/>
      <c r="K540" s="1"/>
      <c r="L540" s="1"/>
      <c r="M540" s="262"/>
      <c r="N540" s="1"/>
      <c r="O540" s="1"/>
      <c r="P540" s="1"/>
      <c r="Q540" s="1"/>
      <c r="R540" s="1"/>
      <c r="S540" s="1"/>
      <c r="T540" s="1"/>
      <c r="U540" s="1"/>
      <c r="V540" s="1"/>
      <c r="W540" s="1"/>
      <c r="X540" s="1"/>
      <c r="Y540" s="1"/>
      <c r="Z540" s="1"/>
      <c r="AA540" s="1"/>
      <c r="AB540" s="1"/>
    </row>
    <row r="541" spans="1:28" ht="11.25" customHeight="1" x14ac:dyDescent="0.25">
      <c r="A541" s="825"/>
      <c r="B541" s="16"/>
      <c r="C541" s="16"/>
      <c r="D541" s="22"/>
      <c r="E541" s="262"/>
      <c r="F541" s="16"/>
      <c r="G541" s="16"/>
      <c r="H541" s="16"/>
      <c r="I541" s="16"/>
      <c r="J541" s="1"/>
      <c r="K541" s="1"/>
      <c r="L541" s="1"/>
      <c r="M541" s="262"/>
      <c r="N541" s="1"/>
      <c r="O541" s="1"/>
      <c r="P541" s="1"/>
      <c r="Q541" s="1"/>
      <c r="R541" s="1"/>
      <c r="S541" s="1"/>
      <c r="T541" s="1"/>
      <c r="U541" s="1"/>
      <c r="V541" s="1"/>
      <c r="W541" s="1"/>
      <c r="X541" s="1"/>
      <c r="Y541" s="1"/>
      <c r="Z541" s="1"/>
      <c r="AA541" s="1"/>
      <c r="AB541" s="1"/>
    </row>
    <row r="542" spans="1:28" ht="11.25" customHeight="1" x14ac:dyDescent="0.25">
      <c r="A542" s="825"/>
      <c r="B542" s="16"/>
      <c r="C542" s="16"/>
      <c r="D542" s="22"/>
      <c r="E542" s="262"/>
      <c r="F542" s="16"/>
      <c r="G542" s="16"/>
      <c r="H542" s="16"/>
      <c r="I542" s="16"/>
      <c r="J542" s="1"/>
      <c r="K542" s="1"/>
      <c r="L542" s="1"/>
      <c r="M542" s="262"/>
      <c r="N542" s="1"/>
      <c r="O542" s="1"/>
      <c r="P542" s="1"/>
      <c r="Q542" s="1"/>
      <c r="R542" s="1"/>
      <c r="S542" s="1"/>
      <c r="T542" s="1"/>
      <c r="U542" s="1"/>
      <c r="V542" s="1"/>
      <c r="W542" s="1"/>
      <c r="X542" s="1"/>
      <c r="Y542" s="1"/>
      <c r="Z542" s="1"/>
      <c r="AA542" s="1"/>
      <c r="AB542" s="1"/>
    </row>
    <row r="543" spans="1:28" ht="11.25" customHeight="1" x14ac:dyDescent="0.25">
      <c r="A543" s="825"/>
      <c r="B543" s="16"/>
      <c r="C543" s="16"/>
      <c r="D543" s="22"/>
      <c r="E543" s="262"/>
      <c r="F543" s="16"/>
      <c r="G543" s="16"/>
      <c r="H543" s="16"/>
      <c r="I543" s="16"/>
      <c r="J543" s="1"/>
      <c r="K543" s="1"/>
      <c r="L543" s="1"/>
      <c r="M543" s="262"/>
      <c r="N543" s="1"/>
      <c r="O543" s="1"/>
      <c r="P543" s="1"/>
      <c r="Q543" s="1"/>
      <c r="R543" s="1"/>
      <c r="S543" s="1"/>
      <c r="T543" s="1"/>
      <c r="U543" s="1"/>
      <c r="V543" s="1"/>
      <c r="W543" s="1"/>
      <c r="X543" s="1"/>
      <c r="Y543" s="1"/>
      <c r="Z543" s="1"/>
      <c r="AA543" s="1"/>
      <c r="AB543" s="1"/>
    </row>
    <row r="544" spans="1:28" ht="11.25" customHeight="1" x14ac:dyDescent="0.25">
      <c r="A544" s="825"/>
      <c r="B544" s="16"/>
      <c r="C544" s="16"/>
      <c r="D544" s="22"/>
      <c r="E544" s="262"/>
      <c r="F544" s="16"/>
      <c r="G544" s="16"/>
      <c r="H544" s="16"/>
      <c r="I544" s="16"/>
      <c r="J544" s="1"/>
      <c r="K544" s="1"/>
      <c r="L544" s="1"/>
      <c r="M544" s="262"/>
      <c r="N544" s="1"/>
      <c r="O544" s="1"/>
      <c r="P544" s="1"/>
      <c r="Q544" s="1"/>
      <c r="R544" s="1"/>
      <c r="S544" s="1"/>
      <c r="T544" s="1"/>
      <c r="U544" s="1"/>
      <c r="V544" s="1"/>
      <c r="W544" s="1"/>
      <c r="X544" s="1"/>
      <c r="Y544" s="1"/>
      <c r="Z544" s="1"/>
      <c r="AA544" s="1"/>
      <c r="AB544" s="1"/>
    </row>
    <row r="545" spans="1:28" ht="11.25" customHeight="1" x14ac:dyDescent="0.25">
      <c r="A545" s="825"/>
      <c r="B545" s="16"/>
      <c r="C545" s="16"/>
      <c r="D545" s="22"/>
      <c r="E545" s="262"/>
      <c r="F545" s="16"/>
      <c r="G545" s="16"/>
      <c r="H545" s="16"/>
      <c r="I545" s="16"/>
      <c r="J545" s="1"/>
      <c r="K545" s="1"/>
      <c r="L545" s="1"/>
      <c r="M545" s="262"/>
      <c r="N545" s="1"/>
      <c r="O545" s="1"/>
      <c r="P545" s="1"/>
      <c r="Q545" s="1"/>
      <c r="R545" s="1"/>
      <c r="S545" s="1"/>
      <c r="T545" s="1"/>
      <c r="U545" s="1"/>
      <c r="V545" s="1"/>
      <c r="W545" s="1"/>
      <c r="X545" s="1"/>
      <c r="Y545" s="1"/>
      <c r="Z545" s="1"/>
      <c r="AA545" s="1"/>
      <c r="AB545" s="1"/>
    </row>
    <row r="546" spans="1:28" ht="11.25" customHeight="1" x14ac:dyDescent="0.25">
      <c r="A546" s="825"/>
      <c r="B546" s="16"/>
      <c r="C546" s="16"/>
      <c r="D546" s="22"/>
      <c r="E546" s="262"/>
      <c r="F546" s="16"/>
      <c r="G546" s="16"/>
      <c r="H546" s="16"/>
      <c r="I546" s="16"/>
      <c r="J546" s="1"/>
      <c r="K546" s="1"/>
      <c r="L546" s="1"/>
      <c r="M546" s="262"/>
      <c r="N546" s="1"/>
      <c r="O546" s="1"/>
      <c r="P546" s="1"/>
      <c r="Q546" s="1"/>
      <c r="R546" s="1"/>
      <c r="S546" s="1"/>
      <c r="T546" s="1"/>
      <c r="U546" s="1"/>
      <c r="V546" s="1"/>
      <c r="W546" s="1"/>
      <c r="X546" s="1"/>
      <c r="Y546" s="1"/>
      <c r="Z546" s="1"/>
      <c r="AA546" s="1"/>
      <c r="AB546" s="1"/>
    </row>
    <row r="547" spans="1:28" ht="11.25" customHeight="1" x14ac:dyDescent="0.25">
      <c r="A547" s="825"/>
      <c r="B547" s="16"/>
      <c r="C547" s="16"/>
      <c r="D547" s="22"/>
      <c r="E547" s="262"/>
      <c r="F547" s="16"/>
      <c r="G547" s="16"/>
      <c r="H547" s="16"/>
      <c r="I547" s="16"/>
      <c r="J547" s="1"/>
      <c r="K547" s="1"/>
      <c r="L547" s="1"/>
      <c r="M547" s="262"/>
      <c r="N547" s="1"/>
      <c r="O547" s="1"/>
      <c r="P547" s="1"/>
      <c r="Q547" s="1"/>
      <c r="R547" s="1"/>
      <c r="S547" s="1"/>
      <c r="T547" s="1"/>
      <c r="U547" s="1"/>
      <c r="V547" s="1"/>
      <c r="W547" s="1"/>
      <c r="X547" s="1"/>
      <c r="Y547" s="1"/>
      <c r="Z547" s="1"/>
      <c r="AA547" s="1"/>
      <c r="AB547" s="1"/>
    </row>
    <row r="548" spans="1:28" ht="11.25" customHeight="1" x14ac:dyDescent="0.25">
      <c r="A548" s="825"/>
      <c r="B548" s="16"/>
      <c r="C548" s="16"/>
      <c r="D548" s="22"/>
      <c r="E548" s="262"/>
      <c r="F548" s="16"/>
      <c r="G548" s="16"/>
      <c r="H548" s="16"/>
      <c r="I548" s="16"/>
      <c r="J548" s="1"/>
      <c r="K548" s="1"/>
      <c r="L548" s="1"/>
      <c r="M548" s="262"/>
      <c r="N548" s="1"/>
      <c r="O548" s="1"/>
      <c r="P548" s="1"/>
      <c r="Q548" s="1"/>
      <c r="R548" s="1"/>
      <c r="S548" s="1"/>
      <c r="T548" s="1"/>
      <c r="U548" s="1"/>
      <c r="V548" s="1"/>
      <c r="W548" s="1"/>
      <c r="X548" s="1"/>
      <c r="Y548" s="1"/>
      <c r="Z548" s="1"/>
      <c r="AA548" s="1"/>
      <c r="AB548" s="1"/>
    </row>
    <row r="549" spans="1:28" ht="11.25" customHeight="1" x14ac:dyDescent="0.25">
      <c r="A549" s="825"/>
      <c r="B549" s="16"/>
      <c r="C549" s="16"/>
      <c r="D549" s="22"/>
      <c r="E549" s="262"/>
      <c r="F549" s="16"/>
      <c r="G549" s="16"/>
      <c r="H549" s="16"/>
      <c r="I549" s="16"/>
      <c r="J549" s="1"/>
      <c r="K549" s="1"/>
      <c r="L549" s="1"/>
      <c r="M549" s="262"/>
      <c r="N549" s="1"/>
      <c r="O549" s="1"/>
      <c r="P549" s="1"/>
      <c r="Q549" s="1"/>
      <c r="R549" s="1"/>
      <c r="S549" s="1"/>
      <c r="T549" s="1"/>
      <c r="U549" s="1"/>
      <c r="V549" s="1"/>
      <c r="W549" s="1"/>
      <c r="X549" s="1"/>
      <c r="Y549" s="1"/>
      <c r="Z549" s="1"/>
      <c r="AA549" s="1"/>
      <c r="AB549" s="1"/>
    </row>
    <row r="550" spans="1:28" ht="11.25" customHeight="1" x14ac:dyDescent="0.25">
      <c r="A550" s="825"/>
      <c r="B550" s="16"/>
      <c r="C550" s="16"/>
      <c r="D550" s="22"/>
      <c r="E550" s="262"/>
      <c r="F550" s="16"/>
      <c r="G550" s="16"/>
      <c r="H550" s="16"/>
      <c r="I550" s="16"/>
      <c r="J550" s="1"/>
      <c r="K550" s="1"/>
      <c r="L550" s="1"/>
      <c r="M550" s="262"/>
      <c r="N550" s="1"/>
      <c r="O550" s="1"/>
      <c r="P550" s="1"/>
      <c r="Q550" s="1"/>
      <c r="R550" s="1"/>
      <c r="S550" s="1"/>
      <c r="T550" s="1"/>
      <c r="U550" s="1"/>
      <c r="V550" s="1"/>
      <c r="W550" s="1"/>
      <c r="X550" s="1"/>
      <c r="Y550" s="1"/>
      <c r="Z550" s="1"/>
      <c r="AA550" s="1"/>
      <c r="AB550" s="1"/>
    </row>
    <row r="551" spans="1:28" ht="11.25" customHeight="1" x14ac:dyDescent="0.25">
      <c r="A551" s="825"/>
      <c r="B551" s="16"/>
      <c r="C551" s="16"/>
      <c r="D551" s="22"/>
      <c r="E551" s="262"/>
      <c r="F551" s="16"/>
      <c r="G551" s="16"/>
      <c r="H551" s="16"/>
      <c r="I551" s="16"/>
      <c r="J551" s="1"/>
      <c r="K551" s="1"/>
      <c r="L551" s="1"/>
      <c r="M551" s="262"/>
      <c r="N551" s="1"/>
      <c r="O551" s="1"/>
      <c r="P551" s="1"/>
      <c r="Q551" s="1"/>
      <c r="R551" s="1"/>
      <c r="S551" s="1"/>
      <c r="T551" s="1"/>
      <c r="U551" s="1"/>
      <c r="V551" s="1"/>
      <c r="W551" s="1"/>
      <c r="X551" s="1"/>
      <c r="Y551" s="1"/>
      <c r="Z551" s="1"/>
      <c r="AA551" s="1"/>
      <c r="AB551" s="1"/>
    </row>
    <row r="552" spans="1:28" ht="11.25" customHeight="1" x14ac:dyDescent="0.25">
      <c r="A552" s="825"/>
      <c r="B552" s="16"/>
      <c r="C552" s="16"/>
      <c r="D552" s="22"/>
      <c r="E552" s="262"/>
      <c r="F552" s="16"/>
      <c r="G552" s="16"/>
      <c r="H552" s="16"/>
      <c r="I552" s="16"/>
      <c r="J552" s="1"/>
      <c r="K552" s="1"/>
      <c r="L552" s="1"/>
      <c r="M552" s="262"/>
      <c r="N552" s="1"/>
      <c r="O552" s="1"/>
      <c r="P552" s="1"/>
      <c r="Q552" s="1"/>
      <c r="R552" s="1"/>
      <c r="S552" s="1"/>
      <c r="T552" s="1"/>
      <c r="U552" s="1"/>
      <c r="V552" s="1"/>
      <c r="W552" s="1"/>
      <c r="X552" s="1"/>
      <c r="Y552" s="1"/>
      <c r="Z552" s="1"/>
      <c r="AA552" s="1"/>
      <c r="AB552" s="1"/>
    </row>
    <row r="553" spans="1:28" ht="11.25" customHeight="1" x14ac:dyDescent="0.25">
      <c r="A553" s="825"/>
      <c r="B553" s="16"/>
      <c r="C553" s="16"/>
      <c r="D553" s="22"/>
      <c r="E553" s="262"/>
      <c r="F553" s="16"/>
      <c r="G553" s="16"/>
      <c r="H553" s="16"/>
      <c r="I553" s="16"/>
      <c r="J553" s="1"/>
      <c r="K553" s="1"/>
      <c r="L553" s="1"/>
      <c r="M553" s="262"/>
      <c r="N553" s="1"/>
      <c r="O553" s="1"/>
      <c r="P553" s="1"/>
      <c r="Q553" s="1"/>
      <c r="R553" s="1"/>
      <c r="S553" s="1"/>
      <c r="T553" s="1"/>
      <c r="U553" s="1"/>
      <c r="V553" s="1"/>
      <c r="W553" s="1"/>
      <c r="X553" s="1"/>
      <c r="Y553" s="1"/>
      <c r="Z553" s="1"/>
      <c r="AA553" s="1"/>
      <c r="AB553" s="1"/>
    </row>
    <row r="554" spans="1:28" ht="11.25" customHeight="1" x14ac:dyDescent="0.25">
      <c r="A554" s="825"/>
      <c r="B554" s="16"/>
      <c r="C554" s="16"/>
      <c r="D554" s="22"/>
      <c r="E554" s="262"/>
      <c r="F554" s="16"/>
      <c r="G554" s="16"/>
      <c r="H554" s="16"/>
      <c r="I554" s="16"/>
      <c r="J554" s="1"/>
      <c r="K554" s="1"/>
      <c r="L554" s="1"/>
      <c r="M554" s="262"/>
      <c r="N554" s="1"/>
      <c r="O554" s="1"/>
      <c r="P554" s="1"/>
      <c r="Q554" s="1"/>
      <c r="R554" s="1"/>
      <c r="S554" s="1"/>
      <c r="T554" s="1"/>
      <c r="U554" s="1"/>
      <c r="V554" s="1"/>
      <c r="W554" s="1"/>
      <c r="X554" s="1"/>
      <c r="Y554" s="1"/>
      <c r="Z554" s="1"/>
      <c r="AA554" s="1"/>
      <c r="AB554" s="1"/>
    </row>
    <row r="555" spans="1:28" ht="11.25" customHeight="1" x14ac:dyDescent="0.25">
      <c r="A555" s="825"/>
      <c r="B555" s="16"/>
      <c r="C555" s="16"/>
      <c r="D555" s="22"/>
      <c r="E555" s="262"/>
      <c r="F555" s="16"/>
      <c r="G555" s="16"/>
      <c r="H555" s="16"/>
      <c r="I555" s="16"/>
      <c r="J555" s="1"/>
      <c r="K555" s="1"/>
      <c r="L555" s="1"/>
      <c r="M555" s="262"/>
      <c r="N555" s="1"/>
      <c r="O555" s="1"/>
      <c r="P555" s="1"/>
      <c r="Q555" s="1"/>
      <c r="R555" s="1"/>
      <c r="S555" s="1"/>
      <c r="T555" s="1"/>
      <c r="U555" s="1"/>
      <c r="V555" s="1"/>
      <c r="W555" s="1"/>
      <c r="X555" s="1"/>
      <c r="Y555" s="1"/>
      <c r="Z555" s="1"/>
      <c r="AA555" s="1"/>
      <c r="AB555" s="1"/>
    </row>
    <row r="556" spans="1:28" ht="11.25" customHeight="1" x14ac:dyDescent="0.25">
      <c r="A556" s="825"/>
      <c r="B556" s="16"/>
      <c r="C556" s="16"/>
      <c r="D556" s="22"/>
      <c r="E556" s="262"/>
      <c r="F556" s="16"/>
      <c r="G556" s="16"/>
      <c r="H556" s="16"/>
      <c r="I556" s="16"/>
      <c r="J556" s="1"/>
      <c r="K556" s="1"/>
      <c r="L556" s="1"/>
      <c r="M556" s="262"/>
      <c r="N556" s="1"/>
      <c r="O556" s="1"/>
      <c r="P556" s="1"/>
      <c r="Q556" s="1"/>
      <c r="R556" s="1"/>
      <c r="S556" s="1"/>
      <c r="T556" s="1"/>
      <c r="U556" s="1"/>
      <c r="V556" s="1"/>
      <c r="W556" s="1"/>
      <c r="X556" s="1"/>
      <c r="Y556" s="1"/>
      <c r="Z556" s="1"/>
      <c r="AA556" s="1"/>
      <c r="AB556" s="1"/>
    </row>
    <row r="557" spans="1:28" ht="11.25" customHeight="1" x14ac:dyDescent="0.25">
      <c r="A557" s="825"/>
      <c r="B557" s="16"/>
      <c r="C557" s="16"/>
      <c r="D557" s="22"/>
      <c r="E557" s="262"/>
      <c r="F557" s="16"/>
      <c r="G557" s="16"/>
      <c r="H557" s="16"/>
      <c r="I557" s="16"/>
      <c r="J557" s="1"/>
      <c r="K557" s="1"/>
      <c r="L557" s="1"/>
      <c r="M557" s="262"/>
      <c r="N557" s="1"/>
      <c r="O557" s="1"/>
      <c r="P557" s="1"/>
      <c r="Q557" s="1"/>
      <c r="R557" s="1"/>
      <c r="S557" s="1"/>
      <c r="T557" s="1"/>
      <c r="U557" s="1"/>
      <c r="V557" s="1"/>
      <c r="W557" s="1"/>
      <c r="X557" s="1"/>
      <c r="Y557" s="1"/>
      <c r="Z557" s="1"/>
      <c r="AA557" s="1"/>
      <c r="AB557" s="1"/>
    </row>
    <row r="558" spans="1:28" ht="11.25" customHeight="1" x14ac:dyDescent="0.25">
      <c r="A558" s="825"/>
      <c r="B558" s="16"/>
      <c r="C558" s="16"/>
      <c r="D558" s="22"/>
      <c r="E558" s="262"/>
      <c r="F558" s="16"/>
      <c r="G558" s="16"/>
      <c r="H558" s="16"/>
      <c r="I558" s="16"/>
      <c r="J558" s="1"/>
      <c r="K558" s="1"/>
      <c r="L558" s="1"/>
      <c r="M558" s="262"/>
      <c r="N558" s="1"/>
      <c r="O558" s="1"/>
      <c r="P558" s="1"/>
      <c r="Q558" s="1"/>
      <c r="R558" s="1"/>
      <c r="S558" s="1"/>
      <c r="T558" s="1"/>
      <c r="U558" s="1"/>
      <c r="V558" s="1"/>
      <c r="W558" s="1"/>
      <c r="X558" s="1"/>
      <c r="Y558" s="1"/>
      <c r="Z558" s="1"/>
      <c r="AA558" s="1"/>
      <c r="AB558" s="1"/>
    </row>
    <row r="559" spans="1:28" ht="11.25" customHeight="1" x14ac:dyDescent="0.25">
      <c r="A559" s="825"/>
      <c r="B559" s="16"/>
      <c r="C559" s="16"/>
      <c r="D559" s="22"/>
      <c r="E559" s="262"/>
      <c r="F559" s="16"/>
      <c r="G559" s="16"/>
      <c r="H559" s="16"/>
      <c r="I559" s="16"/>
      <c r="J559" s="1"/>
      <c r="K559" s="1"/>
      <c r="L559" s="1"/>
      <c r="M559" s="262"/>
      <c r="N559" s="1"/>
      <c r="O559" s="1"/>
      <c r="P559" s="1"/>
      <c r="Q559" s="1"/>
      <c r="R559" s="1"/>
      <c r="S559" s="1"/>
      <c r="T559" s="1"/>
      <c r="U559" s="1"/>
      <c r="V559" s="1"/>
      <c r="W559" s="1"/>
      <c r="X559" s="1"/>
      <c r="Y559" s="1"/>
      <c r="Z559" s="1"/>
      <c r="AA559" s="1"/>
      <c r="AB559" s="1"/>
    </row>
    <row r="560" spans="1:28" ht="11.25" customHeight="1" x14ac:dyDescent="0.25">
      <c r="A560" s="825"/>
      <c r="B560" s="16"/>
      <c r="C560" s="16"/>
      <c r="D560" s="22"/>
      <c r="E560" s="262"/>
      <c r="F560" s="16"/>
      <c r="G560" s="16"/>
      <c r="H560" s="16"/>
      <c r="I560" s="16"/>
      <c r="J560" s="1"/>
      <c r="K560" s="1"/>
      <c r="L560" s="1"/>
      <c r="M560" s="262"/>
      <c r="N560" s="1"/>
      <c r="O560" s="1"/>
      <c r="P560" s="1"/>
      <c r="Q560" s="1"/>
      <c r="R560" s="1"/>
      <c r="S560" s="1"/>
      <c r="T560" s="1"/>
      <c r="U560" s="1"/>
      <c r="V560" s="1"/>
      <c r="W560" s="1"/>
      <c r="X560" s="1"/>
      <c r="Y560" s="1"/>
      <c r="Z560" s="1"/>
      <c r="AA560" s="1"/>
      <c r="AB560" s="1"/>
    </row>
    <row r="561" spans="1:28" ht="11.25" customHeight="1" x14ac:dyDescent="0.25">
      <c r="A561" s="825"/>
      <c r="B561" s="16"/>
      <c r="C561" s="16"/>
      <c r="D561" s="22"/>
      <c r="E561" s="262"/>
      <c r="F561" s="16"/>
      <c r="G561" s="16"/>
      <c r="H561" s="16"/>
      <c r="I561" s="16"/>
      <c r="J561" s="1"/>
      <c r="K561" s="1"/>
      <c r="L561" s="1"/>
      <c r="M561" s="262"/>
      <c r="N561" s="1"/>
      <c r="O561" s="1"/>
      <c r="P561" s="1"/>
      <c r="Q561" s="1"/>
      <c r="R561" s="1"/>
      <c r="S561" s="1"/>
      <c r="T561" s="1"/>
      <c r="U561" s="1"/>
      <c r="V561" s="1"/>
      <c r="W561" s="1"/>
      <c r="X561" s="1"/>
      <c r="Y561" s="1"/>
      <c r="Z561" s="1"/>
      <c r="AA561" s="1"/>
      <c r="AB561" s="1"/>
    </row>
    <row r="562" spans="1:28" ht="11.25" customHeight="1" x14ac:dyDescent="0.25">
      <c r="A562" s="825"/>
      <c r="B562" s="16"/>
      <c r="C562" s="16"/>
      <c r="D562" s="22"/>
      <c r="E562" s="262"/>
      <c r="F562" s="16"/>
      <c r="G562" s="16"/>
      <c r="H562" s="16"/>
      <c r="I562" s="16"/>
      <c r="J562" s="1"/>
      <c r="K562" s="1"/>
      <c r="L562" s="1"/>
      <c r="M562" s="262"/>
      <c r="N562" s="1"/>
      <c r="O562" s="1"/>
      <c r="P562" s="1"/>
      <c r="Q562" s="1"/>
      <c r="R562" s="1"/>
      <c r="S562" s="1"/>
      <c r="T562" s="1"/>
      <c r="U562" s="1"/>
      <c r="V562" s="1"/>
      <c r="W562" s="1"/>
      <c r="X562" s="1"/>
      <c r="Y562" s="1"/>
      <c r="Z562" s="1"/>
      <c r="AA562" s="1"/>
      <c r="AB562" s="1"/>
    </row>
    <row r="563" spans="1:28" ht="11.25" customHeight="1" x14ac:dyDescent="0.25">
      <c r="A563" s="825"/>
      <c r="B563" s="16"/>
      <c r="C563" s="16"/>
      <c r="D563" s="22"/>
      <c r="E563" s="262"/>
      <c r="F563" s="16"/>
      <c r="G563" s="16"/>
      <c r="H563" s="16"/>
      <c r="I563" s="16"/>
      <c r="J563" s="1"/>
      <c r="K563" s="1"/>
      <c r="L563" s="1"/>
      <c r="M563" s="262"/>
      <c r="N563" s="1"/>
      <c r="O563" s="1"/>
      <c r="P563" s="1"/>
      <c r="Q563" s="1"/>
      <c r="R563" s="1"/>
      <c r="S563" s="1"/>
      <c r="T563" s="1"/>
      <c r="U563" s="1"/>
      <c r="V563" s="1"/>
      <c r="W563" s="1"/>
      <c r="X563" s="1"/>
      <c r="Y563" s="1"/>
      <c r="Z563" s="1"/>
      <c r="AA563" s="1"/>
      <c r="AB563" s="1"/>
    </row>
    <row r="564" spans="1:28" ht="11.25" customHeight="1" x14ac:dyDescent="0.25">
      <c r="A564" s="825"/>
      <c r="B564" s="16"/>
      <c r="C564" s="16"/>
      <c r="D564" s="22"/>
      <c r="E564" s="262"/>
      <c r="F564" s="16"/>
      <c r="G564" s="16"/>
      <c r="H564" s="16"/>
      <c r="I564" s="16"/>
      <c r="J564" s="1"/>
      <c r="K564" s="1"/>
      <c r="L564" s="1"/>
      <c r="M564" s="262"/>
      <c r="N564" s="1"/>
      <c r="O564" s="1"/>
      <c r="P564" s="1"/>
      <c r="Q564" s="1"/>
      <c r="R564" s="1"/>
      <c r="S564" s="1"/>
      <c r="T564" s="1"/>
      <c r="U564" s="1"/>
      <c r="V564" s="1"/>
      <c r="W564" s="1"/>
      <c r="X564" s="1"/>
      <c r="Y564" s="1"/>
      <c r="Z564" s="1"/>
      <c r="AA564" s="1"/>
      <c r="AB564" s="1"/>
    </row>
    <row r="565" spans="1:28" ht="11.25" customHeight="1" x14ac:dyDescent="0.25">
      <c r="A565" s="825"/>
      <c r="B565" s="16"/>
      <c r="C565" s="16"/>
      <c r="D565" s="22"/>
      <c r="E565" s="262"/>
      <c r="F565" s="16"/>
      <c r="G565" s="16"/>
      <c r="H565" s="16"/>
      <c r="I565" s="16"/>
      <c r="J565" s="1"/>
      <c r="K565" s="1"/>
      <c r="L565" s="1"/>
      <c r="M565" s="262"/>
      <c r="N565" s="1"/>
      <c r="O565" s="1"/>
      <c r="P565" s="1"/>
      <c r="Q565" s="1"/>
      <c r="R565" s="1"/>
      <c r="S565" s="1"/>
      <c r="T565" s="1"/>
      <c r="U565" s="1"/>
      <c r="V565" s="1"/>
      <c r="W565" s="1"/>
      <c r="X565" s="1"/>
      <c r="Y565" s="1"/>
      <c r="Z565" s="1"/>
      <c r="AA565" s="1"/>
      <c r="AB565" s="1"/>
    </row>
    <row r="566" spans="1:28" ht="11.25" customHeight="1" x14ac:dyDescent="0.25">
      <c r="A566" s="825"/>
      <c r="B566" s="16"/>
      <c r="C566" s="16"/>
      <c r="D566" s="22"/>
      <c r="E566" s="262"/>
      <c r="F566" s="16"/>
      <c r="G566" s="16"/>
      <c r="H566" s="16"/>
      <c r="I566" s="16"/>
      <c r="J566" s="1"/>
      <c r="K566" s="1"/>
      <c r="L566" s="1"/>
      <c r="M566" s="262"/>
      <c r="N566" s="1"/>
      <c r="O566" s="1"/>
      <c r="P566" s="1"/>
      <c r="Q566" s="1"/>
      <c r="R566" s="1"/>
      <c r="S566" s="1"/>
      <c r="T566" s="1"/>
      <c r="U566" s="1"/>
      <c r="V566" s="1"/>
      <c r="W566" s="1"/>
      <c r="X566" s="1"/>
      <c r="Y566" s="1"/>
      <c r="Z566" s="1"/>
      <c r="AA566" s="1"/>
      <c r="AB566" s="1"/>
    </row>
    <row r="567" spans="1:28" ht="11.25" customHeight="1" x14ac:dyDescent="0.25">
      <c r="A567" s="825"/>
      <c r="B567" s="16"/>
      <c r="C567" s="16"/>
      <c r="D567" s="22"/>
      <c r="E567" s="262"/>
      <c r="F567" s="16"/>
      <c r="G567" s="16"/>
      <c r="H567" s="16"/>
      <c r="I567" s="16"/>
      <c r="J567" s="1"/>
      <c r="K567" s="1"/>
      <c r="L567" s="1"/>
      <c r="M567" s="262"/>
      <c r="N567" s="1"/>
      <c r="O567" s="1"/>
      <c r="P567" s="1"/>
      <c r="Q567" s="1"/>
      <c r="R567" s="1"/>
      <c r="S567" s="1"/>
      <c r="T567" s="1"/>
      <c r="U567" s="1"/>
      <c r="V567" s="1"/>
      <c r="W567" s="1"/>
      <c r="X567" s="1"/>
      <c r="Y567" s="1"/>
      <c r="Z567" s="1"/>
      <c r="AA567" s="1"/>
      <c r="AB567" s="1"/>
    </row>
    <row r="568" spans="1:28" ht="11.25" customHeight="1" x14ac:dyDescent="0.25">
      <c r="A568" s="825"/>
      <c r="B568" s="16"/>
      <c r="C568" s="16"/>
      <c r="D568" s="22"/>
      <c r="E568" s="262"/>
      <c r="F568" s="16"/>
      <c r="G568" s="16"/>
      <c r="H568" s="16"/>
      <c r="I568" s="16"/>
      <c r="J568" s="1"/>
      <c r="K568" s="1"/>
      <c r="L568" s="1"/>
      <c r="M568" s="262"/>
      <c r="N568" s="1"/>
      <c r="O568" s="1"/>
      <c r="P568" s="1"/>
      <c r="Q568" s="1"/>
      <c r="R568" s="1"/>
      <c r="S568" s="1"/>
      <c r="T568" s="1"/>
      <c r="U568" s="1"/>
      <c r="V568" s="1"/>
      <c r="W568" s="1"/>
      <c r="X568" s="1"/>
      <c r="Y568" s="1"/>
      <c r="Z568" s="1"/>
      <c r="AA568" s="1"/>
      <c r="AB568" s="1"/>
    </row>
    <row r="569" spans="1:28" ht="11.25" customHeight="1" x14ac:dyDescent="0.25">
      <c r="A569" s="825"/>
      <c r="B569" s="16"/>
      <c r="C569" s="16"/>
      <c r="D569" s="22"/>
      <c r="E569" s="262"/>
      <c r="F569" s="16"/>
      <c r="G569" s="16"/>
      <c r="H569" s="16"/>
      <c r="I569" s="16"/>
      <c r="J569" s="1"/>
      <c r="K569" s="1"/>
      <c r="L569" s="1"/>
      <c r="M569" s="262"/>
      <c r="N569" s="1"/>
      <c r="O569" s="1"/>
      <c r="P569" s="1"/>
      <c r="Q569" s="1"/>
      <c r="R569" s="1"/>
      <c r="S569" s="1"/>
      <c r="T569" s="1"/>
      <c r="U569" s="1"/>
      <c r="V569" s="1"/>
      <c r="W569" s="1"/>
      <c r="X569" s="1"/>
      <c r="Y569" s="1"/>
      <c r="Z569" s="1"/>
      <c r="AA569" s="1"/>
      <c r="AB569" s="1"/>
    </row>
    <row r="570" spans="1:28" ht="11.25" customHeight="1" x14ac:dyDescent="0.25">
      <c r="A570" s="825"/>
      <c r="B570" s="16"/>
      <c r="C570" s="16"/>
      <c r="D570" s="22"/>
      <c r="E570" s="262"/>
      <c r="F570" s="16"/>
      <c r="G570" s="16"/>
      <c r="H570" s="16"/>
      <c r="I570" s="16"/>
      <c r="J570" s="1"/>
      <c r="K570" s="1"/>
      <c r="L570" s="1"/>
      <c r="M570" s="262"/>
      <c r="N570" s="1"/>
      <c r="O570" s="1"/>
      <c r="P570" s="1"/>
      <c r="Q570" s="1"/>
      <c r="R570" s="1"/>
      <c r="S570" s="1"/>
      <c r="T570" s="1"/>
      <c r="U570" s="1"/>
      <c r="V570" s="1"/>
      <c r="W570" s="1"/>
      <c r="X570" s="1"/>
      <c r="Y570" s="1"/>
      <c r="Z570" s="1"/>
      <c r="AA570" s="1"/>
      <c r="AB570" s="1"/>
    </row>
    <row r="571" spans="1:28" ht="11.25" customHeight="1" x14ac:dyDescent="0.25">
      <c r="A571" s="825"/>
      <c r="B571" s="16"/>
      <c r="C571" s="16"/>
      <c r="D571" s="22"/>
      <c r="E571" s="262"/>
      <c r="F571" s="16"/>
      <c r="G571" s="16"/>
      <c r="H571" s="16"/>
      <c r="I571" s="16"/>
      <c r="J571" s="1"/>
      <c r="K571" s="1"/>
      <c r="L571" s="1"/>
      <c r="M571" s="262"/>
      <c r="N571" s="1"/>
      <c r="O571" s="1"/>
      <c r="P571" s="1"/>
      <c r="Q571" s="1"/>
      <c r="R571" s="1"/>
      <c r="S571" s="1"/>
      <c r="T571" s="1"/>
      <c r="U571" s="1"/>
      <c r="V571" s="1"/>
      <c r="W571" s="1"/>
      <c r="X571" s="1"/>
      <c r="Y571" s="1"/>
      <c r="Z571" s="1"/>
      <c r="AA571" s="1"/>
      <c r="AB571" s="1"/>
    </row>
    <row r="572" spans="1:28" ht="11.25" customHeight="1" x14ac:dyDescent="0.25">
      <c r="A572" s="825"/>
      <c r="B572" s="16"/>
      <c r="C572" s="16"/>
      <c r="D572" s="22"/>
      <c r="E572" s="262"/>
      <c r="F572" s="16"/>
      <c r="G572" s="16"/>
      <c r="H572" s="16"/>
      <c r="I572" s="16"/>
      <c r="J572" s="1"/>
      <c r="K572" s="1"/>
      <c r="L572" s="1"/>
      <c r="M572" s="262"/>
      <c r="N572" s="1"/>
      <c r="O572" s="1"/>
      <c r="P572" s="1"/>
      <c r="Q572" s="1"/>
      <c r="R572" s="1"/>
      <c r="S572" s="1"/>
      <c r="T572" s="1"/>
      <c r="U572" s="1"/>
      <c r="V572" s="1"/>
      <c r="W572" s="1"/>
      <c r="X572" s="1"/>
      <c r="Y572" s="1"/>
      <c r="Z572" s="1"/>
      <c r="AA572" s="1"/>
      <c r="AB572" s="1"/>
    </row>
    <row r="573" spans="1:28" ht="11.25" customHeight="1" x14ac:dyDescent="0.25">
      <c r="A573" s="825"/>
      <c r="B573" s="16"/>
      <c r="C573" s="16"/>
      <c r="D573" s="22"/>
      <c r="E573" s="262"/>
      <c r="F573" s="16"/>
      <c r="G573" s="16"/>
      <c r="H573" s="16"/>
      <c r="I573" s="16"/>
      <c r="J573" s="1"/>
      <c r="K573" s="1"/>
      <c r="L573" s="1"/>
      <c r="M573" s="262"/>
      <c r="N573" s="1"/>
      <c r="O573" s="1"/>
      <c r="P573" s="1"/>
      <c r="Q573" s="1"/>
      <c r="R573" s="1"/>
      <c r="S573" s="1"/>
      <c r="T573" s="1"/>
      <c r="U573" s="1"/>
      <c r="V573" s="1"/>
      <c r="W573" s="1"/>
      <c r="X573" s="1"/>
      <c r="Y573" s="1"/>
      <c r="Z573" s="1"/>
      <c r="AA573" s="1"/>
      <c r="AB573" s="1"/>
    </row>
    <row r="574" spans="1:28" ht="11.25" customHeight="1" x14ac:dyDescent="0.25">
      <c r="A574" s="825"/>
      <c r="B574" s="16"/>
      <c r="C574" s="16"/>
      <c r="D574" s="22"/>
      <c r="E574" s="262"/>
      <c r="F574" s="16"/>
      <c r="G574" s="16"/>
      <c r="H574" s="16"/>
      <c r="I574" s="16"/>
      <c r="J574" s="1"/>
      <c r="K574" s="1"/>
      <c r="L574" s="1"/>
      <c r="M574" s="262"/>
      <c r="N574" s="1"/>
      <c r="O574" s="1"/>
      <c r="P574" s="1"/>
      <c r="Q574" s="1"/>
      <c r="R574" s="1"/>
      <c r="S574" s="1"/>
      <c r="T574" s="1"/>
      <c r="U574" s="1"/>
      <c r="V574" s="1"/>
      <c r="W574" s="1"/>
      <c r="X574" s="1"/>
      <c r="Y574" s="1"/>
      <c r="Z574" s="1"/>
      <c r="AA574" s="1"/>
      <c r="AB574" s="1"/>
    </row>
    <row r="575" spans="1:28" ht="11.25" customHeight="1" x14ac:dyDescent="0.25">
      <c r="A575" s="825"/>
      <c r="B575" s="16"/>
      <c r="C575" s="16"/>
      <c r="D575" s="22"/>
      <c r="E575" s="262"/>
      <c r="F575" s="16"/>
      <c r="G575" s="16"/>
      <c r="H575" s="16"/>
      <c r="I575" s="16"/>
      <c r="J575" s="1"/>
      <c r="K575" s="1"/>
      <c r="L575" s="1"/>
      <c r="M575" s="262"/>
      <c r="N575" s="1"/>
      <c r="O575" s="1"/>
      <c r="P575" s="1"/>
      <c r="Q575" s="1"/>
      <c r="R575" s="1"/>
      <c r="S575" s="1"/>
      <c r="T575" s="1"/>
      <c r="U575" s="1"/>
      <c r="V575" s="1"/>
      <c r="W575" s="1"/>
      <c r="X575" s="1"/>
      <c r="Y575" s="1"/>
      <c r="Z575" s="1"/>
      <c r="AA575" s="1"/>
      <c r="AB575" s="1"/>
    </row>
    <row r="576" spans="1:28" ht="11.25" customHeight="1" x14ac:dyDescent="0.25">
      <c r="A576" s="825"/>
      <c r="B576" s="16"/>
      <c r="C576" s="16"/>
      <c r="D576" s="22"/>
      <c r="E576" s="262"/>
      <c r="F576" s="16"/>
      <c r="G576" s="16"/>
      <c r="H576" s="16"/>
      <c r="I576" s="16"/>
      <c r="J576" s="1"/>
      <c r="K576" s="1"/>
      <c r="L576" s="1"/>
      <c r="M576" s="262"/>
      <c r="N576" s="1"/>
      <c r="O576" s="1"/>
      <c r="P576" s="1"/>
      <c r="Q576" s="1"/>
      <c r="R576" s="1"/>
      <c r="S576" s="1"/>
      <c r="T576" s="1"/>
      <c r="U576" s="1"/>
      <c r="V576" s="1"/>
      <c r="W576" s="1"/>
      <c r="X576" s="1"/>
      <c r="Y576" s="1"/>
      <c r="Z576" s="1"/>
      <c r="AA576" s="1"/>
      <c r="AB576" s="1"/>
    </row>
    <row r="577" spans="1:28" ht="11.25" customHeight="1" x14ac:dyDescent="0.25">
      <c r="A577" s="825"/>
      <c r="B577" s="16"/>
      <c r="C577" s="16"/>
      <c r="D577" s="22"/>
      <c r="E577" s="262"/>
      <c r="F577" s="16"/>
      <c r="G577" s="16"/>
      <c r="H577" s="16"/>
      <c r="I577" s="16"/>
      <c r="J577" s="1"/>
      <c r="K577" s="1"/>
      <c r="L577" s="1"/>
      <c r="M577" s="262"/>
      <c r="N577" s="1"/>
      <c r="O577" s="1"/>
      <c r="P577" s="1"/>
      <c r="Q577" s="1"/>
      <c r="R577" s="1"/>
      <c r="S577" s="1"/>
      <c r="T577" s="1"/>
      <c r="U577" s="1"/>
      <c r="V577" s="1"/>
      <c r="W577" s="1"/>
      <c r="X577" s="1"/>
      <c r="Y577" s="1"/>
      <c r="Z577" s="1"/>
      <c r="AA577" s="1"/>
      <c r="AB577" s="1"/>
    </row>
    <row r="578" spans="1:28" ht="11.25" customHeight="1" x14ac:dyDescent="0.25">
      <c r="A578" s="825"/>
      <c r="B578" s="16"/>
      <c r="C578" s="16"/>
      <c r="D578" s="22"/>
      <c r="E578" s="262"/>
      <c r="F578" s="16"/>
      <c r="G578" s="16"/>
      <c r="H578" s="16"/>
      <c r="I578" s="16"/>
      <c r="J578" s="1"/>
      <c r="K578" s="1"/>
      <c r="L578" s="1"/>
      <c r="M578" s="262"/>
      <c r="N578" s="1"/>
      <c r="O578" s="1"/>
      <c r="P578" s="1"/>
      <c r="Q578" s="1"/>
      <c r="R578" s="1"/>
      <c r="S578" s="1"/>
      <c r="T578" s="1"/>
      <c r="U578" s="1"/>
      <c r="V578" s="1"/>
      <c r="W578" s="1"/>
      <c r="X578" s="1"/>
      <c r="Y578" s="1"/>
      <c r="Z578" s="1"/>
      <c r="AA578" s="1"/>
      <c r="AB578" s="1"/>
    </row>
    <row r="579" spans="1:28" ht="11.25" customHeight="1" x14ac:dyDescent="0.25">
      <c r="A579" s="825"/>
      <c r="B579" s="16"/>
      <c r="C579" s="16"/>
      <c r="D579" s="22"/>
      <c r="E579" s="262"/>
      <c r="F579" s="16"/>
      <c r="G579" s="16"/>
      <c r="H579" s="16"/>
      <c r="I579" s="16"/>
      <c r="J579" s="1"/>
      <c r="K579" s="1"/>
      <c r="L579" s="1"/>
      <c r="M579" s="262"/>
      <c r="N579" s="1"/>
      <c r="O579" s="1"/>
      <c r="P579" s="1"/>
      <c r="Q579" s="1"/>
      <c r="R579" s="1"/>
      <c r="S579" s="1"/>
      <c r="T579" s="1"/>
      <c r="U579" s="1"/>
      <c r="V579" s="1"/>
      <c r="W579" s="1"/>
      <c r="X579" s="1"/>
      <c r="Y579" s="1"/>
      <c r="Z579" s="1"/>
      <c r="AA579" s="1"/>
      <c r="AB579" s="1"/>
    </row>
    <row r="580" spans="1:28" ht="11.25" customHeight="1" x14ac:dyDescent="0.25">
      <c r="A580" s="825"/>
      <c r="B580" s="16"/>
      <c r="C580" s="16"/>
      <c r="D580" s="22"/>
      <c r="E580" s="262"/>
      <c r="F580" s="16"/>
      <c r="G580" s="16"/>
      <c r="H580" s="16"/>
      <c r="I580" s="16"/>
      <c r="J580" s="1"/>
      <c r="K580" s="1"/>
      <c r="L580" s="1"/>
      <c r="M580" s="262"/>
      <c r="N580" s="1"/>
      <c r="O580" s="1"/>
      <c r="P580" s="1"/>
      <c r="Q580" s="1"/>
      <c r="R580" s="1"/>
      <c r="S580" s="1"/>
      <c r="T580" s="1"/>
      <c r="U580" s="1"/>
      <c r="V580" s="1"/>
      <c r="W580" s="1"/>
      <c r="X580" s="1"/>
      <c r="Y580" s="1"/>
      <c r="Z580" s="1"/>
      <c r="AA580" s="1"/>
      <c r="AB580" s="1"/>
    </row>
    <row r="581" spans="1:28" ht="11.25" customHeight="1" x14ac:dyDescent="0.25">
      <c r="A581" s="825"/>
      <c r="B581" s="16"/>
      <c r="C581" s="16"/>
      <c r="D581" s="22"/>
      <c r="E581" s="262"/>
      <c r="F581" s="16"/>
      <c r="G581" s="16"/>
      <c r="H581" s="16"/>
      <c r="I581" s="16"/>
      <c r="J581" s="1"/>
      <c r="K581" s="1"/>
      <c r="L581" s="1"/>
      <c r="M581" s="262"/>
      <c r="N581" s="1"/>
      <c r="O581" s="1"/>
      <c r="P581" s="1"/>
      <c r="Q581" s="1"/>
      <c r="R581" s="1"/>
      <c r="S581" s="1"/>
      <c r="T581" s="1"/>
      <c r="U581" s="1"/>
      <c r="V581" s="1"/>
      <c r="W581" s="1"/>
      <c r="X581" s="1"/>
      <c r="Y581" s="1"/>
      <c r="Z581" s="1"/>
      <c r="AA581" s="1"/>
      <c r="AB581" s="1"/>
    </row>
    <row r="582" spans="1:28" ht="11.25" customHeight="1" x14ac:dyDescent="0.25">
      <c r="A582" s="825"/>
      <c r="B582" s="16"/>
      <c r="C582" s="16"/>
      <c r="D582" s="22"/>
      <c r="E582" s="262"/>
      <c r="F582" s="16"/>
      <c r="G582" s="16"/>
      <c r="H582" s="16"/>
      <c r="I582" s="16"/>
      <c r="J582" s="1"/>
      <c r="K582" s="1"/>
      <c r="L582" s="1"/>
      <c r="M582" s="262"/>
      <c r="N582" s="1"/>
      <c r="O582" s="1"/>
      <c r="P582" s="1"/>
      <c r="Q582" s="1"/>
      <c r="R582" s="1"/>
      <c r="S582" s="1"/>
      <c r="T582" s="1"/>
      <c r="U582" s="1"/>
      <c r="V582" s="1"/>
      <c r="W582" s="1"/>
      <c r="X582" s="1"/>
      <c r="Y582" s="1"/>
      <c r="Z582" s="1"/>
      <c r="AA582" s="1"/>
      <c r="AB582" s="1"/>
    </row>
    <row r="583" spans="1:28" ht="11.25" customHeight="1" x14ac:dyDescent="0.25">
      <c r="A583" s="825"/>
      <c r="B583" s="16"/>
      <c r="C583" s="16"/>
      <c r="D583" s="22"/>
      <c r="E583" s="262"/>
      <c r="F583" s="16"/>
      <c r="G583" s="16"/>
      <c r="H583" s="16"/>
      <c r="I583" s="16"/>
      <c r="J583" s="1"/>
      <c r="K583" s="1"/>
      <c r="L583" s="1"/>
      <c r="M583" s="262"/>
      <c r="N583" s="1"/>
      <c r="O583" s="1"/>
      <c r="P583" s="1"/>
      <c r="Q583" s="1"/>
      <c r="R583" s="1"/>
      <c r="S583" s="1"/>
      <c r="T583" s="1"/>
      <c r="U583" s="1"/>
      <c r="V583" s="1"/>
      <c r="W583" s="1"/>
      <c r="X583" s="1"/>
      <c r="Y583" s="1"/>
      <c r="Z583" s="1"/>
      <c r="AA583" s="1"/>
      <c r="AB583" s="1"/>
    </row>
    <row r="584" spans="1:28" ht="11.25" customHeight="1" x14ac:dyDescent="0.25">
      <c r="A584" s="825"/>
      <c r="B584" s="16"/>
      <c r="C584" s="16"/>
      <c r="D584" s="22"/>
      <c r="E584" s="262"/>
      <c r="F584" s="16"/>
      <c r="G584" s="16"/>
      <c r="H584" s="16"/>
      <c r="I584" s="16"/>
      <c r="J584" s="1"/>
      <c r="K584" s="1"/>
      <c r="L584" s="1"/>
      <c r="M584" s="262"/>
      <c r="N584" s="1"/>
      <c r="O584" s="1"/>
      <c r="P584" s="1"/>
      <c r="Q584" s="1"/>
      <c r="R584" s="1"/>
      <c r="S584" s="1"/>
      <c r="T584" s="1"/>
      <c r="U584" s="1"/>
      <c r="V584" s="1"/>
      <c r="W584" s="1"/>
      <c r="X584" s="1"/>
      <c r="Y584" s="1"/>
      <c r="Z584" s="1"/>
      <c r="AA584" s="1"/>
      <c r="AB584" s="1"/>
    </row>
    <row r="585" spans="1:28" ht="11.25" customHeight="1" x14ac:dyDescent="0.25">
      <c r="A585" s="825"/>
      <c r="B585" s="16"/>
      <c r="C585" s="16"/>
      <c r="D585" s="22"/>
      <c r="E585" s="262"/>
      <c r="F585" s="16"/>
      <c r="G585" s="16"/>
      <c r="H585" s="16"/>
      <c r="I585" s="16"/>
      <c r="J585" s="1"/>
      <c r="K585" s="1"/>
      <c r="L585" s="1"/>
      <c r="M585" s="262"/>
      <c r="N585" s="1"/>
      <c r="O585" s="1"/>
      <c r="P585" s="1"/>
      <c r="Q585" s="1"/>
      <c r="R585" s="1"/>
      <c r="S585" s="1"/>
      <c r="T585" s="1"/>
      <c r="U585" s="1"/>
      <c r="V585" s="1"/>
      <c r="W585" s="1"/>
      <c r="X585" s="1"/>
      <c r="Y585" s="1"/>
      <c r="Z585" s="1"/>
      <c r="AA585" s="1"/>
      <c r="AB585" s="1"/>
    </row>
    <row r="586" spans="1:28" ht="11.25" customHeight="1" x14ac:dyDescent="0.25">
      <c r="A586" s="825"/>
      <c r="B586" s="16"/>
      <c r="C586" s="16"/>
      <c r="D586" s="22"/>
      <c r="E586" s="262"/>
      <c r="F586" s="16"/>
      <c r="G586" s="16"/>
      <c r="H586" s="16"/>
      <c r="I586" s="16"/>
      <c r="J586" s="1"/>
      <c r="K586" s="1"/>
      <c r="L586" s="1"/>
      <c r="M586" s="262"/>
      <c r="N586" s="1"/>
      <c r="O586" s="1"/>
      <c r="P586" s="1"/>
      <c r="Q586" s="1"/>
      <c r="R586" s="1"/>
      <c r="S586" s="1"/>
      <c r="T586" s="1"/>
      <c r="U586" s="1"/>
      <c r="V586" s="1"/>
      <c r="W586" s="1"/>
      <c r="X586" s="1"/>
      <c r="Y586" s="1"/>
      <c r="Z586" s="1"/>
      <c r="AA586" s="1"/>
      <c r="AB586" s="1"/>
    </row>
    <row r="587" spans="1:28" ht="11.25" customHeight="1" x14ac:dyDescent="0.25">
      <c r="A587" s="825"/>
      <c r="B587" s="16"/>
      <c r="C587" s="16"/>
      <c r="D587" s="22"/>
      <c r="E587" s="262"/>
      <c r="F587" s="16"/>
      <c r="G587" s="16"/>
      <c r="H587" s="16"/>
      <c r="I587" s="16"/>
      <c r="J587" s="1"/>
      <c r="K587" s="1"/>
      <c r="L587" s="1"/>
      <c r="M587" s="262"/>
      <c r="N587" s="1"/>
      <c r="O587" s="1"/>
      <c r="P587" s="1"/>
      <c r="Q587" s="1"/>
      <c r="R587" s="1"/>
      <c r="S587" s="1"/>
      <c r="T587" s="1"/>
      <c r="U587" s="1"/>
      <c r="V587" s="1"/>
      <c r="W587" s="1"/>
      <c r="X587" s="1"/>
      <c r="Y587" s="1"/>
      <c r="Z587" s="1"/>
      <c r="AA587" s="1"/>
      <c r="AB587" s="1"/>
    </row>
    <row r="588" spans="1:28" ht="11.25" customHeight="1" x14ac:dyDescent="0.25">
      <c r="A588" s="825"/>
      <c r="B588" s="16"/>
      <c r="C588" s="16"/>
      <c r="D588" s="22"/>
      <c r="E588" s="262"/>
      <c r="F588" s="16"/>
      <c r="G588" s="16"/>
      <c r="H588" s="16"/>
      <c r="I588" s="16"/>
      <c r="J588" s="1"/>
      <c r="K588" s="1"/>
      <c r="L588" s="1"/>
      <c r="M588" s="262"/>
      <c r="N588" s="1"/>
      <c r="O588" s="1"/>
      <c r="P588" s="1"/>
      <c r="Q588" s="1"/>
      <c r="R588" s="1"/>
      <c r="S588" s="1"/>
      <c r="T588" s="1"/>
      <c r="U588" s="1"/>
      <c r="V588" s="1"/>
      <c r="W588" s="1"/>
      <c r="X588" s="1"/>
      <c r="Y588" s="1"/>
      <c r="Z588" s="1"/>
      <c r="AA588" s="1"/>
      <c r="AB588" s="1"/>
    </row>
    <row r="589" spans="1:28" ht="11.25" customHeight="1" x14ac:dyDescent="0.25">
      <c r="A589" s="825"/>
      <c r="B589" s="16"/>
      <c r="C589" s="16"/>
      <c r="D589" s="22"/>
      <c r="E589" s="262"/>
      <c r="F589" s="16"/>
      <c r="G589" s="16"/>
      <c r="H589" s="16"/>
      <c r="I589" s="16"/>
      <c r="J589" s="1"/>
      <c r="K589" s="1"/>
      <c r="L589" s="1"/>
      <c r="M589" s="262"/>
      <c r="N589" s="1"/>
      <c r="O589" s="1"/>
      <c r="P589" s="1"/>
      <c r="Q589" s="1"/>
      <c r="R589" s="1"/>
      <c r="S589" s="1"/>
      <c r="T589" s="1"/>
      <c r="U589" s="1"/>
      <c r="V589" s="1"/>
      <c r="W589" s="1"/>
      <c r="X589" s="1"/>
      <c r="Y589" s="1"/>
      <c r="Z589" s="1"/>
      <c r="AA589" s="1"/>
      <c r="AB589" s="1"/>
    </row>
    <row r="590" spans="1:28" ht="11.25" customHeight="1" x14ac:dyDescent="0.25">
      <c r="A590" s="825"/>
      <c r="B590" s="16"/>
      <c r="C590" s="16"/>
      <c r="D590" s="22"/>
      <c r="E590" s="262"/>
      <c r="F590" s="16"/>
      <c r="G590" s="16"/>
      <c r="H590" s="16"/>
      <c r="I590" s="16"/>
      <c r="J590" s="1"/>
      <c r="K590" s="1"/>
      <c r="L590" s="1"/>
      <c r="M590" s="262"/>
      <c r="N590" s="1"/>
      <c r="O590" s="1"/>
      <c r="P590" s="1"/>
      <c r="Q590" s="1"/>
      <c r="R590" s="1"/>
      <c r="S590" s="1"/>
      <c r="T590" s="1"/>
      <c r="U590" s="1"/>
      <c r="V590" s="1"/>
      <c r="W590" s="1"/>
      <c r="X590" s="1"/>
      <c r="Y590" s="1"/>
      <c r="Z590" s="1"/>
      <c r="AA590" s="1"/>
      <c r="AB590" s="1"/>
    </row>
    <row r="591" spans="1:28" ht="11.25" customHeight="1" x14ac:dyDescent="0.25">
      <c r="A591" s="825"/>
      <c r="B591" s="16"/>
      <c r="C591" s="16"/>
      <c r="D591" s="22"/>
      <c r="E591" s="262"/>
      <c r="F591" s="16"/>
      <c r="G591" s="16"/>
      <c r="H591" s="16"/>
      <c r="I591" s="16"/>
      <c r="J591" s="1"/>
      <c r="K591" s="1"/>
      <c r="L591" s="1"/>
      <c r="M591" s="262"/>
      <c r="N591" s="1"/>
      <c r="O591" s="1"/>
      <c r="P591" s="1"/>
      <c r="Q591" s="1"/>
      <c r="R591" s="1"/>
      <c r="S591" s="1"/>
      <c r="T591" s="1"/>
      <c r="U591" s="1"/>
      <c r="V591" s="1"/>
      <c r="W591" s="1"/>
      <c r="X591" s="1"/>
      <c r="Y591" s="1"/>
      <c r="Z591" s="1"/>
      <c r="AA591" s="1"/>
      <c r="AB591" s="1"/>
    </row>
    <row r="592" spans="1:28" ht="11.25" customHeight="1" x14ac:dyDescent="0.25">
      <c r="A592" s="825"/>
      <c r="B592" s="16"/>
      <c r="C592" s="16"/>
      <c r="D592" s="22"/>
      <c r="E592" s="262"/>
      <c r="F592" s="16"/>
      <c r="G592" s="16"/>
      <c r="H592" s="16"/>
      <c r="I592" s="16"/>
      <c r="J592" s="1"/>
      <c r="K592" s="1"/>
      <c r="L592" s="1"/>
      <c r="M592" s="262"/>
      <c r="N592" s="1"/>
      <c r="O592" s="1"/>
      <c r="P592" s="1"/>
      <c r="Q592" s="1"/>
      <c r="R592" s="1"/>
      <c r="S592" s="1"/>
      <c r="T592" s="1"/>
      <c r="U592" s="1"/>
      <c r="V592" s="1"/>
      <c r="W592" s="1"/>
      <c r="X592" s="1"/>
      <c r="Y592" s="1"/>
      <c r="Z592" s="1"/>
      <c r="AA592" s="1"/>
      <c r="AB592" s="1"/>
    </row>
    <row r="593" spans="1:28" ht="11.25" customHeight="1" x14ac:dyDescent="0.25">
      <c r="A593" s="825"/>
      <c r="B593" s="16"/>
      <c r="C593" s="16"/>
      <c r="D593" s="22"/>
      <c r="E593" s="262"/>
      <c r="F593" s="16"/>
      <c r="G593" s="16"/>
      <c r="H593" s="16"/>
      <c r="I593" s="16"/>
      <c r="J593" s="1"/>
      <c r="K593" s="1"/>
      <c r="L593" s="1"/>
      <c r="M593" s="262"/>
      <c r="N593" s="1"/>
      <c r="O593" s="1"/>
      <c r="P593" s="1"/>
      <c r="Q593" s="1"/>
      <c r="R593" s="1"/>
      <c r="S593" s="1"/>
      <c r="T593" s="1"/>
      <c r="U593" s="1"/>
      <c r="V593" s="1"/>
      <c r="W593" s="1"/>
      <c r="X593" s="1"/>
      <c r="Y593" s="1"/>
      <c r="Z593" s="1"/>
      <c r="AA593" s="1"/>
      <c r="AB593" s="1"/>
    </row>
    <row r="594" spans="1:28" ht="11.25" customHeight="1" x14ac:dyDescent="0.25">
      <c r="A594" s="825"/>
      <c r="B594" s="16"/>
      <c r="C594" s="16"/>
      <c r="D594" s="22"/>
      <c r="E594" s="262"/>
      <c r="F594" s="16"/>
      <c r="G594" s="16"/>
      <c r="H594" s="16"/>
      <c r="I594" s="16"/>
      <c r="J594" s="1"/>
      <c r="K594" s="1"/>
      <c r="L594" s="1"/>
      <c r="M594" s="262"/>
      <c r="N594" s="1"/>
      <c r="O594" s="1"/>
      <c r="P594" s="1"/>
      <c r="Q594" s="1"/>
      <c r="R594" s="1"/>
      <c r="S594" s="1"/>
      <c r="T594" s="1"/>
      <c r="U594" s="1"/>
      <c r="V594" s="1"/>
      <c r="W594" s="1"/>
      <c r="X594" s="1"/>
      <c r="Y594" s="1"/>
      <c r="Z594" s="1"/>
      <c r="AA594" s="1"/>
      <c r="AB594" s="1"/>
    </row>
    <row r="595" spans="1:28" ht="11.25" customHeight="1" x14ac:dyDescent="0.25">
      <c r="A595" s="825"/>
      <c r="B595" s="16"/>
      <c r="C595" s="16"/>
      <c r="D595" s="22"/>
      <c r="E595" s="262"/>
      <c r="F595" s="16"/>
      <c r="G595" s="16"/>
      <c r="H595" s="16"/>
      <c r="I595" s="16"/>
      <c r="J595" s="1"/>
      <c r="K595" s="1"/>
      <c r="L595" s="1"/>
      <c r="M595" s="262"/>
      <c r="N595" s="1"/>
      <c r="O595" s="1"/>
      <c r="P595" s="1"/>
      <c r="Q595" s="1"/>
      <c r="R595" s="1"/>
      <c r="S595" s="1"/>
      <c r="T595" s="1"/>
      <c r="U595" s="1"/>
      <c r="V595" s="1"/>
      <c r="W595" s="1"/>
      <c r="X595" s="1"/>
      <c r="Y595" s="1"/>
      <c r="Z595" s="1"/>
      <c r="AA595" s="1"/>
      <c r="AB595" s="1"/>
    </row>
    <row r="596" spans="1:28" ht="11.25" customHeight="1" x14ac:dyDescent="0.25">
      <c r="A596" s="825"/>
      <c r="B596" s="16"/>
      <c r="C596" s="16"/>
      <c r="D596" s="22"/>
      <c r="E596" s="262"/>
      <c r="F596" s="16"/>
      <c r="G596" s="16"/>
      <c r="H596" s="16"/>
      <c r="I596" s="16"/>
      <c r="J596" s="1"/>
      <c r="K596" s="1"/>
      <c r="L596" s="1"/>
      <c r="M596" s="262"/>
      <c r="N596" s="1"/>
      <c r="O596" s="1"/>
      <c r="P596" s="1"/>
      <c r="Q596" s="1"/>
      <c r="R596" s="1"/>
      <c r="S596" s="1"/>
      <c r="T596" s="1"/>
      <c r="U596" s="1"/>
      <c r="V596" s="1"/>
      <c r="W596" s="1"/>
      <c r="X596" s="1"/>
      <c r="Y596" s="1"/>
      <c r="Z596" s="1"/>
      <c r="AA596" s="1"/>
      <c r="AB596" s="1"/>
    </row>
    <row r="597" spans="1:28" ht="11.25" customHeight="1" x14ac:dyDescent="0.25">
      <c r="A597" s="825"/>
      <c r="B597" s="16"/>
      <c r="C597" s="16"/>
      <c r="D597" s="22"/>
      <c r="E597" s="262"/>
      <c r="F597" s="16"/>
      <c r="G597" s="16"/>
      <c r="H597" s="16"/>
      <c r="I597" s="16"/>
      <c r="J597" s="1"/>
      <c r="K597" s="1"/>
      <c r="L597" s="1"/>
      <c r="M597" s="262"/>
      <c r="N597" s="1"/>
      <c r="O597" s="1"/>
      <c r="P597" s="1"/>
      <c r="Q597" s="1"/>
      <c r="R597" s="1"/>
      <c r="S597" s="1"/>
      <c r="T597" s="1"/>
      <c r="U597" s="1"/>
      <c r="V597" s="1"/>
      <c r="W597" s="1"/>
      <c r="X597" s="1"/>
      <c r="Y597" s="1"/>
      <c r="Z597" s="1"/>
      <c r="AA597" s="1"/>
      <c r="AB597" s="1"/>
    </row>
    <row r="598" spans="1:28" ht="11.25" customHeight="1" x14ac:dyDescent="0.25">
      <c r="A598" s="825"/>
      <c r="B598" s="16"/>
      <c r="C598" s="16"/>
      <c r="D598" s="22"/>
      <c r="E598" s="262"/>
      <c r="F598" s="16"/>
      <c r="G598" s="16"/>
      <c r="H598" s="16"/>
      <c r="I598" s="16"/>
      <c r="J598" s="1"/>
      <c r="K598" s="1"/>
      <c r="L598" s="1"/>
      <c r="M598" s="262"/>
      <c r="N598" s="1"/>
      <c r="O598" s="1"/>
      <c r="P598" s="1"/>
      <c r="Q598" s="1"/>
      <c r="R598" s="1"/>
      <c r="S598" s="1"/>
      <c r="T598" s="1"/>
      <c r="U598" s="1"/>
      <c r="V598" s="1"/>
      <c r="W598" s="1"/>
      <c r="X598" s="1"/>
      <c r="Y598" s="1"/>
      <c r="Z598" s="1"/>
      <c r="AA598" s="1"/>
      <c r="AB598" s="1"/>
    </row>
    <row r="599" spans="1:28" ht="11.25" customHeight="1" x14ac:dyDescent="0.25">
      <c r="A599" s="825"/>
      <c r="B599" s="16"/>
      <c r="C599" s="16"/>
      <c r="D599" s="22"/>
      <c r="E599" s="262"/>
      <c r="F599" s="16"/>
      <c r="G599" s="16"/>
      <c r="H599" s="16"/>
      <c r="I599" s="16"/>
      <c r="J599" s="1"/>
      <c r="K599" s="1"/>
      <c r="L599" s="1"/>
      <c r="M599" s="262"/>
      <c r="N599" s="1"/>
      <c r="O599" s="1"/>
      <c r="P599" s="1"/>
      <c r="Q599" s="1"/>
      <c r="R599" s="1"/>
      <c r="S599" s="1"/>
      <c r="T599" s="1"/>
      <c r="U599" s="1"/>
      <c r="V599" s="1"/>
      <c r="W599" s="1"/>
      <c r="X599" s="1"/>
      <c r="Y599" s="1"/>
      <c r="Z599" s="1"/>
      <c r="AA599" s="1"/>
      <c r="AB599" s="1"/>
    </row>
    <row r="600" spans="1:28" ht="11.25" customHeight="1" x14ac:dyDescent="0.25">
      <c r="A600" s="825"/>
      <c r="B600" s="16"/>
      <c r="C600" s="16"/>
      <c r="D600" s="22"/>
      <c r="E600" s="262"/>
      <c r="F600" s="16"/>
      <c r="G600" s="16"/>
      <c r="H600" s="16"/>
      <c r="I600" s="16"/>
      <c r="J600" s="1"/>
      <c r="K600" s="1"/>
      <c r="L600" s="1"/>
      <c r="M600" s="262"/>
      <c r="N600" s="1"/>
      <c r="O600" s="1"/>
      <c r="P600" s="1"/>
      <c r="Q600" s="1"/>
      <c r="R600" s="1"/>
      <c r="S600" s="1"/>
      <c r="T600" s="1"/>
      <c r="U600" s="1"/>
      <c r="V600" s="1"/>
      <c r="W600" s="1"/>
      <c r="X600" s="1"/>
      <c r="Y600" s="1"/>
      <c r="Z600" s="1"/>
      <c r="AA600" s="1"/>
      <c r="AB600" s="1"/>
    </row>
    <row r="601" spans="1:28" ht="11.25" customHeight="1" x14ac:dyDescent="0.25">
      <c r="A601" s="825"/>
      <c r="B601" s="16"/>
      <c r="C601" s="16"/>
      <c r="D601" s="22"/>
      <c r="E601" s="262"/>
      <c r="F601" s="16"/>
      <c r="G601" s="16"/>
      <c r="H601" s="16"/>
      <c r="I601" s="16"/>
      <c r="J601" s="1"/>
      <c r="K601" s="1"/>
      <c r="L601" s="1"/>
      <c r="M601" s="262"/>
      <c r="N601" s="1"/>
      <c r="O601" s="1"/>
      <c r="P601" s="1"/>
      <c r="Q601" s="1"/>
      <c r="R601" s="1"/>
      <c r="S601" s="1"/>
      <c r="T601" s="1"/>
      <c r="U601" s="1"/>
      <c r="V601" s="1"/>
      <c r="W601" s="1"/>
      <c r="X601" s="1"/>
      <c r="Y601" s="1"/>
      <c r="Z601" s="1"/>
      <c r="AA601" s="1"/>
      <c r="AB601" s="1"/>
    </row>
    <row r="602" spans="1:28" ht="11.25" customHeight="1" x14ac:dyDescent="0.25">
      <c r="A602" s="825"/>
      <c r="B602" s="16"/>
      <c r="C602" s="16"/>
      <c r="D602" s="22"/>
      <c r="E602" s="262"/>
      <c r="F602" s="16"/>
      <c r="G602" s="16"/>
      <c r="H602" s="16"/>
      <c r="I602" s="16"/>
      <c r="J602" s="1"/>
      <c r="K602" s="1"/>
      <c r="L602" s="1"/>
      <c r="M602" s="262"/>
      <c r="N602" s="1"/>
      <c r="O602" s="1"/>
      <c r="P602" s="1"/>
      <c r="Q602" s="1"/>
      <c r="R602" s="1"/>
      <c r="S602" s="1"/>
      <c r="T602" s="1"/>
      <c r="U602" s="1"/>
      <c r="V602" s="1"/>
      <c r="W602" s="1"/>
      <c r="X602" s="1"/>
      <c r="Y602" s="1"/>
      <c r="Z602" s="1"/>
      <c r="AA602" s="1"/>
      <c r="AB602" s="1"/>
    </row>
    <row r="603" spans="1:28" ht="11.25" customHeight="1" x14ac:dyDescent="0.25">
      <c r="A603" s="825"/>
      <c r="B603" s="16"/>
      <c r="C603" s="16"/>
      <c r="D603" s="22"/>
      <c r="E603" s="262"/>
      <c r="F603" s="16"/>
      <c r="G603" s="16"/>
      <c r="H603" s="16"/>
      <c r="I603" s="16"/>
      <c r="J603" s="1"/>
      <c r="K603" s="1"/>
      <c r="L603" s="1"/>
      <c r="M603" s="262"/>
      <c r="N603" s="1"/>
      <c r="O603" s="1"/>
      <c r="P603" s="1"/>
      <c r="Q603" s="1"/>
      <c r="R603" s="1"/>
      <c r="S603" s="1"/>
      <c r="T603" s="1"/>
      <c r="U603" s="1"/>
      <c r="V603" s="1"/>
      <c r="W603" s="1"/>
      <c r="X603" s="1"/>
      <c r="Y603" s="1"/>
      <c r="Z603" s="1"/>
      <c r="AA603" s="1"/>
      <c r="AB603" s="1"/>
    </row>
    <row r="604" spans="1:28" ht="11.25" customHeight="1" x14ac:dyDescent="0.25">
      <c r="A604" s="825"/>
      <c r="B604" s="16"/>
      <c r="C604" s="16"/>
      <c r="D604" s="22"/>
      <c r="E604" s="262"/>
      <c r="F604" s="16"/>
      <c r="G604" s="16"/>
      <c r="H604" s="16"/>
      <c r="I604" s="16"/>
      <c r="J604" s="1"/>
      <c r="K604" s="1"/>
      <c r="L604" s="1"/>
      <c r="M604" s="262"/>
      <c r="N604" s="1"/>
      <c r="O604" s="1"/>
      <c r="P604" s="1"/>
      <c r="Q604" s="1"/>
      <c r="R604" s="1"/>
      <c r="S604" s="1"/>
      <c r="T604" s="1"/>
      <c r="U604" s="1"/>
      <c r="V604" s="1"/>
      <c r="W604" s="1"/>
      <c r="X604" s="1"/>
      <c r="Y604" s="1"/>
      <c r="Z604" s="1"/>
      <c r="AA604" s="1"/>
      <c r="AB604" s="1"/>
    </row>
    <row r="605" spans="1:28" ht="11.25" customHeight="1" x14ac:dyDescent="0.25">
      <c r="A605" s="825"/>
      <c r="B605" s="16"/>
      <c r="C605" s="16"/>
      <c r="D605" s="22"/>
      <c r="E605" s="262"/>
      <c r="F605" s="16"/>
      <c r="G605" s="16"/>
      <c r="H605" s="16"/>
      <c r="I605" s="16"/>
      <c r="J605" s="1"/>
      <c r="K605" s="1"/>
      <c r="L605" s="1"/>
      <c r="M605" s="262"/>
      <c r="N605" s="1"/>
      <c r="O605" s="1"/>
      <c r="P605" s="1"/>
      <c r="Q605" s="1"/>
      <c r="R605" s="1"/>
      <c r="S605" s="1"/>
      <c r="T605" s="1"/>
      <c r="U605" s="1"/>
      <c r="V605" s="1"/>
      <c r="W605" s="1"/>
      <c r="X605" s="1"/>
      <c r="Y605" s="1"/>
      <c r="Z605" s="1"/>
      <c r="AA605" s="1"/>
      <c r="AB605" s="1"/>
    </row>
    <row r="606" spans="1:28" ht="11.25" customHeight="1" x14ac:dyDescent="0.25">
      <c r="A606" s="825"/>
      <c r="B606" s="16"/>
      <c r="C606" s="16"/>
      <c r="D606" s="22"/>
      <c r="E606" s="262"/>
      <c r="F606" s="16"/>
      <c r="G606" s="16"/>
      <c r="H606" s="16"/>
      <c r="I606" s="16"/>
      <c r="J606" s="1"/>
      <c r="K606" s="1"/>
      <c r="L606" s="1"/>
      <c r="M606" s="262"/>
      <c r="N606" s="1"/>
      <c r="O606" s="1"/>
      <c r="P606" s="1"/>
      <c r="Q606" s="1"/>
      <c r="R606" s="1"/>
      <c r="S606" s="1"/>
      <c r="T606" s="1"/>
      <c r="U606" s="1"/>
      <c r="V606" s="1"/>
      <c r="W606" s="1"/>
      <c r="X606" s="1"/>
      <c r="Y606" s="1"/>
      <c r="Z606" s="1"/>
      <c r="AA606" s="1"/>
      <c r="AB606" s="1"/>
    </row>
    <row r="607" spans="1:28" ht="11.25" customHeight="1" x14ac:dyDescent="0.25">
      <c r="A607" s="825"/>
      <c r="B607" s="16"/>
      <c r="C607" s="16"/>
      <c r="D607" s="22"/>
      <c r="E607" s="262"/>
      <c r="F607" s="16"/>
      <c r="G607" s="16"/>
      <c r="H607" s="16"/>
      <c r="I607" s="16"/>
      <c r="J607" s="1"/>
      <c r="K607" s="1"/>
      <c r="L607" s="1"/>
      <c r="M607" s="262"/>
      <c r="N607" s="1"/>
      <c r="O607" s="1"/>
      <c r="P607" s="1"/>
      <c r="Q607" s="1"/>
      <c r="R607" s="1"/>
      <c r="S607" s="1"/>
      <c r="T607" s="1"/>
      <c r="U607" s="1"/>
      <c r="V607" s="1"/>
      <c r="W607" s="1"/>
      <c r="X607" s="1"/>
      <c r="Y607" s="1"/>
      <c r="Z607" s="1"/>
      <c r="AA607" s="1"/>
      <c r="AB607" s="1"/>
    </row>
    <row r="608" spans="1:28" ht="11.25" customHeight="1" x14ac:dyDescent="0.25">
      <c r="A608" s="825"/>
      <c r="B608" s="16"/>
      <c r="C608" s="16"/>
      <c r="D608" s="22"/>
      <c r="E608" s="262"/>
      <c r="F608" s="16"/>
      <c r="G608" s="16"/>
      <c r="H608" s="16"/>
      <c r="I608" s="16"/>
      <c r="J608" s="1"/>
      <c r="K608" s="1"/>
      <c r="L608" s="1"/>
      <c r="M608" s="262"/>
      <c r="N608" s="1"/>
      <c r="O608" s="1"/>
      <c r="P608" s="1"/>
      <c r="Q608" s="1"/>
      <c r="R608" s="1"/>
      <c r="S608" s="1"/>
      <c r="T608" s="1"/>
      <c r="U608" s="1"/>
      <c r="V608" s="1"/>
      <c r="W608" s="1"/>
      <c r="X608" s="1"/>
      <c r="Y608" s="1"/>
      <c r="Z608" s="1"/>
      <c r="AA608" s="1"/>
      <c r="AB608" s="1"/>
    </row>
    <row r="609" spans="1:28" ht="11.25" customHeight="1" x14ac:dyDescent="0.25">
      <c r="A609" s="825"/>
      <c r="B609" s="16"/>
      <c r="C609" s="16"/>
      <c r="D609" s="22"/>
      <c r="E609" s="262"/>
      <c r="F609" s="16"/>
      <c r="G609" s="16"/>
      <c r="H609" s="16"/>
      <c r="I609" s="16"/>
      <c r="J609" s="1"/>
      <c r="K609" s="1"/>
      <c r="L609" s="1"/>
      <c r="M609" s="262"/>
      <c r="N609" s="1"/>
      <c r="O609" s="1"/>
      <c r="P609" s="1"/>
      <c r="Q609" s="1"/>
      <c r="R609" s="1"/>
      <c r="S609" s="1"/>
      <c r="T609" s="1"/>
      <c r="U609" s="1"/>
      <c r="V609" s="1"/>
      <c r="W609" s="1"/>
      <c r="X609" s="1"/>
      <c r="Y609" s="1"/>
      <c r="Z609" s="1"/>
      <c r="AA609" s="1"/>
      <c r="AB609" s="1"/>
    </row>
    <row r="610" spans="1:28" ht="11.25" customHeight="1" x14ac:dyDescent="0.25">
      <c r="A610" s="825"/>
      <c r="B610" s="16"/>
      <c r="C610" s="16"/>
      <c r="D610" s="22"/>
      <c r="E610" s="262"/>
      <c r="F610" s="16"/>
      <c r="G610" s="16"/>
      <c r="H610" s="16"/>
      <c r="I610" s="16"/>
      <c r="J610" s="1"/>
      <c r="K610" s="1"/>
      <c r="L610" s="1"/>
      <c r="M610" s="262"/>
      <c r="N610" s="1"/>
      <c r="O610" s="1"/>
      <c r="P610" s="1"/>
      <c r="Q610" s="1"/>
      <c r="R610" s="1"/>
      <c r="S610" s="1"/>
      <c r="T610" s="1"/>
      <c r="U610" s="1"/>
      <c r="V610" s="1"/>
      <c r="W610" s="1"/>
      <c r="X610" s="1"/>
      <c r="Y610" s="1"/>
      <c r="Z610" s="1"/>
      <c r="AA610" s="1"/>
      <c r="AB610" s="1"/>
    </row>
    <row r="611" spans="1:28" ht="11.25" customHeight="1" x14ac:dyDescent="0.25">
      <c r="A611" s="825"/>
      <c r="B611" s="16"/>
      <c r="C611" s="16"/>
      <c r="D611" s="22"/>
      <c r="E611" s="262"/>
      <c r="F611" s="16"/>
      <c r="G611" s="16"/>
      <c r="H611" s="16"/>
      <c r="I611" s="16"/>
      <c r="J611" s="1"/>
      <c r="K611" s="1"/>
      <c r="L611" s="1"/>
      <c r="M611" s="262"/>
      <c r="N611" s="1"/>
      <c r="O611" s="1"/>
      <c r="P611" s="1"/>
      <c r="Q611" s="1"/>
      <c r="R611" s="1"/>
      <c r="S611" s="1"/>
      <c r="T611" s="1"/>
      <c r="U611" s="1"/>
      <c r="V611" s="1"/>
      <c r="W611" s="1"/>
      <c r="X611" s="1"/>
      <c r="Y611" s="1"/>
      <c r="Z611" s="1"/>
      <c r="AA611" s="1"/>
      <c r="AB611" s="1"/>
    </row>
    <row r="612" spans="1:28" ht="11.25" customHeight="1" x14ac:dyDescent="0.25">
      <c r="A612" s="825"/>
      <c r="B612" s="16"/>
      <c r="C612" s="16"/>
      <c r="D612" s="22"/>
      <c r="E612" s="262"/>
      <c r="F612" s="16"/>
      <c r="G612" s="16"/>
      <c r="H612" s="16"/>
      <c r="I612" s="16"/>
      <c r="J612" s="1"/>
      <c r="K612" s="1"/>
      <c r="L612" s="1"/>
      <c r="M612" s="262"/>
      <c r="N612" s="1"/>
      <c r="O612" s="1"/>
      <c r="P612" s="1"/>
      <c r="Q612" s="1"/>
      <c r="R612" s="1"/>
      <c r="S612" s="1"/>
      <c r="T612" s="1"/>
      <c r="U612" s="1"/>
      <c r="V612" s="1"/>
      <c r="W612" s="1"/>
      <c r="X612" s="1"/>
      <c r="Y612" s="1"/>
      <c r="Z612" s="1"/>
      <c r="AA612" s="1"/>
      <c r="AB612" s="1"/>
    </row>
    <row r="613" spans="1:28" ht="11.25" customHeight="1" x14ac:dyDescent="0.25">
      <c r="A613" s="825"/>
      <c r="B613" s="16"/>
      <c r="C613" s="16"/>
      <c r="D613" s="22"/>
      <c r="E613" s="262"/>
      <c r="F613" s="16"/>
      <c r="G613" s="16"/>
      <c r="H613" s="16"/>
      <c r="I613" s="16"/>
      <c r="J613" s="1"/>
      <c r="K613" s="1"/>
      <c r="L613" s="1"/>
      <c r="M613" s="262"/>
      <c r="N613" s="1"/>
      <c r="O613" s="1"/>
      <c r="P613" s="1"/>
      <c r="Q613" s="1"/>
      <c r="R613" s="1"/>
      <c r="S613" s="1"/>
      <c r="T613" s="1"/>
      <c r="U613" s="1"/>
      <c r="V613" s="1"/>
      <c r="W613" s="1"/>
      <c r="X613" s="1"/>
      <c r="Y613" s="1"/>
      <c r="Z613" s="1"/>
      <c r="AA613" s="1"/>
      <c r="AB613" s="1"/>
    </row>
    <row r="614" spans="1:28" ht="11.25" customHeight="1" x14ac:dyDescent="0.25">
      <c r="A614" s="825"/>
      <c r="B614" s="16"/>
      <c r="C614" s="16"/>
      <c r="D614" s="22"/>
      <c r="E614" s="262"/>
      <c r="F614" s="16"/>
      <c r="G614" s="16"/>
      <c r="H614" s="16"/>
      <c r="I614" s="16"/>
      <c r="J614" s="1"/>
      <c r="K614" s="1"/>
      <c r="L614" s="1"/>
      <c r="M614" s="262"/>
      <c r="N614" s="1"/>
      <c r="O614" s="1"/>
      <c r="P614" s="1"/>
      <c r="Q614" s="1"/>
      <c r="R614" s="1"/>
      <c r="S614" s="1"/>
      <c r="T614" s="1"/>
      <c r="U614" s="1"/>
      <c r="V614" s="1"/>
      <c r="W614" s="1"/>
      <c r="X614" s="1"/>
      <c r="Y614" s="1"/>
      <c r="Z614" s="1"/>
      <c r="AA614" s="1"/>
      <c r="AB614" s="1"/>
    </row>
    <row r="615" spans="1:28" ht="11.25" customHeight="1" x14ac:dyDescent="0.25">
      <c r="A615" s="825"/>
      <c r="B615" s="16"/>
      <c r="C615" s="16"/>
      <c r="D615" s="22"/>
      <c r="E615" s="262"/>
      <c r="F615" s="16"/>
      <c r="G615" s="16"/>
      <c r="H615" s="16"/>
      <c r="I615" s="16"/>
      <c r="J615" s="1"/>
      <c r="K615" s="1"/>
      <c r="L615" s="1"/>
      <c r="M615" s="262"/>
      <c r="N615" s="1"/>
      <c r="O615" s="1"/>
      <c r="P615" s="1"/>
      <c r="Q615" s="1"/>
      <c r="R615" s="1"/>
      <c r="S615" s="1"/>
      <c r="T615" s="1"/>
      <c r="U615" s="1"/>
      <c r="V615" s="1"/>
      <c r="W615" s="1"/>
      <c r="X615" s="1"/>
      <c r="Y615" s="1"/>
      <c r="Z615" s="1"/>
      <c r="AA615" s="1"/>
      <c r="AB615" s="1"/>
    </row>
    <row r="616" spans="1:28" ht="11.25" customHeight="1" x14ac:dyDescent="0.25">
      <c r="A616" s="825"/>
      <c r="B616" s="16"/>
      <c r="C616" s="16"/>
      <c r="D616" s="22"/>
      <c r="E616" s="262"/>
      <c r="F616" s="16"/>
      <c r="G616" s="16"/>
      <c r="H616" s="16"/>
      <c r="I616" s="16"/>
      <c r="J616" s="1"/>
      <c r="K616" s="1"/>
      <c r="L616" s="1"/>
      <c r="M616" s="262"/>
      <c r="N616" s="1"/>
      <c r="O616" s="1"/>
      <c r="P616" s="1"/>
      <c r="Q616" s="1"/>
      <c r="R616" s="1"/>
      <c r="S616" s="1"/>
      <c r="T616" s="1"/>
      <c r="U616" s="1"/>
      <c r="V616" s="1"/>
      <c r="W616" s="1"/>
      <c r="X616" s="1"/>
      <c r="Y616" s="1"/>
      <c r="Z616" s="1"/>
      <c r="AA616" s="1"/>
      <c r="AB616" s="1"/>
    </row>
    <row r="617" spans="1:28" ht="11.25" customHeight="1" x14ac:dyDescent="0.25">
      <c r="A617" s="825"/>
      <c r="B617" s="16"/>
      <c r="C617" s="16"/>
      <c r="D617" s="22"/>
      <c r="E617" s="262"/>
      <c r="F617" s="16"/>
      <c r="G617" s="16"/>
      <c r="H617" s="16"/>
      <c r="I617" s="16"/>
      <c r="J617" s="1"/>
      <c r="K617" s="1"/>
      <c r="L617" s="1"/>
      <c r="M617" s="262"/>
      <c r="N617" s="1"/>
      <c r="O617" s="1"/>
      <c r="P617" s="1"/>
      <c r="Q617" s="1"/>
      <c r="R617" s="1"/>
      <c r="S617" s="1"/>
      <c r="T617" s="1"/>
      <c r="U617" s="1"/>
      <c r="V617" s="1"/>
      <c r="W617" s="1"/>
      <c r="X617" s="1"/>
      <c r="Y617" s="1"/>
      <c r="Z617" s="1"/>
      <c r="AA617" s="1"/>
      <c r="AB617" s="1"/>
    </row>
    <row r="618" spans="1:28" ht="11.25" customHeight="1" x14ac:dyDescent="0.25">
      <c r="A618" s="825"/>
      <c r="B618" s="16"/>
      <c r="C618" s="16"/>
      <c r="D618" s="22"/>
      <c r="E618" s="262"/>
      <c r="F618" s="16"/>
      <c r="G618" s="16"/>
      <c r="H618" s="16"/>
      <c r="I618" s="16"/>
      <c r="J618" s="1"/>
      <c r="K618" s="1"/>
      <c r="L618" s="1"/>
      <c r="M618" s="262"/>
      <c r="N618" s="1"/>
      <c r="O618" s="1"/>
      <c r="P618" s="1"/>
      <c r="Q618" s="1"/>
      <c r="R618" s="1"/>
      <c r="S618" s="1"/>
      <c r="T618" s="1"/>
      <c r="U618" s="1"/>
      <c r="V618" s="1"/>
      <c r="W618" s="1"/>
      <c r="X618" s="1"/>
      <c r="Y618" s="1"/>
      <c r="Z618" s="1"/>
      <c r="AA618" s="1"/>
      <c r="AB618" s="1"/>
    </row>
    <row r="619" spans="1:28" ht="11.25" customHeight="1" x14ac:dyDescent="0.25">
      <c r="A619" s="825"/>
      <c r="B619" s="16"/>
      <c r="C619" s="16"/>
      <c r="D619" s="22"/>
      <c r="E619" s="262"/>
      <c r="F619" s="16"/>
      <c r="G619" s="16"/>
      <c r="H619" s="16"/>
      <c r="I619" s="16"/>
      <c r="J619" s="1"/>
      <c r="K619" s="1"/>
      <c r="L619" s="1"/>
      <c r="M619" s="262"/>
      <c r="N619" s="1"/>
      <c r="O619" s="1"/>
      <c r="P619" s="1"/>
      <c r="Q619" s="1"/>
      <c r="R619" s="1"/>
      <c r="S619" s="1"/>
      <c r="T619" s="1"/>
      <c r="U619" s="1"/>
      <c r="V619" s="1"/>
      <c r="W619" s="1"/>
      <c r="X619" s="1"/>
      <c r="Y619" s="1"/>
      <c r="Z619" s="1"/>
      <c r="AA619" s="1"/>
      <c r="AB619" s="1"/>
    </row>
    <row r="620" spans="1:28" ht="11.25" customHeight="1" x14ac:dyDescent="0.25">
      <c r="A620" s="825"/>
      <c r="B620" s="16"/>
      <c r="C620" s="16"/>
      <c r="D620" s="22"/>
      <c r="E620" s="262"/>
      <c r="F620" s="16"/>
      <c r="G620" s="16"/>
      <c r="H620" s="16"/>
      <c r="I620" s="16"/>
      <c r="J620" s="1"/>
      <c r="K620" s="1"/>
      <c r="L620" s="1"/>
      <c r="M620" s="262"/>
      <c r="N620" s="1"/>
      <c r="O620" s="1"/>
      <c r="P620" s="1"/>
      <c r="Q620" s="1"/>
      <c r="R620" s="1"/>
      <c r="S620" s="1"/>
      <c r="T620" s="1"/>
      <c r="U620" s="1"/>
      <c r="V620" s="1"/>
      <c r="W620" s="1"/>
      <c r="X620" s="1"/>
      <c r="Y620" s="1"/>
      <c r="Z620" s="1"/>
      <c r="AA620" s="1"/>
      <c r="AB620" s="1"/>
    </row>
    <row r="621" spans="1:28" ht="11.25" customHeight="1" x14ac:dyDescent="0.25">
      <c r="A621" s="825"/>
      <c r="B621" s="16"/>
      <c r="C621" s="16"/>
      <c r="D621" s="22"/>
      <c r="E621" s="262"/>
      <c r="F621" s="16"/>
      <c r="G621" s="16"/>
      <c r="H621" s="16"/>
      <c r="I621" s="16"/>
      <c r="J621" s="1"/>
      <c r="K621" s="1"/>
      <c r="L621" s="1"/>
      <c r="M621" s="262"/>
      <c r="N621" s="1"/>
      <c r="O621" s="1"/>
      <c r="P621" s="1"/>
      <c r="Q621" s="1"/>
      <c r="R621" s="1"/>
      <c r="S621" s="1"/>
      <c r="T621" s="1"/>
      <c r="U621" s="1"/>
      <c r="V621" s="1"/>
      <c r="W621" s="1"/>
      <c r="X621" s="1"/>
      <c r="Y621" s="1"/>
      <c r="Z621" s="1"/>
      <c r="AA621" s="1"/>
      <c r="AB621" s="1"/>
    </row>
    <row r="622" spans="1:28" ht="11.25" customHeight="1" x14ac:dyDescent="0.25">
      <c r="A622" s="825"/>
      <c r="B622" s="16"/>
      <c r="C622" s="16"/>
      <c r="D622" s="22"/>
      <c r="E622" s="262"/>
      <c r="F622" s="16"/>
      <c r="G622" s="16"/>
      <c r="H622" s="16"/>
      <c r="I622" s="16"/>
      <c r="J622" s="1"/>
      <c r="K622" s="1"/>
      <c r="L622" s="1"/>
      <c r="M622" s="262"/>
      <c r="N622" s="1"/>
      <c r="O622" s="1"/>
      <c r="P622" s="1"/>
      <c r="Q622" s="1"/>
      <c r="R622" s="1"/>
      <c r="S622" s="1"/>
      <c r="T622" s="1"/>
      <c r="U622" s="1"/>
      <c r="V622" s="1"/>
      <c r="W622" s="1"/>
      <c r="X622" s="1"/>
      <c r="Y622" s="1"/>
      <c r="Z622" s="1"/>
      <c r="AA622" s="1"/>
      <c r="AB622" s="1"/>
    </row>
    <row r="623" spans="1:28" ht="11.25" customHeight="1" x14ac:dyDescent="0.25">
      <c r="A623" s="825"/>
      <c r="B623" s="16"/>
      <c r="C623" s="16"/>
      <c r="D623" s="22"/>
      <c r="E623" s="262"/>
      <c r="F623" s="16"/>
      <c r="G623" s="16"/>
      <c r="H623" s="16"/>
      <c r="I623" s="16"/>
      <c r="J623" s="1"/>
      <c r="K623" s="1"/>
      <c r="L623" s="1"/>
      <c r="M623" s="262"/>
      <c r="N623" s="1"/>
      <c r="O623" s="1"/>
      <c r="P623" s="1"/>
      <c r="Q623" s="1"/>
      <c r="R623" s="1"/>
      <c r="S623" s="1"/>
      <c r="T623" s="1"/>
      <c r="U623" s="1"/>
      <c r="V623" s="1"/>
      <c r="W623" s="1"/>
      <c r="X623" s="1"/>
      <c r="Y623" s="1"/>
      <c r="Z623" s="1"/>
      <c r="AA623" s="1"/>
      <c r="AB623" s="1"/>
    </row>
    <row r="624" spans="1:28" ht="11.25" customHeight="1" x14ac:dyDescent="0.25">
      <c r="A624" s="825"/>
      <c r="B624" s="16"/>
      <c r="C624" s="16"/>
      <c r="D624" s="22"/>
      <c r="E624" s="262"/>
      <c r="F624" s="16"/>
      <c r="G624" s="16"/>
      <c r="H624" s="16"/>
      <c r="I624" s="16"/>
      <c r="J624" s="1"/>
      <c r="K624" s="1"/>
      <c r="L624" s="1"/>
      <c r="M624" s="262"/>
      <c r="N624" s="1"/>
      <c r="O624" s="1"/>
      <c r="P624" s="1"/>
      <c r="Q624" s="1"/>
      <c r="R624" s="1"/>
      <c r="S624" s="1"/>
      <c r="T624" s="1"/>
      <c r="U624" s="1"/>
      <c r="V624" s="1"/>
      <c r="W624" s="1"/>
      <c r="X624" s="1"/>
      <c r="Y624" s="1"/>
      <c r="Z624" s="1"/>
      <c r="AA624" s="1"/>
      <c r="AB624" s="1"/>
    </row>
    <row r="625" spans="1:28" ht="11.25" customHeight="1" x14ac:dyDescent="0.25">
      <c r="A625" s="825"/>
      <c r="B625" s="16"/>
      <c r="C625" s="16"/>
      <c r="D625" s="22"/>
      <c r="E625" s="262"/>
      <c r="F625" s="16"/>
      <c r="G625" s="16"/>
      <c r="H625" s="16"/>
      <c r="I625" s="16"/>
      <c r="J625" s="1"/>
      <c r="K625" s="1"/>
      <c r="L625" s="1"/>
      <c r="M625" s="262"/>
      <c r="N625" s="1"/>
      <c r="O625" s="1"/>
      <c r="P625" s="1"/>
      <c r="Q625" s="1"/>
      <c r="R625" s="1"/>
      <c r="S625" s="1"/>
      <c r="T625" s="1"/>
      <c r="U625" s="1"/>
      <c r="V625" s="1"/>
      <c r="W625" s="1"/>
      <c r="X625" s="1"/>
      <c r="Y625" s="1"/>
      <c r="Z625" s="1"/>
      <c r="AA625" s="1"/>
      <c r="AB625" s="1"/>
    </row>
    <row r="626" spans="1:28" ht="11.25" customHeight="1" x14ac:dyDescent="0.25">
      <c r="A626" s="825"/>
      <c r="B626" s="16"/>
      <c r="C626" s="16"/>
      <c r="D626" s="22"/>
      <c r="E626" s="262"/>
      <c r="F626" s="16"/>
      <c r="G626" s="16"/>
      <c r="H626" s="16"/>
      <c r="I626" s="16"/>
      <c r="J626" s="1"/>
      <c r="K626" s="1"/>
      <c r="L626" s="1"/>
      <c r="M626" s="262"/>
      <c r="N626" s="1"/>
      <c r="O626" s="1"/>
      <c r="P626" s="1"/>
      <c r="Q626" s="1"/>
      <c r="R626" s="1"/>
      <c r="S626" s="1"/>
      <c r="T626" s="1"/>
      <c r="U626" s="1"/>
      <c r="V626" s="1"/>
      <c r="W626" s="1"/>
      <c r="X626" s="1"/>
      <c r="Y626" s="1"/>
      <c r="Z626" s="1"/>
      <c r="AA626" s="1"/>
      <c r="AB626" s="1"/>
    </row>
    <row r="627" spans="1:28" ht="11.25" customHeight="1" x14ac:dyDescent="0.25">
      <c r="A627" s="825"/>
      <c r="B627" s="16"/>
      <c r="C627" s="16"/>
      <c r="D627" s="22"/>
      <c r="E627" s="262"/>
      <c r="F627" s="16"/>
      <c r="G627" s="16"/>
      <c r="H627" s="16"/>
      <c r="I627" s="16"/>
      <c r="J627" s="1"/>
      <c r="K627" s="1"/>
      <c r="L627" s="1"/>
      <c r="M627" s="262"/>
      <c r="N627" s="1"/>
      <c r="O627" s="1"/>
      <c r="P627" s="1"/>
      <c r="Q627" s="1"/>
      <c r="R627" s="1"/>
      <c r="S627" s="1"/>
      <c r="T627" s="1"/>
      <c r="U627" s="1"/>
      <c r="V627" s="1"/>
      <c r="W627" s="1"/>
      <c r="X627" s="1"/>
      <c r="Y627" s="1"/>
      <c r="Z627" s="1"/>
      <c r="AA627" s="1"/>
      <c r="AB627" s="1"/>
    </row>
    <row r="628" spans="1:28" ht="11.25" customHeight="1" x14ac:dyDescent="0.25">
      <c r="A628" s="825"/>
      <c r="B628" s="16"/>
      <c r="C628" s="16"/>
      <c r="D628" s="22"/>
      <c r="E628" s="262"/>
      <c r="F628" s="16"/>
      <c r="G628" s="16"/>
      <c r="H628" s="16"/>
      <c r="I628" s="16"/>
      <c r="J628" s="1"/>
      <c r="K628" s="1"/>
      <c r="L628" s="1"/>
      <c r="M628" s="262"/>
      <c r="N628" s="1"/>
      <c r="O628" s="1"/>
      <c r="P628" s="1"/>
      <c r="Q628" s="1"/>
      <c r="R628" s="1"/>
      <c r="S628" s="1"/>
      <c r="T628" s="1"/>
      <c r="U628" s="1"/>
      <c r="V628" s="1"/>
      <c r="W628" s="1"/>
      <c r="X628" s="1"/>
      <c r="Y628" s="1"/>
      <c r="Z628" s="1"/>
      <c r="AA628" s="1"/>
      <c r="AB628" s="1"/>
    </row>
    <row r="629" spans="1:28" ht="11.25" customHeight="1" x14ac:dyDescent="0.25">
      <c r="A629" s="825"/>
      <c r="B629" s="16"/>
      <c r="C629" s="16"/>
      <c r="D629" s="22"/>
      <c r="E629" s="262"/>
      <c r="F629" s="16"/>
      <c r="G629" s="16"/>
      <c r="H629" s="16"/>
      <c r="I629" s="16"/>
      <c r="J629" s="1"/>
      <c r="K629" s="1"/>
      <c r="L629" s="1"/>
      <c r="M629" s="262"/>
      <c r="N629" s="1"/>
      <c r="O629" s="1"/>
      <c r="P629" s="1"/>
      <c r="Q629" s="1"/>
      <c r="R629" s="1"/>
      <c r="S629" s="1"/>
      <c r="T629" s="1"/>
      <c r="U629" s="1"/>
      <c r="V629" s="1"/>
      <c r="W629" s="1"/>
      <c r="X629" s="1"/>
      <c r="Y629" s="1"/>
      <c r="Z629" s="1"/>
      <c r="AA629" s="1"/>
      <c r="AB629" s="1"/>
    </row>
    <row r="630" spans="1:28" ht="11.25" customHeight="1" x14ac:dyDescent="0.25">
      <c r="A630" s="825"/>
      <c r="B630" s="16"/>
      <c r="C630" s="16"/>
      <c r="D630" s="22"/>
      <c r="E630" s="262"/>
      <c r="F630" s="16"/>
      <c r="G630" s="16"/>
      <c r="H630" s="16"/>
      <c r="I630" s="16"/>
      <c r="J630" s="1"/>
      <c r="K630" s="1"/>
      <c r="L630" s="1"/>
      <c r="M630" s="262"/>
      <c r="N630" s="1"/>
      <c r="O630" s="1"/>
      <c r="P630" s="1"/>
      <c r="Q630" s="1"/>
      <c r="R630" s="1"/>
      <c r="S630" s="1"/>
      <c r="T630" s="1"/>
      <c r="U630" s="1"/>
      <c r="V630" s="1"/>
      <c r="W630" s="1"/>
      <c r="X630" s="1"/>
      <c r="Y630" s="1"/>
      <c r="Z630" s="1"/>
      <c r="AA630" s="1"/>
      <c r="AB630" s="1"/>
    </row>
    <row r="631" spans="1:28" ht="11.25" customHeight="1" x14ac:dyDescent="0.25">
      <c r="A631" s="825"/>
      <c r="B631" s="16"/>
      <c r="C631" s="16"/>
      <c r="D631" s="22"/>
      <c r="E631" s="262"/>
      <c r="F631" s="16"/>
      <c r="G631" s="16"/>
      <c r="H631" s="16"/>
      <c r="I631" s="16"/>
      <c r="J631" s="1"/>
      <c r="K631" s="1"/>
      <c r="L631" s="1"/>
      <c r="M631" s="262"/>
      <c r="N631" s="1"/>
      <c r="O631" s="1"/>
      <c r="P631" s="1"/>
      <c r="Q631" s="1"/>
      <c r="R631" s="1"/>
      <c r="S631" s="1"/>
      <c r="T631" s="1"/>
      <c r="U631" s="1"/>
      <c r="V631" s="1"/>
      <c r="W631" s="1"/>
      <c r="X631" s="1"/>
      <c r="Y631" s="1"/>
      <c r="Z631" s="1"/>
      <c r="AA631" s="1"/>
      <c r="AB631" s="1"/>
    </row>
    <row r="632" spans="1:28" ht="11.25" customHeight="1" x14ac:dyDescent="0.25">
      <c r="A632" s="825"/>
      <c r="B632" s="16"/>
      <c r="C632" s="16"/>
      <c r="D632" s="22"/>
      <c r="E632" s="262"/>
      <c r="F632" s="16"/>
      <c r="G632" s="16"/>
      <c r="H632" s="16"/>
      <c r="I632" s="16"/>
      <c r="J632" s="1"/>
      <c r="K632" s="1"/>
      <c r="L632" s="1"/>
      <c r="M632" s="262"/>
      <c r="N632" s="1"/>
      <c r="O632" s="1"/>
      <c r="P632" s="1"/>
      <c r="Q632" s="1"/>
      <c r="R632" s="1"/>
      <c r="S632" s="1"/>
      <c r="T632" s="1"/>
      <c r="U632" s="1"/>
      <c r="V632" s="1"/>
      <c r="W632" s="1"/>
      <c r="X632" s="1"/>
      <c r="Y632" s="1"/>
      <c r="Z632" s="1"/>
      <c r="AA632" s="1"/>
      <c r="AB632" s="1"/>
    </row>
    <row r="633" spans="1:28" ht="11.25" customHeight="1" x14ac:dyDescent="0.25">
      <c r="A633" s="825"/>
      <c r="B633" s="16"/>
      <c r="C633" s="16"/>
      <c r="D633" s="22"/>
      <c r="E633" s="262"/>
      <c r="F633" s="16"/>
      <c r="G633" s="16"/>
      <c r="H633" s="16"/>
      <c r="I633" s="16"/>
      <c r="J633" s="1"/>
      <c r="K633" s="1"/>
      <c r="L633" s="1"/>
      <c r="M633" s="262"/>
      <c r="N633" s="1"/>
      <c r="O633" s="1"/>
      <c r="P633" s="1"/>
      <c r="Q633" s="1"/>
      <c r="R633" s="1"/>
      <c r="S633" s="1"/>
      <c r="T633" s="1"/>
      <c r="U633" s="1"/>
      <c r="V633" s="1"/>
      <c r="W633" s="1"/>
      <c r="X633" s="1"/>
      <c r="Y633" s="1"/>
      <c r="Z633" s="1"/>
      <c r="AA633" s="1"/>
      <c r="AB633" s="1"/>
    </row>
    <row r="634" spans="1:28" ht="11.25" customHeight="1" x14ac:dyDescent="0.25">
      <c r="A634" s="825"/>
      <c r="B634" s="16"/>
      <c r="C634" s="16"/>
      <c r="D634" s="22"/>
      <c r="E634" s="262"/>
      <c r="F634" s="16"/>
      <c r="G634" s="16"/>
      <c r="H634" s="16"/>
      <c r="I634" s="16"/>
      <c r="J634" s="1"/>
      <c r="K634" s="1"/>
      <c r="L634" s="1"/>
      <c r="M634" s="262"/>
      <c r="N634" s="1"/>
      <c r="O634" s="1"/>
      <c r="P634" s="1"/>
      <c r="Q634" s="1"/>
      <c r="R634" s="1"/>
      <c r="S634" s="1"/>
      <c r="T634" s="1"/>
      <c r="U634" s="1"/>
      <c r="V634" s="1"/>
      <c r="W634" s="1"/>
      <c r="X634" s="1"/>
      <c r="Y634" s="1"/>
      <c r="Z634" s="1"/>
      <c r="AA634" s="1"/>
      <c r="AB634" s="1"/>
    </row>
    <row r="635" spans="1:28" ht="11.25" customHeight="1" x14ac:dyDescent="0.25">
      <c r="A635" s="825"/>
      <c r="B635" s="16"/>
      <c r="C635" s="16"/>
      <c r="D635" s="22"/>
      <c r="E635" s="262"/>
      <c r="F635" s="16"/>
      <c r="G635" s="16"/>
      <c r="H635" s="16"/>
      <c r="I635" s="16"/>
      <c r="J635" s="1"/>
      <c r="K635" s="1"/>
      <c r="L635" s="1"/>
      <c r="M635" s="262"/>
      <c r="N635" s="1"/>
      <c r="O635" s="1"/>
      <c r="P635" s="1"/>
      <c r="Q635" s="1"/>
      <c r="R635" s="1"/>
      <c r="S635" s="1"/>
      <c r="T635" s="1"/>
      <c r="U635" s="1"/>
      <c r="V635" s="1"/>
      <c r="W635" s="1"/>
      <c r="X635" s="1"/>
      <c r="Y635" s="1"/>
      <c r="Z635" s="1"/>
      <c r="AA635" s="1"/>
      <c r="AB635" s="1"/>
    </row>
    <row r="636" spans="1:28" ht="11.25" customHeight="1" x14ac:dyDescent="0.25">
      <c r="A636" s="825"/>
      <c r="B636" s="16"/>
      <c r="C636" s="16"/>
      <c r="D636" s="22"/>
      <c r="E636" s="262"/>
      <c r="F636" s="16"/>
      <c r="G636" s="16"/>
      <c r="H636" s="16"/>
      <c r="I636" s="16"/>
      <c r="J636" s="1"/>
      <c r="K636" s="1"/>
      <c r="L636" s="1"/>
      <c r="M636" s="262"/>
      <c r="N636" s="1"/>
      <c r="O636" s="1"/>
      <c r="P636" s="1"/>
      <c r="Q636" s="1"/>
      <c r="R636" s="1"/>
      <c r="S636" s="1"/>
      <c r="T636" s="1"/>
      <c r="U636" s="1"/>
      <c r="V636" s="1"/>
      <c r="W636" s="1"/>
      <c r="X636" s="1"/>
      <c r="Y636" s="1"/>
      <c r="Z636" s="1"/>
      <c r="AA636" s="1"/>
      <c r="AB636" s="1"/>
    </row>
    <row r="637" spans="1:28" ht="11.25" customHeight="1" x14ac:dyDescent="0.25">
      <c r="A637" s="825"/>
      <c r="B637" s="16"/>
      <c r="C637" s="16"/>
      <c r="D637" s="22"/>
      <c r="E637" s="262"/>
      <c r="F637" s="16"/>
      <c r="G637" s="16"/>
      <c r="H637" s="16"/>
      <c r="I637" s="16"/>
      <c r="J637" s="1"/>
      <c r="K637" s="1"/>
      <c r="L637" s="1"/>
      <c r="M637" s="262"/>
      <c r="N637" s="1"/>
      <c r="O637" s="1"/>
      <c r="P637" s="1"/>
      <c r="Q637" s="1"/>
      <c r="R637" s="1"/>
      <c r="S637" s="1"/>
      <c r="T637" s="1"/>
      <c r="U637" s="1"/>
      <c r="V637" s="1"/>
      <c r="W637" s="1"/>
      <c r="X637" s="1"/>
      <c r="Y637" s="1"/>
      <c r="Z637" s="1"/>
      <c r="AA637" s="1"/>
      <c r="AB637" s="1"/>
    </row>
    <row r="638" spans="1:28" ht="11.25" customHeight="1" x14ac:dyDescent="0.25">
      <c r="A638" s="825"/>
      <c r="B638" s="16"/>
      <c r="C638" s="16"/>
      <c r="D638" s="22"/>
      <c r="E638" s="262"/>
      <c r="F638" s="16"/>
      <c r="G638" s="16"/>
      <c r="H638" s="16"/>
      <c r="I638" s="16"/>
      <c r="J638" s="1"/>
      <c r="K638" s="1"/>
      <c r="L638" s="1"/>
      <c r="M638" s="262"/>
      <c r="N638" s="1"/>
      <c r="O638" s="1"/>
      <c r="P638" s="1"/>
      <c r="Q638" s="1"/>
      <c r="R638" s="1"/>
      <c r="S638" s="1"/>
      <c r="T638" s="1"/>
      <c r="U638" s="1"/>
      <c r="V638" s="1"/>
      <c r="W638" s="1"/>
      <c r="X638" s="1"/>
      <c r="Y638" s="1"/>
      <c r="Z638" s="1"/>
      <c r="AA638" s="1"/>
      <c r="AB638" s="1"/>
    </row>
    <row r="639" spans="1:28" ht="11.25" customHeight="1" x14ac:dyDescent="0.25">
      <c r="A639" s="825"/>
      <c r="B639" s="16"/>
      <c r="C639" s="16"/>
      <c r="D639" s="22"/>
      <c r="E639" s="262"/>
      <c r="F639" s="16"/>
      <c r="G639" s="16"/>
      <c r="H639" s="16"/>
      <c r="I639" s="16"/>
      <c r="J639" s="1"/>
      <c r="K639" s="1"/>
      <c r="L639" s="1"/>
      <c r="M639" s="262"/>
      <c r="N639" s="1"/>
      <c r="O639" s="1"/>
      <c r="P639" s="1"/>
      <c r="Q639" s="1"/>
      <c r="R639" s="1"/>
      <c r="S639" s="1"/>
      <c r="T639" s="1"/>
      <c r="U639" s="1"/>
      <c r="V639" s="1"/>
      <c r="W639" s="1"/>
      <c r="X639" s="1"/>
      <c r="Y639" s="1"/>
      <c r="Z639" s="1"/>
      <c r="AA639" s="1"/>
      <c r="AB639" s="1"/>
    </row>
    <row r="640" spans="1:28" ht="11.25" customHeight="1" x14ac:dyDescent="0.25">
      <c r="A640" s="825"/>
      <c r="B640" s="16"/>
      <c r="C640" s="16"/>
      <c r="D640" s="22"/>
      <c r="E640" s="262"/>
      <c r="F640" s="16"/>
      <c r="G640" s="16"/>
      <c r="H640" s="16"/>
      <c r="I640" s="16"/>
      <c r="J640" s="1"/>
      <c r="K640" s="1"/>
      <c r="L640" s="1"/>
      <c r="M640" s="262"/>
      <c r="N640" s="1"/>
      <c r="O640" s="1"/>
      <c r="P640" s="1"/>
      <c r="Q640" s="1"/>
      <c r="R640" s="1"/>
      <c r="S640" s="1"/>
      <c r="T640" s="1"/>
      <c r="U640" s="1"/>
      <c r="V640" s="1"/>
      <c r="W640" s="1"/>
      <c r="X640" s="1"/>
      <c r="Y640" s="1"/>
      <c r="Z640" s="1"/>
      <c r="AA640" s="1"/>
      <c r="AB640" s="1"/>
    </row>
    <row r="641" spans="1:28" ht="11.25" customHeight="1" x14ac:dyDescent="0.25">
      <c r="A641" s="825"/>
      <c r="B641" s="16"/>
      <c r="C641" s="16"/>
      <c r="D641" s="22"/>
      <c r="E641" s="262"/>
      <c r="F641" s="16"/>
      <c r="G641" s="16"/>
      <c r="H641" s="16"/>
      <c r="I641" s="16"/>
      <c r="J641" s="1"/>
      <c r="K641" s="1"/>
      <c r="L641" s="1"/>
      <c r="M641" s="262"/>
      <c r="N641" s="1"/>
      <c r="O641" s="1"/>
      <c r="P641" s="1"/>
      <c r="Q641" s="1"/>
      <c r="R641" s="1"/>
      <c r="S641" s="1"/>
      <c r="T641" s="1"/>
      <c r="U641" s="1"/>
      <c r="V641" s="1"/>
      <c r="W641" s="1"/>
      <c r="X641" s="1"/>
      <c r="Y641" s="1"/>
      <c r="Z641" s="1"/>
      <c r="AA641" s="1"/>
      <c r="AB641" s="1"/>
    </row>
    <row r="642" spans="1:28" ht="11.25" customHeight="1" x14ac:dyDescent="0.25">
      <c r="A642" s="825"/>
      <c r="B642" s="16"/>
      <c r="C642" s="16"/>
      <c r="D642" s="22"/>
      <c r="E642" s="262"/>
      <c r="F642" s="16"/>
      <c r="G642" s="16"/>
      <c r="H642" s="16"/>
      <c r="I642" s="16"/>
      <c r="J642" s="1"/>
      <c r="K642" s="1"/>
      <c r="L642" s="1"/>
      <c r="M642" s="262"/>
      <c r="N642" s="1"/>
      <c r="O642" s="1"/>
      <c r="P642" s="1"/>
      <c r="Q642" s="1"/>
      <c r="R642" s="1"/>
      <c r="S642" s="1"/>
      <c r="T642" s="1"/>
      <c r="U642" s="1"/>
      <c r="V642" s="1"/>
      <c r="W642" s="1"/>
      <c r="X642" s="1"/>
      <c r="Y642" s="1"/>
      <c r="Z642" s="1"/>
      <c r="AA642" s="1"/>
      <c r="AB642" s="1"/>
    </row>
    <row r="643" spans="1:28" ht="11.25" customHeight="1" x14ac:dyDescent="0.25">
      <c r="A643" s="825"/>
      <c r="B643" s="16"/>
      <c r="C643" s="16"/>
      <c r="D643" s="22"/>
      <c r="E643" s="262"/>
      <c r="F643" s="16"/>
      <c r="G643" s="16"/>
      <c r="H643" s="16"/>
      <c r="I643" s="16"/>
      <c r="J643" s="1"/>
      <c r="K643" s="1"/>
      <c r="L643" s="1"/>
      <c r="M643" s="262"/>
      <c r="N643" s="1"/>
      <c r="O643" s="1"/>
      <c r="P643" s="1"/>
      <c r="Q643" s="1"/>
      <c r="R643" s="1"/>
      <c r="S643" s="1"/>
      <c r="T643" s="1"/>
      <c r="U643" s="1"/>
      <c r="V643" s="1"/>
      <c r="W643" s="1"/>
      <c r="X643" s="1"/>
      <c r="Y643" s="1"/>
      <c r="Z643" s="1"/>
      <c r="AA643" s="1"/>
      <c r="AB643" s="1"/>
    </row>
    <row r="644" spans="1:28" ht="11.25" customHeight="1" x14ac:dyDescent="0.25">
      <c r="A644" s="825"/>
      <c r="B644" s="16"/>
      <c r="C644" s="16"/>
      <c r="D644" s="22"/>
      <c r="E644" s="262"/>
      <c r="F644" s="16"/>
      <c r="G644" s="16"/>
      <c r="H644" s="16"/>
      <c r="I644" s="16"/>
      <c r="J644" s="1"/>
      <c r="K644" s="1"/>
      <c r="L644" s="1"/>
      <c r="M644" s="262"/>
      <c r="N644" s="1"/>
      <c r="O644" s="1"/>
      <c r="P644" s="1"/>
      <c r="Q644" s="1"/>
      <c r="R644" s="1"/>
      <c r="S644" s="1"/>
      <c r="T644" s="1"/>
      <c r="U644" s="1"/>
      <c r="V644" s="1"/>
      <c r="W644" s="1"/>
      <c r="X644" s="1"/>
      <c r="Y644" s="1"/>
      <c r="Z644" s="1"/>
      <c r="AA644" s="1"/>
      <c r="AB644" s="1"/>
    </row>
    <row r="645" spans="1:28" ht="11.25" customHeight="1" x14ac:dyDescent="0.25">
      <c r="A645" s="825"/>
      <c r="B645" s="16"/>
      <c r="C645" s="16"/>
      <c r="D645" s="22"/>
      <c r="E645" s="262"/>
      <c r="F645" s="16"/>
      <c r="G645" s="16"/>
      <c r="H645" s="16"/>
      <c r="I645" s="16"/>
      <c r="J645" s="1"/>
      <c r="K645" s="1"/>
      <c r="L645" s="1"/>
      <c r="M645" s="262"/>
      <c r="N645" s="1"/>
      <c r="O645" s="1"/>
      <c r="P645" s="1"/>
      <c r="Q645" s="1"/>
      <c r="R645" s="1"/>
      <c r="S645" s="1"/>
      <c r="T645" s="1"/>
      <c r="U645" s="1"/>
      <c r="V645" s="1"/>
      <c r="W645" s="1"/>
      <c r="X645" s="1"/>
      <c r="Y645" s="1"/>
      <c r="Z645" s="1"/>
      <c r="AA645" s="1"/>
      <c r="AB645" s="1"/>
    </row>
    <row r="646" spans="1:28" ht="11.25" customHeight="1" x14ac:dyDescent="0.25">
      <c r="A646" s="825"/>
      <c r="B646" s="16"/>
      <c r="C646" s="16"/>
      <c r="D646" s="22"/>
      <c r="E646" s="262"/>
      <c r="F646" s="16"/>
      <c r="G646" s="16"/>
      <c r="H646" s="16"/>
      <c r="I646" s="16"/>
      <c r="J646" s="1"/>
      <c r="K646" s="1"/>
      <c r="L646" s="1"/>
      <c r="M646" s="262"/>
      <c r="N646" s="1"/>
      <c r="O646" s="1"/>
      <c r="P646" s="1"/>
      <c r="Q646" s="1"/>
      <c r="R646" s="1"/>
      <c r="S646" s="1"/>
      <c r="T646" s="1"/>
      <c r="U646" s="1"/>
      <c r="V646" s="1"/>
      <c r="W646" s="1"/>
      <c r="X646" s="1"/>
      <c r="Y646" s="1"/>
      <c r="Z646" s="1"/>
      <c r="AA646" s="1"/>
      <c r="AB646" s="1"/>
    </row>
    <row r="647" spans="1:28" ht="11.25" customHeight="1" x14ac:dyDescent="0.25">
      <c r="A647" s="825"/>
      <c r="B647" s="16"/>
      <c r="C647" s="16"/>
      <c r="D647" s="22"/>
      <c r="E647" s="262"/>
      <c r="F647" s="16"/>
      <c r="G647" s="16"/>
      <c r="H647" s="16"/>
      <c r="I647" s="16"/>
      <c r="J647" s="1"/>
      <c r="K647" s="1"/>
      <c r="L647" s="1"/>
      <c r="M647" s="262"/>
      <c r="N647" s="1"/>
      <c r="O647" s="1"/>
      <c r="P647" s="1"/>
      <c r="Q647" s="1"/>
      <c r="R647" s="1"/>
      <c r="S647" s="1"/>
      <c r="T647" s="1"/>
      <c r="U647" s="1"/>
      <c r="V647" s="1"/>
      <c r="W647" s="1"/>
      <c r="X647" s="1"/>
      <c r="Y647" s="1"/>
      <c r="Z647" s="1"/>
      <c r="AA647" s="1"/>
      <c r="AB647" s="1"/>
    </row>
    <row r="648" spans="1:28" ht="11.25" customHeight="1" x14ac:dyDescent="0.25">
      <c r="A648" s="825"/>
      <c r="B648" s="16"/>
      <c r="C648" s="16"/>
      <c r="D648" s="22"/>
      <c r="E648" s="262"/>
      <c r="F648" s="16"/>
      <c r="G648" s="16"/>
      <c r="H648" s="16"/>
      <c r="I648" s="16"/>
      <c r="J648" s="1"/>
      <c r="K648" s="1"/>
      <c r="L648" s="1"/>
      <c r="M648" s="262"/>
      <c r="N648" s="1"/>
      <c r="O648" s="1"/>
      <c r="P648" s="1"/>
      <c r="Q648" s="1"/>
      <c r="R648" s="1"/>
      <c r="S648" s="1"/>
      <c r="T648" s="1"/>
      <c r="U648" s="1"/>
      <c r="V648" s="1"/>
      <c r="W648" s="1"/>
      <c r="X648" s="1"/>
      <c r="Y648" s="1"/>
      <c r="Z648" s="1"/>
      <c r="AA648" s="1"/>
      <c r="AB648" s="1"/>
    </row>
    <row r="649" spans="1:28" ht="11.25" customHeight="1" x14ac:dyDescent="0.25">
      <c r="A649" s="825"/>
      <c r="B649" s="16"/>
      <c r="C649" s="16"/>
      <c r="D649" s="22"/>
      <c r="E649" s="262"/>
      <c r="F649" s="16"/>
      <c r="G649" s="16"/>
      <c r="H649" s="16"/>
      <c r="I649" s="16"/>
      <c r="J649" s="1"/>
      <c r="K649" s="1"/>
      <c r="L649" s="1"/>
      <c r="M649" s="262"/>
      <c r="N649" s="1"/>
      <c r="O649" s="1"/>
      <c r="P649" s="1"/>
      <c r="Q649" s="1"/>
      <c r="R649" s="1"/>
      <c r="S649" s="1"/>
      <c r="T649" s="1"/>
      <c r="U649" s="1"/>
      <c r="V649" s="1"/>
      <c r="W649" s="1"/>
      <c r="X649" s="1"/>
      <c r="Y649" s="1"/>
      <c r="Z649" s="1"/>
      <c r="AA649" s="1"/>
      <c r="AB649" s="1"/>
    </row>
    <row r="650" spans="1:28" ht="11.25" customHeight="1" x14ac:dyDescent="0.25">
      <c r="A650" s="825"/>
      <c r="B650" s="16"/>
      <c r="C650" s="16"/>
      <c r="D650" s="22"/>
      <c r="E650" s="262"/>
      <c r="F650" s="16"/>
      <c r="G650" s="16"/>
      <c r="H650" s="16"/>
      <c r="I650" s="16"/>
      <c r="J650" s="1"/>
      <c r="K650" s="1"/>
      <c r="L650" s="1"/>
      <c r="M650" s="262"/>
      <c r="N650" s="1"/>
      <c r="O650" s="1"/>
      <c r="P650" s="1"/>
      <c r="Q650" s="1"/>
      <c r="R650" s="1"/>
      <c r="S650" s="1"/>
      <c r="T650" s="1"/>
      <c r="U650" s="1"/>
      <c r="V650" s="1"/>
      <c r="W650" s="1"/>
      <c r="X650" s="1"/>
      <c r="Y650" s="1"/>
      <c r="Z650" s="1"/>
      <c r="AA650" s="1"/>
      <c r="AB650" s="1"/>
    </row>
    <row r="651" spans="1:28" ht="11.25" customHeight="1" x14ac:dyDescent="0.25">
      <c r="A651" s="825"/>
      <c r="B651" s="16"/>
      <c r="C651" s="16"/>
      <c r="D651" s="22"/>
      <c r="E651" s="262"/>
      <c r="F651" s="16"/>
      <c r="G651" s="16"/>
      <c r="H651" s="16"/>
      <c r="I651" s="16"/>
      <c r="J651" s="1"/>
      <c r="K651" s="1"/>
      <c r="L651" s="1"/>
      <c r="M651" s="262"/>
      <c r="N651" s="1"/>
      <c r="O651" s="1"/>
      <c r="P651" s="1"/>
      <c r="Q651" s="1"/>
      <c r="R651" s="1"/>
      <c r="S651" s="1"/>
      <c r="T651" s="1"/>
      <c r="U651" s="1"/>
      <c r="V651" s="1"/>
      <c r="W651" s="1"/>
      <c r="X651" s="1"/>
      <c r="Y651" s="1"/>
      <c r="Z651" s="1"/>
      <c r="AA651" s="1"/>
      <c r="AB651" s="1"/>
    </row>
    <row r="652" spans="1:28" ht="11.25" customHeight="1" x14ac:dyDescent="0.25">
      <c r="A652" s="825"/>
      <c r="B652" s="16"/>
      <c r="C652" s="16"/>
      <c r="D652" s="22"/>
      <c r="E652" s="262"/>
      <c r="F652" s="16"/>
      <c r="G652" s="16"/>
      <c r="H652" s="16"/>
      <c r="I652" s="16"/>
      <c r="J652" s="1"/>
      <c r="K652" s="1"/>
      <c r="L652" s="1"/>
      <c r="M652" s="262"/>
      <c r="N652" s="1"/>
      <c r="O652" s="1"/>
      <c r="P652" s="1"/>
      <c r="Q652" s="1"/>
      <c r="R652" s="1"/>
      <c r="S652" s="1"/>
      <c r="T652" s="1"/>
      <c r="U652" s="1"/>
      <c r="V652" s="1"/>
      <c r="W652" s="1"/>
      <c r="X652" s="1"/>
      <c r="Y652" s="1"/>
      <c r="Z652" s="1"/>
      <c r="AA652" s="1"/>
      <c r="AB652" s="1"/>
    </row>
    <row r="653" spans="1:28" ht="11.25" customHeight="1" x14ac:dyDescent="0.25">
      <c r="A653" s="825"/>
      <c r="B653" s="16"/>
      <c r="C653" s="16"/>
      <c r="D653" s="22"/>
      <c r="E653" s="262"/>
      <c r="F653" s="16"/>
      <c r="G653" s="16"/>
      <c r="H653" s="16"/>
      <c r="I653" s="16"/>
      <c r="J653" s="1"/>
      <c r="K653" s="1"/>
      <c r="L653" s="1"/>
      <c r="M653" s="262"/>
      <c r="N653" s="1"/>
      <c r="O653" s="1"/>
      <c r="P653" s="1"/>
      <c r="Q653" s="1"/>
      <c r="R653" s="1"/>
      <c r="S653" s="1"/>
      <c r="T653" s="1"/>
      <c r="U653" s="1"/>
      <c r="V653" s="1"/>
      <c r="W653" s="1"/>
      <c r="X653" s="1"/>
      <c r="Y653" s="1"/>
      <c r="Z653" s="1"/>
      <c r="AA653" s="1"/>
      <c r="AB653" s="1"/>
    </row>
    <row r="654" spans="1:28" ht="11.25" customHeight="1" x14ac:dyDescent="0.25">
      <c r="A654" s="825"/>
      <c r="B654" s="16"/>
      <c r="C654" s="16"/>
      <c r="D654" s="22"/>
      <c r="E654" s="262"/>
      <c r="F654" s="16"/>
      <c r="G654" s="16"/>
      <c r="H654" s="16"/>
      <c r="I654" s="16"/>
      <c r="J654" s="1"/>
      <c r="K654" s="1"/>
      <c r="L654" s="1"/>
      <c r="M654" s="262"/>
      <c r="N654" s="1"/>
      <c r="O654" s="1"/>
      <c r="P654" s="1"/>
      <c r="Q654" s="1"/>
      <c r="R654" s="1"/>
      <c r="S654" s="1"/>
      <c r="T654" s="1"/>
      <c r="U654" s="1"/>
      <c r="V654" s="1"/>
      <c r="W654" s="1"/>
      <c r="X654" s="1"/>
      <c r="Y654" s="1"/>
      <c r="Z654" s="1"/>
      <c r="AA654" s="1"/>
      <c r="AB654" s="1"/>
    </row>
    <row r="655" spans="1:28" ht="11.25" customHeight="1" x14ac:dyDescent="0.25">
      <c r="A655" s="825"/>
      <c r="B655" s="16"/>
      <c r="C655" s="16"/>
      <c r="D655" s="22"/>
      <c r="E655" s="262"/>
      <c r="F655" s="16"/>
      <c r="G655" s="16"/>
      <c r="H655" s="16"/>
      <c r="I655" s="16"/>
      <c r="J655" s="1"/>
      <c r="K655" s="1"/>
      <c r="L655" s="1"/>
      <c r="M655" s="262"/>
      <c r="N655" s="1"/>
      <c r="O655" s="1"/>
      <c r="P655" s="1"/>
      <c r="Q655" s="1"/>
      <c r="R655" s="1"/>
      <c r="S655" s="1"/>
      <c r="T655" s="1"/>
      <c r="U655" s="1"/>
      <c r="V655" s="1"/>
      <c r="W655" s="1"/>
      <c r="X655" s="1"/>
      <c r="Y655" s="1"/>
      <c r="Z655" s="1"/>
      <c r="AA655" s="1"/>
      <c r="AB655" s="1"/>
    </row>
    <row r="656" spans="1:28" ht="11.25" customHeight="1" x14ac:dyDescent="0.25">
      <c r="A656" s="825"/>
      <c r="B656" s="16"/>
      <c r="C656" s="16"/>
      <c r="D656" s="22"/>
      <c r="E656" s="262"/>
      <c r="F656" s="16"/>
      <c r="G656" s="16"/>
      <c r="H656" s="16"/>
      <c r="I656" s="16"/>
      <c r="J656" s="1"/>
      <c r="K656" s="1"/>
      <c r="L656" s="1"/>
      <c r="M656" s="262"/>
      <c r="N656" s="1"/>
      <c r="O656" s="1"/>
      <c r="P656" s="1"/>
      <c r="Q656" s="1"/>
      <c r="R656" s="1"/>
      <c r="S656" s="1"/>
      <c r="T656" s="1"/>
      <c r="U656" s="1"/>
      <c r="V656" s="1"/>
      <c r="W656" s="1"/>
      <c r="X656" s="1"/>
      <c r="Y656" s="1"/>
      <c r="Z656" s="1"/>
      <c r="AA656" s="1"/>
      <c r="AB656" s="1"/>
    </row>
    <row r="657" spans="1:28" ht="11.25" customHeight="1" x14ac:dyDescent="0.25">
      <c r="A657" s="825"/>
      <c r="B657" s="16"/>
      <c r="C657" s="16"/>
      <c r="D657" s="22"/>
      <c r="E657" s="262"/>
      <c r="F657" s="16"/>
      <c r="G657" s="16"/>
      <c r="H657" s="16"/>
      <c r="I657" s="16"/>
      <c r="J657" s="1"/>
      <c r="K657" s="1"/>
      <c r="L657" s="1"/>
      <c r="M657" s="262"/>
      <c r="N657" s="1"/>
      <c r="O657" s="1"/>
      <c r="P657" s="1"/>
      <c r="Q657" s="1"/>
      <c r="R657" s="1"/>
      <c r="S657" s="1"/>
      <c r="T657" s="1"/>
      <c r="U657" s="1"/>
      <c r="V657" s="1"/>
      <c r="W657" s="1"/>
      <c r="X657" s="1"/>
      <c r="Y657" s="1"/>
      <c r="Z657" s="1"/>
      <c r="AA657" s="1"/>
      <c r="AB657" s="1"/>
    </row>
    <row r="658" spans="1:28" ht="11.25" customHeight="1" x14ac:dyDescent="0.25">
      <c r="A658" s="825"/>
      <c r="B658" s="16"/>
      <c r="C658" s="16"/>
      <c r="D658" s="22"/>
      <c r="E658" s="262"/>
      <c r="F658" s="16"/>
      <c r="G658" s="16"/>
      <c r="H658" s="16"/>
      <c r="I658" s="16"/>
      <c r="J658" s="1"/>
      <c r="K658" s="1"/>
      <c r="L658" s="1"/>
      <c r="M658" s="262"/>
      <c r="N658" s="1"/>
      <c r="O658" s="1"/>
      <c r="P658" s="1"/>
      <c r="Q658" s="1"/>
      <c r="R658" s="1"/>
      <c r="S658" s="1"/>
      <c r="T658" s="1"/>
      <c r="U658" s="1"/>
      <c r="V658" s="1"/>
      <c r="W658" s="1"/>
      <c r="X658" s="1"/>
      <c r="Y658" s="1"/>
      <c r="Z658" s="1"/>
      <c r="AA658" s="1"/>
      <c r="AB658" s="1"/>
    </row>
    <row r="659" spans="1:28" ht="11.25" customHeight="1" x14ac:dyDescent="0.25">
      <c r="A659" s="825"/>
      <c r="B659" s="16"/>
      <c r="C659" s="16"/>
      <c r="D659" s="22"/>
      <c r="E659" s="262"/>
      <c r="F659" s="16"/>
      <c r="G659" s="16"/>
      <c r="H659" s="16"/>
      <c r="I659" s="16"/>
      <c r="J659" s="1"/>
      <c r="K659" s="1"/>
      <c r="L659" s="1"/>
      <c r="M659" s="262"/>
      <c r="N659" s="1"/>
      <c r="O659" s="1"/>
      <c r="P659" s="1"/>
      <c r="Q659" s="1"/>
      <c r="R659" s="1"/>
      <c r="S659" s="1"/>
      <c r="T659" s="1"/>
      <c r="U659" s="1"/>
      <c r="V659" s="1"/>
      <c r="W659" s="1"/>
      <c r="X659" s="1"/>
      <c r="Y659" s="1"/>
      <c r="Z659" s="1"/>
      <c r="AA659" s="1"/>
      <c r="AB659" s="1"/>
    </row>
    <row r="660" spans="1:28" ht="11.25" customHeight="1" x14ac:dyDescent="0.25">
      <c r="A660" s="825"/>
      <c r="B660" s="16"/>
      <c r="C660" s="16"/>
      <c r="D660" s="22"/>
      <c r="E660" s="262"/>
      <c r="F660" s="16"/>
      <c r="G660" s="16"/>
      <c r="H660" s="16"/>
      <c r="I660" s="16"/>
      <c r="J660" s="1"/>
      <c r="K660" s="1"/>
      <c r="L660" s="1"/>
      <c r="M660" s="262"/>
      <c r="N660" s="1"/>
      <c r="O660" s="1"/>
      <c r="P660" s="1"/>
      <c r="Q660" s="1"/>
      <c r="R660" s="1"/>
      <c r="S660" s="1"/>
      <c r="T660" s="1"/>
      <c r="U660" s="1"/>
      <c r="V660" s="1"/>
      <c r="W660" s="1"/>
      <c r="X660" s="1"/>
      <c r="Y660" s="1"/>
      <c r="Z660" s="1"/>
      <c r="AA660" s="1"/>
      <c r="AB660" s="1"/>
    </row>
    <row r="661" spans="1:28" ht="11.25" customHeight="1" x14ac:dyDescent="0.25">
      <c r="A661" s="825"/>
      <c r="B661" s="16"/>
      <c r="C661" s="16"/>
      <c r="D661" s="22"/>
      <c r="E661" s="262"/>
      <c r="F661" s="16"/>
      <c r="G661" s="16"/>
      <c r="H661" s="16"/>
      <c r="I661" s="16"/>
      <c r="J661" s="1"/>
      <c r="K661" s="1"/>
      <c r="L661" s="1"/>
      <c r="M661" s="262"/>
      <c r="N661" s="1"/>
      <c r="O661" s="1"/>
      <c r="P661" s="1"/>
      <c r="Q661" s="1"/>
      <c r="R661" s="1"/>
      <c r="S661" s="1"/>
      <c r="T661" s="1"/>
      <c r="U661" s="1"/>
      <c r="V661" s="1"/>
      <c r="W661" s="1"/>
      <c r="X661" s="1"/>
      <c r="Y661" s="1"/>
      <c r="Z661" s="1"/>
      <c r="AA661" s="1"/>
      <c r="AB661" s="1"/>
    </row>
    <row r="662" spans="1:28" ht="11.25" customHeight="1" x14ac:dyDescent="0.25">
      <c r="A662" s="825"/>
      <c r="B662" s="16"/>
      <c r="C662" s="16"/>
      <c r="D662" s="22"/>
      <c r="E662" s="262"/>
      <c r="F662" s="16"/>
      <c r="G662" s="16"/>
      <c r="H662" s="16"/>
      <c r="I662" s="16"/>
      <c r="J662" s="1"/>
      <c r="K662" s="1"/>
      <c r="L662" s="1"/>
      <c r="M662" s="262"/>
      <c r="N662" s="1"/>
      <c r="O662" s="1"/>
      <c r="P662" s="1"/>
      <c r="Q662" s="1"/>
      <c r="R662" s="1"/>
      <c r="S662" s="1"/>
      <c r="T662" s="1"/>
      <c r="U662" s="1"/>
      <c r="V662" s="1"/>
      <c r="W662" s="1"/>
      <c r="X662" s="1"/>
      <c r="Y662" s="1"/>
      <c r="Z662" s="1"/>
      <c r="AA662" s="1"/>
      <c r="AB662" s="1"/>
    </row>
    <row r="663" spans="1:28" ht="11.25" customHeight="1" x14ac:dyDescent="0.25">
      <c r="A663" s="825"/>
      <c r="B663" s="16"/>
      <c r="C663" s="16"/>
      <c r="D663" s="22"/>
      <c r="E663" s="262"/>
      <c r="F663" s="16"/>
      <c r="G663" s="16"/>
      <c r="H663" s="16"/>
      <c r="I663" s="16"/>
      <c r="J663" s="1"/>
      <c r="K663" s="1"/>
      <c r="L663" s="1"/>
      <c r="M663" s="262"/>
      <c r="N663" s="1"/>
      <c r="O663" s="1"/>
      <c r="P663" s="1"/>
      <c r="Q663" s="1"/>
      <c r="R663" s="1"/>
      <c r="S663" s="1"/>
      <c r="T663" s="1"/>
      <c r="U663" s="1"/>
      <c r="V663" s="1"/>
      <c r="W663" s="1"/>
      <c r="X663" s="1"/>
      <c r="Y663" s="1"/>
      <c r="Z663" s="1"/>
      <c r="AA663" s="1"/>
      <c r="AB663" s="1"/>
    </row>
    <row r="664" spans="1:28" ht="11.25" customHeight="1" x14ac:dyDescent="0.25">
      <c r="A664" s="825"/>
      <c r="B664" s="16"/>
      <c r="C664" s="16"/>
      <c r="D664" s="22"/>
      <c r="E664" s="262"/>
      <c r="F664" s="16"/>
      <c r="G664" s="16"/>
      <c r="H664" s="16"/>
      <c r="I664" s="16"/>
      <c r="J664" s="1"/>
      <c r="K664" s="1"/>
      <c r="L664" s="1"/>
      <c r="M664" s="262"/>
      <c r="N664" s="1"/>
      <c r="O664" s="1"/>
      <c r="P664" s="1"/>
      <c r="Q664" s="1"/>
      <c r="R664" s="1"/>
      <c r="S664" s="1"/>
      <c r="T664" s="1"/>
      <c r="U664" s="1"/>
      <c r="V664" s="1"/>
      <c r="W664" s="1"/>
      <c r="X664" s="1"/>
      <c r="Y664" s="1"/>
      <c r="Z664" s="1"/>
      <c r="AA664" s="1"/>
      <c r="AB664" s="1"/>
    </row>
    <row r="665" spans="1:28" ht="11.25" customHeight="1" x14ac:dyDescent="0.25">
      <c r="A665" s="825"/>
      <c r="B665" s="16"/>
      <c r="C665" s="16"/>
      <c r="D665" s="22"/>
      <c r="E665" s="262"/>
      <c r="F665" s="16"/>
      <c r="G665" s="16"/>
      <c r="H665" s="16"/>
      <c r="I665" s="16"/>
      <c r="J665" s="1"/>
      <c r="K665" s="1"/>
      <c r="L665" s="1"/>
      <c r="M665" s="262"/>
      <c r="N665" s="1"/>
      <c r="O665" s="1"/>
      <c r="P665" s="1"/>
      <c r="Q665" s="1"/>
      <c r="R665" s="1"/>
      <c r="S665" s="1"/>
      <c r="T665" s="1"/>
      <c r="U665" s="1"/>
      <c r="V665" s="1"/>
      <c r="W665" s="1"/>
      <c r="X665" s="1"/>
      <c r="Y665" s="1"/>
      <c r="Z665" s="1"/>
      <c r="AA665" s="1"/>
      <c r="AB665" s="1"/>
    </row>
    <row r="666" spans="1:28" ht="11.25" customHeight="1" x14ac:dyDescent="0.25">
      <c r="A666" s="825"/>
      <c r="B666" s="16"/>
      <c r="C666" s="16"/>
      <c r="D666" s="22"/>
      <c r="E666" s="262"/>
      <c r="F666" s="16"/>
      <c r="G666" s="16"/>
      <c r="H666" s="16"/>
      <c r="I666" s="16"/>
      <c r="J666" s="1"/>
      <c r="K666" s="1"/>
      <c r="L666" s="1"/>
      <c r="M666" s="262"/>
      <c r="N666" s="1"/>
      <c r="O666" s="1"/>
      <c r="P666" s="1"/>
      <c r="Q666" s="1"/>
      <c r="R666" s="1"/>
      <c r="S666" s="1"/>
      <c r="T666" s="1"/>
      <c r="U666" s="1"/>
      <c r="V666" s="1"/>
      <c r="W666" s="1"/>
      <c r="X666" s="1"/>
      <c r="Y666" s="1"/>
      <c r="Z666" s="1"/>
      <c r="AA666" s="1"/>
      <c r="AB666" s="1"/>
    </row>
    <row r="667" spans="1:28" ht="11.25" customHeight="1" x14ac:dyDescent="0.25">
      <c r="A667" s="825"/>
      <c r="B667" s="16"/>
      <c r="C667" s="16"/>
      <c r="D667" s="22"/>
      <c r="E667" s="262"/>
      <c r="F667" s="16"/>
      <c r="G667" s="16"/>
      <c r="H667" s="16"/>
      <c r="I667" s="16"/>
      <c r="J667" s="1"/>
      <c r="K667" s="1"/>
      <c r="L667" s="1"/>
      <c r="M667" s="262"/>
      <c r="N667" s="1"/>
      <c r="O667" s="1"/>
      <c r="P667" s="1"/>
      <c r="Q667" s="1"/>
      <c r="R667" s="1"/>
      <c r="S667" s="1"/>
      <c r="T667" s="1"/>
      <c r="U667" s="1"/>
      <c r="V667" s="1"/>
      <c r="W667" s="1"/>
      <c r="X667" s="1"/>
      <c r="Y667" s="1"/>
      <c r="Z667" s="1"/>
      <c r="AA667" s="1"/>
      <c r="AB667" s="1"/>
    </row>
    <row r="668" spans="1:28" ht="11.25" customHeight="1" x14ac:dyDescent="0.25">
      <c r="A668" s="825"/>
      <c r="B668" s="16"/>
      <c r="C668" s="16"/>
      <c r="D668" s="22"/>
      <c r="E668" s="262"/>
      <c r="F668" s="16"/>
      <c r="G668" s="16"/>
      <c r="H668" s="16"/>
      <c r="I668" s="16"/>
      <c r="J668" s="1"/>
      <c r="K668" s="1"/>
      <c r="L668" s="1"/>
      <c r="M668" s="262"/>
      <c r="N668" s="1"/>
      <c r="O668" s="1"/>
      <c r="P668" s="1"/>
      <c r="Q668" s="1"/>
      <c r="R668" s="1"/>
      <c r="S668" s="1"/>
      <c r="T668" s="1"/>
      <c r="U668" s="1"/>
      <c r="V668" s="1"/>
      <c r="W668" s="1"/>
      <c r="X668" s="1"/>
      <c r="Y668" s="1"/>
      <c r="Z668" s="1"/>
      <c r="AA668" s="1"/>
      <c r="AB668" s="1"/>
    </row>
    <row r="669" spans="1:28" ht="11.25" customHeight="1" x14ac:dyDescent="0.25">
      <c r="A669" s="825"/>
      <c r="B669" s="16"/>
      <c r="C669" s="16"/>
      <c r="D669" s="22"/>
      <c r="E669" s="262"/>
      <c r="F669" s="16"/>
      <c r="G669" s="16"/>
      <c r="H669" s="16"/>
      <c r="I669" s="16"/>
      <c r="J669" s="1"/>
      <c r="K669" s="1"/>
      <c r="L669" s="1"/>
      <c r="M669" s="262"/>
      <c r="N669" s="1"/>
      <c r="O669" s="1"/>
      <c r="P669" s="1"/>
      <c r="Q669" s="1"/>
      <c r="R669" s="1"/>
      <c r="S669" s="1"/>
      <c r="T669" s="1"/>
      <c r="U669" s="1"/>
      <c r="V669" s="1"/>
      <c r="W669" s="1"/>
      <c r="X669" s="1"/>
      <c r="Y669" s="1"/>
      <c r="Z669" s="1"/>
      <c r="AA669" s="1"/>
      <c r="AB669" s="1"/>
    </row>
    <row r="670" spans="1:28" ht="11.25" customHeight="1" x14ac:dyDescent="0.25">
      <c r="A670" s="825"/>
      <c r="B670" s="16"/>
      <c r="C670" s="16"/>
      <c r="D670" s="22"/>
      <c r="E670" s="262"/>
      <c r="F670" s="16"/>
      <c r="G670" s="16"/>
      <c r="H670" s="16"/>
      <c r="I670" s="16"/>
      <c r="J670" s="1"/>
      <c r="K670" s="1"/>
      <c r="L670" s="1"/>
      <c r="M670" s="262"/>
      <c r="N670" s="1"/>
      <c r="O670" s="1"/>
      <c r="P670" s="1"/>
      <c r="Q670" s="1"/>
      <c r="R670" s="1"/>
      <c r="S670" s="1"/>
      <c r="T670" s="1"/>
      <c r="U670" s="1"/>
      <c r="V670" s="1"/>
      <c r="W670" s="1"/>
      <c r="X670" s="1"/>
      <c r="Y670" s="1"/>
      <c r="Z670" s="1"/>
      <c r="AA670" s="1"/>
      <c r="AB670" s="1"/>
    </row>
    <row r="671" spans="1:28" ht="11.25" customHeight="1" x14ac:dyDescent="0.25">
      <c r="A671" s="825"/>
      <c r="B671" s="16"/>
      <c r="C671" s="16"/>
      <c r="D671" s="22"/>
      <c r="E671" s="262"/>
      <c r="F671" s="16"/>
      <c r="G671" s="16"/>
      <c r="H671" s="16"/>
      <c r="I671" s="16"/>
      <c r="J671" s="1"/>
      <c r="K671" s="1"/>
      <c r="L671" s="1"/>
      <c r="M671" s="262"/>
      <c r="N671" s="1"/>
      <c r="O671" s="1"/>
      <c r="P671" s="1"/>
      <c r="Q671" s="1"/>
      <c r="R671" s="1"/>
      <c r="S671" s="1"/>
      <c r="T671" s="1"/>
      <c r="U671" s="1"/>
      <c r="V671" s="1"/>
      <c r="W671" s="1"/>
      <c r="X671" s="1"/>
      <c r="Y671" s="1"/>
      <c r="Z671" s="1"/>
      <c r="AA671" s="1"/>
      <c r="AB671" s="1"/>
    </row>
    <row r="672" spans="1:28" ht="11.25" customHeight="1" x14ac:dyDescent="0.25">
      <c r="A672" s="825"/>
      <c r="B672" s="16"/>
      <c r="C672" s="16"/>
      <c r="D672" s="22"/>
      <c r="E672" s="262"/>
      <c r="F672" s="16"/>
      <c r="G672" s="16"/>
      <c r="H672" s="16"/>
      <c r="I672" s="16"/>
      <c r="J672" s="1"/>
      <c r="K672" s="1"/>
      <c r="L672" s="1"/>
      <c r="M672" s="262"/>
      <c r="N672" s="1"/>
      <c r="O672" s="1"/>
      <c r="P672" s="1"/>
      <c r="Q672" s="1"/>
      <c r="R672" s="1"/>
      <c r="S672" s="1"/>
      <c r="T672" s="1"/>
      <c r="U672" s="1"/>
      <c r="V672" s="1"/>
      <c r="W672" s="1"/>
      <c r="X672" s="1"/>
      <c r="Y672" s="1"/>
      <c r="Z672" s="1"/>
      <c r="AA672" s="1"/>
      <c r="AB672" s="1"/>
    </row>
    <row r="673" spans="1:28" ht="11.25" customHeight="1" x14ac:dyDescent="0.25">
      <c r="A673" s="825"/>
      <c r="B673" s="16"/>
      <c r="C673" s="16"/>
      <c r="D673" s="22"/>
      <c r="E673" s="262"/>
      <c r="F673" s="16"/>
      <c r="G673" s="16"/>
      <c r="H673" s="16"/>
      <c r="I673" s="16"/>
      <c r="J673" s="1"/>
      <c r="K673" s="1"/>
      <c r="L673" s="1"/>
      <c r="M673" s="262"/>
      <c r="N673" s="1"/>
      <c r="O673" s="1"/>
      <c r="P673" s="1"/>
      <c r="Q673" s="1"/>
      <c r="R673" s="1"/>
      <c r="S673" s="1"/>
      <c r="T673" s="1"/>
      <c r="U673" s="1"/>
      <c r="V673" s="1"/>
      <c r="W673" s="1"/>
      <c r="X673" s="1"/>
      <c r="Y673" s="1"/>
      <c r="Z673" s="1"/>
      <c r="AA673" s="1"/>
      <c r="AB673" s="1"/>
    </row>
    <row r="674" spans="1:28" ht="11.25" customHeight="1" x14ac:dyDescent="0.25">
      <c r="A674" s="825"/>
      <c r="B674" s="16"/>
      <c r="C674" s="16"/>
      <c r="D674" s="22"/>
      <c r="E674" s="262"/>
      <c r="F674" s="16"/>
      <c r="G674" s="16"/>
      <c r="H674" s="16"/>
      <c r="I674" s="16"/>
      <c r="J674" s="1"/>
      <c r="K674" s="1"/>
      <c r="L674" s="1"/>
      <c r="M674" s="262"/>
      <c r="N674" s="1"/>
      <c r="O674" s="1"/>
      <c r="P674" s="1"/>
      <c r="Q674" s="1"/>
      <c r="R674" s="1"/>
      <c r="S674" s="1"/>
      <c r="T674" s="1"/>
      <c r="U674" s="1"/>
      <c r="V674" s="1"/>
      <c r="W674" s="1"/>
      <c r="X674" s="1"/>
      <c r="Y674" s="1"/>
      <c r="Z674" s="1"/>
      <c r="AA674" s="1"/>
      <c r="AB674" s="1"/>
    </row>
    <row r="675" spans="1:28" ht="11.25" customHeight="1" x14ac:dyDescent="0.25">
      <c r="A675" s="825"/>
      <c r="B675" s="16"/>
      <c r="C675" s="16"/>
      <c r="D675" s="22"/>
      <c r="E675" s="262"/>
      <c r="F675" s="16"/>
      <c r="G675" s="16"/>
      <c r="H675" s="16"/>
      <c r="I675" s="16"/>
      <c r="J675" s="1"/>
      <c r="K675" s="1"/>
      <c r="L675" s="1"/>
      <c r="M675" s="262"/>
      <c r="N675" s="1"/>
      <c r="O675" s="1"/>
      <c r="P675" s="1"/>
      <c r="Q675" s="1"/>
      <c r="R675" s="1"/>
      <c r="S675" s="1"/>
      <c r="T675" s="1"/>
      <c r="U675" s="1"/>
      <c r="V675" s="1"/>
      <c r="W675" s="1"/>
      <c r="X675" s="1"/>
      <c r="Y675" s="1"/>
      <c r="Z675" s="1"/>
      <c r="AA675" s="1"/>
      <c r="AB675" s="1"/>
    </row>
    <row r="676" spans="1:28" ht="11.25" customHeight="1" x14ac:dyDescent="0.25">
      <c r="A676" s="825"/>
      <c r="B676" s="16"/>
      <c r="C676" s="16"/>
      <c r="D676" s="22"/>
      <c r="E676" s="262"/>
      <c r="F676" s="16"/>
      <c r="G676" s="16"/>
      <c r="H676" s="16"/>
      <c r="I676" s="16"/>
      <c r="J676" s="1"/>
      <c r="K676" s="1"/>
      <c r="L676" s="1"/>
      <c r="M676" s="262"/>
      <c r="N676" s="1"/>
      <c r="O676" s="1"/>
      <c r="P676" s="1"/>
      <c r="Q676" s="1"/>
      <c r="R676" s="1"/>
      <c r="S676" s="1"/>
      <c r="T676" s="1"/>
      <c r="U676" s="1"/>
      <c r="V676" s="1"/>
      <c r="W676" s="1"/>
      <c r="X676" s="1"/>
      <c r="Y676" s="1"/>
      <c r="Z676" s="1"/>
      <c r="AA676" s="1"/>
      <c r="AB676" s="1"/>
    </row>
    <row r="677" spans="1:28" ht="11.25" customHeight="1" x14ac:dyDescent="0.25">
      <c r="A677" s="825"/>
      <c r="B677" s="16"/>
      <c r="C677" s="16"/>
      <c r="D677" s="22"/>
      <c r="E677" s="262"/>
      <c r="F677" s="16"/>
      <c r="G677" s="16"/>
      <c r="H677" s="16"/>
      <c r="I677" s="16"/>
      <c r="J677" s="1"/>
      <c r="K677" s="1"/>
      <c r="L677" s="1"/>
      <c r="M677" s="262"/>
      <c r="N677" s="1"/>
      <c r="O677" s="1"/>
      <c r="P677" s="1"/>
      <c r="Q677" s="1"/>
      <c r="R677" s="1"/>
      <c r="S677" s="1"/>
      <c r="T677" s="1"/>
      <c r="U677" s="1"/>
      <c r="V677" s="1"/>
      <c r="W677" s="1"/>
      <c r="X677" s="1"/>
      <c r="Y677" s="1"/>
      <c r="Z677" s="1"/>
      <c r="AA677" s="1"/>
      <c r="AB677" s="1"/>
    </row>
    <row r="678" spans="1:28" ht="11.25" customHeight="1" x14ac:dyDescent="0.25">
      <c r="A678" s="825"/>
      <c r="B678" s="16"/>
      <c r="C678" s="16"/>
      <c r="D678" s="22"/>
      <c r="E678" s="262"/>
      <c r="F678" s="16"/>
      <c r="G678" s="16"/>
      <c r="H678" s="16"/>
      <c r="I678" s="16"/>
      <c r="J678" s="1"/>
      <c r="K678" s="1"/>
      <c r="L678" s="1"/>
      <c r="M678" s="262"/>
      <c r="N678" s="1"/>
      <c r="O678" s="1"/>
      <c r="P678" s="1"/>
      <c r="Q678" s="1"/>
      <c r="R678" s="1"/>
      <c r="S678" s="1"/>
      <c r="T678" s="1"/>
      <c r="U678" s="1"/>
      <c r="V678" s="1"/>
      <c r="W678" s="1"/>
      <c r="X678" s="1"/>
      <c r="Y678" s="1"/>
      <c r="Z678" s="1"/>
      <c r="AA678" s="1"/>
      <c r="AB678" s="1"/>
    </row>
    <row r="679" spans="1:28" ht="11.25" customHeight="1" x14ac:dyDescent="0.25">
      <c r="A679" s="825"/>
      <c r="B679" s="16"/>
      <c r="C679" s="16"/>
      <c r="D679" s="22"/>
      <c r="E679" s="262"/>
      <c r="F679" s="16"/>
      <c r="G679" s="16"/>
      <c r="H679" s="16"/>
      <c r="I679" s="16"/>
      <c r="J679" s="1"/>
      <c r="K679" s="1"/>
      <c r="L679" s="1"/>
      <c r="M679" s="262"/>
      <c r="N679" s="1"/>
      <c r="O679" s="1"/>
      <c r="P679" s="1"/>
      <c r="Q679" s="1"/>
      <c r="R679" s="1"/>
      <c r="S679" s="1"/>
      <c r="T679" s="1"/>
      <c r="U679" s="1"/>
      <c r="V679" s="1"/>
      <c r="W679" s="1"/>
      <c r="X679" s="1"/>
      <c r="Y679" s="1"/>
      <c r="Z679" s="1"/>
      <c r="AA679" s="1"/>
      <c r="AB679" s="1"/>
    </row>
    <row r="680" spans="1:28" ht="11.25" customHeight="1" x14ac:dyDescent="0.25">
      <c r="A680" s="825"/>
      <c r="B680" s="16"/>
      <c r="C680" s="16"/>
      <c r="D680" s="22"/>
      <c r="E680" s="262"/>
      <c r="F680" s="16"/>
      <c r="G680" s="16"/>
      <c r="H680" s="16"/>
      <c r="I680" s="16"/>
      <c r="J680" s="1"/>
      <c r="K680" s="1"/>
      <c r="L680" s="1"/>
      <c r="M680" s="262"/>
      <c r="N680" s="1"/>
      <c r="O680" s="1"/>
      <c r="P680" s="1"/>
      <c r="Q680" s="1"/>
      <c r="R680" s="1"/>
      <c r="S680" s="1"/>
      <c r="T680" s="1"/>
      <c r="U680" s="1"/>
      <c r="V680" s="1"/>
      <c r="W680" s="1"/>
      <c r="X680" s="1"/>
      <c r="Y680" s="1"/>
      <c r="Z680" s="1"/>
      <c r="AA680" s="1"/>
      <c r="AB680" s="1"/>
    </row>
    <row r="681" spans="1:28" ht="11.25" customHeight="1" x14ac:dyDescent="0.25">
      <c r="A681" s="825"/>
      <c r="B681" s="16"/>
      <c r="C681" s="16"/>
      <c r="D681" s="22"/>
      <c r="E681" s="262"/>
      <c r="F681" s="16"/>
      <c r="G681" s="16"/>
      <c r="H681" s="16"/>
      <c r="I681" s="16"/>
      <c r="J681" s="1"/>
      <c r="K681" s="1"/>
      <c r="L681" s="1"/>
      <c r="M681" s="262"/>
      <c r="N681" s="1"/>
      <c r="O681" s="1"/>
      <c r="P681" s="1"/>
      <c r="Q681" s="1"/>
      <c r="R681" s="1"/>
      <c r="S681" s="1"/>
      <c r="T681" s="1"/>
      <c r="U681" s="1"/>
      <c r="V681" s="1"/>
      <c r="W681" s="1"/>
      <c r="X681" s="1"/>
      <c r="Y681" s="1"/>
      <c r="Z681" s="1"/>
      <c r="AA681" s="1"/>
      <c r="AB681" s="1"/>
    </row>
    <row r="682" spans="1:28" ht="11.25" customHeight="1" x14ac:dyDescent="0.25">
      <c r="A682" s="825"/>
      <c r="B682" s="16"/>
      <c r="C682" s="16"/>
      <c r="D682" s="22"/>
      <c r="E682" s="262"/>
      <c r="F682" s="16"/>
      <c r="G682" s="16"/>
      <c r="H682" s="16"/>
      <c r="I682" s="16"/>
      <c r="J682" s="1"/>
      <c r="K682" s="1"/>
      <c r="L682" s="1"/>
      <c r="M682" s="262"/>
      <c r="N682" s="1"/>
      <c r="O682" s="1"/>
      <c r="P682" s="1"/>
      <c r="Q682" s="1"/>
      <c r="R682" s="1"/>
      <c r="S682" s="1"/>
      <c r="T682" s="1"/>
      <c r="U682" s="1"/>
      <c r="V682" s="1"/>
      <c r="W682" s="1"/>
      <c r="X682" s="1"/>
      <c r="Y682" s="1"/>
      <c r="Z682" s="1"/>
      <c r="AA682" s="1"/>
      <c r="AB682" s="1"/>
    </row>
    <row r="683" spans="1:28" ht="11.25" customHeight="1" x14ac:dyDescent="0.25">
      <c r="A683" s="825"/>
      <c r="B683" s="16"/>
      <c r="C683" s="16"/>
      <c r="D683" s="22"/>
      <c r="E683" s="262"/>
      <c r="F683" s="16"/>
      <c r="G683" s="16"/>
      <c r="H683" s="16"/>
      <c r="I683" s="16"/>
      <c r="J683" s="1"/>
      <c r="K683" s="1"/>
      <c r="L683" s="1"/>
      <c r="M683" s="262"/>
      <c r="N683" s="1"/>
      <c r="O683" s="1"/>
      <c r="P683" s="1"/>
      <c r="Q683" s="1"/>
      <c r="R683" s="1"/>
      <c r="S683" s="1"/>
      <c r="T683" s="1"/>
      <c r="U683" s="1"/>
      <c r="V683" s="1"/>
      <c r="W683" s="1"/>
      <c r="X683" s="1"/>
      <c r="Y683" s="1"/>
      <c r="Z683" s="1"/>
      <c r="AA683" s="1"/>
      <c r="AB683" s="1"/>
    </row>
    <row r="684" spans="1:28" ht="11.25" customHeight="1" x14ac:dyDescent="0.25">
      <c r="A684" s="825"/>
      <c r="B684" s="16"/>
      <c r="C684" s="16"/>
      <c r="D684" s="22"/>
      <c r="E684" s="262"/>
      <c r="F684" s="16"/>
      <c r="G684" s="16"/>
      <c r="H684" s="16"/>
      <c r="I684" s="16"/>
      <c r="J684" s="1"/>
      <c r="K684" s="1"/>
      <c r="L684" s="1"/>
      <c r="M684" s="262"/>
      <c r="N684" s="1"/>
      <c r="O684" s="1"/>
      <c r="P684" s="1"/>
      <c r="Q684" s="1"/>
      <c r="R684" s="1"/>
      <c r="S684" s="1"/>
      <c r="T684" s="1"/>
      <c r="U684" s="1"/>
      <c r="V684" s="1"/>
      <c r="W684" s="1"/>
      <c r="X684" s="1"/>
      <c r="Y684" s="1"/>
      <c r="Z684" s="1"/>
      <c r="AA684" s="1"/>
      <c r="AB684" s="1"/>
    </row>
    <row r="685" spans="1:28" ht="11.25" customHeight="1" x14ac:dyDescent="0.25">
      <c r="A685" s="825"/>
      <c r="B685" s="16"/>
      <c r="C685" s="16"/>
      <c r="D685" s="22"/>
      <c r="E685" s="262"/>
      <c r="F685" s="16"/>
      <c r="G685" s="16"/>
      <c r="H685" s="16"/>
      <c r="I685" s="16"/>
      <c r="J685" s="1"/>
      <c r="K685" s="1"/>
      <c r="L685" s="1"/>
      <c r="M685" s="262"/>
      <c r="N685" s="1"/>
      <c r="O685" s="1"/>
      <c r="P685" s="1"/>
      <c r="Q685" s="1"/>
      <c r="R685" s="1"/>
      <c r="S685" s="1"/>
      <c r="T685" s="1"/>
      <c r="U685" s="1"/>
      <c r="V685" s="1"/>
      <c r="W685" s="1"/>
      <c r="X685" s="1"/>
      <c r="Y685" s="1"/>
      <c r="Z685" s="1"/>
      <c r="AA685" s="1"/>
      <c r="AB685" s="1"/>
    </row>
    <row r="686" spans="1:28" ht="11.25" customHeight="1" x14ac:dyDescent="0.25">
      <c r="A686" s="825"/>
      <c r="B686" s="16"/>
      <c r="C686" s="16"/>
      <c r="D686" s="22"/>
      <c r="E686" s="262"/>
      <c r="F686" s="16"/>
      <c r="G686" s="16"/>
      <c r="H686" s="16"/>
      <c r="I686" s="16"/>
      <c r="J686" s="1"/>
      <c r="K686" s="1"/>
      <c r="L686" s="1"/>
      <c r="M686" s="262"/>
      <c r="N686" s="1"/>
      <c r="O686" s="1"/>
      <c r="P686" s="1"/>
      <c r="Q686" s="1"/>
      <c r="R686" s="1"/>
      <c r="S686" s="1"/>
      <c r="T686" s="1"/>
      <c r="U686" s="1"/>
      <c r="V686" s="1"/>
      <c r="W686" s="1"/>
      <c r="X686" s="1"/>
      <c r="Y686" s="1"/>
      <c r="Z686" s="1"/>
      <c r="AA686" s="1"/>
      <c r="AB686" s="1"/>
    </row>
    <row r="687" spans="1:28" ht="11.25" customHeight="1" x14ac:dyDescent="0.25">
      <c r="A687" s="825"/>
      <c r="B687" s="16"/>
      <c r="C687" s="16"/>
      <c r="D687" s="22"/>
      <c r="E687" s="262"/>
      <c r="F687" s="16"/>
      <c r="G687" s="16"/>
      <c r="H687" s="16"/>
      <c r="I687" s="16"/>
      <c r="J687" s="1"/>
      <c r="K687" s="1"/>
      <c r="L687" s="1"/>
      <c r="M687" s="262"/>
      <c r="N687" s="1"/>
      <c r="O687" s="1"/>
      <c r="P687" s="1"/>
      <c r="Q687" s="1"/>
      <c r="R687" s="1"/>
      <c r="S687" s="1"/>
      <c r="T687" s="1"/>
      <c r="U687" s="1"/>
      <c r="V687" s="1"/>
      <c r="W687" s="1"/>
      <c r="X687" s="1"/>
      <c r="Y687" s="1"/>
      <c r="Z687" s="1"/>
      <c r="AA687" s="1"/>
      <c r="AB687" s="1"/>
    </row>
    <row r="688" spans="1:28" ht="11.25" customHeight="1" x14ac:dyDescent="0.25">
      <c r="A688" s="825"/>
      <c r="B688" s="16"/>
      <c r="C688" s="16"/>
      <c r="D688" s="22"/>
      <c r="E688" s="262"/>
      <c r="F688" s="16"/>
      <c r="G688" s="16"/>
      <c r="H688" s="16"/>
      <c r="I688" s="16"/>
      <c r="J688" s="1"/>
      <c r="K688" s="1"/>
      <c r="L688" s="1"/>
      <c r="M688" s="262"/>
      <c r="N688" s="1"/>
      <c r="O688" s="1"/>
      <c r="P688" s="1"/>
      <c r="Q688" s="1"/>
      <c r="R688" s="1"/>
      <c r="S688" s="1"/>
      <c r="T688" s="1"/>
      <c r="U688" s="1"/>
      <c r="V688" s="1"/>
      <c r="W688" s="1"/>
      <c r="X688" s="1"/>
      <c r="Y688" s="1"/>
      <c r="Z688" s="1"/>
      <c r="AA688" s="1"/>
      <c r="AB688" s="1"/>
    </row>
    <row r="689" spans="1:28" ht="11.25" customHeight="1" x14ac:dyDescent="0.25">
      <c r="A689" s="825"/>
      <c r="B689" s="16"/>
      <c r="C689" s="16"/>
      <c r="D689" s="22"/>
      <c r="E689" s="262"/>
      <c r="F689" s="16"/>
      <c r="G689" s="16"/>
      <c r="H689" s="16"/>
      <c r="I689" s="16"/>
      <c r="J689" s="1"/>
      <c r="K689" s="1"/>
      <c r="L689" s="1"/>
      <c r="M689" s="262"/>
      <c r="N689" s="1"/>
      <c r="O689" s="1"/>
      <c r="P689" s="1"/>
      <c r="Q689" s="1"/>
      <c r="R689" s="1"/>
      <c r="S689" s="1"/>
      <c r="T689" s="1"/>
      <c r="U689" s="1"/>
      <c r="V689" s="1"/>
      <c r="W689" s="1"/>
      <c r="X689" s="1"/>
      <c r="Y689" s="1"/>
      <c r="Z689" s="1"/>
      <c r="AA689" s="1"/>
      <c r="AB689" s="1"/>
    </row>
    <row r="690" spans="1:28" ht="11.25" customHeight="1" x14ac:dyDescent="0.25">
      <c r="A690" s="825"/>
      <c r="B690" s="16"/>
      <c r="C690" s="16"/>
      <c r="D690" s="22"/>
      <c r="E690" s="262"/>
      <c r="F690" s="16"/>
      <c r="G690" s="16"/>
      <c r="H690" s="16"/>
      <c r="I690" s="16"/>
      <c r="J690" s="1"/>
      <c r="K690" s="1"/>
      <c r="L690" s="1"/>
      <c r="M690" s="262"/>
      <c r="N690" s="1"/>
      <c r="O690" s="1"/>
      <c r="P690" s="1"/>
      <c r="Q690" s="1"/>
      <c r="R690" s="1"/>
      <c r="S690" s="1"/>
      <c r="T690" s="1"/>
      <c r="U690" s="1"/>
      <c r="V690" s="1"/>
      <c r="W690" s="1"/>
      <c r="X690" s="1"/>
      <c r="Y690" s="1"/>
      <c r="Z690" s="1"/>
      <c r="AA690" s="1"/>
      <c r="AB690" s="1"/>
    </row>
    <row r="691" spans="1:28" ht="11.25" customHeight="1" x14ac:dyDescent="0.25">
      <c r="A691" s="825"/>
      <c r="B691" s="16"/>
      <c r="C691" s="16"/>
      <c r="D691" s="22"/>
      <c r="E691" s="262"/>
      <c r="F691" s="16"/>
      <c r="G691" s="16"/>
      <c r="H691" s="16"/>
      <c r="I691" s="16"/>
      <c r="J691" s="1"/>
      <c r="K691" s="1"/>
      <c r="L691" s="1"/>
      <c r="M691" s="262"/>
      <c r="N691" s="1"/>
      <c r="O691" s="1"/>
      <c r="P691" s="1"/>
      <c r="Q691" s="1"/>
      <c r="R691" s="1"/>
      <c r="S691" s="1"/>
      <c r="T691" s="1"/>
      <c r="U691" s="1"/>
      <c r="V691" s="1"/>
      <c r="W691" s="1"/>
      <c r="X691" s="1"/>
      <c r="Y691" s="1"/>
      <c r="Z691" s="1"/>
      <c r="AA691" s="1"/>
      <c r="AB691" s="1"/>
    </row>
    <row r="692" spans="1:28" ht="11.25" customHeight="1" x14ac:dyDescent="0.25">
      <c r="A692" s="825"/>
      <c r="B692" s="16"/>
      <c r="C692" s="16"/>
      <c r="D692" s="22"/>
      <c r="E692" s="262"/>
      <c r="F692" s="16"/>
      <c r="G692" s="16"/>
      <c r="H692" s="16"/>
      <c r="I692" s="16"/>
      <c r="J692" s="1"/>
      <c r="K692" s="1"/>
      <c r="L692" s="1"/>
      <c r="M692" s="262"/>
      <c r="N692" s="1"/>
      <c r="O692" s="1"/>
      <c r="P692" s="1"/>
      <c r="Q692" s="1"/>
      <c r="R692" s="1"/>
      <c r="S692" s="1"/>
      <c r="T692" s="1"/>
      <c r="U692" s="1"/>
      <c r="V692" s="1"/>
      <c r="W692" s="1"/>
      <c r="X692" s="1"/>
      <c r="Y692" s="1"/>
      <c r="Z692" s="1"/>
      <c r="AA692" s="1"/>
      <c r="AB692" s="1"/>
    </row>
    <row r="693" spans="1:28" ht="11.25" customHeight="1" x14ac:dyDescent="0.25">
      <c r="A693" s="825"/>
      <c r="B693" s="16"/>
      <c r="C693" s="16"/>
      <c r="D693" s="22"/>
      <c r="E693" s="262"/>
      <c r="F693" s="16"/>
      <c r="G693" s="16"/>
      <c r="H693" s="16"/>
      <c r="I693" s="16"/>
      <c r="J693" s="1"/>
      <c r="K693" s="1"/>
      <c r="L693" s="1"/>
      <c r="M693" s="262"/>
      <c r="N693" s="1"/>
      <c r="O693" s="1"/>
      <c r="P693" s="1"/>
      <c r="Q693" s="1"/>
      <c r="R693" s="1"/>
      <c r="S693" s="1"/>
      <c r="T693" s="1"/>
      <c r="U693" s="1"/>
      <c r="V693" s="1"/>
      <c r="W693" s="1"/>
      <c r="X693" s="1"/>
      <c r="Y693" s="1"/>
      <c r="Z693" s="1"/>
      <c r="AA693" s="1"/>
      <c r="AB693" s="1"/>
    </row>
    <row r="694" spans="1:28" ht="11.25" customHeight="1" x14ac:dyDescent="0.25">
      <c r="A694" s="825"/>
      <c r="B694" s="16"/>
      <c r="C694" s="16"/>
      <c r="D694" s="22"/>
      <c r="E694" s="262"/>
      <c r="F694" s="16"/>
      <c r="G694" s="16"/>
      <c r="H694" s="16"/>
      <c r="I694" s="16"/>
      <c r="J694" s="1"/>
      <c r="K694" s="1"/>
      <c r="L694" s="1"/>
      <c r="M694" s="262"/>
      <c r="N694" s="1"/>
      <c r="O694" s="1"/>
      <c r="P694" s="1"/>
      <c r="Q694" s="1"/>
      <c r="R694" s="1"/>
      <c r="S694" s="1"/>
      <c r="T694" s="1"/>
      <c r="U694" s="1"/>
      <c r="V694" s="1"/>
      <c r="W694" s="1"/>
      <c r="X694" s="1"/>
      <c r="Y694" s="1"/>
      <c r="Z694" s="1"/>
      <c r="AA694" s="1"/>
      <c r="AB694" s="1"/>
    </row>
    <row r="695" spans="1:28" ht="11.25" customHeight="1" x14ac:dyDescent="0.25">
      <c r="A695" s="825"/>
      <c r="B695" s="16"/>
      <c r="C695" s="16"/>
      <c r="D695" s="22"/>
      <c r="E695" s="262"/>
      <c r="F695" s="16"/>
      <c r="G695" s="16"/>
      <c r="H695" s="16"/>
      <c r="I695" s="16"/>
      <c r="J695" s="1"/>
      <c r="K695" s="1"/>
      <c r="L695" s="1"/>
      <c r="M695" s="262"/>
      <c r="N695" s="1"/>
      <c r="O695" s="1"/>
      <c r="P695" s="1"/>
      <c r="Q695" s="1"/>
      <c r="R695" s="1"/>
      <c r="S695" s="1"/>
      <c r="T695" s="1"/>
      <c r="U695" s="1"/>
      <c r="V695" s="1"/>
      <c r="W695" s="1"/>
      <c r="X695" s="1"/>
      <c r="Y695" s="1"/>
      <c r="Z695" s="1"/>
      <c r="AA695" s="1"/>
      <c r="AB695" s="1"/>
    </row>
    <row r="696" spans="1:28" ht="11.25" customHeight="1" x14ac:dyDescent="0.25">
      <c r="A696" s="825"/>
      <c r="B696" s="16"/>
      <c r="C696" s="16"/>
      <c r="D696" s="22"/>
      <c r="E696" s="262"/>
      <c r="F696" s="16"/>
      <c r="G696" s="16"/>
      <c r="H696" s="16"/>
      <c r="I696" s="16"/>
      <c r="J696" s="1"/>
      <c r="K696" s="1"/>
      <c r="L696" s="1"/>
      <c r="M696" s="262"/>
      <c r="N696" s="1"/>
      <c r="O696" s="1"/>
      <c r="P696" s="1"/>
      <c r="Q696" s="1"/>
      <c r="R696" s="1"/>
      <c r="S696" s="1"/>
      <c r="T696" s="1"/>
      <c r="U696" s="1"/>
      <c r="V696" s="1"/>
      <c r="W696" s="1"/>
      <c r="X696" s="1"/>
      <c r="Y696" s="1"/>
      <c r="Z696" s="1"/>
      <c r="AA696" s="1"/>
      <c r="AB696" s="1"/>
    </row>
    <row r="697" spans="1:28" ht="11.25" customHeight="1" x14ac:dyDescent="0.25">
      <c r="A697" s="825"/>
      <c r="B697" s="16"/>
      <c r="C697" s="16"/>
      <c r="D697" s="22"/>
      <c r="E697" s="262"/>
      <c r="F697" s="16"/>
      <c r="G697" s="16"/>
      <c r="H697" s="16"/>
      <c r="I697" s="16"/>
      <c r="J697" s="1"/>
      <c r="K697" s="1"/>
      <c r="L697" s="1"/>
      <c r="M697" s="262"/>
      <c r="N697" s="1"/>
      <c r="O697" s="1"/>
      <c r="P697" s="1"/>
      <c r="Q697" s="1"/>
      <c r="R697" s="1"/>
      <c r="S697" s="1"/>
      <c r="T697" s="1"/>
      <c r="U697" s="1"/>
      <c r="V697" s="1"/>
      <c r="W697" s="1"/>
      <c r="X697" s="1"/>
      <c r="Y697" s="1"/>
      <c r="Z697" s="1"/>
      <c r="AA697" s="1"/>
      <c r="AB697" s="1"/>
    </row>
    <row r="698" spans="1:28" ht="11.25" customHeight="1" x14ac:dyDescent="0.25">
      <c r="A698" s="825"/>
      <c r="B698" s="16"/>
      <c r="C698" s="16"/>
      <c r="D698" s="22"/>
      <c r="E698" s="262"/>
      <c r="F698" s="16"/>
      <c r="G698" s="16"/>
      <c r="H698" s="16"/>
      <c r="I698" s="16"/>
      <c r="J698" s="1"/>
      <c r="K698" s="1"/>
      <c r="L698" s="1"/>
      <c r="M698" s="262"/>
      <c r="N698" s="1"/>
      <c r="O698" s="1"/>
      <c r="P698" s="1"/>
      <c r="Q698" s="1"/>
      <c r="R698" s="1"/>
      <c r="S698" s="1"/>
      <c r="T698" s="1"/>
      <c r="U698" s="1"/>
      <c r="V698" s="1"/>
      <c r="W698" s="1"/>
      <c r="X698" s="1"/>
      <c r="Y698" s="1"/>
      <c r="Z698" s="1"/>
      <c r="AA698" s="1"/>
      <c r="AB698" s="1"/>
    </row>
    <row r="699" spans="1:28" ht="11.25" customHeight="1" x14ac:dyDescent="0.25">
      <c r="A699" s="825"/>
      <c r="B699" s="16"/>
      <c r="C699" s="16"/>
      <c r="D699" s="22"/>
      <c r="E699" s="262"/>
      <c r="F699" s="16"/>
      <c r="G699" s="16"/>
      <c r="H699" s="16"/>
      <c r="I699" s="16"/>
      <c r="J699" s="1"/>
      <c r="K699" s="1"/>
      <c r="L699" s="1"/>
      <c r="M699" s="262"/>
      <c r="N699" s="1"/>
      <c r="O699" s="1"/>
      <c r="P699" s="1"/>
      <c r="Q699" s="1"/>
      <c r="R699" s="1"/>
      <c r="S699" s="1"/>
      <c r="T699" s="1"/>
      <c r="U699" s="1"/>
      <c r="V699" s="1"/>
      <c r="W699" s="1"/>
      <c r="X699" s="1"/>
      <c r="Y699" s="1"/>
      <c r="Z699" s="1"/>
      <c r="AA699" s="1"/>
      <c r="AB699" s="1"/>
    </row>
    <row r="700" spans="1:28" ht="11.25" customHeight="1" x14ac:dyDescent="0.25">
      <c r="A700" s="825"/>
      <c r="B700" s="16"/>
      <c r="C700" s="16"/>
      <c r="D700" s="22"/>
      <c r="E700" s="262"/>
      <c r="F700" s="16"/>
      <c r="G700" s="16"/>
      <c r="H700" s="16"/>
      <c r="I700" s="16"/>
      <c r="J700" s="1"/>
      <c r="K700" s="1"/>
      <c r="L700" s="1"/>
      <c r="M700" s="262"/>
      <c r="N700" s="1"/>
      <c r="O700" s="1"/>
      <c r="P700" s="1"/>
      <c r="Q700" s="1"/>
      <c r="R700" s="1"/>
      <c r="S700" s="1"/>
      <c r="T700" s="1"/>
      <c r="U700" s="1"/>
      <c r="V700" s="1"/>
      <c r="W700" s="1"/>
      <c r="X700" s="1"/>
      <c r="Y700" s="1"/>
      <c r="Z700" s="1"/>
      <c r="AA700" s="1"/>
      <c r="AB700" s="1"/>
    </row>
    <row r="701" spans="1:28" ht="11.25" customHeight="1" x14ac:dyDescent="0.25">
      <c r="A701" s="825"/>
      <c r="B701" s="16"/>
      <c r="C701" s="16"/>
      <c r="D701" s="22"/>
      <c r="E701" s="262"/>
      <c r="F701" s="16"/>
      <c r="G701" s="16"/>
      <c r="H701" s="16"/>
      <c r="I701" s="16"/>
      <c r="J701" s="1"/>
      <c r="K701" s="1"/>
      <c r="L701" s="1"/>
      <c r="M701" s="262"/>
      <c r="N701" s="1"/>
      <c r="O701" s="1"/>
      <c r="P701" s="1"/>
      <c r="Q701" s="1"/>
      <c r="R701" s="1"/>
      <c r="S701" s="1"/>
      <c r="T701" s="1"/>
      <c r="U701" s="1"/>
      <c r="V701" s="1"/>
      <c r="W701" s="1"/>
      <c r="X701" s="1"/>
      <c r="Y701" s="1"/>
      <c r="Z701" s="1"/>
      <c r="AA701" s="1"/>
      <c r="AB701" s="1"/>
    </row>
    <row r="702" spans="1:28" ht="11.25" customHeight="1" x14ac:dyDescent="0.25">
      <c r="A702" s="825"/>
      <c r="B702" s="16"/>
      <c r="C702" s="16"/>
      <c r="D702" s="22"/>
      <c r="E702" s="262"/>
      <c r="F702" s="16"/>
      <c r="G702" s="16"/>
      <c r="H702" s="16"/>
      <c r="I702" s="16"/>
      <c r="J702" s="1"/>
      <c r="K702" s="1"/>
      <c r="L702" s="1"/>
      <c r="M702" s="262"/>
      <c r="N702" s="1"/>
      <c r="O702" s="1"/>
      <c r="P702" s="1"/>
      <c r="Q702" s="1"/>
      <c r="R702" s="1"/>
      <c r="S702" s="1"/>
      <c r="T702" s="1"/>
      <c r="U702" s="1"/>
      <c r="V702" s="1"/>
      <c r="W702" s="1"/>
      <c r="X702" s="1"/>
      <c r="Y702" s="1"/>
      <c r="Z702" s="1"/>
      <c r="AA702" s="1"/>
      <c r="AB702" s="1"/>
    </row>
    <row r="703" spans="1:28" ht="11.25" customHeight="1" x14ac:dyDescent="0.25">
      <c r="A703" s="825"/>
      <c r="B703" s="16"/>
      <c r="C703" s="16"/>
      <c r="D703" s="22"/>
      <c r="E703" s="262"/>
      <c r="F703" s="16"/>
      <c r="G703" s="16"/>
      <c r="H703" s="16"/>
      <c r="I703" s="16"/>
      <c r="J703" s="1"/>
      <c r="K703" s="1"/>
      <c r="L703" s="1"/>
      <c r="M703" s="262"/>
      <c r="N703" s="1"/>
      <c r="O703" s="1"/>
      <c r="P703" s="1"/>
      <c r="Q703" s="1"/>
      <c r="R703" s="1"/>
      <c r="S703" s="1"/>
      <c r="T703" s="1"/>
      <c r="U703" s="1"/>
      <c r="V703" s="1"/>
      <c r="W703" s="1"/>
      <c r="X703" s="1"/>
      <c r="Y703" s="1"/>
      <c r="Z703" s="1"/>
      <c r="AA703" s="1"/>
      <c r="AB703" s="1"/>
    </row>
    <row r="704" spans="1:28" ht="11.25" customHeight="1" x14ac:dyDescent="0.25">
      <c r="A704" s="825"/>
      <c r="B704" s="16"/>
      <c r="C704" s="16"/>
      <c r="D704" s="22"/>
      <c r="E704" s="262"/>
      <c r="F704" s="16"/>
      <c r="G704" s="16"/>
      <c r="H704" s="16"/>
      <c r="I704" s="16"/>
      <c r="J704" s="1"/>
      <c r="K704" s="1"/>
      <c r="L704" s="1"/>
      <c r="M704" s="262"/>
      <c r="N704" s="1"/>
      <c r="O704" s="1"/>
      <c r="P704" s="1"/>
      <c r="Q704" s="1"/>
      <c r="R704" s="1"/>
      <c r="S704" s="1"/>
      <c r="T704" s="1"/>
      <c r="U704" s="1"/>
      <c r="V704" s="1"/>
      <c r="W704" s="1"/>
      <c r="X704" s="1"/>
      <c r="Y704" s="1"/>
      <c r="Z704" s="1"/>
      <c r="AA704" s="1"/>
      <c r="AB704" s="1"/>
    </row>
    <row r="705" spans="1:28" ht="11.25" customHeight="1" x14ac:dyDescent="0.25">
      <c r="A705" s="825"/>
      <c r="B705" s="16"/>
      <c r="C705" s="16"/>
      <c r="D705" s="22"/>
      <c r="E705" s="262"/>
      <c r="F705" s="16"/>
      <c r="G705" s="16"/>
      <c r="H705" s="16"/>
      <c r="I705" s="16"/>
      <c r="J705" s="1"/>
      <c r="K705" s="1"/>
      <c r="L705" s="1"/>
      <c r="M705" s="262"/>
      <c r="N705" s="1"/>
      <c r="O705" s="1"/>
      <c r="P705" s="1"/>
      <c r="Q705" s="1"/>
      <c r="R705" s="1"/>
      <c r="S705" s="1"/>
      <c r="T705" s="1"/>
      <c r="U705" s="1"/>
      <c r="V705" s="1"/>
      <c r="W705" s="1"/>
      <c r="X705" s="1"/>
      <c r="Y705" s="1"/>
      <c r="Z705" s="1"/>
      <c r="AA705" s="1"/>
      <c r="AB705" s="1"/>
    </row>
    <row r="706" spans="1:28" ht="11.25" customHeight="1" x14ac:dyDescent="0.25">
      <c r="A706" s="825"/>
      <c r="B706" s="16"/>
      <c r="C706" s="16"/>
      <c r="D706" s="22"/>
      <c r="E706" s="262"/>
      <c r="F706" s="16"/>
      <c r="G706" s="16"/>
      <c r="H706" s="16"/>
      <c r="I706" s="16"/>
      <c r="J706" s="1"/>
      <c r="K706" s="1"/>
      <c r="L706" s="1"/>
      <c r="M706" s="262"/>
      <c r="N706" s="1"/>
      <c r="O706" s="1"/>
      <c r="P706" s="1"/>
      <c r="Q706" s="1"/>
      <c r="R706" s="1"/>
      <c r="S706" s="1"/>
      <c r="T706" s="1"/>
      <c r="U706" s="1"/>
      <c r="V706" s="1"/>
      <c r="W706" s="1"/>
      <c r="X706" s="1"/>
      <c r="Y706" s="1"/>
      <c r="Z706" s="1"/>
      <c r="AA706" s="1"/>
      <c r="AB706" s="1"/>
    </row>
    <row r="707" spans="1:28" ht="11.25" customHeight="1" x14ac:dyDescent="0.25">
      <c r="A707" s="825"/>
      <c r="B707" s="16"/>
      <c r="C707" s="16"/>
      <c r="D707" s="22"/>
      <c r="E707" s="262"/>
      <c r="F707" s="16"/>
      <c r="G707" s="16"/>
      <c r="H707" s="16"/>
      <c r="I707" s="16"/>
      <c r="J707" s="1"/>
      <c r="K707" s="1"/>
      <c r="L707" s="1"/>
      <c r="M707" s="262"/>
      <c r="N707" s="1"/>
      <c r="O707" s="1"/>
      <c r="P707" s="1"/>
      <c r="Q707" s="1"/>
      <c r="R707" s="1"/>
      <c r="S707" s="1"/>
      <c r="T707" s="1"/>
      <c r="U707" s="1"/>
      <c r="V707" s="1"/>
      <c r="W707" s="1"/>
      <c r="X707" s="1"/>
      <c r="Y707" s="1"/>
      <c r="Z707" s="1"/>
      <c r="AA707" s="1"/>
      <c r="AB707" s="1"/>
    </row>
    <row r="708" spans="1:28" ht="11.25" customHeight="1" x14ac:dyDescent="0.25">
      <c r="A708" s="825"/>
      <c r="B708" s="16"/>
      <c r="C708" s="16"/>
      <c r="D708" s="22"/>
      <c r="E708" s="262"/>
      <c r="F708" s="16"/>
      <c r="G708" s="16"/>
      <c r="H708" s="16"/>
      <c r="I708" s="16"/>
      <c r="J708" s="1"/>
      <c r="K708" s="1"/>
      <c r="L708" s="1"/>
      <c r="M708" s="262"/>
      <c r="N708" s="1"/>
      <c r="O708" s="1"/>
      <c r="P708" s="1"/>
      <c r="Q708" s="1"/>
      <c r="R708" s="1"/>
      <c r="S708" s="1"/>
      <c r="T708" s="1"/>
      <c r="U708" s="1"/>
      <c r="V708" s="1"/>
      <c r="W708" s="1"/>
      <c r="X708" s="1"/>
      <c r="Y708" s="1"/>
      <c r="Z708" s="1"/>
      <c r="AA708" s="1"/>
      <c r="AB708" s="1"/>
    </row>
    <row r="709" spans="1:28" ht="11.25" customHeight="1" x14ac:dyDescent="0.25">
      <c r="A709" s="825"/>
      <c r="B709" s="16"/>
      <c r="C709" s="16"/>
      <c r="D709" s="22"/>
      <c r="E709" s="262"/>
      <c r="F709" s="16"/>
      <c r="G709" s="16"/>
      <c r="H709" s="16"/>
      <c r="I709" s="16"/>
      <c r="J709" s="1"/>
      <c r="K709" s="1"/>
      <c r="L709" s="1"/>
      <c r="M709" s="262"/>
      <c r="N709" s="1"/>
      <c r="O709" s="1"/>
      <c r="P709" s="1"/>
      <c r="Q709" s="1"/>
      <c r="R709" s="1"/>
      <c r="S709" s="1"/>
      <c r="T709" s="1"/>
      <c r="U709" s="1"/>
      <c r="V709" s="1"/>
      <c r="W709" s="1"/>
      <c r="X709" s="1"/>
      <c r="Y709" s="1"/>
      <c r="Z709" s="1"/>
      <c r="AA709" s="1"/>
      <c r="AB709" s="1"/>
    </row>
    <row r="710" spans="1:28" ht="11.25" customHeight="1" x14ac:dyDescent="0.25">
      <c r="A710" s="825"/>
      <c r="B710" s="16"/>
      <c r="C710" s="16"/>
      <c r="D710" s="22"/>
      <c r="E710" s="262"/>
      <c r="F710" s="16"/>
      <c r="G710" s="16"/>
      <c r="H710" s="16"/>
      <c r="I710" s="16"/>
      <c r="J710" s="1"/>
      <c r="K710" s="1"/>
      <c r="L710" s="1"/>
      <c r="M710" s="262"/>
      <c r="N710" s="1"/>
      <c r="O710" s="1"/>
      <c r="P710" s="1"/>
      <c r="Q710" s="1"/>
      <c r="R710" s="1"/>
      <c r="S710" s="1"/>
      <c r="T710" s="1"/>
      <c r="U710" s="1"/>
      <c r="V710" s="1"/>
      <c r="W710" s="1"/>
      <c r="X710" s="1"/>
      <c r="Y710" s="1"/>
      <c r="Z710" s="1"/>
      <c r="AA710" s="1"/>
      <c r="AB710" s="1"/>
    </row>
    <row r="711" spans="1:28" ht="11.25" customHeight="1" x14ac:dyDescent="0.25">
      <c r="A711" s="825"/>
      <c r="B711" s="16"/>
      <c r="C711" s="16"/>
      <c r="D711" s="22"/>
      <c r="E711" s="262"/>
      <c r="F711" s="16"/>
      <c r="G711" s="16"/>
      <c r="H711" s="16"/>
      <c r="I711" s="16"/>
      <c r="J711" s="1"/>
      <c r="K711" s="1"/>
      <c r="L711" s="1"/>
      <c r="M711" s="262"/>
      <c r="N711" s="1"/>
      <c r="O711" s="1"/>
      <c r="P711" s="1"/>
      <c r="Q711" s="1"/>
      <c r="R711" s="1"/>
      <c r="S711" s="1"/>
      <c r="T711" s="1"/>
      <c r="U711" s="1"/>
      <c r="V711" s="1"/>
      <c r="W711" s="1"/>
      <c r="X711" s="1"/>
      <c r="Y711" s="1"/>
      <c r="Z711" s="1"/>
      <c r="AA711" s="1"/>
      <c r="AB711" s="1"/>
    </row>
    <row r="712" spans="1:28" ht="11.25" customHeight="1" x14ac:dyDescent="0.25">
      <c r="A712" s="825"/>
      <c r="B712" s="16"/>
      <c r="C712" s="16"/>
      <c r="D712" s="22"/>
      <c r="E712" s="262"/>
      <c r="F712" s="16"/>
      <c r="G712" s="16"/>
      <c r="H712" s="16"/>
      <c r="I712" s="16"/>
      <c r="J712" s="1"/>
      <c r="K712" s="1"/>
      <c r="L712" s="1"/>
      <c r="M712" s="262"/>
      <c r="N712" s="1"/>
      <c r="O712" s="1"/>
      <c r="P712" s="1"/>
      <c r="Q712" s="1"/>
      <c r="R712" s="1"/>
      <c r="S712" s="1"/>
      <c r="T712" s="1"/>
      <c r="U712" s="1"/>
      <c r="V712" s="1"/>
      <c r="W712" s="1"/>
      <c r="X712" s="1"/>
      <c r="Y712" s="1"/>
      <c r="Z712" s="1"/>
      <c r="AA712" s="1"/>
      <c r="AB712" s="1"/>
    </row>
    <row r="713" spans="1:28" ht="11.25" customHeight="1" x14ac:dyDescent="0.25">
      <c r="A713" s="825"/>
      <c r="B713" s="16"/>
      <c r="C713" s="16"/>
      <c r="D713" s="22"/>
      <c r="E713" s="262"/>
      <c r="F713" s="16"/>
      <c r="G713" s="16"/>
      <c r="H713" s="16"/>
      <c r="I713" s="16"/>
      <c r="J713" s="1"/>
      <c r="K713" s="1"/>
      <c r="L713" s="1"/>
      <c r="M713" s="262"/>
      <c r="N713" s="1"/>
      <c r="O713" s="1"/>
      <c r="P713" s="1"/>
      <c r="Q713" s="1"/>
      <c r="R713" s="1"/>
      <c r="S713" s="1"/>
      <c r="T713" s="1"/>
      <c r="U713" s="1"/>
      <c r="V713" s="1"/>
      <c r="W713" s="1"/>
      <c r="X713" s="1"/>
      <c r="Y713" s="1"/>
      <c r="Z713" s="1"/>
      <c r="AA713" s="1"/>
      <c r="AB713" s="1"/>
    </row>
    <row r="714" spans="1:28" ht="11.25" customHeight="1" x14ac:dyDescent="0.25">
      <c r="A714" s="825"/>
      <c r="B714" s="16"/>
      <c r="C714" s="16"/>
      <c r="D714" s="22"/>
      <c r="E714" s="262"/>
      <c r="F714" s="16"/>
      <c r="G714" s="16"/>
      <c r="H714" s="16"/>
      <c r="I714" s="16"/>
      <c r="J714" s="1"/>
      <c r="K714" s="1"/>
      <c r="L714" s="1"/>
      <c r="M714" s="262"/>
      <c r="N714" s="1"/>
      <c r="O714" s="1"/>
      <c r="P714" s="1"/>
      <c r="Q714" s="1"/>
      <c r="R714" s="1"/>
      <c r="S714" s="1"/>
      <c r="T714" s="1"/>
      <c r="U714" s="1"/>
      <c r="V714" s="1"/>
      <c r="W714" s="1"/>
      <c r="X714" s="1"/>
      <c r="Y714" s="1"/>
      <c r="Z714" s="1"/>
      <c r="AA714" s="1"/>
      <c r="AB714" s="1"/>
    </row>
    <row r="715" spans="1:28" ht="11.25" customHeight="1" x14ac:dyDescent="0.25">
      <c r="A715" s="825"/>
      <c r="B715" s="16"/>
      <c r="C715" s="16"/>
      <c r="D715" s="22"/>
      <c r="E715" s="262"/>
      <c r="F715" s="16"/>
      <c r="G715" s="16"/>
      <c r="H715" s="16"/>
      <c r="I715" s="16"/>
      <c r="J715" s="1"/>
      <c r="K715" s="1"/>
      <c r="L715" s="1"/>
      <c r="M715" s="262"/>
      <c r="N715" s="1"/>
      <c r="O715" s="1"/>
      <c r="P715" s="1"/>
      <c r="Q715" s="1"/>
      <c r="R715" s="1"/>
      <c r="S715" s="1"/>
      <c r="T715" s="1"/>
      <c r="U715" s="1"/>
      <c r="V715" s="1"/>
      <c r="W715" s="1"/>
      <c r="X715" s="1"/>
      <c r="Y715" s="1"/>
      <c r="Z715" s="1"/>
      <c r="AA715" s="1"/>
      <c r="AB715" s="1"/>
    </row>
    <row r="716" spans="1:28" ht="11.25" customHeight="1" x14ac:dyDescent="0.25">
      <c r="A716" s="825"/>
      <c r="B716" s="16"/>
      <c r="C716" s="16"/>
      <c r="D716" s="22"/>
      <c r="E716" s="262"/>
      <c r="F716" s="16"/>
      <c r="G716" s="16"/>
      <c r="H716" s="16"/>
      <c r="I716" s="16"/>
      <c r="J716" s="1"/>
      <c r="K716" s="1"/>
      <c r="L716" s="1"/>
      <c r="M716" s="262"/>
      <c r="N716" s="1"/>
      <c r="O716" s="1"/>
      <c r="P716" s="1"/>
      <c r="Q716" s="1"/>
      <c r="R716" s="1"/>
      <c r="S716" s="1"/>
      <c r="T716" s="1"/>
      <c r="U716" s="1"/>
      <c r="V716" s="1"/>
      <c r="W716" s="1"/>
      <c r="X716" s="1"/>
      <c r="Y716" s="1"/>
      <c r="Z716" s="1"/>
      <c r="AA716" s="1"/>
      <c r="AB716" s="1"/>
    </row>
    <row r="717" spans="1:28" ht="11.25" customHeight="1" x14ac:dyDescent="0.25">
      <c r="A717" s="825"/>
      <c r="B717" s="16"/>
      <c r="C717" s="16"/>
      <c r="D717" s="22"/>
      <c r="E717" s="262"/>
      <c r="F717" s="16"/>
      <c r="G717" s="16"/>
      <c r="H717" s="16"/>
      <c r="I717" s="16"/>
      <c r="J717" s="1"/>
      <c r="K717" s="1"/>
      <c r="L717" s="1"/>
      <c r="M717" s="262"/>
      <c r="N717" s="1"/>
      <c r="O717" s="1"/>
      <c r="P717" s="1"/>
      <c r="Q717" s="1"/>
      <c r="R717" s="1"/>
      <c r="S717" s="1"/>
      <c r="T717" s="1"/>
      <c r="U717" s="1"/>
      <c r="V717" s="1"/>
      <c r="W717" s="1"/>
      <c r="X717" s="1"/>
      <c r="Y717" s="1"/>
      <c r="Z717" s="1"/>
      <c r="AA717" s="1"/>
      <c r="AB717" s="1"/>
    </row>
    <row r="718" spans="1:28" ht="11.25" customHeight="1" x14ac:dyDescent="0.25">
      <c r="A718" s="825"/>
      <c r="B718" s="16"/>
      <c r="C718" s="16"/>
      <c r="D718" s="22"/>
      <c r="E718" s="262"/>
      <c r="F718" s="16"/>
      <c r="G718" s="16"/>
      <c r="H718" s="16"/>
      <c r="I718" s="16"/>
      <c r="J718" s="1"/>
      <c r="K718" s="1"/>
      <c r="L718" s="1"/>
      <c r="M718" s="262"/>
      <c r="N718" s="1"/>
      <c r="O718" s="1"/>
      <c r="P718" s="1"/>
      <c r="Q718" s="1"/>
      <c r="R718" s="1"/>
      <c r="S718" s="1"/>
      <c r="T718" s="1"/>
      <c r="U718" s="1"/>
      <c r="V718" s="1"/>
      <c r="W718" s="1"/>
      <c r="X718" s="1"/>
      <c r="Y718" s="1"/>
      <c r="Z718" s="1"/>
      <c r="AA718" s="1"/>
      <c r="AB718" s="1"/>
    </row>
    <row r="719" spans="1:28" ht="11.25" customHeight="1" x14ac:dyDescent="0.25">
      <c r="A719" s="825"/>
      <c r="B719" s="16"/>
      <c r="C719" s="16"/>
      <c r="D719" s="22"/>
      <c r="E719" s="262"/>
      <c r="F719" s="16"/>
      <c r="G719" s="16"/>
      <c r="H719" s="16"/>
      <c r="I719" s="16"/>
      <c r="J719" s="1"/>
      <c r="K719" s="1"/>
      <c r="L719" s="1"/>
      <c r="M719" s="262"/>
      <c r="N719" s="1"/>
      <c r="O719" s="1"/>
      <c r="P719" s="1"/>
      <c r="Q719" s="1"/>
      <c r="R719" s="1"/>
      <c r="S719" s="1"/>
      <c r="T719" s="1"/>
      <c r="U719" s="1"/>
      <c r="V719" s="1"/>
      <c r="W719" s="1"/>
      <c r="X719" s="1"/>
      <c r="Y719" s="1"/>
      <c r="Z719" s="1"/>
      <c r="AA719" s="1"/>
      <c r="AB719" s="1"/>
    </row>
    <row r="720" spans="1:28" ht="11.25" customHeight="1" x14ac:dyDescent="0.25">
      <c r="A720" s="825"/>
      <c r="B720" s="16"/>
      <c r="C720" s="16"/>
      <c r="D720" s="22"/>
      <c r="E720" s="262"/>
      <c r="F720" s="16"/>
      <c r="G720" s="16"/>
      <c r="H720" s="16"/>
      <c r="I720" s="16"/>
      <c r="J720" s="1"/>
      <c r="K720" s="1"/>
      <c r="L720" s="1"/>
      <c r="M720" s="262"/>
      <c r="N720" s="1"/>
      <c r="O720" s="1"/>
      <c r="P720" s="1"/>
      <c r="Q720" s="1"/>
      <c r="R720" s="1"/>
      <c r="S720" s="1"/>
      <c r="T720" s="1"/>
      <c r="U720" s="1"/>
      <c r="V720" s="1"/>
      <c r="W720" s="1"/>
      <c r="X720" s="1"/>
      <c r="Y720" s="1"/>
      <c r="Z720" s="1"/>
      <c r="AA720" s="1"/>
      <c r="AB720" s="1"/>
    </row>
    <row r="721" spans="1:28" ht="11.25" customHeight="1" x14ac:dyDescent="0.25">
      <c r="A721" s="825"/>
      <c r="B721" s="16"/>
      <c r="C721" s="16"/>
      <c r="D721" s="22"/>
      <c r="E721" s="262"/>
      <c r="F721" s="16"/>
      <c r="G721" s="16"/>
      <c r="H721" s="16"/>
      <c r="I721" s="16"/>
      <c r="J721" s="1"/>
      <c r="K721" s="1"/>
      <c r="L721" s="1"/>
      <c r="M721" s="262"/>
      <c r="N721" s="1"/>
      <c r="O721" s="1"/>
      <c r="P721" s="1"/>
      <c r="Q721" s="1"/>
      <c r="R721" s="1"/>
      <c r="S721" s="1"/>
      <c r="T721" s="1"/>
      <c r="U721" s="1"/>
      <c r="V721" s="1"/>
      <c r="W721" s="1"/>
      <c r="X721" s="1"/>
      <c r="Y721" s="1"/>
      <c r="Z721" s="1"/>
      <c r="AA721" s="1"/>
      <c r="AB721" s="1"/>
    </row>
    <row r="722" spans="1:28" ht="11.25" customHeight="1" x14ac:dyDescent="0.25">
      <c r="A722" s="825"/>
      <c r="B722" s="16"/>
      <c r="C722" s="16"/>
      <c r="D722" s="22"/>
      <c r="E722" s="262"/>
      <c r="F722" s="16"/>
      <c r="G722" s="16"/>
      <c r="H722" s="16"/>
      <c r="I722" s="16"/>
      <c r="J722" s="1"/>
      <c r="K722" s="1"/>
      <c r="L722" s="1"/>
      <c r="M722" s="262"/>
      <c r="N722" s="1"/>
      <c r="O722" s="1"/>
      <c r="P722" s="1"/>
      <c r="Q722" s="1"/>
      <c r="R722" s="1"/>
      <c r="S722" s="1"/>
      <c r="T722" s="1"/>
      <c r="U722" s="1"/>
      <c r="V722" s="1"/>
      <c r="W722" s="1"/>
      <c r="X722" s="1"/>
      <c r="Y722" s="1"/>
      <c r="Z722" s="1"/>
      <c r="AA722" s="1"/>
      <c r="AB722" s="1"/>
    </row>
    <row r="723" spans="1:28" ht="11.25" customHeight="1" x14ac:dyDescent="0.25">
      <c r="A723" s="825"/>
      <c r="B723" s="16"/>
      <c r="C723" s="16"/>
      <c r="D723" s="22"/>
      <c r="E723" s="262"/>
      <c r="F723" s="16"/>
      <c r="G723" s="16"/>
      <c r="H723" s="16"/>
      <c r="I723" s="16"/>
      <c r="J723" s="1"/>
      <c r="K723" s="1"/>
      <c r="L723" s="1"/>
      <c r="M723" s="262"/>
      <c r="N723" s="1"/>
      <c r="O723" s="1"/>
      <c r="P723" s="1"/>
      <c r="Q723" s="1"/>
      <c r="R723" s="1"/>
      <c r="S723" s="1"/>
      <c r="T723" s="1"/>
      <c r="U723" s="1"/>
      <c r="V723" s="1"/>
      <c r="W723" s="1"/>
      <c r="X723" s="1"/>
      <c r="Y723" s="1"/>
      <c r="Z723" s="1"/>
      <c r="AA723" s="1"/>
      <c r="AB723" s="1"/>
    </row>
    <row r="724" spans="1:28" ht="11.25" customHeight="1" x14ac:dyDescent="0.25">
      <c r="A724" s="825"/>
      <c r="B724" s="16"/>
      <c r="C724" s="16"/>
      <c r="D724" s="22"/>
      <c r="E724" s="262"/>
      <c r="F724" s="16"/>
      <c r="G724" s="16"/>
      <c r="H724" s="16"/>
      <c r="I724" s="16"/>
      <c r="J724" s="1"/>
      <c r="K724" s="1"/>
      <c r="L724" s="1"/>
      <c r="M724" s="262"/>
      <c r="N724" s="1"/>
      <c r="O724" s="1"/>
      <c r="P724" s="1"/>
      <c r="Q724" s="1"/>
      <c r="R724" s="1"/>
      <c r="S724" s="1"/>
      <c r="T724" s="1"/>
      <c r="U724" s="1"/>
      <c r="V724" s="1"/>
      <c r="W724" s="1"/>
      <c r="X724" s="1"/>
      <c r="Y724" s="1"/>
      <c r="Z724" s="1"/>
      <c r="AA724" s="1"/>
      <c r="AB724" s="1"/>
    </row>
    <row r="725" spans="1:28" ht="11.25" customHeight="1" x14ac:dyDescent="0.25">
      <c r="A725" s="825"/>
      <c r="B725" s="16"/>
      <c r="C725" s="16"/>
      <c r="D725" s="22"/>
      <c r="E725" s="262"/>
      <c r="F725" s="16"/>
      <c r="G725" s="16"/>
      <c r="H725" s="16"/>
      <c r="I725" s="16"/>
      <c r="J725" s="1"/>
      <c r="K725" s="1"/>
      <c r="L725" s="1"/>
      <c r="M725" s="262"/>
      <c r="N725" s="1"/>
      <c r="O725" s="1"/>
      <c r="P725" s="1"/>
      <c r="Q725" s="1"/>
      <c r="R725" s="1"/>
      <c r="S725" s="1"/>
      <c r="T725" s="1"/>
      <c r="U725" s="1"/>
      <c r="V725" s="1"/>
      <c r="W725" s="1"/>
      <c r="X725" s="1"/>
      <c r="Y725" s="1"/>
      <c r="Z725" s="1"/>
      <c r="AA725" s="1"/>
      <c r="AB725" s="1"/>
    </row>
    <row r="726" spans="1:28" ht="11.25" customHeight="1" x14ac:dyDescent="0.25">
      <c r="A726" s="825"/>
      <c r="B726" s="16"/>
      <c r="C726" s="16"/>
      <c r="D726" s="22"/>
      <c r="E726" s="262"/>
      <c r="F726" s="16"/>
      <c r="G726" s="16"/>
      <c r="H726" s="16"/>
      <c r="I726" s="16"/>
      <c r="J726" s="1"/>
      <c r="K726" s="1"/>
      <c r="L726" s="1"/>
      <c r="M726" s="262"/>
      <c r="N726" s="1"/>
      <c r="O726" s="1"/>
      <c r="P726" s="1"/>
      <c r="Q726" s="1"/>
      <c r="R726" s="1"/>
      <c r="S726" s="1"/>
      <c r="T726" s="1"/>
      <c r="U726" s="1"/>
      <c r="V726" s="1"/>
      <c r="W726" s="1"/>
      <c r="X726" s="1"/>
      <c r="Y726" s="1"/>
      <c r="Z726" s="1"/>
      <c r="AA726" s="1"/>
      <c r="AB726" s="1"/>
    </row>
    <row r="727" spans="1:28" ht="11.25" customHeight="1" x14ac:dyDescent="0.25">
      <c r="A727" s="825"/>
      <c r="B727" s="16"/>
      <c r="C727" s="16"/>
      <c r="D727" s="22"/>
      <c r="E727" s="262"/>
      <c r="F727" s="16"/>
      <c r="G727" s="16"/>
      <c r="H727" s="16"/>
      <c r="I727" s="16"/>
      <c r="J727" s="1"/>
      <c r="K727" s="1"/>
      <c r="L727" s="1"/>
      <c r="M727" s="262"/>
      <c r="N727" s="1"/>
      <c r="O727" s="1"/>
      <c r="P727" s="1"/>
      <c r="Q727" s="1"/>
      <c r="R727" s="1"/>
      <c r="S727" s="1"/>
      <c r="T727" s="1"/>
      <c r="U727" s="1"/>
      <c r="V727" s="1"/>
      <c r="W727" s="1"/>
      <c r="X727" s="1"/>
      <c r="Y727" s="1"/>
      <c r="Z727" s="1"/>
      <c r="AA727" s="1"/>
      <c r="AB727" s="1"/>
    </row>
    <row r="728" spans="1:28" ht="11.25" customHeight="1" x14ac:dyDescent="0.25">
      <c r="A728" s="825"/>
      <c r="B728" s="16"/>
      <c r="C728" s="16"/>
      <c r="D728" s="22"/>
      <c r="E728" s="262"/>
      <c r="F728" s="16"/>
      <c r="G728" s="16"/>
      <c r="H728" s="16"/>
      <c r="I728" s="16"/>
      <c r="J728" s="1"/>
      <c r="K728" s="1"/>
      <c r="L728" s="1"/>
      <c r="M728" s="262"/>
      <c r="N728" s="1"/>
      <c r="O728" s="1"/>
      <c r="P728" s="1"/>
      <c r="Q728" s="1"/>
      <c r="R728" s="1"/>
      <c r="S728" s="1"/>
      <c r="T728" s="1"/>
      <c r="U728" s="1"/>
      <c r="V728" s="1"/>
      <c r="W728" s="1"/>
      <c r="X728" s="1"/>
      <c r="Y728" s="1"/>
      <c r="Z728" s="1"/>
      <c r="AA728" s="1"/>
      <c r="AB728" s="1"/>
    </row>
    <row r="729" spans="1:28" ht="11.25" customHeight="1" x14ac:dyDescent="0.25">
      <c r="A729" s="825"/>
      <c r="B729" s="16"/>
      <c r="C729" s="16"/>
      <c r="D729" s="22"/>
      <c r="E729" s="262"/>
      <c r="F729" s="16"/>
      <c r="G729" s="16"/>
      <c r="H729" s="16"/>
      <c r="I729" s="16"/>
      <c r="J729" s="1"/>
      <c r="K729" s="1"/>
      <c r="L729" s="1"/>
      <c r="M729" s="262"/>
      <c r="N729" s="1"/>
      <c r="O729" s="1"/>
      <c r="P729" s="1"/>
      <c r="Q729" s="1"/>
      <c r="R729" s="1"/>
      <c r="S729" s="1"/>
      <c r="T729" s="1"/>
      <c r="U729" s="1"/>
      <c r="V729" s="1"/>
      <c r="W729" s="1"/>
      <c r="X729" s="1"/>
      <c r="Y729" s="1"/>
      <c r="Z729" s="1"/>
      <c r="AA729" s="1"/>
      <c r="AB729" s="1"/>
    </row>
    <row r="730" spans="1:28" ht="11.25" customHeight="1" x14ac:dyDescent="0.25">
      <c r="A730" s="825"/>
      <c r="B730" s="16"/>
      <c r="C730" s="16"/>
      <c r="D730" s="22"/>
      <c r="E730" s="262"/>
      <c r="F730" s="16"/>
      <c r="G730" s="16"/>
      <c r="H730" s="16"/>
      <c r="I730" s="16"/>
      <c r="J730" s="1"/>
      <c r="K730" s="1"/>
      <c r="L730" s="1"/>
      <c r="M730" s="262"/>
      <c r="N730" s="1"/>
      <c r="O730" s="1"/>
      <c r="P730" s="1"/>
      <c r="Q730" s="1"/>
      <c r="R730" s="1"/>
      <c r="S730" s="1"/>
      <c r="T730" s="1"/>
      <c r="U730" s="1"/>
      <c r="V730" s="1"/>
      <c r="W730" s="1"/>
      <c r="X730" s="1"/>
      <c r="Y730" s="1"/>
      <c r="Z730" s="1"/>
      <c r="AA730" s="1"/>
      <c r="AB730" s="1"/>
    </row>
    <row r="731" spans="1:28" ht="11.25" customHeight="1" x14ac:dyDescent="0.25">
      <c r="A731" s="825"/>
      <c r="B731" s="16"/>
      <c r="C731" s="16"/>
      <c r="D731" s="22"/>
      <c r="E731" s="262"/>
      <c r="F731" s="16"/>
      <c r="G731" s="16"/>
      <c r="H731" s="16"/>
      <c r="I731" s="16"/>
      <c r="J731" s="1"/>
      <c r="K731" s="1"/>
      <c r="L731" s="1"/>
      <c r="M731" s="262"/>
      <c r="N731" s="1"/>
      <c r="O731" s="1"/>
      <c r="P731" s="1"/>
      <c r="Q731" s="1"/>
      <c r="R731" s="1"/>
      <c r="S731" s="1"/>
      <c r="T731" s="1"/>
      <c r="U731" s="1"/>
      <c r="V731" s="1"/>
      <c r="W731" s="1"/>
      <c r="X731" s="1"/>
      <c r="Y731" s="1"/>
      <c r="Z731" s="1"/>
      <c r="AA731" s="1"/>
      <c r="AB731" s="1"/>
    </row>
    <row r="732" spans="1:28" ht="11.25" customHeight="1" x14ac:dyDescent="0.25">
      <c r="A732" s="825"/>
      <c r="B732" s="16"/>
      <c r="C732" s="16"/>
      <c r="D732" s="22"/>
      <c r="E732" s="262"/>
      <c r="F732" s="16"/>
      <c r="G732" s="16"/>
      <c r="H732" s="16"/>
      <c r="I732" s="16"/>
      <c r="J732" s="1"/>
      <c r="K732" s="1"/>
      <c r="L732" s="1"/>
      <c r="M732" s="262"/>
      <c r="N732" s="1"/>
      <c r="O732" s="1"/>
      <c r="P732" s="1"/>
      <c r="Q732" s="1"/>
      <c r="R732" s="1"/>
      <c r="S732" s="1"/>
      <c r="T732" s="1"/>
      <c r="U732" s="1"/>
      <c r="V732" s="1"/>
      <c r="W732" s="1"/>
      <c r="X732" s="1"/>
      <c r="Y732" s="1"/>
      <c r="Z732" s="1"/>
      <c r="AA732" s="1"/>
      <c r="AB732" s="1"/>
    </row>
    <row r="733" spans="1:28" ht="11.25" customHeight="1" x14ac:dyDescent="0.25">
      <c r="A733" s="825"/>
      <c r="B733" s="16"/>
      <c r="C733" s="16"/>
      <c r="D733" s="22"/>
      <c r="E733" s="262"/>
      <c r="F733" s="16"/>
      <c r="G733" s="16"/>
      <c r="H733" s="16"/>
      <c r="I733" s="16"/>
      <c r="J733" s="1"/>
      <c r="K733" s="1"/>
      <c r="L733" s="1"/>
      <c r="M733" s="262"/>
      <c r="N733" s="1"/>
      <c r="O733" s="1"/>
      <c r="P733" s="1"/>
      <c r="Q733" s="1"/>
      <c r="R733" s="1"/>
      <c r="S733" s="1"/>
      <c r="T733" s="1"/>
      <c r="U733" s="1"/>
      <c r="V733" s="1"/>
      <c r="W733" s="1"/>
      <c r="X733" s="1"/>
      <c r="Y733" s="1"/>
      <c r="Z733" s="1"/>
      <c r="AA733" s="1"/>
      <c r="AB733" s="1"/>
    </row>
    <row r="734" spans="1:28" ht="11.25" customHeight="1" x14ac:dyDescent="0.25">
      <c r="A734" s="825"/>
      <c r="B734" s="16"/>
      <c r="C734" s="16"/>
      <c r="D734" s="22"/>
      <c r="E734" s="262"/>
      <c r="F734" s="16"/>
      <c r="G734" s="16"/>
      <c r="H734" s="16"/>
      <c r="I734" s="16"/>
      <c r="J734" s="1"/>
      <c r="K734" s="1"/>
      <c r="L734" s="1"/>
      <c r="M734" s="262"/>
      <c r="N734" s="1"/>
      <c r="O734" s="1"/>
      <c r="P734" s="1"/>
      <c r="Q734" s="1"/>
      <c r="R734" s="1"/>
      <c r="S734" s="1"/>
      <c r="T734" s="1"/>
      <c r="U734" s="1"/>
      <c r="V734" s="1"/>
      <c r="W734" s="1"/>
      <c r="X734" s="1"/>
      <c r="Y734" s="1"/>
      <c r="Z734" s="1"/>
      <c r="AA734" s="1"/>
      <c r="AB734" s="1"/>
    </row>
    <row r="735" spans="1:28" ht="11.25" customHeight="1" x14ac:dyDescent="0.25">
      <c r="A735" s="825"/>
      <c r="B735" s="16"/>
      <c r="C735" s="16"/>
      <c r="D735" s="22"/>
      <c r="E735" s="262"/>
      <c r="F735" s="16"/>
      <c r="G735" s="16"/>
      <c r="H735" s="16"/>
      <c r="I735" s="16"/>
      <c r="J735" s="1"/>
      <c r="K735" s="1"/>
      <c r="L735" s="1"/>
      <c r="M735" s="262"/>
      <c r="N735" s="1"/>
      <c r="O735" s="1"/>
      <c r="P735" s="1"/>
      <c r="Q735" s="1"/>
      <c r="R735" s="1"/>
      <c r="S735" s="1"/>
      <c r="T735" s="1"/>
      <c r="U735" s="1"/>
      <c r="V735" s="1"/>
      <c r="W735" s="1"/>
      <c r="X735" s="1"/>
      <c r="Y735" s="1"/>
      <c r="Z735" s="1"/>
      <c r="AA735" s="1"/>
      <c r="AB735" s="1"/>
    </row>
    <row r="736" spans="1:28" ht="11.25" customHeight="1" x14ac:dyDescent="0.25">
      <c r="A736" s="825"/>
      <c r="B736" s="16"/>
      <c r="C736" s="16"/>
      <c r="D736" s="22"/>
      <c r="E736" s="262"/>
      <c r="F736" s="16"/>
      <c r="G736" s="16"/>
      <c r="H736" s="16"/>
      <c r="I736" s="16"/>
      <c r="J736" s="1"/>
      <c r="K736" s="1"/>
      <c r="L736" s="1"/>
      <c r="M736" s="262"/>
      <c r="N736" s="1"/>
      <c r="O736" s="1"/>
      <c r="P736" s="1"/>
      <c r="Q736" s="1"/>
      <c r="R736" s="1"/>
      <c r="S736" s="1"/>
      <c r="T736" s="1"/>
      <c r="U736" s="1"/>
      <c r="V736" s="1"/>
      <c r="W736" s="1"/>
      <c r="X736" s="1"/>
      <c r="Y736" s="1"/>
      <c r="Z736" s="1"/>
      <c r="AA736" s="1"/>
      <c r="AB736" s="1"/>
    </row>
    <row r="737" spans="1:28" ht="11.25" customHeight="1" x14ac:dyDescent="0.25">
      <c r="A737" s="825"/>
      <c r="B737" s="16"/>
      <c r="C737" s="16"/>
      <c r="D737" s="22"/>
      <c r="E737" s="262"/>
      <c r="F737" s="16"/>
      <c r="G737" s="16"/>
      <c r="H737" s="16"/>
      <c r="I737" s="16"/>
      <c r="J737" s="1"/>
      <c r="K737" s="1"/>
      <c r="L737" s="1"/>
      <c r="M737" s="262"/>
      <c r="N737" s="1"/>
      <c r="O737" s="1"/>
      <c r="P737" s="1"/>
      <c r="Q737" s="1"/>
      <c r="R737" s="1"/>
      <c r="S737" s="1"/>
      <c r="T737" s="1"/>
      <c r="U737" s="1"/>
      <c r="V737" s="1"/>
      <c r="W737" s="1"/>
      <c r="X737" s="1"/>
      <c r="Y737" s="1"/>
      <c r="Z737" s="1"/>
      <c r="AA737" s="1"/>
      <c r="AB737" s="1"/>
    </row>
    <row r="738" spans="1:28" ht="11.25" customHeight="1" x14ac:dyDescent="0.25">
      <c r="A738" s="825"/>
      <c r="B738" s="16"/>
      <c r="C738" s="16"/>
      <c r="D738" s="22"/>
      <c r="E738" s="262"/>
      <c r="F738" s="16"/>
      <c r="G738" s="16"/>
      <c r="H738" s="16"/>
      <c r="I738" s="16"/>
      <c r="J738" s="1"/>
      <c r="K738" s="1"/>
      <c r="L738" s="1"/>
      <c r="M738" s="262"/>
      <c r="N738" s="1"/>
      <c r="O738" s="1"/>
      <c r="P738" s="1"/>
      <c r="Q738" s="1"/>
      <c r="R738" s="1"/>
      <c r="S738" s="1"/>
      <c r="T738" s="1"/>
      <c r="U738" s="1"/>
      <c r="V738" s="1"/>
      <c r="W738" s="1"/>
      <c r="X738" s="1"/>
      <c r="Y738" s="1"/>
      <c r="Z738" s="1"/>
      <c r="AA738" s="1"/>
      <c r="AB738" s="1"/>
    </row>
    <row r="739" spans="1:28" ht="11.25" customHeight="1" x14ac:dyDescent="0.25">
      <c r="A739" s="825"/>
      <c r="B739" s="16"/>
      <c r="C739" s="16"/>
      <c r="D739" s="22"/>
      <c r="E739" s="262"/>
      <c r="F739" s="16"/>
      <c r="G739" s="16"/>
      <c r="H739" s="16"/>
      <c r="I739" s="16"/>
      <c r="J739" s="1"/>
      <c r="K739" s="1"/>
      <c r="L739" s="1"/>
      <c r="M739" s="262"/>
      <c r="N739" s="1"/>
      <c r="O739" s="1"/>
      <c r="P739" s="1"/>
      <c r="Q739" s="1"/>
      <c r="R739" s="1"/>
      <c r="S739" s="1"/>
      <c r="T739" s="1"/>
      <c r="U739" s="1"/>
      <c r="V739" s="1"/>
      <c r="W739" s="1"/>
      <c r="X739" s="1"/>
      <c r="Y739" s="1"/>
      <c r="Z739" s="1"/>
      <c r="AA739" s="1"/>
      <c r="AB739" s="1"/>
    </row>
    <row r="740" spans="1:28" ht="11.25" customHeight="1" x14ac:dyDescent="0.25">
      <c r="A740" s="825"/>
      <c r="B740" s="16"/>
      <c r="C740" s="16"/>
      <c r="D740" s="22"/>
      <c r="E740" s="262"/>
      <c r="F740" s="16"/>
      <c r="G740" s="16"/>
      <c r="H740" s="16"/>
      <c r="I740" s="16"/>
      <c r="J740" s="1"/>
      <c r="K740" s="1"/>
      <c r="L740" s="1"/>
      <c r="M740" s="262"/>
      <c r="N740" s="1"/>
      <c r="O740" s="1"/>
      <c r="P740" s="1"/>
      <c r="Q740" s="1"/>
      <c r="R740" s="1"/>
      <c r="S740" s="1"/>
      <c r="T740" s="1"/>
      <c r="U740" s="1"/>
      <c r="V740" s="1"/>
      <c r="W740" s="1"/>
      <c r="X740" s="1"/>
      <c r="Y740" s="1"/>
      <c r="Z740" s="1"/>
      <c r="AA740" s="1"/>
      <c r="AB740" s="1"/>
    </row>
    <row r="741" spans="1:28" ht="11.25" customHeight="1" x14ac:dyDescent="0.25">
      <c r="A741" s="825"/>
      <c r="B741" s="16"/>
      <c r="C741" s="16"/>
      <c r="D741" s="22"/>
      <c r="E741" s="262"/>
      <c r="F741" s="16"/>
      <c r="G741" s="16"/>
      <c r="H741" s="16"/>
      <c r="I741" s="16"/>
      <c r="J741" s="1"/>
      <c r="K741" s="1"/>
      <c r="L741" s="1"/>
      <c r="M741" s="262"/>
      <c r="N741" s="1"/>
      <c r="O741" s="1"/>
      <c r="P741" s="1"/>
      <c r="Q741" s="1"/>
      <c r="R741" s="1"/>
      <c r="S741" s="1"/>
      <c r="T741" s="1"/>
      <c r="U741" s="1"/>
      <c r="V741" s="1"/>
      <c r="W741" s="1"/>
      <c r="X741" s="1"/>
      <c r="Y741" s="1"/>
      <c r="Z741" s="1"/>
      <c r="AA741" s="1"/>
      <c r="AB741" s="1"/>
    </row>
    <row r="742" spans="1:28" ht="11.25" customHeight="1" x14ac:dyDescent="0.25">
      <c r="A742" s="825"/>
      <c r="B742" s="16"/>
      <c r="C742" s="16"/>
      <c r="D742" s="22"/>
      <c r="E742" s="262"/>
      <c r="F742" s="16"/>
      <c r="G742" s="16"/>
      <c r="H742" s="16"/>
      <c r="I742" s="16"/>
      <c r="J742" s="1"/>
      <c r="K742" s="1"/>
      <c r="L742" s="1"/>
      <c r="M742" s="262"/>
      <c r="N742" s="1"/>
      <c r="O742" s="1"/>
      <c r="P742" s="1"/>
      <c r="Q742" s="1"/>
      <c r="R742" s="1"/>
      <c r="S742" s="1"/>
      <c r="T742" s="1"/>
      <c r="U742" s="1"/>
      <c r="V742" s="1"/>
      <c r="W742" s="1"/>
      <c r="X742" s="1"/>
      <c r="Y742" s="1"/>
      <c r="Z742" s="1"/>
      <c r="AA742" s="1"/>
      <c r="AB742" s="1"/>
    </row>
    <row r="743" spans="1:28" ht="11.25" customHeight="1" x14ac:dyDescent="0.25">
      <c r="A743" s="825"/>
      <c r="B743" s="16"/>
      <c r="C743" s="16"/>
      <c r="D743" s="22"/>
      <c r="E743" s="262"/>
      <c r="F743" s="16"/>
      <c r="G743" s="16"/>
      <c r="H743" s="16"/>
      <c r="I743" s="16"/>
      <c r="J743" s="1"/>
      <c r="K743" s="1"/>
      <c r="L743" s="1"/>
      <c r="M743" s="262"/>
      <c r="N743" s="1"/>
      <c r="O743" s="1"/>
      <c r="P743" s="1"/>
      <c r="Q743" s="1"/>
      <c r="R743" s="1"/>
      <c r="S743" s="1"/>
      <c r="T743" s="1"/>
      <c r="U743" s="1"/>
      <c r="V743" s="1"/>
      <c r="W743" s="1"/>
      <c r="X743" s="1"/>
      <c r="Y743" s="1"/>
      <c r="Z743" s="1"/>
      <c r="AA743" s="1"/>
      <c r="AB743" s="1"/>
    </row>
    <row r="744" spans="1:28" ht="11.25" customHeight="1" x14ac:dyDescent="0.25">
      <c r="A744" s="825"/>
      <c r="B744" s="16"/>
      <c r="C744" s="16"/>
      <c r="D744" s="22"/>
      <c r="E744" s="262"/>
      <c r="F744" s="16"/>
      <c r="G744" s="16"/>
      <c r="H744" s="16"/>
      <c r="I744" s="16"/>
      <c r="J744" s="1"/>
      <c r="K744" s="1"/>
      <c r="L744" s="1"/>
      <c r="M744" s="262"/>
      <c r="N744" s="1"/>
      <c r="O744" s="1"/>
      <c r="P744" s="1"/>
      <c r="Q744" s="1"/>
      <c r="R744" s="1"/>
      <c r="S744" s="1"/>
      <c r="T744" s="1"/>
      <c r="U744" s="1"/>
      <c r="V744" s="1"/>
      <c r="W744" s="1"/>
      <c r="X744" s="1"/>
      <c r="Y744" s="1"/>
      <c r="Z744" s="1"/>
      <c r="AA744" s="1"/>
      <c r="AB744" s="1"/>
    </row>
    <row r="745" spans="1:28" ht="11.25" customHeight="1" x14ac:dyDescent="0.25">
      <c r="A745" s="825"/>
      <c r="B745" s="16"/>
      <c r="C745" s="16"/>
      <c r="D745" s="22"/>
      <c r="E745" s="262"/>
      <c r="F745" s="16"/>
      <c r="G745" s="16"/>
      <c r="H745" s="16"/>
      <c r="I745" s="16"/>
      <c r="J745" s="1"/>
      <c r="K745" s="1"/>
      <c r="L745" s="1"/>
      <c r="M745" s="262"/>
      <c r="N745" s="1"/>
      <c r="O745" s="1"/>
      <c r="P745" s="1"/>
      <c r="Q745" s="1"/>
      <c r="R745" s="1"/>
      <c r="S745" s="1"/>
      <c r="T745" s="1"/>
      <c r="U745" s="1"/>
      <c r="V745" s="1"/>
      <c r="W745" s="1"/>
      <c r="X745" s="1"/>
      <c r="Y745" s="1"/>
      <c r="Z745" s="1"/>
      <c r="AA745" s="1"/>
      <c r="AB745" s="1"/>
    </row>
    <row r="746" spans="1:28" ht="11.25" customHeight="1" x14ac:dyDescent="0.25">
      <c r="A746" s="825"/>
      <c r="B746" s="16"/>
      <c r="C746" s="16"/>
      <c r="D746" s="22"/>
      <c r="E746" s="262"/>
      <c r="F746" s="16"/>
      <c r="G746" s="16"/>
      <c r="H746" s="16"/>
      <c r="I746" s="16"/>
      <c r="J746" s="1"/>
      <c r="K746" s="1"/>
      <c r="L746" s="1"/>
      <c r="M746" s="262"/>
      <c r="N746" s="1"/>
      <c r="O746" s="1"/>
      <c r="P746" s="1"/>
      <c r="Q746" s="1"/>
      <c r="R746" s="1"/>
      <c r="S746" s="1"/>
      <c r="T746" s="1"/>
      <c r="U746" s="1"/>
      <c r="V746" s="1"/>
      <c r="W746" s="1"/>
      <c r="X746" s="1"/>
      <c r="Y746" s="1"/>
      <c r="Z746" s="1"/>
      <c r="AA746" s="1"/>
      <c r="AB746" s="1"/>
    </row>
    <row r="747" spans="1:28" ht="11.25" customHeight="1" x14ac:dyDescent="0.25">
      <c r="A747" s="825"/>
      <c r="B747" s="16"/>
      <c r="C747" s="16"/>
      <c r="D747" s="22"/>
      <c r="E747" s="262"/>
      <c r="F747" s="16"/>
      <c r="G747" s="16"/>
      <c r="H747" s="16"/>
      <c r="I747" s="16"/>
      <c r="J747" s="1"/>
      <c r="K747" s="1"/>
      <c r="L747" s="1"/>
      <c r="M747" s="262"/>
      <c r="N747" s="1"/>
      <c r="O747" s="1"/>
      <c r="P747" s="1"/>
      <c r="Q747" s="1"/>
      <c r="R747" s="1"/>
      <c r="S747" s="1"/>
      <c r="T747" s="1"/>
      <c r="U747" s="1"/>
      <c r="V747" s="1"/>
      <c r="W747" s="1"/>
      <c r="X747" s="1"/>
      <c r="Y747" s="1"/>
      <c r="Z747" s="1"/>
      <c r="AA747" s="1"/>
      <c r="AB747" s="1"/>
    </row>
    <row r="748" spans="1:28" ht="11.25" customHeight="1" x14ac:dyDescent="0.25">
      <c r="A748" s="825"/>
      <c r="B748" s="16"/>
      <c r="C748" s="16"/>
      <c r="D748" s="22"/>
      <c r="E748" s="262"/>
      <c r="F748" s="16"/>
      <c r="G748" s="16"/>
      <c r="H748" s="16"/>
      <c r="I748" s="16"/>
      <c r="J748" s="1"/>
      <c r="K748" s="1"/>
      <c r="L748" s="1"/>
      <c r="M748" s="262"/>
      <c r="N748" s="1"/>
      <c r="O748" s="1"/>
      <c r="P748" s="1"/>
      <c r="Q748" s="1"/>
      <c r="R748" s="1"/>
      <c r="S748" s="1"/>
      <c r="T748" s="1"/>
      <c r="U748" s="1"/>
      <c r="V748" s="1"/>
      <c r="W748" s="1"/>
      <c r="X748" s="1"/>
      <c r="Y748" s="1"/>
      <c r="Z748" s="1"/>
      <c r="AA748" s="1"/>
      <c r="AB748" s="1"/>
    </row>
    <row r="749" spans="1:28" ht="11.25" customHeight="1" x14ac:dyDescent="0.25">
      <c r="A749" s="825"/>
      <c r="B749" s="16"/>
      <c r="C749" s="16"/>
      <c r="D749" s="22"/>
      <c r="E749" s="262"/>
      <c r="F749" s="16"/>
      <c r="G749" s="16"/>
      <c r="H749" s="16"/>
      <c r="I749" s="16"/>
      <c r="J749" s="1"/>
      <c r="K749" s="1"/>
      <c r="L749" s="1"/>
      <c r="M749" s="262"/>
      <c r="N749" s="1"/>
      <c r="O749" s="1"/>
      <c r="P749" s="1"/>
      <c r="Q749" s="1"/>
      <c r="R749" s="1"/>
      <c r="S749" s="1"/>
      <c r="T749" s="1"/>
      <c r="U749" s="1"/>
      <c r="V749" s="1"/>
      <c r="W749" s="1"/>
      <c r="X749" s="1"/>
      <c r="Y749" s="1"/>
      <c r="Z749" s="1"/>
      <c r="AA749" s="1"/>
      <c r="AB749" s="1"/>
    </row>
    <row r="750" spans="1:28" ht="11.25" customHeight="1" x14ac:dyDescent="0.25">
      <c r="A750" s="825"/>
      <c r="B750" s="16"/>
      <c r="C750" s="16"/>
      <c r="D750" s="22"/>
      <c r="E750" s="262"/>
      <c r="F750" s="16"/>
      <c r="G750" s="16"/>
      <c r="H750" s="16"/>
      <c r="I750" s="16"/>
      <c r="J750" s="1"/>
      <c r="K750" s="1"/>
      <c r="L750" s="1"/>
      <c r="M750" s="262"/>
      <c r="N750" s="1"/>
      <c r="O750" s="1"/>
      <c r="P750" s="1"/>
      <c r="Q750" s="1"/>
      <c r="R750" s="1"/>
      <c r="S750" s="1"/>
      <c r="T750" s="1"/>
      <c r="U750" s="1"/>
      <c r="V750" s="1"/>
      <c r="W750" s="1"/>
      <c r="X750" s="1"/>
      <c r="Y750" s="1"/>
      <c r="Z750" s="1"/>
      <c r="AA750" s="1"/>
      <c r="AB750" s="1"/>
    </row>
    <row r="751" spans="1:28" ht="11.25" customHeight="1" x14ac:dyDescent="0.25">
      <c r="A751" s="825"/>
      <c r="B751" s="16"/>
      <c r="C751" s="16"/>
      <c r="D751" s="22"/>
      <c r="E751" s="262"/>
      <c r="F751" s="16"/>
      <c r="G751" s="16"/>
      <c r="H751" s="16"/>
      <c r="I751" s="16"/>
      <c r="J751" s="1"/>
      <c r="K751" s="1"/>
      <c r="L751" s="1"/>
      <c r="M751" s="262"/>
      <c r="N751" s="1"/>
      <c r="O751" s="1"/>
      <c r="P751" s="1"/>
      <c r="Q751" s="1"/>
      <c r="R751" s="1"/>
      <c r="S751" s="1"/>
      <c r="T751" s="1"/>
      <c r="U751" s="1"/>
      <c r="V751" s="1"/>
      <c r="W751" s="1"/>
      <c r="X751" s="1"/>
      <c r="Y751" s="1"/>
      <c r="Z751" s="1"/>
      <c r="AA751" s="1"/>
      <c r="AB751" s="1"/>
    </row>
    <row r="752" spans="1:28" ht="11.25" customHeight="1" x14ac:dyDescent="0.25">
      <c r="A752" s="825"/>
      <c r="B752" s="16"/>
      <c r="C752" s="16"/>
      <c r="D752" s="22"/>
      <c r="E752" s="262"/>
      <c r="F752" s="16"/>
      <c r="G752" s="16"/>
      <c r="H752" s="16"/>
      <c r="I752" s="16"/>
      <c r="J752" s="1"/>
      <c r="K752" s="1"/>
      <c r="L752" s="1"/>
      <c r="M752" s="262"/>
      <c r="N752" s="1"/>
      <c r="O752" s="1"/>
      <c r="P752" s="1"/>
      <c r="Q752" s="1"/>
      <c r="R752" s="1"/>
      <c r="S752" s="1"/>
      <c r="T752" s="1"/>
      <c r="U752" s="1"/>
      <c r="V752" s="1"/>
      <c r="W752" s="1"/>
      <c r="X752" s="1"/>
      <c r="Y752" s="1"/>
      <c r="Z752" s="1"/>
      <c r="AA752" s="1"/>
      <c r="AB752" s="1"/>
    </row>
    <row r="753" spans="1:28" ht="11.25" customHeight="1" x14ac:dyDescent="0.25">
      <c r="A753" s="825"/>
      <c r="B753" s="16"/>
      <c r="C753" s="16"/>
      <c r="D753" s="22"/>
      <c r="E753" s="262"/>
      <c r="F753" s="16"/>
      <c r="G753" s="16"/>
      <c r="H753" s="16"/>
      <c r="I753" s="16"/>
      <c r="J753" s="1"/>
      <c r="K753" s="1"/>
      <c r="L753" s="1"/>
      <c r="M753" s="262"/>
      <c r="N753" s="1"/>
      <c r="O753" s="1"/>
      <c r="P753" s="1"/>
      <c r="Q753" s="1"/>
      <c r="R753" s="1"/>
      <c r="S753" s="1"/>
      <c r="T753" s="1"/>
      <c r="U753" s="1"/>
      <c r="V753" s="1"/>
      <c r="W753" s="1"/>
      <c r="X753" s="1"/>
      <c r="Y753" s="1"/>
      <c r="Z753" s="1"/>
      <c r="AA753" s="1"/>
      <c r="AB753" s="1"/>
    </row>
    <row r="754" spans="1:28" ht="11.25" customHeight="1" x14ac:dyDescent="0.25">
      <c r="A754" s="825"/>
      <c r="B754" s="16"/>
      <c r="C754" s="16"/>
      <c r="D754" s="22"/>
      <c r="E754" s="262"/>
      <c r="F754" s="16"/>
      <c r="G754" s="16"/>
      <c r="H754" s="16"/>
      <c r="I754" s="16"/>
      <c r="J754" s="1"/>
      <c r="K754" s="1"/>
      <c r="L754" s="1"/>
      <c r="M754" s="262"/>
      <c r="N754" s="1"/>
      <c r="O754" s="1"/>
      <c r="P754" s="1"/>
      <c r="Q754" s="1"/>
      <c r="R754" s="1"/>
      <c r="S754" s="1"/>
      <c r="T754" s="1"/>
      <c r="U754" s="1"/>
      <c r="V754" s="1"/>
      <c r="W754" s="1"/>
      <c r="X754" s="1"/>
      <c r="Y754" s="1"/>
      <c r="Z754" s="1"/>
      <c r="AA754" s="1"/>
      <c r="AB754" s="1"/>
    </row>
    <row r="755" spans="1:28" ht="11.25" customHeight="1" x14ac:dyDescent="0.25">
      <c r="A755" s="825"/>
      <c r="B755" s="16"/>
      <c r="C755" s="16"/>
      <c r="D755" s="22"/>
      <c r="E755" s="262"/>
      <c r="F755" s="16"/>
      <c r="G755" s="16"/>
      <c r="H755" s="16"/>
      <c r="I755" s="16"/>
      <c r="J755" s="1"/>
      <c r="K755" s="1"/>
      <c r="L755" s="1"/>
      <c r="M755" s="262"/>
      <c r="N755" s="1"/>
      <c r="O755" s="1"/>
      <c r="P755" s="1"/>
      <c r="Q755" s="1"/>
      <c r="R755" s="1"/>
      <c r="S755" s="1"/>
      <c r="T755" s="1"/>
      <c r="U755" s="1"/>
      <c r="V755" s="1"/>
      <c r="W755" s="1"/>
      <c r="X755" s="1"/>
      <c r="Y755" s="1"/>
      <c r="Z755" s="1"/>
      <c r="AA755" s="1"/>
      <c r="AB755" s="1"/>
    </row>
    <row r="756" spans="1:28" ht="11.25" customHeight="1" x14ac:dyDescent="0.25">
      <c r="A756" s="825"/>
      <c r="B756" s="16"/>
      <c r="C756" s="16"/>
      <c r="D756" s="22"/>
      <c r="E756" s="262"/>
      <c r="F756" s="16"/>
      <c r="G756" s="16"/>
      <c r="H756" s="16"/>
      <c r="I756" s="16"/>
      <c r="J756" s="1"/>
      <c r="K756" s="1"/>
      <c r="L756" s="1"/>
      <c r="M756" s="262"/>
      <c r="N756" s="1"/>
      <c r="O756" s="1"/>
      <c r="P756" s="1"/>
      <c r="Q756" s="1"/>
      <c r="R756" s="1"/>
      <c r="S756" s="1"/>
      <c r="T756" s="1"/>
      <c r="U756" s="1"/>
      <c r="V756" s="1"/>
      <c r="W756" s="1"/>
      <c r="X756" s="1"/>
      <c r="Y756" s="1"/>
      <c r="Z756" s="1"/>
      <c r="AA756" s="1"/>
      <c r="AB756" s="1"/>
    </row>
    <row r="757" spans="1:28" ht="11.25" customHeight="1" x14ac:dyDescent="0.25">
      <c r="A757" s="825"/>
      <c r="B757" s="16"/>
      <c r="C757" s="16"/>
      <c r="D757" s="22"/>
      <c r="E757" s="262"/>
      <c r="F757" s="16"/>
      <c r="G757" s="16"/>
      <c r="H757" s="16"/>
      <c r="I757" s="16"/>
      <c r="J757" s="1"/>
      <c r="K757" s="1"/>
      <c r="L757" s="1"/>
      <c r="M757" s="262"/>
      <c r="N757" s="1"/>
      <c r="O757" s="1"/>
      <c r="P757" s="1"/>
      <c r="Q757" s="1"/>
      <c r="R757" s="1"/>
      <c r="S757" s="1"/>
      <c r="T757" s="1"/>
      <c r="U757" s="1"/>
      <c r="V757" s="1"/>
      <c r="W757" s="1"/>
      <c r="X757" s="1"/>
      <c r="Y757" s="1"/>
      <c r="Z757" s="1"/>
      <c r="AA757" s="1"/>
      <c r="AB757" s="1"/>
    </row>
    <row r="758" spans="1:28" ht="11.25" customHeight="1" x14ac:dyDescent="0.25">
      <c r="A758" s="825"/>
      <c r="B758" s="16"/>
      <c r="C758" s="16"/>
      <c r="D758" s="22"/>
      <c r="E758" s="262"/>
      <c r="F758" s="16"/>
      <c r="G758" s="16"/>
      <c r="H758" s="16"/>
      <c r="I758" s="16"/>
      <c r="J758" s="1"/>
      <c r="K758" s="1"/>
      <c r="L758" s="1"/>
      <c r="M758" s="262"/>
      <c r="N758" s="1"/>
      <c r="O758" s="1"/>
      <c r="P758" s="1"/>
      <c r="Q758" s="1"/>
      <c r="R758" s="1"/>
      <c r="S758" s="1"/>
      <c r="T758" s="1"/>
      <c r="U758" s="1"/>
      <c r="V758" s="1"/>
      <c r="W758" s="1"/>
      <c r="X758" s="1"/>
      <c r="Y758" s="1"/>
      <c r="Z758" s="1"/>
      <c r="AA758" s="1"/>
      <c r="AB758" s="1"/>
    </row>
    <row r="759" spans="1:28" ht="11.25" customHeight="1" x14ac:dyDescent="0.25">
      <c r="A759" s="825"/>
      <c r="B759" s="16"/>
      <c r="C759" s="16"/>
      <c r="D759" s="22"/>
      <c r="E759" s="262"/>
      <c r="F759" s="16"/>
      <c r="G759" s="16"/>
      <c r="H759" s="16"/>
      <c r="I759" s="16"/>
      <c r="J759" s="1"/>
      <c r="K759" s="1"/>
      <c r="L759" s="1"/>
      <c r="M759" s="262"/>
      <c r="N759" s="1"/>
      <c r="O759" s="1"/>
      <c r="P759" s="1"/>
      <c r="Q759" s="1"/>
      <c r="R759" s="1"/>
      <c r="S759" s="1"/>
      <c r="T759" s="1"/>
      <c r="U759" s="1"/>
      <c r="V759" s="1"/>
      <c r="W759" s="1"/>
      <c r="X759" s="1"/>
      <c r="Y759" s="1"/>
      <c r="Z759" s="1"/>
      <c r="AA759" s="1"/>
      <c r="AB759" s="1"/>
    </row>
    <row r="760" spans="1:28" ht="11.25" customHeight="1" x14ac:dyDescent="0.25">
      <c r="A760" s="825"/>
      <c r="B760" s="16"/>
      <c r="C760" s="16"/>
      <c r="D760" s="22"/>
      <c r="E760" s="262"/>
      <c r="F760" s="16"/>
      <c r="G760" s="16"/>
      <c r="H760" s="16"/>
      <c r="I760" s="16"/>
      <c r="J760" s="1"/>
      <c r="K760" s="1"/>
      <c r="L760" s="1"/>
      <c r="M760" s="262"/>
      <c r="N760" s="1"/>
      <c r="O760" s="1"/>
      <c r="P760" s="1"/>
      <c r="Q760" s="1"/>
      <c r="R760" s="1"/>
      <c r="S760" s="1"/>
      <c r="T760" s="1"/>
      <c r="U760" s="1"/>
      <c r="V760" s="1"/>
      <c r="W760" s="1"/>
      <c r="X760" s="1"/>
      <c r="Y760" s="1"/>
      <c r="Z760" s="1"/>
      <c r="AA760" s="1"/>
      <c r="AB760" s="1"/>
    </row>
    <row r="761" spans="1:28" ht="11.25" customHeight="1" x14ac:dyDescent="0.25">
      <c r="A761" s="825"/>
      <c r="B761" s="16"/>
      <c r="C761" s="16"/>
      <c r="D761" s="22"/>
      <c r="E761" s="262"/>
      <c r="F761" s="16"/>
      <c r="G761" s="16"/>
      <c r="H761" s="16"/>
      <c r="I761" s="16"/>
      <c r="J761" s="1"/>
      <c r="K761" s="1"/>
      <c r="L761" s="1"/>
      <c r="M761" s="262"/>
      <c r="N761" s="1"/>
      <c r="O761" s="1"/>
      <c r="P761" s="1"/>
      <c r="Q761" s="1"/>
      <c r="R761" s="1"/>
      <c r="S761" s="1"/>
      <c r="T761" s="1"/>
      <c r="U761" s="1"/>
      <c r="V761" s="1"/>
      <c r="W761" s="1"/>
      <c r="X761" s="1"/>
      <c r="Y761" s="1"/>
      <c r="Z761" s="1"/>
      <c r="AA761" s="1"/>
      <c r="AB761" s="1"/>
    </row>
    <row r="762" spans="1:28" ht="11.25" customHeight="1" x14ac:dyDescent="0.25">
      <c r="A762" s="825"/>
      <c r="B762" s="16"/>
      <c r="C762" s="16"/>
      <c r="D762" s="22"/>
      <c r="E762" s="262"/>
      <c r="F762" s="16"/>
      <c r="G762" s="16"/>
      <c r="H762" s="16"/>
      <c r="I762" s="16"/>
      <c r="J762" s="1"/>
      <c r="K762" s="1"/>
      <c r="L762" s="1"/>
      <c r="M762" s="262"/>
      <c r="N762" s="1"/>
      <c r="O762" s="1"/>
      <c r="P762" s="1"/>
      <c r="Q762" s="1"/>
      <c r="R762" s="1"/>
      <c r="S762" s="1"/>
      <c r="T762" s="1"/>
      <c r="U762" s="1"/>
      <c r="V762" s="1"/>
      <c r="W762" s="1"/>
      <c r="X762" s="1"/>
      <c r="Y762" s="1"/>
      <c r="Z762" s="1"/>
      <c r="AA762" s="1"/>
      <c r="AB762" s="1"/>
    </row>
    <row r="763" spans="1:28" ht="11.25" customHeight="1" x14ac:dyDescent="0.25">
      <c r="A763" s="825"/>
      <c r="B763" s="16"/>
      <c r="C763" s="16"/>
      <c r="D763" s="22"/>
      <c r="E763" s="262"/>
      <c r="F763" s="16"/>
      <c r="G763" s="16"/>
      <c r="H763" s="16"/>
      <c r="I763" s="16"/>
      <c r="J763" s="1"/>
      <c r="K763" s="1"/>
      <c r="L763" s="1"/>
      <c r="M763" s="262"/>
      <c r="N763" s="1"/>
      <c r="O763" s="1"/>
      <c r="P763" s="1"/>
      <c r="Q763" s="1"/>
      <c r="R763" s="1"/>
      <c r="S763" s="1"/>
      <c r="T763" s="1"/>
      <c r="U763" s="1"/>
      <c r="V763" s="1"/>
      <c r="W763" s="1"/>
      <c r="X763" s="1"/>
      <c r="Y763" s="1"/>
      <c r="Z763" s="1"/>
      <c r="AA763" s="1"/>
      <c r="AB763" s="1"/>
    </row>
    <row r="764" spans="1:28" ht="11.25" customHeight="1" x14ac:dyDescent="0.25">
      <c r="A764" s="825"/>
      <c r="B764" s="16"/>
      <c r="C764" s="16"/>
      <c r="D764" s="22"/>
      <c r="E764" s="262"/>
      <c r="F764" s="16"/>
      <c r="G764" s="16"/>
      <c r="H764" s="16"/>
      <c r="I764" s="16"/>
      <c r="J764" s="1"/>
      <c r="K764" s="1"/>
      <c r="L764" s="1"/>
      <c r="M764" s="262"/>
      <c r="N764" s="1"/>
      <c r="O764" s="1"/>
      <c r="P764" s="1"/>
      <c r="Q764" s="1"/>
      <c r="R764" s="1"/>
      <c r="S764" s="1"/>
      <c r="T764" s="1"/>
      <c r="U764" s="1"/>
      <c r="V764" s="1"/>
      <c r="W764" s="1"/>
      <c r="X764" s="1"/>
      <c r="Y764" s="1"/>
      <c r="Z764" s="1"/>
      <c r="AA764" s="1"/>
      <c r="AB764" s="1"/>
    </row>
    <row r="765" spans="1:28" ht="11.25" customHeight="1" x14ac:dyDescent="0.25">
      <c r="A765" s="825"/>
      <c r="B765" s="16"/>
      <c r="C765" s="16"/>
      <c r="D765" s="22"/>
      <c r="E765" s="262"/>
      <c r="F765" s="16"/>
      <c r="G765" s="16"/>
      <c r="H765" s="16"/>
      <c r="I765" s="16"/>
      <c r="J765" s="1"/>
      <c r="K765" s="1"/>
      <c r="L765" s="1"/>
      <c r="M765" s="262"/>
      <c r="N765" s="1"/>
      <c r="O765" s="1"/>
      <c r="P765" s="1"/>
      <c r="Q765" s="1"/>
      <c r="R765" s="1"/>
      <c r="S765" s="1"/>
      <c r="T765" s="1"/>
      <c r="U765" s="1"/>
      <c r="V765" s="1"/>
      <c r="W765" s="1"/>
      <c r="X765" s="1"/>
      <c r="Y765" s="1"/>
      <c r="Z765" s="1"/>
      <c r="AA765" s="1"/>
      <c r="AB765" s="1"/>
    </row>
    <row r="766" spans="1:28" ht="11.25" customHeight="1" x14ac:dyDescent="0.25">
      <c r="A766" s="825"/>
      <c r="B766" s="16"/>
      <c r="C766" s="16"/>
      <c r="D766" s="22"/>
      <c r="E766" s="262"/>
      <c r="F766" s="16"/>
      <c r="G766" s="16"/>
      <c r="H766" s="16"/>
      <c r="I766" s="16"/>
      <c r="J766" s="1"/>
      <c r="K766" s="1"/>
      <c r="L766" s="1"/>
      <c r="M766" s="262"/>
      <c r="N766" s="1"/>
      <c r="O766" s="1"/>
      <c r="P766" s="1"/>
      <c r="Q766" s="1"/>
      <c r="R766" s="1"/>
      <c r="S766" s="1"/>
      <c r="T766" s="1"/>
      <c r="U766" s="1"/>
      <c r="V766" s="1"/>
      <c r="W766" s="1"/>
      <c r="X766" s="1"/>
      <c r="Y766" s="1"/>
      <c r="Z766" s="1"/>
      <c r="AA766" s="1"/>
      <c r="AB766" s="1"/>
    </row>
    <row r="767" spans="1:28" ht="11.25" customHeight="1" x14ac:dyDescent="0.25">
      <c r="A767" s="825"/>
      <c r="B767" s="16"/>
      <c r="C767" s="16"/>
      <c r="D767" s="22"/>
      <c r="E767" s="262"/>
      <c r="F767" s="16"/>
      <c r="G767" s="16"/>
      <c r="H767" s="16"/>
      <c r="I767" s="16"/>
      <c r="J767" s="1"/>
      <c r="K767" s="1"/>
      <c r="L767" s="1"/>
      <c r="M767" s="262"/>
      <c r="N767" s="1"/>
      <c r="O767" s="1"/>
      <c r="P767" s="1"/>
      <c r="Q767" s="1"/>
      <c r="R767" s="1"/>
      <c r="S767" s="1"/>
      <c r="T767" s="1"/>
      <c r="U767" s="1"/>
      <c r="V767" s="1"/>
      <c r="W767" s="1"/>
      <c r="X767" s="1"/>
      <c r="Y767" s="1"/>
      <c r="Z767" s="1"/>
      <c r="AA767" s="1"/>
      <c r="AB767" s="1"/>
    </row>
    <row r="768" spans="1:28" ht="11.25" customHeight="1" x14ac:dyDescent="0.25">
      <c r="A768" s="825"/>
      <c r="B768" s="16"/>
      <c r="C768" s="16"/>
      <c r="D768" s="22"/>
      <c r="E768" s="262"/>
      <c r="F768" s="16"/>
      <c r="G768" s="16"/>
      <c r="H768" s="16"/>
      <c r="I768" s="16"/>
      <c r="J768" s="1"/>
      <c r="K768" s="1"/>
      <c r="L768" s="1"/>
      <c r="M768" s="262"/>
      <c r="N768" s="1"/>
      <c r="O768" s="1"/>
      <c r="P768" s="1"/>
      <c r="Q768" s="1"/>
      <c r="R768" s="1"/>
      <c r="S768" s="1"/>
      <c r="T768" s="1"/>
      <c r="U768" s="1"/>
      <c r="V768" s="1"/>
      <c r="W768" s="1"/>
      <c r="X768" s="1"/>
      <c r="Y768" s="1"/>
      <c r="Z768" s="1"/>
      <c r="AA768" s="1"/>
      <c r="AB768" s="1"/>
    </row>
    <row r="769" spans="1:28" ht="11.25" customHeight="1" x14ac:dyDescent="0.25">
      <c r="A769" s="825"/>
      <c r="B769" s="16"/>
      <c r="C769" s="16"/>
      <c r="D769" s="22"/>
      <c r="E769" s="262"/>
      <c r="F769" s="16"/>
      <c r="G769" s="16"/>
      <c r="H769" s="16"/>
      <c r="I769" s="16"/>
      <c r="J769" s="1"/>
      <c r="K769" s="1"/>
      <c r="L769" s="1"/>
      <c r="M769" s="262"/>
      <c r="N769" s="1"/>
      <c r="O769" s="1"/>
      <c r="P769" s="1"/>
      <c r="Q769" s="1"/>
      <c r="R769" s="1"/>
      <c r="S769" s="1"/>
      <c r="T769" s="1"/>
      <c r="U769" s="1"/>
      <c r="V769" s="1"/>
      <c r="W769" s="1"/>
      <c r="X769" s="1"/>
      <c r="Y769" s="1"/>
      <c r="Z769" s="1"/>
      <c r="AA769" s="1"/>
      <c r="AB769" s="1"/>
    </row>
    <row r="770" spans="1:28" ht="11.25" customHeight="1" x14ac:dyDescent="0.25">
      <c r="A770" s="825"/>
      <c r="B770" s="16"/>
      <c r="C770" s="16"/>
      <c r="D770" s="22"/>
      <c r="E770" s="262"/>
      <c r="F770" s="16"/>
      <c r="G770" s="16"/>
      <c r="H770" s="16"/>
      <c r="I770" s="16"/>
      <c r="J770" s="1"/>
      <c r="K770" s="1"/>
      <c r="L770" s="1"/>
      <c r="M770" s="262"/>
      <c r="N770" s="1"/>
      <c r="O770" s="1"/>
      <c r="P770" s="1"/>
      <c r="Q770" s="1"/>
      <c r="R770" s="1"/>
      <c r="S770" s="1"/>
      <c r="T770" s="1"/>
      <c r="U770" s="1"/>
      <c r="V770" s="1"/>
      <c r="W770" s="1"/>
      <c r="X770" s="1"/>
      <c r="Y770" s="1"/>
      <c r="Z770" s="1"/>
      <c r="AA770" s="1"/>
      <c r="AB770" s="1"/>
    </row>
    <row r="771" spans="1:28" ht="11.25" customHeight="1" x14ac:dyDescent="0.25">
      <c r="A771" s="825"/>
      <c r="B771" s="16"/>
      <c r="C771" s="16"/>
      <c r="D771" s="22"/>
      <c r="E771" s="262"/>
      <c r="F771" s="16"/>
      <c r="G771" s="16"/>
      <c r="H771" s="16"/>
      <c r="I771" s="16"/>
      <c r="J771" s="1"/>
      <c r="K771" s="1"/>
      <c r="L771" s="1"/>
      <c r="M771" s="262"/>
      <c r="N771" s="1"/>
      <c r="O771" s="1"/>
      <c r="P771" s="1"/>
      <c r="Q771" s="1"/>
      <c r="R771" s="1"/>
      <c r="S771" s="1"/>
      <c r="T771" s="1"/>
      <c r="U771" s="1"/>
      <c r="V771" s="1"/>
      <c r="W771" s="1"/>
      <c r="X771" s="1"/>
      <c r="Y771" s="1"/>
      <c r="Z771" s="1"/>
      <c r="AA771" s="1"/>
      <c r="AB771" s="1"/>
    </row>
    <row r="772" spans="1:28" ht="11.25" customHeight="1" x14ac:dyDescent="0.25">
      <c r="A772" s="825"/>
      <c r="B772" s="16"/>
      <c r="C772" s="16"/>
      <c r="D772" s="22"/>
      <c r="E772" s="262"/>
      <c r="F772" s="16"/>
      <c r="G772" s="16"/>
      <c r="H772" s="16"/>
      <c r="I772" s="16"/>
      <c r="J772" s="1"/>
      <c r="K772" s="1"/>
      <c r="L772" s="1"/>
      <c r="M772" s="262"/>
      <c r="N772" s="1"/>
      <c r="O772" s="1"/>
      <c r="P772" s="1"/>
      <c r="Q772" s="1"/>
      <c r="R772" s="1"/>
      <c r="S772" s="1"/>
      <c r="T772" s="1"/>
      <c r="U772" s="1"/>
      <c r="V772" s="1"/>
      <c r="W772" s="1"/>
      <c r="X772" s="1"/>
      <c r="Y772" s="1"/>
      <c r="Z772" s="1"/>
      <c r="AA772" s="1"/>
      <c r="AB772" s="1"/>
    </row>
    <row r="773" spans="1:28" ht="11.25" customHeight="1" x14ac:dyDescent="0.25">
      <c r="A773" s="825"/>
      <c r="B773" s="16"/>
      <c r="C773" s="16"/>
      <c r="D773" s="22"/>
      <c r="E773" s="262"/>
      <c r="F773" s="16"/>
      <c r="G773" s="16"/>
      <c r="H773" s="16"/>
      <c r="I773" s="16"/>
      <c r="J773" s="1"/>
      <c r="K773" s="1"/>
      <c r="L773" s="1"/>
      <c r="M773" s="262"/>
      <c r="N773" s="1"/>
      <c r="O773" s="1"/>
      <c r="P773" s="1"/>
      <c r="Q773" s="1"/>
      <c r="R773" s="1"/>
      <c r="S773" s="1"/>
      <c r="T773" s="1"/>
      <c r="U773" s="1"/>
      <c r="V773" s="1"/>
      <c r="W773" s="1"/>
      <c r="X773" s="1"/>
      <c r="Y773" s="1"/>
      <c r="Z773" s="1"/>
      <c r="AA773" s="1"/>
      <c r="AB773" s="1"/>
    </row>
    <row r="774" spans="1:28" ht="11.25" customHeight="1" x14ac:dyDescent="0.25">
      <c r="A774" s="825"/>
      <c r="B774" s="16"/>
      <c r="C774" s="16"/>
      <c r="D774" s="22"/>
      <c r="E774" s="262"/>
      <c r="F774" s="16"/>
      <c r="G774" s="16"/>
      <c r="H774" s="16"/>
      <c r="I774" s="16"/>
      <c r="J774" s="1"/>
      <c r="K774" s="1"/>
      <c r="L774" s="1"/>
      <c r="M774" s="262"/>
      <c r="N774" s="1"/>
      <c r="O774" s="1"/>
      <c r="P774" s="1"/>
      <c r="Q774" s="1"/>
      <c r="R774" s="1"/>
      <c r="S774" s="1"/>
      <c r="T774" s="1"/>
      <c r="U774" s="1"/>
      <c r="V774" s="1"/>
      <c r="W774" s="1"/>
      <c r="X774" s="1"/>
      <c r="Y774" s="1"/>
      <c r="Z774" s="1"/>
      <c r="AA774" s="1"/>
      <c r="AB774" s="1"/>
    </row>
    <row r="775" spans="1:28" ht="11.25" customHeight="1" x14ac:dyDescent="0.25">
      <c r="A775" s="825"/>
      <c r="B775" s="16"/>
      <c r="C775" s="16"/>
      <c r="D775" s="22"/>
      <c r="E775" s="262"/>
      <c r="F775" s="16"/>
      <c r="G775" s="16"/>
      <c r="H775" s="16"/>
      <c r="I775" s="16"/>
      <c r="J775" s="1"/>
      <c r="K775" s="1"/>
      <c r="L775" s="1"/>
      <c r="M775" s="262"/>
      <c r="N775" s="1"/>
      <c r="O775" s="1"/>
      <c r="P775" s="1"/>
      <c r="Q775" s="1"/>
      <c r="R775" s="1"/>
      <c r="S775" s="1"/>
      <c r="T775" s="1"/>
      <c r="U775" s="1"/>
      <c r="V775" s="1"/>
      <c r="W775" s="1"/>
      <c r="X775" s="1"/>
      <c r="Y775" s="1"/>
      <c r="Z775" s="1"/>
      <c r="AA775" s="1"/>
      <c r="AB775" s="1"/>
    </row>
    <row r="776" spans="1:28" ht="11.25" customHeight="1" x14ac:dyDescent="0.25">
      <c r="A776" s="825"/>
      <c r="B776" s="16"/>
      <c r="C776" s="16"/>
      <c r="D776" s="22"/>
      <c r="E776" s="262"/>
      <c r="F776" s="16"/>
      <c r="G776" s="16"/>
      <c r="H776" s="16"/>
      <c r="I776" s="16"/>
      <c r="J776" s="1"/>
      <c r="K776" s="1"/>
      <c r="L776" s="1"/>
      <c r="M776" s="262"/>
      <c r="N776" s="1"/>
      <c r="O776" s="1"/>
      <c r="P776" s="1"/>
      <c r="Q776" s="1"/>
      <c r="R776" s="1"/>
      <c r="S776" s="1"/>
      <c r="T776" s="1"/>
      <c r="U776" s="1"/>
      <c r="V776" s="1"/>
      <c r="W776" s="1"/>
      <c r="X776" s="1"/>
      <c r="Y776" s="1"/>
      <c r="Z776" s="1"/>
      <c r="AA776" s="1"/>
      <c r="AB776" s="1"/>
    </row>
    <row r="777" spans="1:28" ht="11.25" customHeight="1" x14ac:dyDescent="0.25">
      <c r="A777" s="825"/>
      <c r="B777" s="16"/>
      <c r="C777" s="16"/>
      <c r="D777" s="22"/>
      <c r="E777" s="262"/>
      <c r="F777" s="16"/>
      <c r="G777" s="16"/>
      <c r="H777" s="16"/>
      <c r="I777" s="16"/>
      <c r="J777" s="1"/>
      <c r="K777" s="1"/>
      <c r="L777" s="1"/>
      <c r="M777" s="262"/>
      <c r="N777" s="1"/>
      <c r="O777" s="1"/>
      <c r="P777" s="1"/>
      <c r="Q777" s="1"/>
      <c r="R777" s="1"/>
      <c r="S777" s="1"/>
      <c r="T777" s="1"/>
      <c r="U777" s="1"/>
      <c r="V777" s="1"/>
      <c r="W777" s="1"/>
      <c r="X777" s="1"/>
      <c r="Y777" s="1"/>
      <c r="Z777" s="1"/>
      <c r="AA777" s="1"/>
      <c r="AB777" s="1"/>
    </row>
    <row r="778" spans="1:28" ht="11.25" customHeight="1" x14ac:dyDescent="0.25">
      <c r="A778" s="825"/>
      <c r="B778" s="16"/>
      <c r="C778" s="16"/>
      <c r="D778" s="22"/>
      <c r="E778" s="262"/>
      <c r="F778" s="16"/>
      <c r="G778" s="16"/>
      <c r="H778" s="16"/>
      <c r="I778" s="16"/>
      <c r="J778" s="1"/>
      <c r="K778" s="1"/>
      <c r="L778" s="1"/>
      <c r="M778" s="262"/>
      <c r="N778" s="1"/>
      <c r="O778" s="1"/>
      <c r="P778" s="1"/>
      <c r="Q778" s="1"/>
      <c r="R778" s="1"/>
      <c r="S778" s="1"/>
      <c r="T778" s="1"/>
      <c r="U778" s="1"/>
      <c r="V778" s="1"/>
      <c r="W778" s="1"/>
      <c r="X778" s="1"/>
      <c r="Y778" s="1"/>
      <c r="Z778" s="1"/>
      <c r="AA778" s="1"/>
      <c r="AB778" s="1"/>
    </row>
    <row r="779" spans="1:28" ht="11.25" customHeight="1" x14ac:dyDescent="0.25">
      <c r="A779" s="825"/>
      <c r="B779" s="16"/>
      <c r="C779" s="16"/>
      <c r="D779" s="22"/>
      <c r="E779" s="262"/>
      <c r="F779" s="16"/>
      <c r="G779" s="16"/>
      <c r="H779" s="16"/>
      <c r="I779" s="16"/>
      <c r="J779" s="1"/>
      <c r="K779" s="1"/>
      <c r="L779" s="1"/>
      <c r="M779" s="262"/>
      <c r="N779" s="1"/>
      <c r="O779" s="1"/>
      <c r="P779" s="1"/>
      <c r="Q779" s="1"/>
      <c r="R779" s="1"/>
      <c r="S779" s="1"/>
      <c r="T779" s="1"/>
      <c r="U779" s="1"/>
      <c r="V779" s="1"/>
      <c r="W779" s="1"/>
      <c r="X779" s="1"/>
      <c r="Y779" s="1"/>
      <c r="Z779" s="1"/>
      <c r="AA779" s="1"/>
      <c r="AB779" s="1"/>
    </row>
    <row r="780" spans="1:28" ht="11.25" customHeight="1" x14ac:dyDescent="0.25">
      <c r="A780" s="825"/>
      <c r="B780" s="16"/>
      <c r="C780" s="16"/>
      <c r="D780" s="22"/>
      <c r="E780" s="262"/>
      <c r="F780" s="16"/>
      <c r="G780" s="16"/>
      <c r="H780" s="16"/>
      <c r="I780" s="16"/>
      <c r="J780" s="1"/>
      <c r="K780" s="1"/>
      <c r="L780" s="1"/>
      <c r="M780" s="262"/>
      <c r="N780" s="1"/>
      <c r="O780" s="1"/>
      <c r="P780" s="1"/>
      <c r="Q780" s="1"/>
      <c r="R780" s="1"/>
      <c r="S780" s="1"/>
      <c r="T780" s="1"/>
      <c r="U780" s="1"/>
      <c r="V780" s="1"/>
      <c r="W780" s="1"/>
      <c r="X780" s="1"/>
      <c r="Y780" s="1"/>
      <c r="Z780" s="1"/>
      <c r="AA780" s="1"/>
      <c r="AB780" s="1"/>
    </row>
    <row r="781" spans="1:28" ht="11.25" customHeight="1" x14ac:dyDescent="0.25">
      <c r="A781" s="825"/>
      <c r="B781" s="16"/>
      <c r="C781" s="16"/>
      <c r="D781" s="22"/>
      <c r="E781" s="262"/>
      <c r="F781" s="16"/>
      <c r="G781" s="16"/>
      <c r="H781" s="16"/>
      <c r="I781" s="16"/>
      <c r="J781" s="1"/>
      <c r="K781" s="1"/>
      <c r="L781" s="1"/>
      <c r="M781" s="262"/>
      <c r="N781" s="1"/>
      <c r="O781" s="1"/>
      <c r="P781" s="1"/>
      <c r="Q781" s="1"/>
      <c r="R781" s="1"/>
      <c r="S781" s="1"/>
      <c r="T781" s="1"/>
      <c r="U781" s="1"/>
      <c r="V781" s="1"/>
      <c r="W781" s="1"/>
      <c r="X781" s="1"/>
      <c r="Y781" s="1"/>
      <c r="Z781" s="1"/>
      <c r="AA781" s="1"/>
      <c r="AB781" s="1"/>
    </row>
    <row r="782" spans="1:28" ht="11.25" customHeight="1" x14ac:dyDescent="0.25">
      <c r="A782" s="825"/>
      <c r="B782" s="16"/>
      <c r="C782" s="16"/>
      <c r="D782" s="22"/>
      <c r="E782" s="262"/>
      <c r="F782" s="16"/>
      <c r="G782" s="16"/>
      <c r="H782" s="16"/>
      <c r="I782" s="16"/>
      <c r="J782" s="1"/>
      <c r="K782" s="1"/>
      <c r="L782" s="1"/>
      <c r="M782" s="262"/>
      <c r="N782" s="1"/>
      <c r="O782" s="1"/>
      <c r="P782" s="1"/>
      <c r="Q782" s="1"/>
      <c r="R782" s="1"/>
      <c r="S782" s="1"/>
      <c r="T782" s="1"/>
      <c r="U782" s="1"/>
      <c r="V782" s="1"/>
      <c r="W782" s="1"/>
      <c r="X782" s="1"/>
      <c r="Y782" s="1"/>
      <c r="Z782" s="1"/>
      <c r="AA782" s="1"/>
      <c r="AB782" s="1"/>
    </row>
    <row r="783" spans="1:28" ht="11.25" customHeight="1" x14ac:dyDescent="0.25">
      <c r="A783" s="825"/>
      <c r="B783" s="16"/>
      <c r="C783" s="16"/>
      <c r="D783" s="22"/>
      <c r="E783" s="262"/>
      <c r="F783" s="16"/>
      <c r="G783" s="16"/>
      <c r="H783" s="16"/>
      <c r="I783" s="16"/>
      <c r="J783" s="1"/>
      <c r="K783" s="1"/>
      <c r="L783" s="1"/>
      <c r="M783" s="262"/>
      <c r="N783" s="1"/>
      <c r="O783" s="1"/>
      <c r="P783" s="1"/>
      <c r="Q783" s="1"/>
      <c r="R783" s="1"/>
      <c r="S783" s="1"/>
      <c r="T783" s="1"/>
      <c r="U783" s="1"/>
      <c r="V783" s="1"/>
      <c r="W783" s="1"/>
      <c r="X783" s="1"/>
      <c r="Y783" s="1"/>
      <c r="Z783" s="1"/>
      <c r="AA783" s="1"/>
      <c r="AB783" s="1"/>
    </row>
    <row r="784" spans="1:28" ht="11.25" customHeight="1" x14ac:dyDescent="0.25">
      <c r="A784" s="825"/>
      <c r="B784" s="16"/>
      <c r="C784" s="16"/>
      <c r="D784" s="22"/>
      <c r="E784" s="262"/>
      <c r="F784" s="16"/>
      <c r="G784" s="16"/>
      <c r="H784" s="16"/>
      <c r="I784" s="16"/>
      <c r="J784" s="1"/>
      <c r="K784" s="1"/>
      <c r="L784" s="1"/>
      <c r="M784" s="262"/>
      <c r="N784" s="1"/>
      <c r="O784" s="1"/>
      <c r="P784" s="1"/>
      <c r="Q784" s="1"/>
      <c r="R784" s="1"/>
      <c r="S784" s="1"/>
      <c r="T784" s="1"/>
      <c r="U784" s="1"/>
      <c r="V784" s="1"/>
      <c r="W784" s="1"/>
      <c r="X784" s="1"/>
      <c r="Y784" s="1"/>
      <c r="Z784" s="1"/>
      <c r="AA784" s="1"/>
      <c r="AB784" s="1"/>
    </row>
    <row r="785" spans="1:28" ht="11.25" customHeight="1" x14ac:dyDescent="0.25">
      <c r="A785" s="825"/>
      <c r="B785" s="16"/>
      <c r="C785" s="16"/>
      <c r="D785" s="22"/>
      <c r="E785" s="262"/>
      <c r="F785" s="16"/>
      <c r="G785" s="16"/>
      <c r="H785" s="16"/>
      <c r="I785" s="16"/>
      <c r="J785" s="1"/>
      <c r="K785" s="1"/>
      <c r="L785" s="1"/>
      <c r="M785" s="262"/>
      <c r="N785" s="1"/>
      <c r="O785" s="1"/>
      <c r="P785" s="1"/>
      <c r="Q785" s="1"/>
      <c r="R785" s="1"/>
      <c r="S785" s="1"/>
      <c r="T785" s="1"/>
      <c r="U785" s="1"/>
      <c r="V785" s="1"/>
      <c r="W785" s="1"/>
      <c r="X785" s="1"/>
      <c r="Y785" s="1"/>
      <c r="Z785" s="1"/>
      <c r="AA785" s="1"/>
      <c r="AB785" s="1"/>
    </row>
    <row r="786" spans="1:28" ht="11.25" customHeight="1" x14ac:dyDescent="0.25">
      <c r="A786" s="825"/>
      <c r="B786" s="16"/>
      <c r="C786" s="16"/>
      <c r="D786" s="22"/>
      <c r="E786" s="262"/>
      <c r="F786" s="16"/>
      <c r="G786" s="16"/>
      <c r="H786" s="16"/>
      <c r="I786" s="16"/>
      <c r="J786" s="1"/>
      <c r="K786" s="1"/>
      <c r="L786" s="1"/>
      <c r="M786" s="262"/>
      <c r="N786" s="1"/>
      <c r="O786" s="1"/>
      <c r="P786" s="1"/>
      <c r="Q786" s="1"/>
      <c r="R786" s="1"/>
      <c r="S786" s="1"/>
      <c r="T786" s="1"/>
      <c r="U786" s="1"/>
      <c r="V786" s="1"/>
      <c r="W786" s="1"/>
      <c r="X786" s="1"/>
      <c r="Y786" s="1"/>
      <c r="Z786" s="1"/>
      <c r="AA786" s="1"/>
      <c r="AB786" s="1"/>
    </row>
    <row r="787" spans="1:28" ht="11.25" customHeight="1" x14ac:dyDescent="0.25">
      <c r="A787" s="825"/>
      <c r="B787" s="16"/>
      <c r="C787" s="16"/>
      <c r="D787" s="22"/>
      <c r="E787" s="262"/>
      <c r="F787" s="16"/>
      <c r="G787" s="16"/>
      <c r="H787" s="16"/>
      <c r="I787" s="16"/>
      <c r="J787" s="1"/>
      <c r="K787" s="1"/>
      <c r="L787" s="1"/>
      <c r="M787" s="262"/>
      <c r="N787" s="1"/>
      <c r="O787" s="1"/>
      <c r="P787" s="1"/>
      <c r="Q787" s="1"/>
      <c r="R787" s="1"/>
      <c r="S787" s="1"/>
      <c r="T787" s="1"/>
      <c r="U787" s="1"/>
      <c r="V787" s="1"/>
      <c r="W787" s="1"/>
      <c r="X787" s="1"/>
      <c r="Y787" s="1"/>
      <c r="Z787" s="1"/>
      <c r="AA787" s="1"/>
      <c r="AB787" s="1"/>
    </row>
    <row r="788" spans="1:28" ht="11.25" customHeight="1" x14ac:dyDescent="0.25">
      <c r="A788" s="825"/>
      <c r="B788" s="16"/>
      <c r="C788" s="16"/>
      <c r="D788" s="22"/>
      <c r="E788" s="262"/>
      <c r="F788" s="16"/>
      <c r="G788" s="16"/>
      <c r="H788" s="16"/>
      <c r="I788" s="16"/>
      <c r="J788" s="1"/>
      <c r="K788" s="1"/>
      <c r="L788" s="1"/>
      <c r="M788" s="262"/>
      <c r="N788" s="1"/>
      <c r="O788" s="1"/>
      <c r="P788" s="1"/>
      <c r="Q788" s="1"/>
      <c r="R788" s="1"/>
      <c r="S788" s="1"/>
      <c r="T788" s="1"/>
      <c r="U788" s="1"/>
      <c r="V788" s="1"/>
      <c r="W788" s="1"/>
      <c r="X788" s="1"/>
      <c r="Y788" s="1"/>
      <c r="Z788" s="1"/>
      <c r="AA788" s="1"/>
      <c r="AB788" s="1"/>
    </row>
    <row r="789" spans="1:28" ht="11.25" customHeight="1" x14ac:dyDescent="0.25">
      <c r="A789" s="825"/>
      <c r="B789" s="16"/>
      <c r="C789" s="16"/>
      <c r="D789" s="22"/>
      <c r="E789" s="262"/>
      <c r="F789" s="16"/>
      <c r="G789" s="16"/>
      <c r="H789" s="16"/>
      <c r="I789" s="16"/>
      <c r="J789" s="1"/>
      <c r="K789" s="1"/>
      <c r="L789" s="1"/>
      <c r="M789" s="262"/>
      <c r="N789" s="1"/>
      <c r="O789" s="1"/>
      <c r="P789" s="1"/>
      <c r="Q789" s="1"/>
      <c r="R789" s="1"/>
      <c r="S789" s="1"/>
      <c r="T789" s="1"/>
      <c r="U789" s="1"/>
      <c r="V789" s="1"/>
      <c r="W789" s="1"/>
      <c r="X789" s="1"/>
      <c r="Y789" s="1"/>
      <c r="Z789" s="1"/>
      <c r="AA789" s="1"/>
      <c r="AB789" s="1"/>
    </row>
    <row r="790" spans="1:28" ht="11.25" customHeight="1" x14ac:dyDescent="0.25">
      <c r="A790" s="825"/>
      <c r="B790" s="16"/>
      <c r="C790" s="16"/>
      <c r="D790" s="22"/>
      <c r="E790" s="262"/>
      <c r="F790" s="16"/>
      <c r="G790" s="16"/>
      <c r="H790" s="16"/>
      <c r="I790" s="16"/>
      <c r="J790" s="1"/>
      <c r="K790" s="1"/>
      <c r="L790" s="1"/>
      <c r="M790" s="262"/>
      <c r="N790" s="1"/>
      <c r="O790" s="1"/>
      <c r="P790" s="1"/>
      <c r="Q790" s="1"/>
      <c r="R790" s="1"/>
      <c r="S790" s="1"/>
      <c r="T790" s="1"/>
      <c r="U790" s="1"/>
      <c r="V790" s="1"/>
      <c r="W790" s="1"/>
      <c r="X790" s="1"/>
      <c r="Y790" s="1"/>
      <c r="Z790" s="1"/>
      <c r="AA790" s="1"/>
      <c r="AB790" s="1"/>
    </row>
    <row r="791" spans="1:28" ht="11.25" customHeight="1" x14ac:dyDescent="0.25">
      <c r="A791" s="825"/>
      <c r="B791" s="16"/>
      <c r="C791" s="16"/>
      <c r="D791" s="22"/>
      <c r="E791" s="262"/>
      <c r="F791" s="16"/>
      <c r="G791" s="16"/>
      <c r="H791" s="16"/>
      <c r="I791" s="16"/>
      <c r="J791" s="1"/>
      <c r="K791" s="1"/>
      <c r="L791" s="1"/>
      <c r="M791" s="262"/>
      <c r="N791" s="1"/>
      <c r="O791" s="1"/>
      <c r="P791" s="1"/>
      <c r="Q791" s="1"/>
      <c r="R791" s="1"/>
      <c r="S791" s="1"/>
      <c r="T791" s="1"/>
      <c r="U791" s="1"/>
      <c r="V791" s="1"/>
      <c r="W791" s="1"/>
      <c r="X791" s="1"/>
      <c r="Y791" s="1"/>
      <c r="Z791" s="1"/>
      <c r="AA791" s="1"/>
      <c r="AB791" s="1"/>
    </row>
    <row r="792" spans="1:28" ht="11.25" customHeight="1" x14ac:dyDescent="0.25">
      <c r="A792" s="825"/>
      <c r="B792" s="16"/>
      <c r="C792" s="16"/>
      <c r="D792" s="22"/>
      <c r="E792" s="262"/>
      <c r="F792" s="16"/>
      <c r="G792" s="16"/>
      <c r="H792" s="16"/>
      <c r="I792" s="16"/>
      <c r="J792" s="1"/>
      <c r="K792" s="1"/>
      <c r="L792" s="1"/>
      <c r="M792" s="262"/>
      <c r="N792" s="1"/>
      <c r="O792" s="1"/>
      <c r="P792" s="1"/>
      <c r="Q792" s="1"/>
      <c r="R792" s="1"/>
      <c r="S792" s="1"/>
      <c r="T792" s="1"/>
      <c r="U792" s="1"/>
      <c r="V792" s="1"/>
      <c r="W792" s="1"/>
      <c r="X792" s="1"/>
      <c r="Y792" s="1"/>
      <c r="Z792" s="1"/>
      <c r="AA792" s="1"/>
      <c r="AB792" s="1"/>
    </row>
    <row r="793" spans="1:28" ht="11.25" customHeight="1" x14ac:dyDescent="0.25">
      <c r="A793" s="825"/>
      <c r="B793" s="16"/>
      <c r="C793" s="16"/>
      <c r="D793" s="22"/>
      <c r="E793" s="262"/>
      <c r="F793" s="16"/>
      <c r="G793" s="16"/>
      <c r="H793" s="16"/>
      <c r="I793" s="16"/>
      <c r="J793" s="1"/>
      <c r="K793" s="1"/>
      <c r="L793" s="1"/>
      <c r="M793" s="262"/>
      <c r="N793" s="1"/>
      <c r="O793" s="1"/>
      <c r="P793" s="1"/>
      <c r="Q793" s="1"/>
      <c r="R793" s="1"/>
      <c r="S793" s="1"/>
      <c r="T793" s="1"/>
      <c r="U793" s="1"/>
      <c r="V793" s="1"/>
      <c r="W793" s="1"/>
      <c r="X793" s="1"/>
      <c r="Y793" s="1"/>
      <c r="Z793" s="1"/>
      <c r="AA793" s="1"/>
      <c r="AB793" s="1"/>
    </row>
    <row r="794" spans="1:28" ht="11.25" customHeight="1" x14ac:dyDescent="0.25">
      <c r="A794" s="825"/>
      <c r="B794" s="16"/>
      <c r="C794" s="16"/>
      <c r="D794" s="22"/>
      <c r="E794" s="262"/>
      <c r="F794" s="16"/>
      <c r="G794" s="16"/>
      <c r="H794" s="16"/>
      <c r="I794" s="16"/>
      <c r="J794" s="1"/>
      <c r="K794" s="1"/>
      <c r="L794" s="1"/>
      <c r="M794" s="262"/>
      <c r="N794" s="1"/>
      <c r="O794" s="1"/>
      <c r="P794" s="1"/>
      <c r="Q794" s="1"/>
      <c r="R794" s="1"/>
      <c r="S794" s="1"/>
      <c r="T794" s="1"/>
      <c r="U794" s="1"/>
      <c r="V794" s="1"/>
      <c r="W794" s="1"/>
      <c r="X794" s="1"/>
      <c r="Y794" s="1"/>
      <c r="Z794" s="1"/>
      <c r="AA794" s="1"/>
      <c r="AB794" s="1"/>
    </row>
    <row r="795" spans="1:28" ht="11.25" customHeight="1" x14ac:dyDescent="0.25">
      <c r="A795" s="825"/>
      <c r="B795" s="16"/>
      <c r="C795" s="16"/>
      <c r="D795" s="22"/>
      <c r="E795" s="262"/>
      <c r="F795" s="16"/>
      <c r="G795" s="16"/>
      <c r="H795" s="16"/>
      <c r="I795" s="16"/>
      <c r="J795" s="1"/>
      <c r="K795" s="1"/>
      <c r="L795" s="1"/>
      <c r="M795" s="262"/>
      <c r="N795" s="1"/>
      <c r="O795" s="1"/>
      <c r="P795" s="1"/>
      <c r="Q795" s="1"/>
      <c r="R795" s="1"/>
      <c r="S795" s="1"/>
      <c r="T795" s="1"/>
      <c r="U795" s="1"/>
      <c r="V795" s="1"/>
      <c r="W795" s="1"/>
      <c r="X795" s="1"/>
      <c r="Y795" s="1"/>
      <c r="Z795" s="1"/>
      <c r="AA795" s="1"/>
      <c r="AB795" s="1"/>
    </row>
    <row r="796" spans="1:28" ht="11.25" customHeight="1" x14ac:dyDescent="0.25">
      <c r="A796" s="825"/>
      <c r="B796" s="16"/>
      <c r="C796" s="16"/>
      <c r="D796" s="22"/>
      <c r="E796" s="262"/>
      <c r="F796" s="16"/>
      <c r="G796" s="16"/>
      <c r="H796" s="16"/>
      <c r="I796" s="16"/>
      <c r="J796" s="1"/>
      <c r="K796" s="1"/>
      <c r="L796" s="1"/>
      <c r="M796" s="262"/>
      <c r="N796" s="1"/>
      <c r="O796" s="1"/>
      <c r="P796" s="1"/>
      <c r="Q796" s="1"/>
      <c r="R796" s="1"/>
      <c r="S796" s="1"/>
      <c r="T796" s="1"/>
      <c r="U796" s="1"/>
      <c r="V796" s="1"/>
      <c r="W796" s="1"/>
      <c r="X796" s="1"/>
      <c r="Y796" s="1"/>
      <c r="Z796" s="1"/>
      <c r="AA796" s="1"/>
      <c r="AB796" s="1"/>
    </row>
    <row r="797" spans="1:28" ht="11.25" customHeight="1" x14ac:dyDescent="0.25">
      <c r="A797" s="825"/>
      <c r="B797" s="16"/>
      <c r="C797" s="16"/>
      <c r="D797" s="22"/>
      <c r="E797" s="262"/>
      <c r="F797" s="16"/>
      <c r="G797" s="16"/>
      <c r="H797" s="16"/>
      <c r="I797" s="16"/>
      <c r="J797" s="1"/>
      <c r="K797" s="1"/>
      <c r="L797" s="1"/>
      <c r="M797" s="262"/>
      <c r="N797" s="1"/>
      <c r="O797" s="1"/>
      <c r="P797" s="1"/>
      <c r="Q797" s="1"/>
      <c r="R797" s="1"/>
      <c r="S797" s="1"/>
      <c r="T797" s="1"/>
      <c r="U797" s="1"/>
      <c r="V797" s="1"/>
      <c r="W797" s="1"/>
      <c r="X797" s="1"/>
      <c r="Y797" s="1"/>
      <c r="Z797" s="1"/>
      <c r="AA797" s="1"/>
      <c r="AB797" s="1"/>
    </row>
    <row r="798" spans="1:28" ht="11.25" customHeight="1" x14ac:dyDescent="0.25">
      <c r="A798" s="825"/>
      <c r="B798" s="16"/>
      <c r="C798" s="16"/>
      <c r="D798" s="22"/>
      <c r="E798" s="262"/>
      <c r="F798" s="16"/>
      <c r="G798" s="16"/>
      <c r="H798" s="16"/>
      <c r="I798" s="16"/>
      <c r="J798" s="1"/>
      <c r="K798" s="1"/>
      <c r="L798" s="1"/>
      <c r="M798" s="262"/>
      <c r="N798" s="1"/>
      <c r="O798" s="1"/>
      <c r="P798" s="1"/>
      <c r="Q798" s="1"/>
      <c r="R798" s="1"/>
      <c r="S798" s="1"/>
      <c r="T798" s="1"/>
      <c r="U798" s="1"/>
      <c r="V798" s="1"/>
      <c r="W798" s="1"/>
      <c r="X798" s="1"/>
      <c r="Y798" s="1"/>
      <c r="Z798" s="1"/>
      <c r="AA798" s="1"/>
      <c r="AB798" s="1"/>
    </row>
    <row r="799" spans="1:28" ht="11.25" customHeight="1" x14ac:dyDescent="0.25">
      <c r="A799" s="825"/>
      <c r="B799" s="16"/>
      <c r="C799" s="16"/>
      <c r="D799" s="22"/>
      <c r="E799" s="262"/>
      <c r="F799" s="16"/>
      <c r="G799" s="16"/>
      <c r="H799" s="16"/>
      <c r="I799" s="16"/>
      <c r="J799" s="1"/>
      <c r="K799" s="1"/>
      <c r="L799" s="1"/>
      <c r="M799" s="262"/>
      <c r="N799" s="1"/>
      <c r="O799" s="1"/>
      <c r="P799" s="1"/>
      <c r="Q799" s="1"/>
      <c r="R799" s="1"/>
      <c r="S799" s="1"/>
      <c r="T799" s="1"/>
      <c r="U799" s="1"/>
      <c r="V799" s="1"/>
      <c r="W799" s="1"/>
      <c r="X799" s="1"/>
      <c r="Y799" s="1"/>
      <c r="Z799" s="1"/>
      <c r="AA799" s="1"/>
      <c r="AB799" s="1"/>
    </row>
    <row r="800" spans="1:28" ht="11.25" customHeight="1" x14ac:dyDescent="0.25">
      <c r="A800" s="825"/>
      <c r="B800" s="16"/>
      <c r="C800" s="16"/>
      <c r="D800" s="22"/>
      <c r="E800" s="262"/>
      <c r="F800" s="16"/>
      <c r="G800" s="16"/>
      <c r="H800" s="16"/>
      <c r="I800" s="16"/>
      <c r="J800" s="1"/>
      <c r="K800" s="1"/>
      <c r="L800" s="1"/>
      <c r="M800" s="262"/>
      <c r="N800" s="1"/>
      <c r="O800" s="1"/>
      <c r="P800" s="1"/>
      <c r="Q800" s="1"/>
      <c r="R800" s="1"/>
      <c r="S800" s="1"/>
      <c r="T800" s="1"/>
      <c r="U800" s="1"/>
      <c r="V800" s="1"/>
      <c r="W800" s="1"/>
      <c r="X800" s="1"/>
      <c r="Y800" s="1"/>
      <c r="Z800" s="1"/>
      <c r="AA800" s="1"/>
      <c r="AB800" s="1"/>
    </row>
    <row r="801" spans="1:28" ht="11.25" customHeight="1" x14ac:dyDescent="0.25">
      <c r="A801" s="825"/>
      <c r="B801" s="16"/>
      <c r="C801" s="16"/>
      <c r="D801" s="22"/>
      <c r="E801" s="262"/>
      <c r="F801" s="16"/>
      <c r="G801" s="16"/>
      <c r="H801" s="16"/>
      <c r="I801" s="16"/>
      <c r="J801" s="1"/>
      <c r="K801" s="1"/>
      <c r="L801" s="1"/>
      <c r="M801" s="262"/>
      <c r="N801" s="1"/>
      <c r="O801" s="1"/>
      <c r="P801" s="1"/>
      <c r="Q801" s="1"/>
      <c r="R801" s="1"/>
      <c r="S801" s="1"/>
      <c r="T801" s="1"/>
      <c r="U801" s="1"/>
      <c r="V801" s="1"/>
      <c r="W801" s="1"/>
      <c r="X801" s="1"/>
      <c r="Y801" s="1"/>
      <c r="Z801" s="1"/>
      <c r="AA801" s="1"/>
      <c r="AB801" s="1"/>
    </row>
    <row r="802" spans="1:28" ht="11.25" customHeight="1" x14ac:dyDescent="0.25">
      <c r="A802" s="825"/>
      <c r="B802" s="16"/>
      <c r="C802" s="16"/>
      <c r="D802" s="22"/>
      <c r="E802" s="262"/>
      <c r="F802" s="16"/>
      <c r="G802" s="16"/>
      <c r="H802" s="16"/>
      <c r="I802" s="16"/>
      <c r="J802" s="1"/>
      <c r="K802" s="1"/>
      <c r="L802" s="1"/>
      <c r="M802" s="262"/>
      <c r="N802" s="1"/>
      <c r="O802" s="1"/>
      <c r="P802" s="1"/>
      <c r="Q802" s="1"/>
      <c r="R802" s="1"/>
      <c r="S802" s="1"/>
      <c r="T802" s="1"/>
      <c r="U802" s="1"/>
      <c r="V802" s="1"/>
      <c r="W802" s="1"/>
      <c r="X802" s="1"/>
      <c r="Y802" s="1"/>
      <c r="Z802" s="1"/>
      <c r="AA802" s="1"/>
      <c r="AB802" s="1"/>
    </row>
    <row r="803" spans="1:28" ht="11.25" customHeight="1" x14ac:dyDescent="0.25">
      <c r="A803" s="825"/>
      <c r="B803" s="16"/>
      <c r="C803" s="16"/>
      <c r="D803" s="22"/>
      <c r="E803" s="262"/>
      <c r="F803" s="16"/>
      <c r="G803" s="16"/>
      <c r="H803" s="16"/>
      <c r="I803" s="16"/>
      <c r="J803" s="1"/>
      <c r="K803" s="1"/>
      <c r="L803" s="1"/>
      <c r="M803" s="262"/>
      <c r="N803" s="1"/>
      <c r="O803" s="1"/>
      <c r="P803" s="1"/>
      <c r="Q803" s="1"/>
      <c r="R803" s="1"/>
      <c r="S803" s="1"/>
      <c r="T803" s="1"/>
      <c r="U803" s="1"/>
      <c r="V803" s="1"/>
      <c r="W803" s="1"/>
      <c r="X803" s="1"/>
      <c r="Y803" s="1"/>
      <c r="Z803" s="1"/>
      <c r="AA803" s="1"/>
      <c r="AB803" s="1"/>
    </row>
    <row r="804" spans="1:28" ht="11.25" customHeight="1" x14ac:dyDescent="0.25">
      <c r="A804" s="825"/>
      <c r="B804" s="16"/>
      <c r="C804" s="16"/>
      <c r="D804" s="22"/>
      <c r="E804" s="262"/>
      <c r="F804" s="16"/>
      <c r="G804" s="16"/>
      <c r="H804" s="16"/>
      <c r="I804" s="16"/>
      <c r="J804" s="1"/>
      <c r="K804" s="1"/>
      <c r="L804" s="1"/>
      <c r="M804" s="262"/>
      <c r="N804" s="1"/>
      <c r="O804" s="1"/>
      <c r="P804" s="1"/>
      <c r="Q804" s="1"/>
      <c r="R804" s="1"/>
      <c r="S804" s="1"/>
      <c r="T804" s="1"/>
      <c r="U804" s="1"/>
      <c r="V804" s="1"/>
      <c r="W804" s="1"/>
      <c r="X804" s="1"/>
      <c r="Y804" s="1"/>
      <c r="Z804" s="1"/>
      <c r="AA804" s="1"/>
      <c r="AB804" s="1"/>
    </row>
    <row r="805" spans="1:28" ht="11.25" customHeight="1" x14ac:dyDescent="0.25">
      <c r="A805" s="825"/>
      <c r="B805" s="16"/>
      <c r="C805" s="16"/>
      <c r="D805" s="22"/>
      <c r="E805" s="262"/>
      <c r="F805" s="16"/>
      <c r="G805" s="16"/>
      <c r="H805" s="16"/>
      <c r="I805" s="16"/>
      <c r="J805" s="1"/>
      <c r="K805" s="1"/>
      <c r="L805" s="1"/>
      <c r="M805" s="262"/>
      <c r="N805" s="1"/>
      <c r="O805" s="1"/>
      <c r="P805" s="1"/>
      <c r="Q805" s="1"/>
      <c r="R805" s="1"/>
      <c r="S805" s="1"/>
      <c r="T805" s="1"/>
      <c r="U805" s="1"/>
      <c r="V805" s="1"/>
      <c r="W805" s="1"/>
      <c r="X805" s="1"/>
      <c r="Y805" s="1"/>
      <c r="Z805" s="1"/>
      <c r="AA805" s="1"/>
      <c r="AB805" s="1"/>
    </row>
    <row r="806" spans="1:28" ht="11.25" customHeight="1" x14ac:dyDescent="0.25">
      <c r="A806" s="825"/>
      <c r="B806" s="16"/>
      <c r="C806" s="16"/>
      <c r="D806" s="22"/>
      <c r="E806" s="262"/>
      <c r="F806" s="16"/>
      <c r="G806" s="16"/>
      <c r="H806" s="16"/>
      <c r="I806" s="16"/>
      <c r="J806" s="1"/>
      <c r="K806" s="1"/>
      <c r="L806" s="1"/>
      <c r="M806" s="262"/>
      <c r="N806" s="1"/>
      <c r="O806" s="1"/>
      <c r="P806" s="1"/>
      <c r="Q806" s="1"/>
      <c r="R806" s="1"/>
      <c r="S806" s="1"/>
      <c r="T806" s="1"/>
      <c r="U806" s="1"/>
      <c r="V806" s="1"/>
      <c r="W806" s="1"/>
      <c r="X806" s="1"/>
      <c r="Y806" s="1"/>
      <c r="Z806" s="1"/>
      <c r="AA806" s="1"/>
      <c r="AB806" s="1"/>
    </row>
    <row r="807" spans="1:28" ht="11.25" customHeight="1" x14ac:dyDescent="0.25">
      <c r="A807" s="825"/>
      <c r="B807" s="16"/>
      <c r="C807" s="16"/>
      <c r="D807" s="22"/>
      <c r="E807" s="262"/>
      <c r="F807" s="16"/>
      <c r="G807" s="16"/>
      <c r="H807" s="16"/>
      <c r="I807" s="16"/>
      <c r="J807" s="1"/>
      <c r="K807" s="1"/>
      <c r="L807" s="1"/>
      <c r="M807" s="262"/>
      <c r="N807" s="1"/>
      <c r="O807" s="1"/>
      <c r="P807" s="1"/>
      <c r="Q807" s="1"/>
      <c r="R807" s="1"/>
      <c r="S807" s="1"/>
      <c r="T807" s="1"/>
      <c r="U807" s="1"/>
      <c r="V807" s="1"/>
      <c r="W807" s="1"/>
      <c r="X807" s="1"/>
      <c r="Y807" s="1"/>
      <c r="Z807" s="1"/>
      <c r="AA807" s="1"/>
      <c r="AB807" s="1"/>
    </row>
    <row r="808" spans="1:28" ht="11.25" customHeight="1" x14ac:dyDescent="0.25">
      <c r="A808" s="825"/>
      <c r="B808" s="16"/>
      <c r="C808" s="16"/>
      <c r="D808" s="22"/>
      <c r="E808" s="262"/>
      <c r="F808" s="16"/>
      <c r="G808" s="16"/>
      <c r="H808" s="16"/>
      <c r="I808" s="16"/>
      <c r="J808" s="1"/>
      <c r="K808" s="1"/>
      <c r="L808" s="1"/>
      <c r="M808" s="262"/>
      <c r="N808" s="1"/>
      <c r="O808" s="1"/>
      <c r="P808" s="1"/>
      <c r="Q808" s="1"/>
      <c r="R808" s="1"/>
      <c r="S808" s="1"/>
      <c r="T808" s="1"/>
      <c r="U808" s="1"/>
      <c r="V808" s="1"/>
      <c r="W808" s="1"/>
      <c r="X808" s="1"/>
      <c r="Y808" s="1"/>
      <c r="Z808" s="1"/>
      <c r="AA808" s="1"/>
      <c r="AB808" s="1"/>
    </row>
    <row r="809" spans="1:28" ht="11.25" customHeight="1" x14ac:dyDescent="0.25">
      <c r="A809" s="825"/>
      <c r="B809" s="16"/>
      <c r="C809" s="16"/>
      <c r="D809" s="22"/>
      <c r="E809" s="262"/>
      <c r="F809" s="16"/>
      <c r="G809" s="16"/>
      <c r="H809" s="16"/>
      <c r="I809" s="16"/>
      <c r="J809" s="1"/>
      <c r="K809" s="1"/>
      <c r="L809" s="1"/>
      <c r="M809" s="262"/>
      <c r="N809" s="1"/>
      <c r="O809" s="1"/>
      <c r="P809" s="1"/>
      <c r="Q809" s="1"/>
      <c r="R809" s="1"/>
      <c r="S809" s="1"/>
      <c r="T809" s="1"/>
      <c r="U809" s="1"/>
      <c r="V809" s="1"/>
      <c r="W809" s="1"/>
      <c r="X809" s="1"/>
      <c r="Y809" s="1"/>
      <c r="Z809" s="1"/>
      <c r="AA809" s="1"/>
      <c r="AB809" s="1"/>
    </row>
    <row r="810" spans="1:28" ht="11.25" customHeight="1" x14ac:dyDescent="0.25">
      <c r="A810" s="825"/>
      <c r="B810" s="16"/>
      <c r="C810" s="16"/>
      <c r="D810" s="22"/>
      <c r="E810" s="262"/>
      <c r="F810" s="16"/>
      <c r="G810" s="16"/>
      <c r="H810" s="16"/>
      <c r="I810" s="16"/>
      <c r="J810" s="1"/>
      <c r="K810" s="1"/>
      <c r="L810" s="1"/>
      <c r="M810" s="262"/>
      <c r="N810" s="1"/>
      <c r="O810" s="1"/>
      <c r="P810" s="1"/>
      <c r="Q810" s="1"/>
      <c r="R810" s="1"/>
      <c r="S810" s="1"/>
      <c r="T810" s="1"/>
      <c r="U810" s="1"/>
      <c r="V810" s="1"/>
      <c r="W810" s="1"/>
      <c r="X810" s="1"/>
      <c r="Y810" s="1"/>
      <c r="Z810" s="1"/>
      <c r="AA810" s="1"/>
      <c r="AB810" s="1"/>
    </row>
    <row r="811" spans="1:28" ht="11.25" customHeight="1" x14ac:dyDescent="0.25">
      <c r="A811" s="825"/>
      <c r="B811" s="16"/>
      <c r="C811" s="16"/>
      <c r="D811" s="22"/>
      <c r="E811" s="262"/>
      <c r="F811" s="16"/>
      <c r="G811" s="16"/>
      <c r="H811" s="16"/>
      <c r="I811" s="16"/>
      <c r="J811" s="1"/>
      <c r="K811" s="1"/>
      <c r="L811" s="1"/>
      <c r="M811" s="262"/>
      <c r="N811" s="1"/>
      <c r="O811" s="1"/>
      <c r="P811" s="1"/>
      <c r="Q811" s="1"/>
      <c r="R811" s="1"/>
      <c r="S811" s="1"/>
      <c r="T811" s="1"/>
      <c r="U811" s="1"/>
      <c r="V811" s="1"/>
      <c r="W811" s="1"/>
      <c r="X811" s="1"/>
      <c r="Y811" s="1"/>
      <c r="Z811" s="1"/>
      <c r="AA811" s="1"/>
      <c r="AB811" s="1"/>
    </row>
    <row r="812" spans="1:28" ht="11.25" customHeight="1" x14ac:dyDescent="0.25">
      <c r="A812" s="825"/>
      <c r="B812" s="16"/>
      <c r="C812" s="16"/>
      <c r="D812" s="22"/>
      <c r="E812" s="262"/>
      <c r="F812" s="16"/>
      <c r="G812" s="16"/>
      <c r="H812" s="16"/>
      <c r="I812" s="16"/>
      <c r="J812" s="1"/>
      <c r="K812" s="1"/>
      <c r="L812" s="1"/>
      <c r="M812" s="262"/>
      <c r="N812" s="1"/>
      <c r="O812" s="1"/>
      <c r="P812" s="1"/>
      <c r="Q812" s="1"/>
      <c r="R812" s="1"/>
      <c r="S812" s="1"/>
      <c r="T812" s="1"/>
      <c r="U812" s="1"/>
      <c r="V812" s="1"/>
      <c r="W812" s="1"/>
      <c r="X812" s="1"/>
      <c r="Y812" s="1"/>
      <c r="Z812" s="1"/>
      <c r="AA812" s="1"/>
      <c r="AB812" s="1"/>
    </row>
    <row r="813" spans="1:28" ht="11.25" customHeight="1" x14ac:dyDescent="0.25">
      <c r="A813" s="825"/>
      <c r="B813" s="16"/>
      <c r="C813" s="16"/>
      <c r="D813" s="22"/>
      <c r="E813" s="262"/>
      <c r="F813" s="16"/>
      <c r="G813" s="16"/>
      <c r="H813" s="16"/>
      <c r="I813" s="16"/>
      <c r="J813" s="1"/>
      <c r="K813" s="1"/>
      <c r="L813" s="1"/>
      <c r="M813" s="262"/>
      <c r="N813" s="1"/>
      <c r="O813" s="1"/>
      <c r="P813" s="1"/>
      <c r="Q813" s="1"/>
      <c r="R813" s="1"/>
      <c r="S813" s="1"/>
      <c r="T813" s="1"/>
      <c r="U813" s="1"/>
      <c r="V813" s="1"/>
      <c r="W813" s="1"/>
      <c r="X813" s="1"/>
      <c r="Y813" s="1"/>
      <c r="Z813" s="1"/>
      <c r="AA813" s="1"/>
      <c r="AB813" s="1"/>
    </row>
    <row r="814" spans="1:28" ht="11.25" customHeight="1" x14ac:dyDescent="0.25">
      <c r="A814" s="825"/>
      <c r="B814" s="16"/>
      <c r="C814" s="16"/>
      <c r="D814" s="22"/>
      <c r="E814" s="262"/>
      <c r="F814" s="16"/>
      <c r="G814" s="16"/>
      <c r="H814" s="16"/>
      <c r="I814" s="16"/>
      <c r="J814" s="1"/>
      <c r="K814" s="1"/>
      <c r="L814" s="1"/>
      <c r="M814" s="262"/>
      <c r="N814" s="1"/>
      <c r="O814" s="1"/>
      <c r="P814" s="1"/>
      <c r="Q814" s="1"/>
      <c r="R814" s="1"/>
      <c r="S814" s="1"/>
      <c r="T814" s="1"/>
      <c r="U814" s="1"/>
      <c r="V814" s="1"/>
      <c r="W814" s="1"/>
      <c r="X814" s="1"/>
      <c r="Y814" s="1"/>
      <c r="Z814" s="1"/>
      <c r="AA814" s="1"/>
      <c r="AB814" s="1"/>
    </row>
    <row r="815" spans="1:28" ht="11.25" customHeight="1" x14ac:dyDescent="0.25">
      <c r="A815" s="825"/>
      <c r="B815" s="16"/>
      <c r="C815" s="16"/>
      <c r="D815" s="22"/>
      <c r="E815" s="262"/>
      <c r="F815" s="16"/>
      <c r="G815" s="16"/>
      <c r="H815" s="16"/>
      <c r="I815" s="16"/>
      <c r="J815" s="1"/>
      <c r="K815" s="1"/>
      <c r="L815" s="1"/>
      <c r="M815" s="262"/>
      <c r="N815" s="1"/>
      <c r="O815" s="1"/>
      <c r="P815" s="1"/>
      <c r="Q815" s="1"/>
      <c r="R815" s="1"/>
      <c r="S815" s="1"/>
      <c r="T815" s="1"/>
      <c r="U815" s="1"/>
      <c r="V815" s="1"/>
      <c r="W815" s="1"/>
      <c r="X815" s="1"/>
      <c r="Y815" s="1"/>
      <c r="Z815" s="1"/>
      <c r="AA815" s="1"/>
      <c r="AB815" s="1"/>
    </row>
    <row r="816" spans="1:28" ht="11.25" customHeight="1" x14ac:dyDescent="0.25">
      <c r="A816" s="825"/>
      <c r="B816" s="16"/>
      <c r="C816" s="16"/>
      <c r="D816" s="22"/>
      <c r="E816" s="262"/>
      <c r="F816" s="16"/>
      <c r="G816" s="16"/>
      <c r="H816" s="16"/>
      <c r="I816" s="16"/>
      <c r="J816" s="1"/>
      <c r="K816" s="1"/>
      <c r="L816" s="1"/>
      <c r="M816" s="262"/>
      <c r="N816" s="1"/>
      <c r="O816" s="1"/>
      <c r="P816" s="1"/>
      <c r="Q816" s="1"/>
      <c r="R816" s="1"/>
      <c r="S816" s="1"/>
      <c r="T816" s="1"/>
      <c r="U816" s="1"/>
      <c r="V816" s="1"/>
      <c r="W816" s="1"/>
      <c r="X816" s="1"/>
      <c r="Y816" s="1"/>
      <c r="Z816" s="1"/>
      <c r="AA816" s="1"/>
      <c r="AB816" s="1"/>
    </row>
    <row r="817" spans="1:28" ht="11.25" customHeight="1" x14ac:dyDescent="0.25">
      <c r="A817" s="825"/>
      <c r="B817" s="16"/>
      <c r="C817" s="16"/>
      <c r="D817" s="22"/>
      <c r="E817" s="262"/>
      <c r="F817" s="16"/>
      <c r="G817" s="16"/>
      <c r="H817" s="16"/>
      <c r="I817" s="16"/>
      <c r="J817" s="1"/>
      <c r="K817" s="1"/>
      <c r="L817" s="1"/>
      <c r="M817" s="262"/>
      <c r="N817" s="1"/>
      <c r="O817" s="1"/>
      <c r="P817" s="1"/>
      <c r="Q817" s="1"/>
      <c r="R817" s="1"/>
      <c r="S817" s="1"/>
      <c r="T817" s="1"/>
      <c r="U817" s="1"/>
      <c r="V817" s="1"/>
      <c r="W817" s="1"/>
      <c r="X817" s="1"/>
      <c r="Y817" s="1"/>
      <c r="Z817" s="1"/>
      <c r="AA817" s="1"/>
      <c r="AB817" s="1"/>
    </row>
    <row r="818" spans="1:28" ht="11.25" customHeight="1" x14ac:dyDescent="0.25">
      <c r="A818" s="825"/>
      <c r="B818" s="16"/>
      <c r="C818" s="16"/>
      <c r="D818" s="22"/>
      <c r="E818" s="262"/>
      <c r="F818" s="16"/>
      <c r="G818" s="16"/>
      <c r="H818" s="16"/>
      <c r="I818" s="16"/>
      <c r="J818" s="1"/>
      <c r="K818" s="1"/>
      <c r="L818" s="1"/>
      <c r="M818" s="262"/>
      <c r="N818" s="1"/>
      <c r="O818" s="1"/>
      <c r="P818" s="1"/>
      <c r="Q818" s="1"/>
      <c r="R818" s="1"/>
      <c r="S818" s="1"/>
      <c r="T818" s="1"/>
      <c r="U818" s="1"/>
      <c r="V818" s="1"/>
      <c r="W818" s="1"/>
      <c r="X818" s="1"/>
      <c r="Y818" s="1"/>
      <c r="Z818" s="1"/>
      <c r="AA818" s="1"/>
      <c r="AB818" s="1"/>
    </row>
    <row r="819" spans="1:28" ht="11.25" customHeight="1" x14ac:dyDescent="0.25">
      <c r="A819" s="825"/>
      <c r="B819" s="16"/>
      <c r="C819" s="16"/>
      <c r="D819" s="22"/>
      <c r="E819" s="262"/>
      <c r="F819" s="16"/>
      <c r="G819" s="16"/>
      <c r="H819" s="16"/>
      <c r="I819" s="16"/>
      <c r="J819" s="1"/>
      <c r="K819" s="1"/>
      <c r="L819" s="1"/>
      <c r="M819" s="262"/>
      <c r="N819" s="1"/>
      <c r="O819" s="1"/>
      <c r="P819" s="1"/>
      <c r="Q819" s="1"/>
      <c r="R819" s="1"/>
      <c r="S819" s="1"/>
      <c r="T819" s="1"/>
      <c r="U819" s="1"/>
      <c r="V819" s="1"/>
      <c r="W819" s="1"/>
      <c r="X819" s="1"/>
      <c r="Y819" s="1"/>
      <c r="Z819" s="1"/>
      <c r="AA819" s="1"/>
      <c r="AB819" s="1"/>
    </row>
    <row r="820" spans="1:28" ht="11.25" customHeight="1" x14ac:dyDescent="0.25">
      <c r="A820" s="825"/>
      <c r="B820" s="16"/>
      <c r="C820" s="16"/>
      <c r="D820" s="22"/>
      <c r="E820" s="262"/>
      <c r="F820" s="16"/>
      <c r="G820" s="16"/>
      <c r="H820" s="16"/>
      <c r="I820" s="16"/>
      <c r="J820" s="1"/>
      <c r="K820" s="1"/>
      <c r="L820" s="1"/>
      <c r="M820" s="262"/>
      <c r="N820" s="1"/>
      <c r="O820" s="1"/>
      <c r="P820" s="1"/>
      <c r="Q820" s="1"/>
      <c r="R820" s="1"/>
      <c r="S820" s="1"/>
      <c r="T820" s="1"/>
      <c r="U820" s="1"/>
      <c r="V820" s="1"/>
      <c r="W820" s="1"/>
      <c r="X820" s="1"/>
      <c r="Y820" s="1"/>
      <c r="Z820" s="1"/>
      <c r="AA820" s="1"/>
      <c r="AB820" s="1"/>
    </row>
    <row r="821" spans="1:28" ht="11.25" customHeight="1" x14ac:dyDescent="0.25">
      <c r="A821" s="825"/>
      <c r="B821" s="16"/>
      <c r="C821" s="16"/>
      <c r="D821" s="22"/>
      <c r="E821" s="262"/>
      <c r="F821" s="16"/>
      <c r="G821" s="16"/>
      <c r="H821" s="16"/>
      <c r="I821" s="16"/>
      <c r="J821" s="1"/>
      <c r="K821" s="1"/>
      <c r="L821" s="1"/>
      <c r="M821" s="262"/>
      <c r="N821" s="1"/>
      <c r="O821" s="1"/>
      <c r="P821" s="1"/>
      <c r="Q821" s="1"/>
      <c r="R821" s="1"/>
      <c r="S821" s="1"/>
      <c r="T821" s="1"/>
      <c r="U821" s="1"/>
      <c r="V821" s="1"/>
      <c r="W821" s="1"/>
      <c r="X821" s="1"/>
      <c r="Y821" s="1"/>
      <c r="Z821" s="1"/>
      <c r="AA821" s="1"/>
      <c r="AB821" s="1"/>
    </row>
    <row r="822" spans="1:28" ht="11.25" customHeight="1" x14ac:dyDescent="0.25">
      <c r="A822" s="825"/>
      <c r="B822" s="16"/>
      <c r="C822" s="16"/>
      <c r="D822" s="22"/>
      <c r="E822" s="262"/>
      <c r="F822" s="16"/>
      <c r="G822" s="16"/>
      <c r="H822" s="16"/>
      <c r="I822" s="16"/>
      <c r="J822" s="1"/>
      <c r="K822" s="1"/>
      <c r="L822" s="1"/>
      <c r="M822" s="262"/>
      <c r="N822" s="1"/>
      <c r="O822" s="1"/>
      <c r="P822" s="1"/>
      <c r="Q822" s="1"/>
      <c r="R822" s="1"/>
      <c r="S822" s="1"/>
      <c r="T822" s="1"/>
      <c r="U822" s="1"/>
      <c r="V822" s="1"/>
      <c r="W822" s="1"/>
      <c r="X822" s="1"/>
      <c r="Y822" s="1"/>
      <c r="Z822" s="1"/>
      <c r="AA822" s="1"/>
      <c r="AB822" s="1"/>
    </row>
    <row r="823" spans="1:28" ht="11.25" customHeight="1" x14ac:dyDescent="0.25">
      <c r="A823" s="825"/>
      <c r="B823" s="16"/>
      <c r="C823" s="16"/>
      <c r="D823" s="22"/>
      <c r="E823" s="262"/>
      <c r="F823" s="16"/>
      <c r="G823" s="16"/>
      <c r="H823" s="16"/>
      <c r="I823" s="16"/>
      <c r="J823" s="1"/>
      <c r="K823" s="1"/>
      <c r="L823" s="1"/>
      <c r="M823" s="262"/>
      <c r="N823" s="1"/>
      <c r="O823" s="1"/>
      <c r="P823" s="1"/>
      <c r="Q823" s="1"/>
      <c r="R823" s="1"/>
      <c r="S823" s="1"/>
      <c r="T823" s="1"/>
      <c r="U823" s="1"/>
      <c r="V823" s="1"/>
      <c r="W823" s="1"/>
      <c r="X823" s="1"/>
      <c r="Y823" s="1"/>
      <c r="Z823" s="1"/>
      <c r="AA823" s="1"/>
      <c r="AB823" s="1"/>
    </row>
    <row r="824" spans="1:28" ht="11.25" customHeight="1" x14ac:dyDescent="0.25">
      <c r="A824" s="825"/>
      <c r="B824" s="16"/>
      <c r="C824" s="16"/>
      <c r="D824" s="22"/>
      <c r="E824" s="262"/>
      <c r="F824" s="16"/>
      <c r="G824" s="16"/>
      <c r="H824" s="16"/>
      <c r="I824" s="16"/>
      <c r="J824" s="1"/>
      <c r="K824" s="1"/>
      <c r="L824" s="1"/>
      <c r="M824" s="262"/>
      <c r="N824" s="1"/>
      <c r="O824" s="1"/>
      <c r="P824" s="1"/>
      <c r="Q824" s="1"/>
      <c r="R824" s="1"/>
      <c r="S824" s="1"/>
      <c r="T824" s="1"/>
      <c r="U824" s="1"/>
      <c r="V824" s="1"/>
      <c r="W824" s="1"/>
      <c r="X824" s="1"/>
      <c r="Y824" s="1"/>
      <c r="Z824" s="1"/>
      <c r="AA824" s="1"/>
      <c r="AB824" s="1"/>
    </row>
    <row r="825" spans="1:28" ht="11.25" customHeight="1" x14ac:dyDescent="0.25">
      <c r="A825" s="825"/>
      <c r="B825" s="16"/>
      <c r="C825" s="16"/>
      <c r="D825" s="22"/>
      <c r="E825" s="262"/>
      <c r="F825" s="16"/>
      <c r="G825" s="16"/>
      <c r="H825" s="16"/>
      <c r="I825" s="16"/>
      <c r="J825" s="1"/>
      <c r="K825" s="1"/>
      <c r="L825" s="1"/>
      <c r="M825" s="262"/>
      <c r="N825" s="1"/>
      <c r="O825" s="1"/>
      <c r="P825" s="1"/>
      <c r="Q825" s="1"/>
      <c r="R825" s="1"/>
      <c r="S825" s="1"/>
      <c r="T825" s="1"/>
      <c r="U825" s="1"/>
      <c r="V825" s="1"/>
      <c r="W825" s="1"/>
      <c r="X825" s="1"/>
      <c r="Y825" s="1"/>
      <c r="Z825" s="1"/>
      <c r="AA825" s="1"/>
      <c r="AB825" s="1"/>
    </row>
    <row r="826" spans="1:28" ht="11.25" customHeight="1" x14ac:dyDescent="0.25">
      <c r="A826" s="825"/>
      <c r="B826" s="16"/>
      <c r="C826" s="16"/>
      <c r="D826" s="22"/>
      <c r="E826" s="262"/>
      <c r="F826" s="16"/>
      <c r="G826" s="16"/>
      <c r="H826" s="16"/>
      <c r="I826" s="16"/>
      <c r="J826" s="1"/>
      <c r="K826" s="1"/>
      <c r="L826" s="1"/>
      <c r="M826" s="262"/>
      <c r="N826" s="1"/>
      <c r="O826" s="1"/>
      <c r="P826" s="1"/>
      <c r="Q826" s="1"/>
      <c r="R826" s="1"/>
      <c r="S826" s="1"/>
      <c r="T826" s="1"/>
      <c r="U826" s="1"/>
      <c r="V826" s="1"/>
      <c r="W826" s="1"/>
      <c r="X826" s="1"/>
      <c r="Y826" s="1"/>
      <c r="Z826" s="1"/>
      <c r="AA826" s="1"/>
      <c r="AB826" s="1"/>
    </row>
    <row r="827" spans="1:28" ht="11.25" customHeight="1" x14ac:dyDescent="0.25">
      <c r="A827" s="825"/>
      <c r="B827" s="16"/>
      <c r="C827" s="16"/>
      <c r="D827" s="22"/>
      <c r="E827" s="262"/>
      <c r="F827" s="16"/>
      <c r="G827" s="16"/>
      <c r="H827" s="16"/>
      <c r="I827" s="16"/>
      <c r="J827" s="1"/>
      <c r="K827" s="1"/>
      <c r="L827" s="1"/>
      <c r="M827" s="262"/>
      <c r="N827" s="1"/>
      <c r="O827" s="1"/>
      <c r="P827" s="1"/>
      <c r="Q827" s="1"/>
      <c r="R827" s="1"/>
      <c r="S827" s="1"/>
      <c r="T827" s="1"/>
      <c r="U827" s="1"/>
      <c r="V827" s="1"/>
      <c r="W827" s="1"/>
      <c r="X827" s="1"/>
      <c r="Y827" s="1"/>
      <c r="Z827" s="1"/>
      <c r="AA827" s="1"/>
      <c r="AB827" s="1"/>
    </row>
    <row r="828" spans="1:28" ht="11.25" customHeight="1" x14ac:dyDescent="0.25">
      <c r="A828" s="825"/>
      <c r="B828" s="16"/>
      <c r="C828" s="16"/>
      <c r="D828" s="22"/>
      <c r="E828" s="262"/>
      <c r="F828" s="16"/>
      <c r="G828" s="16"/>
      <c r="H828" s="16"/>
      <c r="I828" s="16"/>
      <c r="J828" s="1"/>
      <c r="K828" s="1"/>
      <c r="L828" s="1"/>
      <c r="M828" s="262"/>
      <c r="N828" s="1"/>
      <c r="O828" s="1"/>
      <c r="P828" s="1"/>
      <c r="Q828" s="1"/>
      <c r="R828" s="1"/>
      <c r="S828" s="1"/>
      <c r="T828" s="1"/>
      <c r="U828" s="1"/>
      <c r="V828" s="1"/>
      <c r="W828" s="1"/>
      <c r="X828" s="1"/>
      <c r="Y828" s="1"/>
      <c r="Z828" s="1"/>
      <c r="AA828" s="1"/>
      <c r="AB828" s="1"/>
    </row>
    <row r="829" spans="1:28" ht="11.25" customHeight="1" x14ac:dyDescent="0.25">
      <c r="A829" s="825"/>
      <c r="B829" s="16"/>
      <c r="C829" s="16"/>
      <c r="D829" s="22"/>
      <c r="E829" s="262"/>
      <c r="F829" s="16"/>
      <c r="G829" s="16"/>
      <c r="H829" s="16"/>
      <c r="I829" s="16"/>
      <c r="J829" s="1"/>
      <c r="K829" s="1"/>
      <c r="L829" s="1"/>
      <c r="M829" s="262"/>
      <c r="N829" s="1"/>
      <c r="O829" s="1"/>
      <c r="P829" s="1"/>
      <c r="Q829" s="1"/>
      <c r="R829" s="1"/>
      <c r="S829" s="1"/>
      <c r="T829" s="1"/>
      <c r="U829" s="1"/>
      <c r="V829" s="1"/>
      <c r="W829" s="1"/>
      <c r="X829" s="1"/>
      <c r="Y829" s="1"/>
      <c r="Z829" s="1"/>
      <c r="AA829" s="1"/>
      <c r="AB829" s="1"/>
    </row>
    <row r="830" spans="1:28" ht="11.25" customHeight="1" x14ac:dyDescent="0.25">
      <c r="A830" s="825"/>
      <c r="B830" s="16"/>
      <c r="C830" s="16"/>
      <c r="D830" s="22"/>
      <c r="E830" s="262"/>
      <c r="F830" s="16"/>
      <c r="G830" s="16"/>
      <c r="H830" s="16"/>
      <c r="I830" s="16"/>
      <c r="J830" s="1"/>
      <c r="K830" s="1"/>
      <c r="L830" s="1"/>
      <c r="M830" s="262"/>
      <c r="N830" s="1"/>
      <c r="O830" s="1"/>
      <c r="P830" s="1"/>
      <c r="Q830" s="1"/>
      <c r="R830" s="1"/>
      <c r="S830" s="1"/>
      <c r="T830" s="1"/>
      <c r="U830" s="1"/>
      <c r="V830" s="1"/>
      <c r="W830" s="1"/>
      <c r="X830" s="1"/>
      <c r="Y830" s="1"/>
      <c r="Z830" s="1"/>
      <c r="AA830" s="1"/>
      <c r="AB830" s="1"/>
    </row>
    <row r="831" spans="1:28" ht="11.25" customHeight="1" x14ac:dyDescent="0.25">
      <c r="A831" s="825"/>
      <c r="B831" s="16"/>
      <c r="C831" s="16"/>
      <c r="D831" s="22"/>
      <c r="E831" s="262"/>
      <c r="F831" s="16"/>
      <c r="G831" s="16"/>
      <c r="H831" s="16"/>
      <c r="I831" s="16"/>
      <c r="J831" s="1"/>
      <c r="K831" s="1"/>
      <c r="L831" s="1"/>
      <c r="M831" s="262"/>
      <c r="N831" s="1"/>
      <c r="O831" s="1"/>
      <c r="P831" s="1"/>
      <c r="Q831" s="1"/>
      <c r="R831" s="1"/>
      <c r="S831" s="1"/>
      <c r="T831" s="1"/>
      <c r="U831" s="1"/>
      <c r="V831" s="1"/>
      <c r="W831" s="1"/>
      <c r="X831" s="1"/>
      <c r="Y831" s="1"/>
      <c r="Z831" s="1"/>
      <c r="AA831" s="1"/>
      <c r="AB831" s="1"/>
    </row>
    <row r="832" spans="1:28" ht="11.25" customHeight="1" x14ac:dyDescent="0.25">
      <c r="A832" s="825"/>
      <c r="B832" s="16"/>
      <c r="C832" s="16"/>
      <c r="D832" s="22"/>
      <c r="E832" s="262"/>
      <c r="F832" s="16"/>
      <c r="G832" s="16"/>
      <c r="H832" s="16"/>
      <c r="I832" s="16"/>
      <c r="J832" s="1"/>
      <c r="K832" s="1"/>
      <c r="L832" s="1"/>
      <c r="M832" s="262"/>
      <c r="N832" s="1"/>
      <c r="O832" s="1"/>
      <c r="P832" s="1"/>
      <c r="Q832" s="1"/>
      <c r="R832" s="1"/>
      <c r="S832" s="1"/>
      <c r="T832" s="1"/>
      <c r="U832" s="1"/>
      <c r="V832" s="1"/>
      <c r="W832" s="1"/>
      <c r="X832" s="1"/>
      <c r="Y832" s="1"/>
      <c r="Z832" s="1"/>
      <c r="AA832" s="1"/>
      <c r="AB832" s="1"/>
    </row>
    <row r="833" spans="1:28" ht="11.25" customHeight="1" x14ac:dyDescent="0.25">
      <c r="A833" s="825"/>
      <c r="B833" s="16"/>
      <c r="C833" s="16"/>
      <c r="D833" s="22"/>
      <c r="E833" s="262"/>
      <c r="F833" s="16"/>
      <c r="G833" s="16"/>
      <c r="H833" s="16"/>
      <c r="I833" s="16"/>
      <c r="J833" s="1"/>
      <c r="K833" s="1"/>
      <c r="L833" s="1"/>
      <c r="M833" s="262"/>
      <c r="N833" s="1"/>
      <c r="O833" s="1"/>
      <c r="P833" s="1"/>
      <c r="Q833" s="1"/>
      <c r="R833" s="1"/>
      <c r="S833" s="1"/>
      <c r="T833" s="1"/>
      <c r="U833" s="1"/>
      <c r="V833" s="1"/>
      <c r="W833" s="1"/>
      <c r="X833" s="1"/>
      <c r="Y833" s="1"/>
      <c r="Z833" s="1"/>
      <c r="AA833" s="1"/>
      <c r="AB833" s="1"/>
    </row>
    <row r="834" spans="1:28" ht="11.25" customHeight="1" x14ac:dyDescent="0.25">
      <c r="A834" s="825"/>
      <c r="B834" s="16"/>
      <c r="C834" s="16"/>
      <c r="D834" s="22"/>
      <c r="E834" s="262"/>
      <c r="F834" s="16"/>
      <c r="G834" s="16"/>
      <c r="H834" s="16"/>
      <c r="I834" s="16"/>
      <c r="J834" s="1"/>
      <c r="K834" s="1"/>
      <c r="L834" s="1"/>
      <c r="M834" s="262"/>
      <c r="N834" s="1"/>
      <c r="O834" s="1"/>
      <c r="P834" s="1"/>
      <c r="Q834" s="1"/>
      <c r="R834" s="1"/>
      <c r="S834" s="1"/>
      <c r="T834" s="1"/>
      <c r="U834" s="1"/>
      <c r="V834" s="1"/>
      <c r="W834" s="1"/>
      <c r="X834" s="1"/>
      <c r="Y834" s="1"/>
      <c r="Z834" s="1"/>
      <c r="AA834" s="1"/>
      <c r="AB834" s="1"/>
    </row>
    <row r="835" spans="1:28" ht="11.25" customHeight="1" x14ac:dyDescent="0.25">
      <c r="A835" s="825"/>
      <c r="B835" s="16"/>
      <c r="C835" s="16"/>
      <c r="D835" s="22"/>
      <c r="E835" s="262"/>
      <c r="F835" s="16"/>
      <c r="G835" s="16"/>
      <c r="H835" s="16"/>
      <c r="I835" s="16"/>
      <c r="J835" s="1"/>
      <c r="K835" s="1"/>
      <c r="L835" s="1"/>
      <c r="M835" s="262"/>
      <c r="N835" s="1"/>
      <c r="O835" s="1"/>
      <c r="P835" s="1"/>
      <c r="Q835" s="1"/>
      <c r="R835" s="1"/>
      <c r="S835" s="1"/>
      <c r="T835" s="1"/>
      <c r="U835" s="1"/>
      <c r="V835" s="1"/>
      <c r="W835" s="1"/>
      <c r="X835" s="1"/>
      <c r="Y835" s="1"/>
      <c r="Z835" s="1"/>
      <c r="AA835" s="1"/>
      <c r="AB835" s="1"/>
    </row>
    <row r="836" spans="1:28" ht="11.25" customHeight="1" x14ac:dyDescent="0.25">
      <c r="A836" s="825"/>
      <c r="B836" s="16"/>
      <c r="C836" s="16"/>
      <c r="D836" s="22"/>
      <c r="E836" s="262"/>
      <c r="F836" s="16"/>
      <c r="G836" s="16"/>
      <c r="H836" s="16"/>
      <c r="I836" s="16"/>
      <c r="J836" s="1"/>
      <c r="K836" s="1"/>
      <c r="L836" s="1"/>
      <c r="M836" s="262"/>
      <c r="N836" s="1"/>
      <c r="O836" s="1"/>
      <c r="P836" s="1"/>
      <c r="Q836" s="1"/>
      <c r="R836" s="1"/>
      <c r="S836" s="1"/>
      <c r="T836" s="1"/>
      <c r="U836" s="1"/>
      <c r="V836" s="1"/>
      <c r="W836" s="1"/>
      <c r="X836" s="1"/>
      <c r="Y836" s="1"/>
      <c r="Z836" s="1"/>
      <c r="AA836" s="1"/>
      <c r="AB836" s="1"/>
    </row>
    <row r="837" spans="1:28" ht="11.25" customHeight="1" x14ac:dyDescent="0.25">
      <c r="A837" s="825"/>
      <c r="B837" s="16"/>
      <c r="C837" s="16"/>
      <c r="D837" s="22"/>
      <c r="E837" s="262"/>
      <c r="F837" s="16"/>
      <c r="G837" s="16"/>
      <c r="H837" s="16"/>
      <c r="I837" s="16"/>
      <c r="J837" s="1"/>
      <c r="K837" s="1"/>
      <c r="L837" s="1"/>
      <c r="M837" s="262"/>
      <c r="N837" s="1"/>
      <c r="O837" s="1"/>
      <c r="P837" s="1"/>
      <c r="Q837" s="1"/>
      <c r="R837" s="1"/>
      <c r="S837" s="1"/>
      <c r="T837" s="1"/>
      <c r="U837" s="1"/>
      <c r="V837" s="1"/>
      <c r="W837" s="1"/>
      <c r="X837" s="1"/>
      <c r="Y837" s="1"/>
      <c r="Z837" s="1"/>
      <c r="AA837" s="1"/>
      <c r="AB837" s="1"/>
    </row>
    <row r="838" spans="1:28" ht="11.25" customHeight="1" x14ac:dyDescent="0.25">
      <c r="A838" s="825"/>
      <c r="B838" s="16"/>
      <c r="C838" s="16"/>
      <c r="D838" s="22"/>
      <c r="E838" s="262"/>
      <c r="F838" s="16"/>
      <c r="G838" s="16"/>
      <c r="H838" s="16"/>
      <c r="I838" s="16"/>
      <c r="J838" s="1"/>
      <c r="K838" s="1"/>
      <c r="L838" s="1"/>
      <c r="M838" s="262"/>
      <c r="N838" s="1"/>
      <c r="O838" s="1"/>
      <c r="P838" s="1"/>
      <c r="Q838" s="1"/>
      <c r="R838" s="1"/>
      <c r="S838" s="1"/>
      <c r="T838" s="1"/>
      <c r="U838" s="1"/>
      <c r="V838" s="1"/>
      <c r="W838" s="1"/>
      <c r="X838" s="1"/>
      <c r="Y838" s="1"/>
      <c r="Z838" s="1"/>
      <c r="AA838" s="1"/>
      <c r="AB838" s="1"/>
    </row>
    <row r="839" spans="1:28" ht="11.25" customHeight="1" x14ac:dyDescent="0.25">
      <c r="A839" s="825"/>
      <c r="B839" s="16"/>
      <c r="C839" s="16"/>
      <c r="D839" s="22"/>
      <c r="E839" s="262"/>
      <c r="F839" s="16"/>
      <c r="G839" s="16"/>
      <c r="H839" s="16"/>
      <c r="I839" s="16"/>
      <c r="J839" s="1"/>
      <c r="K839" s="1"/>
      <c r="L839" s="1"/>
      <c r="M839" s="262"/>
      <c r="N839" s="1"/>
      <c r="O839" s="1"/>
      <c r="P839" s="1"/>
      <c r="Q839" s="1"/>
      <c r="R839" s="1"/>
      <c r="S839" s="1"/>
      <c r="T839" s="1"/>
      <c r="U839" s="1"/>
      <c r="V839" s="1"/>
      <c r="W839" s="1"/>
      <c r="X839" s="1"/>
      <c r="Y839" s="1"/>
      <c r="Z839" s="1"/>
      <c r="AA839" s="1"/>
      <c r="AB839" s="1"/>
    </row>
    <row r="840" spans="1:28" ht="11.25" customHeight="1" x14ac:dyDescent="0.25">
      <c r="A840" s="825"/>
      <c r="B840" s="16"/>
      <c r="C840" s="16"/>
      <c r="D840" s="22"/>
      <c r="E840" s="262"/>
      <c r="F840" s="16"/>
      <c r="G840" s="16"/>
      <c r="H840" s="16"/>
      <c r="I840" s="16"/>
      <c r="J840" s="1"/>
      <c r="K840" s="1"/>
      <c r="L840" s="1"/>
      <c r="M840" s="262"/>
      <c r="N840" s="1"/>
      <c r="O840" s="1"/>
      <c r="P840" s="1"/>
      <c r="Q840" s="1"/>
      <c r="R840" s="1"/>
      <c r="S840" s="1"/>
      <c r="T840" s="1"/>
      <c r="U840" s="1"/>
      <c r="V840" s="1"/>
      <c r="W840" s="1"/>
      <c r="X840" s="1"/>
      <c r="Y840" s="1"/>
      <c r="Z840" s="1"/>
      <c r="AA840" s="1"/>
      <c r="AB840" s="1"/>
    </row>
    <row r="841" spans="1:28" ht="11.25" customHeight="1" x14ac:dyDescent="0.25">
      <c r="A841" s="825"/>
      <c r="B841" s="16"/>
      <c r="C841" s="16"/>
      <c r="D841" s="22"/>
      <c r="E841" s="262"/>
      <c r="F841" s="16"/>
      <c r="G841" s="16"/>
      <c r="H841" s="16"/>
      <c r="I841" s="16"/>
      <c r="J841" s="1"/>
      <c r="K841" s="1"/>
      <c r="L841" s="1"/>
      <c r="M841" s="262"/>
      <c r="N841" s="1"/>
      <c r="O841" s="1"/>
      <c r="P841" s="1"/>
      <c r="Q841" s="1"/>
      <c r="R841" s="1"/>
      <c r="S841" s="1"/>
      <c r="T841" s="1"/>
      <c r="U841" s="1"/>
      <c r="V841" s="1"/>
      <c r="W841" s="1"/>
      <c r="X841" s="1"/>
      <c r="Y841" s="1"/>
      <c r="Z841" s="1"/>
      <c r="AA841" s="1"/>
      <c r="AB841" s="1"/>
    </row>
    <row r="842" spans="1:28" ht="11.25" customHeight="1" x14ac:dyDescent="0.25">
      <c r="A842" s="825"/>
      <c r="B842" s="16"/>
      <c r="C842" s="16"/>
      <c r="D842" s="22"/>
      <c r="E842" s="262"/>
      <c r="F842" s="16"/>
      <c r="G842" s="16"/>
      <c r="H842" s="16"/>
      <c r="I842" s="16"/>
      <c r="J842" s="1"/>
      <c r="K842" s="1"/>
      <c r="L842" s="1"/>
      <c r="M842" s="262"/>
      <c r="N842" s="1"/>
      <c r="O842" s="1"/>
      <c r="P842" s="1"/>
      <c r="Q842" s="1"/>
      <c r="R842" s="1"/>
      <c r="S842" s="1"/>
      <c r="T842" s="1"/>
      <c r="U842" s="1"/>
      <c r="V842" s="1"/>
      <c r="W842" s="1"/>
      <c r="X842" s="1"/>
      <c r="Y842" s="1"/>
      <c r="Z842" s="1"/>
      <c r="AA842" s="1"/>
      <c r="AB842" s="1"/>
    </row>
    <row r="843" spans="1:28" ht="11.25" customHeight="1" x14ac:dyDescent="0.25">
      <c r="A843" s="825"/>
      <c r="B843" s="16"/>
      <c r="C843" s="16"/>
      <c r="D843" s="22"/>
      <c r="E843" s="262"/>
      <c r="F843" s="16"/>
      <c r="G843" s="16"/>
      <c r="H843" s="16"/>
      <c r="I843" s="16"/>
      <c r="J843" s="1"/>
      <c r="K843" s="1"/>
      <c r="L843" s="1"/>
      <c r="M843" s="262"/>
      <c r="N843" s="1"/>
      <c r="O843" s="1"/>
      <c r="P843" s="1"/>
      <c r="Q843" s="1"/>
      <c r="R843" s="1"/>
      <c r="S843" s="1"/>
      <c r="T843" s="1"/>
      <c r="U843" s="1"/>
      <c r="V843" s="1"/>
      <c r="W843" s="1"/>
      <c r="X843" s="1"/>
      <c r="Y843" s="1"/>
      <c r="Z843" s="1"/>
      <c r="AA843" s="1"/>
      <c r="AB843" s="1"/>
    </row>
    <row r="844" spans="1:28" ht="11.25" customHeight="1" x14ac:dyDescent="0.25">
      <c r="A844" s="825"/>
      <c r="B844" s="16"/>
      <c r="C844" s="16"/>
      <c r="D844" s="22"/>
      <c r="E844" s="262"/>
      <c r="F844" s="16"/>
      <c r="G844" s="16"/>
      <c r="H844" s="16"/>
      <c r="I844" s="16"/>
      <c r="J844" s="1"/>
      <c r="K844" s="1"/>
      <c r="L844" s="1"/>
      <c r="M844" s="262"/>
      <c r="N844" s="1"/>
      <c r="O844" s="1"/>
      <c r="P844" s="1"/>
      <c r="Q844" s="1"/>
      <c r="R844" s="1"/>
      <c r="S844" s="1"/>
      <c r="T844" s="1"/>
      <c r="U844" s="1"/>
      <c r="V844" s="1"/>
      <c r="W844" s="1"/>
      <c r="X844" s="1"/>
      <c r="Y844" s="1"/>
      <c r="Z844" s="1"/>
      <c r="AA844" s="1"/>
      <c r="AB844" s="1"/>
    </row>
    <row r="845" spans="1:28" ht="11.25" customHeight="1" x14ac:dyDescent="0.25">
      <c r="A845" s="825"/>
      <c r="B845" s="16"/>
      <c r="C845" s="16"/>
      <c r="D845" s="22"/>
      <c r="E845" s="262"/>
      <c r="F845" s="16"/>
      <c r="G845" s="16"/>
      <c r="H845" s="16"/>
      <c r="I845" s="16"/>
      <c r="J845" s="1"/>
      <c r="K845" s="1"/>
      <c r="L845" s="1"/>
      <c r="M845" s="262"/>
      <c r="N845" s="1"/>
      <c r="O845" s="1"/>
      <c r="P845" s="1"/>
      <c r="Q845" s="1"/>
      <c r="R845" s="1"/>
      <c r="S845" s="1"/>
      <c r="T845" s="1"/>
      <c r="U845" s="1"/>
      <c r="V845" s="1"/>
      <c r="W845" s="1"/>
      <c r="X845" s="1"/>
      <c r="Y845" s="1"/>
      <c r="Z845" s="1"/>
      <c r="AA845" s="1"/>
      <c r="AB845" s="1"/>
    </row>
    <row r="846" spans="1:28" ht="11.25" customHeight="1" x14ac:dyDescent="0.25">
      <c r="A846" s="825"/>
      <c r="B846" s="16"/>
      <c r="C846" s="16"/>
      <c r="D846" s="22"/>
      <c r="E846" s="262"/>
      <c r="F846" s="16"/>
      <c r="G846" s="16"/>
      <c r="H846" s="16"/>
      <c r="I846" s="16"/>
      <c r="J846" s="1"/>
      <c r="K846" s="1"/>
      <c r="L846" s="1"/>
      <c r="M846" s="262"/>
      <c r="N846" s="1"/>
      <c r="O846" s="1"/>
      <c r="P846" s="1"/>
      <c r="Q846" s="1"/>
      <c r="R846" s="1"/>
      <c r="S846" s="1"/>
      <c r="T846" s="1"/>
      <c r="U846" s="1"/>
      <c r="V846" s="1"/>
      <c r="W846" s="1"/>
      <c r="X846" s="1"/>
      <c r="Y846" s="1"/>
      <c r="Z846" s="1"/>
      <c r="AA846" s="1"/>
      <c r="AB846" s="1"/>
    </row>
    <row r="847" spans="1:28" ht="11.25" customHeight="1" x14ac:dyDescent="0.25">
      <c r="A847" s="825"/>
      <c r="B847" s="16"/>
      <c r="C847" s="16"/>
      <c r="D847" s="22"/>
      <c r="E847" s="262"/>
      <c r="F847" s="16"/>
      <c r="G847" s="16"/>
      <c r="H847" s="16"/>
      <c r="I847" s="16"/>
      <c r="J847" s="1"/>
      <c r="K847" s="1"/>
      <c r="L847" s="1"/>
      <c r="M847" s="262"/>
      <c r="N847" s="1"/>
      <c r="O847" s="1"/>
      <c r="P847" s="1"/>
      <c r="Q847" s="1"/>
      <c r="R847" s="1"/>
      <c r="S847" s="1"/>
      <c r="T847" s="1"/>
      <c r="U847" s="1"/>
      <c r="V847" s="1"/>
      <c r="W847" s="1"/>
      <c r="X847" s="1"/>
      <c r="Y847" s="1"/>
      <c r="Z847" s="1"/>
      <c r="AA847" s="1"/>
      <c r="AB847" s="1"/>
    </row>
    <row r="848" spans="1:28" ht="11.25" customHeight="1" x14ac:dyDescent="0.25">
      <c r="A848" s="825"/>
      <c r="B848" s="16"/>
      <c r="C848" s="16"/>
      <c r="D848" s="22"/>
      <c r="E848" s="262"/>
      <c r="F848" s="16"/>
      <c r="G848" s="16"/>
      <c r="H848" s="16"/>
      <c r="I848" s="16"/>
      <c r="J848" s="1"/>
      <c r="K848" s="1"/>
      <c r="L848" s="1"/>
      <c r="M848" s="262"/>
      <c r="N848" s="1"/>
      <c r="O848" s="1"/>
      <c r="P848" s="1"/>
      <c r="Q848" s="1"/>
      <c r="R848" s="1"/>
      <c r="S848" s="1"/>
      <c r="T848" s="1"/>
      <c r="U848" s="1"/>
      <c r="V848" s="1"/>
      <c r="W848" s="1"/>
      <c r="X848" s="1"/>
      <c r="Y848" s="1"/>
      <c r="Z848" s="1"/>
      <c r="AA848" s="1"/>
      <c r="AB848" s="1"/>
    </row>
    <row r="849" spans="1:28" ht="11.25" customHeight="1" x14ac:dyDescent="0.25">
      <c r="A849" s="825"/>
      <c r="B849" s="16"/>
      <c r="C849" s="16"/>
      <c r="D849" s="22"/>
      <c r="E849" s="262"/>
      <c r="F849" s="16"/>
      <c r="G849" s="16"/>
      <c r="H849" s="16"/>
      <c r="I849" s="16"/>
      <c r="J849" s="1"/>
      <c r="K849" s="1"/>
      <c r="L849" s="1"/>
      <c r="M849" s="262"/>
      <c r="N849" s="1"/>
      <c r="O849" s="1"/>
      <c r="P849" s="1"/>
      <c r="Q849" s="1"/>
      <c r="R849" s="1"/>
      <c r="S849" s="1"/>
      <c r="T849" s="1"/>
      <c r="U849" s="1"/>
      <c r="V849" s="1"/>
      <c r="W849" s="1"/>
      <c r="X849" s="1"/>
      <c r="Y849" s="1"/>
      <c r="Z849" s="1"/>
      <c r="AA849" s="1"/>
      <c r="AB849" s="1"/>
    </row>
    <row r="850" spans="1:28" ht="11.25" customHeight="1" x14ac:dyDescent="0.25">
      <c r="A850" s="825"/>
      <c r="B850" s="16"/>
      <c r="C850" s="16"/>
      <c r="D850" s="22"/>
      <c r="E850" s="262"/>
      <c r="F850" s="16"/>
      <c r="G850" s="16"/>
      <c r="H850" s="16"/>
      <c r="I850" s="16"/>
      <c r="J850" s="1"/>
      <c r="K850" s="1"/>
      <c r="L850" s="1"/>
      <c r="M850" s="262"/>
      <c r="N850" s="1"/>
      <c r="O850" s="1"/>
      <c r="P850" s="1"/>
      <c r="Q850" s="1"/>
      <c r="R850" s="1"/>
      <c r="S850" s="1"/>
      <c r="T850" s="1"/>
      <c r="U850" s="1"/>
      <c r="V850" s="1"/>
      <c r="W850" s="1"/>
      <c r="X850" s="1"/>
      <c r="Y850" s="1"/>
      <c r="Z850" s="1"/>
      <c r="AA850" s="1"/>
      <c r="AB850" s="1"/>
    </row>
    <row r="851" spans="1:28" ht="11.25" customHeight="1" x14ac:dyDescent="0.25">
      <c r="A851" s="825"/>
      <c r="B851" s="16"/>
      <c r="C851" s="16"/>
      <c r="D851" s="22"/>
      <c r="E851" s="262"/>
      <c r="F851" s="16"/>
      <c r="G851" s="16"/>
      <c r="H851" s="16"/>
      <c r="I851" s="16"/>
      <c r="J851" s="1"/>
      <c r="K851" s="1"/>
      <c r="L851" s="1"/>
      <c r="M851" s="262"/>
      <c r="N851" s="1"/>
      <c r="O851" s="1"/>
      <c r="P851" s="1"/>
      <c r="Q851" s="1"/>
      <c r="R851" s="1"/>
      <c r="S851" s="1"/>
      <c r="T851" s="1"/>
      <c r="U851" s="1"/>
      <c r="V851" s="1"/>
      <c r="W851" s="1"/>
      <c r="X851" s="1"/>
      <c r="Y851" s="1"/>
      <c r="Z851" s="1"/>
      <c r="AA851" s="1"/>
      <c r="AB851" s="1"/>
    </row>
    <row r="852" spans="1:28" ht="11.25" customHeight="1" x14ac:dyDescent="0.25">
      <c r="A852" s="825"/>
      <c r="B852" s="16"/>
      <c r="C852" s="16"/>
      <c r="D852" s="22"/>
      <c r="E852" s="262"/>
      <c r="F852" s="16"/>
      <c r="G852" s="16"/>
      <c r="H852" s="16"/>
      <c r="I852" s="16"/>
      <c r="J852" s="1"/>
      <c r="K852" s="1"/>
      <c r="L852" s="1"/>
      <c r="M852" s="262"/>
      <c r="N852" s="1"/>
      <c r="O852" s="1"/>
      <c r="P852" s="1"/>
      <c r="Q852" s="1"/>
      <c r="R852" s="1"/>
      <c r="S852" s="1"/>
      <c r="T852" s="1"/>
      <c r="U852" s="1"/>
      <c r="V852" s="1"/>
      <c r="W852" s="1"/>
      <c r="X852" s="1"/>
      <c r="Y852" s="1"/>
      <c r="Z852" s="1"/>
      <c r="AA852" s="1"/>
      <c r="AB852" s="1"/>
    </row>
    <row r="853" spans="1:28" ht="11.25" customHeight="1" x14ac:dyDescent="0.25">
      <c r="A853" s="825"/>
      <c r="B853" s="16"/>
      <c r="C853" s="16"/>
      <c r="D853" s="22"/>
      <c r="E853" s="262"/>
      <c r="F853" s="16"/>
      <c r="G853" s="16"/>
      <c r="H853" s="16"/>
      <c r="I853" s="16"/>
      <c r="J853" s="1"/>
      <c r="K853" s="1"/>
      <c r="L853" s="1"/>
      <c r="M853" s="262"/>
      <c r="N853" s="1"/>
      <c r="O853" s="1"/>
      <c r="P853" s="1"/>
      <c r="Q853" s="1"/>
      <c r="R853" s="1"/>
      <c r="S853" s="1"/>
      <c r="T853" s="1"/>
      <c r="U853" s="1"/>
      <c r="V853" s="1"/>
      <c r="W853" s="1"/>
      <c r="X853" s="1"/>
      <c r="Y853" s="1"/>
      <c r="Z853" s="1"/>
      <c r="AA853" s="1"/>
      <c r="AB853" s="1"/>
    </row>
    <row r="854" spans="1:28" ht="11.25" customHeight="1" x14ac:dyDescent="0.25">
      <c r="A854" s="825"/>
      <c r="B854" s="16"/>
      <c r="C854" s="16"/>
      <c r="D854" s="22"/>
      <c r="E854" s="262"/>
      <c r="F854" s="16"/>
      <c r="G854" s="16"/>
      <c r="H854" s="16"/>
      <c r="I854" s="16"/>
      <c r="J854" s="1"/>
      <c r="K854" s="1"/>
      <c r="L854" s="1"/>
      <c r="M854" s="262"/>
      <c r="N854" s="1"/>
      <c r="O854" s="1"/>
      <c r="P854" s="1"/>
      <c r="Q854" s="1"/>
      <c r="R854" s="1"/>
      <c r="S854" s="1"/>
      <c r="T854" s="1"/>
      <c r="U854" s="1"/>
      <c r="V854" s="1"/>
      <c r="W854" s="1"/>
      <c r="X854" s="1"/>
      <c r="Y854" s="1"/>
      <c r="Z854" s="1"/>
      <c r="AA854" s="1"/>
      <c r="AB854" s="1"/>
    </row>
    <row r="855" spans="1:28" ht="11.25" customHeight="1" x14ac:dyDescent="0.25">
      <c r="A855" s="825"/>
      <c r="B855" s="16"/>
      <c r="C855" s="16"/>
      <c r="D855" s="22"/>
      <c r="E855" s="262"/>
      <c r="F855" s="16"/>
      <c r="G855" s="16"/>
      <c r="H855" s="16"/>
      <c r="I855" s="16"/>
      <c r="J855" s="1"/>
      <c r="K855" s="1"/>
      <c r="L855" s="1"/>
      <c r="M855" s="262"/>
      <c r="N855" s="1"/>
      <c r="O855" s="1"/>
      <c r="P855" s="1"/>
      <c r="Q855" s="1"/>
      <c r="R855" s="1"/>
      <c r="S855" s="1"/>
      <c r="T855" s="1"/>
      <c r="U855" s="1"/>
      <c r="V855" s="1"/>
      <c r="W855" s="1"/>
      <c r="X855" s="1"/>
      <c r="Y855" s="1"/>
      <c r="Z855" s="1"/>
      <c r="AA855" s="1"/>
      <c r="AB855" s="1"/>
    </row>
    <row r="856" spans="1:28" ht="11.25" customHeight="1" x14ac:dyDescent="0.25">
      <c r="A856" s="825"/>
      <c r="B856" s="16"/>
      <c r="C856" s="16"/>
      <c r="D856" s="22"/>
      <c r="E856" s="262"/>
      <c r="F856" s="16"/>
      <c r="G856" s="16"/>
      <c r="H856" s="16"/>
      <c r="I856" s="16"/>
      <c r="J856" s="1"/>
      <c r="K856" s="1"/>
      <c r="L856" s="1"/>
      <c r="M856" s="262"/>
      <c r="N856" s="1"/>
      <c r="O856" s="1"/>
      <c r="P856" s="1"/>
      <c r="Q856" s="1"/>
      <c r="R856" s="1"/>
      <c r="S856" s="1"/>
      <c r="T856" s="1"/>
      <c r="U856" s="1"/>
      <c r="V856" s="1"/>
      <c r="W856" s="1"/>
      <c r="X856" s="1"/>
      <c r="Y856" s="1"/>
      <c r="Z856" s="1"/>
      <c r="AA856" s="1"/>
      <c r="AB856" s="1"/>
    </row>
    <row r="857" spans="1:28" ht="11.25" customHeight="1" x14ac:dyDescent="0.25">
      <c r="A857" s="825"/>
      <c r="B857" s="16"/>
      <c r="C857" s="16"/>
      <c r="D857" s="22"/>
      <c r="E857" s="262"/>
      <c r="F857" s="16"/>
      <c r="G857" s="16"/>
      <c r="H857" s="16"/>
      <c r="I857" s="16"/>
      <c r="J857" s="1"/>
      <c r="K857" s="1"/>
      <c r="L857" s="1"/>
      <c r="M857" s="262"/>
      <c r="N857" s="1"/>
      <c r="O857" s="1"/>
      <c r="P857" s="1"/>
      <c r="Q857" s="1"/>
      <c r="R857" s="1"/>
      <c r="S857" s="1"/>
      <c r="T857" s="1"/>
      <c r="U857" s="1"/>
      <c r="V857" s="1"/>
      <c r="W857" s="1"/>
      <c r="X857" s="1"/>
      <c r="Y857" s="1"/>
      <c r="Z857" s="1"/>
      <c r="AA857" s="1"/>
      <c r="AB857" s="1"/>
    </row>
    <row r="858" spans="1:28" ht="11.25" customHeight="1" x14ac:dyDescent="0.25">
      <c r="A858" s="825"/>
      <c r="B858" s="16"/>
      <c r="C858" s="16"/>
      <c r="D858" s="22"/>
      <c r="E858" s="262"/>
      <c r="F858" s="16"/>
      <c r="G858" s="16"/>
      <c r="H858" s="16"/>
      <c r="I858" s="16"/>
      <c r="J858" s="1"/>
      <c r="K858" s="1"/>
      <c r="L858" s="1"/>
      <c r="M858" s="262"/>
      <c r="N858" s="1"/>
      <c r="O858" s="1"/>
      <c r="P858" s="1"/>
      <c r="Q858" s="1"/>
      <c r="R858" s="1"/>
      <c r="S858" s="1"/>
      <c r="T858" s="1"/>
      <c r="U858" s="1"/>
      <c r="V858" s="1"/>
      <c r="W858" s="1"/>
      <c r="X858" s="1"/>
      <c r="Y858" s="1"/>
      <c r="Z858" s="1"/>
      <c r="AA858" s="1"/>
      <c r="AB858" s="1"/>
    </row>
    <row r="859" spans="1:28" ht="11.25" customHeight="1" x14ac:dyDescent="0.25">
      <c r="A859" s="825"/>
      <c r="B859" s="16"/>
      <c r="C859" s="16"/>
      <c r="D859" s="22"/>
      <c r="E859" s="262"/>
      <c r="F859" s="16"/>
      <c r="G859" s="16"/>
      <c r="H859" s="16"/>
      <c r="I859" s="16"/>
      <c r="J859" s="1"/>
      <c r="K859" s="1"/>
      <c r="L859" s="1"/>
      <c r="M859" s="262"/>
      <c r="N859" s="1"/>
      <c r="O859" s="1"/>
      <c r="P859" s="1"/>
      <c r="Q859" s="1"/>
      <c r="R859" s="1"/>
      <c r="S859" s="1"/>
      <c r="T859" s="1"/>
      <c r="U859" s="1"/>
      <c r="V859" s="1"/>
      <c r="W859" s="1"/>
      <c r="X859" s="1"/>
      <c r="Y859" s="1"/>
      <c r="Z859" s="1"/>
      <c r="AA859" s="1"/>
      <c r="AB859" s="1"/>
    </row>
    <row r="860" spans="1:28" ht="11.25" customHeight="1" x14ac:dyDescent="0.25">
      <c r="A860" s="825"/>
      <c r="B860" s="16"/>
      <c r="C860" s="16"/>
      <c r="D860" s="22"/>
      <c r="E860" s="262"/>
      <c r="F860" s="16"/>
      <c r="G860" s="16"/>
      <c r="H860" s="16"/>
      <c r="I860" s="16"/>
      <c r="J860" s="1"/>
      <c r="K860" s="1"/>
      <c r="L860" s="1"/>
      <c r="M860" s="262"/>
      <c r="N860" s="1"/>
      <c r="O860" s="1"/>
      <c r="P860" s="1"/>
      <c r="Q860" s="1"/>
      <c r="R860" s="1"/>
      <c r="S860" s="1"/>
      <c r="T860" s="1"/>
      <c r="U860" s="1"/>
      <c r="V860" s="1"/>
      <c r="W860" s="1"/>
      <c r="X860" s="1"/>
      <c r="Y860" s="1"/>
      <c r="Z860" s="1"/>
      <c r="AA860" s="1"/>
      <c r="AB860" s="1"/>
    </row>
    <row r="861" spans="1:28" ht="11.25" customHeight="1" x14ac:dyDescent="0.25">
      <c r="A861" s="825"/>
      <c r="B861" s="16"/>
      <c r="C861" s="16"/>
      <c r="D861" s="22"/>
      <c r="E861" s="262"/>
      <c r="F861" s="16"/>
      <c r="G861" s="16"/>
      <c r="H861" s="16"/>
      <c r="I861" s="16"/>
      <c r="J861" s="1"/>
      <c r="K861" s="1"/>
      <c r="L861" s="1"/>
      <c r="M861" s="262"/>
      <c r="N861" s="1"/>
      <c r="O861" s="1"/>
      <c r="P861" s="1"/>
      <c r="Q861" s="1"/>
      <c r="R861" s="1"/>
      <c r="S861" s="1"/>
      <c r="T861" s="1"/>
      <c r="U861" s="1"/>
      <c r="V861" s="1"/>
      <c r="W861" s="1"/>
      <c r="X861" s="1"/>
      <c r="Y861" s="1"/>
      <c r="Z861" s="1"/>
      <c r="AA861" s="1"/>
      <c r="AB861" s="1"/>
    </row>
    <row r="862" spans="1:28" ht="11.25" customHeight="1" x14ac:dyDescent="0.25">
      <c r="A862" s="825"/>
      <c r="B862" s="16"/>
      <c r="C862" s="16"/>
      <c r="D862" s="22"/>
      <c r="E862" s="262"/>
      <c r="F862" s="16"/>
      <c r="G862" s="16"/>
      <c r="H862" s="16"/>
      <c r="I862" s="16"/>
      <c r="J862" s="1"/>
      <c r="K862" s="1"/>
      <c r="L862" s="1"/>
      <c r="M862" s="262"/>
      <c r="N862" s="1"/>
      <c r="O862" s="1"/>
      <c r="P862" s="1"/>
      <c r="Q862" s="1"/>
      <c r="R862" s="1"/>
      <c r="S862" s="1"/>
      <c r="T862" s="1"/>
      <c r="U862" s="1"/>
      <c r="V862" s="1"/>
      <c r="W862" s="1"/>
      <c r="X862" s="1"/>
      <c r="Y862" s="1"/>
      <c r="Z862" s="1"/>
      <c r="AA862" s="1"/>
      <c r="AB862" s="1"/>
    </row>
    <row r="863" spans="1:28" ht="11.25" customHeight="1" x14ac:dyDescent="0.25">
      <c r="A863" s="825"/>
      <c r="B863" s="16"/>
      <c r="C863" s="16"/>
      <c r="D863" s="22"/>
      <c r="E863" s="262"/>
      <c r="F863" s="16"/>
      <c r="G863" s="16"/>
      <c r="H863" s="16"/>
      <c r="I863" s="16"/>
      <c r="J863" s="1"/>
      <c r="K863" s="1"/>
      <c r="L863" s="1"/>
      <c r="M863" s="262"/>
      <c r="N863" s="1"/>
      <c r="O863" s="1"/>
      <c r="P863" s="1"/>
      <c r="Q863" s="1"/>
      <c r="R863" s="1"/>
      <c r="S863" s="1"/>
      <c r="T863" s="1"/>
      <c r="U863" s="1"/>
      <c r="V863" s="1"/>
      <c r="W863" s="1"/>
      <c r="X863" s="1"/>
      <c r="Y863" s="1"/>
      <c r="Z863" s="1"/>
      <c r="AA863" s="1"/>
      <c r="AB863" s="1"/>
    </row>
    <row r="864" spans="1:28" ht="11.25" customHeight="1" x14ac:dyDescent="0.25">
      <c r="A864" s="825"/>
      <c r="B864" s="16"/>
      <c r="C864" s="16"/>
      <c r="D864" s="22"/>
      <c r="E864" s="262"/>
      <c r="F864" s="16"/>
      <c r="G864" s="16"/>
      <c r="H864" s="16"/>
      <c r="I864" s="16"/>
      <c r="J864" s="1"/>
      <c r="K864" s="1"/>
      <c r="L864" s="1"/>
      <c r="M864" s="262"/>
      <c r="N864" s="1"/>
      <c r="O864" s="1"/>
      <c r="P864" s="1"/>
      <c r="Q864" s="1"/>
      <c r="R864" s="1"/>
      <c r="S864" s="1"/>
      <c r="T864" s="1"/>
      <c r="U864" s="1"/>
      <c r="V864" s="1"/>
      <c r="W864" s="1"/>
      <c r="X864" s="1"/>
      <c r="Y864" s="1"/>
      <c r="Z864" s="1"/>
      <c r="AA864" s="1"/>
      <c r="AB864" s="1"/>
    </row>
    <row r="865" spans="1:28" ht="11.25" customHeight="1" x14ac:dyDescent="0.25">
      <c r="A865" s="825"/>
      <c r="B865" s="16"/>
      <c r="C865" s="16"/>
      <c r="D865" s="22"/>
      <c r="E865" s="262"/>
      <c r="F865" s="16"/>
      <c r="G865" s="16"/>
      <c r="H865" s="16"/>
      <c r="I865" s="16"/>
      <c r="J865" s="1"/>
      <c r="K865" s="1"/>
      <c r="L865" s="1"/>
      <c r="M865" s="262"/>
      <c r="N865" s="1"/>
      <c r="O865" s="1"/>
      <c r="P865" s="1"/>
      <c r="Q865" s="1"/>
      <c r="R865" s="1"/>
      <c r="S865" s="1"/>
      <c r="T865" s="1"/>
      <c r="U865" s="1"/>
      <c r="V865" s="1"/>
      <c r="W865" s="1"/>
      <c r="X865" s="1"/>
      <c r="Y865" s="1"/>
      <c r="Z865" s="1"/>
      <c r="AA865" s="1"/>
      <c r="AB865" s="1"/>
    </row>
    <row r="866" spans="1:28" ht="11.25" customHeight="1" x14ac:dyDescent="0.25">
      <c r="A866" s="825"/>
      <c r="B866" s="16"/>
      <c r="C866" s="16"/>
      <c r="D866" s="22"/>
      <c r="E866" s="262"/>
      <c r="F866" s="16"/>
      <c r="G866" s="16"/>
      <c r="H866" s="16"/>
      <c r="I866" s="16"/>
      <c r="J866" s="1"/>
      <c r="K866" s="1"/>
      <c r="L866" s="1"/>
      <c r="M866" s="262"/>
      <c r="N866" s="1"/>
      <c r="O866" s="1"/>
      <c r="P866" s="1"/>
      <c r="Q866" s="1"/>
      <c r="R866" s="1"/>
      <c r="S866" s="1"/>
      <c r="T866" s="1"/>
      <c r="U866" s="1"/>
      <c r="V866" s="1"/>
      <c r="W866" s="1"/>
      <c r="X866" s="1"/>
      <c r="Y866" s="1"/>
      <c r="Z866" s="1"/>
      <c r="AA866" s="1"/>
      <c r="AB866" s="1"/>
    </row>
    <row r="867" spans="1:28" ht="11.25" customHeight="1" x14ac:dyDescent="0.25">
      <c r="A867" s="825"/>
      <c r="B867" s="16"/>
      <c r="C867" s="16"/>
      <c r="D867" s="22"/>
      <c r="E867" s="262"/>
      <c r="F867" s="16"/>
      <c r="G867" s="16"/>
      <c r="H867" s="16"/>
      <c r="I867" s="16"/>
      <c r="J867" s="1"/>
      <c r="K867" s="1"/>
      <c r="L867" s="1"/>
      <c r="M867" s="262"/>
      <c r="N867" s="1"/>
      <c r="O867" s="1"/>
      <c r="P867" s="1"/>
      <c r="Q867" s="1"/>
      <c r="R867" s="1"/>
      <c r="S867" s="1"/>
      <c r="T867" s="1"/>
      <c r="U867" s="1"/>
      <c r="V867" s="1"/>
      <c r="W867" s="1"/>
      <c r="X867" s="1"/>
      <c r="Y867" s="1"/>
      <c r="Z867" s="1"/>
      <c r="AA867" s="1"/>
      <c r="AB867" s="1"/>
    </row>
    <row r="868" spans="1:28" ht="11.25" customHeight="1" x14ac:dyDescent="0.25">
      <c r="A868" s="825"/>
      <c r="B868" s="16"/>
      <c r="C868" s="16"/>
      <c r="D868" s="22"/>
      <c r="E868" s="262"/>
      <c r="F868" s="16"/>
      <c r="G868" s="16"/>
      <c r="H868" s="16"/>
      <c r="I868" s="16"/>
      <c r="J868" s="1"/>
      <c r="K868" s="1"/>
      <c r="L868" s="1"/>
      <c r="M868" s="262"/>
      <c r="N868" s="1"/>
      <c r="O868" s="1"/>
      <c r="P868" s="1"/>
      <c r="Q868" s="1"/>
      <c r="R868" s="1"/>
      <c r="S868" s="1"/>
      <c r="T868" s="1"/>
      <c r="U868" s="1"/>
      <c r="V868" s="1"/>
      <c r="W868" s="1"/>
      <c r="X868" s="1"/>
      <c r="Y868" s="1"/>
      <c r="Z868" s="1"/>
      <c r="AA868" s="1"/>
      <c r="AB868" s="1"/>
    </row>
    <row r="869" spans="1:28" ht="11.25" customHeight="1" x14ac:dyDescent="0.25">
      <c r="A869" s="825"/>
      <c r="B869" s="16"/>
      <c r="C869" s="16"/>
      <c r="D869" s="22"/>
      <c r="E869" s="262"/>
      <c r="F869" s="16"/>
      <c r="G869" s="16"/>
      <c r="H869" s="16"/>
      <c r="I869" s="16"/>
      <c r="J869" s="1"/>
      <c r="K869" s="1"/>
      <c r="L869" s="1"/>
      <c r="M869" s="262"/>
      <c r="N869" s="1"/>
      <c r="O869" s="1"/>
      <c r="P869" s="1"/>
      <c r="Q869" s="1"/>
      <c r="R869" s="1"/>
      <c r="S869" s="1"/>
      <c r="T869" s="1"/>
      <c r="U869" s="1"/>
      <c r="V869" s="1"/>
      <c r="W869" s="1"/>
      <c r="X869" s="1"/>
      <c r="Y869" s="1"/>
      <c r="Z869" s="1"/>
      <c r="AA869" s="1"/>
      <c r="AB869" s="1"/>
    </row>
    <row r="870" spans="1:28" ht="11.25" customHeight="1" x14ac:dyDescent="0.25">
      <c r="A870" s="825"/>
      <c r="B870" s="16"/>
      <c r="C870" s="16"/>
      <c r="D870" s="22"/>
      <c r="E870" s="262"/>
      <c r="F870" s="16"/>
      <c r="G870" s="16"/>
      <c r="H870" s="16"/>
      <c r="I870" s="16"/>
      <c r="J870" s="1"/>
      <c r="K870" s="1"/>
      <c r="L870" s="1"/>
      <c r="M870" s="262"/>
      <c r="N870" s="1"/>
      <c r="O870" s="1"/>
      <c r="P870" s="1"/>
      <c r="Q870" s="1"/>
      <c r="R870" s="1"/>
      <c r="S870" s="1"/>
      <c r="T870" s="1"/>
      <c r="U870" s="1"/>
      <c r="V870" s="1"/>
      <c r="W870" s="1"/>
      <c r="X870" s="1"/>
      <c r="Y870" s="1"/>
      <c r="Z870" s="1"/>
      <c r="AA870" s="1"/>
      <c r="AB870" s="1"/>
    </row>
    <row r="871" spans="1:28" ht="11.25" customHeight="1" x14ac:dyDescent="0.25">
      <c r="A871" s="825"/>
      <c r="B871" s="16"/>
      <c r="C871" s="16"/>
      <c r="D871" s="22"/>
      <c r="E871" s="262"/>
      <c r="F871" s="16"/>
      <c r="G871" s="16"/>
      <c r="H871" s="16"/>
      <c r="I871" s="16"/>
      <c r="J871" s="1"/>
      <c r="K871" s="1"/>
      <c r="L871" s="1"/>
      <c r="M871" s="262"/>
      <c r="N871" s="1"/>
      <c r="O871" s="1"/>
      <c r="P871" s="1"/>
      <c r="Q871" s="1"/>
      <c r="R871" s="1"/>
      <c r="S871" s="1"/>
      <c r="T871" s="1"/>
      <c r="U871" s="1"/>
      <c r="V871" s="1"/>
      <c r="W871" s="1"/>
      <c r="X871" s="1"/>
      <c r="Y871" s="1"/>
      <c r="Z871" s="1"/>
      <c r="AA871" s="1"/>
      <c r="AB871" s="1"/>
    </row>
    <row r="872" spans="1:28" ht="11.25" customHeight="1" x14ac:dyDescent="0.25">
      <c r="A872" s="825"/>
      <c r="B872" s="16"/>
      <c r="C872" s="16"/>
      <c r="D872" s="22"/>
      <c r="E872" s="262"/>
      <c r="F872" s="16"/>
      <c r="G872" s="16"/>
      <c r="H872" s="16"/>
      <c r="I872" s="16"/>
      <c r="J872" s="1"/>
      <c r="K872" s="1"/>
      <c r="L872" s="1"/>
      <c r="M872" s="262"/>
      <c r="N872" s="1"/>
      <c r="O872" s="1"/>
      <c r="P872" s="1"/>
      <c r="Q872" s="1"/>
      <c r="R872" s="1"/>
      <c r="S872" s="1"/>
      <c r="T872" s="1"/>
      <c r="U872" s="1"/>
      <c r="V872" s="1"/>
      <c r="W872" s="1"/>
      <c r="X872" s="1"/>
      <c r="Y872" s="1"/>
      <c r="Z872" s="1"/>
      <c r="AA872" s="1"/>
      <c r="AB872" s="1"/>
    </row>
    <row r="873" spans="1:28" ht="11.25" customHeight="1" x14ac:dyDescent="0.25">
      <c r="A873" s="825"/>
      <c r="B873" s="16"/>
      <c r="C873" s="16"/>
      <c r="D873" s="22"/>
      <c r="E873" s="262"/>
      <c r="F873" s="16"/>
      <c r="G873" s="16"/>
      <c r="H873" s="16"/>
      <c r="I873" s="16"/>
      <c r="J873" s="1"/>
      <c r="K873" s="1"/>
      <c r="L873" s="1"/>
      <c r="M873" s="262"/>
      <c r="N873" s="1"/>
      <c r="O873" s="1"/>
      <c r="P873" s="1"/>
      <c r="Q873" s="1"/>
      <c r="R873" s="1"/>
      <c r="S873" s="1"/>
      <c r="T873" s="1"/>
      <c r="U873" s="1"/>
      <c r="V873" s="1"/>
      <c r="W873" s="1"/>
      <c r="X873" s="1"/>
      <c r="Y873" s="1"/>
      <c r="Z873" s="1"/>
      <c r="AA873" s="1"/>
      <c r="AB873" s="1"/>
    </row>
    <row r="874" spans="1:28" ht="11.25" customHeight="1" x14ac:dyDescent="0.25">
      <c r="A874" s="825"/>
      <c r="B874" s="16"/>
      <c r="C874" s="16"/>
      <c r="D874" s="22"/>
      <c r="E874" s="262"/>
      <c r="F874" s="16"/>
      <c r="G874" s="16"/>
      <c r="H874" s="16"/>
      <c r="I874" s="16"/>
      <c r="J874" s="1"/>
      <c r="K874" s="1"/>
      <c r="L874" s="1"/>
      <c r="M874" s="262"/>
      <c r="N874" s="1"/>
      <c r="O874" s="1"/>
      <c r="P874" s="1"/>
      <c r="Q874" s="1"/>
      <c r="R874" s="1"/>
      <c r="S874" s="1"/>
      <c r="T874" s="1"/>
      <c r="U874" s="1"/>
      <c r="V874" s="1"/>
      <c r="W874" s="1"/>
      <c r="X874" s="1"/>
      <c r="Y874" s="1"/>
      <c r="Z874" s="1"/>
      <c r="AA874" s="1"/>
      <c r="AB874" s="1"/>
    </row>
    <row r="875" spans="1:28" ht="11.25" customHeight="1" x14ac:dyDescent="0.25">
      <c r="A875" s="825"/>
      <c r="B875" s="16"/>
      <c r="C875" s="16"/>
      <c r="D875" s="22"/>
      <c r="E875" s="262"/>
      <c r="F875" s="16"/>
      <c r="G875" s="16"/>
      <c r="H875" s="16"/>
      <c r="I875" s="16"/>
      <c r="J875" s="1"/>
      <c r="K875" s="1"/>
      <c r="L875" s="1"/>
      <c r="M875" s="262"/>
      <c r="N875" s="1"/>
      <c r="O875" s="1"/>
      <c r="P875" s="1"/>
      <c r="Q875" s="1"/>
      <c r="R875" s="1"/>
      <c r="S875" s="1"/>
      <c r="T875" s="1"/>
      <c r="U875" s="1"/>
      <c r="V875" s="1"/>
      <c r="W875" s="1"/>
      <c r="X875" s="1"/>
      <c r="Y875" s="1"/>
      <c r="Z875" s="1"/>
      <c r="AA875" s="1"/>
      <c r="AB875" s="1"/>
    </row>
    <row r="876" spans="1:28" ht="11.25" customHeight="1" x14ac:dyDescent="0.25">
      <c r="A876" s="825"/>
      <c r="B876" s="16"/>
      <c r="C876" s="16"/>
      <c r="D876" s="22"/>
      <c r="E876" s="262"/>
      <c r="F876" s="16"/>
      <c r="G876" s="16"/>
      <c r="H876" s="16"/>
      <c r="I876" s="16"/>
      <c r="J876" s="1"/>
      <c r="K876" s="1"/>
      <c r="L876" s="1"/>
      <c r="M876" s="262"/>
      <c r="N876" s="1"/>
      <c r="O876" s="1"/>
      <c r="P876" s="1"/>
      <c r="Q876" s="1"/>
      <c r="R876" s="1"/>
      <c r="S876" s="1"/>
      <c r="T876" s="1"/>
      <c r="U876" s="1"/>
      <c r="V876" s="1"/>
      <c r="W876" s="1"/>
      <c r="X876" s="1"/>
      <c r="Y876" s="1"/>
      <c r="Z876" s="1"/>
      <c r="AA876" s="1"/>
      <c r="AB876" s="1"/>
    </row>
    <row r="877" spans="1:28" ht="11.25" customHeight="1" x14ac:dyDescent="0.25">
      <c r="A877" s="825"/>
      <c r="B877" s="16"/>
      <c r="C877" s="16"/>
      <c r="D877" s="22"/>
      <c r="E877" s="262"/>
      <c r="F877" s="16"/>
      <c r="G877" s="16"/>
      <c r="H877" s="16"/>
      <c r="I877" s="16"/>
      <c r="J877" s="1"/>
      <c r="K877" s="1"/>
      <c r="L877" s="1"/>
      <c r="M877" s="262"/>
      <c r="N877" s="1"/>
      <c r="O877" s="1"/>
      <c r="P877" s="1"/>
      <c r="Q877" s="1"/>
      <c r="R877" s="1"/>
      <c r="S877" s="1"/>
      <c r="T877" s="1"/>
      <c r="U877" s="1"/>
      <c r="V877" s="1"/>
      <c r="W877" s="1"/>
      <c r="X877" s="1"/>
      <c r="Y877" s="1"/>
      <c r="Z877" s="1"/>
      <c r="AA877" s="1"/>
      <c r="AB877" s="1"/>
    </row>
    <row r="878" spans="1:28" ht="11.25" customHeight="1" x14ac:dyDescent="0.25">
      <c r="A878" s="825"/>
      <c r="B878" s="16"/>
      <c r="C878" s="16"/>
      <c r="D878" s="22"/>
      <c r="E878" s="262"/>
      <c r="F878" s="16"/>
      <c r="G878" s="16"/>
      <c r="H878" s="16"/>
      <c r="I878" s="16"/>
      <c r="J878" s="1"/>
      <c r="K878" s="1"/>
      <c r="L878" s="1"/>
      <c r="M878" s="262"/>
      <c r="N878" s="1"/>
      <c r="O878" s="1"/>
      <c r="P878" s="1"/>
      <c r="Q878" s="1"/>
      <c r="R878" s="1"/>
      <c r="S878" s="1"/>
      <c r="T878" s="1"/>
      <c r="U878" s="1"/>
      <c r="V878" s="1"/>
      <c r="W878" s="1"/>
      <c r="X878" s="1"/>
      <c r="Y878" s="1"/>
      <c r="Z878" s="1"/>
      <c r="AA878" s="1"/>
      <c r="AB878" s="1"/>
    </row>
    <row r="879" spans="1:28" ht="11.25" customHeight="1" x14ac:dyDescent="0.25">
      <c r="A879" s="825"/>
      <c r="B879" s="16"/>
      <c r="C879" s="16"/>
      <c r="D879" s="22"/>
      <c r="E879" s="262"/>
      <c r="F879" s="16"/>
      <c r="G879" s="16"/>
      <c r="H879" s="16"/>
      <c r="I879" s="16"/>
      <c r="J879" s="1"/>
      <c r="K879" s="1"/>
      <c r="L879" s="1"/>
      <c r="M879" s="262"/>
      <c r="N879" s="1"/>
      <c r="O879" s="1"/>
      <c r="P879" s="1"/>
      <c r="Q879" s="1"/>
      <c r="R879" s="1"/>
      <c r="S879" s="1"/>
      <c r="T879" s="1"/>
      <c r="U879" s="1"/>
      <c r="V879" s="1"/>
      <c r="W879" s="1"/>
      <c r="X879" s="1"/>
      <c r="Y879" s="1"/>
      <c r="Z879" s="1"/>
      <c r="AA879" s="1"/>
      <c r="AB879" s="1"/>
    </row>
    <row r="880" spans="1:28" ht="11.25" customHeight="1" x14ac:dyDescent="0.25">
      <c r="A880" s="825"/>
      <c r="B880" s="16"/>
      <c r="C880" s="16"/>
      <c r="D880" s="22"/>
      <c r="E880" s="262"/>
      <c r="F880" s="16"/>
      <c r="G880" s="16"/>
      <c r="H880" s="16"/>
      <c r="I880" s="16"/>
      <c r="J880" s="1"/>
      <c r="K880" s="1"/>
      <c r="L880" s="1"/>
      <c r="M880" s="262"/>
      <c r="N880" s="1"/>
      <c r="O880" s="1"/>
      <c r="P880" s="1"/>
      <c r="Q880" s="1"/>
      <c r="R880" s="1"/>
      <c r="S880" s="1"/>
      <c r="T880" s="1"/>
      <c r="U880" s="1"/>
      <c r="V880" s="1"/>
      <c r="W880" s="1"/>
      <c r="X880" s="1"/>
      <c r="Y880" s="1"/>
      <c r="Z880" s="1"/>
      <c r="AA880" s="1"/>
      <c r="AB880" s="1"/>
    </row>
    <row r="881" spans="1:28" ht="11.25" customHeight="1" x14ac:dyDescent="0.25">
      <c r="A881" s="825"/>
      <c r="B881" s="16"/>
      <c r="C881" s="16"/>
      <c r="D881" s="22"/>
      <c r="E881" s="262"/>
      <c r="F881" s="16"/>
      <c r="G881" s="16"/>
      <c r="H881" s="16"/>
      <c r="I881" s="16"/>
      <c r="J881" s="1"/>
      <c r="K881" s="1"/>
      <c r="L881" s="1"/>
      <c r="M881" s="262"/>
      <c r="N881" s="1"/>
      <c r="O881" s="1"/>
      <c r="P881" s="1"/>
      <c r="Q881" s="1"/>
      <c r="R881" s="1"/>
      <c r="S881" s="1"/>
      <c r="T881" s="1"/>
      <c r="U881" s="1"/>
      <c r="V881" s="1"/>
      <c r="W881" s="1"/>
      <c r="X881" s="1"/>
      <c r="Y881" s="1"/>
      <c r="Z881" s="1"/>
      <c r="AA881" s="1"/>
      <c r="AB881" s="1"/>
    </row>
    <row r="882" spans="1:28" ht="11.25" customHeight="1" x14ac:dyDescent="0.25">
      <c r="A882" s="825"/>
      <c r="B882" s="16"/>
      <c r="C882" s="16"/>
      <c r="D882" s="22"/>
      <c r="E882" s="262"/>
      <c r="F882" s="16"/>
      <c r="G882" s="16"/>
      <c r="H882" s="16"/>
      <c r="I882" s="16"/>
      <c r="J882" s="1"/>
      <c r="K882" s="1"/>
      <c r="L882" s="1"/>
      <c r="M882" s="262"/>
      <c r="N882" s="1"/>
      <c r="O882" s="1"/>
      <c r="P882" s="1"/>
      <c r="Q882" s="1"/>
      <c r="R882" s="1"/>
      <c r="S882" s="1"/>
      <c r="T882" s="1"/>
      <c r="U882" s="1"/>
      <c r="V882" s="1"/>
      <c r="W882" s="1"/>
      <c r="X882" s="1"/>
      <c r="Y882" s="1"/>
      <c r="Z882" s="1"/>
      <c r="AA882" s="1"/>
      <c r="AB882" s="1"/>
    </row>
    <row r="883" spans="1:28" ht="11.25" customHeight="1" x14ac:dyDescent="0.25">
      <c r="A883" s="825"/>
      <c r="B883" s="16"/>
      <c r="C883" s="16"/>
      <c r="D883" s="22"/>
      <c r="E883" s="262"/>
      <c r="F883" s="16"/>
      <c r="G883" s="16"/>
      <c r="H883" s="16"/>
      <c r="I883" s="16"/>
      <c r="J883" s="1"/>
      <c r="K883" s="1"/>
      <c r="L883" s="1"/>
      <c r="M883" s="262"/>
      <c r="N883" s="1"/>
      <c r="O883" s="1"/>
      <c r="P883" s="1"/>
      <c r="Q883" s="1"/>
      <c r="R883" s="1"/>
      <c r="S883" s="1"/>
      <c r="T883" s="1"/>
      <c r="U883" s="1"/>
      <c r="V883" s="1"/>
      <c r="W883" s="1"/>
      <c r="X883" s="1"/>
      <c r="Y883" s="1"/>
      <c r="Z883" s="1"/>
      <c r="AA883" s="1"/>
      <c r="AB883" s="1"/>
    </row>
    <row r="884" spans="1:28" ht="11.25" customHeight="1" x14ac:dyDescent="0.25">
      <c r="A884" s="825"/>
      <c r="B884" s="16"/>
      <c r="C884" s="16"/>
      <c r="D884" s="22"/>
      <c r="E884" s="262"/>
      <c r="F884" s="16"/>
      <c r="G884" s="16"/>
      <c r="H884" s="16"/>
      <c r="I884" s="16"/>
      <c r="J884" s="1"/>
      <c r="K884" s="1"/>
      <c r="L884" s="1"/>
      <c r="M884" s="262"/>
      <c r="N884" s="1"/>
      <c r="O884" s="1"/>
      <c r="P884" s="1"/>
      <c r="Q884" s="1"/>
      <c r="R884" s="1"/>
      <c r="S884" s="1"/>
      <c r="T884" s="1"/>
      <c r="U884" s="1"/>
      <c r="V884" s="1"/>
      <c r="W884" s="1"/>
      <c r="X884" s="1"/>
      <c r="Y884" s="1"/>
      <c r="Z884" s="1"/>
      <c r="AA884" s="1"/>
      <c r="AB884" s="1"/>
    </row>
    <row r="885" spans="1:28" ht="11.25" customHeight="1" x14ac:dyDescent="0.25">
      <c r="A885" s="825"/>
      <c r="B885" s="16"/>
      <c r="C885" s="16"/>
      <c r="D885" s="22"/>
      <c r="E885" s="262"/>
      <c r="F885" s="16"/>
      <c r="G885" s="16"/>
      <c r="H885" s="16"/>
      <c r="I885" s="16"/>
      <c r="J885" s="1"/>
      <c r="K885" s="1"/>
      <c r="L885" s="1"/>
      <c r="M885" s="262"/>
      <c r="N885" s="1"/>
      <c r="O885" s="1"/>
      <c r="P885" s="1"/>
      <c r="Q885" s="1"/>
      <c r="R885" s="1"/>
      <c r="S885" s="1"/>
      <c r="T885" s="1"/>
      <c r="U885" s="1"/>
      <c r="V885" s="1"/>
      <c r="W885" s="1"/>
      <c r="X885" s="1"/>
      <c r="Y885" s="1"/>
      <c r="Z885" s="1"/>
      <c r="AA885" s="1"/>
      <c r="AB885" s="1"/>
    </row>
    <row r="886" spans="1:28" ht="11.25" customHeight="1" x14ac:dyDescent="0.25">
      <c r="A886" s="825"/>
      <c r="B886" s="16"/>
      <c r="C886" s="16"/>
      <c r="D886" s="22"/>
      <c r="E886" s="262"/>
      <c r="F886" s="16"/>
      <c r="G886" s="16"/>
      <c r="H886" s="16"/>
      <c r="I886" s="16"/>
      <c r="J886" s="1"/>
      <c r="K886" s="1"/>
      <c r="L886" s="1"/>
      <c r="M886" s="262"/>
      <c r="N886" s="1"/>
      <c r="O886" s="1"/>
      <c r="P886" s="1"/>
      <c r="Q886" s="1"/>
      <c r="R886" s="1"/>
      <c r="S886" s="1"/>
      <c r="T886" s="1"/>
      <c r="U886" s="1"/>
      <c r="V886" s="1"/>
      <c r="W886" s="1"/>
      <c r="X886" s="1"/>
      <c r="Y886" s="1"/>
      <c r="Z886" s="1"/>
      <c r="AA886" s="1"/>
      <c r="AB886" s="1"/>
    </row>
    <row r="887" spans="1:28" ht="11.25" customHeight="1" x14ac:dyDescent="0.25">
      <c r="A887" s="825"/>
      <c r="B887" s="16"/>
      <c r="C887" s="16"/>
      <c r="D887" s="22"/>
      <c r="E887" s="262"/>
      <c r="F887" s="16"/>
      <c r="G887" s="16"/>
      <c r="H887" s="16"/>
      <c r="I887" s="16"/>
      <c r="J887" s="1"/>
      <c r="K887" s="1"/>
      <c r="L887" s="1"/>
      <c r="M887" s="262"/>
      <c r="N887" s="1"/>
      <c r="O887" s="1"/>
      <c r="P887" s="1"/>
      <c r="Q887" s="1"/>
      <c r="R887" s="1"/>
      <c r="S887" s="1"/>
      <c r="T887" s="1"/>
      <c r="U887" s="1"/>
      <c r="V887" s="1"/>
      <c r="W887" s="1"/>
      <c r="X887" s="1"/>
      <c r="Y887" s="1"/>
      <c r="Z887" s="1"/>
      <c r="AA887" s="1"/>
      <c r="AB887" s="1"/>
    </row>
    <row r="888" spans="1:28" ht="11.25" customHeight="1" x14ac:dyDescent="0.25">
      <c r="A888" s="825"/>
      <c r="B888" s="16"/>
      <c r="C888" s="16"/>
      <c r="D888" s="22"/>
      <c r="E888" s="262"/>
      <c r="F888" s="16"/>
      <c r="G888" s="16"/>
      <c r="H888" s="16"/>
      <c r="I888" s="16"/>
      <c r="J888" s="1"/>
      <c r="K888" s="1"/>
      <c r="L888" s="1"/>
      <c r="M888" s="262"/>
      <c r="N888" s="1"/>
      <c r="O888" s="1"/>
      <c r="P888" s="1"/>
      <c r="Q888" s="1"/>
      <c r="R888" s="1"/>
      <c r="S888" s="1"/>
      <c r="T888" s="1"/>
      <c r="U888" s="1"/>
      <c r="V888" s="1"/>
      <c r="W888" s="1"/>
      <c r="X888" s="1"/>
      <c r="Y888" s="1"/>
      <c r="Z888" s="1"/>
      <c r="AA888" s="1"/>
      <c r="AB888" s="1"/>
    </row>
    <row r="889" spans="1:28" ht="11.25" customHeight="1" x14ac:dyDescent="0.25">
      <c r="A889" s="825"/>
      <c r="B889" s="16"/>
      <c r="C889" s="16"/>
      <c r="D889" s="22"/>
      <c r="E889" s="262"/>
      <c r="F889" s="16"/>
      <c r="G889" s="16"/>
      <c r="H889" s="16"/>
      <c r="I889" s="16"/>
      <c r="J889" s="1"/>
      <c r="K889" s="1"/>
      <c r="L889" s="1"/>
      <c r="M889" s="262"/>
      <c r="N889" s="1"/>
      <c r="O889" s="1"/>
      <c r="P889" s="1"/>
      <c r="Q889" s="1"/>
      <c r="R889" s="1"/>
      <c r="S889" s="1"/>
      <c r="T889" s="1"/>
      <c r="U889" s="1"/>
      <c r="V889" s="1"/>
      <c r="W889" s="1"/>
      <c r="X889" s="1"/>
      <c r="Y889" s="1"/>
      <c r="Z889" s="1"/>
      <c r="AA889" s="1"/>
      <c r="AB889" s="1"/>
    </row>
    <row r="890" spans="1:28" ht="11.25" customHeight="1" x14ac:dyDescent="0.25">
      <c r="A890" s="825"/>
      <c r="B890" s="16"/>
      <c r="C890" s="16"/>
      <c r="D890" s="22"/>
      <c r="E890" s="262"/>
      <c r="F890" s="16"/>
      <c r="G890" s="16"/>
      <c r="H890" s="16"/>
      <c r="I890" s="16"/>
      <c r="J890" s="1"/>
      <c r="K890" s="1"/>
      <c r="L890" s="1"/>
      <c r="M890" s="262"/>
      <c r="N890" s="1"/>
      <c r="O890" s="1"/>
      <c r="P890" s="1"/>
      <c r="Q890" s="1"/>
      <c r="R890" s="1"/>
      <c r="S890" s="1"/>
      <c r="T890" s="1"/>
      <c r="U890" s="1"/>
      <c r="V890" s="1"/>
      <c r="W890" s="1"/>
      <c r="X890" s="1"/>
      <c r="Y890" s="1"/>
      <c r="Z890" s="1"/>
      <c r="AA890" s="1"/>
      <c r="AB890" s="1"/>
    </row>
    <row r="891" spans="1:28" ht="11.25" customHeight="1" x14ac:dyDescent="0.25">
      <c r="A891" s="825"/>
      <c r="B891" s="16"/>
      <c r="C891" s="16"/>
      <c r="D891" s="22"/>
      <c r="E891" s="262"/>
      <c r="F891" s="16"/>
      <c r="G891" s="16"/>
      <c r="H891" s="16"/>
      <c r="I891" s="16"/>
      <c r="J891" s="1"/>
      <c r="K891" s="1"/>
      <c r="L891" s="1"/>
      <c r="M891" s="262"/>
      <c r="N891" s="1"/>
      <c r="O891" s="1"/>
      <c r="P891" s="1"/>
      <c r="Q891" s="1"/>
      <c r="R891" s="1"/>
      <c r="S891" s="1"/>
      <c r="T891" s="1"/>
      <c r="U891" s="1"/>
      <c r="V891" s="1"/>
      <c r="W891" s="1"/>
      <c r="X891" s="1"/>
      <c r="Y891" s="1"/>
      <c r="Z891" s="1"/>
      <c r="AA891" s="1"/>
      <c r="AB891" s="1"/>
    </row>
    <row r="892" spans="1:28" ht="11.25" customHeight="1" x14ac:dyDescent="0.25">
      <c r="A892" s="825"/>
      <c r="B892" s="16"/>
      <c r="C892" s="16"/>
      <c r="D892" s="22"/>
      <c r="E892" s="262"/>
      <c r="F892" s="16"/>
      <c r="G892" s="16"/>
      <c r="H892" s="16"/>
      <c r="I892" s="16"/>
      <c r="J892" s="1"/>
      <c r="K892" s="1"/>
      <c r="L892" s="1"/>
      <c r="M892" s="262"/>
      <c r="N892" s="1"/>
      <c r="O892" s="1"/>
      <c r="P892" s="1"/>
      <c r="Q892" s="1"/>
      <c r="R892" s="1"/>
      <c r="S892" s="1"/>
      <c r="T892" s="1"/>
      <c r="U892" s="1"/>
      <c r="V892" s="1"/>
      <c r="W892" s="1"/>
      <c r="X892" s="1"/>
      <c r="Y892" s="1"/>
      <c r="Z892" s="1"/>
      <c r="AA892" s="1"/>
      <c r="AB892" s="1"/>
    </row>
    <row r="893" spans="1:28" ht="11.25" customHeight="1" x14ac:dyDescent="0.25">
      <c r="A893" s="825"/>
      <c r="B893" s="16"/>
      <c r="C893" s="16"/>
      <c r="D893" s="22"/>
      <c r="E893" s="262"/>
      <c r="F893" s="16"/>
      <c r="G893" s="16"/>
      <c r="H893" s="16"/>
      <c r="I893" s="16"/>
      <c r="J893" s="1"/>
      <c r="K893" s="1"/>
      <c r="L893" s="1"/>
      <c r="M893" s="262"/>
      <c r="N893" s="1"/>
      <c r="O893" s="1"/>
      <c r="P893" s="1"/>
      <c r="Q893" s="1"/>
      <c r="R893" s="1"/>
      <c r="S893" s="1"/>
      <c r="T893" s="1"/>
      <c r="U893" s="1"/>
      <c r="V893" s="1"/>
      <c r="W893" s="1"/>
      <c r="X893" s="1"/>
      <c r="Y893" s="1"/>
      <c r="Z893" s="1"/>
      <c r="AA893" s="1"/>
      <c r="AB893" s="1"/>
    </row>
    <row r="894" spans="1:28" ht="11.25" customHeight="1" x14ac:dyDescent="0.25">
      <c r="A894" s="825"/>
      <c r="B894" s="16"/>
      <c r="C894" s="16"/>
      <c r="D894" s="22"/>
      <c r="E894" s="262"/>
      <c r="F894" s="16"/>
      <c r="G894" s="16"/>
      <c r="H894" s="16"/>
      <c r="I894" s="16"/>
      <c r="J894" s="1"/>
      <c r="K894" s="1"/>
      <c r="L894" s="1"/>
      <c r="M894" s="262"/>
      <c r="N894" s="1"/>
      <c r="O894" s="1"/>
      <c r="P894" s="1"/>
      <c r="Q894" s="1"/>
      <c r="R894" s="1"/>
      <c r="S894" s="1"/>
      <c r="T894" s="1"/>
      <c r="U894" s="1"/>
      <c r="V894" s="1"/>
      <c r="W894" s="1"/>
      <c r="X894" s="1"/>
      <c r="Y894" s="1"/>
      <c r="Z894" s="1"/>
      <c r="AA894" s="1"/>
      <c r="AB894" s="1"/>
    </row>
    <row r="895" spans="1:28" ht="11.25" customHeight="1" x14ac:dyDescent="0.25">
      <c r="A895" s="825"/>
      <c r="B895" s="16"/>
      <c r="C895" s="16"/>
      <c r="D895" s="22"/>
      <c r="E895" s="262"/>
      <c r="F895" s="16"/>
      <c r="G895" s="16"/>
      <c r="H895" s="16"/>
      <c r="I895" s="16"/>
      <c r="J895" s="1"/>
      <c r="K895" s="1"/>
      <c r="L895" s="1"/>
      <c r="M895" s="262"/>
      <c r="N895" s="1"/>
      <c r="O895" s="1"/>
      <c r="P895" s="1"/>
      <c r="Q895" s="1"/>
      <c r="R895" s="1"/>
      <c r="S895" s="1"/>
      <c r="T895" s="1"/>
      <c r="U895" s="1"/>
      <c r="V895" s="1"/>
      <c r="W895" s="1"/>
      <c r="X895" s="1"/>
      <c r="Y895" s="1"/>
      <c r="Z895" s="1"/>
      <c r="AA895" s="1"/>
      <c r="AB895" s="1"/>
    </row>
    <row r="896" spans="1:28" ht="11.25" customHeight="1" x14ac:dyDescent="0.25">
      <c r="A896" s="825"/>
      <c r="B896" s="16"/>
      <c r="C896" s="16"/>
      <c r="D896" s="22"/>
      <c r="E896" s="262"/>
      <c r="F896" s="16"/>
      <c r="G896" s="16"/>
      <c r="H896" s="16"/>
      <c r="I896" s="16"/>
      <c r="J896" s="1"/>
      <c r="K896" s="1"/>
      <c r="L896" s="1"/>
      <c r="M896" s="262"/>
      <c r="N896" s="1"/>
      <c r="O896" s="1"/>
      <c r="P896" s="1"/>
      <c r="Q896" s="1"/>
      <c r="R896" s="1"/>
      <c r="S896" s="1"/>
      <c r="T896" s="1"/>
      <c r="U896" s="1"/>
      <c r="V896" s="1"/>
      <c r="W896" s="1"/>
      <c r="X896" s="1"/>
      <c r="Y896" s="1"/>
      <c r="Z896" s="1"/>
      <c r="AA896" s="1"/>
      <c r="AB896" s="1"/>
    </row>
    <row r="897" spans="1:28" ht="11.25" customHeight="1" x14ac:dyDescent="0.25">
      <c r="A897" s="825"/>
      <c r="B897" s="16"/>
      <c r="C897" s="16"/>
      <c r="D897" s="22"/>
      <c r="E897" s="262"/>
      <c r="F897" s="16"/>
      <c r="G897" s="16"/>
      <c r="H897" s="16"/>
      <c r="I897" s="16"/>
      <c r="J897" s="1"/>
      <c r="K897" s="1"/>
      <c r="L897" s="1"/>
      <c r="M897" s="262"/>
      <c r="N897" s="1"/>
      <c r="O897" s="1"/>
      <c r="P897" s="1"/>
      <c r="Q897" s="1"/>
      <c r="R897" s="1"/>
      <c r="S897" s="1"/>
      <c r="T897" s="1"/>
      <c r="U897" s="1"/>
      <c r="V897" s="1"/>
      <c r="W897" s="1"/>
      <c r="X897" s="1"/>
      <c r="Y897" s="1"/>
      <c r="Z897" s="1"/>
      <c r="AA897" s="1"/>
      <c r="AB897" s="1"/>
    </row>
    <row r="898" spans="1:28" ht="11.25" customHeight="1" x14ac:dyDescent="0.25">
      <c r="A898" s="825"/>
      <c r="B898" s="16"/>
      <c r="C898" s="16"/>
      <c r="D898" s="22"/>
      <c r="E898" s="262"/>
      <c r="F898" s="16"/>
      <c r="G898" s="16"/>
      <c r="H898" s="16"/>
      <c r="I898" s="16"/>
      <c r="J898" s="1"/>
      <c r="K898" s="1"/>
      <c r="L898" s="1"/>
      <c r="M898" s="262"/>
      <c r="N898" s="1"/>
      <c r="O898" s="1"/>
      <c r="P898" s="1"/>
      <c r="Q898" s="1"/>
      <c r="R898" s="1"/>
      <c r="S898" s="1"/>
      <c r="T898" s="1"/>
      <c r="U898" s="1"/>
      <c r="V898" s="1"/>
      <c r="W898" s="1"/>
      <c r="X898" s="1"/>
      <c r="Y898" s="1"/>
      <c r="Z898" s="1"/>
      <c r="AA898" s="1"/>
      <c r="AB898" s="1"/>
    </row>
    <row r="899" spans="1:28" ht="11.25" customHeight="1" x14ac:dyDescent="0.25">
      <c r="A899" s="825"/>
      <c r="B899" s="16"/>
      <c r="C899" s="16"/>
      <c r="D899" s="22"/>
      <c r="E899" s="262"/>
      <c r="F899" s="16"/>
      <c r="G899" s="16"/>
      <c r="H899" s="16"/>
      <c r="I899" s="16"/>
      <c r="J899" s="1"/>
      <c r="K899" s="1"/>
      <c r="L899" s="1"/>
      <c r="M899" s="262"/>
      <c r="N899" s="1"/>
      <c r="O899" s="1"/>
      <c r="P899" s="1"/>
      <c r="Q899" s="1"/>
      <c r="R899" s="1"/>
      <c r="S899" s="1"/>
      <c r="T899" s="1"/>
      <c r="U899" s="1"/>
      <c r="V899" s="1"/>
      <c r="W899" s="1"/>
      <c r="X899" s="1"/>
      <c r="Y899" s="1"/>
      <c r="Z899" s="1"/>
      <c r="AA899" s="1"/>
      <c r="AB899" s="1"/>
    </row>
    <row r="900" spans="1:28" ht="11.25" customHeight="1" x14ac:dyDescent="0.25">
      <c r="A900" s="825"/>
      <c r="B900" s="16"/>
      <c r="C900" s="16"/>
      <c r="D900" s="22"/>
      <c r="E900" s="262"/>
      <c r="F900" s="16"/>
      <c r="G900" s="16"/>
      <c r="H900" s="16"/>
      <c r="I900" s="16"/>
      <c r="J900" s="1"/>
      <c r="K900" s="1"/>
      <c r="L900" s="1"/>
      <c r="M900" s="262"/>
      <c r="N900" s="1"/>
      <c r="O900" s="1"/>
      <c r="P900" s="1"/>
      <c r="Q900" s="1"/>
      <c r="R900" s="1"/>
      <c r="S900" s="1"/>
      <c r="T900" s="1"/>
      <c r="U900" s="1"/>
      <c r="V900" s="1"/>
      <c r="W900" s="1"/>
      <c r="X900" s="1"/>
      <c r="Y900" s="1"/>
      <c r="Z900" s="1"/>
      <c r="AA900" s="1"/>
      <c r="AB900" s="1"/>
    </row>
    <row r="901" spans="1:28" ht="11.25" customHeight="1" x14ac:dyDescent="0.25">
      <c r="A901" s="825"/>
      <c r="B901" s="16"/>
      <c r="C901" s="16"/>
      <c r="D901" s="22"/>
      <c r="E901" s="262"/>
      <c r="F901" s="16"/>
      <c r="G901" s="16"/>
      <c r="H901" s="16"/>
      <c r="I901" s="16"/>
      <c r="J901" s="1"/>
      <c r="K901" s="1"/>
      <c r="L901" s="1"/>
      <c r="M901" s="262"/>
      <c r="N901" s="1"/>
      <c r="O901" s="1"/>
      <c r="P901" s="1"/>
      <c r="Q901" s="1"/>
      <c r="R901" s="1"/>
      <c r="S901" s="1"/>
      <c r="T901" s="1"/>
      <c r="U901" s="1"/>
      <c r="V901" s="1"/>
      <c r="W901" s="1"/>
      <c r="X901" s="1"/>
      <c r="Y901" s="1"/>
      <c r="Z901" s="1"/>
      <c r="AA901" s="1"/>
      <c r="AB901" s="1"/>
    </row>
    <row r="902" spans="1:28" ht="11.25" customHeight="1" x14ac:dyDescent="0.25">
      <c r="A902" s="825"/>
      <c r="B902" s="16"/>
      <c r="C902" s="16"/>
      <c r="D902" s="22"/>
      <c r="E902" s="262"/>
      <c r="F902" s="16"/>
      <c r="G902" s="16"/>
      <c r="H902" s="16"/>
      <c r="I902" s="16"/>
      <c r="J902" s="1"/>
      <c r="K902" s="1"/>
      <c r="L902" s="1"/>
      <c r="M902" s="262"/>
      <c r="N902" s="1"/>
      <c r="O902" s="1"/>
      <c r="P902" s="1"/>
      <c r="Q902" s="1"/>
      <c r="R902" s="1"/>
      <c r="S902" s="1"/>
      <c r="T902" s="1"/>
      <c r="U902" s="1"/>
      <c r="V902" s="1"/>
      <c r="W902" s="1"/>
      <c r="X902" s="1"/>
      <c r="Y902" s="1"/>
      <c r="Z902" s="1"/>
      <c r="AA902" s="1"/>
      <c r="AB902" s="1"/>
    </row>
    <row r="903" spans="1:28" ht="11.25" customHeight="1" x14ac:dyDescent="0.25">
      <c r="A903" s="825"/>
      <c r="B903" s="16"/>
      <c r="C903" s="16"/>
      <c r="D903" s="22"/>
      <c r="E903" s="262"/>
      <c r="F903" s="16"/>
      <c r="G903" s="16"/>
      <c r="H903" s="16"/>
      <c r="I903" s="16"/>
      <c r="J903" s="1"/>
      <c r="K903" s="1"/>
      <c r="L903" s="1"/>
      <c r="M903" s="262"/>
      <c r="N903" s="1"/>
      <c r="O903" s="1"/>
      <c r="P903" s="1"/>
      <c r="Q903" s="1"/>
      <c r="R903" s="1"/>
      <c r="S903" s="1"/>
      <c r="T903" s="1"/>
      <c r="U903" s="1"/>
      <c r="V903" s="1"/>
      <c r="W903" s="1"/>
      <c r="X903" s="1"/>
      <c r="Y903" s="1"/>
      <c r="Z903" s="1"/>
      <c r="AA903" s="1"/>
      <c r="AB903" s="1"/>
    </row>
    <row r="904" spans="1:28" ht="11.25" customHeight="1" x14ac:dyDescent="0.25">
      <c r="A904" s="825"/>
      <c r="B904" s="16"/>
      <c r="C904" s="16"/>
      <c r="D904" s="22"/>
      <c r="E904" s="262"/>
      <c r="F904" s="16"/>
      <c r="G904" s="16"/>
      <c r="H904" s="16"/>
      <c r="I904" s="16"/>
      <c r="J904" s="1"/>
      <c r="K904" s="1"/>
      <c r="L904" s="1"/>
      <c r="M904" s="262"/>
      <c r="N904" s="1"/>
      <c r="O904" s="1"/>
      <c r="P904" s="1"/>
      <c r="Q904" s="1"/>
      <c r="R904" s="1"/>
      <c r="S904" s="1"/>
      <c r="T904" s="1"/>
      <c r="U904" s="1"/>
      <c r="V904" s="1"/>
      <c r="W904" s="1"/>
      <c r="X904" s="1"/>
      <c r="Y904" s="1"/>
      <c r="Z904" s="1"/>
      <c r="AA904" s="1"/>
      <c r="AB904" s="1"/>
    </row>
    <row r="905" spans="1:28" ht="11.25" customHeight="1" x14ac:dyDescent="0.25">
      <c r="A905" s="825"/>
      <c r="B905" s="16"/>
      <c r="C905" s="16"/>
      <c r="D905" s="22"/>
      <c r="E905" s="262"/>
      <c r="F905" s="16"/>
      <c r="G905" s="16"/>
      <c r="H905" s="16"/>
      <c r="I905" s="16"/>
      <c r="J905" s="1"/>
      <c r="K905" s="1"/>
      <c r="L905" s="1"/>
      <c r="M905" s="262"/>
      <c r="N905" s="1"/>
      <c r="O905" s="1"/>
      <c r="P905" s="1"/>
      <c r="Q905" s="1"/>
      <c r="R905" s="1"/>
      <c r="S905" s="1"/>
      <c r="T905" s="1"/>
      <c r="U905" s="1"/>
      <c r="V905" s="1"/>
      <c r="W905" s="1"/>
      <c r="X905" s="1"/>
      <c r="Y905" s="1"/>
      <c r="Z905" s="1"/>
      <c r="AA905" s="1"/>
      <c r="AB905" s="1"/>
    </row>
    <row r="906" spans="1:28" ht="11.25" customHeight="1" x14ac:dyDescent="0.25">
      <c r="A906" s="825"/>
      <c r="B906" s="16"/>
      <c r="C906" s="16"/>
      <c r="D906" s="22"/>
      <c r="E906" s="262"/>
      <c r="F906" s="16"/>
      <c r="G906" s="16"/>
      <c r="H906" s="16"/>
      <c r="I906" s="16"/>
      <c r="J906" s="1"/>
      <c r="K906" s="1"/>
      <c r="L906" s="1"/>
      <c r="M906" s="262"/>
      <c r="N906" s="1"/>
      <c r="O906" s="1"/>
      <c r="P906" s="1"/>
      <c r="Q906" s="1"/>
      <c r="R906" s="1"/>
      <c r="S906" s="1"/>
      <c r="T906" s="1"/>
      <c r="U906" s="1"/>
      <c r="V906" s="1"/>
      <c r="W906" s="1"/>
      <c r="X906" s="1"/>
      <c r="Y906" s="1"/>
      <c r="Z906" s="1"/>
      <c r="AA906" s="1"/>
      <c r="AB906" s="1"/>
    </row>
    <row r="907" spans="1:28" ht="11.25" customHeight="1" x14ac:dyDescent="0.25">
      <c r="A907" s="825"/>
      <c r="B907" s="16"/>
      <c r="C907" s="16"/>
      <c r="D907" s="22"/>
      <c r="E907" s="262"/>
      <c r="F907" s="16"/>
      <c r="G907" s="16"/>
      <c r="H907" s="16"/>
      <c r="I907" s="16"/>
      <c r="J907" s="1"/>
      <c r="K907" s="1"/>
      <c r="L907" s="1"/>
      <c r="M907" s="262"/>
      <c r="N907" s="1"/>
      <c r="O907" s="1"/>
      <c r="P907" s="1"/>
      <c r="Q907" s="1"/>
      <c r="R907" s="1"/>
      <c r="S907" s="1"/>
      <c r="T907" s="1"/>
      <c r="U907" s="1"/>
      <c r="V907" s="1"/>
      <c r="W907" s="1"/>
      <c r="X907" s="1"/>
      <c r="Y907" s="1"/>
      <c r="Z907" s="1"/>
      <c r="AA907" s="1"/>
      <c r="AB907" s="1"/>
    </row>
    <row r="908" spans="1:28" ht="11.25" customHeight="1" x14ac:dyDescent="0.25">
      <c r="A908" s="825"/>
      <c r="B908" s="16"/>
      <c r="C908" s="16"/>
      <c r="D908" s="22"/>
      <c r="E908" s="262"/>
      <c r="F908" s="16"/>
      <c r="G908" s="16"/>
      <c r="H908" s="16"/>
      <c r="I908" s="16"/>
      <c r="J908" s="1"/>
      <c r="K908" s="1"/>
      <c r="L908" s="1"/>
      <c r="M908" s="262"/>
      <c r="N908" s="1"/>
      <c r="O908" s="1"/>
      <c r="P908" s="1"/>
      <c r="Q908" s="1"/>
      <c r="R908" s="1"/>
      <c r="S908" s="1"/>
      <c r="T908" s="1"/>
      <c r="U908" s="1"/>
      <c r="V908" s="1"/>
      <c r="W908" s="1"/>
      <c r="X908" s="1"/>
      <c r="Y908" s="1"/>
      <c r="Z908" s="1"/>
      <c r="AA908" s="1"/>
      <c r="AB908" s="1"/>
    </row>
    <row r="909" spans="1:28" ht="11.25" customHeight="1" x14ac:dyDescent="0.25">
      <c r="A909" s="825"/>
      <c r="B909" s="16"/>
      <c r="C909" s="16"/>
      <c r="D909" s="22"/>
      <c r="E909" s="262"/>
      <c r="F909" s="16"/>
      <c r="G909" s="16"/>
      <c r="H909" s="16"/>
      <c r="I909" s="16"/>
      <c r="J909" s="1"/>
      <c r="K909" s="1"/>
      <c r="L909" s="1"/>
      <c r="M909" s="262"/>
      <c r="N909" s="1"/>
      <c r="O909" s="1"/>
      <c r="P909" s="1"/>
      <c r="Q909" s="1"/>
      <c r="R909" s="1"/>
      <c r="S909" s="1"/>
      <c r="T909" s="1"/>
      <c r="U909" s="1"/>
      <c r="V909" s="1"/>
      <c r="W909" s="1"/>
      <c r="X909" s="1"/>
      <c r="Y909" s="1"/>
      <c r="Z909" s="1"/>
      <c r="AA909" s="1"/>
      <c r="AB909" s="1"/>
    </row>
    <row r="910" spans="1:28" ht="11.25" customHeight="1" x14ac:dyDescent="0.25">
      <c r="A910" s="825"/>
      <c r="B910" s="16"/>
      <c r="C910" s="16"/>
      <c r="D910" s="22"/>
      <c r="E910" s="262"/>
      <c r="F910" s="16"/>
      <c r="G910" s="16"/>
      <c r="H910" s="16"/>
      <c r="I910" s="16"/>
      <c r="J910" s="1"/>
      <c r="K910" s="1"/>
      <c r="L910" s="1"/>
      <c r="M910" s="262"/>
      <c r="N910" s="1"/>
      <c r="O910" s="1"/>
      <c r="P910" s="1"/>
      <c r="Q910" s="1"/>
      <c r="R910" s="1"/>
      <c r="S910" s="1"/>
      <c r="T910" s="1"/>
      <c r="U910" s="1"/>
      <c r="V910" s="1"/>
      <c r="W910" s="1"/>
      <c r="X910" s="1"/>
      <c r="Y910" s="1"/>
      <c r="Z910" s="1"/>
      <c r="AA910" s="1"/>
      <c r="AB910" s="1"/>
    </row>
    <row r="911" spans="1:28" ht="11.25" customHeight="1" x14ac:dyDescent="0.25">
      <c r="A911" s="825"/>
      <c r="B911" s="16"/>
      <c r="C911" s="16"/>
      <c r="D911" s="22"/>
      <c r="E911" s="262"/>
      <c r="F911" s="16"/>
      <c r="G911" s="16"/>
      <c r="H911" s="16"/>
      <c r="I911" s="16"/>
      <c r="J911" s="1"/>
      <c r="K911" s="1"/>
      <c r="L911" s="1"/>
      <c r="M911" s="262"/>
      <c r="N911" s="1"/>
      <c r="O911" s="1"/>
      <c r="P911" s="1"/>
      <c r="Q911" s="1"/>
      <c r="R911" s="1"/>
      <c r="S911" s="1"/>
      <c r="T911" s="1"/>
      <c r="U911" s="1"/>
      <c r="V911" s="1"/>
      <c r="W911" s="1"/>
      <c r="X911" s="1"/>
      <c r="Y911" s="1"/>
      <c r="Z911" s="1"/>
      <c r="AA911" s="1"/>
      <c r="AB911" s="1"/>
    </row>
    <row r="912" spans="1:28" ht="11.25" customHeight="1" x14ac:dyDescent="0.25">
      <c r="A912" s="825"/>
      <c r="B912" s="16"/>
      <c r="C912" s="16"/>
      <c r="D912" s="22"/>
      <c r="E912" s="262"/>
      <c r="F912" s="16"/>
      <c r="G912" s="16"/>
      <c r="H912" s="16"/>
      <c r="I912" s="16"/>
      <c r="J912" s="1"/>
      <c r="K912" s="1"/>
      <c r="L912" s="1"/>
      <c r="M912" s="262"/>
      <c r="N912" s="1"/>
      <c r="O912" s="1"/>
      <c r="P912" s="1"/>
      <c r="Q912" s="1"/>
      <c r="R912" s="1"/>
      <c r="S912" s="1"/>
      <c r="T912" s="1"/>
      <c r="U912" s="1"/>
      <c r="V912" s="1"/>
      <c r="W912" s="1"/>
      <c r="X912" s="1"/>
      <c r="Y912" s="1"/>
      <c r="Z912" s="1"/>
      <c r="AA912" s="1"/>
      <c r="AB912" s="1"/>
    </row>
    <row r="913" spans="1:28" ht="11.25" customHeight="1" x14ac:dyDescent="0.25">
      <c r="A913" s="825"/>
      <c r="B913" s="16"/>
      <c r="C913" s="16"/>
      <c r="D913" s="22"/>
      <c r="E913" s="262"/>
      <c r="F913" s="16"/>
      <c r="G913" s="16"/>
      <c r="H913" s="16"/>
      <c r="I913" s="16"/>
      <c r="J913" s="1"/>
      <c r="K913" s="1"/>
      <c r="L913" s="1"/>
      <c r="M913" s="262"/>
      <c r="N913" s="1"/>
      <c r="O913" s="1"/>
      <c r="P913" s="1"/>
      <c r="Q913" s="1"/>
      <c r="R913" s="1"/>
      <c r="S913" s="1"/>
      <c r="T913" s="1"/>
      <c r="U913" s="1"/>
      <c r="V913" s="1"/>
      <c r="W913" s="1"/>
      <c r="X913" s="1"/>
      <c r="Y913" s="1"/>
      <c r="Z913" s="1"/>
      <c r="AA913" s="1"/>
      <c r="AB913" s="1"/>
    </row>
    <row r="914" spans="1:28" ht="11.25" customHeight="1" x14ac:dyDescent="0.25">
      <c r="A914" s="825"/>
      <c r="B914" s="16"/>
      <c r="C914" s="16"/>
      <c r="D914" s="22"/>
      <c r="E914" s="262"/>
      <c r="F914" s="16"/>
      <c r="G914" s="16"/>
      <c r="H914" s="16"/>
      <c r="I914" s="16"/>
      <c r="J914" s="1"/>
      <c r="K914" s="1"/>
      <c r="L914" s="1"/>
      <c r="M914" s="262"/>
      <c r="N914" s="1"/>
      <c r="O914" s="1"/>
      <c r="P914" s="1"/>
      <c r="Q914" s="1"/>
      <c r="R914" s="1"/>
      <c r="S914" s="1"/>
      <c r="T914" s="1"/>
      <c r="U914" s="1"/>
      <c r="V914" s="1"/>
      <c r="W914" s="1"/>
      <c r="X914" s="1"/>
      <c r="Y914" s="1"/>
      <c r="Z914" s="1"/>
      <c r="AA914" s="1"/>
      <c r="AB914" s="1"/>
    </row>
    <row r="915" spans="1:28" ht="11.25" customHeight="1" x14ac:dyDescent="0.25">
      <c r="A915" s="825"/>
      <c r="B915" s="16"/>
      <c r="C915" s="16"/>
      <c r="D915" s="22"/>
      <c r="E915" s="262"/>
      <c r="F915" s="16"/>
      <c r="G915" s="16"/>
      <c r="H915" s="16"/>
      <c r="I915" s="16"/>
      <c r="J915" s="1"/>
      <c r="K915" s="1"/>
      <c r="L915" s="1"/>
      <c r="M915" s="262"/>
      <c r="N915" s="1"/>
      <c r="O915" s="1"/>
      <c r="P915" s="1"/>
      <c r="Q915" s="1"/>
      <c r="R915" s="1"/>
      <c r="S915" s="1"/>
      <c r="T915" s="1"/>
      <c r="U915" s="1"/>
      <c r="V915" s="1"/>
      <c r="W915" s="1"/>
      <c r="X915" s="1"/>
      <c r="Y915" s="1"/>
      <c r="Z915" s="1"/>
      <c r="AA915" s="1"/>
      <c r="AB915" s="1"/>
    </row>
    <row r="916" spans="1:28" ht="11.25" customHeight="1" x14ac:dyDescent="0.25">
      <c r="A916" s="825"/>
      <c r="B916" s="16"/>
      <c r="C916" s="16"/>
      <c r="D916" s="22"/>
      <c r="E916" s="262"/>
      <c r="F916" s="16"/>
      <c r="G916" s="16"/>
      <c r="H916" s="16"/>
      <c r="I916" s="16"/>
      <c r="J916" s="1"/>
      <c r="K916" s="1"/>
      <c r="L916" s="1"/>
      <c r="M916" s="262"/>
      <c r="N916" s="1"/>
      <c r="O916" s="1"/>
      <c r="P916" s="1"/>
      <c r="Q916" s="1"/>
      <c r="R916" s="1"/>
      <c r="S916" s="1"/>
      <c r="T916" s="1"/>
      <c r="U916" s="1"/>
      <c r="V916" s="1"/>
      <c r="W916" s="1"/>
      <c r="X916" s="1"/>
      <c r="Y916" s="1"/>
      <c r="Z916" s="1"/>
      <c r="AA916" s="1"/>
      <c r="AB916" s="1"/>
    </row>
    <row r="917" spans="1:28" ht="11.25" customHeight="1" x14ac:dyDescent="0.25">
      <c r="A917" s="825"/>
      <c r="B917" s="16"/>
      <c r="C917" s="16"/>
      <c r="D917" s="22"/>
      <c r="E917" s="262"/>
      <c r="F917" s="16"/>
      <c r="G917" s="16"/>
      <c r="H917" s="16"/>
      <c r="I917" s="16"/>
      <c r="J917" s="1"/>
      <c r="K917" s="1"/>
      <c r="L917" s="1"/>
      <c r="M917" s="262"/>
      <c r="N917" s="1"/>
      <c r="O917" s="1"/>
      <c r="P917" s="1"/>
      <c r="Q917" s="1"/>
      <c r="R917" s="1"/>
      <c r="S917" s="1"/>
      <c r="T917" s="1"/>
      <c r="U917" s="1"/>
      <c r="V917" s="1"/>
      <c r="W917" s="1"/>
      <c r="X917" s="1"/>
      <c r="Y917" s="1"/>
      <c r="Z917" s="1"/>
      <c r="AA917" s="1"/>
      <c r="AB917" s="1"/>
    </row>
    <row r="918" spans="1:28" ht="11.25" customHeight="1" x14ac:dyDescent="0.25">
      <c r="A918" s="825"/>
      <c r="B918" s="16"/>
      <c r="C918" s="16"/>
      <c r="D918" s="22"/>
      <c r="E918" s="262"/>
      <c r="F918" s="16"/>
      <c r="G918" s="16"/>
      <c r="H918" s="16"/>
      <c r="I918" s="16"/>
      <c r="J918" s="1"/>
      <c r="K918" s="1"/>
      <c r="L918" s="1"/>
      <c r="M918" s="262"/>
      <c r="N918" s="1"/>
      <c r="O918" s="1"/>
      <c r="P918" s="1"/>
      <c r="Q918" s="1"/>
      <c r="R918" s="1"/>
      <c r="S918" s="1"/>
      <c r="T918" s="1"/>
      <c r="U918" s="1"/>
      <c r="V918" s="1"/>
      <c r="W918" s="1"/>
      <c r="X918" s="1"/>
      <c r="Y918" s="1"/>
      <c r="Z918" s="1"/>
      <c r="AA918" s="1"/>
      <c r="AB918" s="1"/>
    </row>
    <row r="919" spans="1:28" ht="11.25" customHeight="1" x14ac:dyDescent="0.25">
      <c r="A919" s="825"/>
      <c r="B919" s="16"/>
      <c r="C919" s="16"/>
      <c r="D919" s="22"/>
      <c r="E919" s="262"/>
      <c r="F919" s="16"/>
      <c r="G919" s="16"/>
      <c r="H919" s="16"/>
      <c r="I919" s="16"/>
      <c r="J919" s="1"/>
      <c r="K919" s="1"/>
      <c r="L919" s="1"/>
      <c r="M919" s="262"/>
      <c r="N919" s="1"/>
      <c r="O919" s="1"/>
      <c r="P919" s="1"/>
      <c r="Q919" s="1"/>
      <c r="R919" s="1"/>
      <c r="S919" s="1"/>
      <c r="T919" s="1"/>
      <c r="U919" s="1"/>
      <c r="V919" s="1"/>
      <c r="W919" s="1"/>
      <c r="X919" s="1"/>
      <c r="Y919" s="1"/>
      <c r="Z919" s="1"/>
      <c r="AA919" s="1"/>
      <c r="AB919" s="1"/>
    </row>
    <row r="920" spans="1:28" ht="11.25" customHeight="1" x14ac:dyDescent="0.25">
      <c r="A920" s="825"/>
      <c r="B920" s="16"/>
      <c r="C920" s="16"/>
      <c r="D920" s="22"/>
      <c r="E920" s="262"/>
      <c r="F920" s="16"/>
      <c r="G920" s="16"/>
      <c r="H920" s="16"/>
      <c r="I920" s="16"/>
      <c r="J920" s="1"/>
      <c r="K920" s="1"/>
      <c r="L920" s="1"/>
      <c r="M920" s="262"/>
      <c r="N920" s="1"/>
      <c r="O920" s="1"/>
      <c r="P920" s="1"/>
      <c r="Q920" s="1"/>
      <c r="R920" s="1"/>
      <c r="S920" s="1"/>
      <c r="T920" s="1"/>
      <c r="U920" s="1"/>
      <c r="V920" s="1"/>
      <c r="W920" s="1"/>
      <c r="X920" s="1"/>
      <c r="Y920" s="1"/>
      <c r="Z920" s="1"/>
      <c r="AA920" s="1"/>
      <c r="AB920" s="1"/>
    </row>
    <row r="921" spans="1:28" ht="11.25" customHeight="1" x14ac:dyDescent="0.25">
      <c r="A921" s="825"/>
      <c r="B921" s="16"/>
      <c r="C921" s="16"/>
      <c r="D921" s="22"/>
      <c r="E921" s="262"/>
      <c r="F921" s="16"/>
      <c r="G921" s="16"/>
      <c r="H921" s="16"/>
      <c r="I921" s="16"/>
      <c r="J921" s="1"/>
      <c r="K921" s="1"/>
      <c r="L921" s="1"/>
      <c r="M921" s="262"/>
      <c r="N921" s="1"/>
      <c r="O921" s="1"/>
      <c r="P921" s="1"/>
      <c r="Q921" s="1"/>
      <c r="R921" s="1"/>
      <c r="S921" s="1"/>
      <c r="T921" s="1"/>
      <c r="U921" s="1"/>
      <c r="V921" s="1"/>
      <c r="W921" s="1"/>
      <c r="X921" s="1"/>
      <c r="Y921" s="1"/>
      <c r="Z921" s="1"/>
      <c r="AA921" s="1"/>
      <c r="AB921" s="1"/>
    </row>
    <row r="922" spans="1:28" ht="11.25" customHeight="1" x14ac:dyDescent="0.25">
      <c r="A922" s="825"/>
      <c r="B922" s="16"/>
      <c r="C922" s="16"/>
      <c r="D922" s="22"/>
      <c r="E922" s="262"/>
      <c r="F922" s="16"/>
      <c r="G922" s="16"/>
      <c r="H922" s="16"/>
      <c r="I922" s="16"/>
      <c r="J922" s="1"/>
      <c r="K922" s="1"/>
      <c r="L922" s="1"/>
      <c r="M922" s="262"/>
      <c r="N922" s="1"/>
      <c r="O922" s="1"/>
      <c r="P922" s="1"/>
      <c r="Q922" s="1"/>
      <c r="R922" s="1"/>
      <c r="S922" s="1"/>
      <c r="T922" s="1"/>
      <c r="U922" s="1"/>
      <c r="V922" s="1"/>
      <c r="W922" s="1"/>
      <c r="X922" s="1"/>
      <c r="Y922" s="1"/>
      <c r="Z922" s="1"/>
      <c r="AA922" s="1"/>
      <c r="AB922" s="1"/>
    </row>
    <row r="923" spans="1:28" ht="11.25" customHeight="1" x14ac:dyDescent="0.25">
      <c r="A923" s="825"/>
      <c r="B923" s="16"/>
      <c r="C923" s="16"/>
      <c r="D923" s="22"/>
      <c r="E923" s="262"/>
      <c r="F923" s="16"/>
      <c r="G923" s="16"/>
      <c r="H923" s="16"/>
      <c r="I923" s="16"/>
      <c r="J923" s="1"/>
      <c r="K923" s="1"/>
      <c r="L923" s="1"/>
      <c r="M923" s="262"/>
      <c r="N923" s="1"/>
      <c r="O923" s="1"/>
      <c r="P923" s="1"/>
      <c r="Q923" s="1"/>
      <c r="R923" s="1"/>
      <c r="S923" s="1"/>
      <c r="T923" s="1"/>
      <c r="U923" s="1"/>
      <c r="V923" s="1"/>
      <c r="W923" s="1"/>
      <c r="X923" s="1"/>
      <c r="Y923" s="1"/>
      <c r="Z923" s="1"/>
      <c r="AA923" s="1"/>
      <c r="AB923" s="1"/>
    </row>
    <row r="924" spans="1:28" ht="11.25" customHeight="1" x14ac:dyDescent="0.25">
      <c r="A924" s="825"/>
      <c r="B924" s="16"/>
      <c r="C924" s="16"/>
      <c r="D924" s="22"/>
      <c r="E924" s="262"/>
      <c r="F924" s="16"/>
      <c r="G924" s="16"/>
      <c r="H924" s="16"/>
      <c r="I924" s="16"/>
      <c r="J924" s="1"/>
      <c r="K924" s="1"/>
      <c r="L924" s="1"/>
      <c r="M924" s="262"/>
      <c r="N924" s="1"/>
      <c r="O924" s="1"/>
      <c r="P924" s="1"/>
      <c r="Q924" s="1"/>
      <c r="R924" s="1"/>
      <c r="S924" s="1"/>
      <c r="T924" s="1"/>
      <c r="U924" s="1"/>
      <c r="V924" s="1"/>
      <c r="W924" s="1"/>
      <c r="X924" s="1"/>
      <c r="Y924" s="1"/>
      <c r="Z924" s="1"/>
      <c r="AA924" s="1"/>
      <c r="AB924" s="1"/>
    </row>
    <row r="925" spans="1:28" ht="11.25" customHeight="1" x14ac:dyDescent="0.25">
      <c r="A925" s="825"/>
      <c r="B925" s="16"/>
      <c r="C925" s="16"/>
      <c r="D925" s="22"/>
      <c r="E925" s="262"/>
      <c r="F925" s="16"/>
      <c r="G925" s="16"/>
      <c r="H925" s="16"/>
      <c r="I925" s="16"/>
      <c r="J925" s="1"/>
      <c r="K925" s="1"/>
      <c r="L925" s="1"/>
      <c r="M925" s="262"/>
      <c r="N925" s="1"/>
      <c r="O925" s="1"/>
      <c r="P925" s="1"/>
      <c r="Q925" s="1"/>
      <c r="R925" s="1"/>
      <c r="S925" s="1"/>
      <c r="T925" s="1"/>
      <c r="U925" s="1"/>
      <c r="V925" s="1"/>
      <c r="W925" s="1"/>
      <c r="X925" s="1"/>
      <c r="Y925" s="1"/>
      <c r="Z925" s="1"/>
      <c r="AA925" s="1"/>
      <c r="AB925" s="1"/>
    </row>
    <row r="926" spans="1:28" ht="11.25" customHeight="1" x14ac:dyDescent="0.25">
      <c r="A926" s="825"/>
      <c r="B926" s="16"/>
      <c r="C926" s="16"/>
      <c r="D926" s="22"/>
      <c r="E926" s="262"/>
      <c r="F926" s="16"/>
      <c r="G926" s="16"/>
      <c r="H926" s="16"/>
      <c r="I926" s="16"/>
      <c r="J926" s="1"/>
      <c r="K926" s="1"/>
      <c r="L926" s="1"/>
      <c r="M926" s="262"/>
      <c r="N926" s="1"/>
      <c r="O926" s="1"/>
      <c r="P926" s="1"/>
      <c r="Q926" s="1"/>
      <c r="R926" s="1"/>
      <c r="S926" s="1"/>
      <c r="T926" s="1"/>
      <c r="U926" s="1"/>
      <c r="V926" s="1"/>
      <c r="W926" s="1"/>
      <c r="X926" s="1"/>
      <c r="Y926" s="1"/>
      <c r="Z926" s="1"/>
      <c r="AA926" s="1"/>
      <c r="AB926" s="1"/>
    </row>
    <row r="927" spans="1:28" ht="11.25" customHeight="1" x14ac:dyDescent="0.25">
      <c r="A927" s="825"/>
      <c r="B927" s="16"/>
      <c r="C927" s="16"/>
      <c r="D927" s="22"/>
      <c r="E927" s="262"/>
      <c r="F927" s="16"/>
      <c r="G927" s="16"/>
      <c r="H927" s="16"/>
      <c r="I927" s="16"/>
      <c r="J927" s="1"/>
      <c r="K927" s="1"/>
      <c r="L927" s="1"/>
      <c r="M927" s="262"/>
      <c r="N927" s="1"/>
      <c r="O927" s="1"/>
      <c r="P927" s="1"/>
      <c r="Q927" s="1"/>
      <c r="R927" s="1"/>
      <c r="S927" s="1"/>
      <c r="T927" s="1"/>
      <c r="U927" s="1"/>
      <c r="V927" s="1"/>
      <c r="W927" s="1"/>
      <c r="X927" s="1"/>
      <c r="Y927" s="1"/>
      <c r="Z927" s="1"/>
      <c r="AA927" s="1"/>
      <c r="AB927" s="1"/>
    </row>
    <row r="928" spans="1:28" ht="11.25" customHeight="1" x14ac:dyDescent="0.25">
      <c r="A928" s="825"/>
      <c r="B928" s="16"/>
      <c r="C928" s="16"/>
      <c r="D928" s="22"/>
      <c r="E928" s="262"/>
      <c r="F928" s="16"/>
      <c r="G928" s="16"/>
      <c r="H928" s="16"/>
      <c r="I928" s="16"/>
      <c r="J928" s="1"/>
      <c r="K928" s="1"/>
      <c r="L928" s="1"/>
      <c r="M928" s="262"/>
      <c r="N928" s="1"/>
      <c r="O928" s="1"/>
      <c r="P928" s="1"/>
      <c r="Q928" s="1"/>
      <c r="R928" s="1"/>
      <c r="S928" s="1"/>
      <c r="T928" s="1"/>
      <c r="U928" s="1"/>
      <c r="V928" s="1"/>
      <c r="W928" s="1"/>
      <c r="X928" s="1"/>
      <c r="Y928" s="1"/>
      <c r="Z928" s="1"/>
      <c r="AA928" s="1"/>
      <c r="AB928" s="1"/>
    </row>
    <row r="929" spans="1:28" ht="11.25" customHeight="1" x14ac:dyDescent="0.25">
      <c r="A929" s="825"/>
      <c r="B929" s="16"/>
      <c r="C929" s="16"/>
      <c r="D929" s="22"/>
      <c r="E929" s="262"/>
      <c r="F929" s="16"/>
      <c r="G929" s="16"/>
      <c r="H929" s="16"/>
      <c r="I929" s="16"/>
      <c r="J929" s="1"/>
      <c r="K929" s="1"/>
      <c r="L929" s="1"/>
      <c r="M929" s="262"/>
      <c r="N929" s="1"/>
      <c r="O929" s="1"/>
      <c r="P929" s="1"/>
      <c r="Q929" s="1"/>
      <c r="R929" s="1"/>
      <c r="S929" s="1"/>
      <c r="T929" s="1"/>
      <c r="U929" s="1"/>
      <c r="V929" s="1"/>
      <c r="W929" s="1"/>
      <c r="X929" s="1"/>
      <c r="Y929" s="1"/>
      <c r="Z929" s="1"/>
      <c r="AA929" s="1"/>
      <c r="AB929" s="1"/>
    </row>
    <row r="930" spans="1:28" ht="11.25" customHeight="1" x14ac:dyDescent="0.25">
      <c r="A930" s="825"/>
      <c r="B930" s="16"/>
      <c r="C930" s="16"/>
      <c r="D930" s="22"/>
      <c r="E930" s="262"/>
      <c r="F930" s="16"/>
      <c r="G930" s="16"/>
      <c r="H930" s="16"/>
      <c r="I930" s="16"/>
      <c r="J930" s="1"/>
      <c r="K930" s="1"/>
      <c r="L930" s="1"/>
      <c r="M930" s="262"/>
      <c r="N930" s="1"/>
      <c r="O930" s="1"/>
      <c r="P930" s="1"/>
      <c r="Q930" s="1"/>
      <c r="R930" s="1"/>
      <c r="S930" s="1"/>
      <c r="T930" s="1"/>
      <c r="U930" s="1"/>
      <c r="V930" s="1"/>
      <c r="W930" s="1"/>
      <c r="X930" s="1"/>
      <c r="Y930" s="1"/>
      <c r="Z930" s="1"/>
      <c r="AA930" s="1"/>
      <c r="AB930" s="1"/>
    </row>
    <row r="931" spans="1:28" ht="11.25" customHeight="1" x14ac:dyDescent="0.25">
      <c r="A931" s="825"/>
      <c r="B931" s="16"/>
      <c r="C931" s="16"/>
      <c r="D931" s="22"/>
      <c r="E931" s="262"/>
      <c r="F931" s="16"/>
      <c r="G931" s="16"/>
      <c r="H931" s="16"/>
      <c r="I931" s="16"/>
      <c r="J931" s="1"/>
      <c r="K931" s="1"/>
      <c r="L931" s="1"/>
      <c r="M931" s="262"/>
      <c r="N931" s="1"/>
      <c r="O931" s="1"/>
      <c r="P931" s="1"/>
      <c r="Q931" s="1"/>
      <c r="R931" s="1"/>
      <c r="S931" s="1"/>
      <c r="T931" s="1"/>
      <c r="U931" s="1"/>
      <c r="V931" s="1"/>
      <c r="W931" s="1"/>
      <c r="X931" s="1"/>
      <c r="Y931" s="1"/>
      <c r="Z931" s="1"/>
      <c r="AA931" s="1"/>
      <c r="AB931" s="1"/>
    </row>
    <row r="932" spans="1:28" ht="11.25" customHeight="1" x14ac:dyDescent="0.25">
      <c r="A932" s="825"/>
      <c r="B932" s="16"/>
      <c r="C932" s="16"/>
      <c r="D932" s="22"/>
      <c r="E932" s="262"/>
      <c r="F932" s="16"/>
      <c r="G932" s="16"/>
      <c r="H932" s="16"/>
      <c r="I932" s="16"/>
      <c r="J932" s="1"/>
      <c r="K932" s="1"/>
      <c r="L932" s="1"/>
      <c r="M932" s="262"/>
      <c r="N932" s="1"/>
      <c r="O932" s="1"/>
      <c r="P932" s="1"/>
      <c r="Q932" s="1"/>
      <c r="R932" s="1"/>
      <c r="S932" s="1"/>
      <c r="T932" s="1"/>
      <c r="U932" s="1"/>
      <c r="V932" s="1"/>
      <c r="W932" s="1"/>
      <c r="X932" s="1"/>
      <c r="Y932" s="1"/>
      <c r="Z932" s="1"/>
      <c r="AA932" s="1"/>
      <c r="AB932" s="1"/>
    </row>
    <row r="933" spans="1:28" ht="11.25" customHeight="1" x14ac:dyDescent="0.25">
      <c r="A933" s="825"/>
      <c r="B933" s="16"/>
      <c r="C933" s="16"/>
      <c r="D933" s="22"/>
      <c r="E933" s="262"/>
      <c r="F933" s="16"/>
      <c r="G933" s="16"/>
      <c r="H933" s="16"/>
      <c r="I933" s="16"/>
      <c r="J933" s="1"/>
      <c r="K933" s="1"/>
      <c r="L933" s="1"/>
      <c r="M933" s="262"/>
      <c r="N933" s="1"/>
      <c r="O933" s="1"/>
      <c r="P933" s="1"/>
      <c r="Q933" s="1"/>
      <c r="R933" s="1"/>
      <c r="S933" s="1"/>
      <c r="T933" s="1"/>
      <c r="U933" s="1"/>
      <c r="V933" s="1"/>
      <c r="W933" s="1"/>
      <c r="X933" s="1"/>
      <c r="Y933" s="1"/>
      <c r="Z933" s="1"/>
      <c r="AA933" s="1"/>
      <c r="AB933" s="1"/>
    </row>
    <row r="934" spans="1:28" ht="11.25" customHeight="1" x14ac:dyDescent="0.25">
      <c r="A934" s="825"/>
      <c r="B934" s="16"/>
      <c r="C934" s="16"/>
      <c r="D934" s="22"/>
      <c r="E934" s="262"/>
      <c r="F934" s="16"/>
      <c r="G934" s="16"/>
      <c r="H934" s="16"/>
      <c r="I934" s="16"/>
      <c r="J934" s="1"/>
      <c r="K934" s="1"/>
      <c r="L934" s="1"/>
      <c r="M934" s="262"/>
      <c r="N934" s="1"/>
      <c r="O934" s="1"/>
      <c r="P934" s="1"/>
      <c r="Q934" s="1"/>
      <c r="R934" s="1"/>
      <c r="S934" s="1"/>
      <c r="T934" s="1"/>
      <c r="U934" s="1"/>
      <c r="V934" s="1"/>
      <c r="W934" s="1"/>
      <c r="X934" s="1"/>
      <c r="Y934" s="1"/>
      <c r="Z934" s="1"/>
      <c r="AA934" s="1"/>
      <c r="AB934" s="1"/>
    </row>
    <row r="935" spans="1:28" ht="11.25" customHeight="1" x14ac:dyDescent="0.25">
      <c r="A935" s="825"/>
      <c r="B935" s="16"/>
      <c r="C935" s="16"/>
      <c r="D935" s="22"/>
      <c r="E935" s="262"/>
      <c r="F935" s="16"/>
      <c r="G935" s="16"/>
      <c r="H935" s="16"/>
      <c r="I935" s="16"/>
      <c r="J935" s="1"/>
      <c r="K935" s="1"/>
      <c r="L935" s="1"/>
      <c r="M935" s="262"/>
      <c r="N935" s="1"/>
      <c r="O935" s="1"/>
      <c r="P935" s="1"/>
      <c r="Q935" s="1"/>
      <c r="R935" s="1"/>
      <c r="S935" s="1"/>
      <c r="T935" s="1"/>
      <c r="U935" s="1"/>
      <c r="V935" s="1"/>
      <c r="W935" s="1"/>
      <c r="X935" s="1"/>
      <c r="Y935" s="1"/>
      <c r="Z935" s="1"/>
      <c r="AA935" s="1"/>
      <c r="AB935" s="1"/>
    </row>
    <row r="936" spans="1:28" ht="11.25" customHeight="1" x14ac:dyDescent="0.25">
      <c r="A936" s="825"/>
      <c r="B936" s="16"/>
      <c r="C936" s="16"/>
      <c r="D936" s="22"/>
      <c r="E936" s="262"/>
      <c r="F936" s="16"/>
      <c r="G936" s="16"/>
      <c r="H936" s="16"/>
      <c r="I936" s="16"/>
      <c r="J936" s="1"/>
      <c r="K936" s="1"/>
      <c r="L936" s="1"/>
      <c r="M936" s="262"/>
      <c r="N936" s="1"/>
      <c r="O936" s="1"/>
      <c r="P936" s="1"/>
      <c r="Q936" s="1"/>
      <c r="R936" s="1"/>
      <c r="S936" s="1"/>
      <c r="T936" s="1"/>
      <c r="U936" s="1"/>
      <c r="V936" s="1"/>
      <c r="W936" s="1"/>
      <c r="X936" s="1"/>
      <c r="Y936" s="1"/>
      <c r="Z936" s="1"/>
      <c r="AA936" s="1"/>
      <c r="AB936" s="1"/>
    </row>
    <row r="937" spans="1:28" ht="11.25" customHeight="1" x14ac:dyDescent="0.25">
      <c r="A937" s="825"/>
      <c r="B937" s="16"/>
      <c r="C937" s="16"/>
      <c r="D937" s="22"/>
      <c r="E937" s="262"/>
      <c r="F937" s="16"/>
      <c r="G937" s="16"/>
      <c r="H937" s="16"/>
      <c r="I937" s="16"/>
      <c r="J937" s="1"/>
      <c r="K937" s="1"/>
      <c r="L937" s="1"/>
      <c r="M937" s="262"/>
      <c r="N937" s="1"/>
      <c r="O937" s="1"/>
      <c r="P937" s="1"/>
      <c r="Q937" s="1"/>
      <c r="R937" s="1"/>
      <c r="S937" s="1"/>
      <c r="T937" s="1"/>
      <c r="U937" s="1"/>
      <c r="V937" s="1"/>
      <c r="W937" s="1"/>
      <c r="X937" s="1"/>
      <c r="Y937" s="1"/>
      <c r="Z937" s="1"/>
      <c r="AA937" s="1"/>
      <c r="AB937" s="1"/>
    </row>
    <row r="938" spans="1:28" ht="11.25" customHeight="1" x14ac:dyDescent="0.25">
      <c r="A938" s="825"/>
      <c r="B938" s="16"/>
      <c r="C938" s="16"/>
      <c r="D938" s="22"/>
      <c r="E938" s="262"/>
      <c r="F938" s="16"/>
      <c r="G938" s="16"/>
      <c r="H938" s="16"/>
      <c r="I938" s="16"/>
      <c r="J938" s="1"/>
      <c r="K938" s="1"/>
      <c r="L938" s="1"/>
      <c r="M938" s="262"/>
      <c r="N938" s="1"/>
      <c r="O938" s="1"/>
      <c r="P938" s="1"/>
      <c r="Q938" s="1"/>
      <c r="R938" s="1"/>
      <c r="S938" s="1"/>
      <c r="T938" s="1"/>
      <c r="U938" s="1"/>
      <c r="V938" s="1"/>
      <c r="W938" s="1"/>
      <c r="X938" s="1"/>
      <c r="Y938" s="1"/>
      <c r="Z938" s="1"/>
      <c r="AA938" s="1"/>
      <c r="AB938" s="1"/>
    </row>
    <row r="939" spans="1:28" ht="11.25" customHeight="1" x14ac:dyDescent="0.25">
      <c r="A939" s="825"/>
      <c r="B939" s="16"/>
      <c r="C939" s="16"/>
      <c r="D939" s="22"/>
      <c r="E939" s="262"/>
      <c r="F939" s="16"/>
      <c r="G939" s="16"/>
      <c r="H939" s="16"/>
      <c r="I939" s="16"/>
      <c r="J939" s="1"/>
      <c r="K939" s="1"/>
      <c r="L939" s="1"/>
      <c r="M939" s="262"/>
      <c r="N939" s="1"/>
      <c r="O939" s="1"/>
      <c r="P939" s="1"/>
      <c r="Q939" s="1"/>
      <c r="R939" s="1"/>
      <c r="S939" s="1"/>
      <c r="T939" s="1"/>
      <c r="U939" s="1"/>
      <c r="V939" s="1"/>
      <c r="W939" s="1"/>
      <c r="X939" s="1"/>
      <c r="Y939" s="1"/>
      <c r="Z939" s="1"/>
      <c r="AA939" s="1"/>
      <c r="AB939" s="1"/>
    </row>
    <row r="940" spans="1:28" ht="11.25" customHeight="1" x14ac:dyDescent="0.25">
      <c r="A940" s="825"/>
      <c r="B940" s="16"/>
      <c r="C940" s="16"/>
      <c r="D940" s="22"/>
      <c r="E940" s="262"/>
      <c r="F940" s="16"/>
      <c r="G940" s="16"/>
      <c r="H940" s="16"/>
      <c r="I940" s="16"/>
      <c r="J940" s="1"/>
      <c r="K940" s="1"/>
      <c r="L940" s="1"/>
      <c r="M940" s="262"/>
      <c r="N940" s="1"/>
      <c r="O940" s="1"/>
      <c r="P940" s="1"/>
      <c r="Q940" s="1"/>
      <c r="R940" s="1"/>
      <c r="S940" s="1"/>
      <c r="T940" s="1"/>
      <c r="U940" s="1"/>
      <c r="V940" s="1"/>
      <c r="W940" s="1"/>
      <c r="X940" s="1"/>
      <c r="Y940" s="1"/>
      <c r="Z940" s="1"/>
      <c r="AA940" s="1"/>
      <c r="AB940" s="1"/>
    </row>
    <row r="941" spans="1:28" ht="11.25" customHeight="1" x14ac:dyDescent="0.25">
      <c r="A941" s="825"/>
      <c r="B941" s="16"/>
      <c r="C941" s="16"/>
      <c r="D941" s="22"/>
      <c r="E941" s="262"/>
      <c r="F941" s="16"/>
      <c r="G941" s="16"/>
      <c r="H941" s="16"/>
      <c r="I941" s="16"/>
      <c r="J941" s="1"/>
      <c r="K941" s="1"/>
      <c r="L941" s="1"/>
      <c r="M941" s="262"/>
      <c r="N941" s="1"/>
      <c r="O941" s="1"/>
      <c r="P941" s="1"/>
      <c r="Q941" s="1"/>
      <c r="R941" s="1"/>
      <c r="S941" s="1"/>
      <c r="T941" s="1"/>
      <c r="U941" s="1"/>
      <c r="V941" s="1"/>
      <c r="W941" s="1"/>
      <c r="X941" s="1"/>
      <c r="Y941" s="1"/>
      <c r="Z941" s="1"/>
      <c r="AA941" s="1"/>
      <c r="AB941" s="1"/>
    </row>
    <row r="942" spans="1:28" ht="11.25" customHeight="1" x14ac:dyDescent="0.25">
      <c r="A942" s="825"/>
      <c r="B942" s="16"/>
      <c r="C942" s="16"/>
      <c r="D942" s="22"/>
      <c r="E942" s="262"/>
      <c r="F942" s="16"/>
      <c r="G942" s="16"/>
      <c r="H942" s="16"/>
      <c r="I942" s="16"/>
      <c r="J942" s="1"/>
      <c r="K942" s="1"/>
      <c r="L942" s="1"/>
      <c r="M942" s="262"/>
      <c r="N942" s="1"/>
      <c r="O942" s="1"/>
      <c r="P942" s="1"/>
      <c r="Q942" s="1"/>
      <c r="R942" s="1"/>
      <c r="S942" s="1"/>
      <c r="T942" s="1"/>
      <c r="U942" s="1"/>
      <c r="V942" s="1"/>
      <c r="W942" s="1"/>
      <c r="X942" s="1"/>
      <c r="Y942" s="1"/>
      <c r="Z942" s="1"/>
      <c r="AA942" s="1"/>
      <c r="AB942" s="1"/>
    </row>
    <row r="943" spans="1:28" ht="11.25" customHeight="1" x14ac:dyDescent="0.25">
      <c r="A943" s="825"/>
      <c r="B943" s="16"/>
      <c r="C943" s="16"/>
      <c r="D943" s="22"/>
      <c r="E943" s="262"/>
      <c r="F943" s="16"/>
      <c r="G943" s="16"/>
      <c r="H943" s="16"/>
      <c r="I943" s="16"/>
      <c r="J943" s="1"/>
      <c r="K943" s="1"/>
      <c r="L943" s="1"/>
      <c r="M943" s="262"/>
      <c r="N943" s="1"/>
      <c r="O943" s="1"/>
      <c r="P943" s="1"/>
      <c r="Q943" s="1"/>
      <c r="R943" s="1"/>
      <c r="S943" s="1"/>
      <c r="T943" s="1"/>
      <c r="U943" s="1"/>
      <c r="V943" s="1"/>
      <c r="W943" s="1"/>
      <c r="X943" s="1"/>
      <c r="Y943" s="1"/>
      <c r="Z943" s="1"/>
      <c r="AA943" s="1"/>
      <c r="AB943" s="1"/>
    </row>
    <row r="944" spans="1:28" ht="11.25" customHeight="1" x14ac:dyDescent="0.25">
      <c r="A944" s="825"/>
      <c r="B944" s="16"/>
      <c r="C944" s="16"/>
      <c r="D944" s="22"/>
      <c r="E944" s="262"/>
      <c r="F944" s="16"/>
      <c r="G944" s="16"/>
      <c r="H944" s="16"/>
      <c r="I944" s="16"/>
      <c r="J944" s="1"/>
      <c r="K944" s="1"/>
      <c r="L944" s="1"/>
      <c r="M944" s="262"/>
      <c r="N944" s="1"/>
      <c r="O944" s="1"/>
      <c r="P944" s="1"/>
      <c r="Q944" s="1"/>
      <c r="R944" s="1"/>
      <c r="S944" s="1"/>
      <c r="T944" s="1"/>
      <c r="U944" s="1"/>
      <c r="V944" s="1"/>
      <c r="W944" s="1"/>
      <c r="X944" s="1"/>
      <c r="Y944" s="1"/>
      <c r="Z944" s="1"/>
      <c r="AA944" s="1"/>
      <c r="AB944" s="1"/>
    </row>
    <row r="945" spans="1:28" ht="11.25" customHeight="1" x14ac:dyDescent="0.25">
      <c r="A945" s="825"/>
      <c r="B945" s="16"/>
      <c r="C945" s="16"/>
      <c r="D945" s="22"/>
      <c r="E945" s="262"/>
      <c r="F945" s="16"/>
      <c r="G945" s="16"/>
      <c r="H945" s="16"/>
      <c r="I945" s="16"/>
      <c r="J945" s="1"/>
      <c r="K945" s="1"/>
      <c r="L945" s="1"/>
      <c r="M945" s="262"/>
      <c r="N945" s="1"/>
      <c r="O945" s="1"/>
      <c r="P945" s="1"/>
      <c r="Q945" s="1"/>
      <c r="R945" s="1"/>
      <c r="S945" s="1"/>
      <c r="T945" s="1"/>
      <c r="U945" s="1"/>
      <c r="V945" s="1"/>
      <c r="W945" s="1"/>
      <c r="X945" s="1"/>
      <c r="Y945" s="1"/>
      <c r="Z945" s="1"/>
      <c r="AA945" s="1"/>
      <c r="AB945" s="1"/>
    </row>
    <row r="946" spans="1:28" ht="11.25" customHeight="1" x14ac:dyDescent="0.25">
      <c r="A946" s="825"/>
      <c r="B946" s="16"/>
      <c r="C946" s="16"/>
      <c r="D946" s="22"/>
      <c r="E946" s="262"/>
      <c r="F946" s="16"/>
      <c r="G946" s="16"/>
      <c r="H946" s="16"/>
      <c r="I946" s="16"/>
      <c r="J946" s="1"/>
      <c r="K946" s="1"/>
      <c r="L946" s="1"/>
      <c r="M946" s="262"/>
      <c r="N946" s="1"/>
      <c r="O946" s="1"/>
      <c r="P946" s="1"/>
      <c r="Q946" s="1"/>
      <c r="R946" s="1"/>
      <c r="S946" s="1"/>
      <c r="T946" s="1"/>
      <c r="U946" s="1"/>
      <c r="V946" s="1"/>
      <c r="W946" s="1"/>
      <c r="X946" s="1"/>
      <c r="Y946" s="1"/>
      <c r="Z946" s="1"/>
      <c r="AA946" s="1"/>
      <c r="AB946" s="1"/>
    </row>
    <row r="947" spans="1:28" ht="11.25" customHeight="1" x14ac:dyDescent="0.25">
      <c r="A947" s="825"/>
      <c r="B947" s="16"/>
      <c r="C947" s="16"/>
      <c r="D947" s="22"/>
      <c r="E947" s="262"/>
      <c r="F947" s="16"/>
      <c r="G947" s="16"/>
      <c r="H947" s="16"/>
      <c r="I947" s="16"/>
      <c r="J947" s="1"/>
      <c r="K947" s="1"/>
      <c r="L947" s="1"/>
      <c r="M947" s="262"/>
      <c r="N947" s="1"/>
      <c r="O947" s="1"/>
      <c r="P947" s="1"/>
      <c r="Q947" s="1"/>
      <c r="R947" s="1"/>
      <c r="S947" s="1"/>
      <c r="T947" s="1"/>
      <c r="U947" s="1"/>
      <c r="V947" s="1"/>
      <c r="W947" s="1"/>
      <c r="X947" s="1"/>
      <c r="Y947" s="1"/>
      <c r="Z947" s="1"/>
      <c r="AA947" s="1"/>
      <c r="AB947" s="1"/>
    </row>
    <row r="948" spans="1:28" ht="11.25" customHeight="1" x14ac:dyDescent="0.25">
      <c r="A948" s="825"/>
      <c r="B948" s="16"/>
      <c r="C948" s="16"/>
      <c r="D948" s="22"/>
      <c r="E948" s="262"/>
      <c r="F948" s="16"/>
      <c r="G948" s="16"/>
      <c r="H948" s="16"/>
      <c r="I948" s="16"/>
      <c r="J948" s="1"/>
      <c r="K948" s="1"/>
      <c r="L948" s="1"/>
      <c r="M948" s="262"/>
      <c r="N948" s="1"/>
      <c r="O948" s="1"/>
      <c r="P948" s="1"/>
      <c r="Q948" s="1"/>
      <c r="R948" s="1"/>
      <c r="S948" s="1"/>
      <c r="T948" s="1"/>
      <c r="U948" s="1"/>
      <c r="V948" s="1"/>
      <c r="W948" s="1"/>
      <c r="X948" s="1"/>
      <c r="Y948" s="1"/>
      <c r="Z948" s="1"/>
      <c r="AA948" s="1"/>
      <c r="AB948" s="1"/>
    </row>
    <row r="949" spans="1:28" ht="11.25" customHeight="1" x14ac:dyDescent="0.25">
      <c r="A949" s="825"/>
      <c r="B949" s="16"/>
      <c r="C949" s="16"/>
      <c r="D949" s="22"/>
      <c r="E949" s="262"/>
      <c r="F949" s="16"/>
      <c r="G949" s="16"/>
      <c r="H949" s="16"/>
      <c r="I949" s="16"/>
      <c r="J949" s="1"/>
      <c r="K949" s="1"/>
      <c r="L949" s="1"/>
      <c r="M949" s="262"/>
      <c r="N949" s="1"/>
      <c r="O949" s="1"/>
      <c r="P949" s="1"/>
      <c r="Q949" s="1"/>
      <c r="R949" s="1"/>
      <c r="S949" s="1"/>
      <c r="T949" s="1"/>
      <c r="U949" s="1"/>
      <c r="V949" s="1"/>
      <c r="W949" s="1"/>
      <c r="X949" s="1"/>
      <c r="Y949" s="1"/>
      <c r="Z949" s="1"/>
      <c r="AA949" s="1"/>
      <c r="AB949" s="1"/>
    </row>
    <row r="950" spans="1:28" ht="11.25" customHeight="1" x14ac:dyDescent="0.25">
      <c r="A950" s="825"/>
      <c r="B950" s="16"/>
      <c r="C950" s="16"/>
      <c r="D950" s="22"/>
      <c r="E950" s="262"/>
      <c r="F950" s="16"/>
      <c r="G950" s="16"/>
      <c r="H950" s="16"/>
      <c r="I950" s="16"/>
      <c r="J950" s="1"/>
      <c r="K950" s="1"/>
      <c r="L950" s="1"/>
      <c r="M950" s="262"/>
      <c r="N950" s="1"/>
      <c r="O950" s="1"/>
      <c r="P950" s="1"/>
      <c r="Q950" s="1"/>
      <c r="R950" s="1"/>
      <c r="S950" s="1"/>
      <c r="T950" s="1"/>
      <c r="U950" s="1"/>
      <c r="V950" s="1"/>
      <c r="W950" s="1"/>
      <c r="X950" s="1"/>
      <c r="Y950" s="1"/>
      <c r="Z950" s="1"/>
      <c r="AA950" s="1"/>
      <c r="AB950" s="1"/>
    </row>
    <row r="951" spans="1:28" ht="11.25" customHeight="1" x14ac:dyDescent="0.25">
      <c r="A951" s="825"/>
      <c r="B951" s="16"/>
      <c r="C951" s="16"/>
      <c r="D951" s="22"/>
      <c r="E951" s="262"/>
      <c r="F951" s="16"/>
      <c r="G951" s="16"/>
      <c r="H951" s="16"/>
      <c r="I951" s="16"/>
      <c r="J951" s="1"/>
      <c r="K951" s="1"/>
      <c r="L951" s="1"/>
      <c r="M951" s="262"/>
      <c r="N951" s="1"/>
      <c r="O951" s="1"/>
      <c r="P951" s="1"/>
      <c r="Q951" s="1"/>
      <c r="R951" s="1"/>
      <c r="S951" s="1"/>
      <c r="T951" s="1"/>
      <c r="U951" s="1"/>
      <c r="V951" s="1"/>
      <c r="W951" s="1"/>
      <c r="X951" s="1"/>
      <c r="Y951" s="1"/>
      <c r="Z951" s="1"/>
      <c r="AA951" s="1"/>
      <c r="AB951" s="1"/>
    </row>
    <row r="952" spans="1:28" ht="11.25" customHeight="1" x14ac:dyDescent="0.25">
      <c r="A952" s="825"/>
      <c r="B952" s="16"/>
      <c r="C952" s="16"/>
      <c r="D952" s="22"/>
      <c r="E952" s="262"/>
      <c r="F952" s="16"/>
      <c r="G952" s="16"/>
      <c r="H952" s="16"/>
      <c r="I952" s="16"/>
      <c r="J952" s="1"/>
      <c r="K952" s="1"/>
      <c r="L952" s="1"/>
      <c r="M952" s="262"/>
      <c r="N952" s="1"/>
      <c r="O952" s="1"/>
      <c r="P952" s="1"/>
      <c r="Q952" s="1"/>
      <c r="R952" s="1"/>
      <c r="S952" s="1"/>
      <c r="T952" s="1"/>
      <c r="U952" s="1"/>
      <c r="V952" s="1"/>
      <c r="W952" s="1"/>
      <c r="X952" s="1"/>
      <c r="Y952" s="1"/>
      <c r="Z952" s="1"/>
      <c r="AA952" s="1"/>
      <c r="AB952" s="1"/>
    </row>
    <row r="953" spans="1:28" ht="11.25" customHeight="1" x14ac:dyDescent="0.25">
      <c r="A953" s="825"/>
      <c r="B953" s="16"/>
      <c r="C953" s="16"/>
      <c r="D953" s="22"/>
      <c r="E953" s="262"/>
      <c r="F953" s="16"/>
      <c r="G953" s="16"/>
      <c r="H953" s="16"/>
      <c r="I953" s="16"/>
      <c r="J953" s="1"/>
      <c r="K953" s="1"/>
      <c r="L953" s="1"/>
      <c r="M953" s="262"/>
      <c r="N953" s="1"/>
      <c r="O953" s="1"/>
      <c r="P953" s="1"/>
      <c r="Q953" s="1"/>
      <c r="R953" s="1"/>
      <c r="S953" s="1"/>
      <c r="T953" s="1"/>
      <c r="U953" s="1"/>
      <c r="V953" s="1"/>
      <c r="W953" s="1"/>
      <c r="X953" s="1"/>
      <c r="Y953" s="1"/>
      <c r="Z953" s="1"/>
      <c r="AA953" s="1"/>
      <c r="AB953" s="1"/>
    </row>
    <row r="954" spans="1:28" ht="11.25" customHeight="1" x14ac:dyDescent="0.25">
      <c r="A954" s="825"/>
      <c r="B954" s="16"/>
      <c r="C954" s="16"/>
      <c r="D954" s="22"/>
      <c r="E954" s="262"/>
      <c r="F954" s="16"/>
      <c r="G954" s="16"/>
      <c r="H954" s="16"/>
      <c r="I954" s="16"/>
      <c r="J954" s="1"/>
      <c r="K954" s="1"/>
      <c r="L954" s="1"/>
      <c r="M954" s="262"/>
      <c r="N954" s="1"/>
      <c r="O954" s="1"/>
      <c r="P954" s="1"/>
      <c r="Q954" s="1"/>
      <c r="R954" s="1"/>
      <c r="S954" s="1"/>
      <c r="T954" s="1"/>
      <c r="U954" s="1"/>
      <c r="V954" s="1"/>
      <c r="W954" s="1"/>
      <c r="X954" s="1"/>
      <c r="Y954" s="1"/>
      <c r="Z954" s="1"/>
      <c r="AA954" s="1"/>
      <c r="AB954" s="1"/>
    </row>
    <row r="955" spans="1:28" ht="11.25" customHeight="1" x14ac:dyDescent="0.25">
      <c r="A955" s="825"/>
      <c r="B955" s="16"/>
      <c r="C955" s="16"/>
      <c r="D955" s="22"/>
      <c r="E955" s="262"/>
      <c r="F955" s="16"/>
      <c r="G955" s="16"/>
      <c r="H955" s="16"/>
      <c r="I955" s="16"/>
      <c r="J955" s="1"/>
      <c r="K955" s="1"/>
      <c r="L955" s="1"/>
      <c r="M955" s="262"/>
      <c r="N955" s="1"/>
      <c r="O955" s="1"/>
      <c r="P955" s="1"/>
      <c r="Q955" s="1"/>
      <c r="R955" s="1"/>
      <c r="S955" s="1"/>
      <c r="T955" s="1"/>
      <c r="U955" s="1"/>
      <c r="V955" s="1"/>
      <c r="W955" s="1"/>
      <c r="X955" s="1"/>
      <c r="Y955" s="1"/>
      <c r="Z955" s="1"/>
      <c r="AA955" s="1"/>
      <c r="AB955" s="1"/>
    </row>
    <row r="956" spans="1:28" ht="11.25" customHeight="1" x14ac:dyDescent="0.25">
      <c r="A956" s="825"/>
      <c r="B956" s="16"/>
      <c r="C956" s="16"/>
      <c r="D956" s="22"/>
      <c r="E956" s="262"/>
      <c r="F956" s="16"/>
      <c r="G956" s="16"/>
      <c r="H956" s="16"/>
      <c r="I956" s="16"/>
      <c r="J956" s="1"/>
      <c r="K956" s="1"/>
      <c r="L956" s="1"/>
      <c r="M956" s="262"/>
      <c r="N956" s="1"/>
      <c r="O956" s="1"/>
      <c r="P956" s="1"/>
      <c r="Q956" s="1"/>
      <c r="R956" s="1"/>
      <c r="S956" s="1"/>
      <c r="T956" s="1"/>
      <c r="U956" s="1"/>
      <c r="V956" s="1"/>
      <c r="W956" s="1"/>
      <c r="X956" s="1"/>
      <c r="Y956" s="1"/>
      <c r="Z956" s="1"/>
      <c r="AA956" s="1"/>
      <c r="AB956" s="1"/>
    </row>
    <row r="957" spans="1:28" ht="11.25" customHeight="1" x14ac:dyDescent="0.25">
      <c r="A957" s="825"/>
      <c r="B957" s="16"/>
      <c r="C957" s="16"/>
      <c r="D957" s="22"/>
      <c r="E957" s="262"/>
      <c r="F957" s="16"/>
      <c r="G957" s="16"/>
      <c r="H957" s="16"/>
      <c r="I957" s="16"/>
      <c r="J957" s="1"/>
      <c r="K957" s="1"/>
      <c r="L957" s="1"/>
      <c r="M957" s="262"/>
      <c r="N957" s="1"/>
      <c r="O957" s="1"/>
      <c r="P957" s="1"/>
      <c r="Q957" s="1"/>
      <c r="R957" s="1"/>
      <c r="S957" s="1"/>
      <c r="T957" s="1"/>
      <c r="U957" s="1"/>
      <c r="V957" s="1"/>
      <c r="W957" s="1"/>
      <c r="X957" s="1"/>
      <c r="Y957" s="1"/>
      <c r="Z957" s="1"/>
      <c r="AA957" s="1"/>
      <c r="AB957" s="1"/>
    </row>
    <row r="958" spans="1:28" ht="11.25" customHeight="1" x14ac:dyDescent="0.25">
      <c r="A958" s="825"/>
      <c r="B958" s="16"/>
      <c r="C958" s="16"/>
      <c r="D958" s="22"/>
      <c r="E958" s="262"/>
      <c r="F958" s="16"/>
      <c r="G958" s="16"/>
      <c r="H958" s="16"/>
      <c r="I958" s="16"/>
      <c r="J958" s="1"/>
      <c r="K958" s="1"/>
      <c r="L958" s="1"/>
      <c r="M958" s="262"/>
      <c r="N958" s="1"/>
      <c r="O958" s="1"/>
      <c r="P958" s="1"/>
      <c r="Q958" s="1"/>
      <c r="R958" s="1"/>
      <c r="S958" s="1"/>
      <c r="T958" s="1"/>
      <c r="U958" s="1"/>
      <c r="V958" s="1"/>
      <c r="W958" s="1"/>
      <c r="X958" s="1"/>
      <c r="Y958" s="1"/>
      <c r="Z958" s="1"/>
      <c r="AA958" s="1"/>
      <c r="AB958" s="1"/>
    </row>
    <row r="959" spans="1:28" ht="11.25" customHeight="1" x14ac:dyDescent="0.25">
      <c r="A959" s="825"/>
      <c r="B959" s="16"/>
      <c r="C959" s="16"/>
      <c r="D959" s="22"/>
      <c r="E959" s="262"/>
      <c r="F959" s="16"/>
      <c r="G959" s="16"/>
      <c r="H959" s="16"/>
      <c r="I959" s="16"/>
      <c r="J959" s="1"/>
      <c r="K959" s="1"/>
      <c r="L959" s="1"/>
      <c r="M959" s="262"/>
      <c r="N959" s="1"/>
      <c r="O959" s="1"/>
      <c r="P959" s="1"/>
      <c r="Q959" s="1"/>
      <c r="R959" s="1"/>
      <c r="S959" s="1"/>
      <c r="T959" s="1"/>
      <c r="U959" s="1"/>
      <c r="V959" s="1"/>
      <c r="W959" s="1"/>
      <c r="X959" s="1"/>
      <c r="Y959" s="1"/>
      <c r="Z959" s="1"/>
      <c r="AA959" s="1"/>
      <c r="AB959" s="1"/>
    </row>
    <row r="960" spans="1:28" ht="11.25" customHeight="1" x14ac:dyDescent="0.25">
      <c r="A960" s="825"/>
      <c r="B960" s="16"/>
      <c r="C960" s="16"/>
      <c r="D960" s="22"/>
      <c r="E960" s="262"/>
      <c r="F960" s="16"/>
      <c r="G960" s="16"/>
      <c r="H960" s="16"/>
      <c r="I960" s="16"/>
      <c r="J960" s="1"/>
      <c r="K960" s="1"/>
      <c r="L960" s="1"/>
      <c r="M960" s="262"/>
      <c r="N960" s="1"/>
      <c r="O960" s="1"/>
      <c r="P960" s="1"/>
      <c r="Q960" s="1"/>
      <c r="R960" s="1"/>
      <c r="S960" s="1"/>
      <c r="T960" s="1"/>
      <c r="U960" s="1"/>
      <c r="V960" s="1"/>
      <c r="W960" s="1"/>
      <c r="X960" s="1"/>
      <c r="Y960" s="1"/>
      <c r="Z960" s="1"/>
      <c r="AA960" s="1"/>
      <c r="AB960" s="1"/>
    </row>
    <row r="961" spans="1:28" ht="11.25" customHeight="1" x14ac:dyDescent="0.25">
      <c r="A961" s="825"/>
      <c r="B961" s="16"/>
      <c r="C961" s="16"/>
      <c r="D961" s="22"/>
      <c r="E961" s="262"/>
      <c r="F961" s="16"/>
      <c r="G961" s="16"/>
      <c r="H961" s="16"/>
      <c r="I961" s="16"/>
      <c r="J961" s="1"/>
      <c r="K961" s="1"/>
      <c r="L961" s="1"/>
      <c r="M961" s="262"/>
      <c r="N961" s="1"/>
      <c r="O961" s="1"/>
      <c r="P961" s="1"/>
      <c r="Q961" s="1"/>
      <c r="R961" s="1"/>
      <c r="S961" s="1"/>
      <c r="T961" s="1"/>
      <c r="U961" s="1"/>
      <c r="V961" s="1"/>
      <c r="W961" s="1"/>
      <c r="X961" s="1"/>
      <c r="Y961" s="1"/>
      <c r="Z961" s="1"/>
      <c r="AA961" s="1"/>
      <c r="AB961" s="1"/>
    </row>
    <row r="962" spans="1:28" ht="11.25" customHeight="1" x14ac:dyDescent="0.25">
      <c r="A962" s="825"/>
      <c r="B962" s="16"/>
      <c r="C962" s="16"/>
      <c r="D962" s="22"/>
      <c r="E962" s="262"/>
      <c r="F962" s="16"/>
      <c r="G962" s="16"/>
      <c r="H962" s="16"/>
      <c r="I962" s="16"/>
      <c r="J962" s="1"/>
      <c r="K962" s="1"/>
      <c r="L962" s="1"/>
      <c r="M962" s="262"/>
      <c r="N962" s="1"/>
      <c r="O962" s="1"/>
      <c r="P962" s="1"/>
      <c r="Q962" s="1"/>
      <c r="R962" s="1"/>
      <c r="S962" s="1"/>
      <c r="T962" s="1"/>
      <c r="U962" s="1"/>
      <c r="V962" s="1"/>
      <c r="W962" s="1"/>
      <c r="X962" s="1"/>
      <c r="Y962" s="1"/>
      <c r="Z962" s="1"/>
      <c r="AA962" s="1"/>
      <c r="AB962" s="1"/>
    </row>
    <row r="963" spans="1:28" ht="11.25" customHeight="1" x14ac:dyDescent="0.25">
      <c r="A963" s="825"/>
      <c r="B963" s="16"/>
      <c r="C963" s="16"/>
      <c r="D963" s="22"/>
      <c r="E963" s="262"/>
      <c r="F963" s="16"/>
      <c r="G963" s="16"/>
      <c r="H963" s="16"/>
      <c r="I963" s="16"/>
      <c r="J963" s="1"/>
      <c r="K963" s="1"/>
      <c r="L963" s="1"/>
      <c r="M963" s="262"/>
      <c r="N963" s="1"/>
      <c r="O963" s="1"/>
      <c r="P963" s="1"/>
      <c r="Q963" s="1"/>
      <c r="R963" s="1"/>
      <c r="S963" s="1"/>
      <c r="T963" s="1"/>
      <c r="U963" s="1"/>
      <c r="V963" s="1"/>
      <c r="W963" s="1"/>
      <c r="X963" s="1"/>
      <c r="Y963" s="1"/>
      <c r="Z963" s="1"/>
      <c r="AA963" s="1"/>
      <c r="AB963" s="1"/>
    </row>
    <row r="964" spans="1:28" ht="11.25" customHeight="1" x14ac:dyDescent="0.25">
      <c r="A964" s="825"/>
      <c r="B964" s="16"/>
      <c r="C964" s="16"/>
      <c r="D964" s="22"/>
      <c r="E964" s="262"/>
      <c r="F964" s="16"/>
      <c r="G964" s="16"/>
      <c r="H964" s="16"/>
      <c r="I964" s="16"/>
      <c r="J964" s="1"/>
      <c r="K964" s="1"/>
      <c r="L964" s="1"/>
      <c r="M964" s="262"/>
      <c r="N964" s="1"/>
      <c r="O964" s="1"/>
      <c r="P964" s="1"/>
      <c r="Q964" s="1"/>
      <c r="R964" s="1"/>
      <c r="S964" s="1"/>
      <c r="T964" s="1"/>
      <c r="U964" s="1"/>
      <c r="V964" s="1"/>
      <c r="W964" s="1"/>
      <c r="X964" s="1"/>
      <c r="Y964" s="1"/>
      <c r="Z964" s="1"/>
      <c r="AA964" s="1"/>
      <c r="AB964" s="1"/>
    </row>
    <row r="965" spans="1:28" ht="11.25" customHeight="1" x14ac:dyDescent="0.25">
      <c r="A965" s="825"/>
      <c r="B965" s="16"/>
      <c r="C965" s="16"/>
      <c r="D965" s="22"/>
      <c r="E965" s="262"/>
      <c r="F965" s="16"/>
      <c r="G965" s="16"/>
      <c r="H965" s="16"/>
      <c r="I965" s="16"/>
      <c r="J965" s="1"/>
      <c r="K965" s="1"/>
      <c r="L965" s="1"/>
      <c r="M965" s="262"/>
      <c r="N965" s="1"/>
      <c r="O965" s="1"/>
      <c r="P965" s="1"/>
      <c r="Q965" s="1"/>
      <c r="R965" s="1"/>
      <c r="S965" s="1"/>
      <c r="T965" s="1"/>
      <c r="U965" s="1"/>
      <c r="V965" s="1"/>
      <c r="W965" s="1"/>
      <c r="X965" s="1"/>
      <c r="Y965" s="1"/>
      <c r="Z965" s="1"/>
      <c r="AA965" s="1"/>
      <c r="AB965" s="1"/>
    </row>
    <row r="966" spans="1:28" ht="11.25" customHeight="1" x14ac:dyDescent="0.25">
      <c r="A966" s="825"/>
      <c r="B966" s="16"/>
      <c r="C966" s="16"/>
      <c r="D966" s="22"/>
      <c r="E966" s="262"/>
      <c r="F966" s="16"/>
      <c r="G966" s="16"/>
      <c r="H966" s="16"/>
      <c r="I966" s="16"/>
      <c r="J966" s="1"/>
      <c r="K966" s="1"/>
      <c r="L966" s="1"/>
      <c r="M966" s="262"/>
      <c r="N966" s="1"/>
      <c r="O966" s="1"/>
      <c r="P966" s="1"/>
      <c r="Q966" s="1"/>
      <c r="R966" s="1"/>
      <c r="S966" s="1"/>
      <c r="T966" s="1"/>
      <c r="U966" s="1"/>
      <c r="V966" s="1"/>
      <c r="W966" s="1"/>
      <c r="X966" s="1"/>
      <c r="Y966" s="1"/>
      <c r="Z966" s="1"/>
      <c r="AA966" s="1"/>
      <c r="AB966" s="1"/>
    </row>
    <row r="967" spans="1:28" ht="11.25" customHeight="1" x14ac:dyDescent="0.25">
      <c r="A967" s="825"/>
      <c r="B967" s="16"/>
      <c r="C967" s="16"/>
      <c r="D967" s="22"/>
      <c r="E967" s="262"/>
      <c r="F967" s="16"/>
      <c r="G967" s="16"/>
      <c r="H967" s="16"/>
      <c r="I967" s="16"/>
      <c r="J967" s="1"/>
      <c r="K967" s="1"/>
      <c r="L967" s="1"/>
      <c r="M967" s="262"/>
      <c r="N967" s="1"/>
      <c r="O967" s="1"/>
      <c r="P967" s="1"/>
      <c r="Q967" s="1"/>
      <c r="R967" s="1"/>
      <c r="S967" s="1"/>
      <c r="T967" s="1"/>
      <c r="U967" s="1"/>
      <c r="V967" s="1"/>
      <c r="W967" s="1"/>
      <c r="X967" s="1"/>
      <c r="Y967" s="1"/>
      <c r="Z967" s="1"/>
      <c r="AA967" s="1"/>
      <c r="AB967" s="1"/>
    </row>
    <row r="968" spans="1:28" ht="11.25" customHeight="1" x14ac:dyDescent="0.25">
      <c r="A968" s="825"/>
      <c r="B968" s="16"/>
      <c r="C968" s="16"/>
      <c r="D968" s="22"/>
      <c r="E968" s="262"/>
      <c r="F968" s="16"/>
      <c r="G968" s="16"/>
      <c r="H968" s="16"/>
      <c r="I968" s="16"/>
      <c r="J968" s="1"/>
      <c r="K968" s="1"/>
      <c r="L968" s="1"/>
      <c r="M968" s="262"/>
      <c r="N968" s="1"/>
      <c r="O968" s="1"/>
      <c r="P968" s="1"/>
      <c r="Q968" s="1"/>
      <c r="R968" s="1"/>
      <c r="S968" s="1"/>
      <c r="T968" s="1"/>
      <c r="U968" s="1"/>
      <c r="V968" s="1"/>
      <c r="W968" s="1"/>
      <c r="X968" s="1"/>
      <c r="Y968" s="1"/>
      <c r="Z968" s="1"/>
      <c r="AA968" s="1"/>
      <c r="AB968" s="1"/>
    </row>
    <row r="969" spans="1:28" ht="11.25" customHeight="1" x14ac:dyDescent="0.25">
      <c r="A969" s="825"/>
      <c r="B969" s="16"/>
      <c r="C969" s="16"/>
      <c r="D969" s="22"/>
      <c r="E969" s="262"/>
      <c r="F969" s="16"/>
      <c r="G969" s="16"/>
      <c r="H969" s="16"/>
      <c r="I969" s="16"/>
      <c r="J969" s="1"/>
      <c r="K969" s="1"/>
      <c r="L969" s="1"/>
      <c r="M969" s="262"/>
      <c r="N969" s="1"/>
      <c r="O969" s="1"/>
      <c r="P969" s="1"/>
      <c r="Q969" s="1"/>
      <c r="R969" s="1"/>
      <c r="S969" s="1"/>
      <c r="T969" s="1"/>
      <c r="U969" s="1"/>
      <c r="V969" s="1"/>
      <c r="W969" s="1"/>
      <c r="X969" s="1"/>
      <c r="Y969" s="1"/>
      <c r="Z969" s="1"/>
      <c r="AA969" s="1"/>
      <c r="AB969" s="1"/>
    </row>
    <row r="970" spans="1:28" ht="11.25" customHeight="1" x14ac:dyDescent="0.25">
      <c r="A970" s="825"/>
      <c r="B970" s="16"/>
      <c r="C970" s="16"/>
      <c r="D970" s="22"/>
      <c r="E970" s="262"/>
      <c r="F970" s="16"/>
      <c r="G970" s="16"/>
      <c r="H970" s="16"/>
      <c r="I970" s="16"/>
      <c r="J970" s="1"/>
      <c r="K970" s="1"/>
      <c r="L970" s="1"/>
      <c r="M970" s="262"/>
      <c r="N970" s="1"/>
      <c r="O970" s="1"/>
      <c r="P970" s="1"/>
      <c r="Q970" s="1"/>
      <c r="R970" s="1"/>
      <c r="S970" s="1"/>
      <c r="T970" s="1"/>
      <c r="U970" s="1"/>
      <c r="V970" s="1"/>
      <c r="W970" s="1"/>
      <c r="X970" s="1"/>
      <c r="Y970" s="1"/>
      <c r="Z970" s="1"/>
      <c r="AA970" s="1"/>
      <c r="AB970" s="1"/>
    </row>
    <row r="971" spans="1:28" ht="11.25" customHeight="1" x14ac:dyDescent="0.25">
      <c r="A971" s="825"/>
      <c r="B971" s="16"/>
      <c r="C971" s="16"/>
      <c r="D971" s="22"/>
      <c r="E971" s="262"/>
      <c r="F971" s="16"/>
      <c r="G971" s="16"/>
      <c r="H971" s="16"/>
      <c r="I971" s="16"/>
      <c r="J971" s="1"/>
      <c r="K971" s="1"/>
      <c r="L971" s="1"/>
      <c r="M971" s="262"/>
      <c r="N971" s="1"/>
      <c r="O971" s="1"/>
      <c r="P971" s="1"/>
      <c r="Q971" s="1"/>
      <c r="R971" s="1"/>
      <c r="S971" s="1"/>
      <c r="T971" s="1"/>
      <c r="U971" s="1"/>
      <c r="V971" s="1"/>
      <c r="W971" s="1"/>
      <c r="X971" s="1"/>
      <c r="Y971" s="1"/>
      <c r="Z971" s="1"/>
      <c r="AA971" s="1"/>
      <c r="AB971" s="1"/>
    </row>
    <row r="972" spans="1:28" ht="11.25" customHeight="1" x14ac:dyDescent="0.25">
      <c r="A972" s="825"/>
      <c r="B972" s="16"/>
      <c r="C972" s="16"/>
      <c r="D972" s="22"/>
      <c r="E972" s="262"/>
      <c r="F972" s="16"/>
      <c r="G972" s="16"/>
      <c r="H972" s="16"/>
      <c r="I972" s="16"/>
      <c r="J972" s="1"/>
      <c r="K972" s="1"/>
      <c r="L972" s="1"/>
      <c r="M972" s="262"/>
      <c r="N972" s="1"/>
      <c r="O972" s="1"/>
      <c r="P972" s="1"/>
      <c r="Q972" s="1"/>
      <c r="R972" s="1"/>
      <c r="S972" s="1"/>
      <c r="T972" s="1"/>
      <c r="U972" s="1"/>
      <c r="V972" s="1"/>
      <c r="W972" s="1"/>
      <c r="X972" s="1"/>
      <c r="Y972" s="1"/>
      <c r="Z972" s="1"/>
      <c r="AA972" s="1"/>
      <c r="AB972" s="1"/>
    </row>
    <row r="973" spans="1:28" ht="11.25" customHeight="1" x14ac:dyDescent="0.25">
      <c r="A973" s="825"/>
      <c r="B973" s="16"/>
      <c r="C973" s="16"/>
      <c r="D973" s="22"/>
      <c r="E973" s="262"/>
      <c r="F973" s="16"/>
      <c r="G973" s="16"/>
      <c r="H973" s="16"/>
      <c r="I973" s="16"/>
      <c r="J973" s="1"/>
      <c r="K973" s="1"/>
      <c r="L973" s="1"/>
      <c r="M973" s="262"/>
      <c r="N973" s="1"/>
      <c r="O973" s="1"/>
      <c r="P973" s="1"/>
      <c r="Q973" s="1"/>
      <c r="R973" s="1"/>
      <c r="S973" s="1"/>
      <c r="T973" s="1"/>
      <c r="U973" s="1"/>
      <c r="V973" s="1"/>
      <c r="W973" s="1"/>
      <c r="X973" s="1"/>
      <c r="Y973" s="1"/>
      <c r="Z973" s="1"/>
      <c r="AA973" s="1"/>
      <c r="AB973" s="1"/>
    </row>
    <row r="974" spans="1:28" ht="11.25" customHeight="1" x14ac:dyDescent="0.25">
      <c r="A974" s="825"/>
      <c r="B974" s="16"/>
      <c r="C974" s="16"/>
      <c r="D974" s="22"/>
      <c r="E974" s="262"/>
      <c r="F974" s="16"/>
      <c r="G974" s="16"/>
      <c r="H974" s="16"/>
      <c r="I974" s="16"/>
      <c r="J974" s="1"/>
      <c r="K974" s="1"/>
      <c r="L974" s="1"/>
      <c r="M974" s="262"/>
      <c r="N974" s="1"/>
      <c r="O974" s="1"/>
      <c r="P974" s="1"/>
      <c r="Q974" s="1"/>
      <c r="R974" s="1"/>
      <c r="S974" s="1"/>
      <c r="T974" s="1"/>
      <c r="U974" s="1"/>
      <c r="V974" s="1"/>
      <c r="W974" s="1"/>
      <c r="X974" s="1"/>
      <c r="Y974" s="1"/>
      <c r="Z974" s="1"/>
      <c r="AA974" s="1"/>
      <c r="AB974" s="1"/>
    </row>
    <row r="975" spans="1:28" ht="11.25" customHeight="1" x14ac:dyDescent="0.25">
      <c r="A975" s="825"/>
      <c r="B975" s="16"/>
      <c r="C975" s="16"/>
      <c r="D975" s="22"/>
      <c r="E975" s="262"/>
      <c r="F975" s="16"/>
      <c r="G975" s="16"/>
      <c r="H975" s="16"/>
      <c r="I975" s="16"/>
      <c r="J975" s="1"/>
      <c r="K975" s="1"/>
      <c r="L975" s="1"/>
      <c r="M975" s="262"/>
      <c r="N975" s="1"/>
      <c r="O975" s="1"/>
      <c r="P975" s="1"/>
      <c r="Q975" s="1"/>
      <c r="R975" s="1"/>
      <c r="S975" s="1"/>
      <c r="T975" s="1"/>
      <c r="U975" s="1"/>
      <c r="V975" s="1"/>
      <c r="W975" s="1"/>
      <c r="X975" s="1"/>
      <c r="Y975" s="1"/>
      <c r="Z975" s="1"/>
      <c r="AA975" s="1"/>
      <c r="AB975" s="1"/>
    </row>
    <row r="976" spans="1:28" ht="11.25" customHeight="1" x14ac:dyDescent="0.25">
      <c r="A976" s="825"/>
      <c r="B976" s="16"/>
      <c r="C976" s="16"/>
      <c r="D976" s="22"/>
      <c r="E976" s="262"/>
      <c r="F976" s="16"/>
      <c r="G976" s="16"/>
      <c r="H976" s="16"/>
      <c r="I976" s="16"/>
      <c r="J976" s="1"/>
      <c r="K976" s="1"/>
      <c r="L976" s="1"/>
      <c r="M976" s="262"/>
      <c r="N976" s="1"/>
      <c r="O976" s="1"/>
      <c r="P976" s="1"/>
      <c r="Q976" s="1"/>
      <c r="R976" s="1"/>
      <c r="S976" s="1"/>
      <c r="T976" s="1"/>
      <c r="U976" s="1"/>
      <c r="V976" s="1"/>
      <c r="W976" s="1"/>
      <c r="X976" s="1"/>
      <c r="Y976" s="1"/>
      <c r="Z976" s="1"/>
      <c r="AA976" s="1"/>
      <c r="AB976" s="1"/>
    </row>
    <row r="977" spans="1:28" ht="11.25" customHeight="1" x14ac:dyDescent="0.25">
      <c r="A977" s="825"/>
      <c r="B977" s="16"/>
      <c r="C977" s="16"/>
      <c r="D977" s="22"/>
      <c r="E977" s="262"/>
      <c r="F977" s="16"/>
      <c r="G977" s="16"/>
      <c r="H977" s="16"/>
      <c r="I977" s="16"/>
      <c r="J977" s="1"/>
      <c r="K977" s="1"/>
      <c r="L977" s="1"/>
      <c r="M977" s="262"/>
      <c r="N977" s="1"/>
      <c r="O977" s="1"/>
      <c r="P977" s="1"/>
      <c r="Q977" s="1"/>
      <c r="R977" s="1"/>
      <c r="S977" s="1"/>
      <c r="T977" s="1"/>
      <c r="U977" s="1"/>
      <c r="V977" s="1"/>
      <c r="W977" s="1"/>
      <c r="X977" s="1"/>
      <c r="Y977" s="1"/>
      <c r="Z977" s="1"/>
      <c r="AA977" s="1"/>
      <c r="AB977" s="1"/>
    </row>
    <row r="978" spans="1:28" ht="11.25" customHeight="1" x14ac:dyDescent="0.25">
      <c r="A978" s="825"/>
      <c r="B978" s="16"/>
      <c r="C978" s="16"/>
      <c r="D978" s="22"/>
      <c r="E978" s="262"/>
      <c r="F978" s="16"/>
      <c r="G978" s="16"/>
      <c r="H978" s="16"/>
      <c r="I978" s="16"/>
      <c r="J978" s="1"/>
      <c r="K978" s="1"/>
      <c r="L978" s="1"/>
      <c r="M978" s="262"/>
      <c r="N978" s="1"/>
      <c r="O978" s="1"/>
      <c r="P978" s="1"/>
      <c r="Q978" s="1"/>
      <c r="R978" s="1"/>
      <c r="S978" s="1"/>
      <c r="T978" s="1"/>
      <c r="U978" s="1"/>
      <c r="V978" s="1"/>
      <c r="W978" s="1"/>
      <c r="X978" s="1"/>
      <c r="Y978" s="1"/>
      <c r="Z978" s="1"/>
      <c r="AA978" s="1"/>
      <c r="AB978" s="1"/>
    </row>
    <row r="979" spans="1:28" ht="11.25" customHeight="1" x14ac:dyDescent="0.25">
      <c r="A979" s="825"/>
      <c r="B979" s="16"/>
      <c r="C979" s="16"/>
      <c r="D979" s="22"/>
      <c r="E979" s="262"/>
      <c r="F979" s="16"/>
      <c r="G979" s="16"/>
      <c r="H979" s="16"/>
      <c r="I979" s="16"/>
      <c r="J979" s="1"/>
      <c r="K979" s="1"/>
      <c r="L979" s="1"/>
      <c r="M979" s="262"/>
      <c r="N979" s="1"/>
      <c r="O979" s="1"/>
      <c r="P979" s="1"/>
      <c r="Q979" s="1"/>
      <c r="R979" s="1"/>
      <c r="S979" s="1"/>
      <c r="T979" s="1"/>
      <c r="U979" s="1"/>
      <c r="V979" s="1"/>
      <c r="W979" s="1"/>
      <c r="X979" s="1"/>
      <c r="Y979" s="1"/>
      <c r="Z979" s="1"/>
      <c r="AA979" s="1"/>
      <c r="AB979" s="1"/>
    </row>
    <row r="980" spans="1:28" ht="11.25" customHeight="1" x14ac:dyDescent="0.25">
      <c r="A980" s="825"/>
      <c r="B980" s="16"/>
      <c r="C980" s="16"/>
      <c r="D980" s="22"/>
      <c r="E980" s="262"/>
      <c r="F980" s="16"/>
      <c r="G980" s="16"/>
      <c r="H980" s="16"/>
      <c r="I980" s="16"/>
      <c r="J980" s="1"/>
      <c r="K980" s="1"/>
      <c r="L980" s="1"/>
      <c r="M980" s="262"/>
      <c r="N980" s="1"/>
      <c r="O980" s="1"/>
      <c r="P980" s="1"/>
      <c r="Q980" s="1"/>
      <c r="R980" s="1"/>
      <c r="S980" s="1"/>
      <c r="T980" s="1"/>
      <c r="U980" s="1"/>
      <c r="V980" s="1"/>
      <c r="W980" s="1"/>
      <c r="X980" s="1"/>
      <c r="Y980" s="1"/>
      <c r="Z980" s="1"/>
      <c r="AA980" s="1"/>
      <c r="AB980" s="1"/>
    </row>
    <row r="981" spans="1:28" ht="11.25" customHeight="1" x14ac:dyDescent="0.25">
      <c r="A981" s="825"/>
      <c r="B981" s="16"/>
      <c r="C981" s="16"/>
      <c r="D981" s="22"/>
      <c r="E981" s="262"/>
      <c r="F981" s="16"/>
      <c r="G981" s="16"/>
      <c r="H981" s="16"/>
      <c r="I981" s="16"/>
      <c r="J981" s="1"/>
      <c r="K981" s="1"/>
      <c r="L981" s="1"/>
      <c r="M981" s="262"/>
      <c r="N981" s="1"/>
      <c r="O981" s="1"/>
      <c r="P981" s="1"/>
      <c r="Q981" s="1"/>
      <c r="R981" s="1"/>
      <c r="S981" s="1"/>
      <c r="T981" s="1"/>
      <c r="U981" s="1"/>
      <c r="V981" s="1"/>
      <c r="W981" s="1"/>
      <c r="X981" s="1"/>
      <c r="Y981" s="1"/>
      <c r="Z981" s="1"/>
      <c r="AA981" s="1"/>
      <c r="AB981" s="1"/>
    </row>
    <row r="982" spans="1:28" ht="11.25" customHeight="1" x14ac:dyDescent="0.25">
      <c r="A982" s="825"/>
      <c r="B982" s="16"/>
      <c r="C982" s="16"/>
      <c r="D982" s="22"/>
      <c r="E982" s="262"/>
      <c r="F982" s="16"/>
      <c r="G982" s="16"/>
      <c r="H982" s="16"/>
      <c r="I982" s="16"/>
      <c r="J982" s="1"/>
      <c r="K982" s="1"/>
      <c r="L982" s="1"/>
      <c r="M982" s="262"/>
      <c r="N982" s="1"/>
      <c r="O982" s="1"/>
      <c r="P982" s="1"/>
      <c r="Q982" s="1"/>
      <c r="R982" s="1"/>
      <c r="S982" s="1"/>
      <c r="T982" s="1"/>
      <c r="U982" s="1"/>
      <c r="V982" s="1"/>
      <c r="W982" s="1"/>
      <c r="X982" s="1"/>
      <c r="Y982" s="1"/>
      <c r="Z982" s="1"/>
      <c r="AA982" s="1"/>
      <c r="AB982" s="1"/>
    </row>
    <row r="983" spans="1:28" ht="11.25" customHeight="1" x14ac:dyDescent="0.25">
      <c r="A983" s="825"/>
      <c r="B983" s="16"/>
      <c r="C983" s="16"/>
      <c r="D983" s="22"/>
      <c r="E983" s="262"/>
      <c r="F983" s="16"/>
      <c r="G983" s="16"/>
      <c r="H983" s="16"/>
      <c r="I983" s="16"/>
      <c r="J983" s="1"/>
      <c r="K983" s="1"/>
      <c r="L983" s="1"/>
      <c r="M983" s="262"/>
      <c r="N983" s="1"/>
      <c r="O983" s="1"/>
      <c r="P983" s="1"/>
      <c r="Q983" s="1"/>
      <c r="R983" s="1"/>
      <c r="S983" s="1"/>
      <c r="T983" s="1"/>
      <c r="U983" s="1"/>
      <c r="V983" s="1"/>
      <c r="W983" s="1"/>
      <c r="X983" s="1"/>
      <c r="Y983" s="1"/>
      <c r="Z983" s="1"/>
      <c r="AA983" s="1"/>
      <c r="AB983" s="1"/>
    </row>
    <row r="984" spans="1:28" ht="11.25" customHeight="1" x14ac:dyDescent="0.25">
      <c r="A984" s="825"/>
      <c r="B984" s="16"/>
      <c r="C984" s="16"/>
      <c r="D984" s="22"/>
      <c r="E984" s="262"/>
      <c r="F984" s="16"/>
      <c r="G984" s="16"/>
      <c r="H984" s="16"/>
      <c r="I984" s="16"/>
      <c r="J984" s="1"/>
      <c r="K984" s="1"/>
      <c r="L984" s="1"/>
      <c r="M984" s="262"/>
      <c r="N984" s="1"/>
      <c r="O984" s="1"/>
      <c r="P984" s="1"/>
      <c r="Q984" s="1"/>
      <c r="R984" s="1"/>
      <c r="S984" s="1"/>
      <c r="T984" s="1"/>
      <c r="U984" s="1"/>
      <c r="V984" s="1"/>
      <c r="W984" s="1"/>
      <c r="X984" s="1"/>
      <c r="Y984" s="1"/>
      <c r="Z984" s="1"/>
      <c r="AA984" s="1"/>
      <c r="AB984" s="1"/>
    </row>
    <row r="985" spans="1:28" ht="11.25" customHeight="1" x14ac:dyDescent="0.25">
      <c r="A985" s="825"/>
      <c r="B985" s="16"/>
      <c r="C985" s="16"/>
      <c r="D985" s="22"/>
      <c r="E985" s="262"/>
      <c r="F985" s="16"/>
      <c r="G985" s="16"/>
      <c r="H985" s="16"/>
      <c r="I985" s="16"/>
      <c r="J985" s="1"/>
      <c r="K985" s="1"/>
      <c r="L985" s="1"/>
      <c r="M985" s="262"/>
      <c r="N985" s="1"/>
      <c r="O985" s="1"/>
      <c r="P985" s="1"/>
      <c r="Q985" s="1"/>
      <c r="R985" s="1"/>
      <c r="S985" s="1"/>
      <c r="T985" s="1"/>
      <c r="U985" s="1"/>
      <c r="V985" s="1"/>
      <c r="W985" s="1"/>
      <c r="X985" s="1"/>
      <c r="Y985" s="1"/>
      <c r="Z985" s="1"/>
      <c r="AA985" s="1"/>
      <c r="AB985" s="1"/>
    </row>
    <row r="986" spans="1:28" ht="11.25" customHeight="1" x14ac:dyDescent="0.25">
      <c r="A986" s="825"/>
      <c r="B986" s="16"/>
      <c r="C986" s="16"/>
      <c r="D986" s="22"/>
      <c r="E986" s="262"/>
      <c r="F986" s="16"/>
      <c r="G986" s="16"/>
      <c r="H986" s="16"/>
      <c r="I986" s="16"/>
      <c r="J986" s="1"/>
      <c r="K986" s="1"/>
      <c r="L986" s="1"/>
      <c r="M986" s="262"/>
      <c r="N986" s="1"/>
      <c r="O986" s="1"/>
      <c r="P986" s="1"/>
      <c r="Q986" s="1"/>
      <c r="R986" s="1"/>
      <c r="S986" s="1"/>
      <c r="T986" s="1"/>
      <c r="U986" s="1"/>
      <c r="V986" s="1"/>
      <c r="W986" s="1"/>
      <c r="X986" s="1"/>
      <c r="Y986" s="1"/>
      <c r="Z986" s="1"/>
      <c r="AA986" s="1"/>
      <c r="AB986" s="1"/>
    </row>
    <row r="987" spans="1:28" ht="11.25" customHeight="1" x14ac:dyDescent="0.25">
      <c r="A987" s="825"/>
      <c r="B987" s="16"/>
      <c r="C987" s="16"/>
      <c r="D987" s="22"/>
      <c r="E987" s="262"/>
      <c r="F987" s="16"/>
      <c r="G987" s="16"/>
      <c r="H987" s="16"/>
      <c r="I987" s="16"/>
      <c r="J987" s="1"/>
      <c r="K987" s="1"/>
      <c r="L987" s="1"/>
      <c r="M987" s="262"/>
      <c r="N987" s="1"/>
      <c r="O987" s="1"/>
      <c r="P987" s="1"/>
      <c r="Q987" s="1"/>
      <c r="R987" s="1"/>
      <c r="S987" s="1"/>
      <c r="T987" s="1"/>
      <c r="U987" s="1"/>
      <c r="V987" s="1"/>
      <c r="W987" s="1"/>
      <c r="X987" s="1"/>
      <c r="Y987" s="1"/>
      <c r="Z987" s="1"/>
      <c r="AA987" s="1"/>
      <c r="AB987" s="1"/>
    </row>
    <row r="988" spans="1:28" ht="11.25" customHeight="1" x14ac:dyDescent="0.25">
      <c r="A988" s="825"/>
      <c r="B988" s="16"/>
      <c r="C988" s="16"/>
      <c r="D988" s="22"/>
      <c r="E988" s="262"/>
      <c r="F988" s="16"/>
      <c r="G988" s="16"/>
      <c r="H988" s="16"/>
      <c r="I988" s="16"/>
      <c r="J988" s="1"/>
      <c r="K988" s="1"/>
      <c r="L988" s="1"/>
      <c r="M988" s="262"/>
      <c r="N988" s="1"/>
      <c r="O988" s="1"/>
      <c r="P988" s="1"/>
      <c r="Q988" s="1"/>
      <c r="R988" s="1"/>
      <c r="S988" s="1"/>
      <c r="T988" s="1"/>
      <c r="U988" s="1"/>
      <c r="V988" s="1"/>
      <c r="W988" s="1"/>
      <c r="X988" s="1"/>
      <c r="Y988" s="1"/>
      <c r="Z988" s="1"/>
      <c r="AA988" s="1"/>
      <c r="AB988" s="1"/>
    </row>
    <row r="989" spans="1:28" ht="11.25" customHeight="1" x14ac:dyDescent="0.25">
      <c r="A989" s="825"/>
      <c r="B989" s="16"/>
      <c r="C989" s="16"/>
      <c r="D989" s="22"/>
      <c r="E989" s="262"/>
      <c r="F989" s="16"/>
      <c r="G989" s="16"/>
      <c r="H989" s="16"/>
      <c r="I989" s="16"/>
      <c r="J989" s="1"/>
      <c r="K989" s="1"/>
      <c r="L989" s="1"/>
      <c r="M989" s="262"/>
      <c r="N989" s="1"/>
      <c r="O989" s="1"/>
      <c r="P989" s="1"/>
      <c r="Q989" s="1"/>
      <c r="R989" s="1"/>
      <c r="S989" s="1"/>
      <c r="T989" s="1"/>
      <c r="U989" s="1"/>
      <c r="V989" s="1"/>
      <c r="W989" s="1"/>
      <c r="X989" s="1"/>
      <c r="Y989" s="1"/>
      <c r="Z989" s="1"/>
      <c r="AA989" s="1"/>
      <c r="AB989" s="1"/>
    </row>
    <row r="990" spans="1:28" ht="11.25" customHeight="1" x14ac:dyDescent="0.25">
      <c r="A990" s="825"/>
      <c r="B990" s="16"/>
      <c r="C990" s="16"/>
      <c r="D990" s="22"/>
      <c r="E990" s="262"/>
      <c r="F990" s="16"/>
      <c r="G990" s="16"/>
      <c r="H990" s="16"/>
      <c r="I990" s="16"/>
      <c r="J990" s="1"/>
      <c r="K990" s="1"/>
      <c r="L990" s="1"/>
      <c r="M990" s="262"/>
      <c r="N990" s="1"/>
      <c r="O990" s="1"/>
      <c r="P990" s="1"/>
      <c r="Q990" s="1"/>
      <c r="R990" s="1"/>
      <c r="S990" s="1"/>
      <c r="T990" s="1"/>
      <c r="U990" s="1"/>
      <c r="V990" s="1"/>
      <c r="W990" s="1"/>
      <c r="X990" s="1"/>
      <c r="Y990" s="1"/>
      <c r="Z990" s="1"/>
      <c r="AA990" s="1"/>
      <c r="AB990" s="1"/>
    </row>
    <row r="991" spans="1:28" ht="11.25" customHeight="1" x14ac:dyDescent="0.25">
      <c r="A991" s="825"/>
      <c r="B991" s="16"/>
      <c r="C991" s="16"/>
      <c r="D991" s="22"/>
      <c r="E991" s="262"/>
      <c r="F991" s="16"/>
      <c r="G991" s="16"/>
      <c r="H991" s="16"/>
      <c r="I991" s="16"/>
      <c r="J991" s="1"/>
      <c r="K991" s="1"/>
      <c r="L991" s="1"/>
      <c r="M991" s="262"/>
      <c r="N991" s="1"/>
      <c r="O991" s="1"/>
      <c r="P991" s="1"/>
      <c r="Q991" s="1"/>
      <c r="R991" s="1"/>
      <c r="S991" s="1"/>
      <c r="T991" s="1"/>
      <c r="U991" s="1"/>
      <c r="V991" s="1"/>
      <c r="W991" s="1"/>
      <c r="X991" s="1"/>
      <c r="Y991" s="1"/>
      <c r="Z991" s="1"/>
      <c r="AA991" s="1"/>
      <c r="AB991" s="1"/>
    </row>
    <row r="992" spans="1:28" ht="11.25" customHeight="1" x14ac:dyDescent="0.25">
      <c r="A992" s="825"/>
      <c r="B992" s="16"/>
      <c r="C992" s="16"/>
      <c r="D992" s="22"/>
      <c r="E992" s="262"/>
      <c r="F992" s="16"/>
      <c r="G992" s="16"/>
      <c r="H992" s="16"/>
      <c r="I992" s="16"/>
      <c r="J992" s="1"/>
      <c r="K992" s="1"/>
      <c r="L992" s="1"/>
      <c r="M992" s="262"/>
      <c r="N992" s="1"/>
      <c r="O992" s="1"/>
      <c r="P992" s="1"/>
      <c r="Q992" s="1"/>
      <c r="R992" s="1"/>
      <c r="S992" s="1"/>
      <c r="T992" s="1"/>
      <c r="U992" s="1"/>
      <c r="V992" s="1"/>
      <c r="W992" s="1"/>
      <c r="X992" s="1"/>
      <c r="Y992" s="1"/>
      <c r="Z992" s="1"/>
      <c r="AA992" s="1"/>
      <c r="AB992" s="1"/>
    </row>
    <row r="993" spans="1:28" ht="11.25" customHeight="1" x14ac:dyDescent="0.25">
      <c r="A993" s="825"/>
      <c r="B993" s="16"/>
      <c r="C993" s="16"/>
      <c r="D993" s="22"/>
      <c r="E993" s="262"/>
      <c r="F993" s="16"/>
      <c r="G993" s="16"/>
      <c r="H993" s="16"/>
      <c r="I993" s="16"/>
      <c r="J993" s="1"/>
      <c r="K993" s="1"/>
      <c r="L993" s="1"/>
      <c r="M993" s="262"/>
      <c r="N993" s="1"/>
      <c r="O993" s="1"/>
      <c r="P993" s="1"/>
      <c r="Q993" s="1"/>
      <c r="R993" s="1"/>
      <c r="S993" s="1"/>
      <c r="T993" s="1"/>
      <c r="U993" s="1"/>
      <c r="V993" s="1"/>
      <c r="W993" s="1"/>
      <c r="X993" s="1"/>
      <c r="Y993" s="1"/>
      <c r="Z993" s="1"/>
      <c r="AA993" s="1"/>
      <c r="AB993" s="1"/>
    </row>
    <row r="994" spans="1:28" ht="11.25" customHeight="1" x14ac:dyDescent="0.25">
      <c r="A994" s="825"/>
      <c r="B994" s="16"/>
      <c r="C994" s="16"/>
      <c r="D994" s="22"/>
      <c r="E994" s="262"/>
      <c r="F994" s="16"/>
      <c r="G994" s="16"/>
      <c r="H994" s="16"/>
      <c r="I994" s="16"/>
      <c r="J994" s="1"/>
      <c r="K994" s="1"/>
      <c r="L994" s="1"/>
      <c r="M994" s="262"/>
      <c r="N994" s="1"/>
      <c r="O994" s="1"/>
      <c r="P994" s="1"/>
      <c r="Q994" s="1"/>
      <c r="R994" s="1"/>
      <c r="S994" s="1"/>
      <c r="T994" s="1"/>
      <c r="U994" s="1"/>
      <c r="V994" s="1"/>
      <c r="W994" s="1"/>
      <c r="X994" s="1"/>
      <c r="Y994" s="1"/>
      <c r="Z994" s="1"/>
      <c r="AA994" s="1"/>
      <c r="AB994" s="1"/>
    </row>
    <row r="995" spans="1:28" ht="11.25" customHeight="1" x14ac:dyDescent="0.25">
      <c r="A995" s="825"/>
      <c r="B995" s="16"/>
      <c r="C995" s="16"/>
      <c r="D995" s="22"/>
      <c r="E995" s="262"/>
      <c r="F995" s="16"/>
      <c r="G995" s="16"/>
      <c r="H995" s="16"/>
      <c r="I995" s="16"/>
      <c r="J995" s="1"/>
      <c r="K995" s="1"/>
      <c r="L995" s="1"/>
      <c r="M995" s="262"/>
      <c r="N995" s="1"/>
      <c r="O995" s="1"/>
      <c r="P995" s="1"/>
      <c r="Q995" s="1"/>
      <c r="R995" s="1"/>
      <c r="S995" s="1"/>
      <c r="T995" s="1"/>
      <c r="U995" s="1"/>
      <c r="V995" s="1"/>
      <c r="W995" s="1"/>
      <c r="X995" s="1"/>
      <c r="Y995" s="1"/>
      <c r="Z995" s="1"/>
      <c r="AA995" s="1"/>
      <c r="AB995" s="1"/>
    </row>
    <row r="996" spans="1:28" ht="11.25" customHeight="1" x14ac:dyDescent="0.25">
      <c r="A996" s="825"/>
      <c r="B996" s="16"/>
      <c r="C996" s="16"/>
      <c r="D996" s="22"/>
      <c r="E996" s="262"/>
      <c r="F996" s="16"/>
      <c r="G996" s="16"/>
      <c r="H996" s="16"/>
      <c r="I996" s="16"/>
      <c r="J996" s="1"/>
      <c r="K996" s="1"/>
      <c r="L996" s="1"/>
      <c r="M996" s="262"/>
      <c r="N996" s="1"/>
      <c r="O996" s="1"/>
      <c r="P996" s="1"/>
      <c r="Q996" s="1"/>
      <c r="R996" s="1"/>
      <c r="S996" s="1"/>
      <c r="T996" s="1"/>
      <c r="U996" s="1"/>
      <c r="V996" s="1"/>
      <c r="W996" s="1"/>
      <c r="X996" s="1"/>
      <c r="Y996" s="1"/>
      <c r="Z996" s="1"/>
      <c r="AA996" s="1"/>
      <c r="AB996" s="1"/>
    </row>
    <row r="997" spans="1:28" ht="11.25" customHeight="1" x14ac:dyDescent="0.25">
      <c r="A997" s="825"/>
      <c r="B997" s="16"/>
      <c r="C997" s="16"/>
      <c r="D997" s="22"/>
      <c r="E997" s="262"/>
      <c r="F997" s="16"/>
      <c r="G997" s="16"/>
      <c r="H997" s="16"/>
      <c r="I997" s="16"/>
      <c r="J997" s="1"/>
      <c r="K997" s="1"/>
      <c r="L997" s="1"/>
      <c r="M997" s="262"/>
      <c r="N997" s="1"/>
      <c r="O997" s="1"/>
      <c r="P997" s="1"/>
      <c r="Q997" s="1"/>
      <c r="R997" s="1"/>
      <c r="S997" s="1"/>
      <c r="T997" s="1"/>
      <c r="U997" s="1"/>
      <c r="V997" s="1"/>
      <c r="W997" s="1"/>
      <c r="X997" s="1"/>
      <c r="Y997" s="1"/>
      <c r="Z997" s="1"/>
      <c r="AA997" s="1"/>
      <c r="AB997" s="1"/>
    </row>
    <row r="998" spans="1:28" ht="11.25" customHeight="1" x14ac:dyDescent="0.25">
      <c r="A998" s="825"/>
      <c r="B998" s="16"/>
      <c r="C998" s="16"/>
      <c r="D998" s="22"/>
      <c r="E998" s="262"/>
      <c r="F998" s="16"/>
      <c r="G998" s="16"/>
      <c r="H998" s="16"/>
      <c r="I998" s="16"/>
      <c r="J998" s="1"/>
      <c r="K998" s="1"/>
      <c r="L998" s="1"/>
      <c r="M998" s="262"/>
      <c r="N998" s="1"/>
      <c r="O998" s="1"/>
      <c r="P998" s="1"/>
      <c r="Q998" s="1"/>
      <c r="R998" s="1"/>
      <c r="S998" s="1"/>
      <c r="T998" s="1"/>
      <c r="U998" s="1"/>
      <c r="V998" s="1"/>
      <c r="W998" s="1"/>
      <c r="X998" s="1"/>
      <c r="Y998" s="1"/>
      <c r="Z998" s="1"/>
      <c r="AA998" s="1"/>
      <c r="AB998" s="1"/>
    </row>
    <row r="999" spans="1:28" ht="11.25" customHeight="1" x14ac:dyDescent="0.25">
      <c r="A999" s="825"/>
      <c r="B999" s="16"/>
      <c r="C999" s="16"/>
      <c r="D999" s="22"/>
      <c r="E999" s="262"/>
      <c r="F999" s="16"/>
      <c r="G999" s="16"/>
      <c r="H999" s="16"/>
      <c r="I999" s="16"/>
      <c r="J999" s="1"/>
      <c r="K999" s="1"/>
      <c r="L999" s="1"/>
      <c r="M999" s="262"/>
      <c r="N999" s="1"/>
      <c r="O999" s="1"/>
      <c r="P999" s="1"/>
      <c r="Q999" s="1"/>
      <c r="R999" s="1"/>
      <c r="S999" s="1"/>
      <c r="T999" s="1"/>
      <c r="U999" s="1"/>
      <c r="V999" s="1"/>
      <c r="W999" s="1"/>
      <c r="X999" s="1"/>
      <c r="Y999" s="1"/>
      <c r="Z999" s="1"/>
      <c r="AA999" s="1"/>
      <c r="AB999" s="1"/>
    </row>
    <row r="1000" spans="1:28" ht="11.25" customHeight="1" x14ac:dyDescent="0.25">
      <c r="A1000" s="825"/>
      <c r="B1000" s="16"/>
      <c r="C1000" s="16"/>
      <c r="D1000" s="22"/>
      <c r="E1000" s="262"/>
      <c r="F1000" s="16"/>
      <c r="G1000" s="16"/>
      <c r="H1000" s="16"/>
      <c r="I1000" s="16"/>
      <c r="J1000" s="1"/>
      <c r="K1000" s="1"/>
      <c r="L1000" s="1"/>
      <c r="M1000" s="262"/>
      <c r="N1000" s="1"/>
      <c r="O1000" s="1"/>
      <c r="P1000" s="1"/>
      <c r="Q1000" s="1"/>
      <c r="R1000" s="1"/>
      <c r="S1000" s="1"/>
      <c r="T1000" s="1"/>
      <c r="U1000" s="1"/>
      <c r="V1000" s="1"/>
      <c r="W1000" s="1"/>
      <c r="X1000" s="1"/>
      <c r="Y1000" s="1"/>
      <c r="Z1000" s="1"/>
      <c r="AA1000" s="1"/>
      <c r="AB1000" s="1"/>
    </row>
    <row r="1001" spans="1:28" ht="11.25" customHeight="1" x14ac:dyDescent="0.25">
      <c r="A1001" s="825"/>
      <c r="B1001" s="16"/>
      <c r="C1001" s="16"/>
      <c r="D1001" s="22"/>
      <c r="E1001" s="262"/>
      <c r="F1001" s="16"/>
      <c r="G1001" s="16"/>
      <c r="H1001" s="16"/>
      <c r="I1001" s="16"/>
      <c r="J1001" s="1"/>
      <c r="K1001" s="1"/>
      <c r="L1001" s="1"/>
      <c r="M1001" s="262"/>
      <c r="N1001" s="1"/>
      <c r="O1001" s="1"/>
      <c r="P1001" s="1"/>
      <c r="Q1001" s="1"/>
      <c r="R1001" s="1"/>
      <c r="S1001" s="1"/>
      <c r="T1001" s="1"/>
      <c r="U1001" s="1"/>
      <c r="V1001" s="1"/>
      <c r="W1001" s="1"/>
      <c r="X1001" s="1"/>
      <c r="Y1001" s="1"/>
      <c r="Z1001" s="1"/>
      <c r="AA1001" s="1"/>
      <c r="AB1001" s="1"/>
    </row>
    <row r="1002" spans="1:28" ht="11.25" customHeight="1" x14ac:dyDescent="0.25">
      <c r="A1002" s="825"/>
      <c r="B1002" s="16"/>
      <c r="C1002" s="16"/>
      <c r="D1002" s="22"/>
      <c r="E1002" s="262"/>
      <c r="F1002" s="16"/>
      <c r="G1002" s="16"/>
      <c r="H1002" s="16"/>
      <c r="I1002" s="16"/>
      <c r="J1002" s="1"/>
      <c r="K1002" s="1"/>
      <c r="L1002" s="1"/>
      <c r="M1002" s="262"/>
      <c r="N1002" s="1"/>
      <c r="O1002" s="1"/>
      <c r="P1002" s="1"/>
      <c r="Q1002" s="1"/>
      <c r="R1002" s="1"/>
      <c r="S1002" s="1"/>
      <c r="T1002" s="1"/>
      <c r="U1002" s="1"/>
      <c r="V1002" s="1"/>
      <c r="W1002" s="1"/>
      <c r="X1002" s="1"/>
      <c r="Y1002" s="1"/>
      <c r="Z1002" s="1"/>
      <c r="AA1002" s="1"/>
      <c r="AB1002" s="1"/>
    </row>
    <row r="1003" spans="1:28" ht="11.25" customHeight="1" x14ac:dyDescent="0.25">
      <c r="A1003" s="825"/>
      <c r="B1003" s="16"/>
      <c r="C1003" s="16"/>
      <c r="D1003" s="22"/>
      <c r="E1003" s="262"/>
      <c r="F1003" s="16"/>
      <c r="G1003" s="16"/>
      <c r="H1003" s="16"/>
      <c r="I1003" s="16"/>
      <c r="J1003" s="1"/>
      <c r="K1003" s="1"/>
      <c r="L1003" s="1"/>
      <c r="M1003" s="262"/>
      <c r="N1003" s="1"/>
      <c r="O1003" s="1"/>
      <c r="P1003" s="1"/>
      <c r="Q1003" s="1"/>
      <c r="R1003" s="1"/>
      <c r="S1003" s="1"/>
      <c r="T1003" s="1"/>
      <c r="U1003" s="1"/>
      <c r="V1003" s="1"/>
      <c r="W1003" s="1"/>
      <c r="X1003" s="1"/>
      <c r="Y1003" s="1"/>
      <c r="Z1003" s="1"/>
      <c r="AA1003" s="1"/>
      <c r="AB1003" s="1"/>
    </row>
    <row r="1004" spans="1:28" ht="11.25" customHeight="1" x14ac:dyDescent="0.25">
      <c r="A1004" s="825"/>
      <c r="B1004" s="16"/>
      <c r="C1004" s="16"/>
      <c r="D1004" s="22"/>
      <c r="E1004" s="262"/>
      <c r="F1004" s="16"/>
      <c r="G1004" s="16"/>
      <c r="H1004" s="16"/>
      <c r="I1004" s="16"/>
      <c r="J1004" s="1"/>
      <c r="K1004" s="1"/>
      <c r="L1004" s="1"/>
      <c r="M1004" s="262"/>
      <c r="N1004" s="1"/>
      <c r="O1004" s="1"/>
      <c r="P1004" s="1"/>
      <c r="Q1004" s="1"/>
      <c r="R1004" s="1"/>
      <c r="S1004" s="1"/>
      <c r="T1004" s="1"/>
      <c r="U1004" s="1"/>
      <c r="V1004" s="1"/>
      <c r="W1004" s="1"/>
      <c r="X1004" s="1"/>
      <c r="Y1004" s="1"/>
      <c r="Z1004" s="1"/>
      <c r="AA1004" s="1"/>
      <c r="AB1004" s="1"/>
    </row>
    <row r="1005" spans="1:28" ht="11.25" customHeight="1" x14ac:dyDescent="0.25">
      <c r="A1005" s="825"/>
      <c r="B1005" s="16"/>
      <c r="C1005" s="16"/>
      <c r="D1005" s="22"/>
      <c r="E1005" s="262"/>
      <c r="F1005" s="16"/>
      <c r="G1005" s="16"/>
      <c r="H1005" s="16"/>
      <c r="I1005" s="16"/>
      <c r="J1005" s="1"/>
      <c r="K1005" s="1"/>
      <c r="L1005" s="1"/>
      <c r="M1005" s="262"/>
      <c r="N1005" s="1"/>
      <c r="O1005" s="1"/>
      <c r="P1005" s="1"/>
      <c r="Q1005" s="1"/>
      <c r="R1005" s="1"/>
      <c r="S1005" s="1"/>
      <c r="T1005" s="1"/>
      <c r="U1005" s="1"/>
      <c r="V1005" s="1"/>
      <c r="W1005" s="1"/>
      <c r="X1005" s="1"/>
      <c r="Y1005" s="1"/>
      <c r="Z1005" s="1"/>
      <c r="AA1005" s="1"/>
      <c r="AB1005" s="1"/>
    </row>
    <row r="1006" spans="1:28" ht="11.25" customHeight="1" x14ac:dyDescent="0.25">
      <c r="A1006" s="825"/>
      <c r="B1006" s="16"/>
      <c r="C1006" s="16"/>
      <c r="D1006" s="22"/>
      <c r="E1006" s="262"/>
      <c r="F1006" s="16"/>
      <c r="G1006" s="16"/>
      <c r="H1006" s="16"/>
      <c r="I1006" s="16"/>
      <c r="J1006" s="1"/>
      <c r="K1006" s="1"/>
      <c r="L1006" s="1"/>
      <c r="M1006" s="262"/>
      <c r="N1006" s="1"/>
      <c r="O1006" s="1"/>
      <c r="P1006" s="1"/>
      <c r="Q1006" s="1"/>
      <c r="R1006" s="1"/>
      <c r="S1006" s="1"/>
      <c r="T1006" s="1"/>
      <c r="U1006" s="1"/>
      <c r="V1006" s="1"/>
      <c r="W1006" s="1"/>
      <c r="X1006" s="1"/>
      <c r="Y1006" s="1"/>
      <c r="Z1006" s="1"/>
      <c r="AA1006" s="1"/>
      <c r="AB1006" s="1"/>
    </row>
    <row r="1007" spans="1:28" ht="11.25" customHeight="1" x14ac:dyDescent="0.25">
      <c r="A1007" s="825"/>
      <c r="B1007" s="16"/>
      <c r="C1007" s="16"/>
      <c r="D1007" s="22"/>
      <c r="E1007" s="262"/>
      <c r="F1007" s="16"/>
      <c r="G1007" s="16"/>
      <c r="H1007" s="16"/>
      <c r="I1007" s="16"/>
      <c r="J1007" s="1"/>
      <c r="K1007" s="1"/>
      <c r="L1007" s="1"/>
      <c r="M1007" s="262"/>
      <c r="N1007" s="1"/>
      <c r="O1007" s="1"/>
      <c r="P1007" s="1"/>
      <c r="Q1007" s="1"/>
      <c r="R1007" s="1"/>
      <c r="S1007" s="1"/>
      <c r="T1007" s="1"/>
      <c r="U1007" s="1"/>
      <c r="V1007" s="1"/>
      <c r="W1007" s="1"/>
      <c r="X1007" s="1"/>
      <c r="Y1007" s="1"/>
      <c r="Z1007" s="1"/>
      <c r="AA1007" s="1"/>
      <c r="AB1007" s="1"/>
    </row>
    <row r="1008" spans="1:28" ht="11.25" customHeight="1" x14ac:dyDescent="0.25">
      <c r="A1008" s="825"/>
      <c r="B1008" s="16"/>
      <c r="C1008" s="16"/>
      <c r="D1008" s="22"/>
      <c r="E1008" s="262"/>
      <c r="F1008" s="16"/>
      <c r="G1008" s="16"/>
      <c r="H1008" s="16"/>
      <c r="I1008" s="16"/>
      <c r="J1008" s="1"/>
      <c r="K1008" s="1"/>
      <c r="L1008" s="1"/>
      <c r="M1008" s="262"/>
      <c r="N1008" s="1"/>
      <c r="O1008" s="1"/>
      <c r="P1008" s="1"/>
      <c r="Q1008" s="1"/>
      <c r="R1008" s="1"/>
      <c r="S1008" s="1"/>
      <c r="T1008" s="1"/>
      <c r="U1008" s="1"/>
      <c r="V1008" s="1"/>
      <c r="W1008" s="1"/>
      <c r="X1008" s="1"/>
      <c r="Y1008" s="1"/>
      <c r="Z1008" s="1"/>
      <c r="AA1008" s="1"/>
      <c r="AB1008" s="1"/>
    </row>
    <row r="1009" spans="1:28" ht="11.25" customHeight="1" x14ac:dyDescent="0.25">
      <c r="A1009" s="825"/>
      <c r="B1009" s="16"/>
      <c r="C1009" s="16"/>
      <c r="D1009" s="22"/>
      <c r="E1009" s="262"/>
      <c r="F1009" s="16"/>
      <c r="G1009" s="16"/>
      <c r="H1009" s="16"/>
      <c r="I1009" s="16"/>
      <c r="J1009" s="1"/>
      <c r="K1009" s="1"/>
      <c r="L1009" s="1"/>
      <c r="M1009" s="262"/>
      <c r="N1009" s="1"/>
      <c r="O1009" s="1"/>
      <c r="P1009" s="1"/>
      <c r="Q1009" s="1"/>
      <c r="R1009" s="1"/>
      <c r="S1009" s="1"/>
      <c r="T1009" s="1"/>
      <c r="U1009" s="1"/>
      <c r="V1009" s="1"/>
      <c r="W1009" s="1"/>
      <c r="X1009" s="1"/>
      <c r="Y1009" s="1"/>
      <c r="Z1009" s="1"/>
      <c r="AA1009" s="1"/>
      <c r="AB1009" s="1"/>
    </row>
    <row r="1010" spans="1:28" ht="11.25" customHeight="1" x14ac:dyDescent="0.25">
      <c r="A1010" s="825"/>
      <c r="B1010" s="16"/>
      <c r="C1010" s="16"/>
      <c r="D1010" s="22"/>
      <c r="E1010" s="262"/>
      <c r="F1010" s="16"/>
      <c r="G1010" s="16"/>
      <c r="H1010" s="16"/>
      <c r="I1010" s="16"/>
      <c r="J1010" s="1"/>
      <c r="K1010" s="1"/>
      <c r="L1010" s="1"/>
      <c r="M1010" s="262"/>
      <c r="N1010" s="1"/>
      <c r="O1010" s="1"/>
      <c r="P1010" s="1"/>
      <c r="Q1010" s="1"/>
      <c r="R1010" s="1"/>
      <c r="S1010" s="1"/>
      <c r="T1010" s="1"/>
      <c r="U1010" s="1"/>
      <c r="V1010" s="1"/>
      <c r="W1010" s="1"/>
      <c r="X1010" s="1"/>
      <c r="Y1010" s="1"/>
      <c r="Z1010" s="1"/>
      <c r="AA1010" s="1"/>
      <c r="AB1010" s="1"/>
    </row>
    <row r="1011" spans="1:28" ht="11.25" customHeight="1" x14ac:dyDescent="0.25">
      <c r="A1011" s="825"/>
      <c r="B1011" s="16"/>
      <c r="C1011" s="16"/>
      <c r="D1011" s="22"/>
      <c r="E1011" s="262"/>
      <c r="F1011" s="16"/>
      <c r="G1011" s="16"/>
      <c r="H1011" s="16"/>
      <c r="I1011" s="16"/>
      <c r="J1011" s="1"/>
      <c r="K1011" s="1"/>
      <c r="L1011" s="1"/>
      <c r="M1011" s="262"/>
      <c r="N1011" s="1"/>
      <c r="O1011" s="1"/>
      <c r="P1011" s="1"/>
      <c r="Q1011" s="1"/>
      <c r="R1011" s="1"/>
      <c r="S1011" s="1"/>
      <c r="T1011" s="1"/>
      <c r="U1011" s="1"/>
      <c r="V1011" s="1"/>
      <c r="W1011" s="1"/>
      <c r="X1011" s="1"/>
      <c r="Y1011" s="1"/>
      <c r="Z1011" s="1"/>
      <c r="AA1011" s="1"/>
      <c r="AB1011" s="1"/>
    </row>
    <row r="1012" spans="1:28" ht="11.25" customHeight="1" x14ac:dyDescent="0.25">
      <c r="A1012" s="825"/>
      <c r="B1012" s="16"/>
      <c r="C1012" s="16"/>
      <c r="D1012" s="22"/>
      <c r="E1012" s="262"/>
      <c r="F1012" s="16"/>
      <c r="G1012" s="16"/>
      <c r="H1012" s="16"/>
      <c r="I1012" s="16"/>
      <c r="J1012" s="1"/>
      <c r="K1012" s="1"/>
      <c r="L1012" s="1"/>
      <c r="M1012" s="262"/>
      <c r="N1012" s="1"/>
      <c r="O1012" s="1"/>
      <c r="P1012" s="1"/>
      <c r="Q1012" s="1"/>
      <c r="R1012" s="1"/>
      <c r="S1012" s="1"/>
      <c r="T1012" s="1"/>
      <c r="U1012" s="1"/>
      <c r="V1012" s="1"/>
      <c r="W1012" s="1"/>
      <c r="X1012" s="1"/>
      <c r="Y1012" s="1"/>
      <c r="Z1012" s="1"/>
      <c r="AA1012" s="1"/>
      <c r="AB1012" s="1"/>
    </row>
    <row r="1013" spans="1:28" ht="11.25" customHeight="1" x14ac:dyDescent="0.25">
      <c r="A1013" s="825"/>
      <c r="B1013" s="16"/>
      <c r="C1013" s="16"/>
      <c r="D1013" s="22"/>
      <c r="E1013" s="262"/>
      <c r="F1013" s="16"/>
      <c r="G1013" s="16"/>
      <c r="H1013" s="16"/>
      <c r="I1013" s="16"/>
      <c r="J1013" s="1"/>
      <c r="K1013" s="1"/>
      <c r="L1013" s="1"/>
      <c r="M1013" s="262"/>
      <c r="N1013" s="1"/>
      <c r="O1013" s="1"/>
      <c r="P1013" s="1"/>
      <c r="Q1013" s="1"/>
      <c r="R1013" s="1"/>
      <c r="S1013" s="1"/>
      <c r="T1013" s="1"/>
      <c r="U1013" s="1"/>
      <c r="V1013" s="1"/>
      <c r="W1013" s="1"/>
      <c r="X1013" s="1"/>
      <c r="Y1013" s="1"/>
      <c r="Z1013" s="1"/>
      <c r="AA1013" s="1"/>
      <c r="AB1013" s="1"/>
    </row>
    <row r="1014" spans="1:28" ht="11.25" customHeight="1" x14ac:dyDescent="0.25">
      <c r="A1014" s="825"/>
      <c r="B1014" s="16"/>
      <c r="C1014" s="16"/>
      <c r="D1014" s="22"/>
      <c r="E1014" s="262"/>
      <c r="F1014" s="16"/>
      <c r="G1014" s="16"/>
      <c r="H1014" s="16"/>
      <c r="I1014" s="16"/>
      <c r="J1014" s="1"/>
      <c r="K1014" s="1"/>
      <c r="L1014" s="1"/>
      <c r="M1014" s="262"/>
      <c r="N1014" s="1"/>
      <c r="O1014" s="1"/>
      <c r="P1014" s="1"/>
      <c r="Q1014" s="1"/>
      <c r="R1014" s="1"/>
      <c r="S1014" s="1"/>
      <c r="T1014" s="1"/>
      <c r="U1014" s="1"/>
      <c r="V1014" s="1"/>
      <c r="W1014" s="1"/>
      <c r="X1014" s="1"/>
      <c r="Y1014" s="1"/>
      <c r="Z1014" s="1"/>
      <c r="AA1014" s="1"/>
      <c r="AB1014" s="1"/>
    </row>
    <row r="1015" spans="1:28" ht="11.25" customHeight="1" x14ac:dyDescent="0.25">
      <c r="A1015" s="825"/>
      <c r="B1015" s="16"/>
      <c r="C1015" s="16"/>
      <c r="D1015" s="22"/>
      <c r="E1015" s="262"/>
      <c r="F1015" s="16"/>
      <c r="G1015" s="16"/>
      <c r="H1015" s="16"/>
      <c r="I1015" s="16"/>
      <c r="J1015" s="1"/>
      <c r="K1015" s="1"/>
      <c r="L1015" s="1"/>
      <c r="M1015" s="262"/>
      <c r="N1015" s="1"/>
      <c r="O1015" s="1"/>
      <c r="P1015" s="1"/>
      <c r="Q1015" s="1"/>
      <c r="R1015" s="1"/>
      <c r="S1015" s="1"/>
      <c r="T1015" s="1"/>
      <c r="U1015" s="1"/>
      <c r="V1015" s="1"/>
      <c r="W1015" s="1"/>
      <c r="X1015" s="1"/>
      <c r="Y1015" s="1"/>
      <c r="Z1015" s="1"/>
      <c r="AA1015" s="1"/>
      <c r="AB1015" s="1"/>
    </row>
    <row r="1016" spans="1:28" ht="11.25" customHeight="1" x14ac:dyDescent="0.25">
      <c r="A1016" s="825"/>
      <c r="B1016" s="16"/>
      <c r="C1016" s="16"/>
      <c r="D1016" s="22"/>
      <c r="E1016" s="262"/>
      <c r="F1016" s="16"/>
      <c r="G1016" s="16"/>
      <c r="H1016" s="16"/>
      <c r="I1016" s="16"/>
      <c r="J1016" s="1"/>
      <c r="K1016" s="1"/>
      <c r="L1016" s="1"/>
      <c r="M1016" s="262"/>
      <c r="N1016" s="1"/>
      <c r="O1016" s="1"/>
      <c r="P1016" s="1"/>
      <c r="Q1016" s="1"/>
      <c r="R1016" s="1"/>
      <c r="S1016" s="1"/>
      <c r="T1016" s="1"/>
      <c r="U1016" s="1"/>
      <c r="V1016" s="1"/>
      <c r="W1016" s="1"/>
      <c r="X1016" s="1"/>
      <c r="Y1016" s="1"/>
      <c r="Z1016" s="1"/>
      <c r="AA1016" s="1"/>
      <c r="AB1016" s="1"/>
    </row>
    <row r="1017" spans="1:28" ht="11.25" customHeight="1" x14ac:dyDescent="0.25">
      <c r="A1017" s="825"/>
      <c r="B1017" s="16"/>
      <c r="C1017" s="16"/>
      <c r="D1017" s="22"/>
      <c r="E1017" s="262"/>
      <c r="F1017" s="16"/>
      <c r="G1017" s="16"/>
      <c r="H1017" s="16"/>
      <c r="I1017" s="16"/>
      <c r="J1017" s="1"/>
      <c r="K1017" s="1"/>
      <c r="L1017" s="1"/>
      <c r="M1017" s="262"/>
      <c r="N1017" s="1"/>
      <c r="O1017" s="1"/>
      <c r="P1017" s="1"/>
      <c r="Q1017" s="1"/>
      <c r="R1017" s="1"/>
      <c r="S1017" s="1"/>
      <c r="T1017" s="1"/>
      <c r="U1017" s="1"/>
      <c r="V1017" s="1"/>
      <c r="W1017" s="1"/>
      <c r="X1017" s="1"/>
      <c r="Y1017" s="1"/>
      <c r="Z1017" s="1"/>
      <c r="AA1017" s="1"/>
      <c r="AB1017" s="1"/>
    </row>
    <row r="1018" spans="1:28" ht="11.25" customHeight="1" x14ac:dyDescent="0.25">
      <c r="A1018" s="825"/>
      <c r="B1018" s="16"/>
      <c r="C1018" s="16"/>
      <c r="D1018" s="22"/>
      <c r="E1018" s="262"/>
      <c r="F1018" s="16"/>
      <c r="G1018" s="16"/>
      <c r="H1018" s="16"/>
      <c r="I1018" s="16"/>
      <c r="J1018" s="1"/>
      <c r="K1018" s="1"/>
      <c r="L1018" s="1"/>
      <c r="M1018" s="262"/>
      <c r="N1018" s="1"/>
      <c r="O1018" s="1"/>
      <c r="P1018" s="1"/>
      <c r="Q1018" s="1"/>
      <c r="R1018" s="1"/>
      <c r="S1018" s="1"/>
      <c r="T1018" s="1"/>
      <c r="U1018" s="1"/>
      <c r="V1018" s="1"/>
      <c r="W1018" s="1"/>
      <c r="X1018" s="1"/>
      <c r="Y1018" s="1"/>
      <c r="Z1018" s="1"/>
      <c r="AA1018" s="1"/>
      <c r="AB1018" s="1"/>
    </row>
    <row r="1019" spans="1:28" ht="11.25" customHeight="1" x14ac:dyDescent="0.25">
      <c r="A1019" s="825"/>
      <c r="B1019" s="16"/>
      <c r="C1019" s="16"/>
      <c r="D1019" s="22"/>
      <c r="E1019" s="262"/>
      <c r="F1019" s="16"/>
      <c r="G1019" s="16"/>
      <c r="H1019" s="16"/>
      <c r="I1019" s="16"/>
      <c r="J1019" s="1"/>
      <c r="K1019" s="1"/>
      <c r="L1019" s="1"/>
      <c r="M1019" s="262"/>
      <c r="N1019" s="1"/>
      <c r="O1019" s="1"/>
      <c r="P1019" s="1"/>
      <c r="Q1019" s="1"/>
      <c r="R1019" s="1"/>
      <c r="S1019" s="1"/>
      <c r="T1019" s="1"/>
      <c r="U1019" s="1"/>
      <c r="V1019" s="1"/>
      <c r="W1019" s="1"/>
      <c r="X1019" s="1"/>
      <c r="Y1019" s="1"/>
      <c r="Z1019" s="1"/>
      <c r="AA1019" s="1"/>
      <c r="AB1019" s="1"/>
    </row>
    <row r="1020" spans="1:28" ht="11.25" customHeight="1" x14ac:dyDescent="0.25">
      <c r="A1020" s="825"/>
      <c r="B1020" s="16"/>
      <c r="C1020" s="16"/>
      <c r="D1020" s="22"/>
      <c r="E1020" s="262"/>
      <c r="F1020" s="16"/>
      <c r="G1020" s="16"/>
      <c r="H1020" s="16"/>
      <c r="I1020" s="16"/>
      <c r="J1020" s="1"/>
      <c r="K1020" s="1"/>
      <c r="L1020" s="1"/>
      <c r="M1020" s="262"/>
      <c r="N1020" s="1"/>
      <c r="O1020" s="1"/>
      <c r="P1020" s="1"/>
      <c r="Q1020" s="1"/>
      <c r="R1020" s="1"/>
      <c r="S1020" s="1"/>
      <c r="T1020" s="1"/>
      <c r="U1020" s="1"/>
      <c r="V1020" s="1"/>
      <c r="W1020" s="1"/>
      <c r="X1020" s="1"/>
      <c r="Y1020" s="1"/>
      <c r="Z1020" s="1"/>
      <c r="AA1020" s="1"/>
      <c r="AB1020" s="1"/>
    </row>
    <row r="1021" spans="1:28" ht="11.25" customHeight="1" x14ac:dyDescent="0.25">
      <c r="A1021" s="825"/>
      <c r="B1021" s="16"/>
      <c r="C1021" s="16"/>
      <c r="D1021" s="22"/>
      <c r="E1021" s="262"/>
      <c r="F1021" s="16"/>
      <c r="G1021" s="16"/>
      <c r="H1021" s="16"/>
      <c r="I1021" s="16"/>
      <c r="J1021" s="1"/>
      <c r="K1021" s="1"/>
      <c r="L1021" s="1"/>
      <c r="M1021" s="262"/>
      <c r="N1021" s="1"/>
      <c r="O1021" s="1"/>
      <c r="P1021" s="1"/>
      <c r="Q1021" s="1"/>
      <c r="R1021" s="1"/>
      <c r="S1021" s="1"/>
      <c r="T1021" s="1"/>
      <c r="U1021" s="1"/>
      <c r="V1021" s="1"/>
      <c r="W1021" s="1"/>
      <c r="X1021" s="1"/>
      <c r="Y1021" s="1"/>
      <c r="Z1021" s="1"/>
      <c r="AA1021" s="1"/>
      <c r="AB1021" s="1"/>
    </row>
    <row r="1022" spans="1:28" ht="11.25" customHeight="1" x14ac:dyDescent="0.25">
      <c r="A1022" s="825"/>
      <c r="B1022" s="16"/>
      <c r="C1022" s="16"/>
      <c r="D1022" s="22"/>
      <c r="E1022" s="262"/>
      <c r="F1022" s="16"/>
      <c r="G1022" s="16"/>
      <c r="H1022" s="16"/>
      <c r="I1022" s="16"/>
      <c r="J1022" s="1"/>
      <c r="K1022" s="1"/>
      <c r="L1022" s="1"/>
      <c r="M1022" s="262"/>
      <c r="N1022" s="1"/>
      <c r="O1022" s="1"/>
      <c r="P1022" s="1"/>
      <c r="Q1022" s="1"/>
      <c r="R1022" s="1"/>
      <c r="S1022" s="1"/>
      <c r="T1022" s="1"/>
      <c r="U1022" s="1"/>
      <c r="V1022" s="1"/>
      <c r="W1022" s="1"/>
      <c r="X1022" s="1"/>
      <c r="Y1022" s="1"/>
      <c r="Z1022" s="1"/>
      <c r="AA1022" s="1"/>
      <c r="AB1022" s="1"/>
    </row>
    <row r="1023" spans="1:28" ht="11.25" customHeight="1" x14ac:dyDescent="0.25">
      <c r="A1023" s="825"/>
      <c r="B1023" s="16"/>
      <c r="C1023" s="16"/>
      <c r="D1023" s="22"/>
      <c r="E1023" s="262"/>
      <c r="F1023" s="16"/>
      <c r="G1023" s="16"/>
      <c r="H1023" s="16"/>
      <c r="I1023" s="16"/>
      <c r="J1023" s="1"/>
      <c r="K1023" s="1"/>
      <c r="L1023" s="1"/>
      <c r="M1023" s="262"/>
      <c r="N1023" s="1"/>
      <c r="O1023" s="1"/>
      <c r="P1023" s="1"/>
      <c r="Q1023" s="1"/>
      <c r="R1023" s="1"/>
      <c r="S1023" s="1"/>
      <c r="T1023" s="1"/>
      <c r="U1023" s="1"/>
      <c r="V1023" s="1"/>
      <c r="W1023" s="1"/>
      <c r="X1023" s="1"/>
      <c r="Y1023" s="1"/>
      <c r="Z1023" s="1"/>
      <c r="AA1023" s="1"/>
      <c r="AB1023" s="1"/>
    </row>
    <row r="1024" spans="1:28" ht="11.25" customHeight="1" x14ac:dyDescent="0.25">
      <c r="A1024" s="825"/>
      <c r="B1024" s="16"/>
      <c r="C1024" s="16"/>
      <c r="D1024" s="22"/>
      <c r="E1024" s="262"/>
      <c r="F1024" s="16"/>
      <c r="G1024" s="16"/>
      <c r="H1024" s="16"/>
      <c r="I1024" s="16"/>
      <c r="J1024" s="1"/>
      <c r="K1024" s="1"/>
      <c r="L1024" s="1"/>
      <c r="M1024" s="262"/>
      <c r="N1024" s="1"/>
      <c r="O1024" s="1"/>
      <c r="P1024" s="1"/>
      <c r="Q1024" s="1"/>
      <c r="R1024" s="1"/>
      <c r="S1024" s="1"/>
      <c r="T1024" s="1"/>
      <c r="U1024" s="1"/>
      <c r="V1024" s="1"/>
      <c r="W1024" s="1"/>
      <c r="X1024" s="1"/>
      <c r="Y1024" s="1"/>
      <c r="Z1024" s="1"/>
      <c r="AA1024" s="1"/>
      <c r="AB1024" s="1"/>
    </row>
    <row r="1025" spans="1:28" ht="11.25" customHeight="1" x14ac:dyDescent="0.25">
      <c r="A1025" s="825"/>
      <c r="B1025" s="16"/>
      <c r="C1025" s="16"/>
      <c r="D1025" s="22"/>
      <c r="E1025" s="262"/>
      <c r="F1025" s="16"/>
      <c r="G1025" s="16"/>
      <c r="H1025" s="16"/>
      <c r="I1025" s="16"/>
      <c r="J1025" s="1"/>
      <c r="K1025" s="1"/>
      <c r="L1025" s="1"/>
      <c r="M1025" s="262"/>
      <c r="N1025" s="1"/>
      <c r="O1025" s="1"/>
      <c r="P1025" s="1"/>
      <c r="Q1025" s="1"/>
      <c r="R1025" s="1"/>
      <c r="S1025" s="1"/>
      <c r="T1025" s="1"/>
      <c r="U1025" s="1"/>
      <c r="V1025" s="1"/>
      <c r="W1025" s="1"/>
      <c r="X1025" s="1"/>
      <c r="Y1025" s="1"/>
      <c r="Z1025" s="1"/>
      <c r="AA1025" s="1"/>
      <c r="AB1025" s="1"/>
    </row>
    <row r="1026" spans="1:28" ht="11.25" customHeight="1" x14ac:dyDescent="0.25">
      <c r="A1026" s="825"/>
      <c r="B1026" s="16"/>
      <c r="C1026" s="16"/>
      <c r="D1026" s="22"/>
      <c r="E1026" s="262"/>
      <c r="F1026" s="16"/>
      <c r="G1026" s="16"/>
      <c r="H1026" s="16"/>
      <c r="I1026" s="16"/>
      <c r="J1026" s="1"/>
      <c r="K1026" s="1"/>
      <c r="L1026" s="1"/>
      <c r="M1026" s="262"/>
      <c r="N1026" s="1"/>
      <c r="O1026" s="1"/>
      <c r="P1026" s="1"/>
      <c r="Q1026" s="1"/>
      <c r="R1026" s="1"/>
      <c r="S1026" s="1"/>
      <c r="T1026" s="1"/>
      <c r="U1026" s="1"/>
      <c r="V1026" s="1"/>
      <c r="W1026" s="1"/>
      <c r="X1026" s="1"/>
      <c r="Y1026" s="1"/>
      <c r="Z1026" s="1"/>
      <c r="AA1026" s="1"/>
      <c r="AB1026" s="1"/>
    </row>
    <row r="1027" spans="1:28" ht="11.25" customHeight="1" x14ac:dyDescent="0.25">
      <c r="A1027" s="825"/>
      <c r="B1027" s="16"/>
      <c r="C1027" s="16"/>
      <c r="D1027" s="22"/>
      <c r="E1027" s="262"/>
      <c r="F1027" s="16"/>
      <c r="G1027" s="16"/>
      <c r="H1027" s="16"/>
      <c r="I1027" s="16"/>
      <c r="J1027" s="1"/>
      <c r="K1027" s="1"/>
      <c r="L1027" s="1"/>
      <c r="M1027" s="262"/>
      <c r="N1027" s="1"/>
      <c r="O1027" s="1"/>
      <c r="P1027" s="1"/>
      <c r="Q1027" s="1"/>
      <c r="R1027" s="1"/>
      <c r="S1027" s="1"/>
      <c r="T1027" s="1"/>
      <c r="U1027" s="1"/>
      <c r="V1027" s="1"/>
      <c r="W1027" s="1"/>
      <c r="X1027" s="1"/>
      <c r="Y1027" s="1"/>
      <c r="Z1027" s="1"/>
      <c r="AA1027" s="1"/>
      <c r="AB1027" s="1"/>
    </row>
    <row r="1028" spans="1:28" ht="11.25" customHeight="1" x14ac:dyDescent="0.25">
      <c r="A1028" s="825"/>
      <c r="B1028" s="16"/>
      <c r="C1028" s="16"/>
      <c r="D1028" s="22"/>
      <c r="E1028" s="262"/>
      <c r="F1028" s="16"/>
      <c r="G1028" s="16"/>
      <c r="H1028" s="16"/>
      <c r="I1028" s="16"/>
      <c r="J1028" s="1"/>
      <c r="K1028" s="1"/>
      <c r="L1028" s="1"/>
      <c r="M1028" s="262"/>
      <c r="N1028" s="1"/>
      <c r="O1028" s="1"/>
      <c r="P1028" s="1"/>
      <c r="Q1028" s="1"/>
      <c r="R1028" s="1"/>
      <c r="S1028" s="1"/>
      <c r="T1028" s="1"/>
      <c r="U1028" s="1"/>
      <c r="V1028" s="1"/>
      <c r="W1028" s="1"/>
      <c r="X1028" s="1"/>
      <c r="Y1028" s="1"/>
      <c r="Z1028" s="1"/>
      <c r="AA1028" s="1"/>
      <c r="AB1028" s="1"/>
    </row>
    <row r="1029" spans="1:28" ht="11.25" customHeight="1" x14ac:dyDescent="0.25">
      <c r="A1029" s="825"/>
      <c r="B1029" s="16"/>
      <c r="C1029" s="16"/>
      <c r="D1029" s="22"/>
      <c r="E1029" s="262"/>
      <c r="F1029" s="16"/>
      <c r="G1029" s="16"/>
      <c r="H1029" s="16"/>
      <c r="I1029" s="16"/>
      <c r="J1029" s="1"/>
      <c r="K1029" s="1"/>
      <c r="L1029" s="1"/>
      <c r="M1029" s="262"/>
      <c r="N1029" s="1"/>
      <c r="O1029" s="1"/>
      <c r="P1029" s="1"/>
      <c r="Q1029" s="1"/>
      <c r="R1029" s="1"/>
      <c r="S1029" s="1"/>
      <c r="T1029" s="1"/>
      <c r="U1029" s="1"/>
      <c r="V1029" s="1"/>
      <c r="W1029" s="1"/>
      <c r="X1029" s="1"/>
      <c r="Y1029" s="1"/>
      <c r="Z1029" s="1"/>
      <c r="AA1029" s="1"/>
      <c r="AB1029" s="1"/>
    </row>
    <row r="1030" spans="1:28" ht="11.25" customHeight="1" x14ac:dyDescent="0.25">
      <c r="A1030" s="825"/>
      <c r="B1030" s="16"/>
      <c r="C1030" s="16"/>
      <c r="D1030" s="22"/>
      <c r="E1030" s="262"/>
      <c r="F1030" s="16"/>
      <c r="G1030" s="16"/>
      <c r="H1030" s="16"/>
      <c r="I1030" s="16"/>
      <c r="J1030" s="1"/>
      <c r="K1030" s="1"/>
      <c r="L1030" s="1"/>
      <c r="M1030" s="262"/>
      <c r="N1030" s="1"/>
      <c r="O1030" s="1"/>
      <c r="P1030" s="1"/>
      <c r="Q1030" s="1"/>
      <c r="R1030" s="1"/>
      <c r="S1030" s="1"/>
      <c r="T1030" s="1"/>
      <c r="U1030" s="1"/>
      <c r="V1030" s="1"/>
      <c r="W1030" s="1"/>
      <c r="X1030" s="1"/>
      <c r="Y1030" s="1"/>
      <c r="Z1030" s="1"/>
      <c r="AA1030" s="1"/>
      <c r="AB1030" s="1"/>
    </row>
    <row r="1031" spans="1:28" ht="11.25" customHeight="1" x14ac:dyDescent="0.25">
      <c r="A1031" s="825"/>
      <c r="B1031" s="16"/>
      <c r="C1031" s="16"/>
      <c r="D1031" s="22"/>
      <c r="E1031" s="262"/>
      <c r="F1031" s="16"/>
      <c r="G1031" s="16"/>
      <c r="H1031" s="16"/>
      <c r="I1031" s="16"/>
      <c r="J1031" s="1"/>
      <c r="K1031" s="1"/>
      <c r="L1031" s="1"/>
      <c r="M1031" s="262"/>
      <c r="N1031" s="1"/>
      <c r="O1031" s="1"/>
      <c r="P1031" s="1"/>
      <c r="Q1031" s="1"/>
      <c r="R1031" s="1"/>
      <c r="S1031" s="1"/>
      <c r="T1031" s="1"/>
      <c r="U1031" s="1"/>
      <c r="V1031" s="1"/>
      <c r="W1031" s="1"/>
      <c r="X1031" s="1"/>
      <c r="Y1031" s="1"/>
      <c r="Z1031" s="1"/>
      <c r="AA1031" s="1"/>
      <c r="AB1031" s="1"/>
    </row>
    <row r="1032" spans="1:28" ht="11.25" customHeight="1" x14ac:dyDescent="0.25">
      <c r="A1032" s="825"/>
      <c r="B1032" s="16"/>
      <c r="C1032" s="16"/>
      <c r="D1032" s="22"/>
      <c r="E1032" s="262"/>
      <c r="F1032" s="16"/>
      <c r="G1032" s="16"/>
      <c r="H1032" s="16"/>
      <c r="I1032" s="16"/>
      <c r="J1032" s="1"/>
      <c r="K1032" s="1"/>
      <c r="L1032" s="1"/>
      <c r="M1032" s="262"/>
      <c r="N1032" s="1"/>
      <c r="O1032" s="1"/>
      <c r="P1032" s="1"/>
      <c r="Q1032" s="1"/>
      <c r="R1032" s="1"/>
      <c r="S1032" s="1"/>
      <c r="T1032" s="1"/>
      <c r="U1032" s="1"/>
      <c r="V1032" s="1"/>
      <c r="W1032" s="1"/>
      <c r="X1032" s="1"/>
      <c r="Y1032" s="1"/>
      <c r="Z1032" s="1"/>
      <c r="AA1032" s="1"/>
      <c r="AB1032" s="1"/>
    </row>
    <row r="1033" spans="1:28" ht="11.25" customHeight="1" x14ac:dyDescent="0.25">
      <c r="A1033" s="825"/>
      <c r="B1033" s="16"/>
      <c r="C1033" s="16"/>
      <c r="D1033" s="22"/>
      <c r="E1033" s="262"/>
      <c r="F1033" s="16"/>
      <c r="G1033" s="16"/>
      <c r="H1033" s="16"/>
      <c r="I1033" s="16"/>
      <c r="J1033" s="1"/>
      <c r="K1033" s="1"/>
      <c r="L1033" s="1"/>
      <c r="M1033" s="262"/>
      <c r="N1033" s="1"/>
      <c r="O1033" s="1"/>
      <c r="P1033" s="1"/>
      <c r="Q1033" s="1"/>
      <c r="R1033" s="1"/>
      <c r="S1033" s="1"/>
      <c r="T1033" s="1"/>
      <c r="U1033" s="1"/>
      <c r="V1033" s="1"/>
      <c r="W1033" s="1"/>
      <c r="X1033" s="1"/>
      <c r="Y1033" s="1"/>
      <c r="Z1033" s="1"/>
      <c r="AA1033" s="1"/>
      <c r="AB1033" s="1"/>
    </row>
    <row r="1034" spans="1:28" ht="11.25" customHeight="1" x14ac:dyDescent="0.25">
      <c r="A1034" s="825"/>
      <c r="B1034" s="16"/>
      <c r="C1034" s="16"/>
      <c r="D1034" s="22"/>
      <c r="E1034" s="262"/>
      <c r="F1034" s="16"/>
      <c r="G1034" s="16"/>
      <c r="H1034" s="16"/>
      <c r="I1034" s="16"/>
      <c r="J1034" s="1"/>
      <c r="K1034" s="1"/>
      <c r="L1034" s="1"/>
      <c r="M1034" s="262"/>
      <c r="N1034" s="1"/>
      <c r="O1034" s="1"/>
      <c r="P1034" s="1"/>
      <c r="Q1034" s="1"/>
      <c r="R1034" s="1"/>
      <c r="S1034" s="1"/>
      <c r="T1034" s="1"/>
      <c r="U1034" s="1"/>
      <c r="V1034" s="1"/>
      <c r="W1034" s="1"/>
      <c r="X1034" s="1"/>
      <c r="Y1034" s="1"/>
      <c r="Z1034" s="1"/>
      <c r="AA1034" s="1"/>
      <c r="AB1034" s="1"/>
    </row>
    <row r="1035" spans="1:28" ht="11.25" customHeight="1" x14ac:dyDescent="0.25">
      <c r="A1035" s="825"/>
      <c r="B1035" s="16"/>
      <c r="C1035" s="16"/>
      <c r="D1035" s="22"/>
      <c r="E1035" s="262"/>
      <c r="F1035" s="16"/>
      <c r="G1035" s="16"/>
      <c r="H1035" s="16"/>
      <c r="I1035" s="16"/>
      <c r="J1035" s="1"/>
      <c r="K1035" s="1"/>
      <c r="L1035" s="1"/>
      <c r="M1035" s="262"/>
      <c r="N1035" s="1"/>
      <c r="O1035" s="1"/>
      <c r="P1035" s="1"/>
      <c r="Q1035" s="1"/>
      <c r="R1035" s="1"/>
      <c r="S1035" s="1"/>
      <c r="T1035" s="1"/>
      <c r="U1035" s="1"/>
      <c r="V1035" s="1"/>
      <c r="W1035" s="1"/>
      <c r="X1035" s="1"/>
      <c r="Y1035" s="1"/>
      <c r="Z1035" s="1"/>
      <c r="AA1035" s="1"/>
      <c r="AB1035" s="1"/>
    </row>
    <row r="1036" spans="1:28" ht="11.25" customHeight="1" x14ac:dyDescent="0.25">
      <c r="A1036" s="825"/>
      <c r="B1036" s="16"/>
      <c r="C1036" s="16"/>
      <c r="D1036" s="22"/>
      <c r="E1036" s="262"/>
      <c r="F1036" s="16"/>
      <c r="G1036" s="16"/>
      <c r="H1036" s="16"/>
      <c r="I1036" s="16"/>
      <c r="J1036" s="1"/>
      <c r="K1036" s="1"/>
      <c r="L1036" s="1"/>
      <c r="M1036" s="262"/>
      <c r="N1036" s="1"/>
      <c r="O1036" s="1"/>
      <c r="P1036" s="1"/>
      <c r="Q1036" s="1"/>
      <c r="R1036" s="1"/>
      <c r="S1036" s="1"/>
      <c r="T1036" s="1"/>
      <c r="U1036" s="1"/>
      <c r="V1036" s="1"/>
      <c r="W1036" s="1"/>
      <c r="X1036" s="1"/>
      <c r="Y1036" s="1"/>
      <c r="Z1036" s="1"/>
      <c r="AA1036" s="1"/>
      <c r="AB1036" s="1"/>
    </row>
    <row r="1037" spans="1:28" ht="11.25" customHeight="1" x14ac:dyDescent="0.25">
      <c r="A1037" s="825"/>
      <c r="B1037" s="16"/>
      <c r="C1037" s="16"/>
      <c r="D1037" s="22"/>
      <c r="E1037" s="262"/>
      <c r="F1037" s="16"/>
      <c r="G1037" s="16"/>
      <c r="H1037" s="16"/>
      <c r="I1037" s="16"/>
      <c r="J1037" s="1"/>
      <c r="K1037" s="1"/>
      <c r="L1037" s="1"/>
      <c r="M1037" s="262"/>
      <c r="N1037" s="1"/>
      <c r="O1037" s="1"/>
      <c r="P1037" s="1"/>
      <c r="Q1037" s="1"/>
      <c r="R1037" s="1"/>
      <c r="S1037" s="1"/>
      <c r="T1037" s="1"/>
      <c r="U1037" s="1"/>
      <c r="V1037" s="1"/>
      <c r="W1037" s="1"/>
      <c r="X1037" s="1"/>
      <c r="Y1037" s="1"/>
      <c r="Z1037" s="1"/>
      <c r="AA1037" s="1"/>
      <c r="AB1037" s="1"/>
    </row>
    <row r="1038" spans="1:28" ht="11.25" customHeight="1" x14ac:dyDescent="0.25">
      <c r="A1038" s="825"/>
      <c r="B1038" s="16"/>
      <c r="C1038" s="16"/>
      <c r="D1038" s="22"/>
      <c r="E1038" s="262"/>
      <c r="F1038" s="16"/>
      <c r="G1038" s="16"/>
      <c r="H1038" s="16"/>
      <c r="I1038" s="16"/>
      <c r="J1038" s="1"/>
      <c r="K1038" s="1"/>
      <c r="L1038" s="1"/>
      <c r="M1038" s="262"/>
      <c r="N1038" s="1"/>
      <c r="O1038" s="1"/>
      <c r="P1038" s="1"/>
      <c r="Q1038" s="1"/>
      <c r="R1038" s="1"/>
      <c r="S1038" s="1"/>
      <c r="T1038" s="1"/>
      <c r="U1038" s="1"/>
      <c r="V1038" s="1"/>
      <c r="W1038" s="1"/>
      <c r="X1038" s="1"/>
      <c r="Y1038" s="1"/>
      <c r="Z1038" s="1"/>
      <c r="AA1038" s="1"/>
      <c r="AB1038" s="1"/>
    </row>
    <row r="1039" spans="1:28" ht="14.95" customHeight="1" x14ac:dyDescent="0.25">
      <c r="A1039" s="825"/>
      <c r="C1039" s="825"/>
      <c r="D1039" s="825"/>
      <c r="F1039" s="825"/>
      <c r="G1039" s="825"/>
      <c r="H1039" s="825"/>
      <c r="I1039" s="825"/>
      <c r="J1039" s="825"/>
      <c r="K1039" s="825"/>
      <c r="L1039" s="825"/>
      <c r="N1039" s="825"/>
      <c r="O1039" s="825"/>
      <c r="P1039" s="825"/>
      <c r="Q1039" s="825"/>
      <c r="R1039" s="825"/>
      <c r="S1039" s="825"/>
      <c r="T1039" s="825"/>
      <c r="U1039" s="825"/>
      <c r="V1039" s="825"/>
      <c r="W1039" s="825"/>
      <c r="X1039" s="825"/>
      <c r="Y1039" s="825"/>
      <c r="Z1039" s="825"/>
      <c r="AA1039" s="825"/>
      <c r="AB1039" s="825"/>
    </row>
  </sheetData>
  <mergeCells count="311">
    <mergeCell ref="C173:E173"/>
    <mergeCell ref="F173:AB173"/>
    <mergeCell ref="C174:C175"/>
    <mergeCell ref="D174:D175"/>
    <mergeCell ref="E174:E175"/>
    <mergeCell ref="F174:F175"/>
    <mergeCell ref="G174:G175"/>
    <mergeCell ref="H174:H175"/>
    <mergeCell ref="I174:I175"/>
    <mergeCell ref="J174:J175"/>
    <mergeCell ref="K174:K175"/>
    <mergeCell ref="L174:L175"/>
    <mergeCell ref="M174:M175"/>
    <mergeCell ref="N174:N175"/>
    <mergeCell ref="O174:P174"/>
    <mergeCell ref="Q174:U174"/>
    <mergeCell ref="V174:V175"/>
    <mergeCell ref="W174:Z174"/>
    <mergeCell ref="AB174:AB175"/>
    <mergeCell ref="C168:E168"/>
    <mergeCell ref="C169:E169"/>
    <mergeCell ref="F169:AB169"/>
    <mergeCell ref="C170:E170"/>
    <mergeCell ref="F170:AB170"/>
    <mergeCell ref="C171:E171"/>
    <mergeCell ref="F171:AB171"/>
    <mergeCell ref="C172:E172"/>
    <mergeCell ref="F172:AB172"/>
    <mergeCell ref="Q101:U101"/>
    <mergeCell ref="V101:V102"/>
    <mergeCell ref="W101:Z101"/>
    <mergeCell ref="AB101:AB102"/>
    <mergeCell ref="W63:Z63"/>
    <mergeCell ref="AB63:AB64"/>
    <mergeCell ref="V82:V83"/>
    <mergeCell ref="W82:Z82"/>
    <mergeCell ref="F77:AB77"/>
    <mergeCell ref="F78:AB78"/>
    <mergeCell ref="F79:AB79"/>
    <mergeCell ref="F80:AB80"/>
    <mergeCell ref="F81:AB81"/>
    <mergeCell ref="Q63:U63"/>
    <mergeCell ref="V63:V64"/>
    <mergeCell ref="G101:G102"/>
    <mergeCell ref="H101:H102"/>
    <mergeCell ref="I101:I102"/>
    <mergeCell ref="J101:J102"/>
    <mergeCell ref="K101:K102"/>
    <mergeCell ref="L101:L102"/>
    <mergeCell ref="M101:M102"/>
    <mergeCell ref="N101:N102"/>
    <mergeCell ref="O101:P101"/>
    <mergeCell ref="E82:E83"/>
    <mergeCell ref="F82:F83"/>
    <mergeCell ref="G82:G83"/>
    <mergeCell ref="H82:H83"/>
    <mergeCell ref="I82:I83"/>
    <mergeCell ref="J82:J83"/>
    <mergeCell ref="F99:AB99"/>
    <mergeCell ref="F100:AB100"/>
    <mergeCell ref="C95:E95"/>
    <mergeCell ref="C96:E96"/>
    <mergeCell ref="F96:AB96"/>
    <mergeCell ref="C97:E97"/>
    <mergeCell ref="F97:AB97"/>
    <mergeCell ref="F98:AB98"/>
    <mergeCell ref="C98:E98"/>
    <mergeCell ref="C99:E99"/>
    <mergeCell ref="C100:E100"/>
    <mergeCell ref="M82:M83"/>
    <mergeCell ref="N82:N83"/>
    <mergeCell ref="AB82:AB83"/>
    <mergeCell ref="K82:K83"/>
    <mergeCell ref="L82:L83"/>
    <mergeCell ref="M130:M131"/>
    <mergeCell ref="N130:N131"/>
    <mergeCell ref="C130:C131"/>
    <mergeCell ref="D130:D131"/>
    <mergeCell ref="E130:E131"/>
    <mergeCell ref="F130:F131"/>
    <mergeCell ref="F116:F117"/>
    <mergeCell ref="G116:G117"/>
    <mergeCell ref="H116:H117"/>
    <mergeCell ref="I116:I117"/>
    <mergeCell ref="J116:J117"/>
    <mergeCell ref="F128:AB128"/>
    <mergeCell ref="F129:AB129"/>
    <mergeCell ref="C124:E124"/>
    <mergeCell ref="C125:E125"/>
    <mergeCell ref="F125:AB125"/>
    <mergeCell ref="C126:E126"/>
    <mergeCell ref="F126:AB126"/>
    <mergeCell ref="Q116:U116"/>
    <mergeCell ref="AB116:AB117"/>
    <mergeCell ref="Q130:U130"/>
    <mergeCell ref="V130:V131"/>
    <mergeCell ref="W130:Z130"/>
    <mergeCell ref="AB130:AB131"/>
    <mergeCell ref="E101:E102"/>
    <mergeCell ref="F101:F102"/>
    <mergeCell ref="C110:E110"/>
    <mergeCell ref="C111:E111"/>
    <mergeCell ref="C112:E112"/>
    <mergeCell ref="C113:E113"/>
    <mergeCell ref="C114:E114"/>
    <mergeCell ref="C115:E115"/>
    <mergeCell ref="C116:C117"/>
    <mergeCell ref="D116:D117"/>
    <mergeCell ref="E116:E117"/>
    <mergeCell ref="C101:C102"/>
    <mergeCell ref="D101:D102"/>
    <mergeCell ref="K116:K117"/>
    <mergeCell ref="L116:L117"/>
    <mergeCell ref="V159:V160"/>
    <mergeCell ref="W159:Z159"/>
    <mergeCell ref="F154:AB154"/>
    <mergeCell ref="F155:AB155"/>
    <mergeCell ref="F156:AB156"/>
    <mergeCell ref="F157:AB157"/>
    <mergeCell ref="F158:AB158"/>
    <mergeCell ref="M159:M160"/>
    <mergeCell ref="N159:N160"/>
    <mergeCell ref="AB159:AB160"/>
    <mergeCell ref="K159:K160"/>
    <mergeCell ref="L159:L160"/>
    <mergeCell ref="G130:G131"/>
    <mergeCell ref="H130:H131"/>
    <mergeCell ref="I130:I131"/>
    <mergeCell ref="J130:J131"/>
    <mergeCell ref="O130:P130"/>
    <mergeCell ref="O116:P116"/>
    <mergeCell ref="K130:K131"/>
    <mergeCell ref="L130:L131"/>
    <mergeCell ref="W145:Z145"/>
    <mergeCell ref="AB145:AB146"/>
    <mergeCell ref="C41:E41"/>
    <mergeCell ref="C42:E42"/>
    <mergeCell ref="C43:C44"/>
    <mergeCell ref="N43:N44"/>
    <mergeCell ref="M63:M64"/>
    <mergeCell ref="N63:N64"/>
    <mergeCell ref="C63:C64"/>
    <mergeCell ref="D63:D64"/>
    <mergeCell ref="E63:E64"/>
    <mergeCell ref="F63:F64"/>
    <mergeCell ref="F62:AB62"/>
    <mergeCell ref="C57:E57"/>
    <mergeCell ref="C58:E58"/>
    <mergeCell ref="F58:AB58"/>
    <mergeCell ref="C59:E59"/>
    <mergeCell ref="F59:AB59"/>
    <mergeCell ref="F60:AB60"/>
    <mergeCell ref="C60:E60"/>
    <mergeCell ref="C61:E61"/>
    <mergeCell ref="C62:E62"/>
    <mergeCell ref="C76:E76"/>
    <mergeCell ref="C77:E77"/>
    <mergeCell ref="C78:E78"/>
    <mergeCell ref="C79:E79"/>
    <mergeCell ref="C80:E80"/>
    <mergeCell ref="D82:D83"/>
    <mergeCell ref="O43:P43"/>
    <mergeCell ref="G63:G64"/>
    <mergeCell ref="H63:H64"/>
    <mergeCell ref="I63:I64"/>
    <mergeCell ref="J63:J64"/>
    <mergeCell ref="K63:K64"/>
    <mergeCell ref="L63:L64"/>
    <mergeCell ref="O63:P63"/>
    <mergeCell ref="K43:K44"/>
    <mergeCell ref="L43:L44"/>
    <mergeCell ref="D43:D44"/>
    <mergeCell ref="E43:E44"/>
    <mergeCell ref="F43:F44"/>
    <mergeCell ref="G43:G44"/>
    <mergeCell ref="H43:H44"/>
    <mergeCell ref="I43:I44"/>
    <mergeCell ref="J43:J44"/>
    <mergeCell ref="F61:AB61"/>
    <mergeCell ref="C6:D6"/>
    <mergeCell ref="C8:AB8"/>
    <mergeCell ref="C10:E10"/>
    <mergeCell ref="C11:E11"/>
    <mergeCell ref="F11:AB11"/>
    <mergeCell ref="F12:AB12"/>
    <mergeCell ref="C158:E158"/>
    <mergeCell ref="C159:C160"/>
    <mergeCell ref="O159:P159"/>
    <mergeCell ref="Q159:U159"/>
    <mergeCell ref="Q43:U43"/>
    <mergeCell ref="V43:V44"/>
    <mergeCell ref="W43:Z43"/>
    <mergeCell ref="AB43:AB44"/>
    <mergeCell ref="F38:AB38"/>
    <mergeCell ref="F39:AB39"/>
    <mergeCell ref="F40:AB40"/>
    <mergeCell ref="F41:AB41"/>
    <mergeCell ref="F42:AB42"/>
    <mergeCell ref="M43:M44"/>
    <mergeCell ref="C39:E39"/>
    <mergeCell ref="C40:E40"/>
    <mergeCell ref="C12:E12"/>
    <mergeCell ref="C13:E13"/>
    <mergeCell ref="C14:E14"/>
    <mergeCell ref="C15:E15"/>
    <mergeCell ref="C16:C17"/>
    <mergeCell ref="D16:D17"/>
    <mergeCell ref="E16:E17"/>
    <mergeCell ref="F13:AB13"/>
    <mergeCell ref="F14:AB14"/>
    <mergeCell ref="F15:AB15"/>
    <mergeCell ref="M16:M17"/>
    <mergeCell ref="N16:N17"/>
    <mergeCell ref="O16:P16"/>
    <mergeCell ref="Q16:U16"/>
    <mergeCell ref="V16:V17"/>
    <mergeCell ref="W16:Z16"/>
    <mergeCell ref="AB16:AB17"/>
    <mergeCell ref="C37:E37"/>
    <mergeCell ref="C38:E38"/>
    <mergeCell ref="F16:F17"/>
    <mergeCell ref="G16:G17"/>
    <mergeCell ref="H16:H17"/>
    <mergeCell ref="I16:I17"/>
    <mergeCell ref="J16:J17"/>
    <mergeCell ref="K16:K17"/>
    <mergeCell ref="L16:L17"/>
    <mergeCell ref="L186:L187"/>
    <mergeCell ref="M186:M187"/>
    <mergeCell ref="C81:E81"/>
    <mergeCell ref="C82:C83"/>
    <mergeCell ref="O82:P82"/>
    <mergeCell ref="Q82:U82"/>
    <mergeCell ref="V116:V117"/>
    <mergeCell ref="W116:Z116"/>
    <mergeCell ref="F111:AB111"/>
    <mergeCell ref="F112:AB112"/>
    <mergeCell ref="F113:AB113"/>
    <mergeCell ref="F114:AB114"/>
    <mergeCell ref="F115:AB115"/>
    <mergeCell ref="M116:M117"/>
    <mergeCell ref="N116:N117"/>
    <mergeCell ref="C153:E153"/>
    <mergeCell ref="C154:E154"/>
    <mergeCell ref="C155:E155"/>
    <mergeCell ref="C156:E156"/>
    <mergeCell ref="C157:E157"/>
    <mergeCell ref="F127:AB127"/>
    <mergeCell ref="C127:E127"/>
    <mergeCell ref="C128:E128"/>
    <mergeCell ref="C129:E129"/>
    <mergeCell ref="N186:N187"/>
    <mergeCell ref="O186:P186"/>
    <mergeCell ref="M197:N197"/>
    <mergeCell ref="E159:E160"/>
    <mergeCell ref="F159:F160"/>
    <mergeCell ref="G159:G160"/>
    <mergeCell ref="H159:H160"/>
    <mergeCell ref="I159:I160"/>
    <mergeCell ref="J159:J160"/>
    <mergeCell ref="C185:AB185"/>
    <mergeCell ref="D159:D160"/>
    <mergeCell ref="C186:C187"/>
    <mergeCell ref="D186:D187"/>
    <mergeCell ref="E186:E187"/>
    <mergeCell ref="F186:F187"/>
    <mergeCell ref="G186:G187"/>
    <mergeCell ref="H186:H187"/>
    <mergeCell ref="Q186:U186"/>
    <mergeCell ref="V186:V187"/>
    <mergeCell ref="W186:Z186"/>
    <mergeCell ref="AB186:AB187"/>
    <mergeCell ref="I186:I187"/>
    <mergeCell ref="J186:J187"/>
    <mergeCell ref="K186:K187"/>
    <mergeCell ref="A147:B147"/>
    <mergeCell ref="A148:B148"/>
    <mergeCell ref="A149:B149"/>
    <mergeCell ref="C139:E139"/>
    <mergeCell ref="C140:E140"/>
    <mergeCell ref="F140:AB140"/>
    <mergeCell ref="C141:E141"/>
    <mergeCell ref="F141:AB141"/>
    <mergeCell ref="C142:E142"/>
    <mergeCell ref="F142:AB142"/>
    <mergeCell ref="C143:E143"/>
    <mergeCell ref="F143:AB143"/>
    <mergeCell ref="A134:B134"/>
    <mergeCell ref="A135:B135"/>
    <mergeCell ref="A136:B136"/>
    <mergeCell ref="A161:B161"/>
    <mergeCell ref="A162:B162"/>
    <mergeCell ref="A163:B163"/>
    <mergeCell ref="A164:B164"/>
    <mergeCell ref="C144:E144"/>
    <mergeCell ref="F144:AB144"/>
    <mergeCell ref="C145:C146"/>
    <mergeCell ref="D145:D146"/>
    <mergeCell ref="E145:E146"/>
    <mergeCell ref="F145:F146"/>
    <mergeCell ref="G145:G146"/>
    <mergeCell ref="H145:H146"/>
    <mergeCell ref="I145:I146"/>
    <mergeCell ref="J145:J146"/>
    <mergeCell ref="K145:K146"/>
    <mergeCell ref="L145:L146"/>
    <mergeCell ref="M145:M146"/>
    <mergeCell ref="N145:N146"/>
    <mergeCell ref="O145:P145"/>
    <mergeCell ref="Q145:U145"/>
    <mergeCell ref="V145:V146"/>
  </mergeCells>
  <pageMargins left="0" right="0" top="0" bottom="0"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1:AC1014"/>
  <sheetViews>
    <sheetView showGridLines="0" topLeftCell="L126" zoomScale="87" zoomScaleNormal="87" workbookViewId="0">
      <selection activeCell="O134" sqref="O134"/>
    </sheetView>
  </sheetViews>
  <sheetFormatPr baseColWidth="10" defaultColWidth="11.19921875" defaultRowHeight="14.95" customHeight="1" x14ac:dyDescent="0.25"/>
  <cols>
    <col min="1" max="1" width="0" style="325" hidden="1" customWidth="1"/>
    <col min="2" max="2" width="4.69921875" style="287" hidden="1" customWidth="1"/>
    <col min="3" max="3" width="4.09765625" customWidth="1"/>
    <col min="4" max="4" width="27.09765625" customWidth="1"/>
    <col min="5" max="5" width="53.19921875" customWidth="1"/>
    <col min="6" max="6" width="11.19921875" customWidth="1"/>
    <col min="7" max="7" width="16.296875" customWidth="1"/>
    <col min="8" max="8" width="10.3984375" hidden="1" customWidth="1"/>
    <col min="9" max="9" width="10.3984375" customWidth="1"/>
    <col min="10" max="10" width="12" customWidth="1"/>
    <col min="11" max="11" width="13" customWidth="1"/>
    <col min="12" max="12" width="10.69921875" customWidth="1"/>
    <col min="13" max="13" width="37.296875" style="195" customWidth="1"/>
    <col min="14" max="14" width="10.69921875" customWidth="1"/>
    <col min="15" max="16" width="10" bestFit="1" customWidth="1"/>
    <col min="17" max="18" width="9.19921875" bestFit="1" customWidth="1"/>
    <col min="19" max="19" width="10.69921875" customWidth="1"/>
    <col min="20" max="20" width="8.796875" bestFit="1" customWidth="1"/>
    <col min="21" max="21" width="9.19921875" bestFit="1" customWidth="1"/>
    <col min="22" max="22" width="13.69921875" hidden="1" customWidth="1"/>
    <col min="23" max="23" width="9.69921875" customWidth="1"/>
    <col min="24" max="24" width="13.19921875" customWidth="1"/>
    <col min="25" max="25" width="13" customWidth="1"/>
    <col min="26" max="26" width="10.69921875" customWidth="1"/>
    <col min="27" max="27" width="10.69921875" hidden="1" customWidth="1"/>
    <col min="28" max="28" width="10.69921875" customWidth="1"/>
  </cols>
  <sheetData>
    <row r="1" spans="1:29" s="1186" customFormat="1" ht="14.95" customHeight="1" x14ac:dyDescent="0.25">
      <c r="B1" s="287"/>
      <c r="M1" s="195"/>
    </row>
    <row r="2" spans="1:29" s="1186" customFormat="1" ht="14.95" customHeight="1" x14ac:dyDescent="0.25">
      <c r="B2" s="287"/>
      <c r="M2" s="195"/>
    </row>
    <row r="3" spans="1:29" s="1186" customFormat="1" ht="14.95" customHeight="1" x14ac:dyDescent="0.25">
      <c r="B3" s="287"/>
      <c r="M3" s="195"/>
    </row>
    <row r="4" spans="1:29" s="1186" customFormat="1" ht="14.95" customHeight="1" x14ac:dyDescent="0.25">
      <c r="B4" s="287"/>
      <c r="M4" s="195"/>
    </row>
    <row r="5" spans="1:29" s="1186" customFormat="1" ht="14.95" customHeight="1" x14ac:dyDescent="0.25">
      <c r="B5" s="287"/>
      <c r="M5" s="195"/>
    </row>
    <row r="6" spans="1:29" ht="11.25" customHeight="1" x14ac:dyDescent="0.25">
      <c r="A6" s="825"/>
      <c r="B6" s="825"/>
      <c r="C6" s="16"/>
      <c r="D6" s="1"/>
      <c r="E6" s="27" t="s">
        <v>1169</v>
      </c>
      <c r="F6" s="1"/>
      <c r="G6" s="1"/>
      <c r="H6" s="22"/>
      <c r="I6" s="1"/>
      <c r="J6" s="1"/>
      <c r="K6" s="1"/>
      <c r="L6" s="1"/>
      <c r="M6" s="262"/>
      <c r="N6" s="1"/>
      <c r="O6" s="1"/>
      <c r="P6" s="1"/>
      <c r="Q6" s="1"/>
      <c r="R6" s="1"/>
      <c r="S6" s="1"/>
      <c r="T6" s="1"/>
      <c r="U6" s="1"/>
      <c r="V6" s="1"/>
      <c r="W6" s="1"/>
      <c r="X6" s="1"/>
      <c r="Y6" s="1"/>
      <c r="Z6" s="1"/>
      <c r="AA6" s="1"/>
      <c r="AB6" s="1"/>
      <c r="AC6" s="1"/>
    </row>
    <row r="7" spans="1:29" ht="11.25" customHeight="1" x14ac:dyDescent="0.25">
      <c r="A7" s="825"/>
      <c r="B7" s="825"/>
      <c r="C7" s="16"/>
      <c r="D7" s="1"/>
      <c r="E7" s="27"/>
      <c r="F7" s="1"/>
      <c r="G7" s="1"/>
      <c r="H7" s="22"/>
      <c r="I7" s="1"/>
      <c r="J7" s="1"/>
      <c r="K7" s="1"/>
      <c r="L7" s="1"/>
      <c r="M7" s="262"/>
      <c r="N7" s="1"/>
      <c r="O7" s="1"/>
      <c r="P7" s="1"/>
      <c r="Q7" s="1"/>
      <c r="R7" s="1"/>
      <c r="S7" s="1"/>
      <c r="T7" s="1"/>
      <c r="U7" s="1"/>
      <c r="V7" s="1"/>
      <c r="W7" s="1"/>
      <c r="X7" s="1"/>
      <c r="Y7" s="1"/>
      <c r="Z7" s="1"/>
      <c r="AA7" s="1"/>
      <c r="AB7" s="1"/>
      <c r="AC7" s="1"/>
    </row>
    <row r="8" spans="1:29" ht="19.55" customHeight="1" x14ac:dyDescent="0.25">
      <c r="A8" s="825"/>
      <c r="B8" s="825"/>
      <c r="C8" s="1471" t="s">
        <v>137</v>
      </c>
      <c r="D8" s="1472"/>
      <c r="E8" s="1472"/>
      <c r="F8" s="1472"/>
      <c r="G8" s="1472"/>
      <c r="H8" s="1472"/>
      <c r="I8" s="1472"/>
      <c r="J8" s="1472"/>
      <c r="K8" s="1472"/>
      <c r="L8" s="1472"/>
      <c r="M8" s="1472"/>
      <c r="N8" s="1472"/>
      <c r="O8" s="1472"/>
      <c r="P8" s="1472"/>
      <c r="Q8" s="1472"/>
      <c r="R8" s="1472"/>
      <c r="S8" s="1472"/>
      <c r="T8" s="1472"/>
      <c r="U8" s="1472"/>
      <c r="V8" s="1472"/>
      <c r="W8" s="1472"/>
      <c r="X8" s="1472"/>
      <c r="Y8" s="1472"/>
      <c r="Z8" s="1472"/>
      <c r="AA8" s="1472"/>
      <c r="AB8" s="1472"/>
      <c r="AC8" s="828"/>
    </row>
    <row r="9" spans="1:29" ht="11.25" customHeight="1" x14ac:dyDescent="0.25">
      <c r="A9" s="825"/>
      <c r="B9" s="825"/>
      <c r="C9" s="1"/>
      <c r="D9" s="825"/>
      <c r="E9" s="1"/>
      <c r="F9" s="1"/>
      <c r="G9" s="1"/>
      <c r="H9" s="22"/>
      <c r="I9" s="1"/>
      <c r="J9" s="1"/>
      <c r="K9" s="1"/>
      <c r="L9" s="1"/>
      <c r="M9" s="262"/>
      <c r="N9" s="1"/>
      <c r="O9" s="1"/>
      <c r="P9" s="1"/>
      <c r="Q9" s="1"/>
      <c r="R9" s="1"/>
      <c r="S9" s="1"/>
      <c r="T9" s="1"/>
      <c r="U9" s="1"/>
      <c r="V9" s="1"/>
      <c r="W9" s="1"/>
      <c r="X9" s="1"/>
      <c r="Y9" s="1"/>
      <c r="Z9" s="1"/>
      <c r="AA9" s="1"/>
      <c r="AB9" s="1"/>
      <c r="AC9" s="1"/>
    </row>
    <row r="10" spans="1:29" ht="15.65" x14ac:dyDescent="0.25">
      <c r="A10" s="825"/>
      <c r="B10" s="825"/>
      <c r="C10" s="1459" t="s">
        <v>1170</v>
      </c>
      <c r="D10" s="1405"/>
      <c r="E10" s="1406"/>
      <c r="F10" s="816" t="s">
        <v>129</v>
      </c>
      <c r="G10" s="817"/>
      <c r="H10" s="817"/>
      <c r="I10" s="817"/>
      <c r="J10" s="817"/>
      <c r="K10" s="817"/>
      <c r="L10" s="817"/>
      <c r="M10" s="943"/>
      <c r="N10" s="817"/>
      <c r="O10" s="817"/>
      <c r="P10" s="817"/>
      <c r="Q10" s="817"/>
      <c r="R10" s="817"/>
      <c r="S10" s="817"/>
      <c r="T10" s="817"/>
      <c r="U10" s="817"/>
      <c r="V10" s="817"/>
      <c r="W10" s="817"/>
      <c r="X10" s="817"/>
      <c r="Y10" s="817"/>
      <c r="Z10" s="817"/>
      <c r="AA10" s="817"/>
      <c r="AB10" s="818"/>
      <c r="AC10" s="827"/>
    </row>
    <row r="11" spans="1:29" ht="50.3" customHeight="1" x14ac:dyDescent="0.25">
      <c r="A11" s="825"/>
      <c r="B11" s="825"/>
      <c r="C11" s="1459" t="s">
        <v>1171</v>
      </c>
      <c r="D11" s="1405"/>
      <c r="E11" s="1406"/>
      <c r="F11" s="1445" t="s">
        <v>1473</v>
      </c>
      <c r="G11" s="1446"/>
      <c r="H11" s="1446"/>
      <c r="I11" s="1446"/>
      <c r="J11" s="1446"/>
      <c r="K11" s="1446"/>
      <c r="L11" s="1446"/>
      <c r="M11" s="1446"/>
      <c r="N11" s="1446"/>
      <c r="O11" s="1446"/>
      <c r="P11" s="1446"/>
      <c r="Q11" s="1446"/>
      <c r="R11" s="1446"/>
      <c r="S11" s="1446"/>
      <c r="T11" s="1446"/>
      <c r="U11" s="1446"/>
      <c r="V11" s="1446"/>
      <c r="W11" s="1446"/>
      <c r="X11" s="1446"/>
      <c r="Y11" s="1446"/>
      <c r="Z11" s="1446"/>
      <c r="AA11" s="1446"/>
      <c r="AB11" s="1447"/>
      <c r="AC11" s="825"/>
    </row>
    <row r="12" spans="1:29" ht="19.55" customHeight="1" x14ac:dyDescent="0.25">
      <c r="A12" s="825"/>
      <c r="B12" s="825"/>
      <c r="C12" s="1459" t="s">
        <v>1173</v>
      </c>
      <c r="D12" s="1405"/>
      <c r="E12" s="1406"/>
      <c r="F12" s="1445" t="s">
        <v>1174</v>
      </c>
      <c r="G12" s="1446"/>
      <c r="H12" s="1446"/>
      <c r="I12" s="1446"/>
      <c r="J12" s="1446"/>
      <c r="K12" s="1446"/>
      <c r="L12" s="1446"/>
      <c r="M12" s="1446"/>
      <c r="N12" s="1446"/>
      <c r="O12" s="1446"/>
      <c r="P12" s="1446"/>
      <c r="Q12" s="1446"/>
      <c r="R12" s="1446"/>
      <c r="S12" s="1446"/>
      <c r="T12" s="1446"/>
      <c r="U12" s="1446"/>
      <c r="V12" s="1446"/>
      <c r="W12" s="1446"/>
      <c r="X12" s="1446"/>
      <c r="Y12" s="1446"/>
      <c r="Z12" s="1446"/>
      <c r="AA12" s="1446"/>
      <c r="AB12" s="1447"/>
      <c r="AC12" s="825"/>
    </row>
    <row r="13" spans="1:29" ht="27.7" customHeight="1" x14ac:dyDescent="0.25">
      <c r="A13" s="825"/>
      <c r="B13" s="825"/>
      <c r="C13" s="1459" t="s">
        <v>1175</v>
      </c>
      <c r="D13" s="1405"/>
      <c r="E13" s="1406"/>
      <c r="F13" s="1445" t="s">
        <v>1474</v>
      </c>
      <c r="G13" s="1446"/>
      <c r="H13" s="1446"/>
      <c r="I13" s="1446"/>
      <c r="J13" s="1446"/>
      <c r="K13" s="1446"/>
      <c r="L13" s="1446"/>
      <c r="M13" s="1446"/>
      <c r="N13" s="1446"/>
      <c r="O13" s="1446"/>
      <c r="P13" s="1446"/>
      <c r="Q13" s="1446"/>
      <c r="R13" s="1446"/>
      <c r="S13" s="1446"/>
      <c r="T13" s="1446"/>
      <c r="U13" s="1446"/>
      <c r="V13" s="1446"/>
      <c r="W13" s="1446"/>
      <c r="X13" s="1446"/>
      <c r="Y13" s="1446"/>
      <c r="Z13" s="1446"/>
      <c r="AA13" s="1446"/>
      <c r="AB13" s="1447"/>
      <c r="AC13" s="825"/>
    </row>
    <row r="14" spans="1:29" ht="29.25" customHeight="1" x14ac:dyDescent="0.25">
      <c r="A14" s="825"/>
      <c r="B14" s="825"/>
      <c r="C14" s="1444" t="s">
        <v>142</v>
      </c>
      <c r="D14" s="1405"/>
      <c r="E14" s="1406"/>
      <c r="F14" s="1445" t="s">
        <v>1475</v>
      </c>
      <c r="G14" s="1446"/>
      <c r="H14" s="1446"/>
      <c r="I14" s="1446"/>
      <c r="J14" s="1446"/>
      <c r="K14" s="1446"/>
      <c r="L14" s="1446"/>
      <c r="M14" s="1446"/>
      <c r="N14" s="1446"/>
      <c r="O14" s="1446"/>
      <c r="P14" s="1446"/>
      <c r="Q14" s="1446"/>
      <c r="R14" s="1446"/>
      <c r="S14" s="1446"/>
      <c r="T14" s="1446"/>
      <c r="U14" s="1446"/>
      <c r="V14" s="1446"/>
      <c r="W14" s="1446"/>
      <c r="X14" s="1446"/>
      <c r="Y14" s="1446"/>
      <c r="Z14" s="1446"/>
      <c r="AA14" s="1446"/>
      <c r="AB14" s="1447"/>
      <c r="AC14" s="825"/>
    </row>
    <row r="15" spans="1:29" ht="48.1" customHeight="1" x14ac:dyDescent="0.25">
      <c r="A15" s="825"/>
      <c r="B15" s="825"/>
      <c r="C15" s="1444" t="s">
        <v>1178</v>
      </c>
      <c r="D15" s="1405"/>
      <c r="E15" s="1406"/>
      <c r="F15" s="1445" t="s">
        <v>1179</v>
      </c>
      <c r="G15" s="1446"/>
      <c r="H15" s="1446"/>
      <c r="I15" s="1446"/>
      <c r="J15" s="1446"/>
      <c r="K15" s="1446"/>
      <c r="L15" s="1446"/>
      <c r="M15" s="1446"/>
      <c r="N15" s="1446"/>
      <c r="O15" s="1446"/>
      <c r="P15" s="1446"/>
      <c r="Q15" s="1446"/>
      <c r="R15" s="1446"/>
      <c r="S15" s="1446"/>
      <c r="T15" s="1446"/>
      <c r="U15" s="1446"/>
      <c r="V15" s="1446"/>
      <c r="W15" s="1446"/>
      <c r="X15" s="1446"/>
      <c r="Y15" s="1446"/>
      <c r="Z15" s="1446"/>
      <c r="AA15" s="1446"/>
      <c r="AB15" s="1447"/>
      <c r="AC15" s="825"/>
    </row>
    <row r="16" spans="1:29" ht="22.6" customHeight="1" x14ac:dyDescent="0.25">
      <c r="A16" s="825"/>
      <c r="B16" s="16"/>
      <c r="C16" s="1452" t="s">
        <v>964</v>
      </c>
      <c r="D16" s="1452" t="s">
        <v>965</v>
      </c>
      <c r="E16" s="1452" t="s">
        <v>468</v>
      </c>
      <c r="F16" s="1452" t="s">
        <v>470</v>
      </c>
      <c r="G16" s="1452" t="s">
        <v>966</v>
      </c>
      <c r="H16" s="1452" t="s">
        <v>967</v>
      </c>
      <c r="I16" s="1452" t="s">
        <v>1180</v>
      </c>
      <c r="J16" s="1452" t="s">
        <v>968</v>
      </c>
      <c r="K16" s="1452" t="s">
        <v>969</v>
      </c>
      <c r="L16" s="1453" t="s">
        <v>970</v>
      </c>
      <c r="M16" s="1486" t="s">
        <v>971</v>
      </c>
      <c r="N16" s="1453" t="s">
        <v>972</v>
      </c>
      <c r="O16" s="1456" t="s">
        <v>973</v>
      </c>
      <c r="P16" s="1457"/>
      <c r="Q16" s="1456" t="s">
        <v>974</v>
      </c>
      <c r="R16" s="1458"/>
      <c r="S16" s="1458"/>
      <c r="T16" s="1458"/>
      <c r="U16" s="1457"/>
      <c r="V16" s="1452" t="s">
        <v>975</v>
      </c>
      <c r="W16" s="1465" t="s">
        <v>976</v>
      </c>
      <c r="X16" s="1405"/>
      <c r="Y16" s="1405"/>
      <c r="Z16" s="1406"/>
      <c r="AA16" s="808"/>
      <c r="AB16" s="1452" t="s">
        <v>977</v>
      </c>
      <c r="AC16" s="825"/>
    </row>
    <row r="17" spans="1:29" ht="68.3" customHeight="1" x14ac:dyDescent="0.25">
      <c r="A17" s="825"/>
      <c r="B17" s="16"/>
      <c r="C17" s="1420"/>
      <c r="D17" s="1420"/>
      <c r="E17" s="1420"/>
      <c r="F17" s="1449"/>
      <c r="G17" s="1449"/>
      <c r="H17" s="1449"/>
      <c r="I17" s="1449"/>
      <c r="J17" s="1449"/>
      <c r="K17" s="1449"/>
      <c r="L17" s="1454"/>
      <c r="M17" s="1487"/>
      <c r="N17" s="1454"/>
      <c r="O17" s="940" t="s">
        <v>978</v>
      </c>
      <c r="P17" s="940" t="s">
        <v>979</v>
      </c>
      <c r="Q17" s="940" t="s">
        <v>980</v>
      </c>
      <c r="R17" s="940" t="s">
        <v>981</v>
      </c>
      <c r="S17" s="940" t="s">
        <v>982</v>
      </c>
      <c r="T17" s="940" t="s">
        <v>983</v>
      </c>
      <c r="U17" s="940" t="s">
        <v>984</v>
      </c>
      <c r="V17" s="1449"/>
      <c r="W17" s="808" t="s">
        <v>985</v>
      </c>
      <c r="X17" s="808" t="s">
        <v>986</v>
      </c>
      <c r="Y17" s="808" t="s">
        <v>987</v>
      </c>
      <c r="Z17" s="808" t="s">
        <v>988</v>
      </c>
      <c r="AA17" s="808"/>
      <c r="AB17" s="1449"/>
      <c r="AC17" s="825"/>
    </row>
    <row r="18" spans="1:29" s="356" customFormat="1" ht="176.95" customHeight="1" x14ac:dyDescent="0.25">
      <c r="A18" s="334" t="s">
        <v>258</v>
      </c>
      <c r="B18" s="291" t="s">
        <v>254</v>
      </c>
      <c r="C18" s="12" t="s">
        <v>1476</v>
      </c>
      <c r="D18" s="786" t="s">
        <v>170</v>
      </c>
      <c r="E18" s="373" t="s">
        <v>1182</v>
      </c>
      <c r="F18" s="13" t="s">
        <v>1183</v>
      </c>
      <c r="G18" s="69" t="str">
        <f>+'8. BASE  CONSOLIDADA'!O207</f>
        <v>DERECHOS SOBRE LA TIERRA</v>
      </c>
      <c r="H18" s="69" t="str">
        <f>+'8. BASE  CONSOLIDADA'!P207</f>
        <v>C5</v>
      </c>
      <c r="I18" s="14">
        <f>69733.958940467/10</f>
        <v>6973.3958940467001</v>
      </c>
      <c r="J18" s="14">
        <f>+I18*0.5</f>
        <v>3486.69794702335</v>
      </c>
      <c r="K18" s="14">
        <f>+I18*0.5</f>
        <v>3486.69794702335</v>
      </c>
      <c r="L18" s="26">
        <v>2000</v>
      </c>
      <c r="M18" s="788" t="s">
        <v>1184</v>
      </c>
      <c r="N18" s="13" t="s">
        <v>1185</v>
      </c>
      <c r="O18" s="26">
        <f>+J18*L18</f>
        <v>6973395.8940466996</v>
      </c>
      <c r="P18" s="26">
        <f>+K18*L18</f>
        <v>6973395.8940466996</v>
      </c>
      <c r="Q18" s="26">
        <f>+$O$18*0.1</f>
        <v>697339.58940467006</v>
      </c>
      <c r="R18" s="26">
        <f>+$O$18*0.15</f>
        <v>1046009.3841070049</v>
      </c>
      <c r="S18" s="26">
        <f>+$O$18*0.2</f>
        <v>1394679.1788093401</v>
      </c>
      <c r="T18" s="26">
        <f>+$O$18*0.3</f>
        <v>2092018.7682140097</v>
      </c>
      <c r="U18" s="26">
        <f>+$O$18*0.25</f>
        <v>1743348.9735116749</v>
      </c>
      <c r="V18" s="13"/>
      <c r="W18" s="13"/>
      <c r="X18" s="13"/>
      <c r="Y18" s="13" t="s">
        <v>148</v>
      </c>
      <c r="Z18" s="13"/>
      <c r="AA18" s="13" t="str">
        <f>+B18</f>
        <v>RE</v>
      </c>
      <c r="AB18" s="13">
        <v>3</v>
      </c>
      <c r="AC18" s="825"/>
    </row>
    <row r="19" spans="1:29" ht="100.55" customHeight="1" x14ac:dyDescent="0.25">
      <c r="A19" s="337" t="s">
        <v>259</v>
      </c>
      <c r="B19" s="285" t="s">
        <v>254</v>
      </c>
      <c r="C19" s="12" t="s">
        <v>1477</v>
      </c>
      <c r="D19" s="786" t="s">
        <v>154</v>
      </c>
      <c r="E19" s="786" t="s">
        <v>1478</v>
      </c>
      <c r="F19" s="69" t="s">
        <v>1188</v>
      </c>
      <c r="G19" s="69" t="str">
        <f>+'8. BASE  CONSOLIDADA'!O208</f>
        <v>ASISTENCIA TÉCNICA</v>
      </c>
      <c r="H19" s="69" t="str">
        <f>+'8. BASE  CONSOLIDADA'!P208</f>
        <v>C1</v>
      </c>
      <c r="I19" s="75">
        <v>29823</v>
      </c>
      <c r="J19" s="75">
        <f>+I19*0.6</f>
        <v>17893.8</v>
      </c>
      <c r="K19" s="75">
        <f>+I19*0.4</f>
        <v>11929.2</v>
      </c>
      <c r="L19" s="69">
        <v>560</v>
      </c>
      <c r="M19" s="791" t="s">
        <v>1189</v>
      </c>
      <c r="N19" s="13" t="s">
        <v>1190</v>
      </c>
      <c r="O19" s="28">
        <f t="shared" ref="O19:O30" si="0">+J19*L19</f>
        <v>10020528</v>
      </c>
      <c r="P19" s="28">
        <f t="shared" ref="P19:P28" si="1">+L19*K19</f>
        <v>6680352</v>
      </c>
      <c r="Q19" s="180">
        <f t="shared" ref="Q19:U19" si="2">+$O$19*0.2</f>
        <v>2004105.6</v>
      </c>
      <c r="R19" s="180">
        <f t="shared" si="2"/>
        <v>2004105.6</v>
      </c>
      <c r="S19" s="180">
        <f t="shared" si="2"/>
        <v>2004105.6</v>
      </c>
      <c r="T19" s="180">
        <f t="shared" si="2"/>
        <v>2004105.6</v>
      </c>
      <c r="U19" s="180">
        <f t="shared" si="2"/>
        <v>2004105.6</v>
      </c>
      <c r="V19" s="13"/>
      <c r="W19" s="69"/>
      <c r="X19" s="69"/>
      <c r="Y19" s="69" t="s">
        <v>148</v>
      </c>
      <c r="Z19" s="69"/>
      <c r="AA19" s="69" t="str">
        <f>+B19</f>
        <v>RE</v>
      </c>
      <c r="AB19" s="69">
        <v>3</v>
      </c>
      <c r="AC19" s="825"/>
    </row>
    <row r="20" spans="1:29" ht="54.7" customHeight="1" x14ac:dyDescent="0.25">
      <c r="A20" s="337" t="s">
        <v>259</v>
      </c>
      <c r="B20" s="285"/>
      <c r="C20" s="12" t="s">
        <v>1479</v>
      </c>
      <c r="D20" s="375" t="s">
        <v>162</v>
      </c>
      <c r="E20" s="373" t="s">
        <v>1192</v>
      </c>
      <c r="F20" s="181" t="s">
        <v>1193</v>
      </c>
      <c r="G20" s="69" t="str">
        <f>+'8. BASE  CONSOLIDADA'!O209</f>
        <v>TECNOLOGÍA</v>
      </c>
      <c r="H20" s="69" t="str">
        <f>+'8. BASE  CONSOLIDADA'!P209</f>
        <v>C17</v>
      </c>
      <c r="I20" s="181">
        <v>70028</v>
      </c>
      <c r="J20" s="75">
        <f>+I20*0.3</f>
        <v>21008.399999999998</v>
      </c>
      <c r="K20" s="75">
        <f t="shared" ref="K20:K21" si="3">+I20*0.3</f>
        <v>21008.399999999998</v>
      </c>
      <c r="L20" s="76">
        <v>500</v>
      </c>
      <c r="M20" s="791" t="s">
        <v>1194</v>
      </c>
      <c r="N20" s="13" t="s">
        <v>1190</v>
      </c>
      <c r="O20" s="28">
        <f t="shared" si="0"/>
        <v>10504199.999999998</v>
      </c>
      <c r="P20" s="28">
        <f t="shared" si="1"/>
        <v>10504199.999999998</v>
      </c>
      <c r="Q20" s="180">
        <f t="shared" ref="Q20:U20" si="4">+$O$20*0.2</f>
        <v>2100839.9999999995</v>
      </c>
      <c r="R20" s="180">
        <f t="shared" si="4"/>
        <v>2100839.9999999995</v>
      </c>
      <c r="S20" s="180">
        <f t="shared" si="4"/>
        <v>2100839.9999999995</v>
      </c>
      <c r="T20" s="180">
        <f t="shared" si="4"/>
        <v>2100839.9999999995</v>
      </c>
      <c r="U20" s="180">
        <f t="shared" si="4"/>
        <v>2100839.9999999995</v>
      </c>
      <c r="V20" s="13"/>
      <c r="W20" s="69"/>
      <c r="X20" s="69"/>
      <c r="Y20" s="69" t="s">
        <v>148</v>
      </c>
      <c r="Z20" s="69"/>
      <c r="AA20" s="69"/>
      <c r="AB20" s="69">
        <v>3</v>
      </c>
      <c r="AC20" s="825"/>
    </row>
    <row r="21" spans="1:29" ht="60.8" customHeight="1" x14ac:dyDescent="0.25">
      <c r="A21" s="337" t="s">
        <v>259</v>
      </c>
      <c r="B21" s="285" t="s">
        <v>254</v>
      </c>
      <c r="C21" s="12" t="s">
        <v>1480</v>
      </c>
      <c r="D21" s="786" t="s">
        <v>158</v>
      </c>
      <c r="E21" s="786" t="s">
        <v>1196</v>
      </c>
      <c r="F21" s="179" t="s">
        <v>1197</v>
      </c>
      <c r="G21" s="69" t="str">
        <f>+'8. BASE  CONSOLIDADA'!O210</f>
        <v>TECNOLOGÍA</v>
      </c>
      <c r="H21" s="69" t="str">
        <f>+'8. BASE  CONSOLIDADA'!P210</f>
        <v>C17</v>
      </c>
      <c r="I21" s="181">
        <v>70028</v>
      </c>
      <c r="J21" s="75">
        <f>+I21*0.2</f>
        <v>14005.6</v>
      </c>
      <c r="K21" s="75">
        <f t="shared" si="3"/>
        <v>21008.399999999998</v>
      </c>
      <c r="L21" s="76">
        <v>2500</v>
      </c>
      <c r="M21" s="791" t="s">
        <v>1198</v>
      </c>
      <c r="N21" s="69" t="s">
        <v>992</v>
      </c>
      <c r="O21" s="28">
        <f t="shared" si="0"/>
        <v>35014000</v>
      </c>
      <c r="P21" s="28">
        <f t="shared" si="1"/>
        <v>52520999.999999993</v>
      </c>
      <c r="Q21" s="180">
        <f t="shared" ref="Q21:U21" si="5">+$O$21*0.2</f>
        <v>7002800</v>
      </c>
      <c r="R21" s="180">
        <f t="shared" si="5"/>
        <v>7002800</v>
      </c>
      <c r="S21" s="180">
        <f t="shared" si="5"/>
        <v>7002800</v>
      </c>
      <c r="T21" s="180">
        <f t="shared" si="5"/>
        <v>7002800</v>
      </c>
      <c r="U21" s="180">
        <f t="shared" si="5"/>
        <v>7002800</v>
      </c>
      <c r="V21" s="13"/>
      <c r="W21" s="69"/>
      <c r="X21" s="69"/>
      <c r="Y21" s="69" t="s">
        <v>148</v>
      </c>
      <c r="Z21" s="69"/>
      <c r="AA21" s="69" t="str">
        <f t="shared" ref="AA21:AA29" si="6">+B21</f>
        <v>RE</v>
      </c>
      <c r="AB21" s="69">
        <v>3</v>
      </c>
    </row>
    <row r="22" spans="1:29" ht="67.599999999999994" customHeight="1" x14ac:dyDescent="0.25">
      <c r="A22" s="333" t="s">
        <v>260</v>
      </c>
      <c r="B22" s="284" t="s">
        <v>254</v>
      </c>
      <c r="C22" s="12" t="s">
        <v>1481</v>
      </c>
      <c r="D22" s="786" t="s">
        <v>161</v>
      </c>
      <c r="E22" s="786" t="s">
        <v>1482</v>
      </c>
      <c r="F22" s="179" t="s">
        <v>1201</v>
      </c>
      <c r="G22" s="69" t="str">
        <f>+'8. BASE  CONSOLIDADA'!O211</f>
        <v>TECNOLOGÍA</v>
      </c>
      <c r="H22" s="69" t="str">
        <f>+'8. BASE  CONSOLIDADA'!P211</f>
        <v>C17</v>
      </c>
      <c r="I22" s="181">
        <f>+I21</f>
        <v>70028</v>
      </c>
      <c r="J22" s="75">
        <f>+I22*0.05</f>
        <v>3501.4</v>
      </c>
      <c r="K22" s="75">
        <f>+I22*0.06</f>
        <v>4201.68</v>
      </c>
      <c r="L22" s="76">
        <v>11500</v>
      </c>
      <c r="M22" s="791" t="s">
        <v>1202</v>
      </c>
      <c r="N22" s="69" t="s">
        <v>1190</v>
      </c>
      <c r="O22" s="28">
        <f t="shared" si="0"/>
        <v>40266100</v>
      </c>
      <c r="P22" s="28">
        <f t="shared" si="1"/>
        <v>48319320</v>
      </c>
      <c r="Q22" s="180">
        <f t="shared" ref="Q22:U22" si="7">+$O$22*0.2</f>
        <v>8053220</v>
      </c>
      <c r="R22" s="180">
        <f t="shared" si="7"/>
        <v>8053220</v>
      </c>
      <c r="S22" s="180">
        <f t="shared" si="7"/>
        <v>8053220</v>
      </c>
      <c r="T22" s="180">
        <f t="shared" si="7"/>
        <v>8053220</v>
      </c>
      <c r="U22" s="180">
        <f t="shared" si="7"/>
        <v>8053220</v>
      </c>
      <c r="V22" s="13"/>
      <c r="W22" s="69"/>
      <c r="X22" s="69"/>
      <c r="Y22" s="69" t="s">
        <v>148</v>
      </c>
      <c r="Z22" s="69"/>
      <c r="AA22" s="69" t="str">
        <f t="shared" si="6"/>
        <v>RE</v>
      </c>
      <c r="AB22" s="69">
        <v>3</v>
      </c>
    </row>
    <row r="23" spans="1:29" ht="87.8" customHeight="1" x14ac:dyDescent="0.25">
      <c r="A23" s="333" t="s">
        <v>260</v>
      </c>
      <c r="B23" s="284" t="s">
        <v>254</v>
      </c>
      <c r="C23" s="12" t="s">
        <v>1483</v>
      </c>
      <c r="D23" s="819" t="s">
        <v>166</v>
      </c>
      <c r="E23" s="786" t="s">
        <v>1204</v>
      </c>
      <c r="F23" s="179" t="s">
        <v>1262</v>
      </c>
      <c r="G23" s="69" t="str">
        <f>+'8. BASE  CONSOLIDADA'!O212</f>
        <v>RECONVERSIÓN</v>
      </c>
      <c r="H23" s="69" t="str">
        <f>+'8. BASE  CONSOLIDADA'!P212</f>
        <v>C12</v>
      </c>
      <c r="I23" s="181">
        <f>+I22*0.2</f>
        <v>14005.6</v>
      </c>
      <c r="J23" s="75">
        <f t="shared" ref="J23:J24" si="8">+I23*0.1</f>
        <v>1400.5600000000002</v>
      </c>
      <c r="K23" s="75">
        <f>+I23*0.1</f>
        <v>1400.5600000000002</v>
      </c>
      <c r="L23" s="75">
        <v>15000</v>
      </c>
      <c r="M23" s="819" t="s">
        <v>1206</v>
      </c>
      <c r="N23" s="69" t="s">
        <v>1322</v>
      </c>
      <c r="O23" s="28">
        <f t="shared" si="0"/>
        <v>21008400.000000004</v>
      </c>
      <c r="P23" s="28">
        <f t="shared" si="1"/>
        <v>21008400.000000004</v>
      </c>
      <c r="Q23" s="180">
        <f t="shared" ref="Q23:U23" si="9">+$O$23*0.2</f>
        <v>4201680.0000000009</v>
      </c>
      <c r="R23" s="180">
        <f t="shared" si="9"/>
        <v>4201680.0000000009</v>
      </c>
      <c r="S23" s="180">
        <f t="shared" si="9"/>
        <v>4201680.0000000009</v>
      </c>
      <c r="T23" s="180">
        <f t="shared" si="9"/>
        <v>4201680.0000000009</v>
      </c>
      <c r="U23" s="180">
        <f t="shared" si="9"/>
        <v>4201680.0000000009</v>
      </c>
      <c r="V23" s="13"/>
      <c r="W23" s="69" t="s">
        <v>148</v>
      </c>
      <c r="X23" s="69"/>
      <c r="Y23" s="69"/>
      <c r="Z23" s="69"/>
      <c r="AA23" s="69" t="str">
        <f t="shared" si="6"/>
        <v>RE</v>
      </c>
      <c r="AB23" s="69">
        <v>2</v>
      </c>
    </row>
    <row r="24" spans="1:29" ht="109.55" customHeight="1" x14ac:dyDescent="0.25">
      <c r="A24" s="337" t="s">
        <v>259</v>
      </c>
      <c r="B24" s="285" t="s">
        <v>254</v>
      </c>
      <c r="C24" s="12" t="s">
        <v>1484</v>
      </c>
      <c r="D24" s="375" t="s">
        <v>164</v>
      </c>
      <c r="E24" s="375" t="s">
        <v>1209</v>
      </c>
      <c r="F24" s="179" t="s">
        <v>1210</v>
      </c>
      <c r="G24" s="69" t="str">
        <f>+'8. BASE  CONSOLIDADA'!O213</f>
        <v>CAPACITACIÓN</v>
      </c>
      <c r="H24" s="69" t="str">
        <f>+'8. BASE  CONSOLIDADA'!P213</f>
        <v>C3</v>
      </c>
      <c r="I24" s="181">
        <f>+I19</f>
        <v>29823</v>
      </c>
      <c r="J24" s="75">
        <f t="shared" si="8"/>
        <v>2982.3</v>
      </c>
      <c r="K24" s="75">
        <f>29531*0.2</f>
        <v>5906.2000000000007</v>
      </c>
      <c r="L24" s="76">
        <f>3*4300</f>
        <v>12900</v>
      </c>
      <c r="M24" s="791" t="s">
        <v>1211</v>
      </c>
      <c r="N24" s="69" t="s">
        <v>1485</v>
      </c>
      <c r="O24" s="28">
        <f t="shared" si="0"/>
        <v>38471670</v>
      </c>
      <c r="P24" s="28">
        <f t="shared" si="1"/>
        <v>76189980.000000015</v>
      </c>
      <c r="Q24" s="180">
        <f t="shared" ref="Q24:U24" si="10">+$O$24*0.2</f>
        <v>7694334</v>
      </c>
      <c r="R24" s="180">
        <f t="shared" si="10"/>
        <v>7694334</v>
      </c>
      <c r="S24" s="180">
        <f t="shared" si="10"/>
        <v>7694334</v>
      </c>
      <c r="T24" s="180">
        <f t="shared" si="10"/>
        <v>7694334</v>
      </c>
      <c r="U24" s="180">
        <f t="shared" si="10"/>
        <v>7694334</v>
      </c>
      <c r="V24" s="13"/>
      <c r="W24" s="69"/>
      <c r="X24" s="69"/>
      <c r="Y24" s="69" t="s">
        <v>148</v>
      </c>
      <c r="Z24" s="69"/>
      <c r="AA24" s="69" t="str">
        <f t="shared" si="6"/>
        <v>RE</v>
      </c>
      <c r="AB24" s="69">
        <v>2</v>
      </c>
    </row>
    <row r="25" spans="1:29" ht="69.8" customHeight="1" x14ac:dyDescent="0.25">
      <c r="A25" s="337" t="s">
        <v>259</v>
      </c>
      <c r="B25" s="285" t="s">
        <v>254</v>
      </c>
      <c r="C25" s="12" t="s">
        <v>1486</v>
      </c>
      <c r="D25" s="819" t="s">
        <v>155</v>
      </c>
      <c r="E25" s="819" t="s">
        <v>1487</v>
      </c>
      <c r="F25" s="179" t="s">
        <v>1488</v>
      </c>
      <c r="G25" s="69" t="str">
        <f>+'8. BASE  CONSOLIDADA'!O214</f>
        <v>ASISTENCIA TÉCNICA</v>
      </c>
      <c r="H25" s="69" t="str">
        <f>+'8. BASE  CONSOLIDADA'!P214</f>
        <v>C1</v>
      </c>
      <c r="I25" s="179">
        <v>431</v>
      </c>
      <c r="J25" s="69">
        <v>431</v>
      </c>
      <c r="K25" s="69">
        <v>431</v>
      </c>
      <c r="L25" s="76">
        <v>560</v>
      </c>
      <c r="M25" s="791" t="s">
        <v>1216</v>
      </c>
      <c r="N25" s="69" t="s">
        <v>1489</v>
      </c>
      <c r="O25" s="28">
        <f t="shared" si="0"/>
        <v>241360</v>
      </c>
      <c r="P25" s="28">
        <f t="shared" si="1"/>
        <v>241360</v>
      </c>
      <c r="Q25" s="180">
        <f t="shared" ref="Q25:U25" si="11">+$O$25*0.2</f>
        <v>48272</v>
      </c>
      <c r="R25" s="180">
        <f t="shared" si="11"/>
        <v>48272</v>
      </c>
      <c r="S25" s="180">
        <f t="shared" si="11"/>
        <v>48272</v>
      </c>
      <c r="T25" s="180">
        <f t="shared" si="11"/>
        <v>48272</v>
      </c>
      <c r="U25" s="180">
        <f t="shared" si="11"/>
        <v>48272</v>
      </c>
      <c r="V25" s="13"/>
      <c r="W25" s="69"/>
      <c r="X25" s="69"/>
      <c r="Y25" s="69" t="s">
        <v>148</v>
      </c>
      <c r="Z25" s="69"/>
      <c r="AA25" s="69" t="str">
        <f t="shared" si="6"/>
        <v>RE</v>
      </c>
      <c r="AB25" s="69">
        <v>2</v>
      </c>
    </row>
    <row r="26" spans="1:29" ht="72.7" customHeight="1" x14ac:dyDescent="0.25">
      <c r="A26" s="295" t="s">
        <v>257</v>
      </c>
      <c r="B26" s="290" t="s">
        <v>254</v>
      </c>
      <c r="C26" s="12" t="s">
        <v>1490</v>
      </c>
      <c r="D26" s="786" t="s">
        <v>160</v>
      </c>
      <c r="E26" s="786" t="s">
        <v>1491</v>
      </c>
      <c r="F26" s="183" t="s">
        <v>1219</v>
      </c>
      <c r="G26" s="69" t="str">
        <f>+'8. BASE  CONSOLIDADA'!O215</f>
        <v>FINANCIAMIENTO</v>
      </c>
      <c r="H26" s="69" t="str">
        <f>+'8. BASE  CONSOLIDADA'!P215</f>
        <v>C6</v>
      </c>
      <c r="I26" s="183"/>
      <c r="J26" s="13">
        <v>431</v>
      </c>
      <c r="K26" s="13">
        <v>431</v>
      </c>
      <c r="L26" s="76">
        <f>3*4300</f>
        <v>12900</v>
      </c>
      <c r="M26" s="788" t="s">
        <v>1492</v>
      </c>
      <c r="N26" s="13" t="s">
        <v>1493</v>
      </c>
      <c r="O26" s="28">
        <f t="shared" si="0"/>
        <v>5559900</v>
      </c>
      <c r="P26" s="28">
        <f t="shared" si="1"/>
        <v>5559900</v>
      </c>
      <c r="Q26" s="180">
        <f t="shared" ref="Q26:U26" si="12">+$O$26*0.2</f>
        <v>1111980</v>
      </c>
      <c r="R26" s="180">
        <f t="shared" si="12"/>
        <v>1111980</v>
      </c>
      <c r="S26" s="180">
        <f t="shared" si="12"/>
        <v>1111980</v>
      </c>
      <c r="T26" s="180">
        <f t="shared" si="12"/>
        <v>1111980</v>
      </c>
      <c r="U26" s="180">
        <f t="shared" si="12"/>
        <v>1111980</v>
      </c>
      <c r="V26" s="13"/>
      <c r="W26" s="69" t="s">
        <v>148</v>
      </c>
      <c r="X26" s="69"/>
      <c r="Y26" s="69"/>
      <c r="Z26" s="69"/>
      <c r="AA26" s="69" t="str">
        <f t="shared" si="6"/>
        <v>RE</v>
      </c>
      <c r="AB26" s="69">
        <v>2</v>
      </c>
    </row>
    <row r="27" spans="1:29" ht="104.95" customHeight="1" x14ac:dyDescent="0.25">
      <c r="A27" s="295" t="s">
        <v>257</v>
      </c>
      <c r="B27" s="290" t="s">
        <v>254</v>
      </c>
      <c r="C27" s="12" t="s">
        <v>1494</v>
      </c>
      <c r="D27" s="375" t="s">
        <v>163</v>
      </c>
      <c r="E27" s="375" t="s">
        <v>1495</v>
      </c>
      <c r="F27" s="69" t="s">
        <v>1219</v>
      </c>
      <c r="G27" s="69" t="str">
        <f>+'8. BASE  CONSOLIDADA'!O216</f>
        <v>FINANCIAMIENTO</v>
      </c>
      <c r="H27" s="69" t="str">
        <f>+'8. BASE  CONSOLIDADA'!P216</f>
        <v>C6</v>
      </c>
      <c r="I27" s="181">
        <f>+I19</f>
        <v>29823</v>
      </c>
      <c r="J27" s="75">
        <f>+I27*0.3</f>
        <v>8946.9</v>
      </c>
      <c r="K27" s="75">
        <f>+I27*0.2</f>
        <v>5964.6</v>
      </c>
      <c r="L27" s="76">
        <f>4300*2.5</f>
        <v>10750</v>
      </c>
      <c r="M27" s="791" t="s">
        <v>1223</v>
      </c>
      <c r="N27" s="13" t="s">
        <v>1496</v>
      </c>
      <c r="O27" s="26">
        <f t="shared" si="0"/>
        <v>96179175</v>
      </c>
      <c r="P27" s="26">
        <f t="shared" si="1"/>
        <v>64119450.000000007</v>
      </c>
      <c r="Q27" s="180">
        <f t="shared" ref="Q27:U27" si="13">+$O$27*0.2</f>
        <v>19235835</v>
      </c>
      <c r="R27" s="180">
        <f t="shared" si="13"/>
        <v>19235835</v>
      </c>
      <c r="S27" s="180">
        <f t="shared" si="13"/>
        <v>19235835</v>
      </c>
      <c r="T27" s="180">
        <f t="shared" si="13"/>
        <v>19235835</v>
      </c>
      <c r="U27" s="180">
        <f t="shared" si="13"/>
        <v>19235835</v>
      </c>
      <c r="V27" s="13"/>
      <c r="W27" s="69" t="s">
        <v>148</v>
      </c>
      <c r="X27" s="69"/>
      <c r="Y27" s="69"/>
      <c r="Z27" s="69"/>
      <c r="AA27" s="69" t="str">
        <f t="shared" si="6"/>
        <v>RE</v>
      </c>
      <c r="AB27" s="69">
        <v>2</v>
      </c>
    </row>
    <row r="28" spans="1:29" ht="113.3" customHeight="1" x14ac:dyDescent="0.25">
      <c r="A28" s="333" t="s">
        <v>260</v>
      </c>
      <c r="B28" s="284" t="s">
        <v>254</v>
      </c>
      <c r="C28" s="12" t="s">
        <v>1497</v>
      </c>
      <c r="D28" s="786" t="s">
        <v>167</v>
      </c>
      <c r="E28" s="786" t="s">
        <v>1498</v>
      </c>
      <c r="F28" s="415" t="s">
        <v>1227</v>
      </c>
      <c r="G28" s="69" t="str">
        <f>+'8. BASE  CONSOLIDADA'!O217</f>
        <v>INFRAESTRUCTURA</v>
      </c>
      <c r="H28" s="69" t="str">
        <f>+'8. BASE  CONSOLIDADA'!P217</f>
        <v>C7</v>
      </c>
      <c r="I28" s="69"/>
      <c r="J28" s="182">
        <f>28*0.2</f>
        <v>5.6000000000000005</v>
      </c>
      <c r="K28" s="182">
        <f>28*0.3</f>
        <v>8.4</v>
      </c>
      <c r="L28" s="28">
        <v>800000</v>
      </c>
      <c r="M28" s="791" t="s">
        <v>1228</v>
      </c>
      <c r="N28" s="69" t="s">
        <v>1229</v>
      </c>
      <c r="O28" s="28">
        <f t="shared" si="0"/>
        <v>4480000</v>
      </c>
      <c r="P28" s="28">
        <f t="shared" si="1"/>
        <v>6720000</v>
      </c>
      <c r="Q28" s="28">
        <f t="shared" ref="Q28:U28" si="14">+$O$28*0.2</f>
        <v>896000</v>
      </c>
      <c r="R28" s="28">
        <f t="shared" si="14"/>
        <v>896000</v>
      </c>
      <c r="S28" s="28">
        <f t="shared" si="14"/>
        <v>896000</v>
      </c>
      <c r="T28" s="28">
        <f t="shared" si="14"/>
        <v>896000</v>
      </c>
      <c r="U28" s="28">
        <f t="shared" si="14"/>
        <v>896000</v>
      </c>
      <c r="V28" s="13"/>
      <c r="W28" s="69"/>
      <c r="X28" s="69"/>
      <c r="Y28" s="69"/>
      <c r="Z28" s="69"/>
      <c r="AA28" s="69" t="str">
        <f t="shared" si="6"/>
        <v>RE</v>
      </c>
      <c r="AB28" s="69">
        <v>3</v>
      </c>
    </row>
    <row r="29" spans="1:29" ht="71.349999999999994" customHeight="1" x14ac:dyDescent="0.25">
      <c r="A29" s="333" t="s">
        <v>260</v>
      </c>
      <c r="B29" s="284" t="s">
        <v>254</v>
      </c>
      <c r="C29" s="12" t="s">
        <v>1499</v>
      </c>
      <c r="D29" s="786" t="s">
        <v>159</v>
      </c>
      <c r="E29" s="786" t="s">
        <v>1231</v>
      </c>
      <c r="F29" s="69" t="s">
        <v>1040</v>
      </c>
      <c r="G29" s="69" t="str">
        <f>+'8. BASE  CONSOLIDADA'!O218</f>
        <v>CAPACITACIÓN</v>
      </c>
      <c r="H29" s="69" t="str">
        <f>+'8. BASE  CONSOLIDADA'!P218</f>
        <v>C3</v>
      </c>
      <c r="I29" s="69">
        <v>20</v>
      </c>
      <c r="J29" s="182">
        <v>10</v>
      </c>
      <c r="K29" s="182">
        <v>10</v>
      </c>
      <c r="L29" s="180">
        <v>50000</v>
      </c>
      <c r="M29" s="791" t="s">
        <v>1232</v>
      </c>
      <c r="N29" s="69" t="s">
        <v>1038</v>
      </c>
      <c r="O29" s="180">
        <f t="shared" si="0"/>
        <v>500000</v>
      </c>
      <c r="P29" s="180">
        <f t="shared" ref="P29:P30" si="15">+K29*L29</f>
        <v>500000</v>
      </c>
      <c r="Q29" s="180">
        <f t="shared" ref="Q29:U29" si="16">+$O$29*0.2</f>
        <v>100000</v>
      </c>
      <c r="R29" s="180">
        <f t="shared" si="16"/>
        <v>100000</v>
      </c>
      <c r="S29" s="180">
        <f t="shared" si="16"/>
        <v>100000</v>
      </c>
      <c r="T29" s="180">
        <f t="shared" si="16"/>
        <v>100000</v>
      </c>
      <c r="U29" s="180">
        <f t="shared" si="16"/>
        <v>100000</v>
      </c>
      <c r="V29" s="13"/>
      <c r="W29" s="69" t="s">
        <v>148</v>
      </c>
      <c r="X29" s="69"/>
      <c r="Y29" s="69"/>
      <c r="Z29" s="69"/>
      <c r="AA29" s="69" t="str">
        <f t="shared" si="6"/>
        <v>RE</v>
      </c>
      <c r="AB29" s="69">
        <v>2</v>
      </c>
    </row>
    <row r="30" spans="1:29" ht="133.5" customHeight="1" x14ac:dyDescent="0.25">
      <c r="A30" s="337" t="s">
        <v>259</v>
      </c>
      <c r="B30" s="285"/>
      <c r="C30" s="12" t="s">
        <v>1500</v>
      </c>
      <c r="D30" s="375" t="s">
        <v>165</v>
      </c>
      <c r="E30" s="375" t="s">
        <v>1234</v>
      </c>
      <c r="F30" s="183" t="s">
        <v>1235</v>
      </c>
      <c r="G30" s="69" t="str">
        <f>+'8. BASE  CONSOLIDADA'!O219</f>
        <v>ASOCIATIVIDAD</v>
      </c>
      <c r="H30" s="69" t="str">
        <f>+'8. BASE  CONSOLIDADA'!P219</f>
        <v>C2</v>
      </c>
      <c r="I30" s="179">
        <v>28</v>
      </c>
      <c r="J30" s="182">
        <v>10</v>
      </c>
      <c r="K30" s="182">
        <f>28*0.3</f>
        <v>8.4</v>
      </c>
      <c r="L30" s="28">
        <v>120000</v>
      </c>
      <c r="M30" s="791" t="s">
        <v>1236</v>
      </c>
      <c r="N30" s="13" t="s">
        <v>1501</v>
      </c>
      <c r="O30" s="28">
        <f t="shared" si="0"/>
        <v>1200000</v>
      </c>
      <c r="P30" s="28">
        <f t="shared" si="15"/>
        <v>1008000</v>
      </c>
      <c r="Q30" s="28">
        <f t="shared" ref="Q30:U30" si="17">+$O$30*0.2</f>
        <v>240000</v>
      </c>
      <c r="R30" s="28">
        <f t="shared" si="17"/>
        <v>240000</v>
      </c>
      <c r="S30" s="28">
        <f t="shared" si="17"/>
        <v>240000</v>
      </c>
      <c r="T30" s="28">
        <f t="shared" si="17"/>
        <v>240000</v>
      </c>
      <c r="U30" s="28">
        <f t="shared" si="17"/>
        <v>240000</v>
      </c>
      <c r="V30" s="13"/>
      <c r="W30" s="69"/>
      <c r="X30" s="69"/>
      <c r="Y30" s="69" t="s">
        <v>148</v>
      </c>
      <c r="Z30" s="69"/>
      <c r="AA30" s="69"/>
      <c r="AB30" s="69">
        <v>3</v>
      </c>
    </row>
    <row r="31" spans="1:29" ht="57.1" customHeight="1" x14ac:dyDescent="0.25">
      <c r="A31" s="333" t="s">
        <v>260</v>
      </c>
      <c r="B31" s="284"/>
      <c r="C31" s="12" t="s">
        <v>1502</v>
      </c>
      <c r="D31" s="786" t="s">
        <v>156</v>
      </c>
      <c r="E31" s="786" t="s">
        <v>1239</v>
      </c>
      <c r="F31" s="13" t="s">
        <v>1240</v>
      </c>
      <c r="G31" s="69" t="str">
        <f>+'8. BASE  CONSOLIDADA'!O220</f>
        <v>MERCADO</v>
      </c>
      <c r="H31" s="69" t="str">
        <f>+'8. BASE  CONSOLIDADA'!P220</f>
        <v>C9</v>
      </c>
      <c r="I31" s="185">
        <v>28</v>
      </c>
      <c r="J31" s="14">
        <f>+I31*0.5</f>
        <v>14</v>
      </c>
      <c r="K31" s="14">
        <f>+I31*0.5</f>
        <v>14</v>
      </c>
      <c r="L31" s="26">
        <v>40000</v>
      </c>
      <c r="M31" s="788" t="s">
        <v>1241</v>
      </c>
      <c r="N31" s="13" t="s">
        <v>1242</v>
      </c>
      <c r="O31" s="28">
        <f>+J31*L31*5</f>
        <v>2800000</v>
      </c>
      <c r="P31" s="28">
        <f>+K31*L31*5</f>
        <v>2800000</v>
      </c>
      <c r="Q31" s="28">
        <f t="shared" ref="Q31:U31" si="18">+$O$31*0.2</f>
        <v>560000</v>
      </c>
      <c r="R31" s="28">
        <f t="shared" si="18"/>
        <v>560000</v>
      </c>
      <c r="S31" s="28">
        <f t="shared" si="18"/>
        <v>560000</v>
      </c>
      <c r="T31" s="28">
        <f t="shared" si="18"/>
        <v>560000</v>
      </c>
      <c r="U31" s="28">
        <f t="shared" si="18"/>
        <v>560000</v>
      </c>
      <c r="V31" s="13"/>
      <c r="W31" s="69"/>
      <c r="X31" s="69"/>
      <c r="Y31" s="69" t="s">
        <v>148</v>
      </c>
      <c r="Z31" s="69"/>
      <c r="AA31" s="69"/>
      <c r="AB31" s="69">
        <v>3</v>
      </c>
    </row>
    <row r="32" spans="1:29" ht="58.6" customHeight="1" x14ac:dyDescent="0.25">
      <c r="A32" s="335" t="s">
        <v>256</v>
      </c>
      <c r="B32" s="286"/>
      <c r="C32" s="12" t="s">
        <v>1503</v>
      </c>
      <c r="D32" s="786" t="s">
        <v>168</v>
      </c>
      <c r="E32" s="786" t="s">
        <v>1244</v>
      </c>
      <c r="F32" s="13" t="s">
        <v>1245</v>
      </c>
      <c r="G32" s="69" t="str">
        <f>+'8. BASE  CONSOLIDADA'!O221</f>
        <v>SERVICIOS ECOSISTÉMICOS</v>
      </c>
      <c r="H32" s="69" t="str">
        <f>+'8. BASE  CONSOLIDADA'!P221</f>
        <v>C15</v>
      </c>
      <c r="I32" s="14"/>
      <c r="J32" s="14">
        <f t="shared" ref="J32:K32" si="19">(5*1)*5</f>
        <v>25</v>
      </c>
      <c r="K32" s="14">
        <f t="shared" si="19"/>
        <v>25</v>
      </c>
      <c r="L32" s="26">
        <v>10000</v>
      </c>
      <c r="M32" s="788" t="s">
        <v>1246</v>
      </c>
      <c r="N32" s="13" t="s">
        <v>1247</v>
      </c>
      <c r="O32" s="28">
        <f t="shared" ref="O32:O33" si="20">+J32*L32</f>
        <v>250000</v>
      </c>
      <c r="P32" s="28">
        <f t="shared" ref="P32:P33" si="21">+K32*L32</f>
        <v>250000</v>
      </c>
      <c r="Q32" s="28">
        <f t="shared" ref="Q32:U32" si="22">+$O$32*0.2</f>
        <v>50000</v>
      </c>
      <c r="R32" s="28">
        <f t="shared" si="22"/>
        <v>50000</v>
      </c>
      <c r="S32" s="28">
        <f t="shared" si="22"/>
        <v>50000</v>
      </c>
      <c r="T32" s="28">
        <f t="shared" si="22"/>
        <v>50000</v>
      </c>
      <c r="U32" s="28">
        <f t="shared" si="22"/>
        <v>50000</v>
      </c>
      <c r="V32" s="30"/>
      <c r="W32" s="69"/>
      <c r="X32" s="69"/>
      <c r="Y32" s="69" t="s">
        <v>148</v>
      </c>
      <c r="Z32" s="69"/>
      <c r="AA32" s="69"/>
      <c r="AB32" s="69">
        <v>2</v>
      </c>
    </row>
    <row r="33" spans="1:28" ht="45" customHeight="1" x14ac:dyDescent="0.25">
      <c r="A33" s="333" t="s">
        <v>260</v>
      </c>
      <c r="B33" s="284" t="s">
        <v>254</v>
      </c>
      <c r="C33" s="12" t="s">
        <v>1504</v>
      </c>
      <c r="D33" s="786" t="s">
        <v>157</v>
      </c>
      <c r="E33" s="786" t="s">
        <v>1505</v>
      </c>
      <c r="F33" s="183" t="s">
        <v>1506</v>
      </c>
      <c r="G33" s="13" t="str">
        <f>+'8. BASE  CONSOLIDADA'!O222</f>
        <v>MERCADO</v>
      </c>
      <c r="H33" s="69" t="str">
        <f>+'8. BASE  CONSOLIDADA'!P222</f>
        <v>C9</v>
      </c>
      <c r="I33" s="185"/>
      <c r="J33" s="14">
        <f>30728*0.3</f>
        <v>9218.4</v>
      </c>
      <c r="K33" s="14">
        <f>30728*0.7</f>
        <v>21509.599999999999</v>
      </c>
      <c r="L33" s="26">
        <f>702*3.56</f>
        <v>2499.12</v>
      </c>
      <c r="M33" s="788" t="s">
        <v>1507</v>
      </c>
      <c r="N33" s="13" t="s">
        <v>1508</v>
      </c>
      <c r="O33" s="28">
        <f t="shared" si="20"/>
        <v>23037887.807999998</v>
      </c>
      <c r="P33" s="28">
        <f t="shared" si="21"/>
        <v>53755071.551999994</v>
      </c>
      <c r="Q33" s="28">
        <f t="shared" ref="Q33:U33" si="23">+$O$33*0.2</f>
        <v>4607577.5615999997</v>
      </c>
      <c r="R33" s="28">
        <f t="shared" si="23"/>
        <v>4607577.5615999997</v>
      </c>
      <c r="S33" s="28">
        <f t="shared" si="23"/>
        <v>4607577.5615999997</v>
      </c>
      <c r="T33" s="28">
        <f t="shared" si="23"/>
        <v>4607577.5615999997</v>
      </c>
      <c r="U33" s="28">
        <f t="shared" si="23"/>
        <v>4607577.5615999997</v>
      </c>
      <c r="V33" s="13"/>
      <c r="W33" s="13"/>
      <c r="X33" s="13"/>
      <c r="Y33" s="13" t="s">
        <v>148</v>
      </c>
      <c r="Z33" s="13"/>
      <c r="AA33" s="69" t="str">
        <f>+B33</f>
        <v>RE</v>
      </c>
      <c r="AB33" s="13">
        <v>2</v>
      </c>
    </row>
    <row r="34" spans="1:28" ht="19.55" customHeight="1" x14ac:dyDescent="0.25">
      <c r="A34" s="825"/>
      <c r="B34" s="16"/>
      <c r="C34" s="1"/>
      <c r="D34" s="366"/>
      <c r="E34" s="34"/>
      <c r="F34" s="366"/>
      <c r="G34" s="470"/>
      <c r="H34" s="366"/>
      <c r="I34" s="366"/>
      <c r="J34" s="366"/>
      <c r="K34" s="366"/>
      <c r="L34" s="366"/>
      <c r="M34" s="264"/>
      <c r="N34" s="366"/>
      <c r="O34" s="29">
        <f>SUM(O18:O33)</f>
        <v>296506616.70204663</v>
      </c>
      <c r="P34" s="29">
        <f t="shared" ref="P34:U34" si="24">SUM(P18:P33)</f>
        <v>357150429.44604671</v>
      </c>
      <c r="Q34" s="29">
        <f t="shared" si="24"/>
        <v>58603983.751004666</v>
      </c>
      <c r="R34" s="29">
        <f t="shared" si="24"/>
        <v>58952653.545707002</v>
      </c>
      <c r="S34" s="29">
        <f t="shared" si="24"/>
        <v>59301323.340409338</v>
      </c>
      <c r="T34" s="29">
        <f t="shared" si="24"/>
        <v>59998662.929814011</v>
      </c>
      <c r="U34" s="29">
        <f t="shared" si="24"/>
        <v>59649993.135111675</v>
      </c>
      <c r="V34" s="366"/>
      <c r="W34" s="1"/>
      <c r="X34" s="1"/>
      <c r="Y34" s="1"/>
      <c r="Z34" s="1"/>
      <c r="AA34" s="1"/>
      <c r="AB34" s="1"/>
    </row>
    <row r="35" spans="1:28" s="243" customFormat="1" ht="19.55" customHeight="1" x14ac:dyDescent="0.25">
      <c r="A35" s="825"/>
      <c r="B35" s="16"/>
      <c r="C35" s="1"/>
      <c r="D35" s="366"/>
      <c r="E35" s="34"/>
      <c r="F35" s="366"/>
      <c r="G35" s="366"/>
      <c r="H35" s="366"/>
      <c r="I35" s="366"/>
      <c r="J35" s="366"/>
      <c r="K35" s="366"/>
      <c r="L35" s="366"/>
      <c r="M35" s="264"/>
      <c r="N35" s="366"/>
      <c r="O35" s="1"/>
      <c r="P35" s="1"/>
      <c r="Q35" s="1"/>
      <c r="R35" s="1"/>
      <c r="S35" s="1"/>
      <c r="T35" s="1"/>
      <c r="U35" s="1"/>
      <c r="V35" s="366"/>
      <c r="W35" s="1"/>
      <c r="X35" s="1"/>
      <c r="Y35" s="1"/>
      <c r="Z35" s="1"/>
      <c r="AA35" s="1"/>
      <c r="AB35" s="1"/>
    </row>
    <row r="36" spans="1:28" ht="11.25" customHeight="1" x14ac:dyDescent="0.25">
      <c r="A36" s="825"/>
      <c r="B36" s="16"/>
      <c r="C36" s="1"/>
      <c r="D36" s="366"/>
      <c r="E36" s="34"/>
      <c r="F36" s="366"/>
      <c r="G36" s="366"/>
      <c r="H36" s="366"/>
      <c r="I36" s="366"/>
      <c r="J36" s="366"/>
      <c r="K36" s="366"/>
      <c r="L36" s="366"/>
      <c r="M36" s="264"/>
      <c r="N36" s="366"/>
      <c r="O36" s="366"/>
      <c r="P36" s="366"/>
      <c r="Q36" s="366"/>
      <c r="R36" s="366"/>
      <c r="S36" s="366"/>
      <c r="T36" s="366"/>
      <c r="U36" s="366"/>
      <c r="V36" s="366"/>
      <c r="W36" s="1"/>
      <c r="X36" s="1"/>
      <c r="Y36" s="1"/>
      <c r="Z36" s="1"/>
      <c r="AA36" s="1"/>
      <c r="AB36" s="1"/>
    </row>
    <row r="37" spans="1:28" ht="15.8" customHeight="1" x14ac:dyDescent="0.25">
      <c r="A37" s="825"/>
      <c r="B37" s="16"/>
      <c r="C37" s="1459" t="s">
        <v>1170</v>
      </c>
      <c r="D37" s="1405"/>
      <c r="E37" s="1406"/>
      <c r="F37" s="816" t="s">
        <v>125</v>
      </c>
      <c r="G37" s="817"/>
      <c r="H37" s="817"/>
      <c r="I37" s="817"/>
      <c r="J37" s="817"/>
      <c r="K37" s="817"/>
      <c r="L37" s="817"/>
      <c r="M37" s="943"/>
      <c r="N37" s="817"/>
      <c r="O37" s="817"/>
      <c r="P37" s="817"/>
      <c r="Q37" s="817"/>
      <c r="R37" s="817"/>
      <c r="S37" s="817"/>
      <c r="T37" s="817"/>
      <c r="U37" s="817"/>
      <c r="V37" s="817"/>
      <c r="W37" s="817"/>
      <c r="X37" s="817"/>
      <c r="Y37" s="817"/>
      <c r="Z37" s="817"/>
      <c r="AA37" s="817"/>
      <c r="AB37" s="818"/>
    </row>
    <row r="38" spans="1:28" ht="13.6" customHeight="1" x14ac:dyDescent="0.25">
      <c r="A38" s="825"/>
      <c r="B38" s="16"/>
      <c r="C38" s="1459" t="s">
        <v>1171</v>
      </c>
      <c r="D38" s="1405"/>
      <c r="E38" s="1406"/>
      <c r="F38" s="1445" t="s">
        <v>1509</v>
      </c>
      <c r="G38" s="1446"/>
      <c r="H38" s="1446"/>
      <c r="I38" s="1446"/>
      <c r="J38" s="1446"/>
      <c r="K38" s="1446"/>
      <c r="L38" s="1446"/>
      <c r="M38" s="1446"/>
      <c r="N38" s="1446"/>
      <c r="O38" s="1446"/>
      <c r="P38" s="1446"/>
      <c r="Q38" s="1446"/>
      <c r="R38" s="1446"/>
      <c r="S38" s="1446"/>
      <c r="T38" s="1446"/>
      <c r="U38" s="1446"/>
      <c r="V38" s="1446"/>
      <c r="W38" s="1446"/>
      <c r="X38" s="1446"/>
      <c r="Y38" s="1446"/>
      <c r="Z38" s="1446"/>
      <c r="AA38" s="1446"/>
      <c r="AB38" s="1447"/>
    </row>
    <row r="39" spans="1:28" ht="13.6" customHeight="1" x14ac:dyDescent="0.25">
      <c r="A39" s="825"/>
      <c r="B39" s="16"/>
      <c r="C39" s="1459" t="s">
        <v>1173</v>
      </c>
      <c r="D39" s="1405"/>
      <c r="E39" s="1406"/>
      <c r="F39" s="1445" t="s">
        <v>1249</v>
      </c>
      <c r="G39" s="1446"/>
      <c r="H39" s="1446"/>
      <c r="I39" s="1446"/>
      <c r="J39" s="1446"/>
      <c r="K39" s="1446"/>
      <c r="L39" s="1446"/>
      <c r="M39" s="1446"/>
      <c r="N39" s="1446"/>
      <c r="O39" s="1446"/>
      <c r="P39" s="1446"/>
      <c r="Q39" s="1446"/>
      <c r="R39" s="1446"/>
      <c r="S39" s="1446"/>
      <c r="T39" s="1446"/>
      <c r="U39" s="1446"/>
      <c r="V39" s="1446"/>
      <c r="W39" s="1446"/>
      <c r="X39" s="1446"/>
      <c r="Y39" s="1446"/>
      <c r="Z39" s="1446"/>
      <c r="AA39" s="1446"/>
      <c r="AB39" s="1447"/>
    </row>
    <row r="40" spans="1:28" ht="22.6" customHeight="1" x14ac:dyDescent="0.25">
      <c r="A40" s="825"/>
      <c r="B40" s="16"/>
      <c r="C40" s="1459" t="s">
        <v>1175</v>
      </c>
      <c r="D40" s="1405"/>
      <c r="E40" s="1406"/>
      <c r="F40" s="1445" t="s">
        <v>1250</v>
      </c>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7"/>
    </row>
    <row r="41" spans="1:28" ht="21.75" customHeight="1" x14ac:dyDescent="0.25">
      <c r="A41" s="825"/>
      <c r="B41" s="16"/>
      <c r="C41" s="1444" t="s">
        <v>142</v>
      </c>
      <c r="D41" s="1405"/>
      <c r="E41" s="1406"/>
      <c r="F41" s="1445" t="s">
        <v>1475</v>
      </c>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7"/>
    </row>
    <row r="42" spans="1:28" ht="58.6" customHeight="1" x14ac:dyDescent="0.25">
      <c r="A42" s="825"/>
      <c r="B42" s="16"/>
      <c r="C42" s="1444" t="s">
        <v>1178</v>
      </c>
      <c r="D42" s="1405"/>
      <c r="E42" s="1406"/>
      <c r="F42" s="1445" t="s">
        <v>1510</v>
      </c>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7"/>
    </row>
    <row r="43" spans="1:28" ht="19.55" customHeight="1" x14ac:dyDescent="0.25">
      <c r="A43" s="825"/>
      <c r="B43" s="16"/>
      <c r="C43" s="1418" t="s">
        <v>964</v>
      </c>
      <c r="D43" s="1418" t="s">
        <v>965</v>
      </c>
      <c r="E43" s="1418" t="s">
        <v>468</v>
      </c>
      <c r="F43" s="1452" t="s">
        <v>470</v>
      </c>
      <c r="G43" s="1452" t="s">
        <v>966</v>
      </c>
      <c r="H43" s="1452" t="s">
        <v>967</v>
      </c>
      <c r="I43" s="1452" t="s">
        <v>1180</v>
      </c>
      <c r="J43" s="1452" t="s">
        <v>968</v>
      </c>
      <c r="K43" s="1452" t="s">
        <v>969</v>
      </c>
      <c r="L43" s="1453" t="s">
        <v>970</v>
      </c>
      <c r="M43" s="1453" t="s">
        <v>971</v>
      </c>
      <c r="N43" s="1453" t="s">
        <v>972</v>
      </c>
      <c r="O43" s="1456" t="s">
        <v>973</v>
      </c>
      <c r="P43" s="1457"/>
      <c r="Q43" s="1456" t="s">
        <v>974</v>
      </c>
      <c r="R43" s="1458"/>
      <c r="S43" s="1458"/>
      <c r="T43" s="1458"/>
      <c r="U43" s="1457"/>
      <c r="V43" s="1452" t="s">
        <v>975</v>
      </c>
      <c r="W43" s="1465" t="s">
        <v>976</v>
      </c>
      <c r="X43" s="1405"/>
      <c r="Y43" s="1405"/>
      <c r="Z43" s="1406"/>
      <c r="AA43" s="808"/>
      <c r="AB43" s="1452" t="s">
        <v>977</v>
      </c>
    </row>
    <row r="44" spans="1:28" ht="68.3" customHeight="1" x14ac:dyDescent="0.25">
      <c r="A44" s="825"/>
      <c r="B44" s="16"/>
      <c r="C44" s="1420"/>
      <c r="D44" s="1420"/>
      <c r="E44" s="1420"/>
      <c r="F44" s="1449"/>
      <c r="G44" s="1449"/>
      <c r="H44" s="1449"/>
      <c r="I44" s="1449"/>
      <c r="J44" s="1449"/>
      <c r="K44" s="1449"/>
      <c r="L44" s="1454"/>
      <c r="M44" s="1455"/>
      <c r="N44" s="1454"/>
      <c r="O44" s="940" t="s">
        <v>978</v>
      </c>
      <c r="P44" s="940" t="s">
        <v>979</v>
      </c>
      <c r="Q44" s="940" t="s">
        <v>980</v>
      </c>
      <c r="R44" s="940" t="s">
        <v>981</v>
      </c>
      <c r="S44" s="940" t="s">
        <v>982</v>
      </c>
      <c r="T44" s="940" t="s">
        <v>983</v>
      </c>
      <c r="U44" s="940" t="s">
        <v>984</v>
      </c>
      <c r="V44" s="1449"/>
      <c r="W44" s="808" t="s">
        <v>985</v>
      </c>
      <c r="X44" s="808" t="s">
        <v>986</v>
      </c>
      <c r="Y44" s="808" t="s">
        <v>987</v>
      </c>
      <c r="Z44" s="808" t="s">
        <v>988</v>
      </c>
      <c r="AA44" s="808"/>
      <c r="AB44" s="1449"/>
    </row>
    <row r="45" spans="1:28" s="356" customFormat="1" ht="197.35" customHeight="1" x14ac:dyDescent="0.25">
      <c r="A45" s="334" t="s">
        <v>258</v>
      </c>
      <c r="B45" s="291" t="s">
        <v>254</v>
      </c>
      <c r="C45" s="12" t="s">
        <v>1511</v>
      </c>
      <c r="D45" s="786" t="s">
        <v>170</v>
      </c>
      <c r="E45" s="373" t="s">
        <v>1182</v>
      </c>
      <c r="F45" s="13" t="s">
        <v>1183</v>
      </c>
      <c r="G45" s="183" t="str">
        <f>+'8. BASE  CONSOLIDADA'!O223</f>
        <v>DERECHOS SOBRE LA TIERRA</v>
      </c>
      <c r="H45" s="183" t="str">
        <f>+'8. BASE  CONSOLIDADA'!P223</f>
        <v>C5</v>
      </c>
      <c r="I45" s="14">
        <f>959.854989476232/10</f>
        <v>95.985498947623199</v>
      </c>
      <c r="J45" s="14">
        <f>+I45*0.5</f>
        <v>47.9927494738116</v>
      </c>
      <c r="K45" s="14">
        <f>+I45*0.5</f>
        <v>47.9927494738116</v>
      </c>
      <c r="L45" s="26">
        <v>2000</v>
      </c>
      <c r="M45" s="788" t="s">
        <v>1184</v>
      </c>
      <c r="N45" s="13" t="s">
        <v>1185</v>
      </c>
      <c r="O45" s="26">
        <f>+J45*L45</f>
        <v>95985.4989476232</v>
      </c>
      <c r="P45" s="26">
        <f>+K45*L45</f>
        <v>95985.4989476232</v>
      </c>
      <c r="Q45" s="26">
        <f>$O$45*0.1</f>
        <v>9598.54989476232</v>
      </c>
      <c r="R45" s="26">
        <f>+$O$45*0.15</f>
        <v>14397.82484214348</v>
      </c>
      <c r="S45" s="26">
        <f>+$O$45*0.2</f>
        <v>19197.09978952464</v>
      </c>
      <c r="T45" s="26">
        <f>+$O$45*0.3</f>
        <v>28795.64968428696</v>
      </c>
      <c r="U45" s="26">
        <f>+$O$45*0.25</f>
        <v>23996.3747369058</v>
      </c>
      <c r="V45" s="13"/>
      <c r="W45" s="13"/>
      <c r="X45" s="13"/>
      <c r="Y45" s="13" t="s">
        <v>148</v>
      </c>
      <c r="Z45" s="13"/>
      <c r="AA45" s="13" t="str">
        <f>+B45</f>
        <v>RE</v>
      </c>
      <c r="AB45" s="13">
        <v>3</v>
      </c>
    </row>
    <row r="46" spans="1:28" ht="50.95" customHeight="1" x14ac:dyDescent="0.25">
      <c r="A46" s="337" t="s">
        <v>259</v>
      </c>
      <c r="B46" s="285" t="s">
        <v>254</v>
      </c>
      <c r="C46" s="12" t="s">
        <v>1512</v>
      </c>
      <c r="D46" s="786" t="s">
        <v>169</v>
      </c>
      <c r="E46" s="786" t="s">
        <v>1254</v>
      </c>
      <c r="F46" s="183" t="s">
        <v>1255</v>
      </c>
      <c r="G46" s="183" t="str">
        <f>+'8. BASE  CONSOLIDADA'!O224</f>
        <v>TECNOLOGÍA</v>
      </c>
      <c r="H46" s="183" t="str">
        <f>+'8. BASE  CONSOLIDADA'!P224</f>
        <v>C17</v>
      </c>
      <c r="I46" s="14">
        <v>5</v>
      </c>
      <c r="J46" s="14">
        <f t="shared" ref="J46:J47" si="25">+I46*0.5</f>
        <v>2.5</v>
      </c>
      <c r="K46" s="14">
        <f t="shared" ref="K46:K47" si="26">+I46*0.3</f>
        <v>1.5</v>
      </c>
      <c r="L46" s="26">
        <v>15000</v>
      </c>
      <c r="M46" s="788" t="s">
        <v>1256</v>
      </c>
      <c r="N46" s="13" t="s">
        <v>1190</v>
      </c>
      <c r="O46" s="26">
        <f t="shared" ref="O46:O49" si="27">+J46*L46</f>
        <v>37500</v>
      </c>
      <c r="P46" s="26">
        <f t="shared" ref="P46:P49" si="28">+K46*L46</f>
        <v>22500</v>
      </c>
      <c r="Q46" s="75">
        <f t="shared" ref="Q46:U46" si="29">+$O$46*0.2</f>
        <v>7500</v>
      </c>
      <c r="R46" s="75">
        <f t="shared" si="29"/>
        <v>7500</v>
      </c>
      <c r="S46" s="75">
        <f t="shared" si="29"/>
        <v>7500</v>
      </c>
      <c r="T46" s="75">
        <f t="shared" si="29"/>
        <v>7500</v>
      </c>
      <c r="U46" s="75">
        <f t="shared" si="29"/>
        <v>7500</v>
      </c>
      <c r="V46" s="13"/>
      <c r="W46" s="183"/>
      <c r="X46" s="183" t="s">
        <v>148</v>
      </c>
      <c r="Y46" s="183"/>
      <c r="Z46" s="10"/>
      <c r="AA46" s="186" t="str">
        <f t="shared" ref="AA46:AA48" si="30">+B46</f>
        <v>RE</v>
      </c>
      <c r="AB46" s="183">
        <v>3</v>
      </c>
    </row>
    <row r="47" spans="1:28" ht="76.599999999999994" customHeight="1" x14ac:dyDescent="0.25">
      <c r="A47" s="337" t="s">
        <v>259</v>
      </c>
      <c r="B47" s="285" t="s">
        <v>254</v>
      </c>
      <c r="C47" s="12" t="s">
        <v>1513</v>
      </c>
      <c r="D47" s="786" t="s">
        <v>279</v>
      </c>
      <c r="E47" s="786" t="s">
        <v>1514</v>
      </c>
      <c r="F47" s="179" t="s">
        <v>1188</v>
      </c>
      <c r="G47" s="183" t="str">
        <f>+'8. BASE  CONSOLIDADA'!O225</f>
        <v>CAPACITACIÓN</v>
      </c>
      <c r="H47" s="183" t="str">
        <f>+'8. BASE  CONSOLIDADA'!P225</f>
        <v>C3</v>
      </c>
      <c r="I47" s="14">
        <v>985</v>
      </c>
      <c r="J47" s="14">
        <f t="shared" si="25"/>
        <v>492.5</v>
      </c>
      <c r="K47" s="14">
        <f t="shared" si="26"/>
        <v>295.5</v>
      </c>
      <c r="L47" s="76">
        <v>560</v>
      </c>
      <c r="M47" s="791" t="s">
        <v>1259</v>
      </c>
      <c r="N47" s="69" t="s">
        <v>1190</v>
      </c>
      <c r="O47" s="26">
        <f t="shared" si="27"/>
        <v>275800</v>
      </c>
      <c r="P47" s="26">
        <f t="shared" si="28"/>
        <v>165480</v>
      </c>
      <c r="Q47" s="75">
        <f t="shared" ref="Q47:U47" si="31">+$O$47*0.2</f>
        <v>55160</v>
      </c>
      <c r="R47" s="75">
        <f t="shared" si="31"/>
        <v>55160</v>
      </c>
      <c r="S47" s="75">
        <f t="shared" si="31"/>
        <v>55160</v>
      </c>
      <c r="T47" s="75">
        <f t="shared" si="31"/>
        <v>55160</v>
      </c>
      <c r="U47" s="75">
        <f t="shared" si="31"/>
        <v>55160</v>
      </c>
      <c r="V47" s="13"/>
      <c r="W47" s="183"/>
      <c r="X47" s="183"/>
      <c r="Y47" s="183" t="s">
        <v>148</v>
      </c>
      <c r="Z47" s="10"/>
      <c r="AA47" s="186" t="str">
        <f t="shared" si="30"/>
        <v>RE</v>
      </c>
      <c r="AB47" s="183">
        <v>2</v>
      </c>
    </row>
    <row r="48" spans="1:28" ht="74.25" customHeight="1" x14ac:dyDescent="0.25">
      <c r="A48" s="333" t="s">
        <v>260</v>
      </c>
      <c r="B48" s="284" t="s">
        <v>254</v>
      </c>
      <c r="C48" s="12" t="s">
        <v>1515</v>
      </c>
      <c r="D48" s="786" t="s">
        <v>166</v>
      </c>
      <c r="E48" s="786" t="s">
        <v>1516</v>
      </c>
      <c r="F48" s="179" t="s">
        <v>1262</v>
      </c>
      <c r="G48" s="183" t="str">
        <f>+'8. BASE  CONSOLIDADA'!O226</f>
        <v>RECONVERSIÓN</v>
      </c>
      <c r="H48" s="183" t="str">
        <f>+'8. BASE  CONSOLIDADA'!P226</f>
        <v>C12</v>
      </c>
      <c r="I48" s="179">
        <f>5007*0.2</f>
        <v>1001.4000000000001</v>
      </c>
      <c r="J48" s="75">
        <f>+I48*0.1</f>
        <v>100.14000000000001</v>
      </c>
      <c r="K48" s="75">
        <f t="shared" ref="K48:K49" si="32">+I48*0.2</f>
        <v>200.28000000000003</v>
      </c>
      <c r="L48" s="76">
        <v>15000</v>
      </c>
      <c r="M48" s="791" t="s">
        <v>1263</v>
      </c>
      <c r="N48" s="69" t="s">
        <v>1207</v>
      </c>
      <c r="O48" s="26">
        <f t="shared" si="27"/>
        <v>1502100.0000000002</v>
      </c>
      <c r="P48" s="26">
        <f t="shared" si="28"/>
        <v>3004200.0000000005</v>
      </c>
      <c r="Q48" s="75">
        <f t="shared" ref="Q48:U48" si="33">+$O$48*0.2</f>
        <v>300420.00000000006</v>
      </c>
      <c r="R48" s="75">
        <f t="shared" si="33"/>
        <v>300420.00000000006</v>
      </c>
      <c r="S48" s="75">
        <f t="shared" si="33"/>
        <v>300420.00000000006</v>
      </c>
      <c r="T48" s="75">
        <f t="shared" si="33"/>
        <v>300420.00000000006</v>
      </c>
      <c r="U48" s="75">
        <f t="shared" si="33"/>
        <v>300420.00000000006</v>
      </c>
      <c r="V48" s="32"/>
      <c r="W48" s="183"/>
      <c r="X48" s="183"/>
      <c r="Y48" s="183" t="s">
        <v>148</v>
      </c>
      <c r="Z48" s="10"/>
      <c r="AA48" s="186" t="str">
        <f t="shared" si="30"/>
        <v>RE</v>
      </c>
      <c r="AB48" s="183">
        <v>3</v>
      </c>
    </row>
    <row r="49" spans="1:28" ht="102.1" customHeight="1" x14ac:dyDescent="0.25">
      <c r="A49" s="295" t="s">
        <v>257</v>
      </c>
      <c r="B49" s="290"/>
      <c r="C49" s="12" t="s">
        <v>1517</v>
      </c>
      <c r="D49" s="786" t="s">
        <v>163</v>
      </c>
      <c r="E49" s="786" t="s">
        <v>1265</v>
      </c>
      <c r="F49" s="183" t="s">
        <v>1266</v>
      </c>
      <c r="G49" s="183" t="str">
        <f>+'8. BASE  CONSOLIDADA'!O227</f>
        <v>FINANCIAMIENTO</v>
      </c>
      <c r="H49" s="183" t="str">
        <f>+'8. BASE  CONSOLIDADA'!P227</f>
        <v>C6</v>
      </c>
      <c r="I49" s="14">
        <f>+I47</f>
        <v>985</v>
      </c>
      <c r="J49" s="14">
        <f>+I49*0.3</f>
        <v>295.5</v>
      </c>
      <c r="K49" s="14">
        <f t="shared" si="32"/>
        <v>197</v>
      </c>
      <c r="L49" s="76">
        <f>4300*2.5</f>
        <v>10750</v>
      </c>
      <c r="M49" s="791" t="s">
        <v>1223</v>
      </c>
      <c r="N49" s="14" t="s">
        <v>1190</v>
      </c>
      <c r="O49" s="26">
        <f t="shared" si="27"/>
        <v>3176625</v>
      </c>
      <c r="P49" s="26">
        <f t="shared" si="28"/>
        <v>2117750</v>
      </c>
      <c r="Q49" s="75">
        <f t="shared" ref="Q49:U49" si="34">+$O$49*0.2</f>
        <v>635325</v>
      </c>
      <c r="R49" s="75">
        <f t="shared" si="34"/>
        <v>635325</v>
      </c>
      <c r="S49" s="75">
        <f t="shared" si="34"/>
        <v>635325</v>
      </c>
      <c r="T49" s="75">
        <f t="shared" si="34"/>
        <v>635325</v>
      </c>
      <c r="U49" s="75">
        <f t="shared" si="34"/>
        <v>635325</v>
      </c>
      <c r="V49" s="13"/>
      <c r="W49" s="183" t="s">
        <v>148</v>
      </c>
      <c r="X49" s="183"/>
      <c r="Y49" s="183"/>
      <c r="Z49" s="10"/>
      <c r="AA49" s="186"/>
      <c r="AB49" s="183">
        <v>3</v>
      </c>
    </row>
    <row r="50" spans="1:28" ht="103.6" customHeight="1" x14ac:dyDescent="0.25">
      <c r="A50" s="337" t="s">
        <v>259</v>
      </c>
      <c r="B50" s="285"/>
      <c r="C50" s="12" t="s">
        <v>1518</v>
      </c>
      <c r="D50" s="375" t="s">
        <v>165</v>
      </c>
      <c r="E50" s="375" t="s">
        <v>1297</v>
      </c>
      <c r="F50" s="183" t="s">
        <v>1519</v>
      </c>
      <c r="G50" s="183" t="str">
        <f>+'8. BASE  CONSOLIDADA'!O228</f>
        <v>ASOCIATIVIDAD</v>
      </c>
      <c r="H50" s="183" t="str">
        <f>+'8. BASE  CONSOLIDADA'!P228</f>
        <v>C2</v>
      </c>
      <c r="I50" s="183"/>
      <c r="J50" s="13">
        <v>2</v>
      </c>
      <c r="K50" s="13">
        <v>2</v>
      </c>
      <c r="L50" s="26">
        <v>120000</v>
      </c>
      <c r="M50" s="791" t="s">
        <v>1236</v>
      </c>
      <c r="N50" s="13" t="s">
        <v>1190</v>
      </c>
      <c r="O50" s="26">
        <f t="shared" ref="O50:O51" si="35">+J50*L50*5</f>
        <v>1200000</v>
      </c>
      <c r="P50" s="26">
        <f t="shared" ref="P50:P51" si="36">+K50*L50*5</f>
        <v>1200000</v>
      </c>
      <c r="Q50" s="75">
        <f t="shared" ref="Q50:U50" si="37">+$O$50*0.2</f>
        <v>240000</v>
      </c>
      <c r="R50" s="75">
        <f t="shared" si="37"/>
        <v>240000</v>
      </c>
      <c r="S50" s="75">
        <f t="shared" si="37"/>
        <v>240000</v>
      </c>
      <c r="T50" s="75">
        <f t="shared" si="37"/>
        <v>240000</v>
      </c>
      <c r="U50" s="75">
        <f t="shared" si="37"/>
        <v>240000</v>
      </c>
      <c r="V50" s="13"/>
      <c r="W50" s="183"/>
      <c r="X50" s="183"/>
      <c r="Y50" s="183" t="s">
        <v>148</v>
      </c>
      <c r="Z50" s="10"/>
      <c r="AA50" s="186"/>
      <c r="AB50" s="183">
        <v>3</v>
      </c>
    </row>
    <row r="51" spans="1:28" ht="82.55" customHeight="1" x14ac:dyDescent="0.25">
      <c r="A51" s="333" t="s">
        <v>260</v>
      </c>
      <c r="B51" s="284"/>
      <c r="C51" s="12" t="s">
        <v>1520</v>
      </c>
      <c r="D51" s="786" t="s">
        <v>263</v>
      </c>
      <c r="E51" s="786" t="s">
        <v>1521</v>
      </c>
      <c r="F51" s="69" t="s">
        <v>1273</v>
      </c>
      <c r="G51" s="183" t="str">
        <f>+'8. BASE  CONSOLIDADA'!O229</f>
        <v>INFRAESTRUCTURA</v>
      </c>
      <c r="H51" s="183" t="str">
        <f>+'8. BASE  CONSOLIDADA'!P229</f>
        <v>C7</v>
      </c>
      <c r="I51" s="75"/>
      <c r="J51" s="13">
        <v>2</v>
      </c>
      <c r="K51" s="13">
        <v>2</v>
      </c>
      <c r="L51" s="26">
        <v>15000</v>
      </c>
      <c r="M51" s="791" t="s">
        <v>1274</v>
      </c>
      <c r="N51" s="14" t="s">
        <v>1190</v>
      </c>
      <c r="O51" s="28">
        <f t="shared" si="35"/>
        <v>150000</v>
      </c>
      <c r="P51" s="28">
        <f t="shared" si="36"/>
        <v>150000</v>
      </c>
      <c r="Q51" s="28">
        <f>+O51*0.5</f>
        <v>75000</v>
      </c>
      <c r="R51" s="28"/>
      <c r="S51" s="28">
        <f>+O51*0.5</f>
        <v>75000</v>
      </c>
      <c r="T51" s="28"/>
      <c r="U51" s="28"/>
      <c r="V51" s="13"/>
      <c r="W51" s="183" t="s">
        <v>148</v>
      </c>
      <c r="X51" s="183"/>
      <c r="Y51" s="183"/>
      <c r="Z51" s="10"/>
      <c r="AA51" s="186"/>
      <c r="AB51" s="183">
        <v>3</v>
      </c>
    </row>
    <row r="52" spans="1:28" ht="80.349999999999994" customHeight="1" x14ac:dyDescent="0.25">
      <c r="A52" s="335" t="s">
        <v>256</v>
      </c>
      <c r="B52" s="286"/>
      <c r="C52" s="12" t="s">
        <v>1522</v>
      </c>
      <c r="D52" s="786" t="s">
        <v>168</v>
      </c>
      <c r="E52" s="786" t="s">
        <v>1244</v>
      </c>
      <c r="F52" s="13" t="s">
        <v>1245</v>
      </c>
      <c r="G52" s="183" t="str">
        <f>+'8. BASE  CONSOLIDADA'!O230</f>
        <v>SERVICIOS ECOSISTÉMICOS</v>
      </c>
      <c r="H52" s="183" t="str">
        <f>+'8. BASE  CONSOLIDADA'!P230</f>
        <v>C15</v>
      </c>
      <c r="I52" s="14"/>
      <c r="J52" s="14">
        <f t="shared" ref="J52:K52" si="38">(5*1)*5</f>
        <v>25</v>
      </c>
      <c r="K52" s="14">
        <f t="shared" si="38"/>
        <v>25</v>
      </c>
      <c r="L52" s="26">
        <v>10000</v>
      </c>
      <c r="M52" s="788" t="s">
        <v>1246</v>
      </c>
      <c r="N52" s="13" t="s">
        <v>1247</v>
      </c>
      <c r="O52" s="28">
        <f>+J52*L52</f>
        <v>250000</v>
      </c>
      <c r="P52" s="26">
        <f>+K52*L52</f>
        <v>250000</v>
      </c>
      <c r="Q52" s="14">
        <f t="shared" ref="Q52:U52" si="39">+$O$52*0.2</f>
        <v>50000</v>
      </c>
      <c r="R52" s="14">
        <f t="shared" si="39"/>
        <v>50000</v>
      </c>
      <c r="S52" s="14">
        <f t="shared" si="39"/>
        <v>50000</v>
      </c>
      <c r="T52" s="14">
        <f t="shared" si="39"/>
        <v>50000</v>
      </c>
      <c r="U52" s="14">
        <f t="shared" si="39"/>
        <v>50000</v>
      </c>
      <c r="V52" s="13"/>
      <c r="W52" s="183" t="s">
        <v>148</v>
      </c>
      <c r="X52" s="183"/>
      <c r="Y52" s="183"/>
      <c r="Z52" s="10"/>
      <c r="AA52" s="186"/>
      <c r="AB52" s="183">
        <v>3</v>
      </c>
    </row>
    <row r="53" spans="1:28" ht="13.6" customHeight="1" x14ac:dyDescent="0.25">
      <c r="A53" s="825"/>
      <c r="B53" s="16"/>
      <c r="C53" s="1"/>
      <c r="D53" s="366"/>
      <c r="E53" s="34"/>
      <c r="F53" s="366"/>
      <c r="G53" s="366"/>
      <c r="H53" s="366"/>
      <c r="I53" s="366"/>
      <c r="J53" s="366"/>
      <c r="K53" s="366"/>
      <c r="L53" s="366"/>
      <c r="M53" s="264"/>
      <c r="N53" s="366"/>
      <c r="O53" s="29">
        <f>SUM(O45:O52)</f>
        <v>6688010.4989476232</v>
      </c>
      <c r="P53" s="29">
        <f t="shared" ref="P53:U53" si="40">SUM(P45:P52)</f>
        <v>7005915.4989476241</v>
      </c>
      <c r="Q53" s="29">
        <f t="shared" si="40"/>
        <v>1373003.5498947622</v>
      </c>
      <c r="R53" s="29">
        <f t="shared" si="40"/>
        <v>1302802.8248421436</v>
      </c>
      <c r="S53" s="29">
        <f t="shared" si="40"/>
        <v>1382602.0997895247</v>
      </c>
      <c r="T53" s="29">
        <f t="shared" si="40"/>
        <v>1317200.6496842871</v>
      </c>
      <c r="U53" s="29">
        <f t="shared" si="40"/>
        <v>1312401.3747369058</v>
      </c>
      <c r="V53" s="366"/>
      <c r="W53" s="1"/>
      <c r="X53" s="1"/>
      <c r="Y53" s="1"/>
      <c r="Z53" s="1"/>
      <c r="AA53" s="1"/>
      <c r="AB53" s="1"/>
    </row>
    <row r="54" spans="1:28" s="243" customFormat="1" ht="13.6" customHeight="1" x14ac:dyDescent="0.25">
      <c r="A54" s="825"/>
      <c r="B54" s="16"/>
      <c r="C54" s="1"/>
      <c r="D54" s="366"/>
      <c r="E54" s="34"/>
      <c r="F54" s="366"/>
      <c r="G54" s="366"/>
      <c r="H54" s="366"/>
      <c r="I54" s="366"/>
      <c r="J54" s="366"/>
      <c r="K54" s="366"/>
      <c r="L54" s="366"/>
      <c r="M54" s="264"/>
      <c r="N54" s="366"/>
      <c r="O54" s="1"/>
      <c r="P54" s="1"/>
      <c r="Q54" s="1"/>
      <c r="R54" s="1"/>
      <c r="S54" s="1"/>
      <c r="T54" s="1"/>
      <c r="U54" s="1"/>
      <c r="V54" s="366"/>
      <c r="W54" s="1"/>
      <c r="X54" s="1"/>
      <c r="Y54" s="1"/>
      <c r="Z54" s="1"/>
      <c r="AA54" s="1"/>
      <c r="AB54" s="1"/>
    </row>
    <row r="55" spans="1:28" ht="11.25" customHeight="1" x14ac:dyDescent="0.25">
      <c r="A55" s="825"/>
      <c r="B55" s="16"/>
      <c r="C55" s="1"/>
      <c r="D55" s="366"/>
      <c r="E55" s="34"/>
      <c r="F55" s="366"/>
      <c r="G55" s="366"/>
      <c r="H55" s="366"/>
      <c r="I55" s="366"/>
      <c r="J55" s="366"/>
      <c r="K55" s="366"/>
      <c r="L55" s="366"/>
      <c r="M55" s="264"/>
      <c r="N55" s="366"/>
      <c r="O55" s="1"/>
      <c r="P55" s="1"/>
      <c r="Q55" s="1"/>
      <c r="R55" s="1"/>
      <c r="S55" s="1"/>
      <c r="T55" s="1"/>
      <c r="U55" s="1"/>
      <c r="V55" s="366"/>
      <c r="W55" s="1"/>
      <c r="X55" s="1"/>
      <c r="Y55" s="1"/>
      <c r="Z55" s="1"/>
      <c r="AA55" s="1"/>
      <c r="AB55" s="1"/>
    </row>
    <row r="56" spans="1:28" ht="15.65" x14ac:dyDescent="0.25">
      <c r="A56" s="825"/>
      <c r="B56" s="16"/>
      <c r="C56" s="1484" t="s">
        <v>1170</v>
      </c>
      <c r="D56" s="1393"/>
      <c r="E56" s="1394"/>
      <c r="F56" s="377" t="s">
        <v>126</v>
      </c>
      <c r="G56" s="826"/>
      <c r="H56" s="826"/>
      <c r="I56" s="826"/>
      <c r="J56" s="826"/>
      <c r="K56" s="826"/>
      <c r="L56" s="826"/>
      <c r="M56" s="873"/>
      <c r="N56" s="826"/>
      <c r="O56" s="826"/>
      <c r="P56" s="826"/>
      <c r="Q56" s="826"/>
      <c r="R56" s="826"/>
      <c r="S56" s="826"/>
      <c r="T56" s="826"/>
      <c r="U56" s="826"/>
      <c r="V56" s="826"/>
      <c r="W56" s="826"/>
      <c r="X56" s="826"/>
      <c r="Y56" s="826"/>
      <c r="Z56" s="826"/>
      <c r="AA56" s="826"/>
      <c r="AB56" s="827"/>
    </row>
    <row r="57" spans="1:28" ht="46.55" customHeight="1" x14ac:dyDescent="0.25">
      <c r="A57" s="825"/>
      <c r="B57" s="16"/>
      <c r="C57" s="1484" t="s">
        <v>1171</v>
      </c>
      <c r="D57" s="1393"/>
      <c r="E57" s="1394"/>
      <c r="F57" s="1481" t="s">
        <v>1523</v>
      </c>
      <c r="G57" s="1393"/>
      <c r="H57" s="1393"/>
      <c r="I57" s="1393"/>
      <c r="J57" s="1393"/>
      <c r="K57" s="1393"/>
      <c r="L57" s="1393"/>
      <c r="M57" s="1393"/>
      <c r="N57" s="1393"/>
      <c r="O57" s="1393"/>
      <c r="P57" s="1393"/>
      <c r="Q57" s="1393"/>
      <c r="R57" s="1393"/>
      <c r="S57" s="1393"/>
      <c r="T57" s="1393"/>
      <c r="U57" s="1393"/>
      <c r="V57" s="1393"/>
      <c r="W57" s="1393"/>
      <c r="X57" s="1393"/>
      <c r="Y57" s="1393"/>
      <c r="Z57" s="1393"/>
      <c r="AA57" s="1393"/>
      <c r="AB57" s="1394"/>
    </row>
    <row r="58" spans="1:28" ht="20.25" customHeight="1" x14ac:dyDescent="0.25">
      <c r="A58" s="825"/>
      <c r="B58" s="16"/>
      <c r="C58" s="1484" t="s">
        <v>1173</v>
      </c>
      <c r="D58" s="1393"/>
      <c r="E58" s="1394"/>
      <c r="F58" s="1481" t="s">
        <v>1277</v>
      </c>
      <c r="G58" s="1393"/>
      <c r="H58" s="1393"/>
      <c r="I58" s="1393"/>
      <c r="J58" s="1393"/>
      <c r="K58" s="1393"/>
      <c r="L58" s="1393"/>
      <c r="M58" s="1393"/>
      <c r="N58" s="1393"/>
      <c r="O58" s="1393"/>
      <c r="P58" s="1393"/>
      <c r="Q58" s="1393"/>
      <c r="R58" s="1393"/>
      <c r="S58" s="1393"/>
      <c r="T58" s="1393"/>
      <c r="U58" s="1393"/>
      <c r="V58" s="1393"/>
      <c r="W58" s="1393"/>
      <c r="X58" s="1393"/>
      <c r="Y58" s="1393"/>
      <c r="Z58" s="1393"/>
      <c r="AA58" s="1393"/>
      <c r="AB58" s="1394"/>
    </row>
    <row r="59" spans="1:28" ht="16.5" customHeight="1" x14ac:dyDescent="0.25">
      <c r="A59" s="825"/>
      <c r="B59" s="16"/>
      <c r="C59" s="1484" t="s">
        <v>1175</v>
      </c>
      <c r="D59" s="1393"/>
      <c r="E59" s="1394"/>
      <c r="F59" s="1481" t="s">
        <v>1278</v>
      </c>
      <c r="G59" s="1393"/>
      <c r="H59" s="1393"/>
      <c r="I59" s="1393"/>
      <c r="J59" s="1393"/>
      <c r="K59" s="1393"/>
      <c r="L59" s="1393"/>
      <c r="M59" s="1393"/>
      <c r="N59" s="1393"/>
      <c r="O59" s="1393"/>
      <c r="P59" s="1393"/>
      <c r="Q59" s="1393"/>
      <c r="R59" s="1393"/>
      <c r="S59" s="1393"/>
      <c r="T59" s="1393"/>
      <c r="U59" s="1393"/>
      <c r="V59" s="1393"/>
      <c r="W59" s="1393"/>
      <c r="X59" s="1393"/>
      <c r="Y59" s="1393"/>
      <c r="Z59" s="1393"/>
      <c r="AA59" s="1393"/>
      <c r="AB59" s="1394"/>
    </row>
    <row r="60" spans="1:28" ht="15.8" customHeight="1" x14ac:dyDescent="0.25">
      <c r="A60" s="825"/>
      <c r="B60" s="16"/>
      <c r="C60" s="1482" t="s">
        <v>142</v>
      </c>
      <c r="D60" s="1393"/>
      <c r="E60" s="1394"/>
      <c r="F60" s="1481" t="s">
        <v>1475</v>
      </c>
      <c r="G60" s="1393"/>
      <c r="H60" s="1393"/>
      <c r="I60" s="1393"/>
      <c r="J60" s="1393"/>
      <c r="K60" s="1393"/>
      <c r="L60" s="1393"/>
      <c r="M60" s="1393"/>
      <c r="N60" s="1393"/>
      <c r="O60" s="1393"/>
      <c r="P60" s="1393"/>
      <c r="Q60" s="1393"/>
      <c r="R60" s="1393"/>
      <c r="S60" s="1393"/>
      <c r="T60" s="1393"/>
      <c r="U60" s="1393"/>
      <c r="V60" s="1393"/>
      <c r="W60" s="1393"/>
      <c r="X60" s="1393"/>
      <c r="Y60" s="1393"/>
      <c r="Z60" s="1393"/>
      <c r="AA60" s="1393"/>
      <c r="AB60" s="1394"/>
    </row>
    <row r="61" spans="1:28" ht="46.55" customHeight="1" x14ac:dyDescent="0.25">
      <c r="A61" s="825"/>
      <c r="B61" s="16"/>
      <c r="C61" s="1482" t="s">
        <v>1178</v>
      </c>
      <c r="D61" s="1393"/>
      <c r="E61" s="1394"/>
      <c r="F61" s="1481" t="s">
        <v>1524</v>
      </c>
      <c r="G61" s="1393"/>
      <c r="H61" s="1393"/>
      <c r="I61" s="1393"/>
      <c r="J61" s="1393"/>
      <c r="K61" s="1393"/>
      <c r="L61" s="1393"/>
      <c r="M61" s="1393"/>
      <c r="N61" s="1393"/>
      <c r="O61" s="1393"/>
      <c r="P61" s="1393"/>
      <c r="Q61" s="1393"/>
      <c r="R61" s="1393"/>
      <c r="S61" s="1393"/>
      <c r="T61" s="1393"/>
      <c r="U61" s="1393"/>
      <c r="V61" s="1393"/>
      <c r="W61" s="1393"/>
      <c r="X61" s="1393"/>
      <c r="Y61" s="1393"/>
      <c r="Z61" s="1393"/>
      <c r="AA61" s="1393"/>
      <c r="AB61" s="1394"/>
    </row>
    <row r="62" spans="1:28" ht="20.25" customHeight="1" x14ac:dyDescent="0.25">
      <c r="A62" s="825"/>
      <c r="B62" s="16"/>
      <c r="C62" s="1474" t="s">
        <v>964</v>
      </c>
      <c r="D62" s="1474" t="s">
        <v>965</v>
      </c>
      <c r="E62" s="1474" t="s">
        <v>468</v>
      </c>
      <c r="F62" s="1466" t="s">
        <v>470</v>
      </c>
      <c r="G62" s="1466" t="s">
        <v>966</v>
      </c>
      <c r="H62" s="1466" t="s">
        <v>967</v>
      </c>
      <c r="I62" s="1466" t="s">
        <v>1180</v>
      </c>
      <c r="J62" s="1466" t="s">
        <v>968</v>
      </c>
      <c r="K62" s="1466" t="s">
        <v>969</v>
      </c>
      <c r="L62" s="1453" t="s">
        <v>970</v>
      </c>
      <c r="M62" s="1453" t="s">
        <v>971</v>
      </c>
      <c r="N62" s="1453" t="s">
        <v>972</v>
      </c>
      <c r="O62" s="1456" t="s">
        <v>973</v>
      </c>
      <c r="P62" s="1457"/>
      <c r="Q62" s="1456" t="s">
        <v>974</v>
      </c>
      <c r="R62" s="1458"/>
      <c r="S62" s="1458"/>
      <c r="T62" s="1458"/>
      <c r="U62" s="1457"/>
      <c r="V62" s="1466" t="s">
        <v>975</v>
      </c>
      <c r="W62" s="1468" t="s">
        <v>976</v>
      </c>
      <c r="X62" s="1393"/>
      <c r="Y62" s="1393"/>
      <c r="Z62" s="1394"/>
      <c r="AA62" s="23"/>
      <c r="AB62" s="1466" t="s">
        <v>977</v>
      </c>
    </row>
    <row r="63" spans="1:28" ht="67.599999999999994" customHeight="1" x14ac:dyDescent="0.25">
      <c r="A63" s="825"/>
      <c r="B63" s="16"/>
      <c r="C63" s="1480"/>
      <c r="D63" s="1480"/>
      <c r="E63" s="1480"/>
      <c r="F63" s="1467"/>
      <c r="G63" s="1467"/>
      <c r="H63" s="1467"/>
      <c r="I63" s="1467"/>
      <c r="J63" s="1467"/>
      <c r="K63" s="1467"/>
      <c r="L63" s="1454"/>
      <c r="M63" s="1455"/>
      <c r="N63" s="1454"/>
      <c r="O63" s="940" t="s">
        <v>978</v>
      </c>
      <c r="P63" s="940" t="s">
        <v>979</v>
      </c>
      <c r="Q63" s="940" t="s">
        <v>980</v>
      </c>
      <c r="R63" s="940" t="s">
        <v>981</v>
      </c>
      <c r="S63" s="940" t="s">
        <v>982</v>
      </c>
      <c r="T63" s="940" t="s">
        <v>983</v>
      </c>
      <c r="U63" s="940" t="s">
        <v>984</v>
      </c>
      <c r="V63" s="1467"/>
      <c r="W63" s="23" t="s">
        <v>985</v>
      </c>
      <c r="X63" s="23" t="s">
        <v>986</v>
      </c>
      <c r="Y63" s="23" t="s">
        <v>987</v>
      </c>
      <c r="Z63" s="23" t="s">
        <v>988</v>
      </c>
      <c r="AA63" s="23"/>
      <c r="AB63" s="1467"/>
    </row>
    <row r="64" spans="1:28" s="356" customFormat="1" ht="239.1" x14ac:dyDescent="0.25">
      <c r="A64" s="334" t="s">
        <v>258</v>
      </c>
      <c r="B64" s="291" t="s">
        <v>254</v>
      </c>
      <c r="C64" s="12" t="s">
        <v>1525</v>
      </c>
      <c r="D64" s="252" t="s">
        <v>170</v>
      </c>
      <c r="E64" s="373" t="s">
        <v>1182</v>
      </c>
      <c r="F64" s="13" t="s">
        <v>1183</v>
      </c>
      <c r="G64" s="179" t="str">
        <f>+'8. BASE  CONSOLIDADA'!O231</f>
        <v>DERECHOS SOBRE LA TIERRA</v>
      </c>
      <c r="H64" s="179" t="str">
        <f>+'8. BASE  CONSOLIDADA'!P231</f>
        <v>C5</v>
      </c>
      <c r="I64" s="14">
        <f>4633.05814068445/10</f>
        <v>463.30581406844504</v>
      </c>
      <c r="J64" s="14">
        <f>+I64*0.5</f>
        <v>231.65290703422252</v>
      </c>
      <c r="K64" s="14">
        <f>+I64*0.5</f>
        <v>231.65290703422252</v>
      </c>
      <c r="L64" s="26">
        <v>2000</v>
      </c>
      <c r="M64" s="788" t="s">
        <v>1184</v>
      </c>
      <c r="N64" s="13" t="s">
        <v>1185</v>
      </c>
      <c r="O64" s="26">
        <f>+J64*L64</f>
        <v>463305.81406844506</v>
      </c>
      <c r="P64" s="26">
        <f>+K64*L64</f>
        <v>463305.81406844506</v>
      </c>
      <c r="Q64" s="26">
        <f>$O$64*0.1</f>
        <v>46330.581406844511</v>
      </c>
      <c r="R64" s="26">
        <f>+$O$64*0.15</f>
        <v>69495.872110266762</v>
      </c>
      <c r="S64" s="26">
        <f>+$O$64*0.2</f>
        <v>92661.162813689021</v>
      </c>
      <c r="T64" s="26">
        <f>+$O$64*0.3</f>
        <v>138991.74422053352</v>
      </c>
      <c r="U64" s="26">
        <f>+$O$64*0.25</f>
        <v>115826.45351711127</v>
      </c>
      <c r="V64" s="13"/>
      <c r="W64" s="13"/>
      <c r="X64" s="13"/>
      <c r="Y64" s="13" t="s">
        <v>148</v>
      </c>
      <c r="Z64" s="13"/>
      <c r="AA64" s="13" t="str">
        <f>+B64</f>
        <v>RE</v>
      </c>
      <c r="AB64" s="13">
        <v>3</v>
      </c>
    </row>
    <row r="65" spans="1:28" ht="92.25" customHeight="1" x14ac:dyDescent="0.25">
      <c r="A65" s="337" t="s">
        <v>259</v>
      </c>
      <c r="B65" s="285" t="s">
        <v>254</v>
      </c>
      <c r="C65" s="12" t="s">
        <v>1526</v>
      </c>
      <c r="D65" s="252" t="s">
        <v>267</v>
      </c>
      <c r="E65" s="252" t="s">
        <v>1527</v>
      </c>
      <c r="F65" s="183" t="s">
        <v>1284</v>
      </c>
      <c r="G65" s="179" t="str">
        <f>+'8. BASE  CONSOLIDADA'!O232</f>
        <v>ASISTENCIA TÉCNICA</v>
      </c>
      <c r="H65" s="179" t="str">
        <f>+'8. BASE  CONSOLIDADA'!P232</f>
        <v>C1</v>
      </c>
      <c r="I65" s="181">
        <v>587</v>
      </c>
      <c r="J65" s="181">
        <v>587</v>
      </c>
      <c r="K65" s="181">
        <v>587</v>
      </c>
      <c r="L65" s="76">
        <v>560</v>
      </c>
      <c r="M65" s="791" t="s">
        <v>1317</v>
      </c>
      <c r="N65" s="69" t="s">
        <v>1190</v>
      </c>
      <c r="O65" s="28">
        <f t="shared" ref="O65:O66" si="41">+J65*L65</f>
        <v>328720</v>
      </c>
      <c r="P65" s="28">
        <f>+K65*L65</f>
        <v>328720</v>
      </c>
      <c r="Q65" s="28">
        <f t="shared" ref="Q65:U65" si="42">+$O$65*0.2</f>
        <v>65744</v>
      </c>
      <c r="R65" s="28">
        <f t="shared" si="42"/>
        <v>65744</v>
      </c>
      <c r="S65" s="28">
        <f t="shared" si="42"/>
        <v>65744</v>
      </c>
      <c r="T65" s="28">
        <f t="shared" si="42"/>
        <v>65744</v>
      </c>
      <c r="U65" s="28">
        <f t="shared" si="42"/>
        <v>65744</v>
      </c>
      <c r="V65" s="13"/>
      <c r="W65" s="13"/>
      <c r="X65" s="13"/>
      <c r="Y65" s="13" t="s">
        <v>148</v>
      </c>
      <c r="Z65" s="10"/>
      <c r="AA65" s="10" t="str">
        <f t="shared" ref="AA65:AA66" si="43">+B65</f>
        <v>RE</v>
      </c>
      <c r="AB65" s="13">
        <v>3</v>
      </c>
    </row>
    <row r="66" spans="1:28" ht="74.25" customHeight="1" x14ac:dyDescent="0.25">
      <c r="A66" s="337" t="s">
        <v>259</v>
      </c>
      <c r="B66" s="285" t="s">
        <v>254</v>
      </c>
      <c r="C66" s="12" t="s">
        <v>1528</v>
      </c>
      <c r="D66" s="252" t="s">
        <v>162</v>
      </c>
      <c r="E66" s="252" t="s">
        <v>1287</v>
      </c>
      <c r="F66" s="13" t="s">
        <v>1193</v>
      </c>
      <c r="G66" s="179" t="str">
        <f>+'8. BASE  CONSOLIDADA'!O233</f>
        <v>TECNOLOGÍA</v>
      </c>
      <c r="H66" s="179" t="str">
        <f>+'8. BASE  CONSOLIDADA'!P233</f>
        <v>C17</v>
      </c>
      <c r="I66" s="181">
        <v>11251</v>
      </c>
      <c r="J66" s="14">
        <f>+I66*0.2</f>
        <v>2250.2000000000003</v>
      </c>
      <c r="K66" s="14">
        <f>+I66*0.2</f>
        <v>2250.2000000000003</v>
      </c>
      <c r="L66" s="76">
        <v>500</v>
      </c>
      <c r="M66" s="791" t="s">
        <v>1194</v>
      </c>
      <c r="N66" s="13" t="s">
        <v>1190</v>
      </c>
      <c r="O66" s="26">
        <f t="shared" si="41"/>
        <v>1125100.0000000002</v>
      </c>
      <c r="P66" s="26">
        <f>+L66*K66</f>
        <v>1125100.0000000002</v>
      </c>
      <c r="Q66" s="28">
        <f t="shared" ref="Q66:U66" si="44">+$O$66*0.2</f>
        <v>225020.00000000006</v>
      </c>
      <c r="R66" s="28">
        <f t="shared" si="44"/>
        <v>225020.00000000006</v>
      </c>
      <c r="S66" s="28">
        <f t="shared" si="44"/>
        <v>225020.00000000006</v>
      </c>
      <c r="T66" s="28">
        <f t="shared" si="44"/>
        <v>225020.00000000006</v>
      </c>
      <c r="U66" s="28">
        <f t="shared" si="44"/>
        <v>225020.00000000006</v>
      </c>
      <c r="V66" s="13"/>
      <c r="W66" s="13"/>
      <c r="X66" s="13"/>
      <c r="Y66" s="13" t="s">
        <v>148</v>
      </c>
      <c r="Z66" s="10"/>
      <c r="AA66" s="10" t="str">
        <f t="shared" si="43"/>
        <v>RE</v>
      </c>
      <c r="AB66" s="13">
        <v>2</v>
      </c>
    </row>
    <row r="67" spans="1:28" ht="57.75" customHeight="1" x14ac:dyDescent="0.25">
      <c r="A67" s="337" t="s">
        <v>259</v>
      </c>
      <c r="B67" s="285"/>
      <c r="C67" s="12" t="s">
        <v>1529</v>
      </c>
      <c r="D67" s="252" t="s">
        <v>275</v>
      </c>
      <c r="E67" s="252" t="s">
        <v>1530</v>
      </c>
      <c r="F67" s="13" t="s">
        <v>1531</v>
      </c>
      <c r="G67" s="179" t="str">
        <f>+'8. BASE  CONSOLIDADA'!O234</f>
        <v>TECNOLOGÍA</v>
      </c>
      <c r="H67" s="179" t="str">
        <f>+'8. BASE  CONSOLIDADA'!P234</f>
        <v>C17</v>
      </c>
      <c r="I67" s="181"/>
      <c r="J67" s="181">
        <v>2</v>
      </c>
      <c r="K67" s="181">
        <v>2</v>
      </c>
      <c r="L67" s="26">
        <v>54800</v>
      </c>
      <c r="M67" s="788" t="s">
        <v>1532</v>
      </c>
      <c r="N67" s="13" t="s">
        <v>1489</v>
      </c>
      <c r="O67" s="28">
        <f>+J67*L67*5</f>
        <v>548000</v>
      </c>
      <c r="P67" s="28">
        <f>+L67*K67*5</f>
        <v>548000</v>
      </c>
      <c r="Q67" s="28">
        <f t="shared" ref="Q67:U67" si="45">+$O$67*0.2</f>
        <v>109600</v>
      </c>
      <c r="R67" s="28">
        <f t="shared" si="45"/>
        <v>109600</v>
      </c>
      <c r="S67" s="28">
        <f t="shared" si="45"/>
        <v>109600</v>
      </c>
      <c r="T67" s="28">
        <f t="shared" si="45"/>
        <v>109600</v>
      </c>
      <c r="U67" s="28">
        <f t="shared" si="45"/>
        <v>109600</v>
      </c>
      <c r="V67" s="13"/>
      <c r="W67" s="13"/>
      <c r="X67" s="13" t="s">
        <v>148</v>
      </c>
      <c r="Y67" s="13"/>
      <c r="Z67" s="10"/>
      <c r="AA67" s="10"/>
      <c r="AB67" s="13">
        <v>2</v>
      </c>
    </row>
    <row r="68" spans="1:28" ht="149.94999999999999" customHeight="1" x14ac:dyDescent="0.25">
      <c r="A68" s="295" t="s">
        <v>257</v>
      </c>
      <c r="B68" s="290" t="s">
        <v>254</v>
      </c>
      <c r="C68" s="12" t="s">
        <v>1533</v>
      </c>
      <c r="D68" s="252" t="s">
        <v>163</v>
      </c>
      <c r="E68" s="257" t="s">
        <v>1534</v>
      </c>
      <c r="F68" s="13" t="s">
        <v>1295</v>
      </c>
      <c r="G68" s="179" t="str">
        <f>+'8. BASE  CONSOLIDADA'!O235</f>
        <v>FINANCIAMIENTO</v>
      </c>
      <c r="H68" s="179" t="str">
        <f>+'8. BASE  CONSOLIDADA'!P235</f>
        <v>C6</v>
      </c>
      <c r="I68" s="75">
        <f>+I65</f>
        <v>587</v>
      </c>
      <c r="J68" s="75">
        <f>+I68*0.3</f>
        <v>176.1</v>
      </c>
      <c r="K68" s="75">
        <f>+I68*0.2</f>
        <v>117.4</v>
      </c>
      <c r="L68" s="76">
        <f>4300*2.5</f>
        <v>10750</v>
      </c>
      <c r="M68" s="791" t="s">
        <v>1223</v>
      </c>
      <c r="N68" s="13" t="s">
        <v>1496</v>
      </c>
      <c r="O68" s="28">
        <f>+J68*L68</f>
        <v>1893075</v>
      </c>
      <c r="P68" s="28">
        <f>+L68*K68</f>
        <v>1262050</v>
      </c>
      <c r="Q68" s="28">
        <f t="shared" ref="Q68:U68" si="46">+$O$68*0.2</f>
        <v>378615</v>
      </c>
      <c r="R68" s="28">
        <f t="shared" si="46"/>
        <v>378615</v>
      </c>
      <c r="S68" s="28">
        <f t="shared" si="46"/>
        <v>378615</v>
      </c>
      <c r="T68" s="28">
        <f t="shared" si="46"/>
        <v>378615</v>
      </c>
      <c r="U68" s="28">
        <f t="shared" si="46"/>
        <v>378615</v>
      </c>
      <c r="V68" s="13"/>
      <c r="W68" s="13" t="s">
        <v>148</v>
      </c>
      <c r="X68" s="13"/>
      <c r="Y68" s="13"/>
      <c r="Z68" s="10"/>
      <c r="AA68" s="10" t="str">
        <f>+B68</f>
        <v>RE</v>
      </c>
      <c r="AB68" s="13">
        <v>3</v>
      </c>
    </row>
    <row r="69" spans="1:28" ht="134.35" customHeight="1" x14ac:dyDescent="0.25">
      <c r="A69" s="337" t="s">
        <v>259</v>
      </c>
      <c r="B69" s="285"/>
      <c r="C69" s="12" t="s">
        <v>1535</v>
      </c>
      <c r="D69" s="252" t="s">
        <v>165</v>
      </c>
      <c r="E69" s="301" t="s">
        <v>1297</v>
      </c>
      <c r="F69" s="183" t="s">
        <v>1298</v>
      </c>
      <c r="G69" s="179" t="str">
        <f>+'8. BASE  CONSOLIDADA'!O236</f>
        <v>ASOCIATIVIDAD</v>
      </c>
      <c r="H69" s="179" t="str">
        <f>+'8. BASE  CONSOLIDADA'!P236</f>
        <v>C2</v>
      </c>
      <c r="I69" s="181"/>
      <c r="J69" s="181">
        <v>8</v>
      </c>
      <c r="K69" s="181">
        <v>8</v>
      </c>
      <c r="L69" s="26">
        <v>120000</v>
      </c>
      <c r="M69" s="788" t="s">
        <v>1536</v>
      </c>
      <c r="N69" s="13" t="s">
        <v>1501</v>
      </c>
      <c r="O69" s="28">
        <f>+J69*L69*5</f>
        <v>4800000</v>
      </c>
      <c r="P69" s="28">
        <f>+K69*L69*5</f>
        <v>4800000</v>
      </c>
      <c r="Q69" s="254">
        <f t="shared" ref="Q69:U69" si="47">+$O$69*0.2</f>
        <v>960000</v>
      </c>
      <c r="R69" s="254">
        <f t="shared" si="47"/>
        <v>960000</v>
      </c>
      <c r="S69" s="254">
        <f t="shared" si="47"/>
        <v>960000</v>
      </c>
      <c r="T69" s="254">
        <f t="shared" si="47"/>
        <v>960000</v>
      </c>
      <c r="U69" s="254">
        <f t="shared" si="47"/>
        <v>960000</v>
      </c>
      <c r="V69" s="13"/>
      <c r="W69" s="13"/>
      <c r="X69" s="13"/>
      <c r="Y69" s="13" t="s">
        <v>148</v>
      </c>
      <c r="Z69" s="10"/>
      <c r="AA69" s="10"/>
      <c r="AB69" s="13">
        <v>3</v>
      </c>
    </row>
    <row r="70" spans="1:28" ht="82.55" customHeight="1" x14ac:dyDescent="0.25">
      <c r="A70" s="333" t="s">
        <v>260</v>
      </c>
      <c r="B70" s="284" t="s">
        <v>254</v>
      </c>
      <c r="C70" s="12" t="s">
        <v>1537</v>
      </c>
      <c r="D70" s="252" t="s">
        <v>263</v>
      </c>
      <c r="E70" s="252" t="s">
        <v>1538</v>
      </c>
      <c r="F70" s="183" t="s">
        <v>1301</v>
      </c>
      <c r="G70" s="179" t="str">
        <f>+'8. BASE  CONSOLIDADA'!O237</f>
        <v>INFRAESTRUCTURA</v>
      </c>
      <c r="H70" s="179" t="str">
        <f>+'8. BASE  CONSOLIDADA'!P237</f>
        <v>C7</v>
      </c>
      <c r="I70" s="75"/>
      <c r="J70" s="14">
        <v>8</v>
      </c>
      <c r="K70" s="14">
        <v>8</v>
      </c>
      <c r="L70" s="26">
        <v>800000</v>
      </c>
      <c r="M70" s="788" t="s">
        <v>1302</v>
      </c>
      <c r="N70" s="13" t="s">
        <v>1539</v>
      </c>
      <c r="O70" s="28">
        <f t="shared" ref="O70:O71" si="48">+J70*L70</f>
        <v>6400000</v>
      </c>
      <c r="P70" s="28">
        <f>+L70*K70</f>
        <v>6400000</v>
      </c>
      <c r="Q70" s="254">
        <f t="shared" ref="Q70:U70" si="49">+$O$70*0.2</f>
        <v>1280000</v>
      </c>
      <c r="R70" s="254">
        <f t="shared" si="49"/>
        <v>1280000</v>
      </c>
      <c r="S70" s="254">
        <f t="shared" si="49"/>
        <v>1280000</v>
      </c>
      <c r="T70" s="254">
        <f t="shared" si="49"/>
        <v>1280000</v>
      </c>
      <c r="U70" s="254">
        <f t="shared" si="49"/>
        <v>1280000</v>
      </c>
      <c r="V70" s="13"/>
      <c r="W70" s="13" t="s">
        <v>148</v>
      </c>
      <c r="X70" s="13"/>
      <c r="Y70" s="13"/>
      <c r="Z70" s="10"/>
      <c r="AA70" s="10" t="str">
        <f>+B70</f>
        <v>RE</v>
      </c>
      <c r="AB70" s="13">
        <v>2</v>
      </c>
    </row>
    <row r="71" spans="1:28" ht="80.349999999999994" customHeight="1" x14ac:dyDescent="0.25">
      <c r="A71" s="335" t="s">
        <v>256</v>
      </c>
      <c r="B71" s="286"/>
      <c r="C71" s="12" t="s">
        <v>1540</v>
      </c>
      <c r="D71" s="252" t="s">
        <v>168</v>
      </c>
      <c r="E71" s="252" t="s">
        <v>1244</v>
      </c>
      <c r="F71" s="191" t="s">
        <v>1245</v>
      </c>
      <c r="G71" s="416" t="str">
        <f>+'8. BASE  CONSOLIDADA'!O238</f>
        <v>SERVICIOS ECOSISTÉMICOS</v>
      </c>
      <c r="H71" s="416" t="str">
        <f>+'8. BASE  CONSOLIDADA'!P238</f>
        <v>C15</v>
      </c>
      <c r="I71" s="77"/>
      <c r="J71" s="185">
        <f t="shared" ref="J71:K71" si="50">(5*1)*5</f>
        <v>25</v>
      </c>
      <c r="K71" s="14">
        <f t="shared" si="50"/>
        <v>25</v>
      </c>
      <c r="L71" s="26">
        <v>10000</v>
      </c>
      <c r="M71" s="788" t="s">
        <v>1246</v>
      </c>
      <c r="N71" s="13" t="s">
        <v>1247</v>
      </c>
      <c r="O71" s="28">
        <f t="shared" si="48"/>
        <v>250000</v>
      </c>
      <c r="P71" s="28">
        <f>+K71*L71</f>
        <v>250000</v>
      </c>
      <c r="Q71" s="254">
        <f t="shared" ref="Q71:U71" si="51">+$O$52*0.2</f>
        <v>50000</v>
      </c>
      <c r="R71" s="254">
        <f t="shared" si="51"/>
        <v>50000</v>
      </c>
      <c r="S71" s="254">
        <f t="shared" si="51"/>
        <v>50000</v>
      </c>
      <c r="T71" s="254">
        <f t="shared" si="51"/>
        <v>50000</v>
      </c>
      <c r="U71" s="254">
        <f t="shared" si="51"/>
        <v>50000</v>
      </c>
      <c r="V71" s="13"/>
      <c r="W71" s="13" t="s">
        <v>148</v>
      </c>
      <c r="X71" s="13"/>
      <c r="Y71" s="13"/>
      <c r="Z71" s="10"/>
      <c r="AA71" s="10"/>
      <c r="AB71" s="13">
        <v>2</v>
      </c>
    </row>
    <row r="72" spans="1:28" ht="20.25" customHeight="1" x14ac:dyDescent="0.25">
      <c r="A72" s="825"/>
      <c r="B72" s="16"/>
      <c r="C72" s="1"/>
      <c r="D72" s="366"/>
      <c r="E72" s="366"/>
      <c r="F72" s="366"/>
      <c r="G72" s="366"/>
      <c r="H72" s="366"/>
      <c r="I72" s="366"/>
      <c r="J72" s="366"/>
      <c r="K72" s="366"/>
      <c r="L72" s="366"/>
      <c r="M72" s="264"/>
      <c r="N72" s="366"/>
      <c r="O72" s="29">
        <f>SUM(O64:O71)</f>
        <v>15808200.814068444</v>
      </c>
      <c r="P72" s="29">
        <f t="shared" ref="P72:U72" si="52">SUM(P64:P71)</f>
        <v>15177175.814068444</v>
      </c>
      <c r="Q72" s="29">
        <f t="shared" si="52"/>
        <v>3115309.5814068448</v>
      </c>
      <c r="R72" s="29">
        <f t="shared" si="52"/>
        <v>3138474.8721102667</v>
      </c>
      <c r="S72" s="29">
        <f t="shared" si="52"/>
        <v>3161640.1628136891</v>
      </c>
      <c r="T72" s="29">
        <f t="shared" si="52"/>
        <v>3207970.7442205334</v>
      </c>
      <c r="U72" s="29">
        <f t="shared" si="52"/>
        <v>3184805.453517111</v>
      </c>
      <c r="V72" s="366"/>
      <c r="W72" s="1"/>
      <c r="X72" s="1"/>
      <c r="Y72" s="1"/>
      <c r="Z72" s="1"/>
      <c r="AA72" s="1"/>
      <c r="AB72" s="1"/>
    </row>
    <row r="73" spans="1:28" s="243" customFormat="1" ht="20.25" customHeight="1" x14ac:dyDescent="0.25">
      <c r="A73" s="825"/>
      <c r="B73" s="16"/>
      <c r="C73" s="1"/>
      <c r="D73" s="366"/>
      <c r="E73" s="366"/>
      <c r="F73" s="366"/>
      <c r="G73" s="366"/>
      <c r="H73" s="366"/>
      <c r="I73" s="366"/>
      <c r="J73" s="366"/>
      <c r="K73" s="366"/>
      <c r="L73" s="366"/>
      <c r="M73" s="264"/>
      <c r="N73" s="366"/>
      <c r="O73" s="366"/>
      <c r="P73" s="366"/>
      <c r="Q73" s="366"/>
      <c r="R73" s="366"/>
      <c r="S73" s="366"/>
      <c r="T73" s="366"/>
      <c r="U73" s="366"/>
      <c r="V73" s="366"/>
      <c r="W73" s="1"/>
      <c r="X73" s="1"/>
      <c r="Y73" s="1"/>
      <c r="Z73" s="1"/>
      <c r="AA73" s="1"/>
      <c r="AB73" s="1"/>
    </row>
    <row r="74" spans="1:28" ht="17.5" customHeight="1" x14ac:dyDescent="0.25">
      <c r="A74" s="825"/>
      <c r="B74" s="16"/>
      <c r="C74" s="1"/>
      <c r="D74" s="366"/>
      <c r="E74" s="366"/>
      <c r="F74" s="366"/>
      <c r="G74" s="366"/>
      <c r="H74" s="366"/>
      <c r="I74" s="366"/>
      <c r="J74" s="366"/>
      <c r="K74" s="366"/>
      <c r="L74" s="366"/>
      <c r="M74" s="264"/>
      <c r="N74" s="366"/>
      <c r="O74" s="366"/>
      <c r="P74" s="366"/>
      <c r="Q74" s="366"/>
      <c r="R74" s="366"/>
      <c r="S74" s="366"/>
      <c r="T74" s="366"/>
      <c r="U74" s="366"/>
      <c r="V74" s="366"/>
      <c r="W74" s="1"/>
      <c r="X74" s="1"/>
      <c r="Y74" s="1"/>
      <c r="Z74" s="1"/>
      <c r="AA74" s="1"/>
      <c r="AB74" s="1"/>
    </row>
    <row r="75" spans="1:28" ht="14.95" customHeight="1" x14ac:dyDescent="0.25">
      <c r="A75" s="825"/>
      <c r="B75" s="16"/>
      <c r="C75" s="1484" t="s">
        <v>1170</v>
      </c>
      <c r="D75" s="1393"/>
      <c r="E75" s="1394"/>
      <c r="F75" s="377" t="s">
        <v>136</v>
      </c>
      <c r="G75" s="826"/>
      <c r="H75" s="826"/>
      <c r="I75" s="826"/>
      <c r="J75" s="826"/>
      <c r="K75" s="826"/>
      <c r="L75" s="826"/>
      <c r="M75" s="873"/>
      <c r="N75" s="826"/>
      <c r="O75" s="826"/>
      <c r="P75" s="826"/>
      <c r="Q75" s="826"/>
      <c r="R75" s="826"/>
      <c r="S75" s="826"/>
      <c r="T75" s="826"/>
      <c r="U75" s="826"/>
      <c r="V75" s="826"/>
      <c r="W75" s="826"/>
      <c r="X75" s="826"/>
      <c r="Y75" s="826"/>
      <c r="Z75" s="826"/>
      <c r="AA75" s="826"/>
      <c r="AB75" s="827"/>
    </row>
    <row r="76" spans="1:28" ht="49.6" customHeight="1" x14ac:dyDescent="0.25">
      <c r="A76" s="825"/>
      <c r="B76" s="16"/>
      <c r="C76" s="1484" t="s">
        <v>1171</v>
      </c>
      <c r="D76" s="1393"/>
      <c r="E76" s="1394"/>
      <c r="F76" s="1481" t="s">
        <v>1541</v>
      </c>
      <c r="G76" s="1393"/>
      <c r="H76" s="1393"/>
      <c r="I76" s="1393"/>
      <c r="J76" s="1393"/>
      <c r="K76" s="1393"/>
      <c r="L76" s="1393"/>
      <c r="M76" s="1393"/>
      <c r="N76" s="1393"/>
      <c r="O76" s="1393"/>
      <c r="P76" s="1393"/>
      <c r="Q76" s="1393"/>
      <c r="R76" s="1393"/>
      <c r="S76" s="1393"/>
      <c r="T76" s="1393"/>
      <c r="U76" s="1393"/>
      <c r="V76" s="1393"/>
      <c r="W76" s="1393"/>
      <c r="X76" s="1393"/>
      <c r="Y76" s="1393"/>
      <c r="Z76" s="1393"/>
      <c r="AA76" s="1393"/>
      <c r="AB76" s="1394"/>
    </row>
    <row r="77" spans="1:28" ht="15.8" customHeight="1" x14ac:dyDescent="0.25">
      <c r="A77" s="825"/>
      <c r="B77" s="16"/>
      <c r="C77" s="1484" t="s">
        <v>1173</v>
      </c>
      <c r="D77" s="1393"/>
      <c r="E77" s="1394"/>
      <c r="F77" s="1481" t="s">
        <v>1542</v>
      </c>
      <c r="G77" s="1393"/>
      <c r="H77" s="1393"/>
      <c r="I77" s="1393"/>
      <c r="J77" s="1393"/>
      <c r="K77" s="1393"/>
      <c r="L77" s="1393"/>
      <c r="M77" s="1393"/>
      <c r="N77" s="1393"/>
      <c r="O77" s="1393"/>
      <c r="P77" s="1393"/>
      <c r="Q77" s="1393"/>
      <c r="R77" s="1393"/>
      <c r="S77" s="1393"/>
      <c r="T77" s="1393"/>
      <c r="U77" s="1393"/>
      <c r="V77" s="1393"/>
      <c r="W77" s="1393"/>
      <c r="X77" s="1393"/>
      <c r="Y77" s="1393"/>
      <c r="Z77" s="1393"/>
      <c r="AA77" s="1393"/>
      <c r="AB77" s="1394"/>
    </row>
    <row r="78" spans="1:28" ht="15.8" customHeight="1" x14ac:dyDescent="0.25">
      <c r="A78" s="825"/>
      <c r="B78" s="16"/>
      <c r="C78" s="1484" t="s">
        <v>1175</v>
      </c>
      <c r="D78" s="1393"/>
      <c r="E78" s="1394"/>
      <c r="F78" s="1481" t="s">
        <v>1543</v>
      </c>
      <c r="G78" s="1393"/>
      <c r="H78" s="1393"/>
      <c r="I78" s="1393"/>
      <c r="J78" s="1393"/>
      <c r="K78" s="1393"/>
      <c r="L78" s="1393"/>
      <c r="M78" s="1393"/>
      <c r="N78" s="1393"/>
      <c r="O78" s="1393"/>
      <c r="P78" s="1393"/>
      <c r="Q78" s="1393"/>
      <c r="R78" s="1393"/>
      <c r="S78" s="1393"/>
      <c r="T78" s="1393"/>
      <c r="U78" s="1393"/>
      <c r="V78" s="1393"/>
      <c r="W78" s="1393"/>
      <c r="X78" s="1393"/>
      <c r="Y78" s="1393"/>
      <c r="Z78" s="1393"/>
      <c r="AA78" s="1393"/>
      <c r="AB78" s="1394"/>
    </row>
    <row r="79" spans="1:28" ht="22.6" customHeight="1" x14ac:dyDescent="0.25">
      <c r="A79" s="825"/>
      <c r="B79" s="16"/>
      <c r="C79" s="1482" t="s">
        <v>142</v>
      </c>
      <c r="D79" s="1393"/>
      <c r="E79" s="1394"/>
      <c r="F79" s="1481" t="s">
        <v>1475</v>
      </c>
      <c r="G79" s="1393"/>
      <c r="H79" s="1393"/>
      <c r="I79" s="1393"/>
      <c r="J79" s="1393"/>
      <c r="K79" s="1393"/>
      <c r="L79" s="1393"/>
      <c r="M79" s="1393"/>
      <c r="N79" s="1393"/>
      <c r="O79" s="1393"/>
      <c r="P79" s="1393"/>
      <c r="Q79" s="1393"/>
      <c r="R79" s="1393"/>
      <c r="S79" s="1393"/>
      <c r="T79" s="1393"/>
      <c r="U79" s="1393"/>
      <c r="V79" s="1393"/>
      <c r="W79" s="1393"/>
      <c r="X79" s="1393"/>
      <c r="Y79" s="1393"/>
      <c r="Z79" s="1393"/>
      <c r="AA79" s="1393"/>
      <c r="AB79" s="1394"/>
    </row>
    <row r="80" spans="1:28" ht="57.75" customHeight="1" x14ac:dyDescent="0.25">
      <c r="A80" s="825"/>
      <c r="B80" s="16"/>
      <c r="C80" s="1482" t="s">
        <v>1178</v>
      </c>
      <c r="D80" s="1393"/>
      <c r="E80" s="1394"/>
      <c r="F80" s="1481" t="s">
        <v>1279</v>
      </c>
      <c r="G80" s="1393"/>
      <c r="H80" s="1393"/>
      <c r="I80" s="1393"/>
      <c r="J80" s="1393"/>
      <c r="K80" s="1393"/>
      <c r="L80" s="1393"/>
      <c r="M80" s="1393"/>
      <c r="N80" s="1393"/>
      <c r="O80" s="1393"/>
      <c r="P80" s="1393"/>
      <c r="Q80" s="1393"/>
      <c r="R80" s="1393"/>
      <c r="S80" s="1393"/>
      <c r="T80" s="1393"/>
      <c r="U80" s="1393"/>
      <c r="V80" s="1393"/>
      <c r="W80" s="1393"/>
      <c r="X80" s="1393"/>
      <c r="Y80" s="1393"/>
      <c r="Z80" s="1393"/>
      <c r="AA80" s="1393"/>
      <c r="AB80" s="1394"/>
    </row>
    <row r="81" spans="1:28" ht="18" customHeight="1" x14ac:dyDescent="0.25">
      <c r="A81" s="825"/>
      <c r="B81" s="16"/>
      <c r="C81" s="1474" t="s">
        <v>964</v>
      </c>
      <c r="D81" s="1474" t="s">
        <v>965</v>
      </c>
      <c r="E81" s="1474" t="s">
        <v>468</v>
      </c>
      <c r="F81" s="1466" t="s">
        <v>470</v>
      </c>
      <c r="G81" s="1466" t="s">
        <v>966</v>
      </c>
      <c r="H81" s="1466" t="s">
        <v>967</v>
      </c>
      <c r="I81" s="1466" t="s">
        <v>1180</v>
      </c>
      <c r="J81" s="1466" t="s">
        <v>968</v>
      </c>
      <c r="K81" s="1466" t="s">
        <v>969</v>
      </c>
      <c r="L81" s="1453" t="s">
        <v>970</v>
      </c>
      <c r="M81" s="1453" t="s">
        <v>971</v>
      </c>
      <c r="N81" s="1453" t="s">
        <v>972</v>
      </c>
      <c r="O81" s="1456" t="s">
        <v>973</v>
      </c>
      <c r="P81" s="1457"/>
      <c r="Q81" s="1456" t="s">
        <v>974</v>
      </c>
      <c r="R81" s="1458"/>
      <c r="S81" s="1458"/>
      <c r="T81" s="1458"/>
      <c r="U81" s="1457"/>
      <c r="V81" s="1466" t="s">
        <v>975</v>
      </c>
      <c r="W81" s="1468" t="s">
        <v>976</v>
      </c>
      <c r="X81" s="1393"/>
      <c r="Y81" s="1393"/>
      <c r="Z81" s="1394"/>
      <c r="AA81" s="23"/>
      <c r="AB81" s="1466" t="s">
        <v>977</v>
      </c>
    </row>
    <row r="82" spans="1:28" ht="52.5" customHeight="1" x14ac:dyDescent="0.25">
      <c r="A82" s="825"/>
      <c r="B82" s="16"/>
      <c r="C82" s="1480"/>
      <c r="D82" s="1480"/>
      <c r="E82" s="1480"/>
      <c r="F82" s="1467"/>
      <c r="G82" s="1467"/>
      <c r="H82" s="1467"/>
      <c r="I82" s="1467"/>
      <c r="J82" s="1467"/>
      <c r="K82" s="1467"/>
      <c r="L82" s="1454"/>
      <c r="M82" s="1455"/>
      <c r="N82" s="1454"/>
      <c r="O82" s="940" t="s">
        <v>978</v>
      </c>
      <c r="P82" s="940" t="s">
        <v>979</v>
      </c>
      <c r="Q82" s="940" t="s">
        <v>980</v>
      </c>
      <c r="R82" s="940" t="s">
        <v>981</v>
      </c>
      <c r="S82" s="940" t="s">
        <v>982</v>
      </c>
      <c r="T82" s="940" t="s">
        <v>983</v>
      </c>
      <c r="U82" s="940" t="s">
        <v>984</v>
      </c>
      <c r="V82" s="1467"/>
      <c r="W82" s="23" t="s">
        <v>985</v>
      </c>
      <c r="X82" s="23" t="s">
        <v>986</v>
      </c>
      <c r="Y82" s="23" t="s">
        <v>987</v>
      </c>
      <c r="Z82" s="23" t="s">
        <v>988</v>
      </c>
      <c r="AA82" s="23"/>
      <c r="AB82" s="1467"/>
    </row>
    <row r="83" spans="1:28" s="356" customFormat="1" ht="239.1" x14ac:dyDescent="0.25">
      <c r="A83" s="334" t="s">
        <v>258</v>
      </c>
      <c r="B83" s="291" t="s">
        <v>254</v>
      </c>
      <c r="C83" s="12" t="s">
        <v>2323</v>
      </c>
      <c r="D83" s="252" t="s">
        <v>170</v>
      </c>
      <c r="E83" s="373" t="s">
        <v>1182</v>
      </c>
      <c r="F83" s="13" t="s">
        <v>1183</v>
      </c>
      <c r="G83" s="13" t="str">
        <f>+'8. BASE  CONSOLIDADA'!O239</f>
        <v>DERECHOS SOBRE LA TIERRA</v>
      </c>
      <c r="H83" s="13" t="str">
        <f>+'8. BASE  CONSOLIDADA'!P239</f>
        <v>C5</v>
      </c>
      <c r="I83" s="14">
        <f>11651.2652587851/10</f>
        <v>1165.1265258785102</v>
      </c>
      <c r="J83" s="14">
        <f>+I83*0.5</f>
        <v>582.56326293925508</v>
      </c>
      <c r="K83" s="14">
        <f>+I83*0.5</f>
        <v>582.56326293925508</v>
      </c>
      <c r="L83" s="26">
        <v>2000</v>
      </c>
      <c r="M83" s="788" t="s">
        <v>1184</v>
      </c>
      <c r="N83" s="13" t="s">
        <v>1185</v>
      </c>
      <c r="O83" s="26">
        <f>+J83*L83</f>
        <v>1165126.5258785102</v>
      </c>
      <c r="P83" s="26">
        <f>+K83*L83</f>
        <v>1165126.5258785102</v>
      </c>
      <c r="Q83" s="26">
        <f>$O$83*0.1</f>
        <v>116512.65258785103</v>
      </c>
      <c r="R83" s="26">
        <f>+$O$83*0.15</f>
        <v>174768.97888177654</v>
      </c>
      <c r="S83" s="26">
        <f>+$O$83*0.2</f>
        <v>233025.30517570206</v>
      </c>
      <c r="T83" s="26">
        <f>+$O$83*0.3</f>
        <v>349537.95776355307</v>
      </c>
      <c r="U83" s="26">
        <f>+$O$83*0.25</f>
        <v>291281.63146962755</v>
      </c>
      <c r="V83" s="13"/>
      <c r="W83" s="13"/>
      <c r="X83" s="13"/>
      <c r="Y83" s="13" t="s">
        <v>148</v>
      </c>
      <c r="Z83" s="13"/>
      <c r="AA83" s="13" t="str">
        <f>+B83</f>
        <v>RE</v>
      </c>
      <c r="AB83" s="13">
        <v>3</v>
      </c>
    </row>
    <row r="84" spans="1:28" ht="117" customHeight="1" x14ac:dyDescent="0.25">
      <c r="A84" s="295" t="s">
        <v>257</v>
      </c>
      <c r="B84" s="290" t="s">
        <v>254</v>
      </c>
      <c r="C84" s="12" t="s">
        <v>2326</v>
      </c>
      <c r="D84" s="13" t="s">
        <v>282</v>
      </c>
      <c r="E84" s="13" t="s">
        <v>1544</v>
      </c>
      <c r="F84" s="183" t="s">
        <v>1266</v>
      </c>
      <c r="G84" s="13" t="str">
        <f>+'8. BASE  CONSOLIDADA'!O240</f>
        <v>FINANCIAMIENTO</v>
      </c>
      <c r="H84" s="13" t="str">
        <f>+'8. BASE  CONSOLIDADA'!P240</f>
        <v>C6</v>
      </c>
      <c r="I84" s="13">
        <v>8086</v>
      </c>
      <c r="J84" s="31">
        <f>+I84*0.3</f>
        <v>2425.7999999999997</v>
      </c>
      <c r="K84" s="31">
        <f>+I84*0.2</f>
        <v>1617.2</v>
      </c>
      <c r="L84" s="28">
        <f>2.5*4300</f>
        <v>10750</v>
      </c>
      <c r="M84" s="791" t="s">
        <v>1223</v>
      </c>
      <c r="N84" s="13" t="s">
        <v>992</v>
      </c>
      <c r="O84" s="28">
        <f>+L84*J84</f>
        <v>26077349.999999996</v>
      </c>
      <c r="P84" s="28">
        <f>+L84*K84</f>
        <v>17384900</v>
      </c>
      <c r="Q84" s="28">
        <f t="shared" ref="Q84:U84" si="53">+$O$84*0.2</f>
        <v>5215470</v>
      </c>
      <c r="R84" s="28">
        <f t="shared" si="53"/>
        <v>5215470</v>
      </c>
      <c r="S84" s="28">
        <f t="shared" si="53"/>
        <v>5215470</v>
      </c>
      <c r="T84" s="28">
        <f t="shared" si="53"/>
        <v>5215470</v>
      </c>
      <c r="U84" s="28">
        <f t="shared" si="53"/>
        <v>5215470</v>
      </c>
      <c r="V84" s="13"/>
      <c r="W84" s="183"/>
      <c r="X84" s="183"/>
      <c r="Y84" s="183" t="s">
        <v>148</v>
      </c>
      <c r="Z84" s="10"/>
      <c r="AA84" s="186" t="str">
        <f t="shared" ref="AA84:AA86" si="54">+B84</f>
        <v>RE</v>
      </c>
      <c r="AB84" s="183">
        <v>3</v>
      </c>
    </row>
    <row r="85" spans="1:28" ht="64.55" customHeight="1" x14ac:dyDescent="0.25">
      <c r="A85" s="333" t="s">
        <v>260</v>
      </c>
      <c r="B85" s="284" t="s">
        <v>254</v>
      </c>
      <c r="C85" s="12" t="s">
        <v>2325</v>
      </c>
      <c r="D85" s="13" t="s">
        <v>286</v>
      </c>
      <c r="E85" s="13" t="s">
        <v>1545</v>
      </c>
      <c r="F85" s="13" t="s">
        <v>994</v>
      </c>
      <c r="G85" s="13" t="str">
        <f>+'8. BASE  CONSOLIDADA'!O241</f>
        <v>MERCADO</v>
      </c>
      <c r="H85" s="13" t="str">
        <f>+'8. BASE  CONSOLIDADA'!P241</f>
        <v>C9</v>
      </c>
      <c r="I85" s="13"/>
      <c r="J85" s="13">
        <v>2</v>
      </c>
      <c r="K85" s="13">
        <v>2</v>
      </c>
      <c r="L85" s="28">
        <v>3500</v>
      </c>
      <c r="M85" s="788" t="s">
        <v>1546</v>
      </c>
      <c r="N85" s="13" t="s">
        <v>992</v>
      </c>
      <c r="O85" s="28">
        <f>+J85*L85*60</f>
        <v>420000</v>
      </c>
      <c r="P85" s="28">
        <f>+K85*L85*60</f>
        <v>420000</v>
      </c>
      <c r="Q85" s="28">
        <f t="shared" ref="Q85:U85" si="55">+$O$85*0.2</f>
        <v>84000</v>
      </c>
      <c r="R85" s="28">
        <f t="shared" si="55"/>
        <v>84000</v>
      </c>
      <c r="S85" s="28">
        <f t="shared" si="55"/>
        <v>84000</v>
      </c>
      <c r="T85" s="28">
        <f t="shared" si="55"/>
        <v>84000</v>
      </c>
      <c r="U85" s="28">
        <f t="shared" si="55"/>
        <v>84000</v>
      </c>
      <c r="V85" s="13"/>
      <c r="W85" s="183" t="s">
        <v>148</v>
      </c>
      <c r="X85" s="183"/>
      <c r="Y85" s="183"/>
      <c r="Z85" s="10"/>
      <c r="AA85" s="186" t="str">
        <f t="shared" si="54"/>
        <v>RE</v>
      </c>
      <c r="AB85" s="183">
        <v>3</v>
      </c>
    </row>
    <row r="86" spans="1:28" ht="86.3" customHeight="1" x14ac:dyDescent="0.25">
      <c r="A86" s="333" t="s">
        <v>260</v>
      </c>
      <c r="B86" s="284" t="s">
        <v>254</v>
      </c>
      <c r="C86" s="12" t="s">
        <v>2324</v>
      </c>
      <c r="D86" s="13" t="s">
        <v>283</v>
      </c>
      <c r="E86" s="13" t="s">
        <v>1547</v>
      </c>
      <c r="F86" s="13" t="s">
        <v>1548</v>
      </c>
      <c r="G86" s="13" t="str">
        <f>+'8. BASE  CONSOLIDADA'!O242</f>
        <v>MERCADO</v>
      </c>
      <c r="H86" s="13" t="str">
        <f>+'8. BASE  CONSOLIDADA'!P242</f>
        <v>C9</v>
      </c>
      <c r="I86" s="13"/>
      <c r="J86" s="13">
        <v>2</v>
      </c>
      <c r="K86" s="13">
        <v>0</v>
      </c>
      <c r="L86" s="28">
        <v>220400</v>
      </c>
      <c r="M86" s="788" t="s">
        <v>1549</v>
      </c>
      <c r="N86" s="13" t="s">
        <v>1550</v>
      </c>
      <c r="O86" s="28">
        <f>+J86*L86</f>
        <v>440800</v>
      </c>
      <c r="P86" s="28">
        <f>+L86*K86</f>
        <v>0</v>
      </c>
      <c r="Q86" s="28">
        <f t="shared" ref="Q86:R86" si="56">+$O$86*0.5</f>
        <v>220400</v>
      </c>
      <c r="R86" s="28">
        <f t="shared" si="56"/>
        <v>220400</v>
      </c>
      <c r="S86" s="13"/>
      <c r="T86" s="13"/>
      <c r="U86" s="13"/>
      <c r="V86" s="13"/>
      <c r="W86" s="183" t="s">
        <v>148</v>
      </c>
      <c r="X86" s="183"/>
      <c r="Y86" s="183"/>
      <c r="Z86" s="10"/>
      <c r="AA86" s="186" t="str">
        <f t="shared" si="54"/>
        <v>RE</v>
      </c>
      <c r="AB86" s="183">
        <v>3</v>
      </c>
    </row>
    <row r="87" spans="1:28" ht="16.5" customHeight="1" x14ac:dyDescent="0.25">
      <c r="A87" s="825"/>
      <c r="B87" s="16"/>
      <c r="C87" s="1"/>
      <c r="D87" s="366"/>
      <c r="E87" s="366"/>
      <c r="F87" s="366"/>
      <c r="G87" s="366"/>
      <c r="H87" s="366"/>
      <c r="I87" s="366"/>
      <c r="J87" s="366"/>
      <c r="K87" s="366"/>
      <c r="L87" s="366"/>
      <c r="M87" s="264"/>
      <c r="N87" s="366"/>
      <c r="O87" s="29">
        <f>SUM(O83:O86)</f>
        <v>28103276.525878508</v>
      </c>
      <c r="P87" s="29">
        <f t="shared" ref="P87:U87" si="57">SUM(P83:P86)</f>
        <v>18970026.525878511</v>
      </c>
      <c r="Q87" s="29">
        <f t="shared" si="57"/>
        <v>5636382.6525878506</v>
      </c>
      <c r="R87" s="29">
        <f t="shared" si="57"/>
        <v>5694638.9788817763</v>
      </c>
      <c r="S87" s="29">
        <f t="shared" si="57"/>
        <v>5532495.3051757021</v>
      </c>
      <c r="T87" s="29">
        <f t="shared" si="57"/>
        <v>5649007.9577635527</v>
      </c>
      <c r="U87" s="29">
        <f t="shared" si="57"/>
        <v>5590751.6314696278</v>
      </c>
      <c r="V87" s="366"/>
      <c r="W87" s="1"/>
      <c r="X87" s="1"/>
      <c r="Y87" s="1"/>
      <c r="Z87" s="1"/>
      <c r="AA87" s="1"/>
      <c r="AB87" s="1"/>
    </row>
    <row r="88" spans="1:28" ht="16.5" customHeight="1" x14ac:dyDescent="0.25">
      <c r="A88" s="825"/>
      <c r="B88" s="16"/>
      <c r="C88" s="1"/>
      <c r="D88" s="366"/>
      <c r="E88" s="366"/>
      <c r="F88" s="366"/>
      <c r="G88" s="366"/>
      <c r="H88" s="366"/>
      <c r="I88" s="366"/>
      <c r="J88" s="366"/>
      <c r="K88" s="366"/>
      <c r="L88" s="366"/>
      <c r="M88" s="264"/>
      <c r="N88" s="366"/>
      <c r="O88" s="366"/>
      <c r="P88" s="366"/>
      <c r="Q88" s="366"/>
      <c r="R88" s="366"/>
      <c r="S88" s="366"/>
      <c r="T88" s="366"/>
      <c r="U88" s="366"/>
      <c r="V88" s="366"/>
      <c r="W88" s="1"/>
      <c r="X88" s="1"/>
      <c r="Y88" s="1"/>
      <c r="Z88" s="1"/>
      <c r="AA88" s="1"/>
      <c r="AB88" s="1"/>
    </row>
    <row r="89" spans="1:28" ht="11.25" customHeight="1" x14ac:dyDescent="0.25">
      <c r="A89" s="825"/>
      <c r="B89" s="16"/>
      <c r="C89" s="1"/>
      <c r="D89" s="366"/>
      <c r="E89" s="366"/>
      <c r="F89" s="366"/>
      <c r="G89" s="366"/>
      <c r="H89" s="366"/>
      <c r="I89" s="366"/>
      <c r="J89" s="366"/>
      <c r="K89" s="366"/>
      <c r="L89" s="366"/>
      <c r="M89" s="264"/>
      <c r="N89" s="366"/>
      <c r="O89" s="366"/>
      <c r="P89" s="366"/>
      <c r="Q89" s="366"/>
      <c r="R89" s="366"/>
      <c r="S89" s="366"/>
      <c r="T89" s="366"/>
      <c r="U89" s="366"/>
      <c r="V89" s="366"/>
      <c r="W89" s="1"/>
      <c r="X89" s="1"/>
      <c r="Y89" s="1"/>
      <c r="Z89" s="1"/>
      <c r="AA89" s="1"/>
      <c r="AB89" s="1"/>
    </row>
    <row r="90" spans="1:28" ht="14.95" customHeight="1" x14ac:dyDescent="0.25">
      <c r="A90" s="825"/>
      <c r="B90" s="16"/>
      <c r="C90" s="1484" t="s">
        <v>1170</v>
      </c>
      <c r="D90" s="1393"/>
      <c r="E90" s="1394"/>
      <c r="F90" s="377" t="s">
        <v>122</v>
      </c>
      <c r="G90" s="826"/>
      <c r="H90" s="826"/>
      <c r="I90" s="826"/>
      <c r="J90" s="826"/>
      <c r="K90" s="826"/>
      <c r="L90" s="826"/>
      <c r="M90" s="873"/>
      <c r="N90" s="826"/>
      <c r="O90" s="826"/>
      <c r="P90" s="826"/>
      <c r="Q90" s="826"/>
      <c r="R90" s="826"/>
      <c r="S90" s="826"/>
      <c r="T90" s="826"/>
      <c r="U90" s="826"/>
      <c r="V90" s="826"/>
      <c r="W90" s="826"/>
      <c r="X90" s="826"/>
      <c r="Y90" s="826"/>
      <c r="Z90" s="826"/>
      <c r="AA90" s="826"/>
      <c r="AB90" s="827"/>
    </row>
    <row r="91" spans="1:28" ht="35.35" customHeight="1" x14ac:dyDescent="0.25">
      <c r="A91" s="825"/>
      <c r="B91" s="16"/>
      <c r="C91" s="1484" t="s">
        <v>1171</v>
      </c>
      <c r="D91" s="1393"/>
      <c r="E91" s="1394"/>
      <c r="F91" s="1481" t="s">
        <v>1551</v>
      </c>
      <c r="G91" s="1393"/>
      <c r="H91" s="1393"/>
      <c r="I91" s="1393"/>
      <c r="J91" s="1393"/>
      <c r="K91" s="1393"/>
      <c r="L91" s="1393"/>
      <c r="M91" s="1393"/>
      <c r="N91" s="1393"/>
      <c r="O91" s="1393"/>
      <c r="P91" s="1393"/>
      <c r="Q91" s="1393"/>
      <c r="R91" s="1393"/>
      <c r="S91" s="1393"/>
      <c r="T91" s="1393"/>
      <c r="U91" s="1393"/>
      <c r="V91" s="1393"/>
      <c r="W91" s="1393"/>
      <c r="X91" s="1393"/>
      <c r="Y91" s="1393"/>
      <c r="Z91" s="1393"/>
      <c r="AA91" s="1393"/>
      <c r="AB91" s="1394"/>
    </row>
    <row r="92" spans="1:28" ht="13.6" customHeight="1" x14ac:dyDescent="0.25">
      <c r="A92" s="825"/>
      <c r="B92" s="16"/>
      <c r="C92" s="1484" t="s">
        <v>1173</v>
      </c>
      <c r="D92" s="1393"/>
      <c r="E92" s="1394"/>
      <c r="F92" s="1481" t="s">
        <v>1552</v>
      </c>
      <c r="G92" s="1393"/>
      <c r="H92" s="1393"/>
      <c r="I92" s="1393"/>
      <c r="J92" s="1393"/>
      <c r="K92" s="1393"/>
      <c r="L92" s="1393"/>
      <c r="M92" s="1393"/>
      <c r="N92" s="1393"/>
      <c r="O92" s="1393"/>
      <c r="P92" s="1393"/>
      <c r="Q92" s="1393"/>
      <c r="R92" s="1393"/>
      <c r="S92" s="1393"/>
      <c r="T92" s="1393"/>
      <c r="U92" s="1393"/>
      <c r="V92" s="1393"/>
      <c r="W92" s="1393"/>
      <c r="X92" s="1393"/>
      <c r="Y92" s="1393"/>
      <c r="Z92" s="1393"/>
      <c r="AA92" s="1393"/>
      <c r="AB92" s="1394"/>
    </row>
    <row r="93" spans="1:28" ht="14.95" customHeight="1" x14ac:dyDescent="0.25">
      <c r="A93" s="825"/>
      <c r="B93" s="16"/>
      <c r="C93" s="1484" t="s">
        <v>1175</v>
      </c>
      <c r="D93" s="1393"/>
      <c r="E93" s="1394"/>
      <c r="F93" s="1481" t="s">
        <v>1553</v>
      </c>
      <c r="G93" s="1393"/>
      <c r="H93" s="1393"/>
      <c r="I93" s="1393"/>
      <c r="J93" s="1393"/>
      <c r="K93" s="1393"/>
      <c r="L93" s="1393"/>
      <c r="M93" s="1393"/>
      <c r="N93" s="1393"/>
      <c r="O93" s="1393"/>
      <c r="P93" s="1393"/>
      <c r="Q93" s="1393"/>
      <c r="R93" s="1393"/>
      <c r="S93" s="1393"/>
      <c r="T93" s="1393"/>
      <c r="U93" s="1393"/>
      <c r="V93" s="1393"/>
      <c r="W93" s="1393"/>
      <c r="X93" s="1393"/>
      <c r="Y93" s="1393"/>
      <c r="Z93" s="1393"/>
      <c r="AA93" s="1393"/>
      <c r="AB93" s="1394"/>
    </row>
    <row r="94" spans="1:28" ht="32.950000000000003" customHeight="1" x14ac:dyDescent="0.25">
      <c r="A94" s="825"/>
      <c r="B94" s="16"/>
      <c r="C94" s="1482" t="s">
        <v>142</v>
      </c>
      <c r="D94" s="1393"/>
      <c r="E94" s="1394"/>
      <c r="F94" s="1481" t="s">
        <v>1475</v>
      </c>
      <c r="G94" s="1393"/>
      <c r="H94" s="1393"/>
      <c r="I94" s="1393"/>
      <c r="J94" s="1393"/>
      <c r="K94" s="1393"/>
      <c r="L94" s="1393"/>
      <c r="M94" s="1393"/>
      <c r="N94" s="1393"/>
      <c r="O94" s="1393"/>
      <c r="P94" s="1393"/>
      <c r="Q94" s="1393"/>
      <c r="R94" s="1393"/>
      <c r="S94" s="1393"/>
      <c r="T94" s="1393"/>
      <c r="U94" s="1393"/>
      <c r="V94" s="1393"/>
      <c r="W94" s="1393"/>
      <c r="X94" s="1393"/>
      <c r="Y94" s="1393"/>
      <c r="Z94" s="1393"/>
      <c r="AA94" s="1393"/>
      <c r="AB94" s="1394"/>
    </row>
    <row r="95" spans="1:28" ht="36" customHeight="1" x14ac:dyDescent="0.25">
      <c r="A95" s="825"/>
      <c r="B95" s="16"/>
      <c r="C95" s="1482" t="s">
        <v>1178</v>
      </c>
      <c r="D95" s="1393"/>
      <c r="E95" s="1394"/>
      <c r="F95" s="1481" t="s">
        <v>1350</v>
      </c>
      <c r="G95" s="1393"/>
      <c r="H95" s="1393"/>
      <c r="I95" s="1393"/>
      <c r="J95" s="1393"/>
      <c r="K95" s="1393"/>
      <c r="L95" s="1393"/>
      <c r="M95" s="1393"/>
      <c r="N95" s="1393"/>
      <c r="O95" s="1393"/>
      <c r="P95" s="1393"/>
      <c r="Q95" s="1393"/>
      <c r="R95" s="1393"/>
      <c r="S95" s="1393"/>
      <c r="T95" s="1393"/>
      <c r="U95" s="1393"/>
      <c r="V95" s="1393"/>
      <c r="W95" s="1393"/>
      <c r="X95" s="1393"/>
      <c r="Y95" s="1393"/>
      <c r="Z95" s="1393"/>
      <c r="AA95" s="1393"/>
      <c r="AB95" s="1394"/>
    </row>
    <row r="96" spans="1:28" ht="23.95" customHeight="1" x14ac:dyDescent="0.25">
      <c r="A96" s="825"/>
      <c r="B96" s="16"/>
      <c r="C96" s="1474" t="s">
        <v>964</v>
      </c>
      <c r="D96" s="1474" t="s">
        <v>965</v>
      </c>
      <c r="E96" s="1474" t="s">
        <v>468</v>
      </c>
      <c r="F96" s="1466" t="s">
        <v>470</v>
      </c>
      <c r="G96" s="1466" t="s">
        <v>966</v>
      </c>
      <c r="H96" s="1466" t="s">
        <v>967</v>
      </c>
      <c r="I96" s="1466" t="s">
        <v>1180</v>
      </c>
      <c r="J96" s="1466" t="s">
        <v>968</v>
      </c>
      <c r="K96" s="1466" t="s">
        <v>969</v>
      </c>
      <c r="L96" s="1453" t="s">
        <v>970</v>
      </c>
      <c r="M96" s="1453" t="s">
        <v>971</v>
      </c>
      <c r="N96" s="1453" t="s">
        <v>972</v>
      </c>
      <c r="O96" s="1456" t="s">
        <v>973</v>
      </c>
      <c r="P96" s="1457"/>
      <c r="Q96" s="1456" t="s">
        <v>974</v>
      </c>
      <c r="R96" s="1458"/>
      <c r="S96" s="1458"/>
      <c r="T96" s="1458"/>
      <c r="U96" s="1457"/>
      <c r="V96" s="1466" t="s">
        <v>975</v>
      </c>
      <c r="W96" s="1468" t="s">
        <v>976</v>
      </c>
      <c r="X96" s="1393"/>
      <c r="Y96" s="1393"/>
      <c r="Z96" s="1394"/>
      <c r="AA96" s="23"/>
      <c r="AB96" s="1466" t="s">
        <v>977</v>
      </c>
    </row>
    <row r="97" spans="1:28" ht="81.7" customHeight="1" x14ac:dyDescent="0.25">
      <c r="A97" s="825"/>
      <c r="B97" s="16"/>
      <c r="C97" s="1480"/>
      <c r="D97" s="1480"/>
      <c r="E97" s="1480"/>
      <c r="F97" s="1467"/>
      <c r="G97" s="1467"/>
      <c r="H97" s="1467"/>
      <c r="I97" s="1467"/>
      <c r="J97" s="1467"/>
      <c r="K97" s="1467"/>
      <c r="L97" s="1454"/>
      <c r="M97" s="1455"/>
      <c r="N97" s="1454"/>
      <c r="O97" s="940" t="s">
        <v>978</v>
      </c>
      <c r="P97" s="940" t="s">
        <v>979</v>
      </c>
      <c r="Q97" s="940" t="s">
        <v>980</v>
      </c>
      <c r="R97" s="940" t="s">
        <v>981</v>
      </c>
      <c r="S97" s="940" t="s">
        <v>982</v>
      </c>
      <c r="T97" s="940" t="s">
        <v>983</v>
      </c>
      <c r="U97" s="940" t="s">
        <v>984</v>
      </c>
      <c r="V97" s="1467"/>
      <c r="W97" s="23" t="s">
        <v>985</v>
      </c>
      <c r="X97" s="23" t="s">
        <v>986</v>
      </c>
      <c r="Y97" s="23" t="s">
        <v>987</v>
      </c>
      <c r="Z97" s="23" t="s">
        <v>988</v>
      </c>
      <c r="AA97" s="23"/>
      <c r="AB97" s="1467"/>
    </row>
    <row r="98" spans="1:28" ht="120.75" customHeight="1" x14ac:dyDescent="0.25">
      <c r="A98" s="333" t="s">
        <v>260</v>
      </c>
      <c r="B98" s="284" t="s">
        <v>254</v>
      </c>
      <c r="C98" s="12" t="s">
        <v>1554</v>
      </c>
      <c r="D98" s="252" t="s">
        <v>264</v>
      </c>
      <c r="E98" s="252" t="s">
        <v>1555</v>
      </c>
      <c r="F98" s="183" t="s">
        <v>1022</v>
      </c>
      <c r="G98" s="183" t="str">
        <f>+'8. BASE  CONSOLIDADA'!O243</f>
        <v>FINANCIAMIENTO</v>
      </c>
      <c r="H98" s="183" t="str">
        <f>+'8. BASE  CONSOLIDADA'!P243</f>
        <v>C6</v>
      </c>
      <c r="I98" s="183"/>
      <c r="J98" s="13">
        <v>7</v>
      </c>
      <c r="K98" s="13">
        <v>10</v>
      </c>
      <c r="L98" s="26">
        <v>150000</v>
      </c>
      <c r="M98" s="788" t="s">
        <v>1353</v>
      </c>
      <c r="N98" s="13" t="s">
        <v>1354</v>
      </c>
      <c r="O98" s="14">
        <f>+J98*L98</f>
        <v>1050000</v>
      </c>
      <c r="P98" s="14">
        <f>+L98*K98</f>
        <v>1500000</v>
      </c>
      <c r="Q98" s="14">
        <f t="shared" ref="Q98:U98" si="58">+$O$98*0.2</f>
        <v>210000</v>
      </c>
      <c r="R98" s="14">
        <f t="shared" si="58"/>
        <v>210000</v>
      </c>
      <c r="S98" s="14">
        <f t="shared" si="58"/>
        <v>210000</v>
      </c>
      <c r="T98" s="14">
        <f t="shared" si="58"/>
        <v>210000</v>
      </c>
      <c r="U98" s="14">
        <f t="shared" si="58"/>
        <v>210000</v>
      </c>
      <c r="V98" s="13"/>
      <c r="W98" s="13" t="s">
        <v>148</v>
      </c>
      <c r="X98" s="13"/>
      <c r="Y98" s="13"/>
      <c r="Z98" s="10"/>
      <c r="AA98" s="10" t="str">
        <f t="shared" ref="AA98:AA101" si="59">+B98</f>
        <v>RE</v>
      </c>
      <c r="AB98" s="13">
        <v>3</v>
      </c>
    </row>
    <row r="99" spans="1:28" ht="164.25" customHeight="1" x14ac:dyDescent="0.25">
      <c r="A99" s="337" t="s">
        <v>259</v>
      </c>
      <c r="B99" s="285" t="s">
        <v>254</v>
      </c>
      <c r="C99" s="12" t="s">
        <v>1556</v>
      </c>
      <c r="D99" s="252" t="s">
        <v>271</v>
      </c>
      <c r="E99" s="297" t="s">
        <v>1356</v>
      </c>
      <c r="F99" s="183" t="s">
        <v>994</v>
      </c>
      <c r="G99" s="183" t="str">
        <f>+'8. BASE  CONSOLIDADA'!O244</f>
        <v>ASISTENCIA TÉCNICA</v>
      </c>
      <c r="H99" s="183" t="str">
        <f>+'8. BASE  CONSOLIDADA'!P244</f>
        <v>C1</v>
      </c>
      <c r="I99" s="183"/>
      <c r="J99" s="13">
        <v>2</v>
      </c>
      <c r="K99" s="13">
        <v>2</v>
      </c>
      <c r="L99" s="26">
        <v>4000</v>
      </c>
      <c r="M99" s="788" t="s">
        <v>1357</v>
      </c>
      <c r="N99" s="13" t="s">
        <v>1354</v>
      </c>
      <c r="O99" s="14">
        <f>+J99*L99*60</f>
        <v>480000</v>
      </c>
      <c r="P99" s="14">
        <f>+L99*K99*60</f>
        <v>480000</v>
      </c>
      <c r="Q99" s="14">
        <f t="shared" ref="Q99:U99" si="60">+$O$99*0.2</f>
        <v>96000</v>
      </c>
      <c r="R99" s="14">
        <f t="shared" si="60"/>
        <v>96000</v>
      </c>
      <c r="S99" s="14">
        <f t="shared" si="60"/>
        <v>96000</v>
      </c>
      <c r="T99" s="14">
        <f t="shared" si="60"/>
        <v>96000</v>
      </c>
      <c r="U99" s="14">
        <f t="shared" si="60"/>
        <v>96000</v>
      </c>
      <c r="V99" s="13"/>
      <c r="W99" s="13"/>
      <c r="X99" s="13"/>
      <c r="Y99" s="13" t="s">
        <v>148</v>
      </c>
      <c r="Z99" s="10"/>
      <c r="AA99" s="10" t="str">
        <f t="shared" si="59"/>
        <v>RE</v>
      </c>
      <c r="AB99" s="13">
        <v>3</v>
      </c>
    </row>
    <row r="100" spans="1:28" ht="109.55" customHeight="1" x14ac:dyDescent="0.25">
      <c r="A100" s="333" t="s">
        <v>260</v>
      </c>
      <c r="B100" s="284" t="s">
        <v>254</v>
      </c>
      <c r="C100" s="12" t="s">
        <v>1557</v>
      </c>
      <c r="D100" s="24" t="s">
        <v>177</v>
      </c>
      <c r="E100" s="297" t="s">
        <v>1359</v>
      </c>
      <c r="F100" s="183" t="s">
        <v>1320</v>
      </c>
      <c r="G100" s="183" t="str">
        <f>+'8. BASE  CONSOLIDADA'!O245</f>
        <v>INNOVACIÓN</v>
      </c>
      <c r="H100" s="183" t="str">
        <f>+'8. BASE  CONSOLIDADA'!P245</f>
        <v>C8</v>
      </c>
      <c r="I100" s="183"/>
      <c r="J100" s="13">
        <v>4</v>
      </c>
      <c r="K100" s="13">
        <f>4*2</f>
        <v>8</v>
      </c>
      <c r="L100" s="26">
        <v>150000</v>
      </c>
      <c r="M100" s="788" t="s">
        <v>1360</v>
      </c>
      <c r="N100" s="13" t="s">
        <v>1361</v>
      </c>
      <c r="O100" s="14">
        <f>+J100*L100</f>
        <v>600000</v>
      </c>
      <c r="P100" s="14">
        <f>+L100*K100</f>
        <v>1200000</v>
      </c>
      <c r="Q100" s="14">
        <f t="shared" ref="Q100:U100" si="61">+$O$100*0.2</f>
        <v>120000</v>
      </c>
      <c r="R100" s="14">
        <f t="shared" si="61"/>
        <v>120000</v>
      </c>
      <c r="S100" s="14">
        <f t="shared" si="61"/>
        <v>120000</v>
      </c>
      <c r="T100" s="14">
        <f t="shared" si="61"/>
        <v>120000</v>
      </c>
      <c r="U100" s="14">
        <f t="shared" si="61"/>
        <v>120000</v>
      </c>
      <c r="V100" s="13"/>
      <c r="W100" s="13" t="s">
        <v>148</v>
      </c>
      <c r="X100" s="13"/>
      <c r="Y100" s="13"/>
      <c r="Z100" s="10"/>
      <c r="AA100" s="10" t="str">
        <f t="shared" si="59"/>
        <v>RE</v>
      </c>
      <c r="AB100" s="13">
        <v>3</v>
      </c>
    </row>
    <row r="101" spans="1:28" ht="89.35" customHeight="1" x14ac:dyDescent="0.25">
      <c r="A101" s="333" t="s">
        <v>260</v>
      </c>
      <c r="B101" s="284" t="s">
        <v>254</v>
      </c>
      <c r="C101" s="12" t="s">
        <v>1558</v>
      </c>
      <c r="D101" s="252" t="s">
        <v>274</v>
      </c>
      <c r="E101" s="297" t="s">
        <v>1363</v>
      </c>
      <c r="F101" s="13" t="s">
        <v>1559</v>
      </c>
      <c r="G101" s="183" t="str">
        <f>+'8. BASE  CONSOLIDADA'!O246</f>
        <v>PROMOCIÓN ACTIVIDADES ECONÓMICOS</v>
      </c>
      <c r="H101" s="183" t="str">
        <f>+'8. BASE  CONSOLIDADA'!P246</f>
        <v>C11</v>
      </c>
      <c r="I101" s="183"/>
      <c r="J101" s="13">
        <v>3</v>
      </c>
      <c r="K101" s="13">
        <v>3</v>
      </c>
      <c r="L101" s="26">
        <v>40000</v>
      </c>
      <c r="M101" s="788" t="s">
        <v>1365</v>
      </c>
      <c r="N101" s="13" t="s">
        <v>1366</v>
      </c>
      <c r="O101" s="14">
        <f>+J101*L101*5</f>
        <v>600000</v>
      </c>
      <c r="P101" s="14">
        <f>+L101*K101*5</f>
        <v>600000</v>
      </c>
      <c r="Q101" s="14">
        <f t="shared" ref="Q101:U101" si="62">+$O$101*0.2</f>
        <v>120000</v>
      </c>
      <c r="R101" s="14">
        <f t="shared" si="62"/>
        <v>120000</v>
      </c>
      <c r="S101" s="14">
        <f t="shared" si="62"/>
        <v>120000</v>
      </c>
      <c r="T101" s="14">
        <f t="shared" si="62"/>
        <v>120000</v>
      </c>
      <c r="U101" s="14">
        <f t="shared" si="62"/>
        <v>120000</v>
      </c>
      <c r="V101" s="13"/>
      <c r="W101" s="13"/>
      <c r="X101" s="13"/>
      <c r="Y101" s="13" t="s">
        <v>148</v>
      </c>
      <c r="Z101" s="10"/>
      <c r="AA101" s="10" t="str">
        <f t="shared" si="59"/>
        <v>RE</v>
      </c>
      <c r="AB101" s="13">
        <v>3</v>
      </c>
    </row>
    <row r="102" spans="1:28" ht="21.75" customHeight="1" x14ac:dyDescent="0.25">
      <c r="A102" s="825"/>
      <c r="B102" s="16"/>
      <c r="C102" s="1"/>
      <c r="D102" s="1"/>
      <c r="E102" s="1"/>
      <c r="F102" s="1"/>
      <c r="G102" s="22"/>
      <c r="H102" s="1"/>
      <c r="I102" s="1"/>
      <c r="J102" s="1"/>
      <c r="K102" s="1"/>
      <c r="L102" s="1"/>
      <c r="M102" s="262"/>
      <c r="N102" s="1"/>
      <c r="O102" s="29">
        <f>SUM(O98:O101)</f>
        <v>2730000</v>
      </c>
      <c r="P102" s="29">
        <f t="shared" ref="P102:U102" si="63">SUM(P98:P101)</f>
        <v>3780000</v>
      </c>
      <c r="Q102" s="29">
        <f t="shared" si="63"/>
        <v>546000</v>
      </c>
      <c r="R102" s="29">
        <f t="shared" si="63"/>
        <v>546000</v>
      </c>
      <c r="S102" s="29">
        <f t="shared" si="63"/>
        <v>546000</v>
      </c>
      <c r="T102" s="29">
        <f t="shared" si="63"/>
        <v>546000</v>
      </c>
      <c r="U102" s="29">
        <f t="shared" si="63"/>
        <v>546000</v>
      </c>
      <c r="V102" s="1"/>
      <c r="W102" s="1"/>
      <c r="X102" s="1"/>
      <c r="Y102" s="1"/>
      <c r="Z102" s="1"/>
      <c r="AA102" s="1"/>
      <c r="AB102" s="1"/>
    </row>
    <row r="103" spans="1:28" s="400" customFormat="1" ht="21.75" customHeight="1" x14ac:dyDescent="0.25">
      <c r="A103" s="825"/>
      <c r="B103" s="16"/>
      <c r="C103" s="1"/>
      <c r="D103" s="1"/>
      <c r="E103" s="1"/>
      <c r="F103" s="1"/>
      <c r="G103" s="22"/>
      <c r="H103" s="1"/>
      <c r="I103" s="1"/>
      <c r="J103" s="1"/>
      <c r="K103" s="1"/>
      <c r="L103" s="1"/>
      <c r="M103" s="262"/>
      <c r="N103" s="1"/>
      <c r="O103" s="1"/>
      <c r="P103" s="1"/>
      <c r="Q103" s="1"/>
      <c r="R103" s="1"/>
      <c r="S103" s="1"/>
      <c r="T103" s="1"/>
      <c r="U103" s="1"/>
      <c r="V103" s="1"/>
      <c r="W103" s="1"/>
      <c r="X103" s="1"/>
      <c r="Y103" s="1"/>
      <c r="Z103" s="1"/>
      <c r="AA103" s="1"/>
      <c r="AB103" s="1"/>
    </row>
    <row r="104" spans="1:28" ht="19.05" customHeight="1" x14ac:dyDescent="0.25">
      <c r="A104" s="825"/>
      <c r="B104" s="16"/>
      <c r="C104" s="1"/>
      <c r="D104" s="366"/>
      <c r="E104" s="366"/>
      <c r="F104" s="366"/>
      <c r="G104" s="366"/>
      <c r="H104" s="366"/>
      <c r="I104" s="366"/>
      <c r="J104" s="366"/>
      <c r="K104" s="366"/>
      <c r="L104" s="366"/>
      <c r="M104" s="264"/>
      <c r="N104" s="366"/>
      <c r="O104" s="366"/>
      <c r="P104" s="366"/>
      <c r="Q104" s="366"/>
      <c r="R104" s="366"/>
      <c r="S104" s="366"/>
      <c r="T104" s="366"/>
      <c r="U104" s="366"/>
      <c r="V104" s="366"/>
      <c r="W104" s="1"/>
      <c r="X104" s="1"/>
      <c r="Y104" s="1"/>
      <c r="Z104" s="1"/>
      <c r="AA104" s="1"/>
      <c r="AB104" s="1"/>
    </row>
    <row r="105" spans="1:28" ht="14.95" customHeight="1" x14ac:dyDescent="0.25">
      <c r="A105" s="825"/>
      <c r="B105" s="16"/>
      <c r="C105" s="1484" t="s">
        <v>1170</v>
      </c>
      <c r="D105" s="1393"/>
      <c r="E105" s="1394"/>
      <c r="F105" s="377" t="s">
        <v>121</v>
      </c>
      <c r="G105" s="826"/>
      <c r="H105" s="826"/>
      <c r="I105" s="826"/>
      <c r="J105" s="826"/>
      <c r="K105" s="826"/>
      <c r="L105" s="826"/>
      <c r="M105" s="873"/>
      <c r="N105" s="826"/>
      <c r="O105" s="826"/>
      <c r="P105" s="826"/>
      <c r="Q105" s="826"/>
      <c r="R105" s="826"/>
      <c r="S105" s="826"/>
      <c r="T105" s="826"/>
      <c r="U105" s="826"/>
      <c r="V105" s="826"/>
      <c r="W105" s="826"/>
      <c r="X105" s="826"/>
      <c r="Y105" s="826"/>
      <c r="Z105" s="826"/>
      <c r="AA105" s="826"/>
      <c r="AB105" s="827"/>
    </row>
    <row r="106" spans="1:28" ht="39.75" customHeight="1" x14ac:dyDescent="0.25">
      <c r="A106" s="825"/>
      <c r="B106" s="16"/>
      <c r="C106" s="1484" t="s">
        <v>1560</v>
      </c>
      <c r="D106" s="1393"/>
      <c r="E106" s="1394"/>
      <c r="F106" s="1481" t="s">
        <v>1561</v>
      </c>
      <c r="G106" s="1393"/>
      <c r="H106" s="1393"/>
      <c r="I106" s="1393"/>
      <c r="J106" s="1393"/>
      <c r="K106" s="1393"/>
      <c r="L106" s="1393"/>
      <c r="M106" s="1393"/>
      <c r="N106" s="1393"/>
      <c r="O106" s="1393"/>
      <c r="P106" s="1393"/>
      <c r="Q106" s="1393"/>
      <c r="R106" s="1393"/>
      <c r="S106" s="1393"/>
      <c r="T106" s="1393"/>
      <c r="U106" s="1393"/>
      <c r="V106" s="1393"/>
      <c r="W106" s="1393"/>
      <c r="X106" s="1393"/>
      <c r="Y106" s="1393"/>
      <c r="Z106" s="1393"/>
      <c r="AA106" s="1393"/>
      <c r="AB106" s="1394"/>
    </row>
    <row r="107" spans="1:28" ht="16.5" customHeight="1" x14ac:dyDescent="0.25">
      <c r="A107" s="825"/>
      <c r="B107" s="16"/>
      <c r="C107" s="1484" t="s">
        <v>1173</v>
      </c>
      <c r="D107" s="1393"/>
      <c r="E107" s="1394"/>
      <c r="F107" s="1481" t="s">
        <v>1562</v>
      </c>
      <c r="G107" s="1393"/>
      <c r="H107" s="1393"/>
      <c r="I107" s="1393"/>
      <c r="J107" s="1393"/>
      <c r="K107" s="1393"/>
      <c r="L107" s="1393"/>
      <c r="M107" s="1393"/>
      <c r="N107" s="1393"/>
      <c r="O107" s="1393"/>
      <c r="P107" s="1393"/>
      <c r="Q107" s="1393"/>
      <c r="R107" s="1393"/>
      <c r="S107" s="1393"/>
      <c r="T107" s="1393"/>
      <c r="U107" s="1393"/>
      <c r="V107" s="1393"/>
      <c r="W107" s="1393"/>
      <c r="X107" s="1393"/>
      <c r="Y107" s="1393"/>
      <c r="Z107" s="1393"/>
      <c r="AA107" s="1393"/>
      <c r="AB107" s="1394"/>
    </row>
    <row r="108" spans="1:28" ht="19.55" customHeight="1" x14ac:dyDescent="0.25">
      <c r="A108" s="825"/>
      <c r="B108" s="16"/>
      <c r="C108" s="1484" t="s">
        <v>1175</v>
      </c>
      <c r="D108" s="1393"/>
      <c r="E108" s="1394"/>
      <c r="F108" s="1481" t="s">
        <v>1553</v>
      </c>
      <c r="G108" s="1393"/>
      <c r="H108" s="1393"/>
      <c r="I108" s="1393"/>
      <c r="J108" s="1393"/>
      <c r="K108" s="1393"/>
      <c r="L108" s="1393"/>
      <c r="M108" s="1393"/>
      <c r="N108" s="1393"/>
      <c r="O108" s="1393"/>
      <c r="P108" s="1393"/>
      <c r="Q108" s="1393"/>
      <c r="R108" s="1393"/>
      <c r="S108" s="1393"/>
      <c r="T108" s="1393"/>
      <c r="U108" s="1393"/>
      <c r="V108" s="1393"/>
      <c r="W108" s="1393"/>
      <c r="X108" s="1393"/>
      <c r="Y108" s="1393"/>
      <c r="Z108" s="1393"/>
      <c r="AA108" s="1393"/>
      <c r="AB108" s="1394"/>
    </row>
    <row r="109" spans="1:28" ht="28.55" customHeight="1" x14ac:dyDescent="0.25">
      <c r="A109" s="825"/>
      <c r="B109" s="16"/>
      <c r="C109" s="1482" t="s">
        <v>142</v>
      </c>
      <c r="D109" s="1393"/>
      <c r="E109" s="1394"/>
      <c r="F109" s="1481" t="s">
        <v>1475</v>
      </c>
      <c r="G109" s="1393"/>
      <c r="H109" s="1393"/>
      <c r="I109" s="1393"/>
      <c r="J109" s="1393"/>
      <c r="K109" s="1393"/>
      <c r="L109" s="1393"/>
      <c r="M109" s="1393"/>
      <c r="N109" s="1393"/>
      <c r="O109" s="1393"/>
      <c r="P109" s="1393"/>
      <c r="Q109" s="1393"/>
      <c r="R109" s="1393"/>
      <c r="S109" s="1393"/>
      <c r="T109" s="1393"/>
      <c r="U109" s="1393"/>
      <c r="V109" s="1393"/>
      <c r="W109" s="1393"/>
      <c r="X109" s="1393"/>
      <c r="Y109" s="1393"/>
      <c r="Z109" s="1393"/>
      <c r="AA109" s="1393"/>
      <c r="AB109" s="1394"/>
    </row>
    <row r="110" spans="1:28" ht="36" customHeight="1" x14ac:dyDescent="0.25">
      <c r="A110" s="825"/>
      <c r="B110" s="16"/>
      <c r="C110" s="1482" t="s">
        <v>1178</v>
      </c>
      <c r="D110" s="1393"/>
      <c r="E110" s="1394"/>
      <c r="F110" s="1481" t="s">
        <v>1350</v>
      </c>
      <c r="G110" s="1393"/>
      <c r="H110" s="1393"/>
      <c r="I110" s="1393"/>
      <c r="J110" s="1393"/>
      <c r="K110" s="1393"/>
      <c r="L110" s="1393"/>
      <c r="M110" s="1393"/>
      <c r="N110" s="1393"/>
      <c r="O110" s="1393"/>
      <c r="P110" s="1393"/>
      <c r="Q110" s="1393"/>
      <c r="R110" s="1393"/>
      <c r="S110" s="1393"/>
      <c r="T110" s="1393"/>
      <c r="U110" s="1393"/>
      <c r="V110" s="1393"/>
      <c r="W110" s="1393"/>
      <c r="X110" s="1393"/>
      <c r="Y110" s="1393"/>
      <c r="Z110" s="1393"/>
      <c r="AA110" s="1393"/>
      <c r="AB110" s="1394"/>
    </row>
    <row r="111" spans="1:28" ht="29.25" customHeight="1" x14ac:dyDescent="0.25">
      <c r="A111" s="825"/>
      <c r="B111" s="16"/>
      <c r="C111" s="1474" t="s">
        <v>964</v>
      </c>
      <c r="D111" s="1474" t="s">
        <v>965</v>
      </c>
      <c r="E111" s="1474" t="s">
        <v>468</v>
      </c>
      <c r="F111" s="1466" t="s">
        <v>470</v>
      </c>
      <c r="G111" s="1466" t="s">
        <v>966</v>
      </c>
      <c r="H111" s="1466" t="s">
        <v>967</v>
      </c>
      <c r="I111" s="1466" t="s">
        <v>1180</v>
      </c>
      <c r="J111" s="1466" t="s">
        <v>968</v>
      </c>
      <c r="K111" s="1466" t="s">
        <v>969</v>
      </c>
      <c r="L111" s="1453" t="s">
        <v>970</v>
      </c>
      <c r="M111" s="1453" t="s">
        <v>971</v>
      </c>
      <c r="N111" s="1453" t="s">
        <v>972</v>
      </c>
      <c r="O111" s="1456" t="s">
        <v>973</v>
      </c>
      <c r="P111" s="1457"/>
      <c r="Q111" s="1456" t="s">
        <v>974</v>
      </c>
      <c r="R111" s="1458"/>
      <c r="S111" s="1458"/>
      <c r="T111" s="1458"/>
      <c r="U111" s="1457"/>
      <c r="V111" s="1466" t="s">
        <v>975</v>
      </c>
      <c r="W111" s="1468" t="s">
        <v>976</v>
      </c>
      <c r="X111" s="1393"/>
      <c r="Y111" s="1393"/>
      <c r="Z111" s="1394"/>
      <c r="AA111" s="23"/>
      <c r="AB111" s="1466" t="s">
        <v>977</v>
      </c>
    </row>
    <row r="112" spans="1:28" ht="68.95" customHeight="1" x14ac:dyDescent="0.25">
      <c r="A112" s="825"/>
      <c r="B112" s="16"/>
      <c r="C112" s="1480"/>
      <c r="D112" s="1480"/>
      <c r="E112" s="1480"/>
      <c r="F112" s="1467"/>
      <c r="G112" s="1467"/>
      <c r="H112" s="1467"/>
      <c r="I112" s="1467"/>
      <c r="J112" s="1467"/>
      <c r="K112" s="1467"/>
      <c r="L112" s="1454"/>
      <c r="M112" s="1455"/>
      <c r="N112" s="1454"/>
      <c r="O112" s="940" t="s">
        <v>978</v>
      </c>
      <c r="P112" s="940" t="s">
        <v>979</v>
      </c>
      <c r="Q112" s="940" t="s">
        <v>980</v>
      </c>
      <c r="R112" s="940" t="s">
        <v>981</v>
      </c>
      <c r="S112" s="940" t="s">
        <v>982</v>
      </c>
      <c r="T112" s="940" t="s">
        <v>983</v>
      </c>
      <c r="U112" s="940" t="s">
        <v>984</v>
      </c>
      <c r="V112" s="1467"/>
      <c r="W112" s="23" t="s">
        <v>985</v>
      </c>
      <c r="X112" s="23" t="s">
        <v>986</v>
      </c>
      <c r="Y112" s="23" t="s">
        <v>987</v>
      </c>
      <c r="Z112" s="23" t="s">
        <v>988</v>
      </c>
      <c r="AA112" s="23"/>
      <c r="AB112" s="1467"/>
    </row>
    <row r="113" spans="1:28" ht="41.3" customHeight="1" x14ac:dyDescent="0.25">
      <c r="A113" s="334" t="s">
        <v>258</v>
      </c>
      <c r="B113" s="291"/>
      <c r="C113" s="12" t="s">
        <v>1563</v>
      </c>
      <c r="D113" s="252" t="s">
        <v>281</v>
      </c>
      <c r="E113" s="252" t="s">
        <v>1371</v>
      </c>
      <c r="F113" s="183" t="s">
        <v>1372</v>
      </c>
      <c r="G113" s="183" t="str">
        <f>+'8. BASE  CONSOLIDADA'!O247</f>
        <v>DERECHOS SOBRE LA TIERRA</v>
      </c>
      <c r="H113" s="183" t="str">
        <f>+'8. BASE  CONSOLIDADA'!P247</f>
        <v>C5</v>
      </c>
      <c r="I113" s="183"/>
      <c r="J113" s="13">
        <v>9</v>
      </c>
      <c r="K113" s="13">
        <v>9</v>
      </c>
      <c r="L113" s="28">
        <v>30000</v>
      </c>
      <c r="M113" s="788" t="s">
        <v>1373</v>
      </c>
      <c r="N113" s="13" t="s">
        <v>1374</v>
      </c>
      <c r="O113" s="14">
        <f t="shared" ref="O113:O115" si="64">+J113*L113</f>
        <v>270000</v>
      </c>
      <c r="P113" s="14">
        <f t="shared" ref="P113:P114" si="65">+L113*K113</f>
        <v>270000</v>
      </c>
      <c r="Q113" s="14">
        <f t="shared" ref="Q113:U113" si="66">+$O$113*0.2</f>
        <v>54000</v>
      </c>
      <c r="R113" s="14">
        <f t="shared" si="66"/>
        <v>54000</v>
      </c>
      <c r="S113" s="14">
        <f t="shared" si="66"/>
        <v>54000</v>
      </c>
      <c r="T113" s="14">
        <f t="shared" si="66"/>
        <v>54000</v>
      </c>
      <c r="U113" s="14">
        <f t="shared" si="66"/>
        <v>54000</v>
      </c>
      <c r="V113" s="13"/>
      <c r="W113" s="13"/>
      <c r="X113" s="13"/>
      <c r="Y113" s="13" t="s">
        <v>148</v>
      </c>
      <c r="Z113" s="10"/>
      <c r="AA113" s="10"/>
      <c r="AB113" s="13">
        <v>3</v>
      </c>
    </row>
    <row r="114" spans="1:28" ht="64.55" customHeight="1" x14ac:dyDescent="0.25">
      <c r="A114" s="333" t="s">
        <v>260</v>
      </c>
      <c r="B114" s="284"/>
      <c r="C114" s="12" t="s">
        <v>1564</v>
      </c>
      <c r="D114" s="252" t="s">
        <v>284</v>
      </c>
      <c r="E114" s="252" t="s">
        <v>1376</v>
      </c>
      <c r="F114" s="183" t="s">
        <v>1219</v>
      </c>
      <c r="G114" s="183" t="str">
        <f>+'8. BASE  CONSOLIDADA'!O248</f>
        <v>FINANCIAMIENTO</v>
      </c>
      <c r="H114" s="183" t="str">
        <f>+'8. BASE  CONSOLIDADA'!P248</f>
        <v>C6</v>
      </c>
      <c r="I114" s="183"/>
      <c r="J114" s="13">
        <v>3</v>
      </c>
      <c r="K114" s="13">
        <v>3</v>
      </c>
      <c r="L114" s="26">
        <v>150000</v>
      </c>
      <c r="M114" s="788" t="s">
        <v>1377</v>
      </c>
      <c r="N114" s="13" t="s">
        <v>1374</v>
      </c>
      <c r="O114" s="14">
        <f t="shared" si="64"/>
        <v>450000</v>
      </c>
      <c r="P114" s="14">
        <f t="shared" si="65"/>
        <v>450000</v>
      </c>
      <c r="Q114" s="14">
        <f t="shared" ref="Q114:U114" si="67">+$O$114*0.2</f>
        <v>90000</v>
      </c>
      <c r="R114" s="14">
        <f t="shared" si="67"/>
        <v>90000</v>
      </c>
      <c r="S114" s="14">
        <f t="shared" si="67"/>
        <v>90000</v>
      </c>
      <c r="T114" s="14">
        <f t="shared" si="67"/>
        <v>90000</v>
      </c>
      <c r="U114" s="14">
        <f t="shared" si="67"/>
        <v>90000</v>
      </c>
      <c r="V114" s="13"/>
      <c r="W114" s="13" t="s">
        <v>148</v>
      </c>
      <c r="X114" s="13"/>
      <c r="Y114" s="13"/>
      <c r="Z114" s="10"/>
      <c r="AA114" s="10"/>
      <c r="AB114" s="13">
        <v>3</v>
      </c>
    </row>
    <row r="115" spans="1:28" ht="60.8" customHeight="1" x14ac:dyDescent="0.25">
      <c r="A115" s="337" t="s">
        <v>259</v>
      </c>
      <c r="B115" s="285"/>
      <c r="C115" s="12" t="s">
        <v>1565</v>
      </c>
      <c r="D115" s="252" t="s">
        <v>288</v>
      </c>
      <c r="E115" s="252" t="s">
        <v>1566</v>
      </c>
      <c r="F115" s="183" t="s">
        <v>1567</v>
      </c>
      <c r="G115" s="183" t="str">
        <f>+'8. BASE  CONSOLIDADA'!O249</f>
        <v>GESTIÓN PUBLICA</v>
      </c>
      <c r="H115" s="183" t="str">
        <f>+'8. BASE  CONSOLIDADA'!P249</f>
        <v>C21</v>
      </c>
      <c r="I115" s="183"/>
      <c r="J115" s="13">
        <v>9</v>
      </c>
      <c r="K115" s="13"/>
      <c r="L115" s="28">
        <v>20000</v>
      </c>
      <c r="M115" s="788" t="s">
        <v>1373</v>
      </c>
      <c r="N115" s="13" t="s">
        <v>1374</v>
      </c>
      <c r="O115" s="14">
        <f t="shared" si="64"/>
        <v>180000</v>
      </c>
      <c r="P115" s="14"/>
      <c r="Q115" s="14">
        <f t="shared" ref="Q115:U115" si="68">+$O$115*0.2</f>
        <v>36000</v>
      </c>
      <c r="R115" s="14">
        <f t="shared" si="68"/>
        <v>36000</v>
      </c>
      <c r="S115" s="14">
        <f t="shared" si="68"/>
        <v>36000</v>
      </c>
      <c r="T115" s="14">
        <f t="shared" si="68"/>
        <v>36000</v>
      </c>
      <c r="U115" s="14">
        <f t="shared" si="68"/>
        <v>36000</v>
      </c>
      <c r="V115" s="13"/>
      <c r="W115" s="13"/>
      <c r="X115" s="13"/>
      <c r="Y115" s="13" t="s">
        <v>148</v>
      </c>
      <c r="Z115" s="10"/>
      <c r="AA115" s="10"/>
      <c r="AB115" s="13">
        <v>1</v>
      </c>
    </row>
    <row r="116" spans="1:28" ht="19.55" customHeight="1" x14ac:dyDescent="0.25">
      <c r="A116" s="825"/>
      <c r="B116" s="16"/>
      <c r="C116" s="1"/>
      <c r="D116" s="1"/>
      <c r="E116" s="1"/>
      <c r="F116" s="1"/>
      <c r="G116" s="22"/>
      <c r="H116" s="1"/>
      <c r="I116" s="1"/>
      <c r="J116" s="1"/>
      <c r="K116" s="1"/>
      <c r="L116" s="1"/>
      <c r="M116" s="262"/>
      <c r="N116" s="1"/>
      <c r="O116" s="29">
        <f>SUM(O113:O115)</f>
        <v>900000</v>
      </c>
      <c r="P116" s="29">
        <f t="shared" ref="P116:U116" si="69">SUM(P113:P115)</f>
        <v>720000</v>
      </c>
      <c r="Q116" s="29">
        <f t="shared" si="69"/>
        <v>180000</v>
      </c>
      <c r="R116" s="29">
        <f t="shared" si="69"/>
        <v>180000</v>
      </c>
      <c r="S116" s="29">
        <f t="shared" si="69"/>
        <v>180000</v>
      </c>
      <c r="T116" s="29">
        <f t="shared" si="69"/>
        <v>180000</v>
      </c>
      <c r="U116" s="29">
        <f t="shared" si="69"/>
        <v>180000</v>
      </c>
      <c r="V116" s="1"/>
      <c r="W116" s="1"/>
      <c r="X116" s="1"/>
      <c r="Y116" s="1"/>
      <c r="Z116" s="1"/>
      <c r="AA116" s="1"/>
      <c r="AB116" s="1"/>
    </row>
    <row r="117" spans="1:28" s="243" customFormat="1" ht="19.55" customHeight="1" x14ac:dyDescent="0.25">
      <c r="A117" s="825"/>
      <c r="B117" s="16"/>
      <c r="C117" s="1"/>
      <c r="D117" s="1"/>
      <c r="E117" s="1"/>
      <c r="F117" s="1"/>
      <c r="G117" s="22"/>
      <c r="H117" s="1"/>
      <c r="I117" s="1"/>
      <c r="J117" s="1"/>
      <c r="K117" s="1"/>
      <c r="L117" s="1"/>
      <c r="M117" s="262"/>
      <c r="N117" s="1"/>
      <c r="O117" s="1"/>
      <c r="P117" s="1"/>
      <c r="Q117" s="1"/>
      <c r="R117" s="1"/>
      <c r="S117" s="1"/>
      <c r="T117" s="1"/>
      <c r="U117" s="1"/>
      <c r="V117" s="1"/>
      <c r="W117" s="1"/>
      <c r="X117" s="1"/>
      <c r="Y117" s="1"/>
      <c r="Z117" s="1"/>
      <c r="AA117" s="1"/>
      <c r="AB117" s="1"/>
    </row>
    <row r="118" spans="1:28" ht="11.25" customHeight="1" x14ac:dyDescent="0.25">
      <c r="A118" s="825"/>
      <c r="B118" s="16"/>
      <c r="C118" s="1"/>
      <c r="D118" s="366"/>
      <c r="E118" s="366"/>
      <c r="F118" s="366"/>
      <c r="G118" s="366"/>
      <c r="H118" s="366"/>
      <c r="I118" s="366"/>
      <c r="J118" s="366"/>
      <c r="K118" s="366"/>
      <c r="L118" s="366"/>
      <c r="M118" s="264"/>
      <c r="N118" s="366"/>
      <c r="O118" s="366"/>
      <c r="P118" s="366"/>
      <c r="Q118" s="366"/>
      <c r="R118" s="366"/>
      <c r="S118" s="366"/>
      <c r="T118" s="366"/>
      <c r="U118" s="366"/>
      <c r="V118" s="366"/>
      <c r="W118" s="1"/>
      <c r="X118" s="1"/>
      <c r="Y118" s="1"/>
      <c r="Z118" s="1"/>
      <c r="AA118" s="1"/>
      <c r="AB118" s="1"/>
    </row>
    <row r="119" spans="1:28" ht="14.95" customHeight="1" x14ac:dyDescent="0.25">
      <c r="A119" s="825"/>
      <c r="B119" s="16"/>
      <c r="C119" s="1484" t="s">
        <v>1170</v>
      </c>
      <c r="D119" s="1393"/>
      <c r="E119" s="1394"/>
      <c r="F119" s="377" t="s">
        <v>138</v>
      </c>
      <c r="G119" s="826"/>
      <c r="H119" s="826"/>
      <c r="I119" s="826"/>
      <c r="J119" s="826"/>
      <c r="K119" s="826"/>
      <c r="L119" s="826"/>
      <c r="M119" s="873"/>
      <c r="N119" s="826"/>
      <c r="O119" s="826"/>
      <c r="P119" s="826"/>
      <c r="Q119" s="826"/>
      <c r="R119" s="826"/>
      <c r="S119" s="826"/>
      <c r="T119" s="826"/>
      <c r="U119" s="826"/>
      <c r="V119" s="826"/>
      <c r="W119" s="826"/>
      <c r="X119" s="826"/>
      <c r="Y119" s="826"/>
      <c r="Z119" s="826"/>
      <c r="AA119" s="826"/>
      <c r="AB119" s="827"/>
    </row>
    <row r="120" spans="1:28" ht="22.6" customHeight="1" x14ac:dyDescent="0.25">
      <c r="A120" s="825"/>
      <c r="B120" s="16"/>
      <c r="C120" s="1484" t="s">
        <v>1171</v>
      </c>
      <c r="D120" s="1393"/>
      <c r="E120" s="1394"/>
      <c r="F120" s="1481" t="s">
        <v>1568</v>
      </c>
      <c r="G120" s="1393"/>
      <c r="H120" s="1393"/>
      <c r="I120" s="1393"/>
      <c r="J120" s="1393"/>
      <c r="K120" s="1393"/>
      <c r="L120" s="1393"/>
      <c r="M120" s="1393"/>
      <c r="N120" s="1393"/>
      <c r="O120" s="1393"/>
      <c r="P120" s="1393"/>
      <c r="Q120" s="1393"/>
      <c r="R120" s="1393"/>
      <c r="S120" s="1393"/>
      <c r="T120" s="1393"/>
      <c r="U120" s="1393"/>
      <c r="V120" s="1393"/>
      <c r="W120" s="1393"/>
      <c r="X120" s="1393"/>
      <c r="Y120" s="1393"/>
      <c r="Z120" s="1393"/>
      <c r="AA120" s="1393"/>
      <c r="AB120" s="1394"/>
    </row>
    <row r="121" spans="1:28" ht="18.7" customHeight="1" x14ac:dyDescent="0.25">
      <c r="A121" s="825"/>
      <c r="B121" s="16"/>
      <c r="C121" s="1484" t="s">
        <v>1173</v>
      </c>
      <c r="D121" s="1393"/>
      <c r="E121" s="1394"/>
      <c r="F121" s="1481" t="s">
        <v>1569</v>
      </c>
      <c r="G121" s="1393"/>
      <c r="H121" s="1393"/>
      <c r="I121" s="1393"/>
      <c r="J121" s="1393"/>
      <c r="K121" s="1393"/>
      <c r="L121" s="1393"/>
      <c r="M121" s="1393"/>
      <c r="N121" s="1393"/>
      <c r="O121" s="1393"/>
      <c r="P121" s="1393"/>
      <c r="Q121" s="1393"/>
      <c r="R121" s="1393"/>
      <c r="S121" s="1393"/>
      <c r="T121" s="1393"/>
      <c r="U121" s="1393"/>
      <c r="V121" s="1393"/>
      <c r="W121" s="1393"/>
      <c r="X121" s="1393"/>
      <c r="Y121" s="1393"/>
      <c r="Z121" s="1393"/>
      <c r="AA121" s="1393"/>
      <c r="AB121" s="1394"/>
    </row>
    <row r="122" spans="1:28" ht="41.3" customHeight="1" x14ac:dyDescent="0.25">
      <c r="A122" s="825"/>
      <c r="B122" s="16"/>
      <c r="C122" s="1484" t="s">
        <v>1175</v>
      </c>
      <c r="D122" s="1393"/>
      <c r="E122" s="1394"/>
      <c r="F122" s="1481" t="s">
        <v>1570</v>
      </c>
      <c r="G122" s="1393"/>
      <c r="H122" s="1393"/>
      <c r="I122" s="1393"/>
      <c r="J122" s="1393"/>
      <c r="K122" s="1393"/>
      <c r="L122" s="1393"/>
      <c r="M122" s="1393"/>
      <c r="N122" s="1393"/>
      <c r="O122" s="1393"/>
      <c r="P122" s="1393"/>
      <c r="Q122" s="1393"/>
      <c r="R122" s="1393"/>
      <c r="S122" s="1393"/>
      <c r="T122" s="1393"/>
      <c r="U122" s="1393"/>
      <c r="V122" s="1393"/>
      <c r="W122" s="1393"/>
      <c r="X122" s="1393"/>
      <c r="Y122" s="1393"/>
      <c r="Z122" s="1393"/>
      <c r="AA122" s="1393"/>
      <c r="AB122" s="1394"/>
    </row>
    <row r="123" spans="1:28" ht="27" customHeight="1" x14ac:dyDescent="0.25">
      <c r="A123" s="825"/>
      <c r="B123" s="16"/>
      <c r="C123" s="1482" t="s">
        <v>142</v>
      </c>
      <c r="D123" s="1393"/>
      <c r="E123" s="1394"/>
      <c r="F123" s="1481" t="s">
        <v>1475</v>
      </c>
      <c r="G123" s="1393"/>
      <c r="H123" s="1393"/>
      <c r="I123" s="1393"/>
      <c r="J123" s="1393"/>
      <c r="K123" s="1393"/>
      <c r="L123" s="1393"/>
      <c r="M123" s="1393"/>
      <c r="N123" s="1393"/>
      <c r="O123" s="1393"/>
      <c r="P123" s="1393"/>
      <c r="Q123" s="1393"/>
      <c r="R123" s="1393"/>
      <c r="S123" s="1393"/>
      <c r="T123" s="1393"/>
      <c r="U123" s="1393"/>
      <c r="V123" s="1393"/>
      <c r="W123" s="1393"/>
      <c r="X123" s="1393"/>
      <c r="Y123" s="1393"/>
      <c r="Z123" s="1393"/>
      <c r="AA123" s="1393"/>
      <c r="AB123" s="1394"/>
    </row>
    <row r="124" spans="1:28" ht="42.8" customHeight="1" x14ac:dyDescent="0.25">
      <c r="A124" s="825"/>
      <c r="B124" s="16"/>
      <c r="C124" s="1482" t="s">
        <v>1178</v>
      </c>
      <c r="D124" s="1393"/>
      <c r="E124" s="1394"/>
      <c r="F124" s="1481" t="s">
        <v>1350</v>
      </c>
      <c r="G124" s="1393"/>
      <c r="H124" s="1393"/>
      <c r="I124" s="1393"/>
      <c r="J124" s="1393"/>
      <c r="K124" s="1393"/>
      <c r="L124" s="1393"/>
      <c r="M124" s="1393"/>
      <c r="N124" s="1393"/>
      <c r="O124" s="1393"/>
      <c r="P124" s="1393"/>
      <c r="Q124" s="1393"/>
      <c r="R124" s="1393"/>
      <c r="S124" s="1393"/>
      <c r="T124" s="1393"/>
      <c r="U124" s="1393"/>
      <c r="V124" s="1393"/>
      <c r="W124" s="1393"/>
      <c r="X124" s="1393"/>
      <c r="Y124" s="1393"/>
      <c r="Z124" s="1393"/>
      <c r="AA124" s="1393"/>
      <c r="AB124" s="1394"/>
    </row>
    <row r="125" spans="1:28" ht="32.950000000000003" customHeight="1" x14ac:dyDescent="0.25">
      <c r="A125" s="825"/>
      <c r="B125" s="16"/>
      <c r="C125" s="1466" t="s">
        <v>964</v>
      </c>
      <c r="D125" s="1474" t="s">
        <v>965</v>
      </c>
      <c r="E125" s="1474" t="s">
        <v>468</v>
      </c>
      <c r="F125" s="1466" t="s">
        <v>470</v>
      </c>
      <c r="G125" s="1466" t="s">
        <v>966</v>
      </c>
      <c r="H125" s="1466" t="s">
        <v>967</v>
      </c>
      <c r="I125" s="1466" t="s">
        <v>1180</v>
      </c>
      <c r="J125" s="1466" t="s">
        <v>968</v>
      </c>
      <c r="K125" s="1466" t="s">
        <v>969</v>
      </c>
      <c r="L125" s="1453" t="s">
        <v>970</v>
      </c>
      <c r="M125" s="1453" t="s">
        <v>971</v>
      </c>
      <c r="N125" s="1453" t="s">
        <v>972</v>
      </c>
      <c r="O125" s="1456" t="s">
        <v>973</v>
      </c>
      <c r="P125" s="1457"/>
      <c r="Q125" s="1456" t="s">
        <v>974</v>
      </c>
      <c r="R125" s="1458"/>
      <c r="S125" s="1458"/>
      <c r="T125" s="1458"/>
      <c r="U125" s="1457"/>
      <c r="V125" s="1466" t="s">
        <v>975</v>
      </c>
      <c r="W125" s="1468" t="s">
        <v>976</v>
      </c>
      <c r="X125" s="1393"/>
      <c r="Y125" s="1393"/>
      <c r="Z125" s="1394"/>
      <c r="AA125" s="23"/>
      <c r="AB125" s="1466" t="s">
        <v>977</v>
      </c>
    </row>
    <row r="126" spans="1:28" ht="58.6" customHeight="1" x14ac:dyDescent="0.25">
      <c r="A126" s="825"/>
      <c r="B126" s="16"/>
      <c r="C126" s="1467"/>
      <c r="D126" s="1480"/>
      <c r="E126" s="1480"/>
      <c r="F126" s="1467"/>
      <c r="G126" s="1467"/>
      <c r="H126" s="1467"/>
      <c r="I126" s="1467"/>
      <c r="J126" s="1467"/>
      <c r="K126" s="1467"/>
      <c r="L126" s="1454"/>
      <c r="M126" s="1455"/>
      <c r="N126" s="1454"/>
      <c r="O126" s="940" t="s">
        <v>978</v>
      </c>
      <c r="P126" s="940" t="s">
        <v>979</v>
      </c>
      <c r="Q126" s="940" t="s">
        <v>980</v>
      </c>
      <c r="R126" s="940" t="s">
        <v>981</v>
      </c>
      <c r="S126" s="940" t="s">
        <v>982</v>
      </c>
      <c r="T126" s="940" t="s">
        <v>983</v>
      </c>
      <c r="U126" s="940" t="s">
        <v>984</v>
      </c>
      <c r="V126" s="1467"/>
      <c r="W126" s="23" t="s">
        <v>985</v>
      </c>
      <c r="X126" s="23" t="s">
        <v>986</v>
      </c>
      <c r="Y126" s="23" t="s">
        <v>987</v>
      </c>
      <c r="Z126" s="23" t="s">
        <v>988</v>
      </c>
      <c r="AA126" s="23"/>
      <c r="AB126" s="1467"/>
    </row>
    <row r="127" spans="1:28" ht="57.75" customHeight="1" x14ac:dyDescent="0.25">
      <c r="A127" s="335" t="s">
        <v>256</v>
      </c>
      <c r="B127" s="16" t="s">
        <v>254</v>
      </c>
      <c r="C127" s="12" t="s">
        <v>1571</v>
      </c>
      <c r="D127" s="252" t="s">
        <v>311</v>
      </c>
      <c r="E127" s="252" t="s">
        <v>1572</v>
      </c>
      <c r="F127" s="183" t="s">
        <v>1573</v>
      </c>
      <c r="G127" s="13" t="str">
        <f>+'8. BASE  CONSOLIDADA'!O250</f>
        <v>DERECHOS SOBRE LA TIERRA</v>
      </c>
      <c r="H127" s="13" t="str">
        <f>+'8. BASE  CONSOLIDADA'!P250</f>
        <v>C5</v>
      </c>
      <c r="I127" s="183"/>
      <c r="J127" s="13">
        <v>1</v>
      </c>
      <c r="K127" s="13"/>
      <c r="L127" s="28">
        <v>100000</v>
      </c>
      <c r="M127" s="788" t="s">
        <v>1574</v>
      </c>
      <c r="N127" s="13" t="s">
        <v>1575</v>
      </c>
      <c r="O127" s="14">
        <f>+J127*L127</f>
        <v>100000</v>
      </c>
      <c r="P127" s="14">
        <f>+L127*K127</f>
        <v>0</v>
      </c>
      <c r="Q127" s="14">
        <f>+$O127*1</f>
        <v>100000</v>
      </c>
      <c r="R127" s="14"/>
      <c r="S127" s="14"/>
      <c r="T127" s="14"/>
      <c r="U127" s="14"/>
      <c r="V127" s="13"/>
      <c r="W127" s="183"/>
      <c r="X127" s="183" t="s">
        <v>148</v>
      </c>
      <c r="Y127" s="183"/>
      <c r="Z127" s="10"/>
      <c r="AA127" s="186" t="str">
        <f t="shared" ref="AA127:AA129" si="70">+B127</f>
        <v>RE</v>
      </c>
      <c r="AB127" s="183">
        <v>3</v>
      </c>
    </row>
    <row r="128" spans="1:28" ht="47.05" customHeight="1" x14ac:dyDescent="0.25">
      <c r="A128" s="335" t="s">
        <v>256</v>
      </c>
      <c r="B128" s="286" t="s">
        <v>254</v>
      </c>
      <c r="C128" s="12" t="s">
        <v>1576</v>
      </c>
      <c r="D128" s="252" t="s">
        <v>268</v>
      </c>
      <c r="E128" s="253" t="s">
        <v>1390</v>
      </c>
      <c r="F128" s="183" t="s">
        <v>1391</v>
      </c>
      <c r="G128" s="13" t="str">
        <f>+'8. BASE  CONSOLIDADA'!O251</f>
        <v>CONTROL Y VIGILANCIA</v>
      </c>
      <c r="H128" s="13" t="str">
        <f>+'8. BASE  CONSOLIDADA'!P251</f>
        <v>C4</v>
      </c>
      <c r="I128" s="183"/>
      <c r="J128" s="13">
        <v>50</v>
      </c>
      <c r="K128" s="13">
        <v>50</v>
      </c>
      <c r="L128" s="28">
        <v>2000</v>
      </c>
      <c r="M128" s="788" t="s">
        <v>1392</v>
      </c>
      <c r="N128" s="13" t="s">
        <v>1575</v>
      </c>
      <c r="O128" s="14">
        <f>+J128*L128*60</f>
        <v>6000000</v>
      </c>
      <c r="P128" s="14">
        <f>+L128*K128*60</f>
        <v>6000000</v>
      </c>
      <c r="Q128" s="14">
        <f>+O128*0.2</f>
        <v>1200000</v>
      </c>
      <c r="R128" s="14">
        <f>+Q128</f>
        <v>1200000</v>
      </c>
      <c r="S128" s="14">
        <f t="shared" ref="S128:U128" si="71">+R128</f>
        <v>1200000</v>
      </c>
      <c r="T128" s="14">
        <f t="shared" si="71"/>
        <v>1200000</v>
      </c>
      <c r="U128" s="14">
        <f t="shared" si="71"/>
        <v>1200000</v>
      </c>
      <c r="V128" s="13"/>
      <c r="W128" s="183"/>
      <c r="X128" s="183" t="s">
        <v>148</v>
      </c>
      <c r="Y128" s="183"/>
      <c r="Z128" s="10"/>
      <c r="AA128" s="186" t="str">
        <f t="shared" si="70"/>
        <v>RE</v>
      </c>
      <c r="AB128" s="183">
        <v>3</v>
      </c>
    </row>
    <row r="129" spans="1:28" ht="58.6" customHeight="1" x14ac:dyDescent="0.25">
      <c r="A129" s="335" t="s">
        <v>256</v>
      </c>
      <c r="B129" s="286" t="s">
        <v>254</v>
      </c>
      <c r="C129" s="12" t="s">
        <v>1577</v>
      </c>
      <c r="D129" s="252" t="s">
        <v>270</v>
      </c>
      <c r="E129" s="252" t="s">
        <v>1578</v>
      </c>
      <c r="F129" s="13" t="s">
        <v>1386</v>
      </c>
      <c r="G129" s="13" t="str">
        <f>+'8. BASE  CONSOLIDADA'!O252</f>
        <v>CONTROL Y VIGILANCIA</v>
      </c>
      <c r="H129" s="13" t="str">
        <f>+'8. BASE  CONSOLIDADA'!P252</f>
        <v>C4</v>
      </c>
      <c r="I129" s="183"/>
      <c r="J129" s="13">
        <f t="shared" ref="J129:K129" si="72">5*2*5</f>
        <v>50</v>
      </c>
      <c r="K129" s="13">
        <f t="shared" si="72"/>
        <v>50</v>
      </c>
      <c r="L129" s="28">
        <v>8000</v>
      </c>
      <c r="M129" s="788" t="s">
        <v>1387</v>
      </c>
      <c r="N129" s="13" t="s">
        <v>1575</v>
      </c>
      <c r="O129" s="14">
        <f t="shared" ref="O129:O131" si="73">+J129*L129*5</f>
        <v>2000000</v>
      </c>
      <c r="P129" s="14">
        <f t="shared" ref="P129:P131" si="74">+L129*K129*5</f>
        <v>2000000</v>
      </c>
      <c r="Q129" s="14">
        <f t="shared" ref="Q129:Q134" si="75">+O129*0.2</f>
        <v>400000</v>
      </c>
      <c r="R129" s="14">
        <f t="shared" ref="R129:U129" si="76">+$O129*0.2</f>
        <v>400000</v>
      </c>
      <c r="S129" s="14">
        <f t="shared" si="76"/>
        <v>400000</v>
      </c>
      <c r="T129" s="14">
        <f t="shared" si="76"/>
        <v>400000</v>
      </c>
      <c r="U129" s="14">
        <f t="shared" si="76"/>
        <v>400000</v>
      </c>
      <c r="V129" s="13"/>
      <c r="W129" s="183"/>
      <c r="X129" s="183" t="s">
        <v>148</v>
      </c>
      <c r="Y129" s="183"/>
      <c r="Z129" s="10"/>
      <c r="AA129" s="186" t="str">
        <f t="shared" si="70"/>
        <v>RE</v>
      </c>
      <c r="AB129" s="183">
        <v>3</v>
      </c>
    </row>
    <row r="130" spans="1:28" ht="41.3" customHeight="1" x14ac:dyDescent="0.25">
      <c r="A130" s="333" t="s">
        <v>260</v>
      </c>
      <c r="B130" s="284"/>
      <c r="C130" s="12" t="s">
        <v>1579</v>
      </c>
      <c r="D130" s="252" t="s">
        <v>291</v>
      </c>
      <c r="E130" s="252" t="s">
        <v>1580</v>
      </c>
      <c r="F130" s="183" t="s">
        <v>1581</v>
      </c>
      <c r="G130" s="13" t="str">
        <f>+'8. BASE  CONSOLIDADA'!O253</f>
        <v>PROMOCIÓN ACTIVIDADES ECONÓMICOS</v>
      </c>
      <c r="H130" s="13" t="str">
        <f>+'8. BASE  CONSOLIDADA'!P253</f>
        <v>C11</v>
      </c>
      <c r="I130" s="183"/>
      <c r="J130" s="13">
        <f t="shared" ref="J130:K130" si="77">5*2*5</f>
        <v>50</v>
      </c>
      <c r="K130" s="13">
        <f t="shared" si="77"/>
        <v>50</v>
      </c>
      <c r="L130" s="28">
        <v>2500</v>
      </c>
      <c r="M130" s="788" t="s">
        <v>1403</v>
      </c>
      <c r="N130" s="13" t="s">
        <v>992</v>
      </c>
      <c r="O130" s="14">
        <f t="shared" si="73"/>
        <v>625000</v>
      </c>
      <c r="P130" s="14">
        <f t="shared" si="74"/>
        <v>625000</v>
      </c>
      <c r="Q130" s="14">
        <f t="shared" si="75"/>
        <v>125000</v>
      </c>
      <c r="R130" s="14">
        <f t="shared" ref="R130:U130" si="78">+$O130*0.2</f>
        <v>125000</v>
      </c>
      <c r="S130" s="14">
        <f t="shared" si="78"/>
        <v>125000</v>
      </c>
      <c r="T130" s="14">
        <f t="shared" si="78"/>
        <v>125000</v>
      </c>
      <c r="U130" s="14">
        <f t="shared" si="78"/>
        <v>125000</v>
      </c>
      <c r="V130" s="13"/>
      <c r="W130" s="183"/>
      <c r="X130" s="183"/>
      <c r="Y130" s="183" t="s">
        <v>148</v>
      </c>
      <c r="Z130" s="10"/>
      <c r="AA130" s="186"/>
      <c r="AB130" s="183">
        <v>3</v>
      </c>
    </row>
    <row r="131" spans="1:28" ht="48.1" customHeight="1" x14ac:dyDescent="0.25">
      <c r="A131" s="333" t="s">
        <v>260</v>
      </c>
      <c r="B131" s="284"/>
      <c r="C131" s="12" t="s">
        <v>1582</v>
      </c>
      <c r="D131" s="252" t="s">
        <v>287</v>
      </c>
      <c r="E131" s="252" t="s">
        <v>1583</v>
      </c>
      <c r="F131" s="13" t="s">
        <v>1398</v>
      </c>
      <c r="G131" s="13" t="str">
        <f>+'8. BASE  CONSOLIDADA'!O254</f>
        <v>PROMOCIÓN ACTIVIDADES ECONÓMICOS</v>
      </c>
      <c r="H131" s="13" t="str">
        <f>+'8. BASE  CONSOLIDADA'!P254</f>
        <v>C11</v>
      </c>
      <c r="I131" s="183"/>
      <c r="J131" s="13">
        <v>10</v>
      </c>
      <c r="K131" s="13">
        <v>10</v>
      </c>
      <c r="L131" s="26">
        <v>4000</v>
      </c>
      <c r="M131" s="788" t="s">
        <v>1399</v>
      </c>
      <c r="N131" s="13" t="s">
        <v>1584</v>
      </c>
      <c r="O131" s="14">
        <f t="shared" si="73"/>
        <v>200000</v>
      </c>
      <c r="P131" s="14">
        <f t="shared" si="74"/>
        <v>200000</v>
      </c>
      <c r="Q131" s="14">
        <f t="shared" si="75"/>
        <v>40000</v>
      </c>
      <c r="R131" s="14">
        <f t="shared" ref="R131:U131" si="79">+$O131*0.2</f>
        <v>40000</v>
      </c>
      <c r="S131" s="14">
        <f t="shared" si="79"/>
        <v>40000</v>
      </c>
      <c r="T131" s="14">
        <f t="shared" si="79"/>
        <v>40000</v>
      </c>
      <c r="U131" s="14">
        <f t="shared" si="79"/>
        <v>40000</v>
      </c>
      <c r="V131" s="13"/>
      <c r="W131" s="183"/>
      <c r="X131" s="183"/>
      <c r="Y131" s="183" t="s">
        <v>148</v>
      </c>
      <c r="Z131" s="10"/>
      <c r="AA131" s="186"/>
      <c r="AB131" s="183">
        <v>3</v>
      </c>
    </row>
    <row r="132" spans="1:28" ht="63.7" customHeight="1" x14ac:dyDescent="0.25">
      <c r="A132" s="337" t="s">
        <v>259</v>
      </c>
      <c r="B132" s="285"/>
      <c r="C132" s="12" t="s">
        <v>1585</v>
      </c>
      <c r="D132" s="252" t="s">
        <v>280</v>
      </c>
      <c r="E132" s="252" t="s">
        <v>1586</v>
      </c>
      <c r="F132" s="13" t="s">
        <v>1394</v>
      </c>
      <c r="G132" s="13" t="str">
        <f>+'8. BASE  CONSOLIDADA'!O255</f>
        <v>PLANES DE VIDA</v>
      </c>
      <c r="H132" s="13" t="str">
        <f>+'8. BASE  CONSOLIDADA'!P255</f>
        <v>C10</v>
      </c>
      <c r="I132" s="183"/>
      <c r="J132" s="13">
        <f>4*3</f>
        <v>12</v>
      </c>
      <c r="K132" s="13">
        <f>4*5</f>
        <v>20</v>
      </c>
      <c r="L132" s="28">
        <v>20000</v>
      </c>
      <c r="M132" s="788" t="s">
        <v>1395</v>
      </c>
      <c r="N132" s="13" t="s">
        <v>1584</v>
      </c>
      <c r="O132" s="14">
        <f t="shared" ref="O132:O134" si="80">+J132*L132</f>
        <v>240000</v>
      </c>
      <c r="P132" s="14">
        <f t="shared" ref="P132:P134" si="81">+L132*K132</f>
        <v>400000</v>
      </c>
      <c r="Q132" s="14">
        <f t="shared" si="75"/>
        <v>48000</v>
      </c>
      <c r="R132" s="14">
        <f t="shared" ref="R132:U132" si="82">+$O132*0.2</f>
        <v>48000</v>
      </c>
      <c r="S132" s="14">
        <f t="shared" si="82"/>
        <v>48000</v>
      </c>
      <c r="T132" s="14">
        <f t="shared" si="82"/>
        <v>48000</v>
      </c>
      <c r="U132" s="14">
        <f t="shared" si="82"/>
        <v>48000</v>
      </c>
      <c r="V132" s="13"/>
      <c r="W132" s="183"/>
      <c r="X132" s="183"/>
      <c r="Y132" s="183" t="s">
        <v>148</v>
      </c>
      <c r="Z132" s="183"/>
      <c r="AA132" s="186"/>
      <c r="AB132" s="183">
        <v>3</v>
      </c>
    </row>
    <row r="133" spans="1:28" ht="49.6" customHeight="1" x14ac:dyDescent="0.25">
      <c r="A133" s="337" t="s">
        <v>259</v>
      </c>
      <c r="B133" s="285" t="s">
        <v>254</v>
      </c>
      <c r="C133" s="12" t="s">
        <v>1587</v>
      </c>
      <c r="D133" s="252" t="s">
        <v>289</v>
      </c>
      <c r="E133" s="252" t="s">
        <v>1588</v>
      </c>
      <c r="F133" s="183" t="s">
        <v>1589</v>
      </c>
      <c r="G133" s="13" t="str">
        <f>+'8. BASE  CONSOLIDADA'!O256</f>
        <v>SERVICIOS ECOSISTÉMICOS</v>
      </c>
      <c r="H133" s="13" t="str">
        <f>+'8. BASE  CONSOLIDADA'!P256</f>
        <v>C15</v>
      </c>
      <c r="I133" s="183"/>
      <c r="J133" s="12">
        <v>1</v>
      </c>
      <c r="K133" s="12">
        <v>1</v>
      </c>
      <c r="L133" s="254">
        <v>47000000</v>
      </c>
      <c r="M133" s="786" t="s">
        <v>1590</v>
      </c>
      <c r="N133" s="13" t="s">
        <v>1024</v>
      </c>
      <c r="O133" s="14">
        <f t="shared" si="80"/>
        <v>47000000</v>
      </c>
      <c r="P133" s="14">
        <f t="shared" si="81"/>
        <v>47000000</v>
      </c>
      <c r="Q133" s="14">
        <f t="shared" si="75"/>
        <v>9400000</v>
      </c>
      <c r="R133" s="14">
        <f t="shared" ref="R133:U133" si="83">+$O133*0.2</f>
        <v>9400000</v>
      </c>
      <c r="S133" s="14">
        <f t="shared" si="83"/>
        <v>9400000</v>
      </c>
      <c r="T133" s="14">
        <f t="shared" si="83"/>
        <v>9400000</v>
      </c>
      <c r="U133" s="14">
        <f t="shared" si="83"/>
        <v>9400000</v>
      </c>
      <c r="V133" s="13"/>
      <c r="W133" s="183"/>
      <c r="X133" s="183"/>
      <c r="Y133" s="183" t="s">
        <v>148</v>
      </c>
      <c r="Z133" s="183"/>
      <c r="AA133" s="186" t="str">
        <f t="shared" ref="AA133:AA134" si="84">+B133</f>
        <v>RE</v>
      </c>
      <c r="AB133" s="183">
        <v>3</v>
      </c>
    </row>
    <row r="134" spans="1:28" ht="50.95" customHeight="1" x14ac:dyDescent="0.25">
      <c r="A134" s="295" t="s">
        <v>257</v>
      </c>
      <c r="B134" s="290" t="s">
        <v>254</v>
      </c>
      <c r="C134" s="12" t="s">
        <v>1591</v>
      </c>
      <c r="D134" s="252" t="s">
        <v>264</v>
      </c>
      <c r="E134" s="252" t="s">
        <v>1592</v>
      </c>
      <c r="F134" s="183" t="s">
        <v>1022</v>
      </c>
      <c r="G134" s="13" t="str">
        <f>+'8. BASE  CONSOLIDADA'!O257</f>
        <v>FINANCIAMIENTO</v>
      </c>
      <c r="H134" s="13" t="str">
        <f>+'8. BASE  CONSOLIDADA'!P257</f>
        <v>C6</v>
      </c>
      <c r="I134" s="183"/>
      <c r="J134" s="13">
        <v>10</v>
      </c>
      <c r="K134" s="13">
        <v>10</v>
      </c>
      <c r="L134" s="28">
        <v>100000</v>
      </c>
      <c r="M134" s="788" t="s">
        <v>1353</v>
      </c>
      <c r="N134" s="13" t="s">
        <v>1584</v>
      </c>
      <c r="O134" s="14">
        <f t="shared" si="80"/>
        <v>1000000</v>
      </c>
      <c r="P134" s="14">
        <f t="shared" si="81"/>
        <v>1000000</v>
      </c>
      <c r="Q134" s="14">
        <f t="shared" si="75"/>
        <v>200000</v>
      </c>
      <c r="R134" s="14">
        <f t="shared" ref="R134:U134" si="85">+$O134*0.2</f>
        <v>200000</v>
      </c>
      <c r="S134" s="14">
        <f t="shared" si="85"/>
        <v>200000</v>
      </c>
      <c r="T134" s="14">
        <f t="shared" si="85"/>
        <v>200000</v>
      </c>
      <c r="U134" s="14">
        <f t="shared" si="85"/>
        <v>200000</v>
      </c>
      <c r="V134" s="13"/>
      <c r="W134" s="183" t="s">
        <v>148</v>
      </c>
      <c r="X134" s="183"/>
      <c r="Y134" s="183"/>
      <c r="Z134" s="183"/>
      <c r="AA134" s="186" t="str">
        <f t="shared" si="84"/>
        <v>RE</v>
      </c>
      <c r="AB134" s="183">
        <v>3</v>
      </c>
    </row>
    <row r="135" spans="1:28" ht="25.5" customHeight="1" x14ac:dyDescent="0.25">
      <c r="A135" s="825"/>
      <c r="B135" s="16"/>
      <c r="C135" s="1"/>
      <c r="D135" s="1"/>
      <c r="E135" s="1"/>
      <c r="F135" s="1"/>
      <c r="G135" s="22"/>
      <c r="H135" s="1"/>
      <c r="I135" s="1"/>
      <c r="J135" s="1"/>
      <c r="K135" s="1"/>
      <c r="L135" s="1"/>
      <c r="M135" s="262"/>
      <c r="N135" s="1"/>
      <c r="O135" s="29">
        <f>SUM(O127:O134)</f>
        <v>57165000</v>
      </c>
      <c r="P135" s="29">
        <f t="shared" ref="P135:U135" si="86">SUM(P127:P134)</f>
        <v>57225000</v>
      </c>
      <c r="Q135" s="29">
        <f t="shared" si="86"/>
        <v>11513000</v>
      </c>
      <c r="R135" s="29">
        <f t="shared" si="86"/>
        <v>11413000</v>
      </c>
      <c r="S135" s="29">
        <f t="shared" si="86"/>
        <v>11413000</v>
      </c>
      <c r="T135" s="29">
        <f t="shared" si="86"/>
        <v>11413000</v>
      </c>
      <c r="U135" s="29">
        <f t="shared" si="86"/>
        <v>11413000</v>
      </c>
      <c r="V135" s="1"/>
      <c r="W135" s="1"/>
      <c r="X135" s="1"/>
      <c r="Y135" s="1"/>
      <c r="Z135" s="1"/>
      <c r="AA135" s="1"/>
      <c r="AB135" s="1"/>
    </row>
    <row r="136" spans="1:28" ht="25.5" customHeight="1" x14ac:dyDescent="0.25">
      <c r="A136" s="825"/>
      <c r="B136" s="16"/>
      <c r="C136" s="1"/>
      <c r="D136" s="1"/>
      <c r="E136" s="1"/>
      <c r="F136" s="1"/>
      <c r="G136" s="22"/>
      <c r="H136" s="1"/>
      <c r="I136" s="1"/>
      <c r="J136" s="1"/>
      <c r="K136" s="1"/>
      <c r="L136" s="1"/>
      <c r="M136" s="262"/>
      <c r="N136" s="1"/>
      <c r="O136" s="1"/>
      <c r="P136" s="1"/>
      <c r="Q136" s="1"/>
      <c r="R136" s="1"/>
      <c r="S136" s="1"/>
      <c r="T136" s="1"/>
      <c r="U136" s="1"/>
      <c r="V136" s="1"/>
      <c r="W136" s="1"/>
      <c r="X136" s="1"/>
      <c r="Y136" s="1"/>
      <c r="Z136" s="1"/>
      <c r="AA136" s="1"/>
      <c r="AB136" s="1"/>
    </row>
    <row r="137" spans="1:28" ht="11.25" customHeight="1" x14ac:dyDescent="0.25">
      <c r="A137" s="825"/>
      <c r="B137" s="16"/>
      <c r="C137" s="1"/>
      <c r="D137" s="366"/>
      <c r="E137" s="366"/>
      <c r="F137" s="366"/>
      <c r="G137" s="366"/>
      <c r="H137" s="366"/>
      <c r="I137" s="366"/>
      <c r="J137" s="366"/>
      <c r="K137" s="366"/>
      <c r="L137" s="366"/>
      <c r="M137" s="264"/>
      <c r="N137" s="366"/>
      <c r="O137" s="366"/>
      <c r="P137" s="366"/>
      <c r="Q137" s="366"/>
      <c r="R137" s="366"/>
      <c r="S137" s="366"/>
      <c r="T137" s="366"/>
      <c r="U137" s="366"/>
      <c r="V137" s="366"/>
      <c r="W137" s="1"/>
      <c r="X137" s="1"/>
      <c r="Y137" s="1"/>
      <c r="Z137" s="1"/>
      <c r="AA137" s="1"/>
      <c r="AB137" s="1"/>
    </row>
    <row r="138" spans="1:28" s="259" customFormat="1" ht="16.5" customHeight="1" x14ac:dyDescent="0.25">
      <c r="A138" s="825"/>
      <c r="B138" s="16"/>
      <c r="C138" s="1"/>
      <c r="D138" s="366"/>
      <c r="E138" s="366"/>
      <c r="F138" s="366"/>
      <c r="G138" s="366"/>
      <c r="H138" s="366"/>
      <c r="I138" s="366"/>
      <c r="J138" s="366"/>
      <c r="K138" s="366"/>
      <c r="L138" s="366"/>
      <c r="M138" s="264"/>
      <c r="N138" s="366"/>
      <c r="O138" s="366"/>
      <c r="P138" s="366"/>
      <c r="Q138" s="366"/>
      <c r="R138" s="366"/>
      <c r="S138" s="366"/>
      <c r="T138" s="366"/>
      <c r="U138" s="366"/>
      <c r="V138" s="366"/>
      <c r="W138" s="1"/>
      <c r="X138" s="1"/>
      <c r="Y138" s="1"/>
      <c r="Z138" s="1"/>
      <c r="AA138" s="1"/>
      <c r="AB138" s="1"/>
    </row>
    <row r="139" spans="1:28" s="347" customFormat="1" ht="16.5" customHeight="1" x14ac:dyDescent="0.25">
      <c r="A139" s="825"/>
      <c r="B139" s="16"/>
      <c r="C139" s="1"/>
      <c r="D139" s="366"/>
      <c r="E139" s="366"/>
      <c r="F139" s="366"/>
      <c r="G139" s="366"/>
      <c r="H139" s="366"/>
      <c r="I139" s="366"/>
      <c r="J139" s="366"/>
      <c r="K139" s="366"/>
      <c r="L139" s="366"/>
      <c r="M139" s="264"/>
      <c r="N139" s="366"/>
      <c r="O139" s="366"/>
      <c r="P139" s="366"/>
      <c r="Q139" s="366"/>
      <c r="R139" s="366"/>
      <c r="S139" s="366"/>
      <c r="T139" s="366"/>
      <c r="U139" s="366"/>
      <c r="V139" s="366"/>
      <c r="W139" s="1"/>
      <c r="X139" s="1"/>
      <c r="Y139" s="1"/>
      <c r="Z139" s="1"/>
      <c r="AA139" s="1"/>
      <c r="AB139" s="1"/>
    </row>
    <row r="140" spans="1:28" s="347" customFormat="1" ht="15.65" customHeight="1" x14ac:dyDescent="0.25">
      <c r="A140" s="825"/>
      <c r="B140" s="16"/>
      <c r="C140" s="1484" t="s">
        <v>1170</v>
      </c>
      <c r="D140" s="1393"/>
      <c r="E140" s="1394"/>
      <c r="F140" s="378" t="s">
        <v>131</v>
      </c>
      <c r="G140" s="368"/>
      <c r="H140" s="368"/>
      <c r="I140" s="368"/>
      <c r="J140" s="368"/>
      <c r="K140" s="368"/>
      <c r="L140" s="368"/>
      <c r="M140" s="944"/>
      <c r="N140" s="368"/>
      <c r="O140" s="368"/>
      <c r="P140" s="368"/>
      <c r="Q140" s="368"/>
      <c r="R140" s="368"/>
      <c r="S140" s="368"/>
      <c r="T140" s="368"/>
      <c r="U140" s="368"/>
      <c r="V140" s="368"/>
      <c r="W140" s="368"/>
      <c r="X140" s="368"/>
      <c r="Y140" s="368"/>
      <c r="Z140" s="368"/>
      <c r="AA140" s="368"/>
      <c r="AB140" s="369"/>
    </row>
    <row r="141" spans="1:28" s="347" customFormat="1" ht="21.1" customHeight="1" x14ac:dyDescent="0.25">
      <c r="A141" s="825"/>
      <c r="B141" s="16"/>
      <c r="C141" s="1484" t="s">
        <v>1171</v>
      </c>
      <c r="D141" s="1393"/>
      <c r="E141" s="1394"/>
      <c r="F141" s="1481" t="s">
        <v>1593</v>
      </c>
      <c r="G141" s="1393"/>
      <c r="H141" s="1393"/>
      <c r="I141" s="1393"/>
      <c r="J141" s="1393"/>
      <c r="K141" s="1393"/>
      <c r="L141" s="1393"/>
      <c r="M141" s="1393"/>
      <c r="N141" s="1393"/>
      <c r="O141" s="1393"/>
      <c r="P141" s="1393"/>
      <c r="Q141" s="1393"/>
      <c r="R141" s="1393"/>
      <c r="S141" s="1393"/>
      <c r="T141" s="1393"/>
      <c r="U141" s="1393"/>
      <c r="V141" s="1393"/>
      <c r="W141" s="1393"/>
      <c r="X141" s="1393"/>
      <c r="Y141" s="1393"/>
      <c r="Z141" s="1393"/>
      <c r="AA141" s="1393"/>
      <c r="AB141" s="1394"/>
    </row>
    <row r="142" spans="1:28" s="347" customFormat="1" ht="19.55" customHeight="1" x14ac:dyDescent="0.25">
      <c r="A142" s="825"/>
      <c r="B142" s="16"/>
      <c r="C142" s="1484" t="s">
        <v>1173</v>
      </c>
      <c r="D142" s="1393"/>
      <c r="E142" s="1394"/>
      <c r="F142" s="1481" t="s">
        <v>1430</v>
      </c>
      <c r="G142" s="1393"/>
      <c r="H142" s="1393"/>
      <c r="I142" s="1393"/>
      <c r="J142" s="1393"/>
      <c r="K142" s="1393"/>
      <c r="L142" s="1393"/>
      <c r="M142" s="1393"/>
      <c r="N142" s="1393"/>
      <c r="O142" s="1393"/>
      <c r="P142" s="1393"/>
      <c r="Q142" s="1393"/>
      <c r="R142" s="1393"/>
      <c r="S142" s="1393"/>
      <c r="T142" s="1393"/>
      <c r="U142" s="1393"/>
      <c r="V142" s="1393"/>
      <c r="W142" s="1393"/>
      <c r="X142" s="1393"/>
      <c r="Y142" s="1393"/>
      <c r="Z142" s="1393"/>
      <c r="AA142" s="1393"/>
      <c r="AB142" s="1394"/>
    </row>
    <row r="143" spans="1:28" s="347" customFormat="1" ht="22.6" customHeight="1" x14ac:dyDescent="0.25">
      <c r="A143" s="825"/>
      <c r="B143" s="16"/>
      <c r="C143" s="1484" t="s">
        <v>1175</v>
      </c>
      <c r="D143" s="1393"/>
      <c r="E143" s="1394"/>
      <c r="F143" s="1481" t="s">
        <v>1431</v>
      </c>
      <c r="G143" s="1393"/>
      <c r="H143" s="1393"/>
      <c r="I143" s="1393"/>
      <c r="J143" s="1393"/>
      <c r="K143" s="1393"/>
      <c r="L143" s="1393"/>
      <c r="M143" s="1393"/>
      <c r="N143" s="1393"/>
      <c r="O143" s="1393"/>
      <c r="P143" s="1393"/>
      <c r="Q143" s="1393"/>
      <c r="R143" s="1393"/>
      <c r="S143" s="1393"/>
      <c r="T143" s="1393"/>
      <c r="U143" s="1393"/>
      <c r="V143" s="1393"/>
      <c r="W143" s="1393"/>
      <c r="X143" s="1393"/>
      <c r="Y143" s="1393"/>
      <c r="Z143" s="1393"/>
      <c r="AA143" s="1393"/>
      <c r="AB143" s="1394"/>
    </row>
    <row r="144" spans="1:28" s="347" customFormat="1" ht="39.75" customHeight="1" x14ac:dyDescent="0.25">
      <c r="A144" s="825"/>
      <c r="B144" s="16"/>
      <c r="C144" s="1482" t="s">
        <v>142</v>
      </c>
      <c r="D144" s="1393"/>
      <c r="E144" s="1394"/>
      <c r="F144" s="1481" t="s">
        <v>1475</v>
      </c>
      <c r="G144" s="1393"/>
      <c r="H144" s="1393"/>
      <c r="I144" s="1393"/>
      <c r="J144" s="1393"/>
      <c r="K144" s="1393"/>
      <c r="L144" s="1393"/>
      <c r="M144" s="1393"/>
      <c r="N144" s="1393"/>
      <c r="O144" s="1393"/>
      <c r="P144" s="1393"/>
      <c r="Q144" s="1393"/>
      <c r="R144" s="1393"/>
      <c r="S144" s="1393"/>
      <c r="T144" s="1393"/>
      <c r="U144" s="1393"/>
      <c r="V144" s="1393"/>
      <c r="W144" s="1393"/>
      <c r="X144" s="1393"/>
      <c r="Y144" s="1393"/>
      <c r="Z144" s="1393"/>
      <c r="AA144" s="1393"/>
      <c r="AB144" s="1394"/>
    </row>
    <row r="145" spans="1:28" s="347" customFormat="1" ht="27.7" customHeight="1" x14ac:dyDescent="0.25">
      <c r="A145" s="825"/>
      <c r="B145" s="16"/>
      <c r="C145" s="1482" t="s">
        <v>1178</v>
      </c>
      <c r="D145" s="1393"/>
      <c r="E145" s="1394"/>
      <c r="F145" s="1481" t="s">
        <v>1350</v>
      </c>
      <c r="G145" s="1393"/>
      <c r="H145" s="1393"/>
      <c r="I145" s="1393"/>
      <c r="J145" s="1393"/>
      <c r="K145" s="1393"/>
      <c r="L145" s="1393"/>
      <c r="M145" s="1393"/>
      <c r="N145" s="1393"/>
      <c r="O145" s="1393"/>
      <c r="P145" s="1393"/>
      <c r="Q145" s="1393"/>
      <c r="R145" s="1393"/>
      <c r="S145" s="1393"/>
      <c r="T145" s="1393"/>
      <c r="U145" s="1393"/>
      <c r="V145" s="1393"/>
      <c r="W145" s="1393"/>
      <c r="X145" s="1393"/>
      <c r="Y145" s="1393"/>
      <c r="Z145" s="1393"/>
      <c r="AA145" s="1393"/>
      <c r="AB145" s="1394"/>
    </row>
    <row r="146" spans="1:28" s="347" customFormat="1" ht="14.95" customHeight="1" x14ac:dyDescent="0.25">
      <c r="A146" s="825"/>
      <c r="B146" s="16"/>
      <c r="C146" s="1474" t="s">
        <v>964</v>
      </c>
      <c r="D146" s="1474" t="s">
        <v>965</v>
      </c>
      <c r="E146" s="1475" t="s">
        <v>468</v>
      </c>
      <c r="F146" s="1466" t="s">
        <v>470</v>
      </c>
      <c r="G146" s="1466" t="s">
        <v>966</v>
      </c>
      <c r="H146" s="1466" t="s">
        <v>967</v>
      </c>
      <c r="I146" s="1466" t="s">
        <v>1180</v>
      </c>
      <c r="J146" s="1466" t="s">
        <v>968</v>
      </c>
      <c r="K146" s="1466" t="s">
        <v>969</v>
      </c>
      <c r="L146" s="1453" t="s">
        <v>970</v>
      </c>
      <c r="M146" s="1453" t="s">
        <v>971</v>
      </c>
      <c r="N146" s="1453" t="s">
        <v>972</v>
      </c>
      <c r="O146" s="1456" t="s">
        <v>973</v>
      </c>
      <c r="P146" s="1457"/>
      <c r="Q146" s="1456" t="s">
        <v>974</v>
      </c>
      <c r="R146" s="1458"/>
      <c r="S146" s="1458"/>
      <c r="T146" s="1458"/>
      <c r="U146" s="1457"/>
      <c r="V146" s="1466" t="s">
        <v>975</v>
      </c>
      <c r="W146" s="1468" t="s">
        <v>976</v>
      </c>
      <c r="X146" s="1393"/>
      <c r="Y146" s="1393"/>
      <c r="Z146" s="1394"/>
      <c r="AA146" s="23" t="s">
        <v>253</v>
      </c>
      <c r="AB146" s="1466" t="s">
        <v>977</v>
      </c>
    </row>
    <row r="147" spans="1:28" s="347" customFormat="1" ht="65.25" x14ac:dyDescent="0.25">
      <c r="A147" s="825"/>
      <c r="B147" s="16"/>
      <c r="C147" s="1467"/>
      <c r="D147" s="1467"/>
      <c r="E147" s="1476"/>
      <c r="F147" s="1467"/>
      <c r="G147" s="1467"/>
      <c r="H147" s="1467"/>
      <c r="I147" s="1467"/>
      <c r="J147" s="1467"/>
      <c r="K147" s="1467"/>
      <c r="L147" s="1454"/>
      <c r="M147" s="1455"/>
      <c r="N147" s="1454"/>
      <c r="O147" s="940" t="s">
        <v>978</v>
      </c>
      <c r="P147" s="940" t="s">
        <v>979</v>
      </c>
      <c r="Q147" s="940" t="s">
        <v>980</v>
      </c>
      <c r="R147" s="940" t="s">
        <v>981</v>
      </c>
      <c r="S147" s="940" t="s">
        <v>982</v>
      </c>
      <c r="T147" s="940" t="s">
        <v>983</v>
      </c>
      <c r="U147" s="940" t="s">
        <v>984</v>
      </c>
      <c r="V147" s="1467"/>
      <c r="W147" s="23" t="s">
        <v>985</v>
      </c>
      <c r="X147" s="23" t="s">
        <v>986</v>
      </c>
      <c r="Y147" s="23" t="s">
        <v>987</v>
      </c>
      <c r="Z147" s="23" t="s">
        <v>988</v>
      </c>
      <c r="AA147" s="23"/>
      <c r="AB147" s="1467"/>
    </row>
    <row r="148" spans="1:28" s="347" customFormat="1" ht="76.099999999999994" x14ac:dyDescent="0.25">
      <c r="A148" s="294" t="s">
        <v>258</v>
      </c>
      <c r="B148" s="294"/>
      <c r="C148" s="12" t="s">
        <v>1594</v>
      </c>
      <c r="D148" s="253" t="s">
        <v>184</v>
      </c>
      <c r="E148" s="373" t="s">
        <v>1433</v>
      </c>
      <c r="F148" s="13" t="s">
        <v>1415</v>
      </c>
      <c r="G148" s="13" t="str">
        <f>+'8. BASE  CONSOLIDADA'!O258</f>
        <v>DERECHOS SOBRE LA TIERRA</v>
      </c>
      <c r="H148" s="13" t="str">
        <f>+'8. BASE  CONSOLIDADA'!P258</f>
        <v>C5</v>
      </c>
      <c r="I148" s="353">
        <v>37092.698274879796</v>
      </c>
      <c r="J148" s="353">
        <f>37092.6982748798/2</f>
        <v>18546.349137439898</v>
      </c>
      <c r="K148" s="353">
        <f>37092.6982748798/2</f>
        <v>18546.349137439898</v>
      </c>
      <c r="L148" s="26">
        <v>15</v>
      </c>
      <c r="M148" s="788" t="s">
        <v>1416</v>
      </c>
      <c r="N148" s="13" t="s">
        <v>1417</v>
      </c>
      <c r="O148" s="14">
        <f>J148*$L$148</f>
        <v>278195.23706159845</v>
      </c>
      <c r="P148" s="14">
        <f>K148*$L$148</f>
        <v>278195.23706159845</v>
      </c>
      <c r="Q148" s="14">
        <f>$O$148*0.2</f>
        <v>55639.047412319691</v>
      </c>
      <c r="R148" s="14">
        <f>$O$148*0.2</f>
        <v>55639.047412319691</v>
      </c>
      <c r="S148" s="14">
        <f>$O$148*0.2</f>
        <v>55639.047412319691</v>
      </c>
      <c r="T148" s="14">
        <f>$O$148*0.2</f>
        <v>55639.047412319691</v>
      </c>
      <c r="U148" s="14">
        <f>$O$148*0.2</f>
        <v>55639.047412319691</v>
      </c>
      <c r="V148" s="13"/>
      <c r="W148" s="13"/>
      <c r="X148" s="13" t="s">
        <v>148</v>
      </c>
      <c r="Y148" s="13"/>
      <c r="Z148" s="13"/>
      <c r="AA148" s="13"/>
      <c r="AB148" s="13">
        <v>3</v>
      </c>
    </row>
    <row r="149" spans="1:28" s="347" customFormat="1" ht="65.25" x14ac:dyDescent="0.25">
      <c r="A149" s="293" t="s">
        <v>256</v>
      </c>
      <c r="B149" s="293"/>
      <c r="C149" s="12" t="s">
        <v>1595</v>
      </c>
      <c r="D149" s="253" t="s">
        <v>181</v>
      </c>
      <c r="E149" s="373" t="s">
        <v>1419</v>
      </c>
      <c r="F149" s="13" t="s">
        <v>1420</v>
      </c>
      <c r="G149" s="13" t="str">
        <f>+'8. BASE  CONSOLIDADA'!O259</f>
        <v>DERECHOS SOBRE LA TIERRA</v>
      </c>
      <c r="H149" s="13" t="str">
        <f>+'8. BASE  CONSOLIDADA'!P259</f>
        <v>C5</v>
      </c>
      <c r="I149" s="13"/>
      <c r="J149" s="13">
        <v>80</v>
      </c>
      <c r="K149" s="13">
        <v>80</v>
      </c>
      <c r="L149" s="26">
        <v>150</v>
      </c>
      <c r="M149" s="788" t="s">
        <v>1092</v>
      </c>
      <c r="N149" s="13" t="s">
        <v>1417</v>
      </c>
      <c r="O149" s="14">
        <f>+J149*L149</f>
        <v>12000</v>
      </c>
      <c r="P149" s="14">
        <f>+K149*L149</f>
        <v>12000</v>
      </c>
      <c r="Q149" s="14">
        <f>+O149</f>
        <v>12000</v>
      </c>
      <c r="R149" s="14"/>
      <c r="S149" s="14"/>
      <c r="T149" s="14"/>
      <c r="U149" s="14"/>
      <c r="V149" s="13"/>
      <c r="W149" s="13"/>
      <c r="X149" s="13" t="s">
        <v>148</v>
      </c>
      <c r="Y149" s="13"/>
      <c r="Z149" s="13"/>
      <c r="AA149" s="13"/>
      <c r="AB149" s="13">
        <v>2</v>
      </c>
    </row>
    <row r="150" spans="1:28" s="347" customFormat="1" ht="32.6" x14ac:dyDescent="0.25">
      <c r="A150" s="293" t="s">
        <v>256</v>
      </c>
      <c r="B150" s="293"/>
      <c r="C150" s="12" t="s">
        <v>1596</v>
      </c>
      <c r="D150" s="253" t="s">
        <v>182</v>
      </c>
      <c r="E150" s="375" t="s">
        <v>1436</v>
      </c>
      <c r="F150" s="252" t="s">
        <v>1423</v>
      </c>
      <c r="G150" s="13" t="str">
        <f>+'8. BASE  CONSOLIDADA'!O260</f>
        <v>DERECHOS SOBRE LA TIERRA</v>
      </c>
      <c r="H150" s="13" t="str">
        <f>+'8. BASE  CONSOLIDADA'!P260</f>
        <v>C5</v>
      </c>
      <c r="I150" s="252"/>
      <c r="J150" s="252">
        <v>8</v>
      </c>
      <c r="K150" s="252">
        <v>8</v>
      </c>
      <c r="L150" s="255">
        <v>10000</v>
      </c>
      <c r="M150" s="786" t="s">
        <v>1424</v>
      </c>
      <c r="N150" s="252" t="s">
        <v>1417</v>
      </c>
      <c r="O150" s="370">
        <f t="shared" ref="O150:O152" si="87">+J150*L150</f>
        <v>80000</v>
      </c>
      <c r="P150" s="370">
        <f>+K150*L150</f>
        <v>80000</v>
      </c>
      <c r="Q150" s="370">
        <f>+O150*0.3</f>
        <v>24000</v>
      </c>
      <c r="R150" s="370">
        <f>+O150*0.3</f>
        <v>24000</v>
      </c>
      <c r="S150" s="370">
        <f>+O150*0.4</f>
        <v>32000</v>
      </c>
      <c r="T150" s="370"/>
      <c r="U150" s="370"/>
      <c r="V150" s="13"/>
      <c r="W150" s="13"/>
      <c r="X150" s="13" t="s">
        <v>148</v>
      </c>
      <c r="Y150" s="13"/>
      <c r="Z150" s="13"/>
      <c r="AA150" s="13"/>
      <c r="AB150" s="13">
        <v>2</v>
      </c>
    </row>
    <row r="151" spans="1:28" s="347" customFormat="1" ht="43.5" x14ac:dyDescent="0.25">
      <c r="A151" s="294" t="s">
        <v>258</v>
      </c>
      <c r="B151" s="294"/>
      <c r="C151" s="12" t="s">
        <v>1597</v>
      </c>
      <c r="D151" s="253" t="s">
        <v>183</v>
      </c>
      <c r="E151" s="373" t="s">
        <v>1426</v>
      </c>
      <c r="F151" s="13" t="s">
        <v>1427</v>
      </c>
      <c r="G151" s="13" t="str">
        <f>+'8. BASE  CONSOLIDADA'!O261</f>
        <v>DERECHOS SOBRE LA TIERRA</v>
      </c>
      <c r="H151" s="13" t="str">
        <f>+'8. BASE  CONSOLIDADA'!P261</f>
        <v>C5</v>
      </c>
      <c r="I151" s="353">
        <v>37092.698274879796</v>
      </c>
      <c r="J151" s="353">
        <f>37092.6982748798/2</f>
        <v>18546.349137439898</v>
      </c>
      <c r="K151" s="353">
        <f>37092.6982748798/2</f>
        <v>18546.349137439898</v>
      </c>
      <c r="L151" s="26">
        <v>1</v>
      </c>
      <c r="M151" s="788" t="s">
        <v>1428</v>
      </c>
      <c r="N151" s="13" t="s">
        <v>1417</v>
      </c>
      <c r="O151" s="14">
        <f>+J151*L151</f>
        <v>18546.349137439898</v>
      </c>
      <c r="P151" s="14">
        <f>+K151*L151</f>
        <v>18546.349137439898</v>
      </c>
      <c r="Q151" s="14">
        <f>$O$151*0.2</f>
        <v>3709.2698274879799</v>
      </c>
      <c r="R151" s="14">
        <f t="shared" ref="R151:U151" si="88">$O$151*0.2</f>
        <v>3709.2698274879799</v>
      </c>
      <c r="S151" s="14">
        <f t="shared" si="88"/>
        <v>3709.2698274879799</v>
      </c>
      <c r="T151" s="14">
        <f t="shared" si="88"/>
        <v>3709.2698274879799</v>
      </c>
      <c r="U151" s="14">
        <f t="shared" si="88"/>
        <v>3709.2698274879799</v>
      </c>
      <c r="V151" s="13"/>
      <c r="W151" s="13"/>
      <c r="X151" s="13" t="s">
        <v>148</v>
      </c>
      <c r="Y151" s="13"/>
      <c r="Z151" s="13"/>
      <c r="AA151" s="13"/>
      <c r="AB151" s="13">
        <v>2</v>
      </c>
    </row>
    <row r="152" spans="1:28" s="347" customFormat="1" ht="65.25" x14ac:dyDescent="0.25">
      <c r="A152" s="295" t="s">
        <v>257</v>
      </c>
      <c r="B152" s="295"/>
      <c r="C152" s="12" t="s">
        <v>1598</v>
      </c>
      <c r="D152" s="253" t="s">
        <v>185</v>
      </c>
      <c r="E152" s="373" t="s">
        <v>1439</v>
      </c>
      <c r="F152" s="13" t="s">
        <v>1440</v>
      </c>
      <c r="G152" s="13" t="str">
        <f>+'8. BASE  CONSOLIDADA'!O262</f>
        <v>DERECHOS SOBRE LA TIERRA</v>
      </c>
      <c r="H152" s="13" t="str">
        <f>+'8. BASE  CONSOLIDADA'!P262</f>
        <v>C5</v>
      </c>
      <c r="I152" s="13"/>
      <c r="J152" s="353">
        <v>4281.2943442937603</v>
      </c>
      <c r="K152" s="353"/>
      <c r="L152" s="26">
        <v>500</v>
      </c>
      <c r="M152" s="788" t="s">
        <v>1441</v>
      </c>
      <c r="N152" s="13" t="s">
        <v>996</v>
      </c>
      <c r="O152" s="14">
        <f t="shared" si="87"/>
        <v>2140647.1721468801</v>
      </c>
      <c r="P152" s="14">
        <f t="shared" ref="P152" si="89">+K152*L152</f>
        <v>0</v>
      </c>
      <c r="Q152" s="14">
        <f>+O152</f>
        <v>2140647.1721468801</v>
      </c>
      <c r="R152" s="14"/>
      <c r="S152" s="14"/>
      <c r="T152" s="14"/>
      <c r="U152" s="14"/>
      <c r="V152" s="13"/>
      <c r="W152" s="13"/>
      <c r="X152" s="13" t="s">
        <v>148</v>
      </c>
      <c r="Y152" s="13"/>
      <c r="Z152" s="13"/>
      <c r="AA152" s="13"/>
      <c r="AB152" s="13">
        <v>3</v>
      </c>
    </row>
    <row r="153" spans="1:28" s="347" customFormat="1" ht="15.65" x14ac:dyDescent="0.25">
      <c r="A153" s="354"/>
      <c r="B153" s="354"/>
      <c r="C153" s="349"/>
      <c r="D153" s="350"/>
      <c r="E153" s="351"/>
      <c r="F153" s="470"/>
      <c r="G153" s="470"/>
      <c r="H153" s="470"/>
      <c r="I153" s="470"/>
      <c r="J153" s="355"/>
      <c r="K153" s="355"/>
      <c r="L153" s="352"/>
      <c r="M153" s="939"/>
      <c r="N153" s="470"/>
      <c r="O153" s="29">
        <f>SUM(O148:O152)</f>
        <v>2529388.7583459183</v>
      </c>
      <c r="P153" s="29">
        <f t="shared" ref="P153:U153" si="90">SUM(P148:P152)</f>
        <v>388741.58619903837</v>
      </c>
      <c r="Q153" s="29">
        <f t="shared" si="90"/>
        <v>2235995.4893866875</v>
      </c>
      <c r="R153" s="29">
        <f t="shared" si="90"/>
        <v>83348.317239807671</v>
      </c>
      <c r="S153" s="29">
        <f t="shared" si="90"/>
        <v>91348.317239807671</v>
      </c>
      <c r="T153" s="29">
        <f t="shared" si="90"/>
        <v>59348.317239807671</v>
      </c>
      <c r="U153" s="29">
        <f t="shared" si="90"/>
        <v>59348.317239807671</v>
      </c>
      <c r="V153" s="470"/>
      <c r="W153" s="470"/>
      <c r="X153" s="470"/>
      <c r="Y153" s="470"/>
      <c r="Z153" s="470"/>
      <c r="AA153" s="470"/>
      <c r="AB153" s="470"/>
    </row>
    <row r="154" spans="1:28" s="347" customFormat="1" ht="16.5" customHeight="1" x14ac:dyDescent="0.25">
      <c r="A154" s="825"/>
      <c r="B154" s="16"/>
      <c r="C154" s="1"/>
      <c r="D154" s="366"/>
      <c r="E154" s="366"/>
      <c r="F154" s="366"/>
      <c r="G154" s="366"/>
      <c r="H154" s="366"/>
      <c r="I154" s="366"/>
      <c r="J154" s="366"/>
      <c r="K154" s="366"/>
      <c r="L154" s="366"/>
      <c r="M154" s="264"/>
      <c r="N154" s="366"/>
      <c r="O154" s="366"/>
      <c r="P154" s="366"/>
      <c r="Q154" s="366"/>
      <c r="R154" s="366"/>
      <c r="S154" s="366"/>
      <c r="T154" s="366"/>
      <c r="U154" s="366"/>
      <c r="V154" s="366"/>
      <c r="W154" s="1"/>
      <c r="X154" s="1"/>
      <c r="Y154" s="1"/>
      <c r="Z154" s="1"/>
      <c r="AA154" s="1"/>
      <c r="AB154" s="1"/>
    </row>
    <row r="155" spans="1:28" ht="11.25" customHeight="1" x14ac:dyDescent="0.25">
      <c r="A155" s="825"/>
      <c r="B155" s="16"/>
      <c r="C155" s="1"/>
      <c r="D155" s="366"/>
      <c r="E155" s="366"/>
      <c r="F155" s="366"/>
      <c r="G155" s="366"/>
      <c r="H155" s="366"/>
      <c r="I155" s="366"/>
      <c r="J155" s="366"/>
      <c r="K155" s="366"/>
      <c r="L155" s="366"/>
      <c r="M155" s="264"/>
      <c r="N155" s="366"/>
      <c r="O155" s="366"/>
      <c r="P155" s="366"/>
      <c r="Q155" s="366"/>
      <c r="R155" s="366"/>
      <c r="S155" s="366"/>
      <c r="T155" s="366"/>
      <c r="U155" s="366"/>
      <c r="V155" s="366"/>
      <c r="W155" s="1"/>
      <c r="X155" s="1"/>
      <c r="Y155" s="1"/>
      <c r="Z155" s="1"/>
      <c r="AA155" s="1"/>
      <c r="AB155" s="1"/>
    </row>
    <row r="156" spans="1:28" ht="33.799999999999997" customHeight="1" x14ac:dyDescent="0.25">
      <c r="A156" s="825"/>
      <c r="B156" s="16"/>
      <c r="C156" s="1483" t="s">
        <v>123</v>
      </c>
      <c r="D156" s="1393"/>
      <c r="E156" s="1393"/>
      <c r="F156" s="1393"/>
      <c r="G156" s="1393"/>
      <c r="H156" s="1393"/>
      <c r="I156" s="1393"/>
      <c r="J156" s="1393"/>
      <c r="K156" s="1393"/>
      <c r="L156" s="1393"/>
      <c r="M156" s="1393"/>
      <c r="N156" s="1393"/>
      <c r="O156" s="1393"/>
      <c r="P156" s="1393"/>
      <c r="Q156" s="1393"/>
      <c r="R156" s="1393"/>
      <c r="S156" s="1393"/>
      <c r="T156" s="1393"/>
      <c r="U156" s="1393"/>
      <c r="V156" s="1393"/>
      <c r="W156" s="1393"/>
      <c r="X156" s="1393"/>
      <c r="Y156" s="1393"/>
      <c r="Z156" s="1393"/>
      <c r="AA156" s="1393"/>
      <c r="AB156" s="1394"/>
    </row>
    <row r="157" spans="1:28" ht="21.75" customHeight="1" x14ac:dyDescent="0.25">
      <c r="A157" s="825"/>
      <c r="B157" s="16"/>
      <c r="C157" s="1474" t="s">
        <v>964</v>
      </c>
      <c r="D157" s="1474" t="s">
        <v>965</v>
      </c>
      <c r="E157" s="1474" t="s">
        <v>468</v>
      </c>
      <c r="F157" s="1474" t="s">
        <v>470</v>
      </c>
      <c r="G157" s="1466" t="s">
        <v>966</v>
      </c>
      <c r="H157" s="1466" t="s">
        <v>967</v>
      </c>
      <c r="I157" s="1466" t="s">
        <v>1180</v>
      </c>
      <c r="J157" s="1474" t="s">
        <v>968</v>
      </c>
      <c r="K157" s="1474" t="s">
        <v>969</v>
      </c>
      <c r="L157" s="1453" t="s">
        <v>970</v>
      </c>
      <c r="M157" s="1453" t="s">
        <v>971</v>
      </c>
      <c r="N157" s="1453" t="s">
        <v>972</v>
      </c>
      <c r="O157" s="1456" t="s">
        <v>973</v>
      </c>
      <c r="P157" s="1457"/>
      <c r="Q157" s="1456" t="s">
        <v>974</v>
      </c>
      <c r="R157" s="1458"/>
      <c r="S157" s="1458"/>
      <c r="T157" s="1458"/>
      <c r="U157" s="1457"/>
      <c r="V157" s="1474" t="s">
        <v>975</v>
      </c>
      <c r="W157" s="1468" t="s">
        <v>976</v>
      </c>
      <c r="X157" s="1393"/>
      <c r="Y157" s="1393"/>
      <c r="Z157" s="1394"/>
      <c r="AA157" s="23"/>
      <c r="AB157" s="1466" t="s">
        <v>977</v>
      </c>
    </row>
    <row r="158" spans="1:28" ht="58.6" customHeight="1" x14ac:dyDescent="0.25">
      <c r="A158" s="825"/>
      <c r="B158" s="16"/>
      <c r="C158" s="1480"/>
      <c r="D158" s="1480"/>
      <c r="E158" s="1480"/>
      <c r="F158" s="1467"/>
      <c r="G158" s="1467"/>
      <c r="H158" s="1467"/>
      <c r="I158" s="1467"/>
      <c r="J158" s="1467"/>
      <c r="K158" s="1467"/>
      <c r="L158" s="1454"/>
      <c r="M158" s="1455"/>
      <c r="N158" s="1454"/>
      <c r="O158" s="940" t="s">
        <v>978</v>
      </c>
      <c r="P158" s="940" t="s">
        <v>979</v>
      </c>
      <c r="Q158" s="940" t="s">
        <v>980</v>
      </c>
      <c r="R158" s="940" t="s">
        <v>981</v>
      </c>
      <c r="S158" s="940" t="s">
        <v>982</v>
      </c>
      <c r="T158" s="940" t="s">
        <v>983</v>
      </c>
      <c r="U158" s="940" t="s">
        <v>984</v>
      </c>
      <c r="V158" s="1467"/>
      <c r="W158" s="23" t="s">
        <v>985</v>
      </c>
      <c r="X158" s="23" t="s">
        <v>986</v>
      </c>
      <c r="Y158" s="23" t="s">
        <v>987</v>
      </c>
      <c r="Z158" s="23" t="s">
        <v>988</v>
      </c>
      <c r="AA158" s="23"/>
      <c r="AB158" s="1467"/>
    </row>
    <row r="159" spans="1:28" s="323" customFormat="1" ht="102.1" customHeight="1" x14ac:dyDescent="0.25">
      <c r="A159" s="337" t="s">
        <v>259</v>
      </c>
      <c r="B159" s="285" t="s">
        <v>254</v>
      </c>
      <c r="C159" s="12" t="s">
        <v>1599</v>
      </c>
      <c r="D159" s="253" t="s">
        <v>326</v>
      </c>
      <c r="E159" s="252" t="s">
        <v>1600</v>
      </c>
      <c r="F159" s="183" t="s">
        <v>1444</v>
      </c>
      <c r="G159" s="183" t="str">
        <f>+'8. BASE  CONSOLIDADA'!O147</f>
        <v>TECNOLOGÍA</v>
      </c>
      <c r="H159" s="183" t="str">
        <f>+'8. BASE  CONSOLIDADA'!P147</f>
        <v>C17</v>
      </c>
      <c r="I159" s="183"/>
      <c r="J159" s="12">
        <v>19</v>
      </c>
      <c r="K159" s="12">
        <v>19</v>
      </c>
      <c r="L159" s="28">
        <v>2500</v>
      </c>
      <c r="M159" s="788" t="s">
        <v>1445</v>
      </c>
      <c r="N159" s="13" t="s">
        <v>1601</v>
      </c>
      <c r="O159" s="14">
        <f>+J159*L159*5</f>
        <v>237500</v>
      </c>
      <c r="P159" s="14">
        <f>+L159*K159*5</f>
        <v>237500</v>
      </c>
      <c r="Q159" s="14">
        <f>+$O$159*0.2</f>
        <v>47500</v>
      </c>
      <c r="R159" s="14">
        <f t="shared" ref="R159:U159" si="91">+$O$159*0.2</f>
        <v>47500</v>
      </c>
      <c r="S159" s="14">
        <f t="shared" si="91"/>
        <v>47500</v>
      </c>
      <c r="T159" s="14">
        <f t="shared" si="91"/>
        <v>47500</v>
      </c>
      <c r="U159" s="14">
        <f t="shared" si="91"/>
        <v>47500</v>
      </c>
      <c r="V159" s="10"/>
      <c r="W159" s="13"/>
      <c r="X159" s="13"/>
      <c r="Y159" s="13" t="s">
        <v>148</v>
      </c>
      <c r="Z159" s="13"/>
      <c r="AA159" s="13" t="str">
        <f t="shared" ref="AA159" si="92">+B159</f>
        <v>RE</v>
      </c>
      <c r="AB159" s="13">
        <v>3</v>
      </c>
    </row>
    <row r="160" spans="1:28" ht="49.6" customHeight="1" x14ac:dyDescent="0.25">
      <c r="A160" s="337" t="s">
        <v>259</v>
      </c>
      <c r="B160" s="285" t="s">
        <v>254</v>
      </c>
      <c r="C160" s="12" t="s">
        <v>1602</v>
      </c>
      <c r="D160" s="252" t="s">
        <v>320</v>
      </c>
      <c r="E160" s="252" t="s">
        <v>1603</v>
      </c>
      <c r="F160" s="183" t="s">
        <v>1604</v>
      </c>
      <c r="G160" s="183" t="str">
        <f>+'8. BASE  CONSOLIDADA'!O264</f>
        <v>TRANSVERSALES X UDT</v>
      </c>
      <c r="H160" s="183" t="str">
        <f>+'8. BASE  CONSOLIDADA'!P264</f>
        <v>C18</v>
      </c>
      <c r="I160" s="183"/>
      <c r="J160" s="75">
        <v>5</v>
      </c>
      <c r="K160" s="75">
        <v>5</v>
      </c>
      <c r="L160" s="28">
        <v>1800</v>
      </c>
      <c r="M160" s="788" t="s">
        <v>1605</v>
      </c>
      <c r="N160" s="13" t="s">
        <v>992</v>
      </c>
      <c r="O160" s="14">
        <f>+J160*L160*5</f>
        <v>45000</v>
      </c>
      <c r="P160" s="14">
        <f>+L160*K160*5</f>
        <v>45000</v>
      </c>
      <c r="Q160" s="14">
        <f t="shared" ref="Q160:U160" si="93">+$O160*0.2</f>
        <v>9000</v>
      </c>
      <c r="R160" s="14">
        <f t="shared" si="93"/>
        <v>9000</v>
      </c>
      <c r="S160" s="14">
        <f t="shared" si="93"/>
        <v>9000</v>
      </c>
      <c r="T160" s="14">
        <f t="shared" si="93"/>
        <v>9000</v>
      </c>
      <c r="U160" s="14">
        <f t="shared" si="93"/>
        <v>9000</v>
      </c>
      <c r="V160" s="13"/>
      <c r="W160" s="10"/>
      <c r="X160" s="10"/>
      <c r="Y160" s="13" t="s">
        <v>148</v>
      </c>
      <c r="Z160" s="13"/>
      <c r="AA160" s="13" t="str">
        <f>+B160</f>
        <v>RE</v>
      </c>
      <c r="AB160" s="13">
        <v>1</v>
      </c>
    </row>
    <row r="161" spans="1:28" ht="81.7" customHeight="1" x14ac:dyDescent="0.25">
      <c r="A161" s="337" t="s">
        <v>259</v>
      </c>
      <c r="B161" s="285"/>
      <c r="C161" s="12" t="s">
        <v>1606</v>
      </c>
      <c r="D161" s="252" t="s">
        <v>276</v>
      </c>
      <c r="E161" s="252" t="s">
        <v>1607</v>
      </c>
      <c r="F161" s="183" t="s">
        <v>1453</v>
      </c>
      <c r="G161" s="183" t="str">
        <f>+'8. BASE  CONSOLIDADA'!O265</f>
        <v>TRANSVERSALES X UDT</v>
      </c>
      <c r="H161" s="183" t="str">
        <f>+'8. BASE  CONSOLIDADA'!P265</f>
        <v>C18</v>
      </c>
      <c r="I161" s="183">
        <v>479</v>
      </c>
      <c r="J161" s="75">
        <f>+I161*0.1</f>
        <v>47.900000000000006</v>
      </c>
      <c r="K161" s="75">
        <f>+I161*0.1</f>
        <v>47.900000000000006</v>
      </c>
      <c r="L161" s="28">
        <v>800000</v>
      </c>
      <c r="M161" s="788" t="s">
        <v>1608</v>
      </c>
      <c r="N161" s="13" t="s">
        <v>1455</v>
      </c>
      <c r="O161" s="14">
        <f t="shared" ref="O161:O163" si="94">+J161*L161</f>
        <v>38320000.000000007</v>
      </c>
      <c r="P161" s="14">
        <f>+L161*K161</f>
        <v>38320000.000000007</v>
      </c>
      <c r="Q161" s="14">
        <f t="shared" ref="Q161:U161" si="95">+$O161*0.2</f>
        <v>7664000.0000000019</v>
      </c>
      <c r="R161" s="14">
        <f t="shared" si="95"/>
        <v>7664000.0000000019</v>
      </c>
      <c r="S161" s="14">
        <f t="shared" si="95"/>
        <v>7664000.0000000019</v>
      </c>
      <c r="T161" s="14">
        <f t="shared" si="95"/>
        <v>7664000.0000000019</v>
      </c>
      <c r="U161" s="14">
        <f t="shared" si="95"/>
        <v>7664000.0000000019</v>
      </c>
      <c r="V161" s="10"/>
      <c r="W161" s="13" t="s">
        <v>148</v>
      </c>
      <c r="X161" s="13"/>
      <c r="Y161" s="13"/>
      <c r="Z161" s="13"/>
      <c r="AA161" s="13"/>
      <c r="AB161" s="13">
        <v>2</v>
      </c>
    </row>
    <row r="162" spans="1:28" ht="104.95" customHeight="1" x14ac:dyDescent="0.25">
      <c r="A162" s="337" t="s">
        <v>259</v>
      </c>
      <c r="B162" s="285" t="s">
        <v>254</v>
      </c>
      <c r="C162" s="12" t="s">
        <v>1609</v>
      </c>
      <c r="D162" s="252" t="s">
        <v>269</v>
      </c>
      <c r="E162" s="252" t="s">
        <v>1610</v>
      </c>
      <c r="F162" s="183" t="s">
        <v>1440</v>
      </c>
      <c r="G162" s="183" t="str">
        <f>+'8. BASE  CONSOLIDADA'!O266</f>
        <v>TRANSVERSALES X UDT</v>
      </c>
      <c r="H162" s="183" t="str">
        <f>+'8. BASE  CONSOLIDADA'!P266</f>
        <v>C18</v>
      </c>
      <c r="I162" s="183">
        <f>7483.09-4281.29</f>
        <v>3201.8</v>
      </c>
      <c r="J162" s="39">
        <f>+I162*0.25</f>
        <v>800.45</v>
      </c>
      <c r="K162" s="39">
        <f t="shared" ref="K162" si="96">+I162*0.2</f>
        <v>640.36000000000013</v>
      </c>
      <c r="L162" s="28">
        <v>500</v>
      </c>
      <c r="M162" s="788" t="s">
        <v>1441</v>
      </c>
      <c r="N162" s="13" t="s">
        <v>1611</v>
      </c>
      <c r="O162" s="28">
        <f t="shared" si="94"/>
        <v>400225</v>
      </c>
      <c r="P162" s="28">
        <f>+L162*K162</f>
        <v>320180.00000000006</v>
      </c>
      <c r="Q162" s="28">
        <f t="shared" ref="Q162:U162" si="97">+$O$162*0.2</f>
        <v>80045</v>
      </c>
      <c r="R162" s="28">
        <f t="shared" si="97"/>
        <v>80045</v>
      </c>
      <c r="S162" s="28">
        <f t="shared" si="97"/>
        <v>80045</v>
      </c>
      <c r="T162" s="28">
        <f t="shared" si="97"/>
        <v>80045</v>
      </c>
      <c r="U162" s="28">
        <f t="shared" si="97"/>
        <v>80045</v>
      </c>
      <c r="V162" s="13"/>
      <c r="W162" s="13"/>
      <c r="X162" s="13"/>
      <c r="Y162" s="13" t="s">
        <v>148</v>
      </c>
      <c r="Z162" s="13"/>
      <c r="AA162" s="13" t="str">
        <f t="shared" ref="AA162:AA164" si="98">+B162</f>
        <v>RE</v>
      </c>
      <c r="AB162" s="13">
        <v>3</v>
      </c>
    </row>
    <row r="163" spans="1:28" ht="115.5" customHeight="1" x14ac:dyDescent="0.25">
      <c r="A163" s="337" t="s">
        <v>259</v>
      </c>
      <c r="B163" s="285" t="s">
        <v>254</v>
      </c>
      <c r="C163" s="12" t="s">
        <v>1612</v>
      </c>
      <c r="D163" s="252" t="s">
        <v>273</v>
      </c>
      <c r="E163" s="252" t="s">
        <v>1613</v>
      </c>
      <c r="F163" s="69" t="s">
        <v>1614</v>
      </c>
      <c r="G163" s="183" t="str">
        <f>+'8. BASE  CONSOLIDADA'!O267</f>
        <v>TRANSVERSALES X UDT</v>
      </c>
      <c r="H163" s="183" t="str">
        <f>+'8. BASE  CONSOLIDADA'!P267</f>
        <v>C18</v>
      </c>
      <c r="I163" s="69"/>
      <c r="J163" s="75">
        <v>7</v>
      </c>
      <c r="K163" s="75">
        <f>3+2</f>
        <v>5</v>
      </c>
      <c r="L163" s="28">
        <v>3500000</v>
      </c>
      <c r="M163" s="791" t="s">
        <v>1615</v>
      </c>
      <c r="N163" s="69" t="s">
        <v>1455</v>
      </c>
      <c r="O163" s="28">
        <f t="shared" si="94"/>
        <v>24500000</v>
      </c>
      <c r="P163" s="28">
        <f>+K163*L163</f>
        <v>17500000</v>
      </c>
      <c r="Q163" s="28">
        <f t="shared" ref="Q163:U163" si="99">+$O$163*0.2</f>
        <v>4900000</v>
      </c>
      <c r="R163" s="28">
        <f t="shared" si="99"/>
        <v>4900000</v>
      </c>
      <c r="S163" s="28">
        <f t="shared" si="99"/>
        <v>4900000</v>
      </c>
      <c r="T163" s="28">
        <f t="shared" si="99"/>
        <v>4900000</v>
      </c>
      <c r="U163" s="28">
        <f t="shared" si="99"/>
        <v>4900000</v>
      </c>
      <c r="V163" s="13"/>
      <c r="W163" s="10"/>
      <c r="X163" s="12" t="s">
        <v>148</v>
      </c>
      <c r="Y163" s="10"/>
      <c r="Z163" s="10"/>
      <c r="AA163" s="13" t="str">
        <f t="shared" si="98"/>
        <v>RE</v>
      </c>
      <c r="AB163" s="13">
        <v>3</v>
      </c>
    </row>
    <row r="164" spans="1:28" ht="95.95" customHeight="1" x14ac:dyDescent="0.25">
      <c r="A164" s="337" t="s">
        <v>259</v>
      </c>
      <c r="B164" s="285" t="s">
        <v>254</v>
      </c>
      <c r="C164" s="12" t="s">
        <v>1616</v>
      </c>
      <c r="D164" s="252" t="s">
        <v>272</v>
      </c>
      <c r="E164" s="252" t="s">
        <v>1617</v>
      </c>
      <c r="F164" s="183" t="s">
        <v>1618</v>
      </c>
      <c r="G164" s="183" t="str">
        <f>+'8. BASE  CONSOLIDADA'!O268</f>
        <v>TRANSVERSALES X UDT</v>
      </c>
      <c r="H164" s="183" t="str">
        <f>+'8. BASE  CONSOLIDADA'!P268</f>
        <v>C18</v>
      </c>
      <c r="I164" s="183"/>
      <c r="J164" s="75">
        <f t="shared" ref="J164:K164" si="100">+((29823*0.05)/150)*3*5</f>
        <v>149.11500000000001</v>
      </c>
      <c r="K164" s="75">
        <f t="shared" si="100"/>
        <v>149.11500000000001</v>
      </c>
      <c r="L164" s="28">
        <v>5000</v>
      </c>
      <c r="M164" s="788" t="s">
        <v>1466</v>
      </c>
      <c r="N164" s="13" t="s">
        <v>1619</v>
      </c>
      <c r="O164" s="28">
        <f t="shared" ref="O164:O165" si="101">+J164*L164*5</f>
        <v>3727875</v>
      </c>
      <c r="P164" s="28">
        <f>+K164*L164*5</f>
        <v>3727875</v>
      </c>
      <c r="Q164" s="28">
        <f t="shared" ref="Q164:U164" si="102">+$O$164*0.2</f>
        <v>745575</v>
      </c>
      <c r="R164" s="28">
        <f t="shared" si="102"/>
        <v>745575</v>
      </c>
      <c r="S164" s="28">
        <f t="shared" si="102"/>
        <v>745575</v>
      </c>
      <c r="T164" s="28">
        <f t="shared" si="102"/>
        <v>745575</v>
      </c>
      <c r="U164" s="28">
        <f t="shared" si="102"/>
        <v>745575</v>
      </c>
      <c r="V164" s="13"/>
      <c r="W164" s="10"/>
      <c r="X164" s="12" t="s">
        <v>148</v>
      </c>
      <c r="Y164" s="10"/>
      <c r="Z164" s="10"/>
      <c r="AA164" s="13" t="str">
        <f t="shared" si="98"/>
        <v>RE</v>
      </c>
      <c r="AB164" s="13">
        <v>3</v>
      </c>
    </row>
    <row r="165" spans="1:28" ht="55.55" customHeight="1" x14ac:dyDescent="0.25">
      <c r="A165" s="337" t="s">
        <v>259</v>
      </c>
      <c r="B165" s="285"/>
      <c r="C165" s="12" t="s">
        <v>1620</v>
      </c>
      <c r="D165" s="252" t="s">
        <v>266</v>
      </c>
      <c r="E165" s="297" t="s">
        <v>1468</v>
      </c>
      <c r="F165" s="183" t="s">
        <v>1621</v>
      </c>
      <c r="G165" s="183" t="str">
        <f>+'8. BASE  CONSOLIDADA'!O269</f>
        <v>TRANSVERSALES X UDT</v>
      </c>
      <c r="H165" s="183" t="str">
        <f>+'8. BASE  CONSOLIDADA'!P269</f>
        <v>C18</v>
      </c>
      <c r="I165" s="183"/>
      <c r="J165" s="14">
        <v>25</v>
      </c>
      <c r="K165" s="14">
        <v>20</v>
      </c>
      <c r="L165" s="28">
        <v>3000</v>
      </c>
      <c r="M165" s="788" t="s">
        <v>1470</v>
      </c>
      <c r="N165" s="13" t="s">
        <v>996</v>
      </c>
      <c r="O165" s="14">
        <f t="shared" si="101"/>
        <v>375000</v>
      </c>
      <c r="P165" s="14">
        <f>+L165*K165*5</f>
        <v>300000</v>
      </c>
      <c r="Q165" s="14">
        <f t="shared" ref="Q165:U165" si="103">+$O$165*0.2</f>
        <v>75000</v>
      </c>
      <c r="R165" s="14">
        <f t="shared" si="103"/>
        <v>75000</v>
      </c>
      <c r="S165" s="14">
        <f t="shared" si="103"/>
        <v>75000</v>
      </c>
      <c r="T165" s="14">
        <f t="shared" si="103"/>
        <v>75000</v>
      </c>
      <c r="U165" s="14">
        <f t="shared" si="103"/>
        <v>75000</v>
      </c>
      <c r="V165" s="14"/>
      <c r="W165" s="13"/>
      <c r="X165" s="13"/>
      <c r="Y165" s="13" t="s">
        <v>148</v>
      </c>
      <c r="Z165" s="13"/>
      <c r="AA165" s="13"/>
      <c r="AB165" s="13">
        <v>3</v>
      </c>
    </row>
    <row r="166" spans="1:28" ht="18.7" customHeight="1" x14ac:dyDescent="0.25">
      <c r="A166" s="825"/>
      <c r="B166" s="16"/>
      <c r="C166" s="1"/>
      <c r="D166" s="366"/>
      <c r="E166" s="366"/>
      <c r="F166" s="366"/>
      <c r="G166" s="366"/>
      <c r="H166" s="366"/>
      <c r="I166" s="366"/>
      <c r="J166" s="366"/>
      <c r="K166" s="366"/>
      <c r="L166" s="366"/>
      <c r="M166" s="1398"/>
      <c r="N166" s="1485"/>
      <c r="O166" s="29">
        <f>SUM(O159:O165)</f>
        <v>67605600</v>
      </c>
      <c r="P166" s="29">
        <f t="shared" ref="P166:U166" si="104">SUM(P159:P165)</f>
        <v>60450555.000000007</v>
      </c>
      <c r="Q166" s="29">
        <f t="shared" si="104"/>
        <v>13521120.000000002</v>
      </c>
      <c r="R166" s="29">
        <f t="shared" si="104"/>
        <v>13521120.000000002</v>
      </c>
      <c r="S166" s="29">
        <f t="shared" si="104"/>
        <v>13521120.000000002</v>
      </c>
      <c r="T166" s="29">
        <f t="shared" si="104"/>
        <v>13521120.000000002</v>
      </c>
      <c r="U166" s="29">
        <f t="shared" si="104"/>
        <v>13521120.000000002</v>
      </c>
      <c r="V166" s="366"/>
      <c r="W166" s="1"/>
      <c r="X166" s="1"/>
      <c r="Y166" s="1"/>
      <c r="Z166" s="1"/>
      <c r="AA166" s="1"/>
      <c r="AB166" s="1"/>
    </row>
    <row r="167" spans="1:28" ht="18.7" customHeight="1" x14ac:dyDescent="0.25">
      <c r="A167" s="825"/>
      <c r="B167" s="16"/>
      <c r="C167" s="1"/>
      <c r="D167" s="366"/>
      <c r="E167" s="366"/>
      <c r="F167" s="366"/>
      <c r="G167" s="366"/>
      <c r="H167" s="366"/>
      <c r="I167" s="366"/>
      <c r="J167" s="366"/>
      <c r="K167" s="366"/>
      <c r="L167" s="366"/>
      <c r="M167" s="1460" t="s">
        <v>1622</v>
      </c>
      <c r="N167" s="1394"/>
      <c r="O167" s="40">
        <f>+O34+O53+O72+O87+O102+O116+O135+O166+O153</f>
        <v>478036093.29928708</v>
      </c>
      <c r="P167" s="40">
        <f t="shared" ref="P167:U167" si="105">+P34+P53+P72+P87+P102+P116+P135+P166+P153</f>
        <v>520867843.8711403</v>
      </c>
      <c r="Q167" s="40">
        <f t="shared" si="105"/>
        <v>96724795.024280816</v>
      </c>
      <c r="R167" s="40">
        <f t="shared" si="105"/>
        <v>94832038.538781002</v>
      </c>
      <c r="S167" s="40">
        <f t="shared" si="105"/>
        <v>95129529.22542806</v>
      </c>
      <c r="T167" s="40">
        <f t="shared" si="105"/>
        <v>95892310.59872219</v>
      </c>
      <c r="U167" s="40">
        <f t="shared" si="105"/>
        <v>95457419.912075117</v>
      </c>
      <c r="V167" s="366"/>
      <c r="W167" s="1"/>
      <c r="X167" s="1"/>
      <c r="Y167" s="1"/>
      <c r="Z167" s="1"/>
      <c r="AA167" s="1"/>
      <c r="AB167" s="1"/>
    </row>
    <row r="168" spans="1:28" ht="11.25" customHeight="1" x14ac:dyDescent="0.25">
      <c r="A168" s="825"/>
      <c r="B168" s="16"/>
      <c r="C168" s="1"/>
      <c r="D168" s="366"/>
      <c r="E168" s="366"/>
      <c r="F168" s="366"/>
      <c r="G168" s="366"/>
      <c r="H168" s="366"/>
      <c r="I168" s="366"/>
      <c r="J168" s="366"/>
      <c r="K168" s="366"/>
      <c r="L168" s="366"/>
      <c r="M168" s="264"/>
      <c r="N168" s="366"/>
      <c r="O168" s="366"/>
      <c r="P168" s="366"/>
      <c r="Q168" s="366"/>
      <c r="R168" s="366"/>
      <c r="S168" s="366"/>
      <c r="T168" s="366"/>
      <c r="U168" s="366"/>
      <c r="V168" s="366"/>
      <c r="W168" s="1"/>
      <c r="X168" s="1"/>
      <c r="Y168" s="1"/>
      <c r="Z168" s="1"/>
      <c r="AA168" s="1"/>
      <c r="AB168" s="1"/>
    </row>
    <row r="169" spans="1:28" ht="11.25" customHeight="1" x14ac:dyDescent="0.25">
      <c r="A169" s="825"/>
      <c r="B169" s="16"/>
      <c r="C169" s="1"/>
      <c r="D169" s="366"/>
      <c r="E169" s="366"/>
      <c r="F169" s="366"/>
      <c r="G169" s="366"/>
      <c r="H169" s="366"/>
      <c r="I169" s="366"/>
      <c r="J169" s="366"/>
      <c r="K169" s="366"/>
      <c r="L169" s="366"/>
      <c r="M169" s="264"/>
      <c r="N169" s="366"/>
      <c r="O169" s="366"/>
      <c r="P169" s="366"/>
      <c r="Q169" s="366"/>
      <c r="R169" s="366"/>
      <c r="S169" s="366"/>
      <c r="T169" s="366"/>
      <c r="U169" s="366"/>
      <c r="V169" s="366"/>
      <c r="W169" s="1"/>
      <c r="X169" s="1"/>
      <c r="Y169" s="1"/>
      <c r="Z169" s="1"/>
      <c r="AA169" s="1"/>
      <c r="AB169" s="1"/>
    </row>
    <row r="170" spans="1:28" ht="11.25" customHeight="1" x14ac:dyDescent="0.25">
      <c r="A170" s="825"/>
      <c r="B170" s="16"/>
      <c r="C170" s="1"/>
      <c r="D170" s="366"/>
      <c r="E170" s="366"/>
      <c r="F170" s="366"/>
      <c r="G170" s="366"/>
      <c r="H170" s="366"/>
      <c r="I170" s="366"/>
      <c r="J170" s="366"/>
      <c r="K170" s="366"/>
      <c r="L170" s="366"/>
      <c r="M170" s="264"/>
      <c r="N170" s="366"/>
      <c r="O170" s="366"/>
      <c r="P170" s="366"/>
      <c r="Q170" s="366"/>
      <c r="R170" s="366"/>
      <c r="S170" s="366"/>
      <c r="T170" s="366"/>
      <c r="U170" s="366"/>
      <c r="V170" s="366"/>
      <c r="W170" s="1"/>
      <c r="X170" s="1"/>
      <c r="Y170" s="1"/>
      <c r="Z170" s="1"/>
      <c r="AA170" s="1"/>
      <c r="AB170" s="1"/>
    </row>
    <row r="171" spans="1:28" ht="11.25" customHeight="1" x14ac:dyDescent="0.25">
      <c r="A171" s="825"/>
      <c r="B171" s="16"/>
      <c r="C171" s="1"/>
      <c r="D171" s="366"/>
      <c r="E171" s="366"/>
      <c r="F171" s="366"/>
      <c r="G171" s="366"/>
      <c r="H171" s="366"/>
      <c r="I171" s="366"/>
      <c r="J171" s="366"/>
      <c r="K171" s="366"/>
      <c r="L171" s="366"/>
      <c r="M171" s="264"/>
      <c r="N171" s="366"/>
      <c r="O171" s="366"/>
      <c r="P171" s="366"/>
      <c r="Q171" s="366"/>
      <c r="R171" s="366"/>
      <c r="S171" s="366"/>
      <c r="T171" s="366"/>
      <c r="U171" s="366"/>
      <c r="V171" s="366"/>
      <c r="W171" s="1"/>
      <c r="X171" s="1"/>
      <c r="Y171" s="1"/>
      <c r="Z171" s="1"/>
      <c r="AA171" s="1"/>
      <c r="AB171" s="1"/>
    </row>
    <row r="172" spans="1:28" ht="11.25" customHeight="1" x14ac:dyDescent="0.25">
      <c r="A172" s="825"/>
      <c r="B172" s="16"/>
      <c r="C172" s="1"/>
      <c r="D172" s="366"/>
      <c r="E172" s="366"/>
      <c r="F172" s="366"/>
      <c r="G172" s="366"/>
      <c r="H172" s="366"/>
      <c r="I172" s="366"/>
      <c r="J172" s="366"/>
      <c r="K172" s="366"/>
      <c r="L172" s="366"/>
      <c r="M172" s="264"/>
      <c r="N172" s="366"/>
      <c r="O172" s="366"/>
      <c r="P172" s="366"/>
      <c r="Q172" s="366"/>
      <c r="R172" s="366"/>
      <c r="S172" s="366"/>
      <c r="T172" s="366"/>
      <c r="U172" s="366"/>
      <c r="V172" s="366"/>
      <c r="W172" s="1"/>
      <c r="X172" s="1"/>
      <c r="Y172" s="1"/>
      <c r="Z172" s="1"/>
      <c r="AA172" s="1"/>
      <c r="AB172" s="1"/>
    </row>
    <row r="173" spans="1:28" ht="11.25" customHeight="1" x14ac:dyDescent="0.25">
      <c r="A173" s="825"/>
      <c r="B173" s="16"/>
      <c r="C173" s="1"/>
      <c r="D173" s="366"/>
      <c r="E173" s="366"/>
      <c r="F173" s="366"/>
      <c r="G173" s="366"/>
      <c r="H173" s="366"/>
      <c r="I173" s="366"/>
      <c r="J173" s="366"/>
      <c r="K173" s="366"/>
      <c r="L173" s="366"/>
      <c r="M173" s="264"/>
      <c r="N173" s="366"/>
      <c r="O173" s="366"/>
      <c r="P173" s="366"/>
      <c r="Q173" s="366"/>
      <c r="R173" s="366"/>
      <c r="S173" s="366"/>
      <c r="T173" s="366"/>
      <c r="U173" s="366"/>
      <c r="V173" s="366"/>
      <c r="W173" s="1"/>
      <c r="X173" s="1"/>
      <c r="Y173" s="1"/>
      <c r="Z173" s="1"/>
      <c r="AA173" s="1"/>
      <c r="AB173" s="1"/>
    </row>
    <row r="174" spans="1:28" ht="11.25" customHeight="1" x14ac:dyDescent="0.25">
      <c r="A174" s="825"/>
      <c r="B174" s="16"/>
      <c r="C174" s="1"/>
      <c r="D174" s="366"/>
      <c r="E174" s="366"/>
      <c r="F174" s="366"/>
      <c r="G174" s="366"/>
      <c r="H174" s="366"/>
      <c r="I174" s="366"/>
      <c r="J174" s="366"/>
      <c r="K174" s="366"/>
      <c r="L174" s="366"/>
      <c r="M174" s="264"/>
      <c r="N174" s="366"/>
      <c r="O174" s="366"/>
      <c r="P174" s="366"/>
      <c r="Q174" s="366"/>
      <c r="R174" s="366"/>
      <c r="S174" s="366"/>
      <c r="T174" s="366"/>
      <c r="U174" s="366"/>
      <c r="V174" s="366"/>
      <c r="W174" s="1"/>
      <c r="X174" s="1"/>
      <c r="Y174" s="1"/>
      <c r="Z174" s="1"/>
      <c r="AA174" s="1"/>
      <c r="AB174" s="1"/>
    </row>
    <row r="175" spans="1:28" ht="11.25" customHeight="1" x14ac:dyDescent="0.25">
      <c r="A175" s="825"/>
      <c r="B175" s="16"/>
      <c r="C175" s="1"/>
      <c r="D175" s="366"/>
      <c r="E175" s="366"/>
      <c r="F175" s="366"/>
      <c r="G175" s="366"/>
      <c r="H175" s="366"/>
      <c r="I175" s="366"/>
      <c r="J175" s="366"/>
      <c r="K175" s="366"/>
      <c r="L175" s="366"/>
      <c r="M175" s="264"/>
      <c r="N175" s="366"/>
      <c r="O175" s="366"/>
      <c r="P175" s="366"/>
      <c r="Q175" s="366"/>
      <c r="R175" s="366"/>
      <c r="S175" s="366"/>
      <c r="T175" s="366"/>
      <c r="U175" s="366"/>
      <c r="V175" s="366"/>
      <c r="W175" s="1"/>
      <c r="X175" s="1"/>
      <c r="Y175" s="1"/>
      <c r="Z175" s="1"/>
      <c r="AA175" s="1"/>
      <c r="AB175" s="1"/>
    </row>
    <row r="176" spans="1:28" ht="11.25" customHeight="1" x14ac:dyDescent="0.25">
      <c r="A176" s="825"/>
      <c r="B176" s="16"/>
      <c r="C176" s="1"/>
      <c r="D176" s="366"/>
      <c r="E176" s="366"/>
      <c r="F176" s="366"/>
      <c r="G176" s="366"/>
      <c r="H176" s="366"/>
      <c r="I176" s="366"/>
      <c r="J176" s="366"/>
      <c r="K176" s="366"/>
      <c r="L176" s="366"/>
      <c r="M176" s="264"/>
      <c r="N176" s="366"/>
      <c r="O176" s="366"/>
      <c r="P176" s="366"/>
      <c r="Q176" s="366"/>
      <c r="R176" s="366"/>
      <c r="S176" s="366"/>
      <c r="T176" s="366"/>
      <c r="U176" s="366"/>
      <c r="V176" s="366"/>
      <c r="W176" s="1"/>
      <c r="X176" s="1"/>
      <c r="Y176" s="1"/>
      <c r="Z176" s="1"/>
      <c r="AA176" s="1"/>
      <c r="AB176" s="1"/>
    </row>
    <row r="177" spans="1:28" ht="11.25" customHeight="1" x14ac:dyDescent="0.25">
      <c r="A177" s="825"/>
      <c r="B177" s="16"/>
      <c r="C177" s="1"/>
      <c r="D177" s="366"/>
      <c r="E177" s="366"/>
      <c r="F177" s="366"/>
      <c r="G177" s="366"/>
      <c r="H177" s="366"/>
      <c r="I177" s="366"/>
      <c r="J177" s="366"/>
      <c r="K177" s="366"/>
      <c r="L177" s="366"/>
      <c r="M177" s="264"/>
      <c r="N177" s="366"/>
      <c r="O177" s="366"/>
      <c r="P177" s="366"/>
      <c r="Q177" s="366"/>
      <c r="R177" s="366"/>
      <c r="S177" s="366"/>
      <c r="T177" s="366"/>
      <c r="U177" s="366"/>
      <c r="V177" s="366"/>
      <c r="W177" s="1"/>
      <c r="X177" s="1"/>
      <c r="Y177" s="1"/>
      <c r="Z177" s="1"/>
      <c r="AA177" s="1"/>
      <c r="AB177" s="1"/>
    </row>
    <row r="178" spans="1:28" ht="11.25" customHeight="1" x14ac:dyDescent="0.25">
      <c r="A178" s="825"/>
      <c r="B178" s="16"/>
      <c r="C178" s="1"/>
      <c r="D178" s="366"/>
      <c r="E178" s="366"/>
      <c r="F178" s="366"/>
      <c r="G178" s="366"/>
      <c r="H178" s="366"/>
      <c r="I178" s="366"/>
      <c r="J178" s="366"/>
      <c r="K178" s="366"/>
      <c r="L178" s="366"/>
      <c r="M178" s="264"/>
      <c r="N178" s="366"/>
      <c r="O178" s="366"/>
      <c r="P178" s="366"/>
      <c r="Q178" s="366"/>
      <c r="R178" s="366"/>
      <c r="S178" s="366"/>
      <c r="T178" s="366"/>
      <c r="U178" s="366"/>
      <c r="V178" s="366"/>
      <c r="W178" s="1"/>
      <c r="X178" s="1"/>
      <c r="Y178" s="1"/>
      <c r="Z178" s="1"/>
      <c r="AA178" s="1"/>
      <c r="AB178" s="1"/>
    </row>
    <row r="179" spans="1:28" ht="11.25" customHeight="1" x14ac:dyDescent="0.25">
      <c r="A179" s="825"/>
      <c r="B179" s="16"/>
      <c r="C179" s="1"/>
      <c r="D179" s="366"/>
      <c r="E179" s="366"/>
      <c r="F179" s="366"/>
      <c r="G179" s="366"/>
      <c r="H179" s="366"/>
      <c r="I179" s="366"/>
      <c r="J179" s="366"/>
      <c r="K179" s="366"/>
      <c r="L179" s="366"/>
      <c r="M179" s="264"/>
      <c r="N179" s="366"/>
      <c r="O179" s="366"/>
      <c r="P179" s="366"/>
      <c r="Q179" s="366"/>
      <c r="R179" s="366"/>
      <c r="S179" s="366"/>
      <c r="T179" s="366"/>
      <c r="U179" s="366"/>
      <c r="V179" s="366"/>
      <c r="W179" s="1"/>
      <c r="X179" s="1"/>
      <c r="Y179" s="1"/>
      <c r="Z179" s="1"/>
      <c r="AA179" s="1"/>
      <c r="AB179" s="1"/>
    </row>
    <row r="180" spans="1:28" ht="11.25" customHeight="1" x14ac:dyDescent="0.25">
      <c r="A180" s="825"/>
      <c r="B180" s="16"/>
      <c r="C180" s="1"/>
      <c r="D180" s="366"/>
      <c r="E180" s="366"/>
      <c r="F180" s="366"/>
      <c r="G180" s="366"/>
      <c r="H180" s="366"/>
      <c r="I180" s="366"/>
      <c r="J180" s="366"/>
      <c r="K180" s="366"/>
      <c r="L180" s="366"/>
      <c r="M180" s="264"/>
      <c r="N180" s="366"/>
      <c r="O180" s="366"/>
      <c r="P180" s="366"/>
      <c r="Q180" s="366"/>
      <c r="R180" s="366"/>
      <c r="S180" s="366"/>
      <c r="T180" s="366"/>
      <c r="U180" s="366"/>
      <c r="V180" s="366"/>
      <c r="W180" s="1"/>
      <c r="X180" s="1"/>
      <c r="Y180" s="1"/>
      <c r="Z180" s="1"/>
      <c r="AA180" s="1"/>
      <c r="AB180" s="1"/>
    </row>
    <row r="181" spans="1:28" ht="11.25" customHeight="1" x14ac:dyDescent="0.25">
      <c r="B181" s="16"/>
      <c r="C181" s="1"/>
      <c r="D181" s="366"/>
      <c r="E181" s="366"/>
      <c r="F181" s="366"/>
      <c r="G181" s="366"/>
      <c r="H181" s="366"/>
      <c r="I181" s="366"/>
      <c r="J181" s="366"/>
      <c r="K181" s="366"/>
      <c r="L181" s="366"/>
      <c r="M181" s="264"/>
      <c r="N181" s="366"/>
      <c r="O181" s="366"/>
      <c r="P181" s="366"/>
      <c r="Q181" s="366"/>
      <c r="R181" s="366"/>
      <c r="S181" s="366"/>
      <c r="T181" s="366"/>
      <c r="U181" s="366"/>
      <c r="V181" s="366"/>
      <c r="W181" s="1"/>
      <c r="X181" s="1"/>
      <c r="Y181" s="1"/>
      <c r="Z181" s="1"/>
      <c r="AA181" s="1"/>
      <c r="AB181" s="1"/>
    </row>
    <row r="182" spans="1:28" ht="11.25" customHeight="1" x14ac:dyDescent="0.25">
      <c r="B182" s="16"/>
      <c r="C182" s="1"/>
      <c r="D182" s="366"/>
      <c r="E182" s="366"/>
      <c r="F182" s="366"/>
      <c r="G182" s="366"/>
      <c r="H182" s="366"/>
      <c r="I182" s="366"/>
      <c r="J182" s="366"/>
      <c r="K182" s="366"/>
      <c r="L182" s="366"/>
      <c r="M182" s="264"/>
      <c r="N182" s="366"/>
      <c r="O182" s="366"/>
      <c r="P182" s="366"/>
      <c r="Q182" s="366"/>
      <c r="R182" s="366"/>
      <c r="S182" s="366"/>
      <c r="T182" s="366"/>
      <c r="U182" s="366"/>
      <c r="V182" s="366"/>
      <c r="W182" s="1"/>
      <c r="X182" s="1"/>
      <c r="Y182" s="1"/>
      <c r="Z182" s="1"/>
      <c r="AA182" s="1"/>
      <c r="AB182" s="1"/>
    </row>
    <row r="183" spans="1:28" ht="11.25" customHeight="1" x14ac:dyDescent="0.25">
      <c r="B183" s="16"/>
      <c r="C183" s="1"/>
      <c r="D183" s="366"/>
      <c r="E183" s="366"/>
      <c r="F183" s="366"/>
      <c r="G183" s="366"/>
      <c r="H183" s="366"/>
      <c r="I183" s="366"/>
      <c r="J183" s="366"/>
      <c r="K183" s="366"/>
      <c r="L183" s="366"/>
      <c r="M183" s="264"/>
      <c r="N183" s="366"/>
      <c r="O183" s="366"/>
      <c r="P183" s="366"/>
      <c r="Q183" s="366"/>
      <c r="R183" s="366"/>
      <c r="S183" s="366"/>
      <c r="T183" s="366"/>
      <c r="U183" s="366"/>
      <c r="V183" s="366"/>
      <c r="W183" s="1"/>
      <c r="X183" s="1"/>
      <c r="Y183" s="1"/>
      <c r="Z183" s="1"/>
      <c r="AA183" s="1"/>
      <c r="AB183" s="1"/>
    </row>
    <row r="184" spans="1:28" ht="11.25" customHeight="1" x14ac:dyDescent="0.25">
      <c r="B184" s="16"/>
      <c r="C184" s="1"/>
      <c r="D184" s="366"/>
      <c r="E184" s="366"/>
      <c r="F184" s="366"/>
      <c r="G184" s="366"/>
      <c r="H184" s="366"/>
      <c r="I184" s="366"/>
      <c r="J184" s="366"/>
      <c r="K184" s="366"/>
      <c r="L184" s="366"/>
      <c r="M184" s="264"/>
      <c r="N184" s="366"/>
      <c r="O184" s="366"/>
      <c r="P184" s="366"/>
      <c r="Q184" s="366"/>
      <c r="R184" s="366"/>
      <c r="S184" s="366"/>
      <c r="T184" s="366"/>
      <c r="U184" s="366"/>
      <c r="V184" s="366"/>
      <c r="W184" s="1"/>
      <c r="X184" s="1"/>
      <c r="Y184" s="1"/>
      <c r="Z184" s="1"/>
      <c r="AA184" s="1"/>
      <c r="AB184" s="1"/>
    </row>
    <row r="185" spans="1:28" ht="11.25" customHeight="1" x14ac:dyDescent="0.25">
      <c r="B185" s="16"/>
      <c r="C185" s="1"/>
      <c r="D185" s="366"/>
      <c r="E185" s="366"/>
      <c r="F185" s="366"/>
      <c r="G185" s="366"/>
      <c r="H185" s="366"/>
      <c r="I185" s="366"/>
      <c r="J185" s="366"/>
      <c r="K185" s="366"/>
      <c r="L185" s="366"/>
      <c r="M185" s="264"/>
      <c r="N185" s="366"/>
      <c r="O185" s="366"/>
      <c r="P185" s="366"/>
      <c r="Q185" s="366"/>
      <c r="R185" s="366"/>
      <c r="S185" s="366"/>
      <c r="T185" s="366"/>
      <c r="U185" s="366"/>
      <c r="V185" s="366"/>
      <c r="W185" s="1"/>
      <c r="X185" s="1"/>
      <c r="Y185" s="1"/>
      <c r="Z185" s="1"/>
      <c r="AA185" s="1"/>
      <c r="AB185" s="1"/>
    </row>
    <row r="186" spans="1:28" ht="11.25" customHeight="1" x14ac:dyDescent="0.25">
      <c r="B186" s="16"/>
      <c r="C186" s="1"/>
      <c r="D186" s="366"/>
      <c r="E186" s="366"/>
      <c r="F186" s="366"/>
      <c r="G186" s="366"/>
      <c r="H186" s="366"/>
      <c r="I186" s="366"/>
      <c r="J186" s="366"/>
      <c r="K186" s="366"/>
      <c r="L186" s="366"/>
      <c r="M186" s="264"/>
      <c r="N186" s="366"/>
      <c r="O186" s="366"/>
      <c r="P186" s="366"/>
      <c r="Q186" s="366"/>
      <c r="R186" s="366"/>
      <c r="S186" s="366"/>
      <c r="T186" s="366"/>
      <c r="U186" s="366"/>
      <c r="V186" s="366"/>
      <c r="W186" s="1"/>
      <c r="X186" s="1"/>
      <c r="Y186" s="1"/>
      <c r="Z186" s="1"/>
      <c r="AA186" s="1"/>
      <c r="AB186" s="1"/>
    </row>
    <row r="187" spans="1:28" ht="11.25" customHeight="1" x14ac:dyDescent="0.25">
      <c r="B187" s="16"/>
      <c r="C187" s="1"/>
      <c r="D187" s="366"/>
      <c r="E187" s="366"/>
      <c r="F187" s="366"/>
      <c r="G187" s="366"/>
      <c r="H187" s="366"/>
      <c r="I187" s="366"/>
      <c r="J187" s="366"/>
      <c r="K187" s="366"/>
      <c r="L187" s="366"/>
      <c r="M187" s="264"/>
      <c r="N187" s="366"/>
      <c r="O187" s="366"/>
      <c r="P187" s="366"/>
      <c r="Q187" s="366"/>
      <c r="R187" s="366"/>
      <c r="S187" s="366"/>
      <c r="T187" s="366"/>
      <c r="U187" s="366"/>
      <c r="V187" s="366"/>
      <c r="W187" s="1"/>
      <c r="X187" s="1"/>
      <c r="Y187" s="1"/>
      <c r="Z187" s="1"/>
      <c r="AA187" s="1"/>
      <c r="AB187" s="1"/>
    </row>
    <row r="188" spans="1:28" ht="11.25" customHeight="1" x14ac:dyDescent="0.25">
      <c r="B188" s="16"/>
      <c r="C188" s="1"/>
      <c r="D188" s="366"/>
      <c r="E188" s="366"/>
      <c r="F188" s="366"/>
      <c r="G188" s="366"/>
      <c r="H188" s="366"/>
      <c r="I188" s="366"/>
      <c r="J188" s="366"/>
      <c r="K188" s="366"/>
      <c r="L188" s="366"/>
      <c r="M188" s="264"/>
      <c r="N188" s="366"/>
      <c r="O188" s="366"/>
      <c r="P188" s="366"/>
      <c r="Q188" s="366"/>
      <c r="R188" s="366"/>
      <c r="S188" s="366"/>
      <c r="T188" s="366"/>
      <c r="U188" s="366"/>
      <c r="V188" s="366"/>
      <c r="W188" s="1"/>
      <c r="X188" s="1"/>
      <c r="Y188" s="1"/>
      <c r="Z188" s="1"/>
      <c r="AA188" s="1"/>
      <c r="AB188" s="1"/>
    </row>
    <row r="189" spans="1:28" ht="11.25" customHeight="1" x14ac:dyDescent="0.25">
      <c r="B189" s="16"/>
      <c r="C189" s="1"/>
      <c r="D189" s="366"/>
      <c r="E189" s="366"/>
      <c r="F189" s="366"/>
      <c r="G189" s="366"/>
      <c r="H189" s="366"/>
      <c r="I189" s="366"/>
      <c r="J189" s="366"/>
      <c r="K189" s="366"/>
      <c r="L189" s="366"/>
      <c r="M189" s="264"/>
      <c r="N189" s="366"/>
      <c r="O189" s="366"/>
      <c r="P189" s="366"/>
      <c r="Q189" s="366"/>
      <c r="R189" s="366"/>
      <c r="S189" s="366"/>
      <c r="T189" s="366"/>
      <c r="U189" s="366"/>
      <c r="V189" s="366"/>
      <c r="W189" s="1"/>
      <c r="X189" s="1"/>
      <c r="Y189" s="1"/>
      <c r="Z189" s="1"/>
      <c r="AA189" s="1"/>
      <c r="AB189" s="1"/>
    </row>
    <row r="190" spans="1:28" ht="11.25" customHeight="1" x14ac:dyDescent="0.25">
      <c r="B190" s="16"/>
      <c r="C190" s="1"/>
      <c r="D190" s="366"/>
      <c r="E190" s="366"/>
      <c r="F190" s="366"/>
      <c r="G190" s="366"/>
      <c r="H190" s="366"/>
      <c r="I190" s="366"/>
      <c r="J190" s="366"/>
      <c r="K190" s="366"/>
      <c r="L190" s="366"/>
      <c r="M190" s="264"/>
      <c r="N190" s="366"/>
      <c r="O190" s="366"/>
      <c r="P190" s="366"/>
      <c r="Q190" s="366"/>
      <c r="R190" s="366"/>
      <c r="S190" s="366"/>
      <c r="T190" s="366"/>
      <c r="U190" s="366"/>
      <c r="V190" s="366"/>
      <c r="W190" s="1"/>
      <c r="X190" s="1"/>
      <c r="Y190" s="1"/>
      <c r="Z190" s="1"/>
      <c r="AA190" s="1"/>
      <c r="AB190" s="1"/>
    </row>
    <row r="191" spans="1:28" ht="11.25" customHeight="1" x14ac:dyDescent="0.25">
      <c r="B191" s="16"/>
      <c r="C191" s="1"/>
      <c r="D191" s="366"/>
      <c r="E191" s="366"/>
      <c r="F191" s="366"/>
      <c r="G191" s="366"/>
      <c r="H191" s="366"/>
      <c r="I191" s="366"/>
      <c r="J191" s="366"/>
      <c r="K191" s="366"/>
      <c r="L191" s="366"/>
      <c r="M191" s="264"/>
      <c r="N191" s="366"/>
      <c r="O191" s="366"/>
      <c r="P191" s="366"/>
      <c r="Q191" s="366"/>
      <c r="R191" s="366"/>
      <c r="S191" s="366"/>
      <c r="T191" s="366"/>
      <c r="U191" s="366"/>
      <c r="V191" s="366"/>
      <c r="W191" s="1"/>
      <c r="X191" s="1"/>
      <c r="Y191" s="1"/>
      <c r="Z191" s="1"/>
      <c r="AA191" s="1"/>
      <c r="AB191" s="1"/>
    </row>
    <row r="192" spans="1:28" ht="11.25" customHeight="1" x14ac:dyDescent="0.25">
      <c r="B192" s="16"/>
      <c r="C192" s="1"/>
      <c r="D192" s="1"/>
      <c r="E192" s="1"/>
      <c r="F192" s="1"/>
      <c r="G192" s="22"/>
      <c r="H192" s="1"/>
      <c r="I192" s="1"/>
      <c r="J192" s="1"/>
      <c r="K192" s="1"/>
      <c r="L192" s="1"/>
      <c r="M192" s="262"/>
      <c r="N192" s="1"/>
      <c r="O192" s="1"/>
      <c r="P192" s="1"/>
      <c r="Q192" s="1"/>
      <c r="R192" s="1"/>
      <c r="S192" s="1"/>
      <c r="T192" s="1"/>
      <c r="U192" s="1"/>
      <c r="V192" s="1"/>
      <c r="W192" s="1"/>
      <c r="X192" s="1"/>
      <c r="Y192" s="1"/>
      <c r="Z192" s="1"/>
      <c r="AA192" s="1"/>
      <c r="AB192" s="1"/>
    </row>
    <row r="193" spans="2:28" ht="11.25" customHeight="1" x14ac:dyDescent="0.25">
      <c r="B193" s="16"/>
      <c r="C193" s="1"/>
      <c r="D193" s="1"/>
      <c r="E193" s="1"/>
      <c r="F193" s="1"/>
      <c r="G193" s="22"/>
      <c r="H193" s="1"/>
      <c r="I193" s="1"/>
      <c r="J193" s="1"/>
      <c r="K193" s="1"/>
      <c r="L193" s="1"/>
      <c r="M193" s="262"/>
      <c r="N193" s="1"/>
      <c r="O193" s="1"/>
      <c r="P193" s="1"/>
      <c r="Q193" s="1"/>
      <c r="R193" s="1"/>
      <c r="S193" s="1"/>
      <c r="T193" s="1"/>
      <c r="U193" s="1"/>
      <c r="V193" s="1"/>
      <c r="W193" s="1"/>
      <c r="X193" s="1"/>
      <c r="Y193" s="1"/>
      <c r="Z193" s="1"/>
      <c r="AA193" s="1"/>
      <c r="AB193" s="1"/>
    </row>
    <row r="194" spans="2:28" ht="11.25" customHeight="1" x14ac:dyDescent="0.25">
      <c r="B194" s="16"/>
      <c r="C194" s="1"/>
      <c r="D194" s="1"/>
      <c r="E194" s="1"/>
      <c r="F194" s="1"/>
      <c r="G194" s="22"/>
      <c r="H194" s="1"/>
      <c r="I194" s="1"/>
      <c r="J194" s="1"/>
      <c r="K194" s="1"/>
      <c r="L194" s="1"/>
      <c r="M194" s="262"/>
      <c r="N194" s="1"/>
      <c r="O194" s="1"/>
      <c r="P194" s="1"/>
      <c r="Q194" s="1"/>
      <c r="R194" s="1"/>
      <c r="S194" s="1"/>
      <c r="T194" s="1"/>
      <c r="U194" s="1"/>
      <c r="V194" s="1"/>
      <c r="W194" s="1"/>
      <c r="X194" s="1"/>
      <c r="Y194" s="1"/>
      <c r="Z194" s="1"/>
      <c r="AA194" s="1"/>
      <c r="AB194" s="1"/>
    </row>
    <row r="195" spans="2:28" ht="11.25" customHeight="1" x14ac:dyDescent="0.25">
      <c r="B195" s="16"/>
      <c r="C195" s="1"/>
      <c r="D195" s="1"/>
      <c r="E195" s="1"/>
      <c r="F195" s="1"/>
      <c r="G195" s="22"/>
      <c r="H195" s="1"/>
      <c r="I195" s="1"/>
      <c r="J195" s="1"/>
      <c r="K195" s="1"/>
      <c r="L195" s="1"/>
      <c r="M195" s="262"/>
      <c r="N195" s="1"/>
      <c r="O195" s="1"/>
      <c r="P195" s="1"/>
      <c r="Q195" s="1"/>
      <c r="R195" s="1"/>
      <c r="S195" s="1"/>
      <c r="T195" s="1"/>
      <c r="U195" s="1"/>
      <c r="V195" s="1"/>
      <c r="W195" s="1"/>
      <c r="X195" s="1"/>
      <c r="Y195" s="1"/>
      <c r="Z195" s="1"/>
      <c r="AA195" s="1"/>
      <c r="AB195" s="1"/>
    </row>
    <row r="196" spans="2:28" ht="11.25" customHeight="1" x14ac:dyDescent="0.25">
      <c r="B196" s="16"/>
      <c r="C196" s="1"/>
      <c r="D196" s="1"/>
      <c r="E196" s="1"/>
      <c r="F196" s="1"/>
      <c r="G196" s="22"/>
      <c r="H196" s="1"/>
      <c r="I196" s="1"/>
      <c r="J196" s="1"/>
      <c r="K196" s="1"/>
      <c r="L196" s="1"/>
      <c r="M196" s="262"/>
      <c r="N196" s="1"/>
      <c r="O196" s="1"/>
      <c r="P196" s="1"/>
      <c r="Q196" s="1"/>
      <c r="R196" s="1"/>
      <c r="S196" s="1"/>
      <c r="T196" s="1"/>
      <c r="U196" s="1"/>
      <c r="V196" s="1"/>
      <c r="W196" s="1"/>
      <c r="X196" s="1"/>
      <c r="Y196" s="1"/>
      <c r="Z196" s="1"/>
      <c r="AA196" s="1"/>
      <c r="AB196" s="1"/>
    </row>
    <row r="197" spans="2:28" ht="11.25" customHeight="1" x14ac:dyDescent="0.25">
      <c r="B197" s="16"/>
      <c r="C197" s="1"/>
      <c r="D197" s="1"/>
      <c r="E197" s="1"/>
      <c r="F197" s="1"/>
      <c r="G197" s="22"/>
      <c r="H197" s="1"/>
      <c r="I197" s="1"/>
      <c r="J197" s="1"/>
      <c r="K197" s="1"/>
      <c r="L197" s="1"/>
      <c r="M197" s="262"/>
      <c r="N197" s="1"/>
      <c r="O197" s="1"/>
      <c r="P197" s="1"/>
      <c r="Q197" s="1"/>
      <c r="R197" s="1"/>
      <c r="S197" s="1"/>
      <c r="T197" s="1"/>
      <c r="U197" s="1"/>
      <c r="V197" s="1"/>
      <c r="W197" s="1"/>
      <c r="X197" s="1"/>
      <c r="Y197" s="1"/>
      <c r="Z197" s="1"/>
      <c r="AA197" s="1"/>
      <c r="AB197" s="1"/>
    </row>
    <row r="198" spans="2:28" ht="11.25" customHeight="1" x14ac:dyDescent="0.25">
      <c r="B198" s="16"/>
      <c r="C198" s="1"/>
      <c r="D198" s="1"/>
      <c r="E198" s="1"/>
      <c r="F198" s="1"/>
      <c r="G198" s="22"/>
      <c r="H198" s="1"/>
      <c r="I198" s="1"/>
      <c r="J198" s="1"/>
      <c r="K198" s="1"/>
      <c r="L198" s="1"/>
      <c r="M198" s="262"/>
      <c r="N198" s="1"/>
      <c r="O198" s="1"/>
      <c r="P198" s="1"/>
      <c r="Q198" s="1"/>
      <c r="R198" s="1"/>
      <c r="S198" s="1"/>
      <c r="T198" s="1"/>
      <c r="U198" s="1"/>
      <c r="V198" s="1"/>
      <c r="W198" s="1"/>
      <c r="X198" s="1"/>
      <c r="Y198" s="1"/>
      <c r="Z198" s="1"/>
      <c r="AA198" s="1"/>
      <c r="AB198" s="1"/>
    </row>
    <row r="199" spans="2:28" ht="11.25" customHeight="1" x14ac:dyDescent="0.25">
      <c r="B199" s="16"/>
      <c r="C199" s="1"/>
      <c r="D199" s="1"/>
      <c r="E199" s="1"/>
      <c r="F199" s="1"/>
      <c r="G199" s="22"/>
      <c r="H199" s="1"/>
      <c r="I199" s="1"/>
      <c r="J199" s="1"/>
      <c r="K199" s="1"/>
      <c r="L199" s="1"/>
      <c r="M199" s="262"/>
      <c r="N199" s="1"/>
      <c r="O199" s="1"/>
      <c r="P199" s="1"/>
      <c r="Q199" s="1"/>
      <c r="R199" s="1"/>
      <c r="S199" s="1"/>
      <c r="T199" s="1"/>
      <c r="U199" s="1"/>
      <c r="V199" s="1"/>
      <c r="W199" s="1"/>
      <c r="X199" s="1"/>
      <c r="Y199" s="1"/>
      <c r="Z199" s="1"/>
      <c r="AA199" s="1"/>
      <c r="AB199" s="1"/>
    </row>
    <row r="200" spans="2:28" ht="11.25" customHeight="1" x14ac:dyDescent="0.25">
      <c r="B200" s="16"/>
      <c r="C200" s="1"/>
      <c r="D200" s="1"/>
      <c r="E200" s="1"/>
      <c r="F200" s="1"/>
      <c r="G200" s="22"/>
      <c r="H200" s="1"/>
      <c r="I200" s="1"/>
      <c r="J200" s="1"/>
      <c r="K200" s="1"/>
      <c r="L200" s="1"/>
      <c r="M200" s="262"/>
      <c r="N200" s="1"/>
      <c r="O200" s="1"/>
      <c r="P200" s="1"/>
      <c r="Q200" s="1"/>
      <c r="R200" s="1"/>
      <c r="S200" s="1"/>
      <c r="T200" s="1"/>
      <c r="U200" s="1"/>
      <c r="V200" s="1"/>
      <c r="W200" s="1"/>
      <c r="X200" s="1"/>
      <c r="Y200" s="1"/>
      <c r="Z200" s="1"/>
      <c r="AA200" s="1"/>
      <c r="AB200" s="1"/>
    </row>
    <row r="201" spans="2:28" ht="11.25" customHeight="1" x14ac:dyDescent="0.25">
      <c r="B201" s="16"/>
      <c r="C201" s="1"/>
      <c r="D201" s="1"/>
      <c r="E201" s="1"/>
      <c r="F201" s="1"/>
      <c r="G201" s="22"/>
      <c r="H201" s="1"/>
      <c r="I201" s="1"/>
      <c r="J201" s="1"/>
      <c r="K201" s="1"/>
      <c r="L201" s="1"/>
      <c r="M201" s="262"/>
      <c r="N201" s="1"/>
      <c r="O201" s="1"/>
      <c r="P201" s="1"/>
      <c r="Q201" s="1"/>
      <c r="R201" s="1"/>
      <c r="S201" s="1"/>
      <c r="T201" s="1"/>
      <c r="U201" s="1"/>
      <c r="V201" s="1"/>
      <c r="W201" s="1"/>
      <c r="X201" s="1"/>
      <c r="Y201" s="1"/>
      <c r="Z201" s="1"/>
      <c r="AA201" s="1"/>
      <c r="AB201" s="1"/>
    </row>
    <row r="202" spans="2:28" ht="11.25" customHeight="1" x14ac:dyDescent="0.25">
      <c r="B202" s="16"/>
      <c r="C202" s="1"/>
      <c r="D202" s="1"/>
      <c r="E202" s="1"/>
      <c r="F202" s="1"/>
      <c r="G202" s="22"/>
      <c r="H202" s="1"/>
      <c r="I202" s="1"/>
      <c r="J202" s="1"/>
      <c r="K202" s="1"/>
      <c r="L202" s="1"/>
      <c r="M202" s="262"/>
      <c r="N202" s="1"/>
      <c r="O202" s="1"/>
      <c r="P202" s="1"/>
      <c r="Q202" s="1"/>
      <c r="R202" s="1"/>
      <c r="S202" s="1"/>
      <c r="T202" s="1"/>
      <c r="U202" s="1"/>
      <c r="V202" s="1"/>
      <c r="W202" s="1"/>
      <c r="X202" s="1"/>
      <c r="Y202" s="1"/>
      <c r="Z202" s="1"/>
      <c r="AA202" s="1"/>
      <c r="AB202" s="1"/>
    </row>
    <row r="203" spans="2:28" ht="11.25" customHeight="1" x14ac:dyDescent="0.25">
      <c r="B203" s="16"/>
      <c r="C203" s="1"/>
      <c r="D203" s="1"/>
      <c r="E203" s="1"/>
      <c r="F203" s="1"/>
      <c r="G203" s="22"/>
      <c r="H203" s="1"/>
      <c r="I203" s="1"/>
      <c r="J203" s="1"/>
      <c r="K203" s="1"/>
      <c r="L203" s="1"/>
      <c r="M203" s="262"/>
      <c r="N203" s="1"/>
      <c r="O203" s="1"/>
      <c r="P203" s="1"/>
      <c r="Q203" s="1"/>
      <c r="R203" s="1"/>
      <c r="S203" s="1"/>
      <c r="T203" s="1"/>
      <c r="U203" s="1"/>
      <c r="V203" s="1"/>
      <c r="W203" s="1"/>
      <c r="X203" s="1"/>
      <c r="Y203" s="1"/>
      <c r="Z203" s="1"/>
      <c r="AA203" s="1"/>
      <c r="AB203" s="1"/>
    </row>
    <row r="204" spans="2:28" ht="11.25" customHeight="1" x14ac:dyDescent="0.25">
      <c r="B204" s="16"/>
      <c r="C204" s="1"/>
      <c r="D204" s="1"/>
      <c r="E204" s="1"/>
      <c r="F204" s="1"/>
      <c r="G204" s="22"/>
      <c r="H204" s="1"/>
      <c r="I204" s="1"/>
      <c r="J204" s="1"/>
      <c r="K204" s="1"/>
      <c r="L204" s="1"/>
      <c r="M204" s="262"/>
      <c r="N204" s="1"/>
      <c r="O204" s="1"/>
      <c r="P204" s="1"/>
      <c r="Q204" s="1"/>
      <c r="R204" s="1"/>
      <c r="S204" s="1"/>
      <c r="T204" s="1"/>
      <c r="U204" s="1"/>
      <c r="V204" s="1"/>
      <c r="W204" s="1"/>
      <c r="X204" s="1"/>
      <c r="Y204" s="1"/>
      <c r="Z204" s="1"/>
      <c r="AA204" s="1"/>
      <c r="AB204" s="1"/>
    </row>
    <row r="205" spans="2:28" ht="11.25" customHeight="1" x14ac:dyDescent="0.25">
      <c r="B205" s="16"/>
      <c r="C205" s="1"/>
      <c r="D205" s="1"/>
      <c r="E205" s="1"/>
      <c r="F205" s="1"/>
      <c r="G205" s="22"/>
      <c r="H205" s="1"/>
      <c r="I205" s="1"/>
      <c r="J205" s="1"/>
      <c r="K205" s="1"/>
      <c r="L205" s="1"/>
      <c r="M205" s="262"/>
      <c r="N205" s="1"/>
      <c r="O205" s="1"/>
      <c r="P205" s="1"/>
      <c r="Q205" s="1"/>
      <c r="R205" s="1"/>
      <c r="S205" s="1"/>
      <c r="T205" s="1"/>
      <c r="U205" s="1"/>
      <c r="V205" s="1"/>
      <c r="W205" s="1"/>
      <c r="X205" s="1"/>
      <c r="Y205" s="1"/>
      <c r="Z205" s="1"/>
      <c r="AA205" s="1"/>
      <c r="AB205" s="1"/>
    </row>
    <row r="206" spans="2:28" ht="11.25" customHeight="1" x14ac:dyDescent="0.25">
      <c r="B206" s="16"/>
      <c r="C206" s="1"/>
      <c r="D206" s="1"/>
      <c r="E206" s="1"/>
      <c r="F206" s="1"/>
      <c r="G206" s="22"/>
      <c r="H206" s="1"/>
      <c r="I206" s="1"/>
      <c r="J206" s="1"/>
      <c r="K206" s="1"/>
      <c r="L206" s="1"/>
      <c r="M206" s="262"/>
      <c r="N206" s="1"/>
      <c r="O206" s="1"/>
      <c r="P206" s="1"/>
      <c r="Q206" s="1"/>
      <c r="R206" s="1"/>
      <c r="S206" s="1"/>
      <c r="T206" s="1"/>
      <c r="U206" s="1"/>
      <c r="V206" s="1"/>
      <c r="W206" s="1"/>
      <c r="X206" s="1"/>
      <c r="Y206" s="1"/>
      <c r="Z206" s="1"/>
      <c r="AA206" s="1"/>
      <c r="AB206" s="1"/>
    </row>
    <row r="207" spans="2:28" ht="11.25" customHeight="1" x14ac:dyDescent="0.25">
      <c r="B207" s="16"/>
      <c r="C207" s="1"/>
      <c r="D207" s="1"/>
      <c r="E207" s="1"/>
      <c r="F207" s="1"/>
      <c r="G207" s="22"/>
      <c r="H207" s="1"/>
      <c r="I207" s="1"/>
      <c r="J207" s="1"/>
      <c r="K207" s="1"/>
      <c r="L207" s="1"/>
      <c r="M207" s="262"/>
      <c r="N207" s="1"/>
      <c r="O207" s="1"/>
      <c r="P207" s="1"/>
      <c r="Q207" s="1"/>
      <c r="R207" s="1"/>
      <c r="S207" s="1"/>
      <c r="T207" s="1"/>
      <c r="U207" s="1"/>
      <c r="V207" s="1"/>
      <c r="W207" s="1"/>
      <c r="X207" s="1"/>
      <c r="Y207" s="1"/>
      <c r="Z207" s="1"/>
      <c r="AA207" s="1"/>
      <c r="AB207" s="1"/>
    </row>
    <row r="208" spans="2:28" ht="11.25" customHeight="1" x14ac:dyDescent="0.25">
      <c r="B208" s="16"/>
      <c r="C208" s="1"/>
      <c r="D208" s="1"/>
      <c r="E208" s="1"/>
      <c r="F208" s="1"/>
      <c r="G208" s="22"/>
      <c r="H208" s="1"/>
      <c r="I208" s="1"/>
      <c r="J208" s="1"/>
      <c r="K208" s="1"/>
      <c r="L208" s="1"/>
      <c r="M208" s="262"/>
      <c r="N208" s="1"/>
      <c r="O208" s="1"/>
      <c r="P208" s="1"/>
      <c r="Q208" s="1"/>
      <c r="R208" s="1"/>
      <c r="S208" s="1"/>
      <c r="T208" s="1"/>
      <c r="U208" s="1"/>
      <c r="V208" s="1"/>
      <c r="W208" s="1"/>
      <c r="X208" s="1"/>
      <c r="Y208" s="1"/>
      <c r="Z208" s="1"/>
      <c r="AA208" s="1"/>
      <c r="AB208" s="1"/>
    </row>
    <row r="209" spans="2:28" ht="11.25" customHeight="1" x14ac:dyDescent="0.25">
      <c r="B209" s="16"/>
      <c r="C209" s="1"/>
      <c r="D209" s="1"/>
      <c r="E209" s="1"/>
      <c r="F209" s="1"/>
      <c r="G209" s="22"/>
      <c r="H209" s="1"/>
      <c r="I209" s="1"/>
      <c r="J209" s="1"/>
      <c r="K209" s="1"/>
      <c r="L209" s="1"/>
      <c r="M209" s="262"/>
      <c r="N209" s="1"/>
      <c r="O209" s="1"/>
      <c r="P209" s="1"/>
      <c r="Q209" s="1"/>
      <c r="R209" s="1"/>
      <c r="S209" s="1"/>
      <c r="T209" s="1"/>
      <c r="U209" s="1"/>
      <c r="V209" s="1"/>
      <c r="W209" s="1"/>
      <c r="X209" s="1"/>
      <c r="Y209" s="1"/>
      <c r="Z209" s="1"/>
      <c r="AA209" s="1"/>
      <c r="AB209" s="1"/>
    </row>
    <row r="210" spans="2:28" ht="11.25" customHeight="1" x14ac:dyDescent="0.25">
      <c r="B210" s="16"/>
      <c r="C210" s="1"/>
      <c r="D210" s="1"/>
      <c r="E210" s="1"/>
      <c r="F210" s="1"/>
      <c r="G210" s="22"/>
      <c r="H210" s="1"/>
      <c r="I210" s="1"/>
      <c r="J210" s="1"/>
      <c r="K210" s="1"/>
      <c r="L210" s="1"/>
      <c r="M210" s="262"/>
      <c r="N210" s="1"/>
      <c r="O210" s="1"/>
      <c r="P210" s="1"/>
      <c r="Q210" s="1"/>
      <c r="R210" s="1"/>
      <c r="S210" s="1"/>
      <c r="T210" s="1"/>
      <c r="U210" s="1"/>
      <c r="V210" s="1"/>
      <c r="W210" s="1"/>
      <c r="X210" s="1"/>
      <c r="Y210" s="1"/>
      <c r="Z210" s="1"/>
      <c r="AA210" s="1"/>
      <c r="AB210" s="1"/>
    </row>
    <row r="211" spans="2:28" ht="11.25" customHeight="1" x14ac:dyDescent="0.25">
      <c r="B211" s="16"/>
      <c r="C211" s="1"/>
      <c r="D211" s="1"/>
      <c r="E211" s="1"/>
      <c r="F211" s="1"/>
      <c r="G211" s="22"/>
      <c r="H211" s="1"/>
      <c r="I211" s="1"/>
      <c r="J211" s="1"/>
      <c r="K211" s="1"/>
      <c r="L211" s="1"/>
      <c r="M211" s="262"/>
      <c r="N211" s="1"/>
      <c r="O211" s="1"/>
      <c r="P211" s="1"/>
      <c r="Q211" s="1"/>
      <c r="R211" s="1"/>
      <c r="S211" s="1"/>
      <c r="T211" s="1"/>
      <c r="U211" s="1"/>
      <c r="V211" s="1"/>
      <c r="W211" s="1"/>
      <c r="X211" s="1"/>
      <c r="Y211" s="1"/>
      <c r="Z211" s="1"/>
      <c r="AA211" s="1"/>
      <c r="AB211" s="1"/>
    </row>
    <row r="212" spans="2:28" ht="11.25" customHeight="1" x14ac:dyDescent="0.25">
      <c r="B212" s="16"/>
      <c r="C212" s="1"/>
      <c r="D212" s="1"/>
      <c r="E212" s="1"/>
      <c r="F212" s="1"/>
      <c r="G212" s="22"/>
      <c r="H212" s="1"/>
      <c r="I212" s="1"/>
      <c r="J212" s="1"/>
      <c r="K212" s="1"/>
      <c r="L212" s="1"/>
      <c r="M212" s="262"/>
      <c r="N212" s="1"/>
      <c r="O212" s="1"/>
      <c r="P212" s="1"/>
      <c r="Q212" s="1"/>
      <c r="R212" s="1"/>
      <c r="S212" s="1"/>
      <c r="T212" s="1"/>
      <c r="U212" s="1"/>
      <c r="V212" s="1"/>
      <c r="W212" s="1"/>
      <c r="X212" s="1"/>
      <c r="Y212" s="1"/>
      <c r="Z212" s="1"/>
      <c r="AA212" s="1"/>
      <c r="AB212" s="1"/>
    </row>
    <row r="213" spans="2:28" ht="11.25" customHeight="1" x14ac:dyDescent="0.25">
      <c r="B213" s="16"/>
      <c r="C213" s="1"/>
      <c r="D213" s="1"/>
      <c r="E213" s="1"/>
      <c r="F213" s="1"/>
      <c r="G213" s="22"/>
      <c r="H213" s="1"/>
      <c r="I213" s="1"/>
      <c r="J213" s="1"/>
      <c r="K213" s="1"/>
      <c r="L213" s="1"/>
      <c r="M213" s="262"/>
      <c r="N213" s="1"/>
      <c r="O213" s="1"/>
      <c r="P213" s="1"/>
      <c r="Q213" s="1"/>
      <c r="R213" s="1"/>
      <c r="S213" s="1"/>
      <c r="T213" s="1"/>
      <c r="U213" s="1"/>
      <c r="V213" s="1"/>
      <c r="W213" s="1"/>
      <c r="X213" s="1"/>
      <c r="Y213" s="1"/>
      <c r="Z213" s="1"/>
      <c r="AA213" s="1"/>
      <c r="AB213" s="1"/>
    </row>
    <row r="214" spans="2:28" ht="11.25" customHeight="1" x14ac:dyDescent="0.25">
      <c r="B214" s="16"/>
      <c r="C214" s="1"/>
      <c r="D214" s="1"/>
      <c r="E214" s="1"/>
      <c r="F214" s="1"/>
      <c r="G214" s="22"/>
      <c r="H214" s="1"/>
      <c r="I214" s="1"/>
      <c r="J214" s="1"/>
      <c r="K214" s="1"/>
      <c r="L214" s="1"/>
      <c r="M214" s="262"/>
      <c r="N214" s="1"/>
      <c r="O214" s="1"/>
      <c r="P214" s="1"/>
      <c r="Q214" s="1"/>
      <c r="R214" s="1"/>
      <c r="S214" s="1"/>
      <c r="T214" s="1"/>
      <c r="U214" s="1"/>
      <c r="V214" s="1"/>
      <c r="W214" s="1"/>
      <c r="X214" s="1"/>
      <c r="Y214" s="1"/>
      <c r="Z214" s="1"/>
      <c r="AA214" s="1"/>
      <c r="AB214" s="1"/>
    </row>
    <row r="215" spans="2:28" ht="11.25" customHeight="1" x14ac:dyDescent="0.25">
      <c r="B215" s="16"/>
      <c r="C215" s="1"/>
      <c r="D215" s="1"/>
      <c r="E215" s="1"/>
      <c r="F215" s="1"/>
      <c r="G215" s="22"/>
      <c r="H215" s="1"/>
      <c r="I215" s="1"/>
      <c r="J215" s="1"/>
      <c r="K215" s="1"/>
      <c r="L215" s="1"/>
      <c r="M215" s="262"/>
      <c r="N215" s="1"/>
      <c r="O215" s="1"/>
      <c r="P215" s="1"/>
      <c r="Q215" s="1"/>
      <c r="R215" s="1"/>
      <c r="S215" s="1"/>
      <c r="T215" s="1"/>
      <c r="U215" s="1"/>
      <c r="V215" s="1"/>
      <c r="W215" s="1"/>
      <c r="X215" s="1"/>
      <c r="Y215" s="1"/>
      <c r="Z215" s="1"/>
      <c r="AA215" s="1"/>
      <c r="AB215" s="1"/>
    </row>
    <row r="216" spans="2:28" ht="11.25" customHeight="1" x14ac:dyDescent="0.25">
      <c r="B216" s="16"/>
      <c r="C216" s="1"/>
      <c r="D216" s="1"/>
      <c r="E216" s="1"/>
      <c r="F216" s="1"/>
      <c r="G216" s="22"/>
      <c r="H216" s="1"/>
      <c r="I216" s="1"/>
      <c r="J216" s="1"/>
      <c r="K216" s="1"/>
      <c r="L216" s="1"/>
      <c r="M216" s="262"/>
      <c r="N216" s="1"/>
      <c r="O216" s="1"/>
      <c r="P216" s="1"/>
      <c r="Q216" s="1"/>
      <c r="R216" s="1"/>
      <c r="S216" s="1"/>
      <c r="T216" s="1"/>
      <c r="U216" s="1"/>
      <c r="V216" s="1"/>
      <c r="W216" s="1"/>
      <c r="X216" s="1"/>
      <c r="Y216" s="1"/>
      <c r="Z216" s="1"/>
      <c r="AA216" s="1"/>
      <c r="AB216" s="1"/>
    </row>
    <row r="217" spans="2:28" ht="11.25" customHeight="1" x14ac:dyDescent="0.25">
      <c r="B217" s="16"/>
      <c r="C217" s="1"/>
      <c r="D217" s="1"/>
      <c r="E217" s="1"/>
      <c r="F217" s="1"/>
      <c r="G217" s="22"/>
      <c r="H217" s="1"/>
      <c r="I217" s="1"/>
      <c r="J217" s="1"/>
      <c r="K217" s="1"/>
      <c r="L217" s="1"/>
      <c r="M217" s="262"/>
      <c r="N217" s="1"/>
      <c r="O217" s="1"/>
      <c r="P217" s="1"/>
      <c r="Q217" s="1"/>
      <c r="R217" s="1"/>
      <c r="S217" s="1"/>
      <c r="T217" s="1"/>
      <c r="U217" s="1"/>
      <c r="V217" s="1"/>
      <c r="W217" s="1"/>
      <c r="X217" s="1"/>
      <c r="Y217" s="1"/>
      <c r="Z217" s="1"/>
      <c r="AA217" s="1"/>
      <c r="AB217" s="1"/>
    </row>
    <row r="218" spans="2:28" ht="11.25" customHeight="1" x14ac:dyDescent="0.25">
      <c r="B218" s="16"/>
      <c r="C218" s="1"/>
      <c r="D218" s="1"/>
      <c r="E218" s="1"/>
      <c r="F218" s="1"/>
      <c r="G218" s="22"/>
      <c r="H218" s="1"/>
      <c r="I218" s="1"/>
      <c r="J218" s="1"/>
      <c r="K218" s="1"/>
      <c r="L218" s="1"/>
      <c r="M218" s="262"/>
      <c r="N218" s="1"/>
      <c r="O218" s="1"/>
      <c r="P218" s="1"/>
      <c r="Q218" s="1"/>
      <c r="R218" s="1"/>
      <c r="S218" s="1"/>
      <c r="T218" s="1"/>
      <c r="U218" s="1"/>
      <c r="V218" s="1"/>
      <c r="W218" s="1"/>
      <c r="X218" s="1"/>
      <c r="Y218" s="1"/>
      <c r="Z218" s="1"/>
      <c r="AA218" s="1"/>
      <c r="AB218" s="1"/>
    </row>
    <row r="219" spans="2:28" ht="11.25" customHeight="1" x14ac:dyDescent="0.25">
      <c r="B219" s="16"/>
      <c r="C219" s="1"/>
      <c r="D219" s="1"/>
      <c r="E219" s="1"/>
      <c r="F219" s="1"/>
      <c r="G219" s="22"/>
      <c r="H219" s="1"/>
      <c r="I219" s="1"/>
      <c r="J219" s="1"/>
      <c r="K219" s="1"/>
      <c r="L219" s="1"/>
      <c r="M219" s="262"/>
      <c r="N219" s="1"/>
      <c r="O219" s="1"/>
      <c r="P219" s="1"/>
      <c r="Q219" s="1"/>
      <c r="R219" s="1"/>
      <c r="S219" s="1"/>
      <c r="T219" s="1"/>
      <c r="U219" s="1"/>
      <c r="V219" s="1"/>
      <c r="W219" s="1"/>
      <c r="X219" s="1"/>
      <c r="Y219" s="1"/>
      <c r="Z219" s="1"/>
      <c r="AA219" s="1"/>
      <c r="AB219" s="1"/>
    </row>
    <row r="220" spans="2:28" ht="11.25" customHeight="1" x14ac:dyDescent="0.25">
      <c r="B220" s="16"/>
      <c r="C220" s="1"/>
      <c r="D220" s="1"/>
      <c r="E220" s="1"/>
      <c r="F220" s="1"/>
      <c r="G220" s="22"/>
      <c r="H220" s="1"/>
      <c r="I220" s="1"/>
      <c r="J220" s="1"/>
      <c r="K220" s="1"/>
      <c r="L220" s="1"/>
      <c r="M220" s="262"/>
      <c r="N220" s="1"/>
      <c r="O220" s="1"/>
      <c r="P220" s="1"/>
      <c r="Q220" s="1"/>
      <c r="R220" s="1"/>
      <c r="S220" s="1"/>
      <c r="T220" s="1"/>
      <c r="U220" s="1"/>
      <c r="V220" s="1"/>
      <c r="W220" s="1"/>
      <c r="X220" s="1"/>
      <c r="Y220" s="1"/>
      <c r="Z220" s="1"/>
      <c r="AA220" s="1"/>
      <c r="AB220" s="1"/>
    </row>
    <row r="221" spans="2:28" ht="11.25" customHeight="1" x14ac:dyDescent="0.25">
      <c r="B221" s="16"/>
      <c r="C221" s="1"/>
      <c r="D221" s="1"/>
      <c r="E221" s="1"/>
      <c r="F221" s="1"/>
      <c r="G221" s="22"/>
      <c r="H221" s="1"/>
      <c r="I221" s="1"/>
      <c r="J221" s="1"/>
      <c r="K221" s="1"/>
      <c r="L221" s="1"/>
      <c r="M221" s="262"/>
      <c r="N221" s="1"/>
      <c r="O221" s="1"/>
      <c r="P221" s="1"/>
      <c r="Q221" s="1"/>
      <c r="R221" s="1"/>
      <c r="S221" s="1"/>
      <c r="T221" s="1"/>
      <c r="U221" s="1"/>
      <c r="V221" s="1"/>
      <c r="W221" s="1"/>
      <c r="X221" s="1"/>
      <c r="Y221" s="1"/>
      <c r="Z221" s="1"/>
      <c r="AA221" s="1"/>
      <c r="AB221" s="1"/>
    </row>
    <row r="222" spans="2:28" ht="11.25" customHeight="1" x14ac:dyDescent="0.25">
      <c r="B222" s="16"/>
      <c r="C222" s="1"/>
      <c r="D222" s="1"/>
      <c r="E222" s="1"/>
      <c r="F222" s="1"/>
      <c r="G222" s="22"/>
      <c r="H222" s="1"/>
      <c r="I222" s="1"/>
      <c r="J222" s="1"/>
      <c r="K222" s="1"/>
      <c r="L222" s="1"/>
      <c r="M222" s="262"/>
      <c r="N222" s="1"/>
      <c r="O222" s="1"/>
      <c r="P222" s="1"/>
      <c r="Q222" s="1"/>
      <c r="R222" s="1"/>
      <c r="S222" s="1"/>
      <c r="T222" s="1"/>
      <c r="U222" s="1"/>
      <c r="V222" s="1"/>
      <c r="W222" s="1"/>
      <c r="X222" s="1"/>
      <c r="Y222" s="1"/>
      <c r="Z222" s="1"/>
      <c r="AA222" s="1"/>
      <c r="AB222" s="1"/>
    </row>
    <row r="223" spans="2:28" ht="11.25" customHeight="1" x14ac:dyDescent="0.25">
      <c r="B223" s="16"/>
      <c r="C223" s="1"/>
      <c r="D223" s="1"/>
      <c r="E223" s="1"/>
      <c r="F223" s="1"/>
      <c r="G223" s="22"/>
      <c r="H223" s="1"/>
      <c r="I223" s="1"/>
      <c r="J223" s="1"/>
      <c r="K223" s="1"/>
      <c r="L223" s="1"/>
      <c r="M223" s="262"/>
      <c r="N223" s="1"/>
      <c r="O223" s="1"/>
      <c r="P223" s="1"/>
      <c r="Q223" s="1"/>
      <c r="R223" s="1"/>
      <c r="S223" s="1"/>
      <c r="T223" s="1"/>
      <c r="U223" s="1"/>
      <c r="V223" s="1"/>
      <c r="W223" s="1"/>
      <c r="X223" s="1"/>
      <c r="Y223" s="1"/>
      <c r="Z223" s="1"/>
      <c r="AA223" s="1"/>
      <c r="AB223" s="1"/>
    </row>
    <row r="224" spans="2:28" ht="11.25" customHeight="1" x14ac:dyDescent="0.25">
      <c r="B224" s="16"/>
      <c r="C224" s="1"/>
      <c r="D224" s="1"/>
      <c r="E224" s="1"/>
      <c r="F224" s="1"/>
      <c r="G224" s="22"/>
      <c r="H224" s="1"/>
      <c r="I224" s="1"/>
      <c r="J224" s="1"/>
      <c r="K224" s="1"/>
      <c r="L224" s="1"/>
      <c r="M224" s="262"/>
      <c r="N224" s="1"/>
      <c r="O224" s="1"/>
      <c r="P224" s="1"/>
      <c r="Q224" s="1"/>
      <c r="R224" s="1"/>
      <c r="S224" s="1"/>
      <c r="T224" s="1"/>
      <c r="U224" s="1"/>
      <c r="V224" s="1"/>
      <c r="W224" s="1"/>
      <c r="X224" s="1"/>
      <c r="Y224" s="1"/>
      <c r="Z224" s="1"/>
      <c r="AA224" s="1"/>
      <c r="AB224" s="1"/>
    </row>
    <row r="225" spans="2:28" ht="11.25" customHeight="1" x14ac:dyDescent="0.25">
      <c r="B225" s="16"/>
      <c r="C225" s="1"/>
      <c r="D225" s="1"/>
      <c r="E225" s="1"/>
      <c r="F225" s="1"/>
      <c r="G225" s="22"/>
      <c r="H225" s="1"/>
      <c r="I225" s="1"/>
      <c r="J225" s="1"/>
      <c r="K225" s="1"/>
      <c r="L225" s="1"/>
      <c r="M225" s="262"/>
      <c r="N225" s="1"/>
      <c r="O225" s="1"/>
      <c r="P225" s="1"/>
      <c r="Q225" s="1"/>
      <c r="R225" s="1"/>
      <c r="S225" s="1"/>
      <c r="T225" s="1"/>
      <c r="U225" s="1"/>
      <c r="V225" s="1"/>
      <c r="W225" s="1"/>
      <c r="X225" s="1"/>
      <c r="Y225" s="1"/>
      <c r="Z225" s="1"/>
      <c r="AA225" s="1"/>
      <c r="AB225" s="1"/>
    </row>
    <row r="226" spans="2:28" ht="11.25" customHeight="1" x14ac:dyDescent="0.25">
      <c r="B226" s="16"/>
      <c r="C226" s="1"/>
      <c r="D226" s="1"/>
      <c r="E226" s="1"/>
      <c r="F226" s="1"/>
      <c r="G226" s="22"/>
      <c r="H226" s="1"/>
      <c r="I226" s="1"/>
      <c r="J226" s="1"/>
      <c r="K226" s="1"/>
      <c r="L226" s="1"/>
      <c r="M226" s="262"/>
      <c r="N226" s="1"/>
      <c r="O226" s="1"/>
      <c r="P226" s="1"/>
      <c r="Q226" s="1"/>
      <c r="R226" s="1"/>
      <c r="S226" s="1"/>
      <c r="T226" s="1"/>
      <c r="U226" s="1"/>
      <c r="V226" s="1"/>
      <c r="W226" s="1"/>
      <c r="X226" s="1"/>
      <c r="Y226" s="1"/>
      <c r="Z226" s="1"/>
      <c r="AA226" s="1"/>
      <c r="AB226" s="1"/>
    </row>
    <row r="227" spans="2:28" ht="11.25" customHeight="1" x14ac:dyDescent="0.25">
      <c r="B227" s="16"/>
      <c r="C227" s="1"/>
      <c r="D227" s="1"/>
      <c r="E227" s="1"/>
      <c r="F227" s="1"/>
      <c r="G227" s="22"/>
      <c r="H227" s="1"/>
      <c r="I227" s="1"/>
      <c r="J227" s="1"/>
      <c r="K227" s="1"/>
      <c r="L227" s="1"/>
      <c r="M227" s="262"/>
      <c r="N227" s="1"/>
      <c r="O227" s="1"/>
      <c r="P227" s="1"/>
      <c r="Q227" s="1"/>
      <c r="R227" s="1"/>
      <c r="S227" s="1"/>
      <c r="T227" s="1"/>
      <c r="U227" s="1"/>
      <c r="V227" s="1"/>
      <c r="W227" s="1"/>
      <c r="X227" s="1"/>
      <c r="Y227" s="1"/>
      <c r="Z227" s="1"/>
      <c r="AA227" s="1"/>
      <c r="AB227" s="1"/>
    </row>
    <row r="228" spans="2:28" ht="11.25" customHeight="1" x14ac:dyDescent="0.25">
      <c r="B228" s="16"/>
      <c r="C228" s="1"/>
      <c r="D228" s="1"/>
      <c r="E228" s="1"/>
      <c r="F228" s="1"/>
      <c r="G228" s="22"/>
      <c r="H228" s="1"/>
      <c r="I228" s="1"/>
      <c r="J228" s="1"/>
      <c r="K228" s="1"/>
      <c r="L228" s="1"/>
      <c r="M228" s="262"/>
      <c r="N228" s="1"/>
      <c r="O228" s="1"/>
      <c r="P228" s="1"/>
      <c r="Q228" s="1"/>
      <c r="R228" s="1"/>
      <c r="S228" s="1"/>
      <c r="T228" s="1"/>
      <c r="U228" s="1"/>
      <c r="V228" s="1"/>
      <c r="W228" s="1"/>
      <c r="X228" s="1"/>
      <c r="Y228" s="1"/>
      <c r="Z228" s="1"/>
      <c r="AA228" s="1"/>
      <c r="AB228" s="1"/>
    </row>
    <row r="229" spans="2:28" ht="11.25" customHeight="1" x14ac:dyDescent="0.25">
      <c r="B229" s="16"/>
      <c r="C229" s="1"/>
      <c r="D229" s="1"/>
      <c r="E229" s="1"/>
      <c r="F229" s="1"/>
      <c r="G229" s="22"/>
      <c r="H229" s="1"/>
      <c r="I229" s="1"/>
      <c r="J229" s="1"/>
      <c r="K229" s="1"/>
      <c r="L229" s="1"/>
      <c r="M229" s="262"/>
      <c r="N229" s="1"/>
      <c r="O229" s="1"/>
      <c r="P229" s="1"/>
      <c r="Q229" s="1"/>
      <c r="R229" s="1"/>
      <c r="S229" s="1"/>
      <c r="T229" s="1"/>
      <c r="U229" s="1"/>
      <c r="V229" s="1"/>
      <c r="W229" s="1"/>
      <c r="X229" s="1"/>
      <c r="Y229" s="1"/>
      <c r="Z229" s="1"/>
      <c r="AA229" s="1"/>
      <c r="AB229" s="1"/>
    </row>
    <row r="230" spans="2:28" ht="11.25" customHeight="1" x14ac:dyDescent="0.25">
      <c r="B230" s="16"/>
      <c r="C230" s="1"/>
      <c r="D230" s="1"/>
      <c r="E230" s="1"/>
      <c r="F230" s="1"/>
      <c r="G230" s="22"/>
      <c r="H230" s="1"/>
      <c r="I230" s="1"/>
      <c r="J230" s="1"/>
      <c r="K230" s="1"/>
      <c r="L230" s="1"/>
      <c r="M230" s="262"/>
      <c r="N230" s="1"/>
      <c r="O230" s="1"/>
      <c r="P230" s="1"/>
      <c r="Q230" s="1"/>
      <c r="R230" s="1"/>
      <c r="S230" s="1"/>
      <c r="T230" s="1"/>
      <c r="U230" s="1"/>
      <c r="V230" s="1"/>
      <c r="W230" s="1"/>
      <c r="X230" s="1"/>
      <c r="Y230" s="1"/>
      <c r="Z230" s="1"/>
      <c r="AA230" s="1"/>
      <c r="AB230" s="1"/>
    </row>
    <row r="231" spans="2:28" ht="11.25" customHeight="1" x14ac:dyDescent="0.25">
      <c r="B231" s="16"/>
      <c r="C231" s="1"/>
      <c r="D231" s="1"/>
      <c r="E231" s="1"/>
      <c r="F231" s="1"/>
      <c r="G231" s="22"/>
      <c r="H231" s="1"/>
      <c r="I231" s="1"/>
      <c r="J231" s="1"/>
      <c r="K231" s="1"/>
      <c r="L231" s="1"/>
      <c r="M231" s="262"/>
      <c r="N231" s="1"/>
      <c r="O231" s="1"/>
      <c r="P231" s="1"/>
      <c r="Q231" s="1"/>
      <c r="R231" s="1"/>
      <c r="S231" s="1"/>
      <c r="T231" s="1"/>
      <c r="U231" s="1"/>
      <c r="V231" s="1"/>
      <c r="W231" s="1"/>
      <c r="X231" s="1"/>
      <c r="Y231" s="1"/>
      <c r="Z231" s="1"/>
      <c r="AA231" s="1"/>
      <c r="AB231" s="1"/>
    </row>
    <row r="232" spans="2:28" ht="11.25" customHeight="1" x14ac:dyDescent="0.25">
      <c r="B232" s="16"/>
      <c r="C232" s="1"/>
      <c r="D232" s="1"/>
      <c r="E232" s="1"/>
      <c r="F232" s="1"/>
      <c r="G232" s="22"/>
      <c r="H232" s="1"/>
      <c r="I232" s="1"/>
      <c r="J232" s="1"/>
      <c r="K232" s="1"/>
      <c r="L232" s="1"/>
      <c r="M232" s="262"/>
      <c r="N232" s="1"/>
      <c r="O232" s="1"/>
      <c r="P232" s="1"/>
      <c r="Q232" s="1"/>
      <c r="R232" s="1"/>
      <c r="S232" s="1"/>
      <c r="T232" s="1"/>
      <c r="U232" s="1"/>
      <c r="V232" s="1"/>
      <c r="W232" s="1"/>
      <c r="X232" s="1"/>
      <c r="Y232" s="1"/>
      <c r="Z232" s="1"/>
      <c r="AA232" s="1"/>
      <c r="AB232" s="1"/>
    </row>
    <row r="233" spans="2:28" ht="11.25" customHeight="1" x14ac:dyDescent="0.25">
      <c r="B233" s="16"/>
      <c r="C233" s="1"/>
      <c r="D233" s="1"/>
      <c r="E233" s="1"/>
      <c r="F233" s="1"/>
      <c r="G233" s="22"/>
      <c r="H233" s="1"/>
      <c r="I233" s="1"/>
      <c r="J233" s="1"/>
      <c r="K233" s="1"/>
      <c r="L233" s="1"/>
      <c r="M233" s="262"/>
      <c r="N233" s="1"/>
      <c r="O233" s="1"/>
      <c r="P233" s="1"/>
      <c r="Q233" s="1"/>
      <c r="R233" s="1"/>
      <c r="S233" s="1"/>
      <c r="T233" s="1"/>
      <c r="U233" s="1"/>
      <c r="V233" s="1"/>
      <c r="W233" s="1"/>
      <c r="X233" s="1"/>
      <c r="Y233" s="1"/>
      <c r="Z233" s="1"/>
      <c r="AA233" s="1"/>
      <c r="AB233" s="1"/>
    </row>
    <row r="234" spans="2:28" ht="11.25" customHeight="1" x14ac:dyDescent="0.25">
      <c r="B234" s="16"/>
      <c r="C234" s="1"/>
      <c r="D234" s="1"/>
      <c r="E234" s="1"/>
      <c r="F234" s="1"/>
      <c r="G234" s="22"/>
      <c r="H234" s="1"/>
      <c r="I234" s="1"/>
      <c r="J234" s="1"/>
      <c r="K234" s="1"/>
      <c r="L234" s="1"/>
      <c r="M234" s="262"/>
      <c r="N234" s="1"/>
      <c r="O234" s="1"/>
      <c r="P234" s="1"/>
      <c r="Q234" s="1"/>
      <c r="R234" s="1"/>
      <c r="S234" s="1"/>
      <c r="T234" s="1"/>
      <c r="U234" s="1"/>
      <c r="V234" s="1"/>
      <c r="W234" s="1"/>
      <c r="X234" s="1"/>
      <c r="Y234" s="1"/>
      <c r="Z234" s="1"/>
      <c r="AA234" s="1"/>
      <c r="AB234" s="1"/>
    </row>
    <row r="235" spans="2:28" ht="11.25" customHeight="1" x14ac:dyDescent="0.25">
      <c r="B235" s="16"/>
      <c r="C235" s="1"/>
      <c r="D235" s="1"/>
      <c r="E235" s="1"/>
      <c r="F235" s="1"/>
      <c r="G235" s="22"/>
      <c r="H235" s="1"/>
      <c r="I235" s="1"/>
      <c r="J235" s="1"/>
      <c r="K235" s="1"/>
      <c r="L235" s="1"/>
      <c r="M235" s="262"/>
      <c r="N235" s="1"/>
      <c r="O235" s="1"/>
      <c r="P235" s="1"/>
      <c r="Q235" s="1"/>
      <c r="R235" s="1"/>
      <c r="S235" s="1"/>
      <c r="T235" s="1"/>
      <c r="U235" s="1"/>
      <c r="V235" s="1"/>
      <c r="W235" s="1"/>
      <c r="X235" s="1"/>
      <c r="Y235" s="1"/>
      <c r="Z235" s="1"/>
      <c r="AA235" s="1"/>
      <c r="AB235" s="1"/>
    </row>
    <row r="236" spans="2:28" ht="11.25" customHeight="1" x14ac:dyDescent="0.25">
      <c r="B236" s="16"/>
      <c r="C236" s="1"/>
      <c r="D236" s="1"/>
      <c r="E236" s="1"/>
      <c r="F236" s="1"/>
      <c r="G236" s="22"/>
      <c r="H236" s="1"/>
      <c r="I236" s="1"/>
      <c r="J236" s="1"/>
      <c r="K236" s="1"/>
      <c r="L236" s="1"/>
      <c r="M236" s="262"/>
      <c r="N236" s="1"/>
      <c r="O236" s="1"/>
      <c r="P236" s="1"/>
      <c r="Q236" s="1"/>
      <c r="R236" s="1"/>
      <c r="S236" s="1"/>
      <c r="T236" s="1"/>
      <c r="U236" s="1"/>
      <c r="V236" s="1"/>
      <c r="W236" s="1"/>
      <c r="X236" s="1"/>
      <c r="Y236" s="1"/>
      <c r="Z236" s="1"/>
      <c r="AA236" s="1"/>
      <c r="AB236" s="1"/>
    </row>
    <row r="237" spans="2:28" ht="11.25" customHeight="1" x14ac:dyDescent="0.25">
      <c r="B237" s="16"/>
      <c r="C237" s="1"/>
      <c r="D237" s="1"/>
      <c r="E237" s="1"/>
      <c r="F237" s="1"/>
      <c r="G237" s="22"/>
      <c r="H237" s="1"/>
      <c r="I237" s="1"/>
      <c r="J237" s="1"/>
      <c r="K237" s="1"/>
      <c r="L237" s="1"/>
      <c r="M237" s="262"/>
      <c r="N237" s="1"/>
      <c r="O237" s="1"/>
      <c r="P237" s="1"/>
      <c r="Q237" s="1"/>
      <c r="R237" s="1"/>
      <c r="S237" s="1"/>
      <c r="T237" s="1"/>
      <c r="U237" s="1"/>
      <c r="V237" s="1"/>
      <c r="W237" s="1"/>
      <c r="X237" s="1"/>
      <c r="Y237" s="1"/>
      <c r="Z237" s="1"/>
      <c r="AA237" s="1"/>
      <c r="AB237" s="1"/>
    </row>
    <row r="238" spans="2:28" ht="11.25" customHeight="1" x14ac:dyDescent="0.25">
      <c r="B238" s="16"/>
      <c r="C238" s="1"/>
      <c r="D238" s="1"/>
      <c r="E238" s="1"/>
      <c r="F238" s="1"/>
      <c r="G238" s="22"/>
      <c r="H238" s="1"/>
      <c r="I238" s="1"/>
      <c r="J238" s="1"/>
      <c r="K238" s="1"/>
      <c r="L238" s="1"/>
      <c r="M238" s="262"/>
      <c r="N238" s="1"/>
      <c r="O238" s="1"/>
      <c r="P238" s="1"/>
      <c r="Q238" s="1"/>
      <c r="R238" s="1"/>
      <c r="S238" s="1"/>
      <c r="T238" s="1"/>
      <c r="U238" s="1"/>
      <c r="V238" s="1"/>
      <c r="W238" s="1"/>
      <c r="X238" s="1"/>
      <c r="Y238" s="1"/>
      <c r="Z238" s="1"/>
      <c r="AA238" s="1"/>
      <c r="AB238" s="1"/>
    </row>
    <row r="239" spans="2:28" ht="11.25" customHeight="1" x14ac:dyDescent="0.25">
      <c r="B239" s="16"/>
      <c r="C239" s="1"/>
      <c r="D239" s="1"/>
      <c r="E239" s="1"/>
      <c r="F239" s="1"/>
      <c r="G239" s="22"/>
      <c r="H239" s="1"/>
      <c r="I239" s="1"/>
      <c r="J239" s="1"/>
      <c r="K239" s="1"/>
      <c r="L239" s="1"/>
      <c r="M239" s="262"/>
      <c r="N239" s="1"/>
      <c r="O239" s="1"/>
      <c r="P239" s="1"/>
      <c r="Q239" s="1"/>
      <c r="R239" s="1"/>
      <c r="S239" s="1"/>
      <c r="T239" s="1"/>
      <c r="U239" s="1"/>
      <c r="V239" s="1"/>
      <c r="W239" s="1"/>
      <c r="X239" s="1"/>
      <c r="Y239" s="1"/>
      <c r="Z239" s="1"/>
      <c r="AA239" s="1"/>
      <c r="AB239" s="1"/>
    </row>
    <row r="240" spans="2:28" ht="11.25" customHeight="1" x14ac:dyDescent="0.25">
      <c r="B240" s="16"/>
      <c r="C240" s="1"/>
      <c r="D240" s="1"/>
      <c r="E240" s="1"/>
      <c r="F240" s="1"/>
      <c r="G240" s="22"/>
      <c r="H240" s="1"/>
      <c r="I240" s="1"/>
      <c r="J240" s="1"/>
      <c r="K240" s="1"/>
      <c r="L240" s="1"/>
      <c r="M240" s="262"/>
      <c r="N240" s="1"/>
      <c r="O240" s="1"/>
      <c r="P240" s="1"/>
      <c r="Q240" s="1"/>
      <c r="R240" s="1"/>
      <c r="S240" s="1"/>
      <c r="T240" s="1"/>
      <c r="U240" s="1"/>
      <c r="V240" s="1"/>
      <c r="W240" s="1"/>
      <c r="X240" s="1"/>
      <c r="Y240" s="1"/>
      <c r="Z240" s="1"/>
      <c r="AA240" s="1"/>
      <c r="AB240" s="1"/>
    </row>
    <row r="241" spans="2:28" ht="11.25" customHeight="1" x14ac:dyDescent="0.25">
      <c r="B241" s="16"/>
      <c r="C241" s="1"/>
      <c r="D241" s="1"/>
      <c r="E241" s="1"/>
      <c r="F241" s="1"/>
      <c r="G241" s="22"/>
      <c r="H241" s="1"/>
      <c r="I241" s="1"/>
      <c r="J241" s="1"/>
      <c r="K241" s="1"/>
      <c r="L241" s="1"/>
      <c r="M241" s="262"/>
      <c r="N241" s="1"/>
      <c r="O241" s="1"/>
      <c r="P241" s="1"/>
      <c r="Q241" s="1"/>
      <c r="R241" s="1"/>
      <c r="S241" s="1"/>
      <c r="T241" s="1"/>
      <c r="U241" s="1"/>
      <c r="V241" s="1"/>
      <c r="W241" s="1"/>
      <c r="X241" s="1"/>
      <c r="Y241" s="1"/>
      <c r="Z241" s="1"/>
      <c r="AA241" s="1"/>
      <c r="AB241" s="1"/>
    </row>
    <row r="242" spans="2:28" ht="11.25" customHeight="1" x14ac:dyDescent="0.25">
      <c r="B242" s="16"/>
      <c r="C242" s="1"/>
      <c r="D242" s="1"/>
      <c r="E242" s="1"/>
      <c r="F242" s="1"/>
      <c r="G242" s="22"/>
      <c r="H242" s="1"/>
      <c r="I242" s="1"/>
      <c r="J242" s="1"/>
      <c r="K242" s="1"/>
      <c r="L242" s="1"/>
      <c r="M242" s="262"/>
      <c r="N242" s="1"/>
      <c r="O242" s="1"/>
      <c r="P242" s="1"/>
      <c r="Q242" s="1"/>
      <c r="R242" s="1"/>
      <c r="S242" s="1"/>
      <c r="T242" s="1"/>
      <c r="U242" s="1"/>
      <c r="V242" s="1"/>
      <c r="W242" s="1"/>
      <c r="X242" s="1"/>
      <c r="Y242" s="1"/>
      <c r="Z242" s="1"/>
      <c r="AA242" s="1"/>
      <c r="AB242" s="1"/>
    </row>
    <row r="243" spans="2:28" ht="11.25" customHeight="1" x14ac:dyDescent="0.25">
      <c r="B243" s="16"/>
      <c r="C243" s="1"/>
      <c r="D243" s="1"/>
      <c r="E243" s="1"/>
      <c r="F243" s="1"/>
      <c r="G243" s="22"/>
      <c r="H243" s="1"/>
      <c r="I243" s="1"/>
      <c r="J243" s="1"/>
      <c r="K243" s="1"/>
      <c r="L243" s="1"/>
      <c r="M243" s="262"/>
      <c r="N243" s="1"/>
      <c r="O243" s="1"/>
      <c r="P243" s="1"/>
      <c r="Q243" s="1"/>
      <c r="R243" s="1"/>
      <c r="S243" s="1"/>
      <c r="T243" s="1"/>
      <c r="U243" s="1"/>
      <c r="V243" s="1"/>
      <c r="W243" s="1"/>
      <c r="X243" s="1"/>
      <c r="Y243" s="1"/>
      <c r="Z243" s="1"/>
      <c r="AA243" s="1"/>
      <c r="AB243" s="1"/>
    </row>
    <row r="244" spans="2:28" ht="11.25" customHeight="1" x14ac:dyDescent="0.25">
      <c r="B244" s="16"/>
      <c r="C244" s="1"/>
      <c r="D244" s="1"/>
      <c r="E244" s="1"/>
      <c r="F244" s="1"/>
      <c r="G244" s="22"/>
      <c r="H244" s="1"/>
      <c r="I244" s="1"/>
      <c r="J244" s="1"/>
      <c r="K244" s="1"/>
      <c r="L244" s="1"/>
      <c r="M244" s="262"/>
      <c r="N244" s="1"/>
      <c r="O244" s="1"/>
      <c r="P244" s="1"/>
      <c r="Q244" s="1"/>
      <c r="R244" s="1"/>
      <c r="S244" s="1"/>
      <c r="T244" s="1"/>
      <c r="U244" s="1"/>
      <c r="V244" s="1"/>
      <c r="W244" s="1"/>
      <c r="X244" s="1"/>
      <c r="Y244" s="1"/>
      <c r="Z244" s="1"/>
      <c r="AA244" s="1"/>
      <c r="AB244" s="1"/>
    </row>
    <row r="245" spans="2:28" ht="11.25" customHeight="1" x14ac:dyDescent="0.25">
      <c r="B245" s="16"/>
      <c r="C245" s="1"/>
      <c r="D245" s="1"/>
      <c r="E245" s="1"/>
      <c r="F245" s="1"/>
      <c r="G245" s="22"/>
      <c r="H245" s="1"/>
      <c r="I245" s="1"/>
      <c r="J245" s="1"/>
      <c r="K245" s="1"/>
      <c r="L245" s="1"/>
      <c r="M245" s="262"/>
      <c r="N245" s="1"/>
      <c r="O245" s="1"/>
      <c r="P245" s="1"/>
      <c r="Q245" s="1"/>
      <c r="R245" s="1"/>
      <c r="S245" s="1"/>
      <c r="T245" s="1"/>
      <c r="U245" s="1"/>
      <c r="V245" s="1"/>
      <c r="W245" s="1"/>
      <c r="X245" s="1"/>
      <c r="Y245" s="1"/>
      <c r="Z245" s="1"/>
      <c r="AA245" s="1"/>
      <c r="AB245" s="1"/>
    </row>
    <row r="246" spans="2:28" ht="11.25" customHeight="1" x14ac:dyDescent="0.25">
      <c r="B246" s="16"/>
      <c r="C246" s="1"/>
      <c r="D246" s="1"/>
      <c r="E246" s="1"/>
      <c r="F246" s="1"/>
      <c r="G246" s="22"/>
      <c r="H246" s="1"/>
      <c r="I246" s="1"/>
      <c r="J246" s="1"/>
      <c r="K246" s="1"/>
      <c r="L246" s="1"/>
      <c r="M246" s="262"/>
      <c r="N246" s="1"/>
      <c r="O246" s="1"/>
      <c r="P246" s="1"/>
      <c r="Q246" s="1"/>
      <c r="R246" s="1"/>
      <c r="S246" s="1"/>
      <c r="T246" s="1"/>
      <c r="U246" s="1"/>
      <c r="V246" s="1"/>
      <c r="W246" s="1"/>
      <c r="X246" s="1"/>
      <c r="Y246" s="1"/>
      <c r="Z246" s="1"/>
      <c r="AA246" s="1"/>
      <c r="AB246" s="1"/>
    </row>
    <row r="247" spans="2:28" ht="11.25" customHeight="1" x14ac:dyDescent="0.25">
      <c r="B247" s="16"/>
      <c r="C247" s="1"/>
      <c r="D247" s="1"/>
      <c r="E247" s="1"/>
      <c r="F247" s="1"/>
      <c r="G247" s="22"/>
      <c r="H247" s="1"/>
      <c r="I247" s="1"/>
      <c r="J247" s="1"/>
      <c r="K247" s="1"/>
      <c r="L247" s="1"/>
      <c r="M247" s="262"/>
      <c r="N247" s="1"/>
      <c r="O247" s="1"/>
      <c r="P247" s="1"/>
      <c r="Q247" s="1"/>
      <c r="R247" s="1"/>
      <c r="S247" s="1"/>
      <c r="T247" s="1"/>
      <c r="U247" s="1"/>
      <c r="V247" s="1"/>
      <c r="W247" s="1"/>
      <c r="X247" s="1"/>
      <c r="Y247" s="1"/>
      <c r="Z247" s="1"/>
      <c r="AA247" s="1"/>
      <c r="AB247" s="1"/>
    </row>
    <row r="248" spans="2:28" ht="11.25" customHeight="1" x14ac:dyDescent="0.25">
      <c r="B248" s="16"/>
      <c r="C248" s="1"/>
      <c r="D248" s="1"/>
      <c r="E248" s="1"/>
      <c r="F248" s="1"/>
      <c r="G248" s="22"/>
      <c r="H248" s="1"/>
      <c r="I248" s="1"/>
      <c r="J248" s="1"/>
      <c r="K248" s="1"/>
      <c r="L248" s="1"/>
      <c r="M248" s="262"/>
      <c r="N248" s="1"/>
      <c r="O248" s="1"/>
      <c r="P248" s="1"/>
      <c r="Q248" s="1"/>
      <c r="R248" s="1"/>
      <c r="S248" s="1"/>
      <c r="T248" s="1"/>
      <c r="U248" s="1"/>
      <c r="V248" s="1"/>
      <c r="W248" s="1"/>
      <c r="X248" s="1"/>
      <c r="Y248" s="1"/>
      <c r="Z248" s="1"/>
      <c r="AA248" s="1"/>
      <c r="AB248" s="1"/>
    </row>
    <row r="249" spans="2:28" ht="11.25" customHeight="1" x14ac:dyDescent="0.25">
      <c r="B249" s="16"/>
      <c r="C249" s="1"/>
      <c r="D249" s="1"/>
      <c r="E249" s="1"/>
      <c r="F249" s="1"/>
      <c r="G249" s="22"/>
      <c r="H249" s="1"/>
      <c r="I249" s="1"/>
      <c r="J249" s="1"/>
      <c r="K249" s="1"/>
      <c r="L249" s="1"/>
      <c r="M249" s="262"/>
      <c r="N249" s="1"/>
      <c r="O249" s="1"/>
      <c r="P249" s="1"/>
      <c r="Q249" s="1"/>
      <c r="R249" s="1"/>
      <c r="S249" s="1"/>
      <c r="T249" s="1"/>
      <c r="U249" s="1"/>
      <c r="V249" s="1"/>
      <c r="W249" s="1"/>
      <c r="X249" s="1"/>
      <c r="Y249" s="1"/>
      <c r="Z249" s="1"/>
      <c r="AA249" s="1"/>
      <c r="AB249" s="1"/>
    </row>
    <row r="250" spans="2:28" ht="11.25" customHeight="1" x14ac:dyDescent="0.25">
      <c r="B250" s="16"/>
      <c r="C250" s="1"/>
      <c r="D250" s="1"/>
      <c r="E250" s="1"/>
      <c r="F250" s="1"/>
      <c r="G250" s="22"/>
      <c r="H250" s="1"/>
      <c r="I250" s="1"/>
      <c r="J250" s="1"/>
      <c r="K250" s="1"/>
      <c r="L250" s="1"/>
      <c r="M250" s="262"/>
      <c r="N250" s="1"/>
      <c r="O250" s="1"/>
      <c r="P250" s="1"/>
      <c r="Q250" s="1"/>
      <c r="R250" s="1"/>
      <c r="S250" s="1"/>
      <c r="T250" s="1"/>
      <c r="U250" s="1"/>
      <c r="V250" s="1"/>
      <c r="W250" s="1"/>
      <c r="X250" s="1"/>
      <c r="Y250" s="1"/>
      <c r="Z250" s="1"/>
      <c r="AA250" s="1"/>
      <c r="AB250" s="1"/>
    </row>
    <row r="251" spans="2:28" ht="11.25" customHeight="1" x14ac:dyDescent="0.25">
      <c r="B251" s="16"/>
      <c r="C251" s="1"/>
      <c r="D251" s="1"/>
      <c r="E251" s="1"/>
      <c r="F251" s="1"/>
      <c r="G251" s="22"/>
      <c r="H251" s="1"/>
      <c r="I251" s="1"/>
      <c r="J251" s="1"/>
      <c r="K251" s="1"/>
      <c r="L251" s="1"/>
      <c r="M251" s="262"/>
      <c r="N251" s="1"/>
      <c r="O251" s="1"/>
      <c r="P251" s="1"/>
      <c r="Q251" s="1"/>
      <c r="R251" s="1"/>
      <c r="S251" s="1"/>
      <c r="T251" s="1"/>
      <c r="U251" s="1"/>
      <c r="V251" s="1"/>
      <c r="W251" s="1"/>
      <c r="X251" s="1"/>
      <c r="Y251" s="1"/>
      <c r="Z251" s="1"/>
      <c r="AA251" s="1"/>
      <c r="AB251" s="1"/>
    </row>
    <row r="252" spans="2:28" ht="11.25" customHeight="1" x14ac:dyDescent="0.25">
      <c r="B252" s="16"/>
      <c r="C252" s="1"/>
      <c r="D252" s="1"/>
      <c r="E252" s="1"/>
      <c r="F252" s="1"/>
      <c r="G252" s="22"/>
      <c r="H252" s="1"/>
      <c r="I252" s="1"/>
      <c r="J252" s="1"/>
      <c r="K252" s="1"/>
      <c r="L252" s="1"/>
      <c r="M252" s="262"/>
      <c r="N252" s="1"/>
      <c r="O252" s="1"/>
      <c r="P252" s="1"/>
      <c r="Q252" s="1"/>
      <c r="R252" s="1"/>
      <c r="S252" s="1"/>
      <c r="T252" s="1"/>
      <c r="U252" s="1"/>
      <c r="V252" s="1"/>
      <c r="W252" s="1"/>
      <c r="X252" s="1"/>
      <c r="Y252" s="1"/>
      <c r="Z252" s="1"/>
      <c r="AA252" s="1"/>
      <c r="AB252" s="1"/>
    </row>
    <row r="253" spans="2:28" ht="11.25" customHeight="1" x14ac:dyDescent="0.25">
      <c r="B253" s="16"/>
      <c r="C253" s="1"/>
      <c r="D253" s="1"/>
      <c r="E253" s="1"/>
      <c r="F253" s="1"/>
      <c r="G253" s="22"/>
      <c r="H253" s="1"/>
      <c r="I253" s="1"/>
      <c r="J253" s="1"/>
      <c r="K253" s="1"/>
      <c r="L253" s="1"/>
      <c r="M253" s="262"/>
      <c r="N253" s="1"/>
      <c r="O253" s="1"/>
      <c r="P253" s="1"/>
      <c r="Q253" s="1"/>
      <c r="R253" s="1"/>
      <c r="S253" s="1"/>
      <c r="T253" s="1"/>
      <c r="U253" s="1"/>
      <c r="V253" s="1"/>
      <c r="W253" s="1"/>
      <c r="X253" s="1"/>
      <c r="Y253" s="1"/>
      <c r="Z253" s="1"/>
      <c r="AA253" s="1"/>
      <c r="AB253" s="1"/>
    </row>
    <row r="254" spans="2:28" ht="11.25" customHeight="1" x14ac:dyDescent="0.25">
      <c r="B254" s="16"/>
      <c r="C254" s="1"/>
      <c r="D254" s="1"/>
      <c r="E254" s="1"/>
      <c r="F254" s="1"/>
      <c r="G254" s="22"/>
      <c r="H254" s="1"/>
      <c r="I254" s="1"/>
      <c r="J254" s="1"/>
      <c r="K254" s="1"/>
      <c r="L254" s="1"/>
      <c r="M254" s="262"/>
      <c r="N254" s="1"/>
      <c r="O254" s="1"/>
      <c r="P254" s="1"/>
      <c r="Q254" s="1"/>
      <c r="R254" s="1"/>
      <c r="S254" s="1"/>
      <c r="T254" s="1"/>
      <c r="U254" s="1"/>
      <c r="V254" s="1"/>
      <c r="W254" s="1"/>
      <c r="X254" s="1"/>
      <c r="Y254" s="1"/>
      <c r="Z254" s="1"/>
      <c r="AA254" s="1"/>
      <c r="AB254" s="1"/>
    </row>
    <row r="255" spans="2:28" ht="11.25" customHeight="1" x14ac:dyDescent="0.25">
      <c r="B255" s="16"/>
      <c r="C255" s="1"/>
      <c r="D255" s="1"/>
      <c r="E255" s="1"/>
      <c r="F255" s="1"/>
      <c r="G255" s="22"/>
      <c r="H255" s="1"/>
      <c r="I255" s="1"/>
      <c r="J255" s="1"/>
      <c r="K255" s="1"/>
      <c r="L255" s="1"/>
      <c r="M255" s="262"/>
      <c r="N255" s="1"/>
      <c r="O255" s="1"/>
      <c r="P255" s="1"/>
      <c r="Q255" s="1"/>
      <c r="R255" s="1"/>
      <c r="S255" s="1"/>
      <c r="T255" s="1"/>
      <c r="U255" s="1"/>
      <c r="V255" s="1"/>
      <c r="W255" s="1"/>
      <c r="X255" s="1"/>
      <c r="Y255" s="1"/>
      <c r="Z255" s="1"/>
      <c r="AA255" s="1"/>
      <c r="AB255" s="1"/>
    </row>
    <row r="256" spans="2:28" ht="11.25" customHeight="1" x14ac:dyDescent="0.25">
      <c r="B256" s="16"/>
      <c r="C256" s="1"/>
      <c r="D256" s="1"/>
      <c r="E256" s="1"/>
      <c r="F256" s="1"/>
      <c r="G256" s="22"/>
      <c r="H256" s="1"/>
      <c r="I256" s="1"/>
      <c r="J256" s="1"/>
      <c r="K256" s="1"/>
      <c r="L256" s="1"/>
      <c r="M256" s="262"/>
      <c r="N256" s="1"/>
      <c r="O256" s="1"/>
      <c r="P256" s="1"/>
      <c r="Q256" s="1"/>
      <c r="R256" s="1"/>
      <c r="S256" s="1"/>
      <c r="T256" s="1"/>
      <c r="U256" s="1"/>
      <c r="V256" s="1"/>
      <c r="W256" s="1"/>
      <c r="X256" s="1"/>
      <c r="Y256" s="1"/>
      <c r="Z256" s="1"/>
      <c r="AA256" s="1"/>
      <c r="AB256" s="1"/>
    </row>
    <row r="257" spans="2:28" ht="11.25" customHeight="1" x14ac:dyDescent="0.25">
      <c r="B257" s="16"/>
      <c r="C257" s="1"/>
      <c r="D257" s="1"/>
      <c r="E257" s="1"/>
      <c r="F257" s="1"/>
      <c r="G257" s="22"/>
      <c r="H257" s="1"/>
      <c r="I257" s="1"/>
      <c r="J257" s="1"/>
      <c r="K257" s="1"/>
      <c r="L257" s="1"/>
      <c r="M257" s="262"/>
      <c r="N257" s="1"/>
      <c r="O257" s="1"/>
      <c r="P257" s="1"/>
      <c r="Q257" s="1"/>
      <c r="R257" s="1"/>
      <c r="S257" s="1"/>
      <c r="T257" s="1"/>
      <c r="U257" s="1"/>
      <c r="V257" s="1"/>
      <c r="W257" s="1"/>
      <c r="X257" s="1"/>
      <c r="Y257" s="1"/>
      <c r="Z257" s="1"/>
      <c r="AA257" s="1"/>
      <c r="AB257" s="1"/>
    </row>
    <row r="258" spans="2:28" ht="11.25" customHeight="1" x14ac:dyDescent="0.25">
      <c r="B258" s="16"/>
      <c r="C258" s="1"/>
      <c r="D258" s="1"/>
      <c r="E258" s="1"/>
      <c r="F258" s="1"/>
      <c r="G258" s="22"/>
      <c r="H258" s="1"/>
      <c r="I258" s="1"/>
      <c r="J258" s="1"/>
      <c r="K258" s="1"/>
      <c r="L258" s="1"/>
      <c r="M258" s="262"/>
      <c r="N258" s="1"/>
      <c r="O258" s="1"/>
      <c r="P258" s="1"/>
      <c r="Q258" s="1"/>
      <c r="R258" s="1"/>
      <c r="S258" s="1"/>
      <c r="T258" s="1"/>
      <c r="U258" s="1"/>
      <c r="V258" s="1"/>
      <c r="W258" s="1"/>
      <c r="X258" s="1"/>
      <c r="Y258" s="1"/>
      <c r="Z258" s="1"/>
      <c r="AA258" s="1"/>
      <c r="AB258" s="1"/>
    </row>
    <row r="259" spans="2:28" ht="11.25" customHeight="1" x14ac:dyDescent="0.25">
      <c r="B259" s="16"/>
      <c r="C259" s="1"/>
      <c r="D259" s="1"/>
      <c r="E259" s="1"/>
      <c r="F259" s="1"/>
      <c r="G259" s="22"/>
      <c r="H259" s="1"/>
      <c r="I259" s="1"/>
      <c r="J259" s="1"/>
      <c r="K259" s="1"/>
      <c r="L259" s="1"/>
      <c r="M259" s="262"/>
      <c r="N259" s="1"/>
      <c r="O259" s="1"/>
      <c r="P259" s="1"/>
      <c r="Q259" s="1"/>
      <c r="R259" s="1"/>
      <c r="S259" s="1"/>
      <c r="T259" s="1"/>
      <c r="U259" s="1"/>
      <c r="V259" s="1"/>
      <c r="W259" s="1"/>
      <c r="X259" s="1"/>
      <c r="Y259" s="1"/>
      <c r="Z259" s="1"/>
      <c r="AA259" s="1"/>
      <c r="AB259" s="1"/>
    </row>
    <row r="260" spans="2:28" ht="11.25" customHeight="1" x14ac:dyDescent="0.25">
      <c r="B260" s="16"/>
      <c r="C260" s="1"/>
      <c r="D260" s="1"/>
      <c r="E260" s="1"/>
      <c r="F260" s="1"/>
      <c r="G260" s="22"/>
      <c r="H260" s="1"/>
      <c r="I260" s="1"/>
      <c r="J260" s="1"/>
      <c r="K260" s="1"/>
      <c r="L260" s="1"/>
      <c r="M260" s="262"/>
      <c r="N260" s="1"/>
      <c r="O260" s="1"/>
      <c r="P260" s="1"/>
      <c r="Q260" s="1"/>
      <c r="R260" s="1"/>
      <c r="S260" s="1"/>
      <c r="T260" s="1"/>
      <c r="U260" s="1"/>
      <c r="V260" s="1"/>
      <c r="W260" s="1"/>
      <c r="X260" s="1"/>
      <c r="Y260" s="1"/>
      <c r="Z260" s="1"/>
      <c r="AA260" s="1"/>
      <c r="AB260" s="1"/>
    </row>
    <row r="261" spans="2:28" ht="11.25" customHeight="1" x14ac:dyDescent="0.25">
      <c r="B261" s="16"/>
      <c r="C261" s="1"/>
      <c r="D261" s="1"/>
      <c r="E261" s="1"/>
      <c r="F261" s="1"/>
      <c r="G261" s="22"/>
      <c r="H261" s="1"/>
      <c r="I261" s="1"/>
      <c r="J261" s="1"/>
      <c r="K261" s="1"/>
      <c r="L261" s="1"/>
      <c r="M261" s="262"/>
      <c r="N261" s="1"/>
      <c r="O261" s="1"/>
      <c r="P261" s="1"/>
      <c r="Q261" s="1"/>
      <c r="R261" s="1"/>
      <c r="S261" s="1"/>
      <c r="T261" s="1"/>
      <c r="U261" s="1"/>
      <c r="V261" s="1"/>
      <c r="W261" s="1"/>
      <c r="X261" s="1"/>
      <c r="Y261" s="1"/>
      <c r="Z261" s="1"/>
      <c r="AA261" s="1"/>
      <c r="AB261" s="1"/>
    </row>
    <row r="262" spans="2:28" ht="11.25" customHeight="1" x14ac:dyDescent="0.25">
      <c r="B262" s="16"/>
      <c r="C262" s="1"/>
      <c r="D262" s="1"/>
      <c r="E262" s="1"/>
      <c r="F262" s="1"/>
      <c r="G262" s="22"/>
      <c r="H262" s="1"/>
      <c r="I262" s="1"/>
      <c r="J262" s="1"/>
      <c r="K262" s="1"/>
      <c r="L262" s="1"/>
      <c r="M262" s="262"/>
      <c r="N262" s="1"/>
      <c r="O262" s="1"/>
      <c r="P262" s="1"/>
      <c r="Q262" s="1"/>
      <c r="R262" s="1"/>
      <c r="S262" s="1"/>
      <c r="T262" s="1"/>
      <c r="U262" s="1"/>
      <c r="V262" s="1"/>
      <c r="W262" s="1"/>
      <c r="X262" s="1"/>
      <c r="Y262" s="1"/>
      <c r="Z262" s="1"/>
      <c r="AA262" s="1"/>
      <c r="AB262" s="1"/>
    </row>
    <row r="263" spans="2:28" ht="11.25" customHeight="1" x14ac:dyDescent="0.25">
      <c r="B263" s="16"/>
      <c r="C263" s="1"/>
      <c r="D263" s="1"/>
      <c r="E263" s="1"/>
      <c r="F263" s="1"/>
      <c r="G263" s="22"/>
      <c r="H263" s="1"/>
      <c r="I263" s="1"/>
      <c r="J263" s="1"/>
      <c r="K263" s="1"/>
      <c r="L263" s="1"/>
      <c r="M263" s="262"/>
      <c r="N263" s="1"/>
      <c r="O263" s="1"/>
      <c r="P263" s="1"/>
      <c r="Q263" s="1"/>
      <c r="R263" s="1"/>
      <c r="S263" s="1"/>
      <c r="T263" s="1"/>
      <c r="U263" s="1"/>
      <c r="V263" s="1"/>
      <c r="W263" s="1"/>
      <c r="X263" s="1"/>
      <c r="Y263" s="1"/>
      <c r="Z263" s="1"/>
      <c r="AA263" s="1"/>
      <c r="AB263" s="1"/>
    </row>
    <row r="264" spans="2:28" ht="11.25" customHeight="1" x14ac:dyDescent="0.25">
      <c r="B264" s="16"/>
      <c r="C264" s="1"/>
      <c r="D264" s="1"/>
      <c r="E264" s="1"/>
      <c r="F264" s="1"/>
      <c r="G264" s="22"/>
      <c r="H264" s="1"/>
      <c r="I264" s="1"/>
      <c r="J264" s="1"/>
      <c r="K264" s="1"/>
      <c r="L264" s="1"/>
      <c r="M264" s="262"/>
      <c r="N264" s="1"/>
      <c r="O264" s="1"/>
      <c r="P264" s="1"/>
      <c r="Q264" s="1"/>
      <c r="R264" s="1"/>
      <c r="S264" s="1"/>
      <c r="T264" s="1"/>
      <c r="U264" s="1"/>
      <c r="V264" s="1"/>
      <c r="W264" s="1"/>
      <c r="X264" s="1"/>
      <c r="Y264" s="1"/>
      <c r="Z264" s="1"/>
      <c r="AA264" s="1"/>
      <c r="AB264" s="1"/>
    </row>
    <row r="265" spans="2:28" ht="11.25" customHeight="1" x14ac:dyDescent="0.25">
      <c r="B265" s="16"/>
      <c r="C265" s="1"/>
      <c r="D265" s="1"/>
      <c r="E265" s="1"/>
      <c r="F265" s="1"/>
      <c r="G265" s="22"/>
      <c r="H265" s="1"/>
      <c r="I265" s="1"/>
      <c r="J265" s="1"/>
      <c r="K265" s="1"/>
      <c r="L265" s="1"/>
      <c r="M265" s="262"/>
      <c r="N265" s="1"/>
      <c r="O265" s="1"/>
      <c r="P265" s="1"/>
      <c r="Q265" s="1"/>
      <c r="R265" s="1"/>
      <c r="S265" s="1"/>
      <c r="T265" s="1"/>
      <c r="U265" s="1"/>
      <c r="V265" s="1"/>
      <c r="W265" s="1"/>
      <c r="X265" s="1"/>
      <c r="Y265" s="1"/>
      <c r="Z265" s="1"/>
      <c r="AA265" s="1"/>
      <c r="AB265" s="1"/>
    </row>
    <row r="266" spans="2:28" ht="11.25" customHeight="1" x14ac:dyDescent="0.25">
      <c r="B266" s="16"/>
      <c r="C266" s="1"/>
      <c r="D266" s="1"/>
      <c r="E266" s="1"/>
      <c r="F266" s="1"/>
      <c r="G266" s="22"/>
      <c r="H266" s="1"/>
      <c r="I266" s="1"/>
      <c r="J266" s="1"/>
      <c r="K266" s="1"/>
      <c r="L266" s="1"/>
      <c r="M266" s="262"/>
      <c r="N266" s="1"/>
      <c r="O266" s="1"/>
      <c r="P266" s="1"/>
      <c r="Q266" s="1"/>
      <c r="R266" s="1"/>
      <c r="S266" s="1"/>
      <c r="T266" s="1"/>
      <c r="U266" s="1"/>
      <c r="V266" s="1"/>
      <c r="W266" s="1"/>
      <c r="X266" s="1"/>
      <c r="Y266" s="1"/>
      <c r="Z266" s="1"/>
      <c r="AA266" s="1"/>
      <c r="AB266" s="1"/>
    </row>
    <row r="267" spans="2:28" ht="11.25" customHeight="1" x14ac:dyDescent="0.25">
      <c r="B267" s="16"/>
      <c r="C267" s="1"/>
      <c r="D267" s="1"/>
      <c r="E267" s="1"/>
      <c r="F267" s="1"/>
      <c r="G267" s="22"/>
      <c r="H267" s="1"/>
      <c r="I267" s="1"/>
      <c r="J267" s="1"/>
      <c r="K267" s="1"/>
      <c r="L267" s="1"/>
      <c r="M267" s="262"/>
      <c r="N267" s="1"/>
      <c r="O267" s="1"/>
      <c r="P267" s="1"/>
      <c r="Q267" s="1"/>
      <c r="R267" s="1"/>
      <c r="S267" s="1"/>
      <c r="T267" s="1"/>
      <c r="U267" s="1"/>
      <c r="V267" s="1"/>
      <c r="W267" s="1"/>
      <c r="X267" s="1"/>
      <c r="Y267" s="1"/>
      <c r="Z267" s="1"/>
      <c r="AA267" s="1"/>
      <c r="AB267" s="1"/>
    </row>
    <row r="268" spans="2:28" ht="11.25" customHeight="1" x14ac:dyDescent="0.25">
      <c r="B268" s="16"/>
      <c r="C268" s="1"/>
      <c r="D268" s="1"/>
      <c r="E268" s="1"/>
      <c r="F268" s="1"/>
      <c r="G268" s="22"/>
      <c r="H268" s="1"/>
      <c r="I268" s="1"/>
      <c r="J268" s="1"/>
      <c r="K268" s="1"/>
      <c r="L268" s="1"/>
      <c r="M268" s="262"/>
      <c r="N268" s="1"/>
      <c r="O268" s="1"/>
      <c r="P268" s="1"/>
      <c r="Q268" s="1"/>
      <c r="R268" s="1"/>
      <c r="S268" s="1"/>
      <c r="T268" s="1"/>
      <c r="U268" s="1"/>
      <c r="V268" s="1"/>
      <c r="W268" s="1"/>
      <c r="X268" s="1"/>
      <c r="Y268" s="1"/>
      <c r="Z268" s="1"/>
      <c r="AA268" s="1"/>
      <c r="AB268" s="1"/>
    </row>
    <row r="269" spans="2:28" ht="11.25" customHeight="1" x14ac:dyDescent="0.25">
      <c r="B269" s="16"/>
      <c r="C269" s="1"/>
      <c r="D269" s="1"/>
      <c r="E269" s="1"/>
      <c r="F269" s="1"/>
      <c r="G269" s="22"/>
      <c r="H269" s="1"/>
      <c r="I269" s="1"/>
      <c r="J269" s="1"/>
      <c r="K269" s="1"/>
      <c r="L269" s="1"/>
      <c r="M269" s="262"/>
      <c r="N269" s="1"/>
      <c r="O269" s="1"/>
      <c r="P269" s="1"/>
      <c r="Q269" s="1"/>
      <c r="R269" s="1"/>
      <c r="S269" s="1"/>
      <c r="T269" s="1"/>
      <c r="U269" s="1"/>
      <c r="V269" s="1"/>
      <c r="W269" s="1"/>
      <c r="X269" s="1"/>
      <c r="Y269" s="1"/>
      <c r="Z269" s="1"/>
      <c r="AA269" s="1"/>
      <c r="AB269" s="1"/>
    </row>
    <row r="270" spans="2:28" ht="11.25" customHeight="1" x14ac:dyDescent="0.25">
      <c r="B270" s="16"/>
      <c r="C270" s="1"/>
      <c r="D270" s="1"/>
      <c r="E270" s="1"/>
      <c r="F270" s="1"/>
      <c r="G270" s="22"/>
      <c r="H270" s="1"/>
      <c r="I270" s="1"/>
      <c r="J270" s="1"/>
      <c r="K270" s="1"/>
      <c r="L270" s="1"/>
      <c r="M270" s="262"/>
      <c r="N270" s="1"/>
      <c r="O270" s="1"/>
      <c r="P270" s="1"/>
      <c r="Q270" s="1"/>
      <c r="R270" s="1"/>
      <c r="S270" s="1"/>
      <c r="T270" s="1"/>
      <c r="U270" s="1"/>
      <c r="V270" s="1"/>
      <c r="W270" s="1"/>
      <c r="X270" s="1"/>
      <c r="Y270" s="1"/>
      <c r="Z270" s="1"/>
      <c r="AA270" s="1"/>
      <c r="AB270" s="1"/>
    </row>
    <row r="271" spans="2:28" ht="11.25" customHeight="1" x14ac:dyDescent="0.25">
      <c r="B271" s="16"/>
      <c r="C271" s="1"/>
      <c r="D271" s="1"/>
      <c r="E271" s="1"/>
      <c r="F271" s="1"/>
      <c r="G271" s="22"/>
      <c r="H271" s="1"/>
      <c r="I271" s="1"/>
      <c r="J271" s="1"/>
      <c r="K271" s="1"/>
      <c r="L271" s="1"/>
      <c r="M271" s="262"/>
      <c r="N271" s="1"/>
      <c r="O271" s="1"/>
      <c r="P271" s="1"/>
      <c r="Q271" s="1"/>
      <c r="R271" s="1"/>
      <c r="S271" s="1"/>
      <c r="T271" s="1"/>
      <c r="U271" s="1"/>
      <c r="V271" s="1"/>
      <c r="W271" s="1"/>
      <c r="X271" s="1"/>
      <c r="Y271" s="1"/>
      <c r="Z271" s="1"/>
      <c r="AA271" s="1"/>
      <c r="AB271" s="1"/>
    </row>
    <row r="272" spans="2:28" ht="11.25" customHeight="1" x14ac:dyDescent="0.25">
      <c r="B272" s="16"/>
      <c r="C272" s="1"/>
      <c r="D272" s="1"/>
      <c r="E272" s="1"/>
      <c r="F272" s="1"/>
      <c r="G272" s="22"/>
      <c r="H272" s="1"/>
      <c r="I272" s="1"/>
      <c r="J272" s="1"/>
      <c r="K272" s="1"/>
      <c r="L272" s="1"/>
      <c r="M272" s="262"/>
      <c r="N272" s="1"/>
      <c r="O272" s="1"/>
      <c r="P272" s="1"/>
      <c r="Q272" s="1"/>
      <c r="R272" s="1"/>
      <c r="S272" s="1"/>
      <c r="T272" s="1"/>
      <c r="U272" s="1"/>
      <c r="V272" s="1"/>
      <c r="W272" s="1"/>
      <c r="X272" s="1"/>
      <c r="Y272" s="1"/>
      <c r="Z272" s="1"/>
      <c r="AA272" s="1"/>
      <c r="AB272" s="1"/>
    </row>
    <row r="273" spans="2:28" ht="11.25" customHeight="1" x14ac:dyDescent="0.25">
      <c r="B273" s="16"/>
      <c r="C273" s="1"/>
      <c r="D273" s="1"/>
      <c r="E273" s="1"/>
      <c r="F273" s="1"/>
      <c r="G273" s="22"/>
      <c r="H273" s="1"/>
      <c r="I273" s="1"/>
      <c r="J273" s="1"/>
      <c r="K273" s="1"/>
      <c r="L273" s="1"/>
      <c r="M273" s="262"/>
      <c r="N273" s="1"/>
      <c r="O273" s="1"/>
      <c r="P273" s="1"/>
      <c r="Q273" s="1"/>
      <c r="R273" s="1"/>
      <c r="S273" s="1"/>
      <c r="T273" s="1"/>
      <c r="U273" s="1"/>
      <c r="V273" s="1"/>
      <c r="W273" s="1"/>
      <c r="X273" s="1"/>
      <c r="Y273" s="1"/>
      <c r="Z273" s="1"/>
      <c r="AA273" s="1"/>
      <c r="AB273" s="1"/>
    </row>
    <row r="274" spans="2:28" ht="11.25" customHeight="1" x14ac:dyDescent="0.25">
      <c r="B274" s="16"/>
      <c r="C274" s="1"/>
      <c r="D274" s="1"/>
      <c r="E274" s="1"/>
      <c r="F274" s="1"/>
      <c r="G274" s="22"/>
      <c r="H274" s="1"/>
      <c r="I274" s="1"/>
      <c r="J274" s="1"/>
      <c r="K274" s="1"/>
      <c r="L274" s="1"/>
      <c r="M274" s="262"/>
      <c r="N274" s="1"/>
      <c r="O274" s="1"/>
      <c r="P274" s="1"/>
      <c r="Q274" s="1"/>
      <c r="R274" s="1"/>
      <c r="S274" s="1"/>
      <c r="T274" s="1"/>
      <c r="U274" s="1"/>
      <c r="V274" s="1"/>
      <c r="W274" s="1"/>
      <c r="X274" s="1"/>
      <c r="Y274" s="1"/>
      <c r="Z274" s="1"/>
      <c r="AA274" s="1"/>
      <c r="AB274" s="1"/>
    </row>
    <row r="275" spans="2:28" ht="11.25" customHeight="1" x14ac:dyDescent="0.25">
      <c r="B275" s="16"/>
      <c r="C275" s="1"/>
      <c r="D275" s="1"/>
      <c r="E275" s="1"/>
      <c r="F275" s="1"/>
      <c r="G275" s="22"/>
      <c r="H275" s="1"/>
      <c r="I275" s="1"/>
      <c r="J275" s="1"/>
      <c r="K275" s="1"/>
      <c r="L275" s="1"/>
      <c r="M275" s="262"/>
      <c r="N275" s="1"/>
      <c r="O275" s="1"/>
      <c r="P275" s="1"/>
      <c r="Q275" s="1"/>
      <c r="R275" s="1"/>
      <c r="S275" s="1"/>
      <c r="T275" s="1"/>
      <c r="U275" s="1"/>
      <c r="V275" s="1"/>
      <c r="W275" s="1"/>
      <c r="X275" s="1"/>
      <c r="Y275" s="1"/>
      <c r="Z275" s="1"/>
      <c r="AA275" s="1"/>
      <c r="AB275" s="1"/>
    </row>
    <row r="276" spans="2:28" ht="11.25" customHeight="1" x14ac:dyDescent="0.25">
      <c r="B276" s="16"/>
      <c r="C276" s="1"/>
      <c r="D276" s="1"/>
      <c r="E276" s="1"/>
      <c r="F276" s="1"/>
      <c r="G276" s="22"/>
      <c r="H276" s="1"/>
      <c r="I276" s="1"/>
      <c r="J276" s="1"/>
      <c r="K276" s="1"/>
      <c r="L276" s="1"/>
      <c r="M276" s="262"/>
      <c r="N276" s="1"/>
      <c r="O276" s="1"/>
      <c r="P276" s="1"/>
      <c r="Q276" s="1"/>
      <c r="R276" s="1"/>
      <c r="S276" s="1"/>
      <c r="T276" s="1"/>
      <c r="U276" s="1"/>
      <c r="V276" s="1"/>
      <c r="W276" s="1"/>
      <c r="X276" s="1"/>
      <c r="Y276" s="1"/>
      <c r="Z276" s="1"/>
      <c r="AA276" s="1"/>
      <c r="AB276" s="1"/>
    </row>
    <row r="277" spans="2:28" ht="11.25" customHeight="1" x14ac:dyDescent="0.25">
      <c r="B277" s="16"/>
      <c r="C277" s="1"/>
      <c r="D277" s="1"/>
      <c r="E277" s="1"/>
      <c r="F277" s="1"/>
      <c r="G277" s="22"/>
      <c r="H277" s="1"/>
      <c r="I277" s="1"/>
      <c r="J277" s="1"/>
      <c r="K277" s="1"/>
      <c r="L277" s="1"/>
      <c r="M277" s="262"/>
      <c r="N277" s="1"/>
      <c r="O277" s="1"/>
      <c r="P277" s="1"/>
      <c r="Q277" s="1"/>
      <c r="R277" s="1"/>
      <c r="S277" s="1"/>
      <c r="T277" s="1"/>
      <c r="U277" s="1"/>
      <c r="V277" s="1"/>
      <c r="W277" s="1"/>
      <c r="X277" s="1"/>
      <c r="Y277" s="1"/>
      <c r="Z277" s="1"/>
      <c r="AA277" s="1"/>
      <c r="AB277" s="1"/>
    </row>
    <row r="278" spans="2:28" ht="11.25" customHeight="1" x14ac:dyDescent="0.25">
      <c r="B278" s="16"/>
      <c r="C278" s="1"/>
      <c r="D278" s="1"/>
      <c r="E278" s="1"/>
      <c r="F278" s="1"/>
      <c r="G278" s="22"/>
      <c r="H278" s="1"/>
      <c r="I278" s="1"/>
      <c r="J278" s="1"/>
      <c r="K278" s="1"/>
      <c r="L278" s="1"/>
      <c r="M278" s="262"/>
      <c r="N278" s="1"/>
      <c r="O278" s="1"/>
      <c r="P278" s="1"/>
      <c r="Q278" s="1"/>
      <c r="R278" s="1"/>
      <c r="S278" s="1"/>
      <c r="T278" s="1"/>
      <c r="U278" s="1"/>
      <c r="V278" s="1"/>
      <c r="W278" s="1"/>
      <c r="X278" s="1"/>
      <c r="Y278" s="1"/>
      <c r="Z278" s="1"/>
      <c r="AA278" s="1"/>
      <c r="AB278" s="1"/>
    </row>
    <row r="279" spans="2:28" ht="11.25" customHeight="1" x14ac:dyDescent="0.25">
      <c r="B279" s="16"/>
      <c r="C279" s="1"/>
      <c r="D279" s="1"/>
      <c r="E279" s="1"/>
      <c r="F279" s="1"/>
      <c r="G279" s="22"/>
      <c r="H279" s="1"/>
      <c r="I279" s="1"/>
      <c r="J279" s="1"/>
      <c r="K279" s="1"/>
      <c r="L279" s="1"/>
      <c r="M279" s="262"/>
      <c r="N279" s="1"/>
      <c r="O279" s="1"/>
      <c r="P279" s="1"/>
      <c r="Q279" s="1"/>
      <c r="R279" s="1"/>
      <c r="S279" s="1"/>
      <c r="T279" s="1"/>
      <c r="U279" s="1"/>
      <c r="V279" s="1"/>
      <c r="W279" s="1"/>
      <c r="X279" s="1"/>
      <c r="Y279" s="1"/>
      <c r="Z279" s="1"/>
      <c r="AA279" s="1"/>
      <c r="AB279" s="1"/>
    </row>
    <row r="280" spans="2:28" ht="11.25" customHeight="1" x14ac:dyDescent="0.25">
      <c r="B280" s="16"/>
      <c r="C280" s="1"/>
      <c r="D280" s="1"/>
      <c r="E280" s="1"/>
      <c r="F280" s="1"/>
      <c r="G280" s="22"/>
      <c r="H280" s="1"/>
      <c r="I280" s="1"/>
      <c r="J280" s="1"/>
      <c r="K280" s="1"/>
      <c r="L280" s="1"/>
      <c r="M280" s="262"/>
      <c r="N280" s="1"/>
      <c r="O280" s="1"/>
      <c r="P280" s="1"/>
      <c r="Q280" s="1"/>
      <c r="R280" s="1"/>
      <c r="S280" s="1"/>
      <c r="T280" s="1"/>
      <c r="U280" s="1"/>
      <c r="V280" s="1"/>
      <c r="W280" s="1"/>
      <c r="X280" s="1"/>
      <c r="Y280" s="1"/>
      <c r="Z280" s="1"/>
      <c r="AA280" s="1"/>
      <c r="AB280" s="1"/>
    </row>
    <row r="281" spans="2:28" ht="11.25" customHeight="1" x14ac:dyDescent="0.25">
      <c r="B281" s="16"/>
      <c r="C281" s="1"/>
      <c r="D281" s="1"/>
      <c r="E281" s="1"/>
      <c r="F281" s="1"/>
      <c r="G281" s="22"/>
      <c r="H281" s="1"/>
      <c r="I281" s="1"/>
      <c r="J281" s="1"/>
      <c r="K281" s="1"/>
      <c r="L281" s="1"/>
      <c r="M281" s="262"/>
      <c r="N281" s="1"/>
      <c r="O281" s="1"/>
      <c r="P281" s="1"/>
      <c r="Q281" s="1"/>
      <c r="R281" s="1"/>
      <c r="S281" s="1"/>
      <c r="T281" s="1"/>
      <c r="U281" s="1"/>
      <c r="V281" s="1"/>
      <c r="W281" s="1"/>
      <c r="X281" s="1"/>
      <c r="Y281" s="1"/>
      <c r="Z281" s="1"/>
      <c r="AA281" s="1"/>
      <c r="AB281" s="1"/>
    </row>
    <row r="282" spans="2:28" ht="11.25" customHeight="1" x14ac:dyDescent="0.25">
      <c r="B282" s="16"/>
      <c r="C282" s="1"/>
      <c r="D282" s="1"/>
      <c r="E282" s="1"/>
      <c r="F282" s="1"/>
      <c r="G282" s="22"/>
      <c r="H282" s="1"/>
      <c r="I282" s="1"/>
      <c r="J282" s="1"/>
      <c r="K282" s="1"/>
      <c r="L282" s="1"/>
      <c r="M282" s="262"/>
      <c r="N282" s="1"/>
      <c r="O282" s="1"/>
      <c r="P282" s="1"/>
      <c r="Q282" s="1"/>
      <c r="R282" s="1"/>
      <c r="S282" s="1"/>
      <c r="T282" s="1"/>
      <c r="U282" s="1"/>
      <c r="V282" s="1"/>
      <c r="W282" s="1"/>
      <c r="X282" s="1"/>
      <c r="Y282" s="1"/>
      <c r="Z282" s="1"/>
      <c r="AA282" s="1"/>
      <c r="AB282" s="1"/>
    </row>
    <row r="283" spans="2:28" ht="11.25" customHeight="1" x14ac:dyDescent="0.25">
      <c r="B283" s="16"/>
      <c r="C283" s="1"/>
      <c r="D283" s="1"/>
      <c r="E283" s="1"/>
      <c r="F283" s="1"/>
      <c r="G283" s="22"/>
      <c r="H283" s="1"/>
      <c r="I283" s="1"/>
      <c r="J283" s="1"/>
      <c r="K283" s="1"/>
      <c r="L283" s="1"/>
      <c r="M283" s="262"/>
      <c r="N283" s="1"/>
      <c r="O283" s="1"/>
      <c r="P283" s="1"/>
      <c r="Q283" s="1"/>
      <c r="R283" s="1"/>
      <c r="S283" s="1"/>
      <c r="T283" s="1"/>
      <c r="U283" s="1"/>
      <c r="V283" s="1"/>
      <c r="W283" s="1"/>
      <c r="X283" s="1"/>
      <c r="Y283" s="1"/>
      <c r="Z283" s="1"/>
      <c r="AA283" s="1"/>
      <c r="AB283" s="1"/>
    </row>
    <row r="284" spans="2:28" ht="11.25" customHeight="1" x14ac:dyDescent="0.25">
      <c r="B284" s="16"/>
      <c r="C284" s="1"/>
      <c r="D284" s="1"/>
      <c r="E284" s="1"/>
      <c r="F284" s="1"/>
      <c r="G284" s="22"/>
      <c r="H284" s="1"/>
      <c r="I284" s="1"/>
      <c r="J284" s="1"/>
      <c r="K284" s="1"/>
      <c r="L284" s="1"/>
      <c r="M284" s="262"/>
      <c r="N284" s="1"/>
      <c r="O284" s="1"/>
      <c r="P284" s="1"/>
      <c r="Q284" s="1"/>
      <c r="R284" s="1"/>
      <c r="S284" s="1"/>
      <c r="T284" s="1"/>
      <c r="U284" s="1"/>
      <c r="V284" s="1"/>
      <c r="W284" s="1"/>
      <c r="X284" s="1"/>
      <c r="Y284" s="1"/>
      <c r="Z284" s="1"/>
      <c r="AA284" s="1"/>
      <c r="AB284" s="1"/>
    </row>
    <row r="285" spans="2:28" ht="11.25" customHeight="1" x14ac:dyDescent="0.25">
      <c r="B285" s="16"/>
      <c r="C285" s="1"/>
      <c r="D285" s="1"/>
      <c r="E285" s="1"/>
      <c r="F285" s="1"/>
      <c r="G285" s="22"/>
      <c r="H285" s="1"/>
      <c r="I285" s="1"/>
      <c r="J285" s="1"/>
      <c r="K285" s="1"/>
      <c r="L285" s="1"/>
      <c r="M285" s="262"/>
      <c r="N285" s="1"/>
      <c r="O285" s="1"/>
      <c r="P285" s="1"/>
      <c r="Q285" s="1"/>
      <c r="R285" s="1"/>
      <c r="S285" s="1"/>
      <c r="T285" s="1"/>
      <c r="U285" s="1"/>
      <c r="V285" s="1"/>
      <c r="W285" s="1"/>
      <c r="X285" s="1"/>
      <c r="Y285" s="1"/>
      <c r="Z285" s="1"/>
      <c r="AA285" s="1"/>
      <c r="AB285" s="1"/>
    </row>
    <row r="286" spans="2:28" ht="11.25" customHeight="1" x14ac:dyDescent="0.25">
      <c r="B286" s="16"/>
      <c r="C286" s="1"/>
      <c r="D286" s="1"/>
      <c r="E286" s="1"/>
      <c r="F286" s="1"/>
      <c r="G286" s="22"/>
      <c r="H286" s="1"/>
      <c r="I286" s="1"/>
      <c r="J286" s="1"/>
      <c r="K286" s="1"/>
      <c r="L286" s="1"/>
      <c r="M286" s="262"/>
      <c r="N286" s="1"/>
      <c r="O286" s="1"/>
      <c r="P286" s="1"/>
      <c r="Q286" s="1"/>
      <c r="R286" s="1"/>
      <c r="S286" s="1"/>
      <c r="T286" s="1"/>
      <c r="U286" s="1"/>
      <c r="V286" s="1"/>
      <c r="W286" s="1"/>
      <c r="X286" s="1"/>
      <c r="Y286" s="1"/>
      <c r="Z286" s="1"/>
      <c r="AA286" s="1"/>
      <c r="AB286" s="1"/>
    </row>
    <row r="287" spans="2:28" ht="11.25" customHeight="1" x14ac:dyDescent="0.25">
      <c r="B287" s="16"/>
      <c r="C287" s="1"/>
      <c r="D287" s="1"/>
      <c r="E287" s="1"/>
      <c r="F287" s="1"/>
      <c r="G287" s="22"/>
      <c r="H287" s="1"/>
      <c r="I287" s="1"/>
      <c r="J287" s="1"/>
      <c r="K287" s="1"/>
      <c r="L287" s="1"/>
      <c r="M287" s="262"/>
      <c r="N287" s="1"/>
      <c r="O287" s="1"/>
      <c r="P287" s="1"/>
      <c r="Q287" s="1"/>
      <c r="R287" s="1"/>
      <c r="S287" s="1"/>
      <c r="T287" s="1"/>
      <c r="U287" s="1"/>
      <c r="V287" s="1"/>
      <c r="W287" s="1"/>
      <c r="X287" s="1"/>
      <c r="Y287" s="1"/>
      <c r="Z287" s="1"/>
      <c r="AA287" s="1"/>
      <c r="AB287" s="1"/>
    </row>
    <row r="288" spans="2:28" ht="11.25" customHeight="1" x14ac:dyDescent="0.25">
      <c r="B288" s="16"/>
      <c r="C288" s="1"/>
      <c r="D288" s="1"/>
      <c r="E288" s="1"/>
      <c r="F288" s="1"/>
      <c r="G288" s="22"/>
      <c r="H288" s="1"/>
      <c r="I288" s="1"/>
      <c r="J288" s="1"/>
      <c r="K288" s="1"/>
      <c r="L288" s="1"/>
      <c r="M288" s="262"/>
      <c r="N288" s="1"/>
      <c r="O288" s="1"/>
      <c r="P288" s="1"/>
      <c r="Q288" s="1"/>
      <c r="R288" s="1"/>
      <c r="S288" s="1"/>
      <c r="T288" s="1"/>
      <c r="U288" s="1"/>
      <c r="V288" s="1"/>
      <c r="W288" s="1"/>
      <c r="X288" s="1"/>
      <c r="Y288" s="1"/>
      <c r="Z288" s="1"/>
      <c r="AA288" s="1"/>
      <c r="AB288" s="1"/>
    </row>
    <row r="289" spans="2:28" ht="11.25" customHeight="1" x14ac:dyDescent="0.25">
      <c r="B289" s="16"/>
      <c r="C289" s="1"/>
      <c r="D289" s="1"/>
      <c r="E289" s="1"/>
      <c r="F289" s="1"/>
      <c r="G289" s="22"/>
      <c r="H289" s="1"/>
      <c r="I289" s="1"/>
      <c r="J289" s="1"/>
      <c r="K289" s="1"/>
      <c r="L289" s="1"/>
      <c r="M289" s="262"/>
      <c r="N289" s="1"/>
      <c r="O289" s="1"/>
      <c r="P289" s="1"/>
      <c r="Q289" s="1"/>
      <c r="R289" s="1"/>
      <c r="S289" s="1"/>
      <c r="T289" s="1"/>
      <c r="U289" s="1"/>
      <c r="V289" s="1"/>
      <c r="W289" s="1"/>
      <c r="X289" s="1"/>
      <c r="Y289" s="1"/>
      <c r="Z289" s="1"/>
      <c r="AA289" s="1"/>
      <c r="AB289" s="1"/>
    </row>
    <row r="290" spans="2:28" ht="11.25" customHeight="1" x14ac:dyDescent="0.25">
      <c r="B290" s="16"/>
      <c r="C290" s="1"/>
      <c r="D290" s="1"/>
      <c r="E290" s="1"/>
      <c r="F290" s="1"/>
      <c r="G290" s="22"/>
      <c r="H290" s="1"/>
      <c r="I290" s="1"/>
      <c r="J290" s="1"/>
      <c r="K290" s="1"/>
      <c r="L290" s="1"/>
      <c r="M290" s="262"/>
      <c r="N290" s="1"/>
      <c r="O290" s="1"/>
      <c r="P290" s="1"/>
      <c r="Q290" s="1"/>
      <c r="R290" s="1"/>
      <c r="S290" s="1"/>
      <c r="T290" s="1"/>
      <c r="U290" s="1"/>
      <c r="V290" s="1"/>
      <c r="W290" s="1"/>
      <c r="X290" s="1"/>
      <c r="Y290" s="1"/>
      <c r="Z290" s="1"/>
      <c r="AA290" s="1"/>
      <c r="AB290" s="1"/>
    </row>
    <row r="291" spans="2:28" ht="11.25" customHeight="1" x14ac:dyDescent="0.25">
      <c r="B291" s="16"/>
      <c r="C291" s="1"/>
      <c r="D291" s="1"/>
      <c r="E291" s="1"/>
      <c r="F291" s="1"/>
      <c r="G291" s="22"/>
      <c r="H291" s="1"/>
      <c r="I291" s="1"/>
      <c r="J291" s="1"/>
      <c r="K291" s="1"/>
      <c r="L291" s="1"/>
      <c r="M291" s="262"/>
      <c r="N291" s="1"/>
      <c r="O291" s="1"/>
      <c r="P291" s="1"/>
      <c r="Q291" s="1"/>
      <c r="R291" s="1"/>
      <c r="S291" s="1"/>
      <c r="T291" s="1"/>
      <c r="U291" s="1"/>
      <c r="V291" s="1"/>
      <c r="W291" s="1"/>
      <c r="X291" s="1"/>
      <c r="Y291" s="1"/>
      <c r="Z291" s="1"/>
      <c r="AA291" s="1"/>
      <c r="AB291" s="1"/>
    </row>
    <row r="292" spans="2:28" ht="11.25" customHeight="1" x14ac:dyDescent="0.25">
      <c r="B292" s="16"/>
      <c r="C292" s="1"/>
      <c r="D292" s="1"/>
      <c r="E292" s="1"/>
      <c r="F292" s="1"/>
      <c r="G292" s="22"/>
      <c r="H292" s="1"/>
      <c r="I292" s="1"/>
      <c r="J292" s="1"/>
      <c r="K292" s="1"/>
      <c r="L292" s="1"/>
      <c r="M292" s="262"/>
      <c r="N292" s="1"/>
      <c r="O292" s="1"/>
      <c r="P292" s="1"/>
      <c r="Q292" s="1"/>
      <c r="R292" s="1"/>
      <c r="S292" s="1"/>
      <c r="T292" s="1"/>
      <c r="U292" s="1"/>
      <c r="V292" s="1"/>
      <c r="W292" s="1"/>
      <c r="X292" s="1"/>
      <c r="Y292" s="1"/>
      <c r="Z292" s="1"/>
      <c r="AA292" s="1"/>
      <c r="AB292" s="1"/>
    </row>
    <row r="293" spans="2:28" ht="11.25" customHeight="1" x14ac:dyDescent="0.25">
      <c r="B293" s="16"/>
      <c r="C293" s="1"/>
      <c r="D293" s="1"/>
      <c r="E293" s="1"/>
      <c r="F293" s="1"/>
      <c r="G293" s="22"/>
      <c r="H293" s="1"/>
      <c r="I293" s="1"/>
      <c r="J293" s="1"/>
      <c r="K293" s="1"/>
      <c r="L293" s="1"/>
      <c r="M293" s="262"/>
      <c r="N293" s="1"/>
      <c r="O293" s="1"/>
      <c r="P293" s="1"/>
      <c r="Q293" s="1"/>
      <c r="R293" s="1"/>
      <c r="S293" s="1"/>
      <c r="T293" s="1"/>
      <c r="U293" s="1"/>
      <c r="V293" s="1"/>
      <c r="W293" s="1"/>
      <c r="X293" s="1"/>
      <c r="Y293" s="1"/>
      <c r="Z293" s="1"/>
      <c r="AA293" s="1"/>
      <c r="AB293" s="1"/>
    </row>
    <row r="294" spans="2:28" ht="11.25" customHeight="1" x14ac:dyDescent="0.25">
      <c r="B294" s="16"/>
      <c r="C294" s="1"/>
      <c r="D294" s="1"/>
      <c r="E294" s="1"/>
      <c r="F294" s="1"/>
      <c r="G294" s="22"/>
      <c r="H294" s="1"/>
      <c r="I294" s="1"/>
      <c r="J294" s="1"/>
      <c r="K294" s="1"/>
      <c r="L294" s="1"/>
      <c r="M294" s="262"/>
      <c r="N294" s="1"/>
      <c r="O294" s="1"/>
      <c r="P294" s="1"/>
      <c r="Q294" s="1"/>
      <c r="R294" s="1"/>
      <c r="S294" s="1"/>
      <c r="T294" s="1"/>
      <c r="U294" s="1"/>
      <c r="V294" s="1"/>
      <c r="W294" s="1"/>
      <c r="X294" s="1"/>
      <c r="Y294" s="1"/>
      <c r="Z294" s="1"/>
      <c r="AA294" s="1"/>
      <c r="AB294" s="1"/>
    </row>
    <row r="295" spans="2:28" ht="11.25" customHeight="1" x14ac:dyDescent="0.25">
      <c r="B295" s="16"/>
      <c r="C295" s="1"/>
      <c r="D295" s="1"/>
      <c r="E295" s="1"/>
      <c r="F295" s="1"/>
      <c r="G295" s="22"/>
      <c r="H295" s="1"/>
      <c r="I295" s="1"/>
      <c r="J295" s="1"/>
      <c r="K295" s="1"/>
      <c r="L295" s="1"/>
      <c r="M295" s="262"/>
      <c r="N295" s="1"/>
      <c r="O295" s="1"/>
      <c r="P295" s="1"/>
      <c r="Q295" s="1"/>
      <c r="R295" s="1"/>
      <c r="S295" s="1"/>
      <c r="T295" s="1"/>
      <c r="U295" s="1"/>
      <c r="V295" s="1"/>
      <c r="W295" s="1"/>
      <c r="X295" s="1"/>
      <c r="Y295" s="1"/>
      <c r="Z295" s="1"/>
      <c r="AA295" s="1"/>
      <c r="AB295" s="1"/>
    </row>
    <row r="296" spans="2:28" ht="11.25" customHeight="1" x14ac:dyDescent="0.25">
      <c r="B296" s="16"/>
      <c r="C296" s="1"/>
      <c r="D296" s="1"/>
      <c r="E296" s="1"/>
      <c r="F296" s="1"/>
      <c r="G296" s="22"/>
      <c r="H296" s="1"/>
      <c r="I296" s="1"/>
      <c r="J296" s="1"/>
      <c r="K296" s="1"/>
      <c r="L296" s="1"/>
      <c r="M296" s="262"/>
      <c r="N296" s="1"/>
      <c r="O296" s="1"/>
      <c r="P296" s="1"/>
      <c r="Q296" s="1"/>
      <c r="R296" s="1"/>
      <c r="S296" s="1"/>
      <c r="T296" s="1"/>
      <c r="U296" s="1"/>
      <c r="V296" s="1"/>
      <c r="W296" s="1"/>
      <c r="X296" s="1"/>
      <c r="Y296" s="1"/>
      <c r="Z296" s="1"/>
      <c r="AA296" s="1"/>
      <c r="AB296" s="1"/>
    </row>
    <row r="297" spans="2:28" ht="11.25" customHeight="1" x14ac:dyDescent="0.25">
      <c r="B297" s="16"/>
      <c r="C297" s="1"/>
      <c r="D297" s="1"/>
      <c r="E297" s="1"/>
      <c r="F297" s="1"/>
      <c r="G297" s="22"/>
      <c r="H297" s="1"/>
      <c r="I297" s="1"/>
      <c r="J297" s="1"/>
      <c r="K297" s="1"/>
      <c r="L297" s="1"/>
      <c r="M297" s="262"/>
      <c r="N297" s="1"/>
      <c r="O297" s="1"/>
      <c r="P297" s="1"/>
      <c r="Q297" s="1"/>
      <c r="R297" s="1"/>
      <c r="S297" s="1"/>
      <c r="T297" s="1"/>
      <c r="U297" s="1"/>
      <c r="V297" s="1"/>
      <c r="W297" s="1"/>
      <c r="X297" s="1"/>
      <c r="Y297" s="1"/>
      <c r="Z297" s="1"/>
      <c r="AA297" s="1"/>
      <c r="AB297" s="1"/>
    </row>
    <row r="298" spans="2:28" ht="11.25" customHeight="1" x14ac:dyDescent="0.25">
      <c r="B298" s="16"/>
      <c r="C298" s="1"/>
      <c r="D298" s="1"/>
      <c r="E298" s="1"/>
      <c r="F298" s="1"/>
      <c r="G298" s="22"/>
      <c r="H298" s="1"/>
      <c r="I298" s="1"/>
      <c r="J298" s="1"/>
      <c r="K298" s="1"/>
      <c r="L298" s="1"/>
      <c r="M298" s="262"/>
      <c r="N298" s="1"/>
      <c r="O298" s="1"/>
      <c r="P298" s="1"/>
      <c r="Q298" s="1"/>
      <c r="R298" s="1"/>
      <c r="S298" s="1"/>
      <c r="T298" s="1"/>
      <c r="U298" s="1"/>
      <c r="V298" s="1"/>
      <c r="W298" s="1"/>
      <c r="X298" s="1"/>
      <c r="Y298" s="1"/>
      <c r="Z298" s="1"/>
      <c r="AA298" s="1"/>
      <c r="AB298" s="1"/>
    </row>
    <row r="299" spans="2:28" ht="11.25" customHeight="1" x14ac:dyDescent="0.25">
      <c r="B299" s="16"/>
      <c r="C299" s="1"/>
      <c r="D299" s="1"/>
      <c r="E299" s="1"/>
      <c r="F299" s="1"/>
      <c r="G299" s="22"/>
      <c r="H299" s="1"/>
      <c r="I299" s="1"/>
      <c r="J299" s="1"/>
      <c r="K299" s="1"/>
      <c r="L299" s="1"/>
      <c r="M299" s="262"/>
      <c r="N299" s="1"/>
      <c r="O299" s="1"/>
      <c r="P299" s="1"/>
      <c r="Q299" s="1"/>
      <c r="R299" s="1"/>
      <c r="S299" s="1"/>
      <c r="T299" s="1"/>
      <c r="U299" s="1"/>
      <c r="V299" s="1"/>
      <c r="W299" s="1"/>
      <c r="X299" s="1"/>
      <c r="Y299" s="1"/>
      <c r="Z299" s="1"/>
      <c r="AA299" s="1"/>
      <c r="AB299" s="1"/>
    </row>
    <row r="300" spans="2:28" ht="11.25" customHeight="1" x14ac:dyDescent="0.25">
      <c r="B300" s="16"/>
      <c r="C300" s="1"/>
      <c r="D300" s="1"/>
      <c r="E300" s="1"/>
      <c r="F300" s="1"/>
      <c r="G300" s="22"/>
      <c r="H300" s="1"/>
      <c r="I300" s="1"/>
      <c r="J300" s="1"/>
      <c r="K300" s="1"/>
      <c r="L300" s="1"/>
      <c r="M300" s="262"/>
      <c r="N300" s="1"/>
      <c r="O300" s="1"/>
      <c r="P300" s="1"/>
      <c r="Q300" s="1"/>
      <c r="R300" s="1"/>
      <c r="S300" s="1"/>
      <c r="T300" s="1"/>
      <c r="U300" s="1"/>
      <c r="V300" s="1"/>
      <c r="W300" s="1"/>
      <c r="X300" s="1"/>
      <c r="Y300" s="1"/>
      <c r="Z300" s="1"/>
      <c r="AA300" s="1"/>
      <c r="AB300" s="1"/>
    </row>
    <row r="301" spans="2:28" ht="11.25" customHeight="1" x14ac:dyDescent="0.25">
      <c r="B301" s="16"/>
      <c r="C301" s="1"/>
      <c r="D301" s="1"/>
      <c r="E301" s="1"/>
      <c r="F301" s="1"/>
      <c r="G301" s="22"/>
      <c r="H301" s="1"/>
      <c r="I301" s="1"/>
      <c r="J301" s="1"/>
      <c r="K301" s="1"/>
      <c r="L301" s="1"/>
      <c r="M301" s="262"/>
      <c r="N301" s="1"/>
      <c r="O301" s="1"/>
      <c r="P301" s="1"/>
      <c r="Q301" s="1"/>
      <c r="R301" s="1"/>
      <c r="S301" s="1"/>
      <c r="T301" s="1"/>
      <c r="U301" s="1"/>
      <c r="V301" s="1"/>
      <c r="W301" s="1"/>
      <c r="X301" s="1"/>
      <c r="Y301" s="1"/>
      <c r="Z301" s="1"/>
      <c r="AA301" s="1"/>
      <c r="AB301" s="1"/>
    </row>
    <row r="302" spans="2:28" ht="11.25" customHeight="1" x14ac:dyDescent="0.25">
      <c r="B302" s="16"/>
      <c r="C302" s="1"/>
      <c r="D302" s="1"/>
      <c r="E302" s="1"/>
      <c r="F302" s="1"/>
      <c r="G302" s="22"/>
      <c r="H302" s="1"/>
      <c r="I302" s="1"/>
      <c r="J302" s="1"/>
      <c r="K302" s="1"/>
      <c r="L302" s="1"/>
      <c r="M302" s="262"/>
      <c r="N302" s="1"/>
      <c r="O302" s="1"/>
      <c r="P302" s="1"/>
      <c r="Q302" s="1"/>
      <c r="R302" s="1"/>
      <c r="S302" s="1"/>
      <c r="T302" s="1"/>
      <c r="U302" s="1"/>
      <c r="V302" s="1"/>
      <c r="W302" s="1"/>
      <c r="X302" s="1"/>
      <c r="Y302" s="1"/>
      <c r="Z302" s="1"/>
      <c r="AA302" s="1"/>
      <c r="AB302" s="1"/>
    </row>
    <row r="303" spans="2:28" ht="11.25" customHeight="1" x14ac:dyDescent="0.25">
      <c r="B303" s="16"/>
      <c r="C303" s="1"/>
      <c r="D303" s="1"/>
      <c r="E303" s="1"/>
      <c r="F303" s="1"/>
      <c r="G303" s="22"/>
      <c r="H303" s="1"/>
      <c r="I303" s="1"/>
      <c r="J303" s="1"/>
      <c r="K303" s="1"/>
      <c r="L303" s="1"/>
      <c r="M303" s="262"/>
      <c r="N303" s="1"/>
      <c r="O303" s="1"/>
      <c r="P303" s="1"/>
      <c r="Q303" s="1"/>
      <c r="R303" s="1"/>
      <c r="S303" s="1"/>
      <c r="T303" s="1"/>
      <c r="U303" s="1"/>
      <c r="V303" s="1"/>
      <c r="W303" s="1"/>
      <c r="X303" s="1"/>
      <c r="Y303" s="1"/>
      <c r="Z303" s="1"/>
      <c r="AA303" s="1"/>
      <c r="AB303" s="1"/>
    </row>
    <row r="304" spans="2:28" ht="11.25" customHeight="1" x14ac:dyDescent="0.25">
      <c r="B304" s="16"/>
      <c r="C304" s="1"/>
      <c r="D304" s="1"/>
      <c r="E304" s="1"/>
      <c r="F304" s="1"/>
      <c r="G304" s="22"/>
      <c r="H304" s="1"/>
      <c r="I304" s="1"/>
      <c r="J304" s="1"/>
      <c r="K304" s="1"/>
      <c r="L304" s="1"/>
      <c r="M304" s="262"/>
      <c r="N304" s="1"/>
      <c r="O304" s="1"/>
      <c r="P304" s="1"/>
      <c r="Q304" s="1"/>
      <c r="R304" s="1"/>
      <c r="S304" s="1"/>
      <c r="T304" s="1"/>
      <c r="U304" s="1"/>
      <c r="V304" s="1"/>
      <c r="W304" s="1"/>
      <c r="X304" s="1"/>
      <c r="Y304" s="1"/>
      <c r="Z304" s="1"/>
      <c r="AA304" s="1"/>
      <c r="AB304" s="1"/>
    </row>
    <row r="305" spans="2:28" ht="11.25" customHeight="1" x14ac:dyDescent="0.25">
      <c r="B305" s="16"/>
      <c r="C305" s="1"/>
      <c r="D305" s="1"/>
      <c r="E305" s="1"/>
      <c r="F305" s="1"/>
      <c r="G305" s="22"/>
      <c r="H305" s="1"/>
      <c r="I305" s="1"/>
      <c r="J305" s="1"/>
      <c r="K305" s="1"/>
      <c r="L305" s="1"/>
      <c r="M305" s="262"/>
      <c r="N305" s="1"/>
      <c r="O305" s="1"/>
      <c r="P305" s="1"/>
      <c r="Q305" s="1"/>
      <c r="R305" s="1"/>
      <c r="S305" s="1"/>
      <c r="T305" s="1"/>
      <c r="U305" s="1"/>
      <c r="V305" s="1"/>
      <c r="W305" s="1"/>
      <c r="X305" s="1"/>
      <c r="Y305" s="1"/>
      <c r="Z305" s="1"/>
      <c r="AA305" s="1"/>
      <c r="AB305" s="1"/>
    </row>
    <row r="306" spans="2:28" ht="11.25" customHeight="1" x14ac:dyDescent="0.25">
      <c r="B306" s="16"/>
      <c r="C306" s="1"/>
      <c r="D306" s="1"/>
      <c r="E306" s="1"/>
      <c r="F306" s="1"/>
      <c r="G306" s="22"/>
      <c r="H306" s="1"/>
      <c r="I306" s="1"/>
      <c r="J306" s="1"/>
      <c r="K306" s="1"/>
      <c r="L306" s="1"/>
      <c r="M306" s="262"/>
      <c r="N306" s="1"/>
      <c r="O306" s="1"/>
      <c r="P306" s="1"/>
      <c r="Q306" s="1"/>
      <c r="R306" s="1"/>
      <c r="S306" s="1"/>
      <c r="T306" s="1"/>
      <c r="U306" s="1"/>
      <c r="V306" s="1"/>
      <c r="W306" s="1"/>
      <c r="X306" s="1"/>
      <c r="Y306" s="1"/>
      <c r="Z306" s="1"/>
      <c r="AA306" s="1"/>
      <c r="AB306" s="1"/>
    </row>
    <row r="307" spans="2:28" ht="11.25" customHeight="1" x14ac:dyDescent="0.25">
      <c r="B307" s="16"/>
      <c r="C307" s="1"/>
      <c r="D307" s="1"/>
      <c r="E307" s="1"/>
      <c r="F307" s="1"/>
      <c r="G307" s="22"/>
      <c r="H307" s="1"/>
      <c r="I307" s="1"/>
      <c r="J307" s="1"/>
      <c r="K307" s="1"/>
      <c r="L307" s="1"/>
      <c r="M307" s="262"/>
      <c r="N307" s="1"/>
      <c r="O307" s="1"/>
      <c r="P307" s="1"/>
      <c r="Q307" s="1"/>
      <c r="R307" s="1"/>
      <c r="S307" s="1"/>
      <c r="T307" s="1"/>
      <c r="U307" s="1"/>
      <c r="V307" s="1"/>
      <c r="W307" s="1"/>
      <c r="X307" s="1"/>
      <c r="Y307" s="1"/>
      <c r="Z307" s="1"/>
      <c r="AA307" s="1"/>
      <c r="AB307" s="1"/>
    </row>
    <row r="308" spans="2:28" ht="11.25" customHeight="1" x14ac:dyDescent="0.25">
      <c r="B308" s="16"/>
      <c r="C308" s="1"/>
      <c r="D308" s="1"/>
      <c r="E308" s="1"/>
      <c r="F308" s="1"/>
      <c r="G308" s="22"/>
      <c r="H308" s="1"/>
      <c r="I308" s="1"/>
      <c r="J308" s="1"/>
      <c r="K308" s="1"/>
      <c r="L308" s="1"/>
      <c r="M308" s="262"/>
      <c r="N308" s="1"/>
      <c r="O308" s="1"/>
      <c r="P308" s="1"/>
      <c r="Q308" s="1"/>
      <c r="R308" s="1"/>
      <c r="S308" s="1"/>
      <c r="T308" s="1"/>
      <c r="U308" s="1"/>
      <c r="V308" s="1"/>
      <c r="W308" s="1"/>
      <c r="X308" s="1"/>
      <c r="Y308" s="1"/>
      <c r="Z308" s="1"/>
      <c r="AA308" s="1"/>
      <c r="AB308" s="1"/>
    </row>
    <row r="309" spans="2:28" ht="11.25" customHeight="1" x14ac:dyDescent="0.25">
      <c r="B309" s="16"/>
      <c r="C309" s="1"/>
      <c r="D309" s="1"/>
      <c r="E309" s="1"/>
      <c r="F309" s="1"/>
      <c r="G309" s="22"/>
      <c r="H309" s="1"/>
      <c r="I309" s="1"/>
      <c r="J309" s="1"/>
      <c r="K309" s="1"/>
      <c r="L309" s="1"/>
      <c r="M309" s="262"/>
      <c r="N309" s="1"/>
      <c r="O309" s="1"/>
      <c r="P309" s="1"/>
      <c r="Q309" s="1"/>
      <c r="R309" s="1"/>
      <c r="S309" s="1"/>
      <c r="T309" s="1"/>
      <c r="U309" s="1"/>
      <c r="V309" s="1"/>
      <c r="W309" s="1"/>
      <c r="X309" s="1"/>
      <c r="Y309" s="1"/>
      <c r="Z309" s="1"/>
      <c r="AA309" s="1"/>
      <c r="AB309" s="1"/>
    </row>
    <row r="310" spans="2:28" ht="11.25" customHeight="1" x14ac:dyDescent="0.25">
      <c r="B310" s="16"/>
      <c r="C310" s="1"/>
      <c r="D310" s="1"/>
      <c r="E310" s="1"/>
      <c r="F310" s="1"/>
      <c r="G310" s="22"/>
      <c r="H310" s="1"/>
      <c r="I310" s="1"/>
      <c r="J310" s="1"/>
      <c r="K310" s="1"/>
      <c r="L310" s="1"/>
      <c r="M310" s="262"/>
      <c r="N310" s="1"/>
      <c r="O310" s="1"/>
      <c r="P310" s="1"/>
      <c r="Q310" s="1"/>
      <c r="R310" s="1"/>
      <c r="S310" s="1"/>
      <c r="T310" s="1"/>
      <c r="U310" s="1"/>
      <c r="V310" s="1"/>
      <c r="W310" s="1"/>
      <c r="X310" s="1"/>
      <c r="Y310" s="1"/>
      <c r="Z310" s="1"/>
      <c r="AA310" s="1"/>
      <c r="AB310" s="1"/>
    </row>
    <row r="311" spans="2:28" ht="11.25" customHeight="1" x14ac:dyDescent="0.25">
      <c r="B311" s="16"/>
      <c r="C311" s="1"/>
      <c r="D311" s="1"/>
      <c r="E311" s="1"/>
      <c r="F311" s="1"/>
      <c r="G311" s="22"/>
      <c r="H311" s="1"/>
      <c r="I311" s="1"/>
      <c r="J311" s="1"/>
      <c r="K311" s="1"/>
      <c r="L311" s="1"/>
      <c r="M311" s="262"/>
      <c r="N311" s="1"/>
      <c r="O311" s="1"/>
      <c r="P311" s="1"/>
      <c r="Q311" s="1"/>
      <c r="R311" s="1"/>
      <c r="S311" s="1"/>
      <c r="T311" s="1"/>
      <c r="U311" s="1"/>
      <c r="V311" s="1"/>
      <c r="W311" s="1"/>
      <c r="X311" s="1"/>
      <c r="Y311" s="1"/>
      <c r="Z311" s="1"/>
      <c r="AA311" s="1"/>
      <c r="AB311" s="1"/>
    </row>
    <row r="312" spans="2:28" ht="11.25" customHeight="1" x14ac:dyDescent="0.25">
      <c r="B312" s="16"/>
      <c r="C312" s="1"/>
      <c r="D312" s="1"/>
      <c r="E312" s="1"/>
      <c r="F312" s="1"/>
      <c r="G312" s="22"/>
      <c r="H312" s="1"/>
      <c r="I312" s="1"/>
      <c r="J312" s="1"/>
      <c r="K312" s="1"/>
      <c r="L312" s="1"/>
      <c r="M312" s="262"/>
      <c r="N312" s="1"/>
      <c r="O312" s="1"/>
      <c r="P312" s="1"/>
      <c r="Q312" s="1"/>
      <c r="R312" s="1"/>
      <c r="S312" s="1"/>
      <c r="T312" s="1"/>
      <c r="U312" s="1"/>
      <c r="V312" s="1"/>
      <c r="W312" s="1"/>
      <c r="X312" s="1"/>
      <c r="Y312" s="1"/>
      <c r="Z312" s="1"/>
      <c r="AA312" s="1"/>
      <c r="AB312" s="1"/>
    </row>
    <row r="313" spans="2:28" ht="11.25" customHeight="1" x14ac:dyDescent="0.25">
      <c r="B313" s="16"/>
      <c r="C313" s="1"/>
      <c r="D313" s="1"/>
      <c r="E313" s="1"/>
      <c r="F313" s="1"/>
      <c r="G313" s="22"/>
      <c r="H313" s="1"/>
      <c r="I313" s="1"/>
      <c r="J313" s="1"/>
      <c r="K313" s="1"/>
      <c r="L313" s="1"/>
      <c r="M313" s="262"/>
      <c r="N313" s="1"/>
      <c r="O313" s="1"/>
      <c r="P313" s="1"/>
      <c r="Q313" s="1"/>
      <c r="R313" s="1"/>
      <c r="S313" s="1"/>
      <c r="T313" s="1"/>
      <c r="U313" s="1"/>
      <c r="V313" s="1"/>
      <c r="W313" s="1"/>
      <c r="X313" s="1"/>
      <c r="Y313" s="1"/>
      <c r="Z313" s="1"/>
      <c r="AA313" s="1"/>
      <c r="AB313" s="1"/>
    </row>
    <row r="314" spans="2:28" ht="11.25" customHeight="1" x14ac:dyDescent="0.25">
      <c r="B314" s="16"/>
      <c r="C314" s="1"/>
      <c r="D314" s="1"/>
      <c r="E314" s="1"/>
      <c r="F314" s="1"/>
      <c r="G314" s="22"/>
      <c r="H314" s="1"/>
      <c r="I314" s="1"/>
      <c r="J314" s="1"/>
      <c r="K314" s="1"/>
      <c r="L314" s="1"/>
      <c r="M314" s="262"/>
      <c r="N314" s="1"/>
      <c r="O314" s="1"/>
      <c r="P314" s="1"/>
      <c r="Q314" s="1"/>
      <c r="R314" s="1"/>
      <c r="S314" s="1"/>
      <c r="T314" s="1"/>
      <c r="U314" s="1"/>
      <c r="V314" s="1"/>
      <c r="W314" s="1"/>
      <c r="X314" s="1"/>
      <c r="Y314" s="1"/>
      <c r="Z314" s="1"/>
      <c r="AA314" s="1"/>
      <c r="AB314" s="1"/>
    </row>
    <row r="315" spans="2:28" ht="11.25" customHeight="1" x14ac:dyDescent="0.25">
      <c r="B315" s="16"/>
      <c r="C315" s="1"/>
      <c r="D315" s="1"/>
      <c r="E315" s="1"/>
      <c r="F315" s="1"/>
      <c r="G315" s="22"/>
      <c r="H315" s="1"/>
      <c r="I315" s="1"/>
      <c r="J315" s="1"/>
      <c r="K315" s="1"/>
      <c r="L315" s="1"/>
      <c r="M315" s="262"/>
      <c r="N315" s="1"/>
      <c r="O315" s="1"/>
      <c r="P315" s="1"/>
      <c r="Q315" s="1"/>
      <c r="R315" s="1"/>
      <c r="S315" s="1"/>
      <c r="T315" s="1"/>
      <c r="U315" s="1"/>
      <c r="V315" s="1"/>
      <c r="W315" s="1"/>
      <c r="X315" s="1"/>
      <c r="Y315" s="1"/>
      <c r="Z315" s="1"/>
      <c r="AA315" s="1"/>
      <c r="AB315" s="1"/>
    </row>
    <row r="316" spans="2:28" ht="11.25" customHeight="1" x14ac:dyDescent="0.25">
      <c r="B316" s="16"/>
      <c r="C316" s="1"/>
      <c r="D316" s="1"/>
      <c r="E316" s="1"/>
      <c r="F316" s="1"/>
      <c r="G316" s="22"/>
      <c r="H316" s="1"/>
      <c r="I316" s="1"/>
      <c r="J316" s="1"/>
      <c r="K316" s="1"/>
      <c r="L316" s="1"/>
      <c r="M316" s="262"/>
      <c r="N316" s="1"/>
      <c r="O316" s="1"/>
      <c r="P316" s="1"/>
      <c r="Q316" s="1"/>
      <c r="R316" s="1"/>
      <c r="S316" s="1"/>
      <c r="T316" s="1"/>
      <c r="U316" s="1"/>
      <c r="V316" s="1"/>
      <c r="W316" s="1"/>
      <c r="X316" s="1"/>
      <c r="Y316" s="1"/>
      <c r="Z316" s="1"/>
      <c r="AA316" s="1"/>
      <c r="AB316" s="1"/>
    </row>
    <row r="317" spans="2:28" ht="11.25" customHeight="1" x14ac:dyDescent="0.25">
      <c r="B317" s="16"/>
      <c r="C317" s="1"/>
      <c r="D317" s="1"/>
      <c r="E317" s="1"/>
      <c r="F317" s="1"/>
      <c r="G317" s="22"/>
      <c r="H317" s="1"/>
      <c r="I317" s="1"/>
      <c r="J317" s="1"/>
      <c r="K317" s="1"/>
      <c r="L317" s="1"/>
      <c r="M317" s="262"/>
      <c r="N317" s="1"/>
      <c r="O317" s="1"/>
      <c r="P317" s="1"/>
      <c r="Q317" s="1"/>
      <c r="R317" s="1"/>
      <c r="S317" s="1"/>
      <c r="T317" s="1"/>
      <c r="U317" s="1"/>
      <c r="V317" s="1"/>
      <c r="W317" s="1"/>
      <c r="X317" s="1"/>
      <c r="Y317" s="1"/>
      <c r="Z317" s="1"/>
      <c r="AA317" s="1"/>
      <c r="AB317" s="1"/>
    </row>
    <row r="318" spans="2:28" ht="11.25" customHeight="1" x14ac:dyDescent="0.25">
      <c r="B318" s="16"/>
      <c r="C318" s="1"/>
      <c r="D318" s="1"/>
      <c r="E318" s="1"/>
      <c r="F318" s="1"/>
      <c r="G318" s="22"/>
      <c r="H318" s="1"/>
      <c r="I318" s="1"/>
      <c r="J318" s="1"/>
      <c r="K318" s="1"/>
      <c r="L318" s="1"/>
      <c r="M318" s="262"/>
      <c r="N318" s="1"/>
      <c r="O318" s="1"/>
      <c r="P318" s="1"/>
      <c r="Q318" s="1"/>
      <c r="R318" s="1"/>
      <c r="S318" s="1"/>
      <c r="T318" s="1"/>
      <c r="U318" s="1"/>
      <c r="V318" s="1"/>
      <c r="W318" s="1"/>
      <c r="X318" s="1"/>
      <c r="Y318" s="1"/>
      <c r="Z318" s="1"/>
      <c r="AA318" s="1"/>
      <c r="AB318" s="1"/>
    </row>
    <row r="319" spans="2:28" ht="11.25" customHeight="1" x14ac:dyDescent="0.25">
      <c r="B319" s="16"/>
      <c r="C319" s="1"/>
      <c r="D319" s="1"/>
      <c r="E319" s="1"/>
      <c r="F319" s="1"/>
      <c r="G319" s="22"/>
      <c r="H319" s="1"/>
      <c r="I319" s="1"/>
      <c r="J319" s="1"/>
      <c r="K319" s="1"/>
      <c r="L319" s="1"/>
      <c r="M319" s="262"/>
      <c r="N319" s="1"/>
      <c r="O319" s="1"/>
      <c r="P319" s="1"/>
      <c r="Q319" s="1"/>
      <c r="R319" s="1"/>
      <c r="S319" s="1"/>
      <c r="T319" s="1"/>
      <c r="U319" s="1"/>
      <c r="V319" s="1"/>
      <c r="W319" s="1"/>
      <c r="X319" s="1"/>
      <c r="Y319" s="1"/>
      <c r="Z319" s="1"/>
      <c r="AA319" s="1"/>
      <c r="AB319" s="1"/>
    </row>
    <row r="320" spans="2:28" ht="11.25" customHeight="1" x14ac:dyDescent="0.25">
      <c r="B320" s="16"/>
      <c r="C320" s="1"/>
      <c r="D320" s="1"/>
      <c r="E320" s="1"/>
      <c r="F320" s="1"/>
      <c r="G320" s="22"/>
      <c r="H320" s="1"/>
      <c r="I320" s="1"/>
      <c r="J320" s="1"/>
      <c r="K320" s="1"/>
      <c r="L320" s="1"/>
      <c r="M320" s="262"/>
      <c r="N320" s="1"/>
      <c r="O320" s="1"/>
      <c r="P320" s="1"/>
      <c r="Q320" s="1"/>
      <c r="R320" s="1"/>
      <c r="S320" s="1"/>
      <c r="T320" s="1"/>
      <c r="U320" s="1"/>
      <c r="V320" s="1"/>
      <c r="W320" s="1"/>
      <c r="X320" s="1"/>
      <c r="Y320" s="1"/>
      <c r="Z320" s="1"/>
      <c r="AA320" s="1"/>
      <c r="AB320" s="1"/>
    </row>
    <row r="321" spans="2:28" ht="11.25" customHeight="1" x14ac:dyDescent="0.25">
      <c r="B321" s="16"/>
      <c r="C321" s="1"/>
      <c r="D321" s="1"/>
      <c r="E321" s="1"/>
      <c r="F321" s="1"/>
      <c r="G321" s="22"/>
      <c r="H321" s="1"/>
      <c r="I321" s="1"/>
      <c r="J321" s="1"/>
      <c r="K321" s="1"/>
      <c r="L321" s="1"/>
      <c r="M321" s="262"/>
      <c r="N321" s="1"/>
      <c r="O321" s="1"/>
      <c r="P321" s="1"/>
      <c r="Q321" s="1"/>
      <c r="R321" s="1"/>
      <c r="S321" s="1"/>
      <c r="T321" s="1"/>
      <c r="U321" s="1"/>
      <c r="V321" s="1"/>
      <c r="W321" s="1"/>
      <c r="X321" s="1"/>
      <c r="Y321" s="1"/>
      <c r="Z321" s="1"/>
      <c r="AA321" s="1"/>
      <c r="AB321" s="1"/>
    </row>
    <row r="322" spans="2:28" ht="11.25" customHeight="1" x14ac:dyDescent="0.25">
      <c r="B322" s="16"/>
      <c r="C322" s="1"/>
      <c r="D322" s="1"/>
      <c r="E322" s="1"/>
      <c r="F322" s="1"/>
      <c r="G322" s="22"/>
      <c r="H322" s="1"/>
      <c r="I322" s="1"/>
      <c r="J322" s="1"/>
      <c r="K322" s="1"/>
      <c r="L322" s="1"/>
      <c r="M322" s="262"/>
      <c r="N322" s="1"/>
      <c r="O322" s="1"/>
      <c r="P322" s="1"/>
      <c r="Q322" s="1"/>
      <c r="R322" s="1"/>
      <c r="S322" s="1"/>
      <c r="T322" s="1"/>
      <c r="U322" s="1"/>
      <c r="V322" s="1"/>
      <c r="W322" s="1"/>
      <c r="X322" s="1"/>
      <c r="Y322" s="1"/>
      <c r="Z322" s="1"/>
      <c r="AA322" s="1"/>
      <c r="AB322" s="1"/>
    </row>
    <row r="323" spans="2:28" ht="11.25" customHeight="1" x14ac:dyDescent="0.25">
      <c r="B323" s="16"/>
      <c r="C323" s="1"/>
      <c r="D323" s="1"/>
      <c r="E323" s="1"/>
      <c r="F323" s="1"/>
      <c r="G323" s="22"/>
      <c r="H323" s="1"/>
      <c r="I323" s="1"/>
      <c r="J323" s="1"/>
      <c r="K323" s="1"/>
      <c r="L323" s="1"/>
      <c r="M323" s="262"/>
      <c r="N323" s="1"/>
      <c r="O323" s="1"/>
      <c r="P323" s="1"/>
      <c r="Q323" s="1"/>
      <c r="R323" s="1"/>
      <c r="S323" s="1"/>
      <c r="T323" s="1"/>
      <c r="U323" s="1"/>
      <c r="V323" s="1"/>
      <c r="W323" s="1"/>
      <c r="X323" s="1"/>
      <c r="Y323" s="1"/>
      <c r="Z323" s="1"/>
      <c r="AA323" s="1"/>
      <c r="AB323" s="1"/>
    </row>
    <row r="324" spans="2:28" ht="11.25" customHeight="1" x14ac:dyDescent="0.25">
      <c r="B324" s="16"/>
      <c r="C324" s="1"/>
      <c r="D324" s="1"/>
      <c r="E324" s="1"/>
      <c r="F324" s="1"/>
      <c r="G324" s="22"/>
      <c r="H324" s="1"/>
      <c r="I324" s="1"/>
      <c r="J324" s="1"/>
      <c r="K324" s="1"/>
      <c r="L324" s="1"/>
      <c r="M324" s="262"/>
      <c r="N324" s="1"/>
      <c r="O324" s="1"/>
      <c r="P324" s="1"/>
      <c r="Q324" s="1"/>
      <c r="R324" s="1"/>
      <c r="S324" s="1"/>
      <c r="T324" s="1"/>
      <c r="U324" s="1"/>
      <c r="V324" s="1"/>
      <c r="W324" s="1"/>
      <c r="X324" s="1"/>
      <c r="Y324" s="1"/>
      <c r="Z324" s="1"/>
      <c r="AA324" s="1"/>
      <c r="AB324" s="1"/>
    </row>
    <row r="325" spans="2:28" ht="11.25" customHeight="1" x14ac:dyDescent="0.25">
      <c r="B325" s="16"/>
      <c r="C325" s="1"/>
      <c r="D325" s="1"/>
      <c r="E325" s="1"/>
      <c r="F325" s="1"/>
      <c r="G325" s="22"/>
      <c r="H325" s="1"/>
      <c r="I325" s="1"/>
      <c r="J325" s="1"/>
      <c r="K325" s="1"/>
      <c r="L325" s="1"/>
      <c r="M325" s="262"/>
      <c r="N325" s="1"/>
      <c r="O325" s="1"/>
      <c r="P325" s="1"/>
      <c r="Q325" s="1"/>
      <c r="R325" s="1"/>
      <c r="S325" s="1"/>
      <c r="T325" s="1"/>
      <c r="U325" s="1"/>
      <c r="V325" s="1"/>
      <c r="W325" s="1"/>
      <c r="X325" s="1"/>
      <c r="Y325" s="1"/>
      <c r="Z325" s="1"/>
      <c r="AA325" s="1"/>
      <c r="AB325" s="1"/>
    </row>
    <row r="326" spans="2:28" ht="11.25" customHeight="1" x14ac:dyDescent="0.25">
      <c r="B326" s="16"/>
      <c r="C326" s="1"/>
      <c r="D326" s="1"/>
      <c r="E326" s="1"/>
      <c r="F326" s="1"/>
      <c r="G326" s="22"/>
      <c r="H326" s="1"/>
      <c r="I326" s="1"/>
      <c r="J326" s="1"/>
      <c r="K326" s="1"/>
      <c r="L326" s="1"/>
      <c r="M326" s="262"/>
      <c r="N326" s="1"/>
      <c r="O326" s="1"/>
      <c r="P326" s="1"/>
      <c r="Q326" s="1"/>
      <c r="R326" s="1"/>
      <c r="S326" s="1"/>
      <c r="T326" s="1"/>
      <c r="U326" s="1"/>
      <c r="V326" s="1"/>
      <c r="W326" s="1"/>
      <c r="X326" s="1"/>
      <c r="Y326" s="1"/>
      <c r="Z326" s="1"/>
      <c r="AA326" s="1"/>
      <c r="AB326" s="1"/>
    </row>
    <row r="327" spans="2:28" ht="11.25" customHeight="1" x14ac:dyDescent="0.25">
      <c r="B327" s="16"/>
      <c r="C327" s="1"/>
      <c r="D327" s="1"/>
      <c r="E327" s="1"/>
      <c r="F327" s="1"/>
      <c r="G327" s="22"/>
      <c r="H327" s="1"/>
      <c r="I327" s="1"/>
      <c r="J327" s="1"/>
      <c r="K327" s="1"/>
      <c r="L327" s="1"/>
      <c r="M327" s="262"/>
      <c r="N327" s="1"/>
      <c r="O327" s="1"/>
      <c r="P327" s="1"/>
      <c r="Q327" s="1"/>
      <c r="R327" s="1"/>
      <c r="S327" s="1"/>
      <c r="T327" s="1"/>
      <c r="U327" s="1"/>
      <c r="V327" s="1"/>
      <c r="W327" s="1"/>
      <c r="X327" s="1"/>
      <c r="Y327" s="1"/>
      <c r="Z327" s="1"/>
      <c r="AA327" s="1"/>
      <c r="AB327" s="1"/>
    </row>
    <row r="328" spans="2:28" ht="11.25" customHeight="1" x14ac:dyDescent="0.25">
      <c r="B328" s="16"/>
      <c r="C328" s="1"/>
      <c r="D328" s="1"/>
      <c r="E328" s="1"/>
      <c r="F328" s="1"/>
      <c r="G328" s="22"/>
      <c r="H328" s="1"/>
      <c r="I328" s="1"/>
      <c r="J328" s="1"/>
      <c r="K328" s="1"/>
      <c r="L328" s="1"/>
      <c r="M328" s="262"/>
      <c r="N328" s="1"/>
      <c r="O328" s="1"/>
      <c r="P328" s="1"/>
      <c r="Q328" s="1"/>
      <c r="R328" s="1"/>
      <c r="S328" s="1"/>
      <c r="T328" s="1"/>
      <c r="U328" s="1"/>
      <c r="V328" s="1"/>
      <c r="W328" s="1"/>
      <c r="X328" s="1"/>
      <c r="Y328" s="1"/>
      <c r="Z328" s="1"/>
      <c r="AA328" s="1"/>
      <c r="AB328" s="1"/>
    </row>
    <row r="329" spans="2:28" ht="11.25" customHeight="1" x14ac:dyDescent="0.25">
      <c r="B329" s="16"/>
      <c r="C329" s="1"/>
      <c r="D329" s="1"/>
      <c r="E329" s="1"/>
      <c r="F329" s="1"/>
      <c r="G329" s="22"/>
      <c r="H329" s="1"/>
      <c r="I329" s="1"/>
      <c r="J329" s="1"/>
      <c r="K329" s="1"/>
      <c r="L329" s="1"/>
      <c r="M329" s="262"/>
      <c r="N329" s="1"/>
      <c r="O329" s="1"/>
      <c r="P329" s="1"/>
      <c r="Q329" s="1"/>
      <c r="R329" s="1"/>
      <c r="S329" s="1"/>
      <c r="T329" s="1"/>
      <c r="U329" s="1"/>
      <c r="V329" s="1"/>
      <c r="W329" s="1"/>
      <c r="X329" s="1"/>
      <c r="Y329" s="1"/>
      <c r="Z329" s="1"/>
      <c r="AA329" s="1"/>
      <c r="AB329" s="1"/>
    </row>
    <row r="330" spans="2:28" ht="11.25" customHeight="1" x14ac:dyDescent="0.25">
      <c r="B330" s="16"/>
      <c r="C330" s="1"/>
      <c r="D330" s="1"/>
      <c r="E330" s="1"/>
      <c r="F330" s="1"/>
      <c r="G330" s="22"/>
      <c r="H330" s="1"/>
      <c r="I330" s="1"/>
      <c r="J330" s="1"/>
      <c r="K330" s="1"/>
      <c r="L330" s="1"/>
      <c r="M330" s="262"/>
      <c r="N330" s="1"/>
      <c r="O330" s="1"/>
      <c r="P330" s="1"/>
      <c r="Q330" s="1"/>
      <c r="R330" s="1"/>
      <c r="S330" s="1"/>
      <c r="T330" s="1"/>
      <c r="U330" s="1"/>
      <c r="V330" s="1"/>
      <c r="W330" s="1"/>
      <c r="X330" s="1"/>
      <c r="Y330" s="1"/>
      <c r="Z330" s="1"/>
      <c r="AA330" s="1"/>
      <c r="AB330" s="1"/>
    </row>
    <row r="331" spans="2:28" ht="11.25" customHeight="1" x14ac:dyDescent="0.25">
      <c r="B331" s="16"/>
      <c r="C331" s="1"/>
      <c r="D331" s="1"/>
      <c r="E331" s="1"/>
      <c r="F331" s="1"/>
      <c r="G331" s="22"/>
      <c r="H331" s="1"/>
      <c r="I331" s="1"/>
      <c r="J331" s="1"/>
      <c r="K331" s="1"/>
      <c r="L331" s="1"/>
      <c r="M331" s="262"/>
      <c r="N331" s="1"/>
      <c r="O331" s="1"/>
      <c r="P331" s="1"/>
      <c r="Q331" s="1"/>
      <c r="R331" s="1"/>
      <c r="S331" s="1"/>
      <c r="T331" s="1"/>
      <c r="U331" s="1"/>
      <c r="V331" s="1"/>
      <c r="W331" s="1"/>
      <c r="X331" s="1"/>
      <c r="Y331" s="1"/>
      <c r="Z331" s="1"/>
      <c r="AA331" s="1"/>
      <c r="AB331" s="1"/>
    </row>
    <row r="332" spans="2:28" ht="11.25" customHeight="1" x14ac:dyDescent="0.25">
      <c r="B332" s="16"/>
      <c r="C332" s="1"/>
      <c r="D332" s="1"/>
      <c r="E332" s="1"/>
      <c r="F332" s="1"/>
      <c r="G332" s="22"/>
      <c r="H332" s="1"/>
      <c r="I332" s="1"/>
      <c r="J332" s="1"/>
      <c r="K332" s="1"/>
      <c r="L332" s="1"/>
      <c r="M332" s="262"/>
      <c r="N332" s="1"/>
      <c r="O332" s="1"/>
      <c r="P332" s="1"/>
      <c r="Q332" s="1"/>
      <c r="R332" s="1"/>
      <c r="S332" s="1"/>
      <c r="T332" s="1"/>
      <c r="U332" s="1"/>
      <c r="V332" s="1"/>
      <c r="W332" s="1"/>
      <c r="X332" s="1"/>
      <c r="Y332" s="1"/>
      <c r="Z332" s="1"/>
      <c r="AA332" s="1"/>
      <c r="AB332" s="1"/>
    </row>
    <row r="333" spans="2:28" ht="11.25" customHeight="1" x14ac:dyDescent="0.25">
      <c r="B333" s="16"/>
      <c r="C333" s="1"/>
      <c r="D333" s="1"/>
      <c r="E333" s="1"/>
      <c r="F333" s="1"/>
      <c r="G333" s="22"/>
      <c r="H333" s="1"/>
      <c r="I333" s="1"/>
      <c r="J333" s="1"/>
      <c r="K333" s="1"/>
      <c r="L333" s="1"/>
      <c r="M333" s="262"/>
      <c r="N333" s="1"/>
      <c r="O333" s="1"/>
      <c r="P333" s="1"/>
      <c r="Q333" s="1"/>
      <c r="R333" s="1"/>
      <c r="S333" s="1"/>
      <c r="T333" s="1"/>
      <c r="U333" s="1"/>
      <c r="V333" s="1"/>
      <c r="W333" s="1"/>
      <c r="X333" s="1"/>
      <c r="Y333" s="1"/>
      <c r="Z333" s="1"/>
      <c r="AA333" s="1"/>
      <c r="AB333" s="1"/>
    </row>
    <row r="334" spans="2:28" ht="11.25" customHeight="1" x14ac:dyDescent="0.25">
      <c r="B334" s="16"/>
      <c r="C334" s="1"/>
      <c r="D334" s="1"/>
      <c r="E334" s="1"/>
      <c r="F334" s="1"/>
      <c r="G334" s="22"/>
      <c r="H334" s="1"/>
      <c r="I334" s="1"/>
      <c r="J334" s="1"/>
      <c r="K334" s="1"/>
      <c r="L334" s="1"/>
      <c r="M334" s="262"/>
      <c r="N334" s="1"/>
      <c r="O334" s="1"/>
      <c r="P334" s="1"/>
      <c r="Q334" s="1"/>
      <c r="R334" s="1"/>
      <c r="S334" s="1"/>
      <c r="T334" s="1"/>
      <c r="U334" s="1"/>
      <c r="V334" s="1"/>
      <c r="W334" s="1"/>
      <c r="X334" s="1"/>
      <c r="Y334" s="1"/>
      <c r="Z334" s="1"/>
      <c r="AA334" s="1"/>
      <c r="AB334" s="1"/>
    </row>
    <row r="335" spans="2:28" ht="11.25" customHeight="1" x14ac:dyDescent="0.25">
      <c r="B335" s="16"/>
      <c r="C335" s="1"/>
      <c r="D335" s="1"/>
      <c r="E335" s="1"/>
      <c r="F335" s="1"/>
      <c r="G335" s="22"/>
      <c r="H335" s="1"/>
      <c r="I335" s="1"/>
      <c r="J335" s="1"/>
      <c r="K335" s="1"/>
      <c r="L335" s="1"/>
      <c r="M335" s="262"/>
      <c r="N335" s="1"/>
      <c r="O335" s="1"/>
      <c r="P335" s="1"/>
      <c r="Q335" s="1"/>
      <c r="R335" s="1"/>
      <c r="S335" s="1"/>
      <c r="T335" s="1"/>
      <c r="U335" s="1"/>
      <c r="V335" s="1"/>
      <c r="W335" s="1"/>
      <c r="X335" s="1"/>
      <c r="Y335" s="1"/>
      <c r="Z335" s="1"/>
      <c r="AA335" s="1"/>
      <c r="AB335" s="1"/>
    </row>
    <row r="336" spans="2:28" ht="11.25" customHeight="1" x14ac:dyDescent="0.25">
      <c r="B336" s="16"/>
      <c r="C336" s="1"/>
      <c r="D336" s="1"/>
      <c r="E336" s="1"/>
      <c r="F336" s="1"/>
      <c r="G336" s="22"/>
      <c r="H336" s="1"/>
      <c r="I336" s="1"/>
      <c r="J336" s="1"/>
      <c r="K336" s="1"/>
      <c r="L336" s="1"/>
      <c r="M336" s="262"/>
      <c r="N336" s="1"/>
      <c r="O336" s="1"/>
      <c r="P336" s="1"/>
      <c r="Q336" s="1"/>
      <c r="R336" s="1"/>
      <c r="S336" s="1"/>
      <c r="T336" s="1"/>
      <c r="U336" s="1"/>
      <c r="V336" s="1"/>
      <c r="W336" s="1"/>
      <c r="X336" s="1"/>
      <c r="Y336" s="1"/>
      <c r="Z336" s="1"/>
      <c r="AA336" s="1"/>
      <c r="AB336" s="1"/>
    </row>
    <row r="337" spans="2:28" ht="11.25" customHeight="1" x14ac:dyDescent="0.25">
      <c r="B337" s="16"/>
      <c r="C337" s="1"/>
      <c r="D337" s="1"/>
      <c r="E337" s="1"/>
      <c r="F337" s="1"/>
      <c r="G337" s="22"/>
      <c r="H337" s="1"/>
      <c r="I337" s="1"/>
      <c r="J337" s="1"/>
      <c r="K337" s="1"/>
      <c r="L337" s="1"/>
      <c r="M337" s="262"/>
      <c r="N337" s="1"/>
      <c r="O337" s="1"/>
      <c r="P337" s="1"/>
      <c r="Q337" s="1"/>
      <c r="R337" s="1"/>
      <c r="S337" s="1"/>
      <c r="T337" s="1"/>
      <c r="U337" s="1"/>
      <c r="V337" s="1"/>
      <c r="W337" s="1"/>
      <c r="X337" s="1"/>
      <c r="Y337" s="1"/>
      <c r="Z337" s="1"/>
      <c r="AA337" s="1"/>
      <c r="AB337" s="1"/>
    </row>
    <row r="338" spans="2:28" ht="11.25" customHeight="1" x14ac:dyDescent="0.25">
      <c r="B338" s="16"/>
      <c r="C338" s="1"/>
      <c r="D338" s="1"/>
      <c r="E338" s="1"/>
      <c r="F338" s="1"/>
      <c r="G338" s="22"/>
      <c r="H338" s="1"/>
      <c r="I338" s="1"/>
      <c r="J338" s="1"/>
      <c r="K338" s="1"/>
      <c r="L338" s="1"/>
      <c r="M338" s="262"/>
      <c r="N338" s="1"/>
      <c r="O338" s="1"/>
      <c r="P338" s="1"/>
      <c r="Q338" s="1"/>
      <c r="R338" s="1"/>
      <c r="S338" s="1"/>
      <c r="T338" s="1"/>
      <c r="U338" s="1"/>
      <c r="V338" s="1"/>
      <c r="W338" s="1"/>
      <c r="X338" s="1"/>
      <c r="Y338" s="1"/>
      <c r="Z338" s="1"/>
      <c r="AA338" s="1"/>
      <c r="AB338" s="1"/>
    </row>
    <row r="339" spans="2:28" ht="11.25" customHeight="1" x14ac:dyDescent="0.25">
      <c r="B339" s="16"/>
      <c r="C339" s="1"/>
      <c r="D339" s="1"/>
      <c r="E339" s="1"/>
      <c r="F339" s="1"/>
      <c r="G339" s="22"/>
      <c r="H339" s="1"/>
      <c r="I339" s="1"/>
      <c r="J339" s="1"/>
      <c r="K339" s="1"/>
      <c r="L339" s="1"/>
      <c r="M339" s="262"/>
      <c r="N339" s="1"/>
      <c r="O339" s="1"/>
      <c r="P339" s="1"/>
      <c r="Q339" s="1"/>
      <c r="R339" s="1"/>
      <c r="S339" s="1"/>
      <c r="T339" s="1"/>
      <c r="U339" s="1"/>
      <c r="V339" s="1"/>
      <c r="W339" s="1"/>
      <c r="X339" s="1"/>
      <c r="Y339" s="1"/>
      <c r="Z339" s="1"/>
      <c r="AA339" s="1"/>
      <c r="AB339" s="1"/>
    </row>
    <row r="340" spans="2:28" ht="11.25" customHeight="1" x14ac:dyDescent="0.25">
      <c r="B340" s="16"/>
      <c r="C340" s="1"/>
      <c r="D340" s="1"/>
      <c r="E340" s="1"/>
      <c r="F340" s="1"/>
      <c r="G340" s="22"/>
      <c r="H340" s="1"/>
      <c r="I340" s="1"/>
      <c r="J340" s="1"/>
      <c r="K340" s="1"/>
      <c r="L340" s="1"/>
      <c r="M340" s="262"/>
      <c r="N340" s="1"/>
      <c r="O340" s="1"/>
      <c r="P340" s="1"/>
      <c r="Q340" s="1"/>
      <c r="R340" s="1"/>
      <c r="S340" s="1"/>
      <c r="T340" s="1"/>
      <c r="U340" s="1"/>
      <c r="V340" s="1"/>
      <c r="W340" s="1"/>
      <c r="X340" s="1"/>
      <c r="Y340" s="1"/>
      <c r="Z340" s="1"/>
      <c r="AA340" s="1"/>
      <c r="AB340" s="1"/>
    </row>
    <row r="341" spans="2:28" ht="11.25" customHeight="1" x14ac:dyDescent="0.25">
      <c r="B341" s="16"/>
      <c r="C341" s="1"/>
      <c r="D341" s="1"/>
      <c r="E341" s="1"/>
      <c r="F341" s="1"/>
      <c r="G341" s="22"/>
      <c r="H341" s="1"/>
      <c r="I341" s="1"/>
      <c r="J341" s="1"/>
      <c r="K341" s="1"/>
      <c r="L341" s="1"/>
      <c r="M341" s="262"/>
      <c r="N341" s="1"/>
      <c r="O341" s="1"/>
      <c r="P341" s="1"/>
      <c r="Q341" s="1"/>
      <c r="R341" s="1"/>
      <c r="S341" s="1"/>
      <c r="T341" s="1"/>
      <c r="U341" s="1"/>
      <c r="V341" s="1"/>
      <c r="W341" s="1"/>
      <c r="X341" s="1"/>
      <c r="Y341" s="1"/>
      <c r="Z341" s="1"/>
      <c r="AA341" s="1"/>
      <c r="AB341" s="1"/>
    </row>
    <row r="342" spans="2:28" ht="11.25" customHeight="1" x14ac:dyDescent="0.25">
      <c r="B342" s="16"/>
      <c r="C342" s="1"/>
      <c r="D342" s="1"/>
      <c r="E342" s="1"/>
      <c r="F342" s="1"/>
      <c r="G342" s="22"/>
      <c r="H342" s="1"/>
      <c r="I342" s="1"/>
      <c r="J342" s="1"/>
      <c r="K342" s="1"/>
      <c r="L342" s="1"/>
      <c r="M342" s="262"/>
      <c r="N342" s="1"/>
      <c r="O342" s="1"/>
      <c r="P342" s="1"/>
      <c r="Q342" s="1"/>
      <c r="R342" s="1"/>
      <c r="S342" s="1"/>
      <c r="T342" s="1"/>
      <c r="U342" s="1"/>
      <c r="V342" s="1"/>
      <c r="W342" s="1"/>
      <c r="X342" s="1"/>
      <c r="Y342" s="1"/>
      <c r="Z342" s="1"/>
      <c r="AA342" s="1"/>
      <c r="AB342" s="1"/>
    </row>
    <row r="343" spans="2:28" ht="11.25" customHeight="1" x14ac:dyDescent="0.25">
      <c r="B343" s="16"/>
      <c r="C343" s="1"/>
      <c r="D343" s="1"/>
      <c r="E343" s="1"/>
      <c r="F343" s="1"/>
      <c r="G343" s="22"/>
      <c r="H343" s="1"/>
      <c r="I343" s="1"/>
      <c r="J343" s="1"/>
      <c r="K343" s="1"/>
      <c r="L343" s="1"/>
      <c r="M343" s="262"/>
      <c r="N343" s="1"/>
      <c r="O343" s="1"/>
      <c r="P343" s="1"/>
      <c r="Q343" s="1"/>
      <c r="R343" s="1"/>
      <c r="S343" s="1"/>
      <c r="T343" s="1"/>
      <c r="U343" s="1"/>
      <c r="V343" s="1"/>
      <c r="W343" s="1"/>
      <c r="X343" s="1"/>
      <c r="Y343" s="1"/>
      <c r="Z343" s="1"/>
      <c r="AA343" s="1"/>
      <c r="AB343" s="1"/>
    </row>
    <row r="344" spans="2:28" ht="11.25" customHeight="1" x14ac:dyDescent="0.25">
      <c r="B344" s="16"/>
      <c r="C344" s="1"/>
      <c r="D344" s="1"/>
      <c r="E344" s="1"/>
      <c r="F344" s="1"/>
      <c r="G344" s="22"/>
      <c r="H344" s="1"/>
      <c r="I344" s="1"/>
      <c r="J344" s="1"/>
      <c r="K344" s="1"/>
      <c r="L344" s="1"/>
      <c r="M344" s="262"/>
      <c r="N344" s="1"/>
      <c r="O344" s="1"/>
      <c r="P344" s="1"/>
      <c r="Q344" s="1"/>
      <c r="R344" s="1"/>
      <c r="S344" s="1"/>
      <c r="T344" s="1"/>
      <c r="U344" s="1"/>
      <c r="V344" s="1"/>
      <c r="W344" s="1"/>
      <c r="X344" s="1"/>
      <c r="Y344" s="1"/>
      <c r="Z344" s="1"/>
      <c r="AA344" s="1"/>
      <c r="AB344" s="1"/>
    </row>
    <row r="345" spans="2:28" ht="11.25" customHeight="1" x14ac:dyDescent="0.25">
      <c r="B345" s="16"/>
      <c r="C345" s="1"/>
      <c r="D345" s="1"/>
      <c r="E345" s="1"/>
      <c r="F345" s="1"/>
      <c r="G345" s="22"/>
      <c r="H345" s="1"/>
      <c r="I345" s="1"/>
      <c r="J345" s="1"/>
      <c r="K345" s="1"/>
      <c r="L345" s="1"/>
      <c r="M345" s="262"/>
      <c r="N345" s="1"/>
      <c r="O345" s="1"/>
      <c r="P345" s="1"/>
      <c r="Q345" s="1"/>
      <c r="R345" s="1"/>
      <c r="S345" s="1"/>
      <c r="T345" s="1"/>
      <c r="U345" s="1"/>
      <c r="V345" s="1"/>
      <c r="W345" s="1"/>
      <c r="X345" s="1"/>
      <c r="Y345" s="1"/>
      <c r="Z345" s="1"/>
      <c r="AA345" s="1"/>
      <c r="AB345" s="1"/>
    </row>
    <row r="346" spans="2:28" ht="11.25" customHeight="1" x14ac:dyDescent="0.25">
      <c r="B346" s="16"/>
      <c r="C346" s="1"/>
      <c r="D346" s="1"/>
      <c r="E346" s="1"/>
      <c r="F346" s="1"/>
      <c r="G346" s="22"/>
      <c r="H346" s="1"/>
      <c r="I346" s="1"/>
      <c r="J346" s="1"/>
      <c r="K346" s="1"/>
      <c r="L346" s="1"/>
      <c r="M346" s="262"/>
      <c r="N346" s="1"/>
      <c r="O346" s="1"/>
      <c r="P346" s="1"/>
      <c r="Q346" s="1"/>
      <c r="R346" s="1"/>
      <c r="S346" s="1"/>
      <c r="T346" s="1"/>
      <c r="U346" s="1"/>
      <c r="V346" s="1"/>
      <c r="W346" s="1"/>
      <c r="X346" s="1"/>
      <c r="Y346" s="1"/>
      <c r="Z346" s="1"/>
      <c r="AA346" s="1"/>
      <c r="AB346" s="1"/>
    </row>
    <row r="347" spans="2:28" ht="11.25" customHeight="1" x14ac:dyDescent="0.25">
      <c r="B347" s="16"/>
      <c r="C347" s="1"/>
      <c r="D347" s="1"/>
      <c r="E347" s="1"/>
      <c r="F347" s="1"/>
      <c r="G347" s="22"/>
      <c r="H347" s="1"/>
      <c r="I347" s="1"/>
      <c r="J347" s="1"/>
      <c r="K347" s="1"/>
      <c r="L347" s="1"/>
      <c r="M347" s="262"/>
      <c r="N347" s="1"/>
      <c r="O347" s="1"/>
      <c r="P347" s="1"/>
      <c r="Q347" s="1"/>
      <c r="R347" s="1"/>
      <c r="S347" s="1"/>
      <c r="T347" s="1"/>
      <c r="U347" s="1"/>
      <c r="V347" s="1"/>
      <c r="W347" s="1"/>
      <c r="X347" s="1"/>
      <c r="Y347" s="1"/>
      <c r="Z347" s="1"/>
      <c r="AA347" s="1"/>
      <c r="AB347" s="1"/>
    </row>
    <row r="348" spans="2:28" ht="11.25" customHeight="1" x14ac:dyDescent="0.25">
      <c r="B348" s="16"/>
      <c r="C348" s="1"/>
      <c r="D348" s="1"/>
      <c r="E348" s="1"/>
      <c r="F348" s="1"/>
      <c r="G348" s="22"/>
      <c r="H348" s="1"/>
      <c r="I348" s="1"/>
      <c r="J348" s="1"/>
      <c r="K348" s="1"/>
      <c r="L348" s="1"/>
      <c r="M348" s="262"/>
      <c r="N348" s="1"/>
      <c r="O348" s="1"/>
      <c r="P348" s="1"/>
      <c r="Q348" s="1"/>
      <c r="R348" s="1"/>
      <c r="S348" s="1"/>
      <c r="T348" s="1"/>
      <c r="U348" s="1"/>
      <c r="V348" s="1"/>
      <c r="W348" s="1"/>
      <c r="X348" s="1"/>
      <c r="Y348" s="1"/>
      <c r="Z348" s="1"/>
      <c r="AA348" s="1"/>
      <c r="AB348" s="1"/>
    </row>
    <row r="349" spans="2:28" ht="11.25" customHeight="1" x14ac:dyDescent="0.25">
      <c r="B349" s="16"/>
      <c r="C349" s="1"/>
      <c r="D349" s="1"/>
      <c r="E349" s="1"/>
      <c r="F349" s="1"/>
      <c r="G349" s="22"/>
      <c r="H349" s="1"/>
      <c r="I349" s="1"/>
      <c r="J349" s="1"/>
      <c r="K349" s="1"/>
      <c r="L349" s="1"/>
      <c r="M349" s="262"/>
      <c r="N349" s="1"/>
      <c r="O349" s="1"/>
      <c r="P349" s="1"/>
      <c r="Q349" s="1"/>
      <c r="R349" s="1"/>
      <c r="S349" s="1"/>
      <c r="T349" s="1"/>
      <c r="U349" s="1"/>
      <c r="V349" s="1"/>
      <c r="W349" s="1"/>
      <c r="X349" s="1"/>
      <c r="Y349" s="1"/>
      <c r="Z349" s="1"/>
      <c r="AA349" s="1"/>
      <c r="AB349" s="1"/>
    </row>
    <row r="350" spans="2:28" ht="11.25" customHeight="1" x14ac:dyDescent="0.25">
      <c r="B350" s="16"/>
      <c r="C350" s="1"/>
      <c r="D350" s="1"/>
      <c r="E350" s="1"/>
      <c r="F350" s="1"/>
      <c r="G350" s="22"/>
      <c r="H350" s="1"/>
      <c r="I350" s="1"/>
      <c r="J350" s="1"/>
      <c r="K350" s="1"/>
      <c r="L350" s="1"/>
      <c r="M350" s="262"/>
      <c r="N350" s="1"/>
      <c r="O350" s="1"/>
      <c r="P350" s="1"/>
      <c r="Q350" s="1"/>
      <c r="R350" s="1"/>
      <c r="S350" s="1"/>
      <c r="T350" s="1"/>
      <c r="U350" s="1"/>
      <c r="V350" s="1"/>
      <c r="W350" s="1"/>
      <c r="X350" s="1"/>
      <c r="Y350" s="1"/>
      <c r="Z350" s="1"/>
      <c r="AA350" s="1"/>
      <c r="AB350" s="1"/>
    </row>
    <row r="351" spans="2:28" ht="11.25" customHeight="1" x14ac:dyDescent="0.25">
      <c r="B351" s="16"/>
      <c r="C351" s="1"/>
      <c r="D351" s="1"/>
      <c r="E351" s="1"/>
      <c r="F351" s="1"/>
      <c r="G351" s="22"/>
      <c r="H351" s="1"/>
      <c r="I351" s="1"/>
      <c r="J351" s="1"/>
      <c r="K351" s="1"/>
      <c r="L351" s="1"/>
      <c r="M351" s="262"/>
      <c r="N351" s="1"/>
      <c r="O351" s="1"/>
      <c r="P351" s="1"/>
      <c r="Q351" s="1"/>
      <c r="R351" s="1"/>
      <c r="S351" s="1"/>
      <c r="T351" s="1"/>
      <c r="U351" s="1"/>
      <c r="V351" s="1"/>
      <c r="W351" s="1"/>
      <c r="X351" s="1"/>
      <c r="Y351" s="1"/>
      <c r="Z351" s="1"/>
      <c r="AA351" s="1"/>
      <c r="AB351" s="1"/>
    </row>
    <row r="352" spans="2:28" ht="11.25" customHeight="1" x14ac:dyDescent="0.25">
      <c r="B352" s="16"/>
      <c r="C352" s="1"/>
      <c r="D352" s="1"/>
      <c r="E352" s="1"/>
      <c r="F352" s="1"/>
      <c r="G352" s="22"/>
      <c r="H352" s="1"/>
      <c r="I352" s="1"/>
      <c r="J352" s="1"/>
      <c r="K352" s="1"/>
      <c r="L352" s="1"/>
      <c r="M352" s="262"/>
      <c r="N352" s="1"/>
      <c r="O352" s="1"/>
      <c r="P352" s="1"/>
      <c r="Q352" s="1"/>
      <c r="R352" s="1"/>
      <c r="S352" s="1"/>
      <c r="T352" s="1"/>
      <c r="U352" s="1"/>
      <c r="V352" s="1"/>
      <c r="W352" s="1"/>
      <c r="X352" s="1"/>
      <c r="Y352" s="1"/>
      <c r="Z352" s="1"/>
      <c r="AA352" s="1"/>
      <c r="AB352" s="1"/>
    </row>
    <row r="353" spans="2:28" ht="11.25" customHeight="1" x14ac:dyDescent="0.25">
      <c r="B353" s="16"/>
      <c r="C353" s="1"/>
      <c r="D353" s="1"/>
      <c r="E353" s="1"/>
      <c r="F353" s="1"/>
      <c r="G353" s="22"/>
      <c r="H353" s="1"/>
      <c r="I353" s="1"/>
      <c r="J353" s="1"/>
      <c r="K353" s="1"/>
      <c r="L353" s="1"/>
      <c r="M353" s="262"/>
      <c r="N353" s="1"/>
      <c r="O353" s="1"/>
      <c r="P353" s="1"/>
      <c r="Q353" s="1"/>
      <c r="R353" s="1"/>
      <c r="S353" s="1"/>
      <c r="T353" s="1"/>
      <c r="U353" s="1"/>
      <c r="V353" s="1"/>
      <c r="W353" s="1"/>
      <c r="X353" s="1"/>
      <c r="Y353" s="1"/>
      <c r="Z353" s="1"/>
      <c r="AA353" s="1"/>
      <c r="AB353" s="1"/>
    </row>
    <row r="354" spans="2:28" ht="11.25" customHeight="1" x14ac:dyDescent="0.25">
      <c r="B354" s="16"/>
      <c r="C354" s="1"/>
      <c r="D354" s="1"/>
      <c r="E354" s="1"/>
      <c r="F354" s="1"/>
      <c r="G354" s="22"/>
      <c r="H354" s="1"/>
      <c r="I354" s="1"/>
      <c r="J354" s="1"/>
      <c r="K354" s="1"/>
      <c r="L354" s="1"/>
      <c r="M354" s="262"/>
      <c r="N354" s="1"/>
      <c r="O354" s="1"/>
      <c r="P354" s="1"/>
      <c r="Q354" s="1"/>
      <c r="R354" s="1"/>
      <c r="S354" s="1"/>
      <c r="T354" s="1"/>
      <c r="U354" s="1"/>
      <c r="V354" s="1"/>
      <c r="W354" s="1"/>
      <c r="X354" s="1"/>
      <c r="Y354" s="1"/>
      <c r="Z354" s="1"/>
      <c r="AA354" s="1"/>
      <c r="AB354" s="1"/>
    </row>
    <row r="355" spans="2:28" ht="11.25" customHeight="1" x14ac:dyDescent="0.25">
      <c r="B355" s="16"/>
      <c r="C355" s="1"/>
      <c r="D355" s="1"/>
      <c r="E355" s="1"/>
      <c r="F355" s="1"/>
      <c r="G355" s="22"/>
      <c r="H355" s="1"/>
      <c r="I355" s="1"/>
      <c r="J355" s="1"/>
      <c r="K355" s="1"/>
      <c r="L355" s="1"/>
      <c r="M355" s="262"/>
      <c r="N355" s="1"/>
      <c r="O355" s="1"/>
      <c r="P355" s="1"/>
      <c r="Q355" s="1"/>
      <c r="R355" s="1"/>
      <c r="S355" s="1"/>
      <c r="T355" s="1"/>
      <c r="U355" s="1"/>
      <c r="V355" s="1"/>
      <c r="W355" s="1"/>
      <c r="X355" s="1"/>
      <c r="Y355" s="1"/>
      <c r="Z355" s="1"/>
      <c r="AA355" s="1"/>
      <c r="AB355" s="1"/>
    </row>
    <row r="356" spans="2:28" ht="11.25" customHeight="1" x14ac:dyDescent="0.25">
      <c r="B356" s="16"/>
      <c r="C356" s="1"/>
      <c r="D356" s="1"/>
      <c r="E356" s="1"/>
      <c r="F356" s="1"/>
      <c r="G356" s="22"/>
      <c r="H356" s="1"/>
      <c r="I356" s="1"/>
      <c r="J356" s="1"/>
      <c r="K356" s="1"/>
      <c r="L356" s="1"/>
      <c r="M356" s="262"/>
      <c r="N356" s="1"/>
      <c r="O356" s="1"/>
      <c r="P356" s="1"/>
      <c r="Q356" s="1"/>
      <c r="R356" s="1"/>
      <c r="S356" s="1"/>
      <c r="T356" s="1"/>
      <c r="U356" s="1"/>
      <c r="V356" s="1"/>
      <c r="W356" s="1"/>
      <c r="X356" s="1"/>
      <c r="Y356" s="1"/>
      <c r="Z356" s="1"/>
      <c r="AA356" s="1"/>
      <c r="AB356" s="1"/>
    </row>
    <row r="357" spans="2:28" ht="11.25" customHeight="1" x14ac:dyDescent="0.25">
      <c r="B357" s="16"/>
      <c r="C357" s="1"/>
      <c r="D357" s="1"/>
      <c r="E357" s="1"/>
      <c r="F357" s="1"/>
      <c r="G357" s="22"/>
      <c r="H357" s="1"/>
      <c r="I357" s="1"/>
      <c r="J357" s="1"/>
      <c r="K357" s="1"/>
      <c r="L357" s="1"/>
      <c r="M357" s="262"/>
      <c r="N357" s="1"/>
      <c r="O357" s="1"/>
      <c r="P357" s="1"/>
      <c r="Q357" s="1"/>
      <c r="R357" s="1"/>
      <c r="S357" s="1"/>
      <c r="T357" s="1"/>
      <c r="U357" s="1"/>
      <c r="V357" s="1"/>
      <c r="W357" s="1"/>
      <c r="X357" s="1"/>
      <c r="Y357" s="1"/>
      <c r="Z357" s="1"/>
      <c r="AA357" s="1"/>
      <c r="AB357" s="1"/>
    </row>
    <row r="358" spans="2:28" ht="11.25" customHeight="1" x14ac:dyDescent="0.25">
      <c r="B358" s="16"/>
      <c r="C358" s="1"/>
      <c r="D358" s="1"/>
      <c r="E358" s="1"/>
      <c r="F358" s="1"/>
      <c r="G358" s="22"/>
      <c r="H358" s="1"/>
      <c r="I358" s="1"/>
      <c r="J358" s="1"/>
      <c r="K358" s="1"/>
      <c r="L358" s="1"/>
      <c r="M358" s="262"/>
      <c r="N358" s="1"/>
      <c r="O358" s="1"/>
      <c r="P358" s="1"/>
      <c r="Q358" s="1"/>
      <c r="R358" s="1"/>
      <c r="S358" s="1"/>
      <c r="T358" s="1"/>
      <c r="U358" s="1"/>
      <c r="V358" s="1"/>
      <c r="W358" s="1"/>
      <c r="X358" s="1"/>
      <c r="Y358" s="1"/>
      <c r="Z358" s="1"/>
      <c r="AA358" s="1"/>
      <c r="AB358" s="1"/>
    </row>
    <row r="359" spans="2:28" ht="11.25" customHeight="1" x14ac:dyDescent="0.25">
      <c r="B359" s="16"/>
      <c r="C359" s="1"/>
      <c r="D359" s="1"/>
      <c r="E359" s="1"/>
      <c r="F359" s="1"/>
      <c r="G359" s="22"/>
      <c r="H359" s="1"/>
      <c r="I359" s="1"/>
      <c r="J359" s="1"/>
      <c r="K359" s="1"/>
      <c r="L359" s="1"/>
      <c r="M359" s="262"/>
      <c r="N359" s="1"/>
      <c r="O359" s="1"/>
      <c r="P359" s="1"/>
      <c r="Q359" s="1"/>
      <c r="R359" s="1"/>
      <c r="S359" s="1"/>
      <c r="T359" s="1"/>
      <c r="U359" s="1"/>
      <c r="V359" s="1"/>
      <c r="W359" s="1"/>
      <c r="X359" s="1"/>
      <c r="Y359" s="1"/>
      <c r="Z359" s="1"/>
      <c r="AA359" s="1"/>
      <c r="AB359" s="1"/>
    </row>
    <row r="360" spans="2:28" ht="11.25" customHeight="1" x14ac:dyDescent="0.25">
      <c r="B360" s="16"/>
      <c r="C360" s="1"/>
      <c r="D360" s="1"/>
      <c r="E360" s="1"/>
      <c r="F360" s="1"/>
      <c r="G360" s="22"/>
      <c r="H360" s="1"/>
      <c r="I360" s="1"/>
      <c r="J360" s="1"/>
      <c r="K360" s="1"/>
      <c r="L360" s="1"/>
      <c r="M360" s="262"/>
      <c r="N360" s="1"/>
      <c r="O360" s="1"/>
      <c r="P360" s="1"/>
      <c r="Q360" s="1"/>
      <c r="R360" s="1"/>
      <c r="S360" s="1"/>
      <c r="T360" s="1"/>
      <c r="U360" s="1"/>
      <c r="V360" s="1"/>
      <c r="W360" s="1"/>
      <c r="X360" s="1"/>
      <c r="Y360" s="1"/>
      <c r="Z360" s="1"/>
      <c r="AA360" s="1"/>
      <c r="AB360" s="1"/>
    </row>
    <row r="361" spans="2:28" ht="11.25" customHeight="1" x14ac:dyDescent="0.25">
      <c r="B361" s="16"/>
      <c r="C361" s="1"/>
      <c r="D361" s="1"/>
      <c r="E361" s="1"/>
      <c r="F361" s="1"/>
      <c r="G361" s="22"/>
      <c r="H361" s="1"/>
      <c r="I361" s="1"/>
      <c r="J361" s="1"/>
      <c r="K361" s="1"/>
      <c r="L361" s="1"/>
      <c r="M361" s="262"/>
      <c r="N361" s="1"/>
      <c r="O361" s="1"/>
      <c r="P361" s="1"/>
      <c r="Q361" s="1"/>
      <c r="R361" s="1"/>
      <c r="S361" s="1"/>
      <c r="T361" s="1"/>
      <c r="U361" s="1"/>
      <c r="V361" s="1"/>
      <c r="W361" s="1"/>
      <c r="X361" s="1"/>
      <c r="Y361" s="1"/>
      <c r="Z361" s="1"/>
      <c r="AA361" s="1"/>
      <c r="AB361" s="1"/>
    </row>
    <row r="362" spans="2:28" ht="11.25" customHeight="1" x14ac:dyDescent="0.25">
      <c r="B362" s="16"/>
      <c r="C362" s="1"/>
      <c r="D362" s="1"/>
      <c r="E362" s="1"/>
      <c r="F362" s="1"/>
      <c r="G362" s="22"/>
      <c r="H362" s="1"/>
      <c r="I362" s="1"/>
      <c r="J362" s="1"/>
      <c r="K362" s="1"/>
      <c r="L362" s="1"/>
      <c r="M362" s="262"/>
      <c r="N362" s="1"/>
      <c r="O362" s="1"/>
      <c r="P362" s="1"/>
      <c r="Q362" s="1"/>
      <c r="R362" s="1"/>
      <c r="S362" s="1"/>
      <c r="T362" s="1"/>
      <c r="U362" s="1"/>
      <c r="V362" s="1"/>
      <c r="W362" s="1"/>
      <c r="X362" s="1"/>
      <c r="Y362" s="1"/>
      <c r="Z362" s="1"/>
      <c r="AA362" s="1"/>
      <c r="AB362" s="1"/>
    </row>
    <row r="363" spans="2:28" ht="11.25" customHeight="1" x14ac:dyDescent="0.25">
      <c r="B363" s="16"/>
      <c r="C363" s="1"/>
      <c r="D363" s="1"/>
      <c r="E363" s="1"/>
      <c r="F363" s="1"/>
      <c r="G363" s="22"/>
      <c r="H363" s="1"/>
      <c r="I363" s="1"/>
      <c r="J363" s="1"/>
      <c r="K363" s="1"/>
      <c r="L363" s="1"/>
      <c r="M363" s="262"/>
      <c r="N363" s="1"/>
      <c r="O363" s="1"/>
      <c r="P363" s="1"/>
      <c r="Q363" s="1"/>
      <c r="R363" s="1"/>
      <c r="S363" s="1"/>
      <c r="T363" s="1"/>
      <c r="U363" s="1"/>
      <c r="V363" s="1"/>
      <c r="W363" s="1"/>
      <c r="X363" s="1"/>
      <c r="Y363" s="1"/>
      <c r="Z363" s="1"/>
      <c r="AA363" s="1"/>
      <c r="AB363" s="1"/>
    </row>
    <row r="364" spans="2:28" ht="11.25" customHeight="1" x14ac:dyDescent="0.25">
      <c r="B364" s="16"/>
      <c r="C364" s="1"/>
      <c r="D364" s="1"/>
      <c r="E364" s="1"/>
      <c r="F364" s="1"/>
      <c r="G364" s="22"/>
      <c r="H364" s="1"/>
      <c r="I364" s="1"/>
      <c r="J364" s="1"/>
      <c r="K364" s="1"/>
      <c r="L364" s="1"/>
      <c r="M364" s="262"/>
      <c r="N364" s="1"/>
      <c r="O364" s="1"/>
      <c r="P364" s="1"/>
      <c r="Q364" s="1"/>
      <c r="R364" s="1"/>
      <c r="S364" s="1"/>
      <c r="T364" s="1"/>
      <c r="U364" s="1"/>
      <c r="V364" s="1"/>
      <c r="W364" s="1"/>
      <c r="X364" s="1"/>
      <c r="Y364" s="1"/>
      <c r="Z364" s="1"/>
      <c r="AA364" s="1"/>
      <c r="AB364" s="1"/>
    </row>
    <row r="365" spans="2:28" ht="11.25" customHeight="1" x14ac:dyDescent="0.25">
      <c r="B365" s="16"/>
      <c r="C365" s="1"/>
      <c r="D365" s="1"/>
      <c r="E365" s="1"/>
      <c r="F365" s="1"/>
      <c r="G365" s="22"/>
      <c r="H365" s="1"/>
      <c r="I365" s="1"/>
      <c r="J365" s="1"/>
      <c r="K365" s="1"/>
      <c r="L365" s="1"/>
      <c r="M365" s="262"/>
      <c r="N365" s="1"/>
      <c r="O365" s="1"/>
      <c r="P365" s="1"/>
      <c r="Q365" s="1"/>
      <c r="R365" s="1"/>
      <c r="S365" s="1"/>
      <c r="T365" s="1"/>
      <c r="U365" s="1"/>
      <c r="V365" s="1"/>
      <c r="W365" s="1"/>
      <c r="X365" s="1"/>
      <c r="Y365" s="1"/>
      <c r="Z365" s="1"/>
      <c r="AA365" s="1"/>
      <c r="AB365" s="1"/>
    </row>
    <row r="366" spans="2:28" ht="11.25" customHeight="1" x14ac:dyDescent="0.25">
      <c r="B366" s="16"/>
      <c r="C366" s="1"/>
      <c r="D366" s="1"/>
      <c r="E366" s="1"/>
      <c r="F366" s="1"/>
      <c r="G366" s="22"/>
      <c r="H366" s="1"/>
      <c r="I366" s="1"/>
      <c r="J366" s="1"/>
      <c r="K366" s="1"/>
      <c r="L366" s="1"/>
      <c r="M366" s="262"/>
      <c r="N366" s="1"/>
      <c r="O366" s="1"/>
      <c r="P366" s="1"/>
      <c r="Q366" s="1"/>
      <c r="R366" s="1"/>
      <c r="S366" s="1"/>
      <c r="T366" s="1"/>
      <c r="U366" s="1"/>
      <c r="V366" s="1"/>
      <c r="W366" s="1"/>
      <c r="X366" s="1"/>
      <c r="Y366" s="1"/>
      <c r="Z366" s="1"/>
      <c r="AA366" s="1"/>
      <c r="AB366" s="1"/>
    </row>
    <row r="367" spans="2:28" ht="11.25" customHeight="1" x14ac:dyDescent="0.25">
      <c r="B367" s="16"/>
      <c r="C367" s="1"/>
      <c r="D367" s="1"/>
      <c r="E367" s="1"/>
      <c r="F367" s="1"/>
      <c r="G367" s="22"/>
      <c r="H367" s="1"/>
      <c r="I367" s="1"/>
      <c r="J367" s="1"/>
      <c r="K367" s="1"/>
      <c r="L367" s="1"/>
      <c r="M367" s="262"/>
      <c r="N367" s="1"/>
      <c r="O367" s="1"/>
      <c r="P367" s="1"/>
      <c r="Q367" s="1"/>
      <c r="R367" s="1"/>
      <c r="S367" s="1"/>
      <c r="T367" s="1"/>
      <c r="U367" s="1"/>
      <c r="V367" s="1"/>
      <c r="W367" s="1"/>
      <c r="X367" s="1"/>
      <c r="Y367" s="1"/>
      <c r="Z367" s="1"/>
      <c r="AA367" s="1"/>
      <c r="AB367" s="1"/>
    </row>
    <row r="368" spans="2:28" ht="11.25" customHeight="1" x14ac:dyDescent="0.25">
      <c r="B368" s="16"/>
      <c r="C368" s="1"/>
      <c r="D368" s="1"/>
      <c r="E368" s="1"/>
      <c r="F368" s="1"/>
      <c r="G368" s="22"/>
      <c r="H368" s="1"/>
      <c r="I368" s="1"/>
      <c r="J368" s="1"/>
      <c r="K368" s="1"/>
      <c r="L368" s="1"/>
      <c r="M368" s="262"/>
      <c r="N368" s="1"/>
      <c r="O368" s="1"/>
      <c r="P368" s="1"/>
      <c r="Q368" s="1"/>
      <c r="R368" s="1"/>
      <c r="S368" s="1"/>
      <c r="T368" s="1"/>
      <c r="U368" s="1"/>
      <c r="V368" s="1"/>
      <c r="W368" s="1"/>
      <c r="X368" s="1"/>
      <c r="Y368" s="1"/>
      <c r="Z368" s="1"/>
      <c r="AA368" s="1"/>
      <c r="AB368" s="1"/>
    </row>
    <row r="369" spans="2:28" ht="11.25" customHeight="1" x14ac:dyDescent="0.25">
      <c r="B369" s="16"/>
      <c r="C369" s="1"/>
      <c r="D369" s="1"/>
      <c r="E369" s="1"/>
      <c r="F369" s="1"/>
      <c r="G369" s="22"/>
      <c r="H369" s="1"/>
      <c r="I369" s="1"/>
      <c r="J369" s="1"/>
      <c r="K369" s="1"/>
      <c r="L369" s="1"/>
      <c r="M369" s="262"/>
      <c r="N369" s="1"/>
      <c r="O369" s="1"/>
      <c r="P369" s="1"/>
      <c r="Q369" s="1"/>
      <c r="R369" s="1"/>
      <c r="S369" s="1"/>
      <c r="T369" s="1"/>
      <c r="U369" s="1"/>
      <c r="V369" s="1"/>
      <c r="W369" s="1"/>
      <c r="X369" s="1"/>
      <c r="Y369" s="1"/>
      <c r="Z369" s="1"/>
      <c r="AA369" s="1"/>
      <c r="AB369" s="1"/>
    </row>
    <row r="370" spans="2:28" ht="11.25" customHeight="1" x14ac:dyDescent="0.25">
      <c r="B370" s="16"/>
      <c r="C370" s="1"/>
      <c r="D370" s="1"/>
      <c r="E370" s="1"/>
      <c r="F370" s="1"/>
      <c r="G370" s="22"/>
      <c r="H370" s="1"/>
      <c r="I370" s="1"/>
      <c r="J370" s="1"/>
      <c r="K370" s="1"/>
      <c r="L370" s="1"/>
      <c r="M370" s="262"/>
      <c r="N370" s="1"/>
      <c r="O370" s="1"/>
      <c r="P370" s="1"/>
      <c r="Q370" s="1"/>
      <c r="R370" s="1"/>
      <c r="S370" s="1"/>
      <c r="T370" s="1"/>
      <c r="U370" s="1"/>
      <c r="V370" s="1"/>
      <c r="W370" s="1"/>
      <c r="X370" s="1"/>
      <c r="Y370" s="1"/>
      <c r="Z370" s="1"/>
      <c r="AA370" s="1"/>
      <c r="AB370" s="1"/>
    </row>
    <row r="371" spans="2:28" ht="11.25" customHeight="1" x14ac:dyDescent="0.25">
      <c r="B371" s="16"/>
      <c r="C371" s="1"/>
      <c r="D371" s="1"/>
      <c r="E371" s="1"/>
      <c r="F371" s="1"/>
      <c r="G371" s="22"/>
      <c r="H371" s="1"/>
      <c r="I371" s="1"/>
      <c r="J371" s="1"/>
      <c r="K371" s="1"/>
      <c r="L371" s="1"/>
      <c r="M371" s="262"/>
      <c r="N371" s="1"/>
      <c r="O371" s="1"/>
      <c r="P371" s="1"/>
      <c r="Q371" s="1"/>
      <c r="R371" s="1"/>
      <c r="S371" s="1"/>
      <c r="T371" s="1"/>
      <c r="U371" s="1"/>
      <c r="V371" s="1"/>
      <c r="W371" s="1"/>
      <c r="X371" s="1"/>
      <c r="Y371" s="1"/>
      <c r="Z371" s="1"/>
      <c r="AA371" s="1"/>
      <c r="AB371" s="1"/>
    </row>
    <row r="372" spans="2:28" ht="11.25" customHeight="1" x14ac:dyDescent="0.25">
      <c r="B372" s="16"/>
      <c r="C372" s="1"/>
      <c r="D372" s="1"/>
      <c r="E372" s="1"/>
      <c r="F372" s="1"/>
      <c r="G372" s="22"/>
      <c r="H372" s="1"/>
      <c r="I372" s="1"/>
      <c r="J372" s="1"/>
      <c r="K372" s="1"/>
      <c r="L372" s="1"/>
      <c r="M372" s="262"/>
      <c r="N372" s="1"/>
      <c r="O372" s="1"/>
      <c r="P372" s="1"/>
      <c r="Q372" s="1"/>
      <c r="R372" s="1"/>
      <c r="S372" s="1"/>
      <c r="T372" s="1"/>
      <c r="U372" s="1"/>
      <c r="V372" s="1"/>
      <c r="W372" s="1"/>
      <c r="X372" s="1"/>
      <c r="Y372" s="1"/>
      <c r="Z372" s="1"/>
      <c r="AA372" s="1"/>
      <c r="AB372" s="1"/>
    </row>
    <row r="373" spans="2:28" ht="11.25" customHeight="1" x14ac:dyDescent="0.25">
      <c r="B373" s="16"/>
      <c r="C373" s="1"/>
      <c r="D373" s="1"/>
      <c r="E373" s="1"/>
      <c r="F373" s="1"/>
      <c r="G373" s="22"/>
      <c r="H373" s="1"/>
      <c r="I373" s="1"/>
      <c r="J373" s="1"/>
      <c r="K373" s="1"/>
      <c r="L373" s="1"/>
      <c r="M373" s="262"/>
      <c r="N373" s="1"/>
      <c r="O373" s="1"/>
      <c r="P373" s="1"/>
      <c r="Q373" s="1"/>
      <c r="R373" s="1"/>
      <c r="S373" s="1"/>
      <c r="T373" s="1"/>
      <c r="U373" s="1"/>
      <c r="V373" s="1"/>
      <c r="W373" s="1"/>
      <c r="X373" s="1"/>
      <c r="Y373" s="1"/>
      <c r="Z373" s="1"/>
      <c r="AA373" s="1"/>
      <c r="AB373" s="1"/>
    </row>
    <row r="374" spans="2:28" ht="11.25" customHeight="1" x14ac:dyDescent="0.25">
      <c r="B374" s="16"/>
      <c r="C374" s="1"/>
      <c r="D374" s="1"/>
      <c r="E374" s="1"/>
      <c r="F374" s="1"/>
      <c r="G374" s="22"/>
      <c r="H374" s="1"/>
      <c r="I374" s="1"/>
      <c r="J374" s="1"/>
      <c r="K374" s="1"/>
      <c r="L374" s="1"/>
      <c r="M374" s="262"/>
      <c r="N374" s="1"/>
      <c r="O374" s="1"/>
      <c r="P374" s="1"/>
      <c r="Q374" s="1"/>
      <c r="R374" s="1"/>
      <c r="S374" s="1"/>
      <c r="T374" s="1"/>
      <c r="U374" s="1"/>
      <c r="V374" s="1"/>
      <c r="W374" s="1"/>
      <c r="X374" s="1"/>
      <c r="Y374" s="1"/>
      <c r="Z374" s="1"/>
      <c r="AA374" s="1"/>
      <c r="AB374" s="1"/>
    </row>
    <row r="375" spans="2:28" ht="11.25" customHeight="1" x14ac:dyDescent="0.25">
      <c r="B375" s="16"/>
      <c r="C375" s="1"/>
      <c r="D375" s="1"/>
      <c r="E375" s="1"/>
      <c r="F375" s="1"/>
      <c r="G375" s="22"/>
      <c r="H375" s="1"/>
      <c r="I375" s="1"/>
      <c r="J375" s="1"/>
      <c r="K375" s="1"/>
      <c r="L375" s="1"/>
      <c r="M375" s="262"/>
      <c r="N375" s="1"/>
      <c r="O375" s="1"/>
      <c r="P375" s="1"/>
      <c r="Q375" s="1"/>
      <c r="R375" s="1"/>
      <c r="S375" s="1"/>
      <c r="T375" s="1"/>
      <c r="U375" s="1"/>
      <c r="V375" s="1"/>
      <c r="W375" s="1"/>
      <c r="X375" s="1"/>
      <c r="Y375" s="1"/>
      <c r="Z375" s="1"/>
      <c r="AA375" s="1"/>
      <c r="AB375" s="1"/>
    </row>
    <row r="376" spans="2:28" ht="11.25" customHeight="1" x14ac:dyDescent="0.25">
      <c r="B376" s="16"/>
      <c r="C376" s="1"/>
      <c r="D376" s="1"/>
      <c r="E376" s="1"/>
      <c r="F376" s="1"/>
      <c r="G376" s="22"/>
      <c r="H376" s="1"/>
      <c r="I376" s="1"/>
      <c r="J376" s="1"/>
      <c r="K376" s="1"/>
      <c r="L376" s="1"/>
      <c r="M376" s="262"/>
      <c r="N376" s="1"/>
      <c r="O376" s="1"/>
      <c r="P376" s="1"/>
      <c r="Q376" s="1"/>
      <c r="R376" s="1"/>
      <c r="S376" s="1"/>
      <c r="T376" s="1"/>
      <c r="U376" s="1"/>
      <c r="V376" s="1"/>
      <c r="W376" s="1"/>
      <c r="X376" s="1"/>
      <c r="Y376" s="1"/>
      <c r="Z376" s="1"/>
      <c r="AA376" s="1"/>
      <c r="AB376" s="1"/>
    </row>
    <row r="377" spans="2:28" ht="11.25" customHeight="1" x14ac:dyDescent="0.25">
      <c r="B377" s="16"/>
      <c r="C377" s="1"/>
      <c r="D377" s="1"/>
      <c r="E377" s="1"/>
      <c r="F377" s="1"/>
      <c r="G377" s="22"/>
      <c r="H377" s="1"/>
      <c r="I377" s="1"/>
      <c r="J377" s="1"/>
      <c r="K377" s="1"/>
      <c r="L377" s="1"/>
      <c r="M377" s="262"/>
      <c r="N377" s="1"/>
      <c r="O377" s="1"/>
      <c r="P377" s="1"/>
      <c r="Q377" s="1"/>
      <c r="R377" s="1"/>
      <c r="S377" s="1"/>
      <c r="T377" s="1"/>
      <c r="U377" s="1"/>
      <c r="V377" s="1"/>
      <c r="W377" s="1"/>
      <c r="X377" s="1"/>
      <c r="Y377" s="1"/>
      <c r="Z377" s="1"/>
      <c r="AA377" s="1"/>
      <c r="AB377" s="1"/>
    </row>
    <row r="378" spans="2:28" ht="11.25" customHeight="1" x14ac:dyDescent="0.25">
      <c r="B378" s="16"/>
      <c r="C378" s="1"/>
      <c r="D378" s="1"/>
      <c r="E378" s="1"/>
      <c r="F378" s="1"/>
      <c r="G378" s="22"/>
      <c r="H378" s="1"/>
      <c r="I378" s="1"/>
      <c r="J378" s="1"/>
      <c r="K378" s="1"/>
      <c r="L378" s="1"/>
      <c r="M378" s="262"/>
      <c r="N378" s="1"/>
      <c r="O378" s="1"/>
      <c r="P378" s="1"/>
      <c r="Q378" s="1"/>
      <c r="R378" s="1"/>
      <c r="S378" s="1"/>
      <c r="T378" s="1"/>
      <c r="U378" s="1"/>
      <c r="V378" s="1"/>
      <c r="W378" s="1"/>
      <c r="X378" s="1"/>
      <c r="Y378" s="1"/>
      <c r="Z378" s="1"/>
      <c r="AA378" s="1"/>
      <c r="AB378" s="1"/>
    </row>
    <row r="379" spans="2:28" ht="11.25" customHeight="1" x14ac:dyDescent="0.25">
      <c r="B379" s="16"/>
      <c r="C379" s="1"/>
      <c r="D379" s="1"/>
      <c r="E379" s="1"/>
      <c r="F379" s="1"/>
      <c r="G379" s="22"/>
      <c r="H379" s="1"/>
      <c r="I379" s="1"/>
      <c r="J379" s="1"/>
      <c r="K379" s="1"/>
      <c r="L379" s="1"/>
      <c r="M379" s="262"/>
      <c r="N379" s="1"/>
      <c r="O379" s="1"/>
      <c r="P379" s="1"/>
      <c r="Q379" s="1"/>
      <c r="R379" s="1"/>
      <c r="S379" s="1"/>
      <c r="T379" s="1"/>
      <c r="U379" s="1"/>
      <c r="V379" s="1"/>
      <c r="W379" s="1"/>
      <c r="X379" s="1"/>
      <c r="Y379" s="1"/>
      <c r="Z379" s="1"/>
      <c r="AA379" s="1"/>
      <c r="AB379" s="1"/>
    </row>
    <row r="380" spans="2:28" ht="11.25" customHeight="1" x14ac:dyDescent="0.25">
      <c r="B380" s="16"/>
      <c r="C380" s="1"/>
      <c r="D380" s="1"/>
      <c r="E380" s="1"/>
      <c r="F380" s="1"/>
      <c r="G380" s="22"/>
      <c r="H380" s="1"/>
      <c r="I380" s="1"/>
      <c r="J380" s="1"/>
      <c r="K380" s="1"/>
      <c r="L380" s="1"/>
      <c r="M380" s="262"/>
      <c r="N380" s="1"/>
      <c r="O380" s="1"/>
      <c r="P380" s="1"/>
      <c r="Q380" s="1"/>
      <c r="R380" s="1"/>
      <c r="S380" s="1"/>
      <c r="T380" s="1"/>
      <c r="U380" s="1"/>
      <c r="V380" s="1"/>
      <c r="W380" s="1"/>
      <c r="X380" s="1"/>
      <c r="Y380" s="1"/>
      <c r="Z380" s="1"/>
      <c r="AA380" s="1"/>
      <c r="AB380" s="1"/>
    </row>
    <row r="381" spans="2:28" ht="11.25" customHeight="1" x14ac:dyDescent="0.25">
      <c r="B381" s="16"/>
      <c r="C381" s="1"/>
      <c r="D381" s="1"/>
      <c r="E381" s="1"/>
      <c r="F381" s="1"/>
      <c r="G381" s="22"/>
      <c r="H381" s="1"/>
      <c r="I381" s="1"/>
      <c r="J381" s="1"/>
      <c r="K381" s="1"/>
      <c r="L381" s="1"/>
      <c r="M381" s="262"/>
      <c r="N381" s="1"/>
      <c r="O381" s="1"/>
      <c r="P381" s="1"/>
      <c r="Q381" s="1"/>
      <c r="R381" s="1"/>
      <c r="S381" s="1"/>
      <c r="T381" s="1"/>
      <c r="U381" s="1"/>
      <c r="V381" s="1"/>
      <c r="W381" s="1"/>
      <c r="X381" s="1"/>
      <c r="Y381" s="1"/>
      <c r="Z381" s="1"/>
      <c r="AA381" s="1"/>
      <c r="AB381" s="1"/>
    </row>
    <row r="382" spans="2:28" ht="11.25" customHeight="1" x14ac:dyDescent="0.25">
      <c r="B382" s="16"/>
      <c r="C382" s="1"/>
      <c r="D382" s="1"/>
      <c r="E382" s="1"/>
      <c r="F382" s="1"/>
      <c r="G382" s="22"/>
      <c r="H382" s="1"/>
      <c r="I382" s="1"/>
      <c r="J382" s="1"/>
      <c r="K382" s="1"/>
      <c r="L382" s="1"/>
      <c r="M382" s="262"/>
      <c r="N382" s="1"/>
      <c r="O382" s="1"/>
      <c r="P382" s="1"/>
      <c r="Q382" s="1"/>
      <c r="R382" s="1"/>
      <c r="S382" s="1"/>
      <c r="T382" s="1"/>
      <c r="U382" s="1"/>
      <c r="V382" s="1"/>
      <c r="W382" s="1"/>
      <c r="X382" s="1"/>
      <c r="Y382" s="1"/>
      <c r="Z382" s="1"/>
      <c r="AA382" s="1"/>
      <c r="AB382" s="1"/>
    </row>
    <row r="383" spans="2:28" ht="11.25" customHeight="1" x14ac:dyDescent="0.25">
      <c r="B383" s="16"/>
      <c r="C383" s="1"/>
      <c r="D383" s="1"/>
      <c r="E383" s="1"/>
      <c r="F383" s="1"/>
      <c r="G383" s="22"/>
      <c r="H383" s="1"/>
      <c r="I383" s="1"/>
      <c r="J383" s="1"/>
      <c r="K383" s="1"/>
      <c r="L383" s="1"/>
      <c r="M383" s="262"/>
      <c r="N383" s="1"/>
      <c r="O383" s="1"/>
      <c r="P383" s="1"/>
      <c r="Q383" s="1"/>
      <c r="R383" s="1"/>
      <c r="S383" s="1"/>
      <c r="T383" s="1"/>
      <c r="U383" s="1"/>
      <c r="V383" s="1"/>
      <c r="W383" s="1"/>
      <c r="X383" s="1"/>
      <c r="Y383" s="1"/>
      <c r="Z383" s="1"/>
      <c r="AA383" s="1"/>
      <c r="AB383" s="1"/>
    </row>
    <row r="384" spans="2:28" ht="11.25" customHeight="1" x14ac:dyDescent="0.25">
      <c r="B384" s="16"/>
      <c r="C384" s="1"/>
      <c r="D384" s="1"/>
      <c r="E384" s="1"/>
      <c r="F384" s="1"/>
      <c r="G384" s="22"/>
      <c r="H384" s="1"/>
      <c r="I384" s="1"/>
      <c r="J384" s="1"/>
      <c r="K384" s="1"/>
      <c r="L384" s="1"/>
      <c r="M384" s="262"/>
      <c r="N384" s="1"/>
      <c r="O384" s="1"/>
      <c r="P384" s="1"/>
      <c r="Q384" s="1"/>
      <c r="R384" s="1"/>
      <c r="S384" s="1"/>
      <c r="T384" s="1"/>
      <c r="U384" s="1"/>
      <c r="V384" s="1"/>
      <c r="W384" s="1"/>
      <c r="X384" s="1"/>
      <c r="Y384" s="1"/>
      <c r="Z384" s="1"/>
      <c r="AA384" s="1"/>
      <c r="AB384" s="1"/>
    </row>
    <row r="385" spans="2:28" ht="11.25" customHeight="1" x14ac:dyDescent="0.25">
      <c r="B385" s="16"/>
      <c r="C385" s="1"/>
      <c r="D385" s="1"/>
      <c r="E385" s="1"/>
      <c r="F385" s="1"/>
      <c r="G385" s="22"/>
      <c r="H385" s="1"/>
      <c r="I385" s="1"/>
      <c r="J385" s="1"/>
      <c r="K385" s="1"/>
      <c r="L385" s="1"/>
      <c r="M385" s="262"/>
      <c r="N385" s="1"/>
      <c r="O385" s="1"/>
      <c r="P385" s="1"/>
      <c r="Q385" s="1"/>
      <c r="R385" s="1"/>
      <c r="S385" s="1"/>
      <c r="T385" s="1"/>
      <c r="U385" s="1"/>
      <c r="V385" s="1"/>
      <c r="W385" s="1"/>
      <c r="X385" s="1"/>
      <c r="Y385" s="1"/>
      <c r="Z385" s="1"/>
      <c r="AA385" s="1"/>
      <c r="AB385" s="1"/>
    </row>
    <row r="386" spans="2:28" ht="11.25" customHeight="1" x14ac:dyDescent="0.25">
      <c r="B386" s="16"/>
      <c r="C386" s="1"/>
      <c r="D386" s="1"/>
      <c r="E386" s="1"/>
      <c r="F386" s="1"/>
      <c r="G386" s="22"/>
      <c r="H386" s="1"/>
      <c r="I386" s="1"/>
      <c r="J386" s="1"/>
      <c r="K386" s="1"/>
      <c r="L386" s="1"/>
      <c r="M386" s="262"/>
      <c r="N386" s="1"/>
      <c r="O386" s="1"/>
      <c r="P386" s="1"/>
      <c r="Q386" s="1"/>
      <c r="R386" s="1"/>
      <c r="S386" s="1"/>
      <c r="T386" s="1"/>
      <c r="U386" s="1"/>
      <c r="V386" s="1"/>
      <c r="W386" s="1"/>
      <c r="X386" s="1"/>
      <c r="Y386" s="1"/>
      <c r="Z386" s="1"/>
      <c r="AA386" s="1"/>
      <c r="AB386" s="1"/>
    </row>
    <row r="387" spans="2:28" ht="11.25" customHeight="1" x14ac:dyDescent="0.25">
      <c r="B387" s="16"/>
      <c r="C387" s="1"/>
      <c r="D387" s="1"/>
      <c r="E387" s="1"/>
      <c r="F387" s="1"/>
      <c r="G387" s="22"/>
      <c r="H387" s="1"/>
      <c r="I387" s="1"/>
      <c r="J387" s="1"/>
      <c r="K387" s="1"/>
      <c r="L387" s="1"/>
      <c r="M387" s="262"/>
      <c r="N387" s="1"/>
      <c r="O387" s="1"/>
      <c r="P387" s="1"/>
      <c r="Q387" s="1"/>
      <c r="R387" s="1"/>
      <c r="S387" s="1"/>
      <c r="T387" s="1"/>
      <c r="U387" s="1"/>
      <c r="V387" s="1"/>
      <c r="W387" s="1"/>
      <c r="X387" s="1"/>
      <c r="Y387" s="1"/>
      <c r="Z387" s="1"/>
      <c r="AA387" s="1"/>
      <c r="AB387" s="1"/>
    </row>
    <row r="388" spans="2:28" ht="11.25" customHeight="1" x14ac:dyDescent="0.25">
      <c r="B388" s="16"/>
      <c r="C388" s="1"/>
      <c r="D388" s="1"/>
      <c r="E388" s="1"/>
      <c r="F388" s="1"/>
      <c r="G388" s="22"/>
      <c r="H388" s="1"/>
      <c r="I388" s="1"/>
      <c r="J388" s="1"/>
      <c r="K388" s="1"/>
      <c r="L388" s="1"/>
      <c r="M388" s="262"/>
      <c r="N388" s="1"/>
      <c r="O388" s="1"/>
      <c r="P388" s="1"/>
      <c r="Q388" s="1"/>
      <c r="R388" s="1"/>
      <c r="S388" s="1"/>
      <c r="T388" s="1"/>
      <c r="U388" s="1"/>
      <c r="V388" s="1"/>
      <c r="W388" s="1"/>
      <c r="X388" s="1"/>
      <c r="Y388" s="1"/>
      <c r="Z388" s="1"/>
      <c r="AA388" s="1"/>
      <c r="AB388" s="1"/>
    </row>
    <row r="389" spans="2:28" ht="11.25" customHeight="1" x14ac:dyDescent="0.25">
      <c r="B389" s="16"/>
      <c r="C389" s="1"/>
      <c r="D389" s="1"/>
      <c r="E389" s="1"/>
      <c r="F389" s="1"/>
      <c r="G389" s="22"/>
      <c r="H389" s="1"/>
      <c r="I389" s="1"/>
      <c r="J389" s="1"/>
      <c r="K389" s="1"/>
      <c r="L389" s="1"/>
      <c r="M389" s="262"/>
      <c r="N389" s="1"/>
      <c r="O389" s="1"/>
      <c r="P389" s="1"/>
      <c r="Q389" s="1"/>
      <c r="R389" s="1"/>
      <c r="S389" s="1"/>
      <c r="T389" s="1"/>
      <c r="U389" s="1"/>
      <c r="V389" s="1"/>
      <c r="W389" s="1"/>
      <c r="X389" s="1"/>
      <c r="Y389" s="1"/>
      <c r="Z389" s="1"/>
      <c r="AA389" s="1"/>
      <c r="AB389" s="1"/>
    </row>
    <row r="390" spans="2:28" ht="11.25" customHeight="1" x14ac:dyDescent="0.25">
      <c r="B390" s="16"/>
      <c r="C390" s="1"/>
      <c r="D390" s="1"/>
      <c r="E390" s="1"/>
      <c r="F390" s="1"/>
      <c r="G390" s="22"/>
      <c r="H390" s="1"/>
      <c r="I390" s="1"/>
      <c r="J390" s="1"/>
      <c r="K390" s="1"/>
      <c r="L390" s="1"/>
      <c r="M390" s="262"/>
      <c r="N390" s="1"/>
      <c r="O390" s="1"/>
      <c r="P390" s="1"/>
      <c r="Q390" s="1"/>
      <c r="R390" s="1"/>
      <c r="S390" s="1"/>
      <c r="T390" s="1"/>
      <c r="U390" s="1"/>
      <c r="V390" s="1"/>
      <c r="W390" s="1"/>
      <c r="X390" s="1"/>
      <c r="Y390" s="1"/>
      <c r="Z390" s="1"/>
      <c r="AA390" s="1"/>
      <c r="AB390" s="1"/>
    </row>
    <row r="391" spans="2:28" ht="11.25" customHeight="1" x14ac:dyDescent="0.25">
      <c r="B391" s="16"/>
      <c r="C391" s="1"/>
      <c r="D391" s="1"/>
      <c r="E391" s="1"/>
      <c r="F391" s="1"/>
      <c r="G391" s="22"/>
      <c r="H391" s="1"/>
      <c r="I391" s="1"/>
      <c r="J391" s="1"/>
      <c r="K391" s="1"/>
      <c r="L391" s="1"/>
      <c r="M391" s="262"/>
      <c r="N391" s="1"/>
      <c r="O391" s="1"/>
      <c r="P391" s="1"/>
      <c r="Q391" s="1"/>
      <c r="R391" s="1"/>
      <c r="S391" s="1"/>
      <c r="T391" s="1"/>
      <c r="U391" s="1"/>
      <c r="V391" s="1"/>
      <c r="W391" s="1"/>
      <c r="X391" s="1"/>
      <c r="Y391" s="1"/>
      <c r="Z391" s="1"/>
      <c r="AA391" s="1"/>
      <c r="AB391" s="1"/>
    </row>
    <row r="392" spans="2:28" ht="11.25" customHeight="1" x14ac:dyDescent="0.25">
      <c r="B392" s="16"/>
      <c r="C392" s="1"/>
      <c r="D392" s="1"/>
      <c r="E392" s="1"/>
      <c r="F392" s="1"/>
      <c r="G392" s="22"/>
      <c r="H392" s="1"/>
      <c r="I392" s="1"/>
      <c r="J392" s="1"/>
      <c r="K392" s="1"/>
      <c r="L392" s="1"/>
      <c r="M392" s="262"/>
      <c r="N392" s="1"/>
      <c r="O392" s="1"/>
      <c r="P392" s="1"/>
      <c r="Q392" s="1"/>
      <c r="R392" s="1"/>
      <c r="S392" s="1"/>
      <c r="T392" s="1"/>
      <c r="U392" s="1"/>
      <c r="V392" s="1"/>
      <c r="W392" s="1"/>
      <c r="X392" s="1"/>
      <c r="Y392" s="1"/>
      <c r="Z392" s="1"/>
      <c r="AA392" s="1"/>
      <c r="AB392" s="1"/>
    </row>
    <row r="393" spans="2:28" ht="11.25" customHeight="1" x14ac:dyDescent="0.25">
      <c r="B393" s="16"/>
      <c r="C393" s="1"/>
      <c r="D393" s="1"/>
      <c r="E393" s="1"/>
      <c r="F393" s="1"/>
      <c r="G393" s="22"/>
      <c r="H393" s="1"/>
      <c r="I393" s="1"/>
      <c r="J393" s="1"/>
      <c r="K393" s="1"/>
      <c r="L393" s="1"/>
      <c r="M393" s="262"/>
      <c r="N393" s="1"/>
      <c r="O393" s="1"/>
      <c r="P393" s="1"/>
      <c r="Q393" s="1"/>
      <c r="R393" s="1"/>
      <c r="S393" s="1"/>
      <c r="T393" s="1"/>
      <c r="U393" s="1"/>
      <c r="V393" s="1"/>
      <c r="W393" s="1"/>
      <c r="X393" s="1"/>
      <c r="Y393" s="1"/>
      <c r="Z393" s="1"/>
      <c r="AA393" s="1"/>
      <c r="AB393" s="1"/>
    </row>
    <row r="394" spans="2:28" ht="11.25" customHeight="1" x14ac:dyDescent="0.25">
      <c r="B394" s="16"/>
      <c r="C394" s="1"/>
      <c r="D394" s="1"/>
      <c r="E394" s="1"/>
      <c r="F394" s="1"/>
      <c r="G394" s="22"/>
      <c r="H394" s="1"/>
      <c r="I394" s="1"/>
      <c r="J394" s="1"/>
      <c r="K394" s="1"/>
      <c r="L394" s="1"/>
      <c r="M394" s="262"/>
      <c r="N394" s="1"/>
      <c r="O394" s="1"/>
      <c r="P394" s="1"/>
      <c r="Q394" s="1"/>
      <c r="R394" s="1"/>
      <c r="S394" s="1"/>
      <c r="T394" s="1"/>
      <c r="U394" s="1"/>
      <c r="V394" s="1"/>
      <c r="W394" s="1"/>
      <c r="X394" s="1"/>
      <c r="Y394" s="1"/>
      <c r="Z394" s="1"/>
      <c r="AA394" s="1"/>
      <c r="AB394" s="1"/>
    </row>
    <row r="395" spans="2:28" ht="11.25" customHeight="1" x14ac:dyDescent="0.25">
      <c r="B395" s="16"/>
      <c r="C395" s="1"/>
      <c r="D395" s="1"/>
      <c r="E395" s="1"/>
      <c r="F395" s="1"/>
      <c r="G395" s="22"/>
      <c r="H395" s="1"/>
      <c r="I395" s="1"/>
      <c r="J395" s="1"/>
      <c r="K395" s="1"/>
      <c r="L395" s="1"/>
      <c r="M395" s="262"/>
      <c r="N395" s="1"/>
      <c r="O395" s="1"/>
      <c r="P395" s="1"/>
      <c r="Q395" s="1"/>
      <c r="R395" s="1"/>
      <c r="S395" s="1"/>
      <c r="T395" s="1"/>
      <c r="U395" s="1"/>
      <c r="V395" s="1"/>
      <c r="W395" s="1"/>
      <c r="X395" s="1"/>
      <c r="Y395" s="1"/>
      <c r="Z395" s="1"/>
      <c r="AA395" s="1"/>
      <c r="AB395" s="1"/>
    </row>
    <row r="396" spans="2:28" ht="11.25" customHeight="1" x14ac:dyDescent="0.25">
      <c r="B396" s="16"/>
      <c r="C396" s="1"/>
      <c r="D396" s="1"/>
      <c r="E396" s="1"/>
      <c r="F396" s="1"/>
      <c r="G396" s="22"/>
      <c r="H396" s="1"/>
      <c r="I396" s="1"/>
      <c r="J396" s="1"/>
      <c r="K396" s="1"/>
      <c r="L396" s="1"/>
      <c r="M396" s="262"/>
      <c r="N396" s="1"/>
      <c r="O396" s="1"/>
      <c r="P396" s="1"/>
      <c r="Q396" s="1"/>
      <c r="R396" s="1"/>
      <c r="S396" s="1"/>
      <c r="T396" s="1"/>
      <c r="U396" s="1"/>
      <c r="V396" s="1"/>
      <c r="W396" s="1"/>
      <c r="X396" s="1"/>
      <c r="Y396" s="1"/>
      <c r="Z396" s="1"/>
      <c r="AA396" s="1"/>
      <c r="AB396" s="1"/>
    </row>
    <row r="397" spans="2:28" ht="11.25" customHeight="1" x14ac:dyDescent="0.25">
      <c r="B397" s="16"/>
      <c r="C397" s="1"/>
      <c r="D397" s="1"/>
      <c r="E397" s="1"/>
      <c r="F397" s="1"/>
      <c r="G397" s="22"/>
      <c r="H397" s="1"/>
      <c r="I397" s="1"/>
      <c r="J397" s="1"/>
      <c r="K397" s="1"/>
      <c r="L397" s="1"/>
      <c r="M397" s="262"/>
      <c r="N397" s="1"/>
      <c r="O397" s="1"/>
      <c r="P397" s="1"/>
      <c r="Q397" s="1"/>
      <c r="R397" s="1"/>
      <c r="S397" s="1"/>
      <c r="T397" s="1"/>
      <c r="U397" s="1"/>
      <c r="V397" s="1"/>
      <c r="W397" s="1"/>
      <c r="X397" s="1"/>
      <c r="Y397" s="1"/>
      <c r="Z397" s="1"/>
      <c r="AA397" s="1"/>
      <c r="AB397" s="1"/>
    </row>
    <row r="398" spans="2:28" ht="11.25" customHeight="1" x14ac:dyDescent="0.25">
      <c r="B398" s="16"/>
      <c r="C398" s="1"/>
      <c r="D398" s="1"/>
      <c r="E398" s="1"/>
      <c r="F398" s="1"/>
      <c r="G398" s="22"/>
      <c r="H398" s="1"/>
      <c r="I398" s="1"/>
      <c r="J398" s="1"/>
      <c r="K398" s="1"/>
      <c r="L398" s="1"/>
      <c r="M398" s="262"/>
      <c r="N398" s="1"/>
      <c r="O398" s="1"/>
      <c r="P398" s="1"/>
      <c r="Q398" s="1"/>
      <c r="R398" s="1"/>
      <c r="S398" s="1"/>
      <c r="T398" s="1"/>
      <c r="U398" s="1"/>
      <c r="V398" s="1"/>
      <c r="W398" s="1"/>
      <c r="X398" s="1"/>
      <c r="Y398" s="1"/>
      <c r="Z398" s="1"/>
      <c r="AA398" s="1"/>
      <c r="AB398" s="1"/>
    </row>
    <row r="399" spans="2:28" ht="11.25" customHeight="1" x14ac:dyDescent="0.25">
      <c r="B399" s="16"/>
      <c r="C399" s="1"/>
      <c r="D399" s="1"/>
      <c r="E399" s="1"/>
      <c r="F399" s="1"/>
      <c r="G399" s="22"/>
      <c r="H399" s="1"/>
      <c r="I399" s="1"/>
      <c r="J399" s="1"/>
      <c r="K399" s="1"/>
      <c r="L399" s="1"/>
      <c r="M399" s="262"/>
      <c r="N399" s="1"/>
      <c r="O399" s="1"/>
      <c r="P399" s="1"/>
      <c r="Q399" s="1"/>
      <c r="R399" s="1"/>
      <c r="S399" s="1"/>
      <c r="T399" s="1"/>
      <c r="U399" s="1"/>
      <c r="V399" s="1"/>
      <c r="W399" s="1"/>
      <c r="X399" s="1"/>
      <c r="Y399" s="1"/>
      <c r="Z399" s="1"/>
      <c r="AA399" s="1"/>
      <c r="AB399" s="1"/>
    </row>
    <row r="400" spans="2:28" ht="11.25" customHeight="1" x14ac:dyDescent="0.25">
      <c r="B400" s="16"/>
      <c r="C400" s="1"/>
      <c r="D400" s="1"/>
      <c r="E400" s="1"/>
      <c r="F400" s="1"/>
      <c r="G400" s="22"/>
      <c r="H400" s="1"/>
      <c r="I400" s="1"/>
      <c r="J400" s="1"/>
      <c r="K400" s="1"/>
      <c r="L400" s="1"/>
      <c r="M400" s="262"/>
      <c r="N400" s="1"/>
      <c r="O400" s="1"/>
      <c r="P400" s="1"/>
      <c r="Q400" s="1"/>
      <c r="R400" s="1"/>
      <c r="S400" s="1"/>
      <c r="T400" s="1"/>
      <c r="U400" s="1"/>
      <c r="V400" s="1"/>
      <c r="W400" s="1"/>
      <c r="X400" s="1"/>
      <c r="Y400" s="1"/>
      <c r="Z400" s="1"/>
      <c r="AA400" s="1"/>
      <c r="AB400" s="1"/>
    </row>
    <row r="401" spans="2:28" ht="11.25" customHeight="1" x14ac:dyDescent="0.25">
      <c r="B401" s="16"/>
      <c r="C401" s="1"/>
      <c r="D401" s="1"/>
      <c r="E401" s="1"/>
      <c r="F401" s="1"/>
      <c r="G401" s="22"/>
      <c r="H401" s="1"/>
      <c r="I401" s="1"/>
      <c r="J401" s="1"/>
      <c r="K401" s="1"/>
      <c r="L401" s="1"/>
      <c r="M401" s="262"/>
      <c r="N401" s="1"/>
      <c r="O401" s="1"/>
      <c r="P401" s="1"/>
      <c r="Q401" s="1"/>
      <c r="R401" s="1"/>
      <c r="S401" s="1"/>
      <c r="T401" s="1"/>
      <c r="U401" s="1"/>
      <c r="V401" s="1"/>
      <c r="W401" s="1"/>
      <c r="X401" s="1"/>
      <c r="Y401" s="1"/>
      <c r="Z401" s="1"/>
      <c r="AA401" s="1"/>
      <c r="AB401" s="1"/>
    </row>
    <row r="402" spans="2:28" ht="11.25" customHeight="1" x14ac:dyDescent="0.25">
      <c r="B402" s="16"/>
      <c r="C402" s="1"/>
      <c r="D402" s="1"/>
      <c r="E402" s="1"/>
      <c r="F402" s="1"/>
      <c r="G402" s="22"/>
      <c r="H402" s="1"/>
      <c r="I402" s="1"/>
      <c r="J402" s="1"/>
      <c r="K402" s="1"/>
      <c r="L402" s="1"/>
      <c r="M402" s="262"/>
      <c r="N402" s="1"/>
      <c r="O402" s="1"/>
      <c r="P402" s="1"/>
      <c r="Q402" s="1"/>
      <c r="R402" s="1"/>
      <c r="S402" s="1"/>
      <c r="T402" s="1"/>
      <c r="U402" s="1"/>
      <c r="V402" s="1"/>
      <c r="W402" s="1"/>
      <c r="X402" s="1"/>
      <c r="Y402" s="1"/>
      <c r="Z402" s="1"/>
      <c r="AA402" s="1"/>
      <c r="AB402" s="1"/>
    </row>
    <row r="403" spans="2:28" ht="11.25" customHeight="1" x14ac:dyDescent="0.25">
      <c r="B403" s="16"/>
      <c r="C403" s="1"/>
      <c r="D403" s="1"/>
      <c r="E403" s="1"/>
      <c r="F403" s="1"/>
      <c r="G403" s="22"/>
      <c r="H403" s="1"/>
      <c r="I403" s="1"/>
      <c r="J403" s="1"/>
      <c r="K403" s="1"/>
      <c r="L403" s="1"/>
      <c r="M403" s="262"/>
      <c r="N403" s="1"/>
      <c r="O403" s="1"/>
      <c r="P403" s="1"/>
      <c r="Q403" s="1"/>
      <c r="R403" s="1"/>
      <c r="S403" s="1"/>
      <c r="T403" s="1"/>
      <c r="U403" s="1"/>
      <c r="V403" s="1"/>
      <c r="W403" s="1"/>
      <c r="X403" s="1"/>
      <c r="Y403" s="1"/>
      <c r="Z403" s="1"/>
      <c r="AA403" s="1"/>
      <c r="AB403" s="1"/>
    </row>
    <row r="404" spans="2:28" ht="11.25" customHeight="1" x14ac:dyDescent="0.25">
      <c r="B404" s="16"/>
      <c r="C404" s="1"/>
      <c r="D404" s="1"/>
      <c r="E404" s="1"/>
      <c r="F404" s="1"/>
      <c r="G404" s="22"/>
      <c r="H404" s="1"/>
      <c r="I404" s="1"/>
      <c r="J404" s="1"/>
      <c r="K404" s="1"/>
      <c r="L404" s="1"/>
      <c r="M404" s="262"/>
      <c r="N404" s="1"/>
      <c r="O404" s="1"/>
      <c r="P404" s="1"/>
      <c r="Q404" s="1"/>
      <c r="R404" s="1"/>
      <c r="S404" s="1"/>
      <c r="T404" s="1"/>
      <c r="U404" s="1"/>
      <c r="V404" s="1"/>
      <c r="W404" s="1"/>
      <c r="X404" s="1"/>
      <c r="Y404" s="1"/>
      <c r="Z404" s="1"/>
      <c r="AA404" s="1"/>
      <c r="AB404" s="1"/>
    </row>
    <row r="405" spans="2:28" ht="11.25" customHeight="1" x14ac:dyDescent="0.25">
      <c r="B405" s="16"/>
      <c r="C405" s="1"/>
      <c r="D405" s="1"/>
      <c r="E405" s="1"/>
      <c r="F405" s="1"/>
      <c r="G405" s="22"/>
      <c r="H405" s="1"/>
      <c r="I405" s="1"/>
      <c r="J405" s="1"/>
      <c r="K405" s="1"/>
      <c r="L405" s="1"/>
      <c r="M405" s="262"/>
      <c r="N405" s="1"/>
      <c r="O405" s="1"/>
      <c r="P405" s="1"/>
      <c r="Q405" s="1"/>
      <c r="R405" s="1"/>
      <c r="S405" s="1"/>
      <c r="T405" s="1"/>
      <c r="U405" s="1"/>
      <c r="V405" s="1"/>
      <c r="W405" s="1"/>
      <c r="X405" s="1"/>
      <c r="Y405" s="1"/>
      <c r="Z405" s="1"/>
      <c r="AA405" s="1"/>
      <c r="AB405" s="1"/>
    </row>
    <row r="406" spans="2:28" ht="11.25" customHeight="1" x14ac:dyDescent="0.25">
      <c r="B406" s="16"/>
      <c r="C406" s="1"/>
      <c r="D406" s="1"/>
      <c r="E406" s="1"/>
      <c r="F406" s="1"/>
      <c r="G406" s="22"/>
      <c r="H406" s="1"/>
      <c r="I406" s="1"/>
      <c r="J406" s="1"/>
      <c r="K406" s="1"/>
      <c r="L406" s="1"/>
      <c r="M406" s="262"/>
      <c r="N406" s="1"/>
      <c r="O406" s="1"/>
      <c r="P406" s="1"/>
      <c r="Q406" s="1"/>
      <c r="R406" s="1"/>
      <c r="S406" s="1"/>
      <c r="T406" s="1"/>
      <c r="U406" s="1"/>
      <c r="V406" s="1"/>
      <c r="W406" s="1"/>
      <c r="X406" s="1"/>
      <c r="Y406" s="1"/>
      <c r="Z406" s="1"/>
      <c r="AA406" s="1"/>
      <c r="AB406" s="1"/>
    </row>
    <row r="407" spans="2:28" ht="11.25" customHeight="1" x14ac:dyDescent="0.25">
      <c r="B407" s="16"/>
      <c r="C407" s="1"/>
      <c r="D407" s="1"/>
      <c r="E407" s="1"/>
      <c r="F407" s="1"/>
      <c r="G407" s="22"/>
      <c r="H407" s="1"/>
      <c r="I407" s="1"/>
      <c r="J407" s="1"/>
      <c r="K407" s="1"/>
      <c r="L407" s="1"/>
      <c r="M407" s="262"/>
      <c r="N407" s="1"/>
      <c r="O407" s="1"/>
      <c r="P407" s="1"/>
      <c r="Q407" s="1"/>
      <c r="R407" s="1"/>
      <c r="S407" s="1"/>
      <c r="T407" s="1"/>
      <c r="U407" s="1"/>
      <c r="V407" s="1"/>
      <c r="W407" s="1"/>
      <c r="X407" s="1"/>
      <c r="Y407" s="1"/>
      <c r="Z407" s="1"/>
      <c r="AA407" s="1"/>
      <c r="AB407" s="1"/>
    </row>
    <row r="408" spans="2:28" ht="11.25" customHeight="1" x14ac:dyDescent="0.25">
      <c r="B408" s="16"/>
      <c r="C408" s="1"/>
      <c r="D408" s="1"/>
      <c r="E408" s="1"/>
      <c r="F408" s="1"/>
      <c r="G408" s="22"/>
      <c r="H408" s="1"/>
      <c r="I408" s="1"/>
      <c r="J408" s="1"/>
      <c r="K408" s="1"/>
      <c r="L408" s="1"/>
      <c r="M408" s="262"/>
      <c r="N408" s="1"/>
      <c r="O408" s="1"/>
      <c r="P408" s="1"/>
      <c r="Q408" s="1"/>
      <c r="R408" s="1"/>
      <c r="S408" s="1"/>
      <c r="T408" s="1"/>
      <c r="U408" s="1"/>
      <c r="V408" s="1"/>
      <c r="W408" s="1"/>
      <c r="X408" s="1"/>
      <c r="Y408" s="1"/>
      <c r="Z408" s="1"/>
      <c r="AA408" s="1"/>
      <c r="AB408" s="1"/>
    </row>
    <row r="409" spans="2:28" ht="11.25" customHeight="1" x14ac:dyDescent="0.25">
      <c r="B409" s="16"/>
      <c r="C409" s="1"/>
      <c r="D409" s="1"/>
      <c r="E409" s="1"/>
      <c r="F409" s="1"/>
      <c r="G409" s="22"/>
      <c r="H409" s="1"/>
      <c r="I409" s="1"/>
      <c r="J409" s="1"/>
      <c r="K409" s="1"/>
      <c r="L409" s="1"/>
      <c r="M409" s="262"/>
      <c r="N409" s="1"/>
      <c r="O409" s="1"/>
      <c r="P409" s="1"/>
      <c r="Q409" s="1"/>
      <c r="R409" s="1"/>
      <c r="S409" s="1"/>
      <c r="T409" s="1"/>
      <c r="U409" s="1"/>
      <c r="V409" s="1"/>
      <c r="W409" s="1"/>
      <c r="X409" s="1"/>
      <c r="Y409" s="1"/>
      <c r="Z409" s="1"/>
      <c r="AA409" s="1"/>
      <c r="AB409" s="1"/>
    </row>
    <row r="410" spans="2:28" ht="11.25" customHeight="1" x14ac:dyDescent="0.25">
      <c r="B410" s="16"/>
      <c r="C410" s="1"/>
      <c r="D410" s="1"/>
      <c r="E410" s="1"/>
      <c r="F410" s="1"/>
      <c r="G410" s="22"/>
      <c r="H410" s="1"/>
      <c r="I410" s="1"/>
      <c r="J410" s="1"/>
      <c r="K410" s="1"/>
      <c r="L410" s="1"/>
      <c r="M410" s="262"/>
      <c r="N410" s="1"/>
      <c r="O410" s="1"/>
      <c r="P410" s="1"/>
      <c r="Q410" s="1"/>
      <c r="R410" s="1"/>
      <c r="S410" s="1"/>
      <c r="T410" s="1"/>
      <c r="U410" s="1"/>
      <c r="V410" s="1"/>
      <c r="W410" s="1"/>
      <c r="X410" s="1"/>
      <c r="Y410" s="1"/>
      <c r="Z410" s="1"/>
      <c r="AA410" s="1"/>
      <c r="AB410" s="1"/>
    </row>
    <row r="411" spans="2:28" ht="11.25" customHeight="1" x14ac:dyDescent="0.25">
      <c r="B411" s="16"/>
      <c r="C411" s="1"/>
      <c r="D411" s="1"/>
      <c r="E411" s="1"/>
      <c r="F411" s="1"/>
      <c r="G411" s="22"/>
      <c r="H411" s="1"/>
      <c r="I411" s="1"/>
      <c r="J411" s="1"/>
      <c r="K411" s="1"/>
      <c r="L411" s="1"/>
      <c r="M411" s="262"/>
      <c r="N411" s="1"/>
      <c r="O411" s="1"/>
      <c r="P411" s="1"/>
      <c r="Q411" s="1"/>
      <c r="R411" s="1"/>
      <c r="S411" s="1"/>
      <c r="T411" s="1"/>
      <c r="U411" s="1"/>
      <c r="V411" s="1"/>
      <c r="W411" s="1"/>
      <c r="X411" s="1"/>
      <c r="Y411" s="1"/>
      <c r="Z411" s="1"/>
      <c r="AA411" s="1"/>
      <c r="AB411" s="1"/>
    </row>
    <row r="412" spans="2:28" ht="11.25" customHeight="1" x14ac:dyDescent="0.25">
      <c r="B412" s="16"/>
      <c r="C412" s="1"/>
      <c r="D412" s="1"/>
      <c r="E412" s="1"/>
      <c r="F412" s="1"/>
      <c r="G412" s="22"/>
      <c r="H412" s="1"/>
      <c r="I412" s="1"/>
      <c r="J412" s="1"/>
      <c r="K412" s="1"/>
      <c r="L412" s="1"/>
      <c r="M412" s="262"/>
      <c r="N412" s="1"/>
      <c r="O412" s="1"/>
      <c r="P412" s="1"/>
      <c r="Q412" s="1"/>
      <c r="R412" s="1"/>
      <c r="S412" s="1"/>
      <c r="T412" s="1"/>
      <c r="U412" s="1"/>
      <c r="V412" s="1"/>
      <c r="W412" s="1"/>
      <c r="X412" s="1"/>
      <c r="Y412" s="1"/>
      <c r="Z412" s="1"/>
      <c r="AA412" s="1"/>
      <c r="AB412" s="1"/>
    </row>
    <row r="413" spans="2:28" ht="11.25" customHeight="1" x14ac:dyDescent="0.25">
      <c r="B413" s="16"/>
      <c r="C413" s="1"/>
      <c r="D413" s="1"/>
      <c r="E413" s="1"/>
      <c r="F413" s="1"/>
      <c r="G413" s="22"/>
      <c r="H413" s="1"/>
      <c r="I413" s="1"/>
      <c r="J413" s="1"/>
      <c r="K413" s="1"/>
      <c r="L413" s="1"/>
      <c r="M413" s="262"/>
      <c r="N413" s="1"/>
      <c r="O413" s="1"/>
      <c r="P413" s="1"/>
      <c r="Q413" s="1"/>
      <c r="R413" s="1"/>
      <c r="S413" s="1"/>
      <c r="T413" s="1"/>
      <c r="U413" s="1"/>
      <c r="V413" s="1"/>
      <c r="W413" s="1"/>
      <c r="X413" s="1"/>
      <c r="Y413" s="1"/>
      <c r="Z413" s="1"/>
      <c r="AA413" s="1"/>
      <c r="AB413" s="1"/>
    </row>
    <row r="414" spans="2:28" ht="11.25" customHeight="1" x14ac:dyDescent="0.25">
      <c r="B414" s="16"/>
      <c r="C414" s="1"/>
      <c r="D414" s="1"/>
      <c r="E414" s="1"/>
      <c r="F414" s="1"/>
      <c r="G414" s="22"/>
      <c r="H414" s="1"/>
      <c r="I414" s="1"/>
      <c r="J414" s="1"/>
      <c r="K414" s="1"/>
      <c r="L414" s="1"/>
      <c r="M414" s="262"/>
      <c r="N414" s="1"/>
      <c r="O414" s="1"/>
      <c r="P414" s="1"/>
      <c r="Q414" s="1"/>
      <c r="R414" s="1"/>
      <c r="S414" s="1"/>
      <c r="T414" s="1"/>
      <c r="U414" s="1"/>
      <c r="V414" s="1"/>
      <c r="W414" s="1"/>
      <c r="X414" s="1"/>
      <c r="Y414" s="1"/>
      <c r="Z414" s="1"/>
      <c r="AA414" s="1"/>
      <c r="AB414" s="1"/>
    </row>
    <row r="415" spans="2:28" ht="11.25" customHeight="1" x14ac:dyDescent="0.25">
      <c r="B415" s="16"/>
      <c r="C415" s="1"/>
      <c r="D415" s="1"/>
      <c r="E415" s="1"/>
      <c r="F415" s="1"/>
      <c r="G415" s="22"/>
      <c r="H415" s="1"/>
      <c r="I415" s="1"/>
      <c r="J415" s="1"/>
      <c r="K415" s="1"/>
      <c r="L415" s="1"/>
      <c r="M415" s="262"/>
      <c r="N415" s="1"/>
      <c r="O415" s="1"/>
      <c r="P415" s="1"/>
      <c r="Q415" s="1"/>
      <c r="R415" s="1"/>
      <c r="S415" s="1"/>
      <c r="T415" s="1"/>
      <c r="U415" s="1"/>
      <c r="V415" s="1"/>
      <c r="W415" s="1"/>
      <c r="X415" s="1"/>
      <c r="Y415" s="1"/>
      <c r="Z415" s="1"/>
      <c r="AA415" s="1"/>
      <c r="AB415" s="1"/>
    </row>
    <row r="416" spans="2:28" ht="11.25" customHeight="1" x14ac:dyDescent="0.25">
      <c r="B416" s="16"/>
      <c r="C416" s="1"/>
      <c r="D416" s="1"/>
      <c r="E416" s="1"/>
      <c r="F416" s="1"/>
      <c r="G416" s="22"/>
      <c r="H416" s="1"/>
      <c r="I416" s="1"/>
      <c r="J416" s="1"/>
      <c r="K416" s="1"/>
      <c r="L416" s="1"/>
      <c r="M416" s="262"/>
      <c r="N416" s="1"/>
      <c r="O416" s="1"/>
      <c r="P416" s="1"/>
      <c r="Q416" s="1"/>
      <c r="R416" s="1"/>
      <c r="S416" s="1"/>
      <c r="T416" s="1"/>
      <c r="U416" s="1"/>
      <c r="V416" s="1"/>
      <c r="W416" s="1"/>
      <c r="X416" s="1"/>
      <c r="Y416" s="1"/>
      <c r="Z416" s="1"/>
      <c r="AA416" s="1"/>
      <c r="AB416" s="1"/>
    </row>
    <row r="417" spans="2:28" ht="11.25" customHeight="1" x14ac:dyDescent="0.25">
      <c r="B417" s="16"/>
      <c r="C417" s="1"/>
      <c r="D417" s="1"/>
      <c r="E417" s="1"/>
      <c r="F417" s="1"/>
      <c r="G417" s="22"/>
      <c r="H417" s="1"/>
      <c r="I417" s="1"/>
      <c r="J417" s="1"/>
      <c r="K417" s="1"/>
      <c r="L417" s="1"/>
      <c r="M417" s="262"/>
      <c r="N417" s="1"/>
      <c r="O417" s="1"/>
      <c r="P417" s="1"/>
      <c r="Q417" s="1"/>
      <c r="R417" s="1"/>
      <c r="S417" s="1"/>
      <c r="T417" s="1"/>
      <c r="U417" s="1"/>
      <c r="V417" s="1"/>
      <c r="W417" s="1"/>
      <c r="X417" s="1"/>
      <c r="Y417" s="1"/>
      <c r="Z417" s="1"/>
      <c r="AA417" s="1"/>
      <c r="AB417" s="1"/>
    </row>
    <row r="418" spans="2:28" ht="11.25" customHeight="1" x14ac:dyDescent="0.25">
      <c r="B418" s="16"/>
      <c r="C418" s="1"/>
      <c r="D418" s="1"/>
      <c r="E418" s="1"/>
      <c r="F418" s="1"/>
      <c r="G418" s="22"/>
      <c r="H418" s="1"/>
      <c r="I418" s="1"/>
      <c r="J418" s="1"/>
      <c r="K418" s="1"/>
      <c r="L418" s="1"/>
      <c r="M418" s="262"/>
      <c r="N418" s="1"/>
      <c r="O418" s="1"/>
      <c r="P418" s="1"/>
      <c r="Q418" s="1"/>
      <c r="R418" s="1"/>
      <c r="S418" s="1"/>
      <c r="T418" s="1"/>
      <c r="U418" s="1"/>
      <c r="V418" s="1"/>
      <c r="W418" s="1"/>
      <c r="X418" s="1"/>
      <c r="Y418" s="1"/>
      <c r="Z418" s="1"/>
      <c r="AA418" s="1"/>
      <c r="AB418" s="1"/>
    </row>
    <row r="419" spans="2:28" ht="11.25" customHeight="1" x14ac:dyDescent="0.25">
      <c r="B419" s="16"/>
      <c r="C419" s="1"/>
      <c r="D419" s="1"/>
      <c r="E419" s="1"/>
      <c r="F419" s="1"/>
      <c r="G419" s="22"/>
      <c r="H419" s="1"/>
      <c r="I419" s="1"/>
      <c r="J419" s="1"/>
      <c r="K419" s="1"/>
      <c r="L419" s="1"/>
      <c r="M419" s="262"/>
      <c r="N419" s="1"/>
      <c r="O419" s="1"/>
      <c r="P419" s="1"/>
      <c r="Q419" s="1"/>
      <c r="R419" s="1"/>
      <c r="S419" s="1"/>
      <c r="T419" s="1"/>
      <c r="U419" s="1"/>
      <c r="V419" s="1"/>
      <c r="W419" s="1"/>
      <c r="X419" s="1"/>
      <c r="Y419" s="1"/>
      <c r="Z419" s="1"/>
      <c r="AA419" s="1"/>
      <c r="AB419" s="1"/>
    </row>
    <row r="420" spans="2:28" ht="11.25" customHeight="1" x14ac:dyDescent="0.25">
      <c r="B420" s="16"/>
      <c r="C420" s="1"/>
      <c r="D420" s="1"/>
      <c r="E420" s="1"/>
      <c r="F420" s="1"/>
      <c r="G420" s="22"/>
      <c r="H420" s="1"/>
      <c r="I420" s="1"/>
      <c r="J420" s="1"/>
      <c r="K420" s="1"/>
      <c r="L420" s="1"/>
      <c r="M420" s="262"/>
      <c r="N420" s="1"/>
      <c r="O420" s="1"/>
      <c r="P420" s="1"/>
      <c r="Q420" s="1"/>
      <c r="R420" s="1"/>
      <c r="S420" s="1"/>
      <c r="T420" s="1"/>
      <c r="U420" s="1"/>
      <c r="V420" s="1"/>
      <c r="W420" s="1"/>
      <c r="X420" s="1"/>
      <c r="Y420" s="1"/>
      <c r="Z420" s="1"/>
      <c r="AA420" s="1"/>
      <c r="AB420" s="1"/>
    </row>
    <row r="421" spans="2:28" ht="11.25" customHeight="1" x14ac:dyDescent="0.25">
      <c r="B421" s="16"/>
      <c r="C421" s="1"/>
      <c r="D421" s="1"/>
      <c r="E421" s="1"/>
      <c r="F421" s="1"/>
      <c r="G421" s="22"/>
      <c r="H421" s="1"/>
      <c r="I421" s="1"/>
      <c r="J421" s="1"/>
      <c r="K421" s="1"/>
      <c r="L421" s="1"/>
      <c r="M421" s="262"/>
      <c r="N421" s="1"/>
      <c r="O421" s="1"/>
      <c r="P421" s="1"/>
      <c r="Q421" s="1"/>
      <c r="R421" s="1"/>
      <c r="S421" s="1"/>
      <c r="T421" s="1"/>
      <c r="U421" s="1"/>
      <c r="V421" s="1"/>
      <c r="W421" s="1"/>
      <c r="X421" s="1"/>
      <c r="Y421" s="1"/>
      <c r="Z421" s="1"/>
      <c r="AA421" s="1"/>
      <c r="AB421" s="1"/>
    </row>
    <row r="422" spans="2:28" ht="11.25" customHeight="1" x14ac:dyDescent="0.25">
      <c r="B422" s="16"/>
      <c r="C422" s="1"/>
      <c r="D422" s="1"/>
      <c r="E422" s="1"/>
      <c r="F422" s="1"/>
      <c r="G422" s="22"/>
      <c r="H422" s="1"/>
      <c r="I422" s="1"/>
      <c r="J422" s="1"/>
      <c r="K422" s="1"/>
      <c r="L422" s="1"/>
      <c r="M422" s="262"/>
      <c r="N422" s="1"/>
      <c r="O422" s="1"/>
      <c r="P422" s="1"/>
      <c r="Q422" s="1"/>
      <c r="R422" s="1"/>
      <c r="S422" s="1"/>
      <c r="T422" s="1"/>
      <c r="U422" s="1"/>
      <c r="V422" s="1"/>
      <c r="W422" s="1"/>
      <c r="X422" s="1"/>
      <c r="Y422" s="1"/>
      <c r="Z422" s="1"/>
      <c r="AA422" s="1"/>
      <c r="AB422" s="1"/>
    </row>
    <row r="423" spans="2:28" ht="11.25" customHeight="1" x14ac:dyDescent="0.25">
      <c r="B423" s="16"/>
      <c r="C423" s="1"/>
      <c r="D423" s="1"/>
      <c r="E423" s="1"/>
      <c r="F423" s="1"/>
      <c r="G423" s="22"/>
      <c r="H423" s="1"/>
      <c r="I423" s="1"/>
      <c r="J423" s="1"/>
      <c r="K423" s="1"/>
      <c r="L423" s="1"/>
      <c r="M423" s="262"/>
      <c r="N423" s="1"/>
      <c r="O423" s="1"/>
      <c r="P423" s="1"/>
      <c r="Q423" s="1"/>
      <c r="R423" s="1"/>
      <c r="S423" s="1"/>
      <c r="T423" s="1"/>
      <c r="U423" s="1"/>
      <c r="V423" s="1"/>
      <c r="W423" s="1"/>
      <c r="X423" s="1"/>
      <c r="Y423" s="1"/>
      <c r="Z423" s="1"/>
      <c r="AA423" s="1"/>
      <c r="AB423" s="1"/>
    </row>
    <row r="424" spans="2:28" ht="11.25" customHeight="1" x14ac:dyDescent="0.25">
      <c r="B424" s="16"/>
      <c r="C424" s="1"/>
      <c r="D424" s="1"/>
      <c r="E424" s="1"/>
      <c r="F424" s="1"/>
      <c r="G424" s="22"/>
      <c r="H424" s="1"/>
      <c r="I424" s="1"/>
      <c r="J424" s="1"/>
      <c r="K424" s="1"/>
      <c r="L424" s="1"/>
      <c r="M424" s="262"/>
      <c r="N424" s="1"/>
      <c r="O424" s="1"/>
      <c r="P424" s="1"/>
      <c r="Q424" s="1"/>
      <c r="R424" s="1"/>
      <c r="S424" s="1"/>
      <c r="T424" s="1"/>
      <c r="U424" s="1"/>
      <c r="V424" s="1"/>
      <c r="W424" s="1"/>
      <c r="X424" s="1"/>
      <c r="Y424" s="1"/>
      <c r="Z424" s="1"/>
      <c r="AA424" s="1"/>
      <c r="AB424" s="1"/>
    </row>
    <row r="425" spans="2:28" ht="11.25" customHeight="1" x14ac:dyDescent="0.25">
      <c r="B425" s="16"/>
      <c r="C425" s="1"/>
      <c r="D425" s="1"/>
      <c r="E425" s="1"/>
      <c r="F425" s="1"/>
      <c r="G425" s="22"/>
      <c r="H425" s="1"/>
      <c r="I425" s="1"/>
      <c r="J425" s="1"/>
      <c r="K425" s="1"/>
      <c r="L425" s="1"/>
      <c r="M425" s="262"/>
      <c r="N425" s="1"/>
      <c r="O425" s="1"/>
      <c r="P425" s="1"/>
      <c r="Q425" s="1"/>
      <c r="R425" s="1"/>
      <c r="S425" s="1"/>
      <c r="T425" s="1"/>
      <c r="U425" s="1"/>
      <c r="V425" s="1"/>
      <c r="W425" s="1"/>
      <c r="X425" s="1"/>
      <c r="Y425" s="1"/>
      <c r="Z425" s="1"/>
      <c r="AA425" s="1"/>
      <c r="AB425" s="1"/>
    </row>
    <row r="426" spans="2:28" ht="11.25" customHeight="1" x14ac:dyDescent="0.25">
      <c r="B426" s="16"/>
      <c r="C426" s="1"/>
      <c r="D426" s="1"/>
      <c r="E426" s="1"/>
      <c r="F426" s="1"/>
      <c r="G426" s="22"/>
      <c r="H426" s="1"/>
      <c r="I426" s="1"/>
      <c r="J426" s="1"/>
      <c r="K426" s="1"/>
      <c r="L426" s="1"/>
      <c r="M426" s="262"/>
      <c r="N426" s="1"/>
      <c r="O426" s="1"/>
      <c r="P426" s="1"/>
      <c r="Q426" s="1"/>
      <c r="R426" s="1"/>
      <c r="S426" s="1"/>
      <c r="T426" s="1"/>
      <c r="U426" s="1"/>
      <c r="V426" s="1"/>
      <c r="W426" s="1"/>
      <c r="X426" s="1"/>
      <c r="Y426" s="1"/>
      <c r="Z426" s="1"/>
      <c r="AA426" s="1"/>
      <c r="AB426" s="1"/>
    </row>
    <row r="427" spans="2:28" ht="11.25" customHeight="1" x14ac:dyDescent="0.25">
      <c r="B427" s="16"/>
      <c r="C427" s="1"/>
      <c r="D427" s="1"/>
      <c r="E427" s="1"/>
      <c r="F427" s="1"/>
      <c r="G427" s="22"/>
      <c r="H427" s="1"/>
      <c r="I427" s="1"/>
      <c r="J427" s="1"/>
      <c r="K427" s="1"/>
      <c r="L427" s="1"/>
      <c r="M427" s="262"/>
      <c r="N427" s="1"/>
      <c r="O427" s="1"/>
      <c r="P427" s="1"/>
      <c r="Q427" s="1"/>
      <c r="R427" s="1"/>
      <c r="S427" s="1"/>
      <c r="T427" s="1"/>
      <c r="U427" s="1"/>
      <c r="V427" s="1"/>
      <c r="W427" s="1"/>
      <c r="X427" s="1"/>
      <c r="Y427" s="1"/>
      <c r="Z427" s="1"/>
      <c r="AA427" s="1"/>
      <c r="AB427" s="1"/>
    </row>
    <row r="428" spans="2:28" ht="11.25" customHeight="1" x14ac:dyDescent="0.25">
      <c r="B428" s="16"/>
      <c r="C428" s="1"/>
      <c r="D428" s="1"/>
      <c r="E428" s="1"/>
      <c r="F428" s="1"/>
      <c r="G428" s="22"/>
      <c r="H428" s="1"/>
      <c r="I428" s="1"/>
      <c r="J428" s="1"/>
      <c r="K428" s="1"/>
      <c r="L428" s="1"/>
      <c r="M428" s="262"/>
      <c r="N428" s="1"/>
      <c r="O428" s="1"/>
      <c r="P428" s="1"/>
      <c r="Q428" s="1"/>
      <c r="R428" s="1"/>
      <c r="S428" s="1"/>
      <c r="T428" s="1"/>
      <c r="U428" s="1"/>
      <c r="V428" s="1"/>
      <c r="W428" s="1"/>
      <c r="X428" s="1"/>
      <c r="Y428" s="1"/>
      <c r="Z428" s="1"/>
      <c r="AA428" s="1"/>
      <c r="AB428" s="1"/>
    </row>
    <row r="429" spans="2:28" ht="11.25" customHeight="1" x14ac:dyDescent="0.25">
      <c r="B429" s="16"/>
      <c r="C429" s="1"/>
      <c r="D429" s="1"/>
      <c r="E429" s="1"/>
      <c r="F429" s="1"/>
      <c r="G429" s="22"/>
      <c r="H429" s="1"/>
      <c r="I429" s="1"/>
      <c r="J429" s="1"/>
      <c r="K429" s="1"/>
      <c r="L429" s="1"/>
      <c r="M429" s="262"/>
      <c r="N429" s="1"/>
      <c r="O429" s="1"/>
      <c r="P429" s="1"/>
      <c r="Q429" s="1"/>
      <c r="R429" s="1"/>
      <c r="S429" s="1"/>
      <c r="T429" s="1"/>
      <c r="U429" s="1"/>
      <c r="V429" s="1"/>
      <c r="W429" s="1"/>
      <c r="X429" s="1"/>
      <c r="Y429" s="1"/>
      <c r="Z429" s="1"/>
      <c r="AA429" s="1"/>
      <c r="AB429" s="1"/>
    </row>
    <row r="430" spans="2:28" ht="11.25" customHeight="1" x14ac:dyDescent="0.25">
      <c r="B430" s="16"/>
      <c r="C430" s="1"/>
      <c r="D430" s="1"/>
      <c r="E430" s="1"/>
      <c r="F430" s="1"/>
      <c r="G430" s="22"/>
      <c r="H430" s="1"/>
      <c r="I430" s="1"/>
      <c r="J430" s="1"/>
      <c r="K430" s="1"/>
      <c r="L430" s="1"/>
      <c r="M430" s="262"/>
      <c r="N430" s="1"/>
      <c r="O430" s="1"/>
      <c r="P430" s="1"/>
      <c r="Q430" s="1"/>
      <c r="R430" s="1"/>
      <c r="S430" s="1"/>
      <c r="T430" s="1"/>
      <c r="U430" s="1"/>
      <c r="V430" s="1"/>
      <c r="W430" s="1"/>
      <c r="X430" s="1"/>
      <c r="Y430" s="1"/>
      <c r="Z430" s="1"/>
      <c r="AA430" s="1"/>
      <c r="AB430" s="1"/>
    </row>
    <row r="431" spans="2:28" ht="11.25" customHeight="1" x14ac:dyDescent="0.25">
      <c r="B431" s="16"/>
      <c r="C431" s="1"/>
      <c r="D431" s="1"/>
      <c r="E431" s="1"/>
      <c r="F431" s="1"/>
      <c r="G431" s="22"/>
      <c r="H431" s="1"/>
      <c r="I431" s="1"/>
      <c r="J431" s="1"/>
      <c r="K431" s="1"/>
      <c r="L431" s="1"/>
      <c r="M431" s="262"/>
      <c r="N431" s="1"/>
      <c r="O431" s="1"/>
      <c r="P431" s="1"/>
      <c r="Q431" s="1"/>
      <c r="R431" s="1"/>
      <c r="S431" s="1"/>
      <c r="T431" s="1"/>
      <c r="U431" s="1"/>
      <c r="V431" s="1"/>
      <c r="W431" s="1"/>
      <c r="X431" s="1"/>
      <c r="Y431" s="1"/>
      <c r="Z431" s="1"/>
      <c r="AA431" s="1"/>
      <c r="AB431" s="1"/>
    </row>
    <row r="432" spans="2:28" ht="11.25" customHeight="1" x14ac:dyDescent="0.25">
      <c r="B432" s="16"/>
      <c r="C432" s="1"/>
      <c r="D432" s="1"/>
      <c r="E432" s="1"/>
      <c r="F432" s="1"/>
      <c r="G432" s="22"/>
      <c r="H432" s="1"/>
      <c r="I432" s="1"/>
      <c r="J432" s="1"/>
      <c r="K432" s="1"/>
      <c r="L432" s="1"/>
      <c r="M432" s="262"/>
      <c r="N432" s="1"/>
      <c r="O432" s="1"/>
      <c r="P432" s="1"/>
      <c r="Q432" s="1"/>
      <c r="R432" s="1"/>
      <c r="S432" s="1"/>
      <c r="T432" s="1"/>
      <c r="U432" s="1"/>
      <c r="V432" s="1"/>
      <c r="W432" s="1"/>
      <c r="X432" s="1"/>
      <c r="Y432" s="1"/>
      <c r="Z432" s="1"/>
      <c r="AA432" s="1"/>
      <c r="AB432" s="1"/>
    </row>
    <row r="433" spans="2:28" ht="11.25" customHeight="1" x14ac:dyDescent="0.25">
      <c r="B433" s="16"/>
      <c r="C433" s="1"/>
      <c r="D433" s="1"/>
      <c r="E433" s="1"/>
      <c r="F433" s="1"/>
      <c r="G433" s="22"/>
      <c r="H433" s="1"/>
      <c r="I433" s="1"/>
      <c r="J433" s="1"/>
      <c r="K433" s="1"/>
      <c r="L433" s="1"/>
      <c r="M433" s="262"/>
      <c r="N433" s="1"/>
      <c r="O433" s="1"/>
      <c r="P433" s="1"/>
      <c r="Q433" s="1"/>
      <c r="R433" s="1"/>
      <c r="S433" s="1"/>
      <c r="T433" s="1"/>
      <c r="U433" s="1"/>
      <c r="V433" s="1"/>
      <c r="W433" s="1"/>
      <c r="X433" s="1"/>
      <c r="Y433" s="1"/>
      <c r="Z433" s="1"/>
      <c r="AA433" s="1"/>
      <c r="AB433" s="1"/>
    </row>
    <row r="434" spans="2:28" ht="11.25" customHeight="1" x14ac:dyDescent="0.25">
      <c r="B434" s="16"/>
      <c r="C434" s="1"/>
      <c r="D434" s="1"/>
      <c r="E434" s="1"/>
      <c r="F434" s="1"/>
      <c r="G434" s="22"/>
      <c r="H434" s="1"/>
      <c r="I434" s="1"/>
      <c r="J434" s="1"/>
      <c r="K434" s="1"/>
      <c r="L434" s="1"/>
      <c r="M434" s="262"/>
      <c r="N434" s="1"/>
      <c r="O434" s="1"/>
      <c r="P434" s="1"/>
      <c r="Q434" s="1"/>
      <c r="R434" s="1"/>
      <c r="S434" s="1"/>
      <c r="T434" s="1"/>
      <c r="U434" s="1"/>
      <c r="V434" s="1"/>
      <c r="W434" s="1"/>
      <c r="X434" s="1"/>
      <c r="Y434" s="1"/>
      <c r="Z434" s="1"/>
      <c r="AA434" s="1"/>
      <c r="AB434" s="1"/>
    </row>
    <row r="435" spans="2:28" ht="11.25" customHeight="1" x14ac:dyDescent="0.25">
      <c r="B435" s="16"/>
      <c r="C435" s="1"/>
      <c r="D435" s="1"/>
      <c r="E435" s="1"/>
      <c r="F435" s="1"/>
      <c r="G435" s="22"/>
      <c r="H435" s="1"/>
      <c r="I435" s="1"/>
      <c r="J435" s="1"/>
      <c r="K435" s="1"/>
      <c r="L435" s="1"/>
      <c r="M435" s="262"/>
      <c r="N435" s="1"/>
      <c r="O435" s="1"/>
      <c r="P435" s="1"/>
      <c r="Q435" s="1"/>
      <c r="R435" s="1"/>
      <c r="S435" s="1"/>
      <c r="T435" s="1"/>
      <c r="U435" s="1"/>
      <c r="V435" s="1"/>
      <c r="W435" s="1"/>
      <c r="X435" s="1"/>
      <c r="Y435" s="1"/>
      <c r="Z435" s="1"/>
      <c r="AA435" s="1"/>
      <c r="AB435" s="1"/>
    </row>
    <row r="436" spans="2:28" ht="11.25" customHeight="1" x14ac:dyDescent="0.25">
      <c r="B436" s="16"/>
      <c r="C436" s="1"/>
      <c r="D436" s="1"/>
      <c r="E436" s="1"/>
      <c r="F436" s="1"/>
      <c r="G436" s="22"/>
      <c r="H436" s="1"/>
      <c r="I436" s="1"/>
      <c r="J436" s="1"/>
      <c r="K436" s="1"/>
      <c r="L436" s="1"/>
      <c r="M436" s="262"/>
      <c r="N436" s="1"/>
      <c r="O436" s="1"/>
      <c r="P436" s="1"/>
      <c r="Q436" s="1"/>
      <c r="R436" s="1"/>
      <c r="S436" s="1"/>
      <c r="T436" s="1"/>
      <c r="U436" s="1"/>
      <c r="V436" s="1"/>
      <c r="W436" s="1"/>
      <c r="X436" s="1"/>
      <c r="Y436" s="1"/>
      <c r="Z436" s="1"/>
      <c r="AA436" s="1"/>
      <c r="AB436" s="1"/>
    </row>
    <row r="437" spans="2:28" ht="11.25" customHeight="1" x14ac:dyDescent="0.25">
      <c r="B437" s="16"/>
      <c r="C437" s="1"/>
      <c r="D437" s="1"/>
      <c r="E437" s="1"/>
      <c r="F437" s="1"/>
      <c r="G437" s="22"/>
      <c r="H437" s="1"/>
      <c r="I437" s="1"/>
      <c r="J437" s="1"/>
      <c r="K437" s="1"/>
      <c r="L437" s="1"/>
      <c r="M437" s="262"/>
      <c r="N437" s="1"/>
      <c r="O437" s="1"/>
      <c r="P437" s="1"/>
      <c r="Q437" s="1"/>
      <c r="R437" s="1"/>
      <c r="S437" s="1"/>
      <c r="T437" s="1"/>
      <c r="U437" s="1"/>
      <c r="V437" s="1"/>
      <c r="W437" s="1"/>
      <c r="X437" s="1"/>
      <c r="Y437" s="1"/>
      <c r="Z437" s="1"/>
      <c r="AA437" s="1"/>
      <c r="AB437" s="1"/>
    </row>
    <row r="438" spans="2:28" ht="11.25" customHeight="1" x14ac:dyDescent="0.25">
      <c r="B438" s="16"/>
      <c r="C438" s="1"/>
      <c r="D438" s="1"/>
      <c r="E438" s="1"/>
      <c r="F438" s="1"/>
      <c r="G438" s="22"/>
      <c r="H438" s="1"/>
      <c r="I438" s="1"/>
      <c r="J438" s="1"/>
      <c r="K438" s="1"/>
      <c r="L438" s="1"/>
      <c r="M438" s="262"/>
      <c r="N438" s="1"/>
      <c r="O438" s="1"/>
      <c r="P438" s="1"/>
      <c r="Q438" s="1"/>
      <c r="R438" s="1"/>
      <c r="S438" s="1"/>
      <c r="T438" s="1"/>
      <c r="U438" s="1"/>
      <c r="V438" s="1"/>
      <c r="W438" s="1"/>
      <c r="X438" s="1"/>
      <c r="Y438" s="1"/>
      <c r="Z438" s="1"/>
      <c r="AA438" s="1"/>
      <c r="AB438" s="1"/>
    </row>
    <row r="439" spans="2:28" ht="11.25" customHeight="1" x14ac:dyDescent="0.25">
      <c r="B439" s="16"/>
      <c r="C439" s="1"/>
      <c r="D439" s="1"/>
      <c r="E439" s="1"/>
      <c r="F439" s="1"/>
      <c r="G439" s="22"/>
      <c r="H439" s="1"/>
      <c r="I439" s="1"/>
      <c r="J439" s="1"/>
      <c r="K439" s="1"/>
      <c r="L439" s="1"/>
      <c r="M439" s="262"/>
      <c r="N439" s="1"/>
      <c r="O439" s="1"/>
      <c r="P439" s="1"/>
      <c r="Q439" s="1"/>
      <c r="R439" s="1"/>
      <c r="S439" s="1"/>
      <c r="T439" s="1"/>
      <c r="U439" s="1"/>
      <c r="V439" s="1"/>
      <c r="W439" s="1"/>
      <c r="X439" s="1"/>
      <c r="Y439" s="1"/>
      <c r="Z439" s="1"/>
      <c r="AA439" s="1"/>
      <c r="AB439" s="1"/>
    </row>
    <row r="440" spans="2:28" ht="11.25" customHeight="1" x14ac:dyDescent="0.25">
      <c r="B440" s="16"/>
      <c r="C440" s="1"/>
      <c r="D440" s="1"/>
      <c r="E440" s="1"/>
      <c r="F440" s="1"/>
      <c r="G440" s="22"/>
      <c r="H440" s="1"/>
      <c r="I440" s="1"/>
      <c r="J440" s="1"/>
      <c r="K440" s="1"/>
      <c r="L440" s="1"/>
      <c r="M440" s="262"/>
      <c r="N440" s="1"/>
      <c r="O440" s="1"/>
      <c r="P440" s="1"/>
      <c r="Q440" s="1"/>
      <c r="R440" s="1"/>
      <c r="S440" s="1"/>
      <c r="T440" s="1"/>
      <c r="U440" s="1"/>
      <c r="V440" s="1"/>
      <c r="W440" s="1"/>
      <c r="X440" s="1"/>
      <c r="Y440" s="1"/>
      <c r="Z440" s="1"/>
      <c r="AA440" s="1"/>
      <c r="AB440" s="1"/>
    </row>
    <row r="441" spans="2:28" ht="11.25" customHeight="1" x14ac:dyDescent="0.25">
      <c r="B441" s="16"/>
      <c r="C441" s="1"/>
      <c r="D441" s="1"/>
      <c r="E441" s="1"/>
      <c r="F441" s="1"/>
      <c r="G441" s="22"/>
      <c r="H441" s="1"/>
      <c r="I441" s="1"/>
      <c r="J441" s="1"/>
      <c r="K441" s="1"/>
      <c r="L441" s="1"/>
      <c r="M441" s="262"/>
      <c r="N441" s="1"/>
      <c r="O441" s="1"/>
      <c r="P441" s="1"/>
      <c r="Q441" s="1"/>
      <c r="R441" s="1"/>
      <c r="S441" s="1"/>
      <c r="T441" s="1"/>
      <c r="U441" s="1"/>
      <c r="V441" s="1"/>
      <c r="W441" s="1"/>
      <c r="X441" s="1"/>
      <c r="Y441" s="1"/>
      <c r="Z441" s="1"/>
      <c r="AA441" s="1"/>
      <c r="AB441" s="1"/>
    </row>
    <row r="442" spans="2:28" ht="11.25" customHeight="1" x14ac:dyDescent="0.25">
      <c r="B442" s="16"/>
      <c r="C442" s="1"/>
      <c r="D442" s="1"/>
      <c r="E442" s="1"/>
      <c r="F442" s="1"/>
      <c r="G442" s="22"/>
      <c r="H442" s="1"/>
      <c r="I442" s="1"/>
      <c r="J442" s="1"/>
      <c r="K442" s="1"/>
      <c r="L442" s="1"/>
      <c r="M442" s="262"/>
      <c r="N442" s="1"/>
      <c r="O442" s="1"/>
      <c r="P442" s="1"/>
      <c r="Q442" s="1"/>
      <c r="R442" s="1"/>
      <c r="S442" s="1"/>
      <c r="T442" s="1"/>
      <c r="U442" s="1"/>
      <c r="V442" s="1"/>
      <c r="W442" s="1"/>
      <c r="X442" s="1"/>
      <c r="Y442" s="1"/>
      <c r="Z442" s="1"/>
      <c r="AA442" s="1"/>
      <c r="AB442" s="1"/>
    </row>
    <row r="443" spans="2:28" ht="11.25" customHeight="1" x14ac:dyDescent="0.25">
      <c r="B443" s="16"/>
      <c r="C443" s="1"/>
      <c r="D443" s="1"/>
      <c r="E443" s="1"/>
      <c r="F443" s="1"/>
      <c r="G443" s="22"/>
      <c r="H443" s="1"/>
      <c r="I443" s="1"/>
      <c r="J443" s="1"/>
      <c r="K443" s="1"/>
      <c r="L443" s="1"/>
      <c r="M443" s="262"/>
      <c r="N443" s="1"/>
      <c r="O443" s="1"/>
      <c r="P443" s="1"/>
      <c r="Q443" s="1"/>
      <c r="R443" s="1"/>
      <c r="S443" s="1"/>
      <c r="T443" s="1"/>
      <c r="U443" s="1"/>
      <c r="V443" s="1"/>
      <c r="W443" s="1"/>
      <c r="X443" s="1"/>
      <c r="Y443" s="1"/>
      <c r="Z443" s="1"/>
      <c r="AA443" s="1"/>
      <c r="AB443" s="1"/>
    </row>
    <row r="444" spans="2:28" ht="11.25" customHeight="1" x14ac:dyDescent="0.25">
      <c r="B444" s="16"/>
      <c r="C444" s="1"/>
      <c r="D444" s="1"/>
      <c r="E444" s="1"/>
      <c r="F444" s="1"/>
      <c r="G444" s="22"/>
      <c r="H444" s="1"/>
      <c r="I444" s="1"/>
      <c r="J444" s="1"/>
      <c r="K444" s="1"/>
      <c r="L444" s="1"/>
      <c r="M444" s="262"/>
      <c r="N444" s="1"/>
      <c r="O444" s="1"/>
      <c r="P444" s="1"/>
      <c r="Q444" s="1"/>
      <c r="R444" s="1"/>
      <c r="S444" s="1"/>
      <c r="T444" s="1"/>
      <c r="U444" s="1"/>
      <c r="V444" s="1"/>
      <c r="W444" s="1"/>
      <c r="X444" s="1"/>
      <c r="Y444" s="1"/>
      <c r="Z444" s="1"/>
      <c r="AA444" s="1"/>
      <c r="AB444" s="1"/>
    </row>
    <row r="445" spans="2:28" ht="11.25" customHeight="1" x14ac:dyDescent="0.25">
      <c r="B445" s="16"/>
      <c r="C445" s="1"/>
      <c r="D445" s="1"/>
      <c r="E445" s="1"/>
      <c r="F445" s="1"/>
      <c r="G445" s="22"/>
      <c r="H445" s="1"/>
      <c r="I445" s="1"/>
      <c r="J445" s="1"/>
      <c r="K445" s="1"/>
      <c r="L445" s="1"/>
      <c r="M445" s="262"/>
      <c r="N445" s="1"/>
      <c r="O445" s="1"/>
      <c r="P445" s="1"/>
      <c r="Q445" s="1"/>
      <c r="R445" s="1"/>
      <c r="S445" s="1"/>
      <c r="T445" s="1"/>
      <c r="U445" s="1"/>
      <c r="V445" s="1"/>
      <c r="W445" s="1"/>
      <c r="X445" s="1"/>
      <c r="Y445" s="1"/>
      <c r="Z445" s="1"/>
      <c r="AA445" s="1"/>
      <c r="AB445" s="1"/>
    </row>
    <row r="446" spans="2:28" ht="11.25" customHeight="1" x14ac:dyDescent="0.25">
      <c r="B446" s="16"/>
      <c r="C446" s="1"/>
      <c r="D446" s="1"/>
      <c r="E446" s="1"/>
      <c r="F446" s="1"/>
      <c r="G446" s="22"/>
      <c r="H446" s="1"/>
      <c r="I446" s="1"/>
      <c r="J446" s="1"/>
      <c r="K446" s="1"/>
      <c r="L446" s="1"/>
      <c r="M446" s="262"/>
      <c r="N446" s="1"/>
      <c r="O446" s="1"/>
      <c r="P446" s="1"/>
      <c r="Q446" s="1"/>
      <c r="R446" s="1"/>
      <c r="S446" s="1"/>
      <c r="T446" s="1"/>
      <c r="U446" s="1"/>
      <c r="V446" s="1"/>
      <c r="W446" s="1"/>
      <c r="X446" s="1"/>
      <c r="Y446" s="1"/>
      <c r="Z446" s="1"/>
      <c r="AA446" s="1"/>
      <c r="AB446" s="1"/>
    </row>
    <row r="447" spans="2:28" ht="11.25" customHeight="1" x14ac:dyDescent="0.25">
      <c r="B447" s="16"/>
      <c r="C447" s="1"/>
      <c r="D447" s="1"/>
      <c r="E447" s="1"/>
      <c r="F447" s="1"/>
      <c r="G447" s="22"/>
      <c r="H447" s="1"/>
      <c r="I447" s="1"/>
      <c r="J447" s="1"/>
      <c r="K447" s="1"/>
      <c r="L447" s="1"/>
      <c r="M447" s="262"/>
      <c r="N447" s="1"/>
      <c r="O447" s="1"/>
      <c r="P447" s="1"/>
      <c r="Q447" s="1"/>
      <c r="R447" s="1"/>
      <c r="S447" s="1"/>
      <c r="T447" s="1"/>
      <c r="U447" s="1"/>
      <c r="V447" s="1"/>
      <c r="W447" s="1"/>
      <c r="X447" s="1"/>
      <c r="Y447" s="1"/>
      <c r="Z447" s="1"/>
      <c r="AA447" s="1"/>
      <c r="AB447" s="1"/>
    </row>
    <row r="448" spans="2:28" ht="11.25" customHeight="1" x14ac:dyDescent="0.25">
      <c r="B448" s="16"/>
      <c r="C448" s="1"/>
      <c r="D448" s="1"/>
      <c r="E448" s="1"/>
      <c r="F448" s="1"/>
      <c r="G448" s="22"/>
      <c r="H448" s="1"/>
      <c r="I448" s="1"/>
      <c r="J448" s="1"/>
      <c r="K448" s="1"/>
      <c r="L448" s="1"/>
      <c r="M448" s="262"/>
      <c r="N448" s="1"/>
      <c r="O448" s="1"/>
      <c r="P448" s="1"/>
      <c r="Q448" s="1"/>
      <c r="R448" s="1"/>
      <c r="S448" s="1"/>
      <c r="T448" s="1"/>
      <c r="U448" s="1"/>
      <c r="V448" s="1"/>
      <c r="W448" s="1"/>
      <c r="X448" s="1"/>
      <c r="Y448" s="1"/>
      <c r="Z448" s="1"/>
      <c r="AA448" s="1"/>
      <c r="AB448" s="1"/>
    </row>
    <row r="449" spans="2:28" ht="11.25" customHeight="1" x14ac:dyDescent="0.25">
      <c r="B449" s="16"/>
      <c r="C449" s="1"/>
      <c r="D449" s="1"/>
      <c r="E449" s="1"/>
      <c r="F449" s="1"/>
      <c r="G449" s="22"/>
      <c r="H449" s="1"/>
      <c r="I449" s="1"/>
      <c r="J449" s="1"/>
      <c r="K449" s="1"/>
      <c r="L449" s="1"/>
      <c r="M449" s="262"/>
      <c r="N449" s="1"/>
      <c r="O449" s="1"/>
      <c r="P449" s="1"/>
      <c r="Q449" s="1"/>
      <c r="R449" s="1"/>
      <c r="S449" s="1"/>
      <c r="T449" s="1"/>
      <c r="U449" s="1"/>
      <c r="V449" s="1"/>
      <c r="W449" s="1"/>
      <c r="X449" s="1"/>
      <c r="Y449" s="1"/>
      <c r="Z449" s="1"/>
      <c r="AA449" s="1"/>
      <c r="AB449" s="1"/>
    </row>
    <row r="450" spans="2:28" ht="11.25" customHeight="1" x14ac:dyDescent="0.25">
      <c r="B450" s="16"/>
      <c r="C450" s="1"/>
      <c r="D450" s="1"/>
      <c r="E450" s="1"/>
      <c r="F450" s="1"/>
      <c r="G450" s="22"/>
      <c r="H450" s="1"/>
      <c r="I450" s="1"/>
      <c r="J450" s="1"/>
      <c r="K450" s="1"/>
      <c r="L450" s="1"/>
      <c r="M450" s="262"/>
      <c r="N450" s="1"/>
      <c r="O450" s="1"/>
      <c r="P450" s="1"/>
      <c r="Q450" s="1"/>
      <c r="R450" s="1"/>
      <c r="S450" s="1"/>
      <c r="T450" s="1"/>
      <c r="U450" s="1"/>
      <c r="V450" s="1"/>
      <c r="W450" s="1"/>
      <c r="X450" s="1"/>
      <c r="Y450" s="1"/>
      <c r="Z450" s="1"/>
      <c r="AA450" s="1"/>
      <c r="AB450" s="1"/>
    </row>
    <row r="451" spans="2:28" ht="11.25" customHeight="1" x14ac:dyDescent="0.25">
      <c r="B451" s="16"/>
      <c r="C451" s="1"/>
      <c r="D451" s="1"/>
      <c r="E451" s="1"/>
      <c r="F451" s="1"/>
      <c r="G451" s="22"/>
      <c r="H451" s="1"/>
      <c r="I451" s="1"/>
      <c r="J451" s="1"/>
      <c r="K451" s="1"/>
      <c r="L451" s="1"/>
      <c r="M451" s="262"/>
      <c r="N451" s="1"/>
      <c r="O451" s="1"/>
      <c r="P451" s="1"/>
      <c r="Q451" s="1"/>
      <c r="R451" s="1"/>
      <c r="S451" s="1"/>
      <c r="T451" s="1"/>
      <c r="U451" s="1"/>
      <c r="V451" s="1"/>
      <c r="W451" s="1"/>
      <c r="X451" s="1"/>
      <c r="Y451" s="1"/>
      <c r="Z451" s="1"/>
      <c r="AA451" s="1"/>
      <c r="AB451" s="1"/>
    </row>
    <row r="452" spans="2:28" ht="11.25" customHeight="1" x14ac:dyDescent="0.25">
      <c r="B452" s="16"/>
      <c r="C452" s="1"/>
      <c r="D452" s="1"/>
      <c r="E452" s="1"/>
      <c r="F452" s="1"/>
      <c r="G452" s="22"/>
      <c r="H452" s="1"/>
      <c r="I452" s="1"/>
      <c r="J452" s="1"/>
      <c r="K452" s="1"/>
      <c r="L452" s="1"/>
      <c r="M452" s="262"/>
      <c r="N452" s="1"/>
      <c r="O452" s="1"/>
      <c r="P452" s="1"/>
      <c r="Q452" s="1"/>
      <c r="R452" s="1"/>
      <c r="S452" s="1"/>
      <c r="T452" s="1"/>
      <c r="U452" s="1"/>
      <c r="V452" s="1"/>
      <c r="W452" s="1"/>
      <c r="X452" s="1"/>
      <c r="Y452" s="1"/>
      <c r="Z452" s="1"/>
      <c r="AA452" s="1"/>
      <c r="AB452" s="1"/>
    </row>
    <row r="453" spans="2:28" ht="11.25" customHeight="1" x14ac:dyDescent="0.25">
      <c r="B453" s="16"/>
      <c r="C453" s="1"/>
      <c r="D453" s="1"/>
      <c r="E453" s="1"/>
      <c r="F453" s="1"/>
      <c r="G453" s="22"/>
      <c r="H453" s="1"/>
      <c r="I453" s="1"/>
      <c r="J453" s="1"/>
      <c r="K453" s="1"/>
      <c r="L453" s="1"/>
      <c r="M453" s="262"/>
      <c r="N453" s="1"/>
      <c r="O453" s="1"/>
      <c r="P453" s="1"/>
      <c r="Q453" s="1"/>
      <c r="R453" s="1"/>
      <c r="S453" s="1"/>
      <c r="T453" s="1"/>
      <c r="U453" s="1"/>
      <c r="V453" s="1"/>
      <c r="W453" s="1"/>
      <c r="X453" s="1"/>
      <c r="Y453" s="1"/>
      <c r="Z453" s="1"/>
      <c r="AA453" s="1"/>
      <c r="AB453" s="1"/>
    </row>
    <row r="454" spans="2:28" ht="11.25" customHeight="1" x14ac:dyDescent="0.25">
      <c r="B454" s="16"/>
      <c r="C454" s="1"/>
      <c r="D454" s="1"/>
      <c r="E454" s="1"/>
      <c r="F454" s="1"/>
      <c r="G454" s="22"/>
      <c r="H454" s="1"/>
      <c r="I454" s="1"/>
      <c r="J454" s="1"/>
      <c r="K454" s="1"/>
      <c r="L454" s="1"/>
      <c r="M454" s="262"/>
      <c r="N454" s="1"/>
      <c r="O454" s="1"/>
      <c r="P454" s="1"/>
      <c r="Q454" s="1"/>
      <c r="R454" s="1"/>
      <c r="S454" s="1"/>
      <c r="T454" s="1"/>
      <c r="U454" s="1"/>
      <c r="V454" s="1"/>
      <c r="W454" s="1"/>
      <c r="X454" s="1"/>
      <c r="Y454" s="1"/>
      <c r="Z454" s="1"/>
      <c r="AA454" s="1"/>
      <c r="AB454" s="1"/>
    </row>
    <row r="455" spans="2:28" ht="11.25" customHeight="1" x14ac:dyDescent="0.25">
      <c r="B455" s="16"/>
      <c r="C455" s="1"/>
      <c r="D455" s="1"/>
      <c r="E455" s="1"/>
      <c r="F455" s="1"/>
      <c r="G455" s="22"/>
      <c r="H455" s="1"/>
      <c r="I455" s="1"/>
      <c r="J455" s="1"/>
      <c r="K455" s="1"/>
      <c r="L455" s="1"/>
      <c r="M455" s="262"/>
      <c r="N455" s="1"/>
      <c r="O455" s="1"/>
      <c r="P455" s="1"/>
      <c r="Q455" s="1"/>
      <c r="R455" s="1"/>
      <c r="S455" s="1"/>
      <c r="T455" s="1"/>
      <c r="U455" s="1"/>
      <c r="V455" s="1"/>
      <c r="W455" s="1"/>
      <c r="X455" s="1"/>
      <c r="Y455" s="1"/>
      <c r="Z455" s="1"/>
      <c r="AA455" s="1"/>
      <c r="AB455" s="1"/>
    </row>
    <row r="456" spans="2:28" ht="11.25" customHeight="1" x14ac:dyDescent="0.25">
      <c r="B456" s="16"/>
      <c r="C456" s="1"/>
      <c r="D456" s="1"/>
      <c r="E456" s="1"/>
      <c r="F456" s="1"/>
      <c r="G456" s="22"/>
      <c r="H456" s="1"/>
      <c r="I456" s="1"/>
      <c r="J456" s="1"/>
      <c r="K456" s="1"/>
      <c r="L456" s="1"/>
      <c r="M456" s="262"/>
      <c r="N456" s="1"/>
      <c r="O456" s="1"/>
      <c r="P456" s="1"/>
      <c r="Q456" s="1"/>
      <c r="R456" s="1"/>
      <c r="S456" s="1"/>
      <c r="T456" s="1"/>
      <c r="U456" s="1"/>
      <c r="V456" s="1"/>
      <c r="W456" s="1"/>
      <c r="X456" s="1"/>
      <c r="Y456" s="1"/>
      <c r="Z456" s="1"/>
      <c r="AA456" s="1"/>
      <c r="AB456" s="1"/>
    </row>
    <row r="457" spans="2:28" ht="11.25" customHeight="1" x14ac:dyDescent="0.25">
      <c r="B457" s="16"/>
      <c r="C457" s="1"/>
      <c r="D457" s="1"/>
      <c r="E457" s="1"/>
      <c r="F457" s="1"/>
      <c r="G457" s="22"/>
      <c r="H457" s="1"/>
      <c r="I457" s="1"/>
      <c r="J457" s="1"/>
      <c r="K457" s="1"/>
      <c r="L457" s="1"/>
      <c r="M457" s="262"/>
      <c r="N457" s="1"/>
      <c r="O457" s="1"/>
      <c r="P457" s="1"/>
      <c r="Q457" s="1"/>
      <c r="R457" s="1"/>
      <c r="S457" s="1"/>
      <c r="T457" s="1"/>
      <c r="U457" s="1"/>
      <c r="V457" s="1"/>
      <c r="W457" s="1"/>
      <c r="X457" s="1"/>
      <c r="Y457" s="1"/>
      <c r="Z457" s="1"/>
      <c r="AA457" s="1"/>
      <c r="AB457" s="1"/>
    </row>
    <row r="458" spans="2:28" ht="11.25" customHeight="1" x14ac:dyDescent="0.25">
      <c r="B458" s="16"/>
      <c r="C458" s="1"/>
      <c r="D458" s="1"/>
      <c r="E458" s="1"/>
      <c r="F458" s="1"/>
      <c r="G458" s="22"/>
      <c r="H458" s="1"/>
      <c r="I458" s="1"/>
      <c r="J458" s="1"/>
      <c r="K458" s="1"/>
      <c r="L458" s="1"/>
      <c r="M458" s="262"/>
      <c r="N458" s="1"/>
      <c r="O458" s="1"/>
      <c r="P458" s="1"/>
      <c r="Q458" s="1"/>
      <c r="R458" s="1"/>
      <c r="S458" s="1"/>
      <c r="T458" s="1"/>
      <c r="U458" s="1"/>
      <c r="V458" s="1"/>
      <c r="W458" s="1"/>
      <c r="X458" s="1"/>
      <c r="Y458" s="1"/>
      <c r="Z458" s="1"/>
      <c r="AA458" s="1"/>
      <c r="AB458" s="1"/>
    </row>
    <row r="459" spans="2:28" ht="11.25" customHeight="1" x14ac:dyDescent="0.25">
      <c r="B459" s="16"/>
      <c r="C459" s="1"/>
      <c r="D459" s="1"/>
      <c r="E459" s="1"/>
      <c r="F459" s="1"/>
      <c r="G459" s="22"/>
      <c r="H459" s="1"/>
      <c r="I459" s="1"/>
      <c r="J459" s="1"/>
      <c r="K459" s="1"/>
      <c r="L459" s="1"/>
      <c r="M459" s="262"/>
      <c r="N459" s="1"/>
      <c r="O459" s="1"/>
      <c r="P459" s="1"/>
      <c r="Q459" s="1"/>
      <c r="R459" s="1"/>
      <c r="S459" s="1"/>
      <c r="T459" s="1"/>
      <c r="U459" s="1"/>
      <c r="V459" s="1"/>
      <c r="W459" s="1"/>
      <c r="X459" s="1"/>
      <c r="Y459" s="1"/>
      <c r="Z459" s="1"/>
      <c r="AA459" s="1"/>
      <c r="AB459" s="1"/>
    </row>
    <row r="460" spans="2:28" ht="11.25" customHeight="1" x14ac:dyDescent="0.25">
      <c r="B460" s="16"/>
      <c r="C460" s="1"/>
      <c r="D460" s="1"/>
      <c r="E460" s="1"/>
      <c r="F460" s="1"/>
      <c r="G460" s="22"/>
      <c r="H460" s="1"/>
      <c r="I460" s="1"/>
      <c r="J460" s="1"/>
      <c r="K460" s="1"/>
      <c r="L460" s="1"/>
      <c r="M460" s="262"/>
      <c r="N460" s="1"/>
      <c r="O460" s="1"/>
      <c r="P460" s="1"/>
      <c r="Q460" s="1"/>
      <c r="R460" s="1"/>
      <c r="S460" s="1"/>
      <c r="T460" s="1"/>
      <c r="U460" s="1"/>
      <c r="V460" s="1"/>
      <c r="W460" s="1"/>
      <c r="X460" s="1"/>
      <c r="Y460" s="1"/>
      <c r="Z460" s="1"/>
      <c r="AA460" s="1"/>
      <c r="AB460" s="1"/>
    </row>
    <row r="461" spans="2:28" ht="11.25" customHeight="1" x14ac:dyDescent="0.25">
      <c r="B461" s="16"/>
      <c r="C461" s="1"/>
      <c r="D461" s="1"/>
      <c r="E461" s="1"/>
      <c r="F461" s="1"/>
      <c r="G461" s="22"/>
      <c r="H461" s="1"/>
      <c r="I461" s="1"/>
      <c r="J461" s="1"/>
      <c r="K461" s="1"/>
      <c r="L461" s="1"/>
      <c r="M461" s="262"/>
      <c r="N461" s="1"/>
      <c r="O461" s="1"/>
      <c r="P461" s="1"/>
      <c r="Q461" s="1"/>
      <c r="R461" s="1"/>
      <c r="S461" s="1"/>
      <c r="T461" s="1"/>
      <c r="U461" s="1"/>
      <c r="V461" s="1"/>
      <c r="W461" s="1"/>
      <c r="X461" s="1"/>
      <c r="Y461" s="1"/>
      <c r="Z461" s="1"/>
      <c r="AA461" s="1"/>
      <c r="AB461" s="1"/>
    </row>
    <row r="462" spans="2:28" ht="11.25" customHeight="1" x14ac:dyDescent="0.25">
      <c r="B462" s="16"/>
      <c r="C462" s="1"/>
      <c r="D462" s="1"/>
      <c r="E462" s="1"/>
      <c r="F462" s="1"/>
      <c r="G462" s="22"/>
      <c r="H462" s="1"/>
      <c r="I462" s="1"/>
      <c r="J462" s="1"/>
      <c r="K462" s="1"/>
      <c r="L462" s="1"/>
      <c r="M462" s="262"/>
      <c r="N462" s="1"/>
      <c r="O462" s="1"/>
      <c r="P462" s="1"/>
      <c r="Q462" s="1"/>
      <c r="R462" s="1"/>
      <c r="S462" s="1"/>
      <c r="T462" s="1"/>
      <c r="U462" s="1"/>
      <c r="V462" s="1"/>
      <c r="W462" s="1"/>
      <c r="X462" s="1"/>
      <c r="Y462" s="1"/>
      <c r="Z462" s="1"/>
      <c r="AA462" s="1"/>
      <c r="AB462" s="1"/>
    </row>
    <row r="463" spans="2:28" ht="11.25" customHeight="1" x14ac:dyDescent="0.25">
      <c r="B463" s="16"/>
      <c r="C463" s="1"/>
      <c r="D463" s="1"/>
      <c r="E463" s="1"/>
      <c r="F463" s="1"/>
      <c r="G463" s="22"/>
      <c r="H463" s="1"/>
      <c r="I463" s="1"/>
      <c r="J463" s="1"/>
      <c r="K463" s="1"/>
      <c r="L463" s="1"/>
      <c r="M463" s="262"/>
      <c r="N463" s="1"/>
      <c r="O463" s="1"/>
      <c r="P463" s="1"/>
      <c r="Q463" s="1"/>
      <c r="R463" s="1"/>
      <c r="S463" s="1"/>
      <c r="T463" s="1"/>
      <c r="U463" s="1"/>
      <c r="V463" s="1"/>
      <c r="W463" s="1"/>
      <c r="X463" s="1"/>
      <c r="Y463" s="1"/>
      <c r="Z463" s="1"/>
      <c r="AA463" s="1"/>
      <c r="AB463" s="1"/>
    </row>
    <row r="464" spans="2:28" ht="11.25" customHeight="1" x14ac:dyDescent="0.25">
      <c r="B464" s="16"/>
      <c r="C464" s="1"/>
      <c r="D464" s="1"/>
      <c r="E464" s="1"/>
      <c r="F464" s="1"/>
      <c r="G464" s="22"/>
      <c r="H464" s="1"/>
      <c r="I464" s="1"/>
      <c r="J464" s="1"/>
      <c r="K464" s="1"/>
      <c r="L464" s="1"/>
      <c r="M464" s="262"/>
      <c r="N464" s="1"/>
      <c r="O464" s="1"/>
      <c r="P464" s="1"/>
      <c r="Q464" s="1"/>
      <c r="R464" s="1"/>
      <c r="S464" s="1"/>
      <c r="T464" s="1"/>
      <c r="U464" s="1"/>
      <c r="V464" s="1"/>
      <c r="W464" s="1"/>
      <c r="X464" s="1"/>
      <c r="Y464" s="1"/>
      <c r="Z464" s="1"/>
      <c r="AA464" s="1"/>
      <c r="AB464" s="1"/>
    </row>
    <row r="465" spans="2:28" ht="11.25" customHeight="1" x14ac:dyDescent="0.25">
      <c r="B465" s="16"/>
      <c r="C465" s="1"/>
      <c r="D465" s="1"/>
      <c r="E465" s="1"/>
      <c r="F465" s="1"/>
      <c r="G465" s="22"/>
      <c r="H465" s="1"/>
      <c r="I465" s="1"/>
      <c r="J465" s="1"/>
      <c r="K465" s="1"/>
      <c r="L465" s="1"/>
      <c r="M465" s="262"/>
      <c r="N465" s="1"/>
      <c r="O465" s="1"/>
      <c r="P465" s="1"/>
      <c r="Q465" s="1"/>
      <c r="R465" s="1"/>
      <c r="S465" s="1"/>
      <c r="T465" s="1"/>
      <c r="U465" s="1"/>
      <c r="V465" s="1"/>
      <c r="W465" s="1"/>
      <c r="X465" s="1"/>
      <c r="Y465" s="1"/>
      <c r="Z465" s="1"/>
      <c r="AA465" s="1"/>
      <c r="AB465" s="1"/>
    </row>
    <row r="466" spans="2:28" ht="11.25" customHeight="1" x14ac:dyDescent="0.25">
      <c r="B466" s="16"/>
      <c r="C466" s="1"/>
      <c r="D466" s="1"/>
      <c r="E466" s="1"/>
      <c r="F466" s="1"/>
      <c r="G466" s="22"/>
      <c r="H466" s="1"/>
      <c r="I466" s="1"/>
      <c r="J466" s="1"/>
      <c r="K466" s="1"/>
      <c r="L466" s="1"/>
      <c r="M466" s="262"/>
      <c r="N466" s="1"/>
      <c r="O466" s="1"/>
      <c r="P466" s="1"/>
      <c r="Q466" s="1"/>
      <c r="R466" s="1"/>
      <c r="S466" s="1"/>
      <c r="T466" s="1"/>
      <c r="U466" s="1"/>
      <c r="V466" s="1"/>
      <c r="W466" s="1"/>
      <c r="X466" s="1"/>
      <c r="Y466" s="1"/>
      <c r="Z466" s="1"/>
      <c r="AA466" s="1"/>
      <c r="AB466" s="1"/>
    </row>
    <row r="467" spans="2:28" ht="11.25" customHeight="1" x14ac:dyDescent="0.25">
      <c r="B467" s="16"/>
      <c r="C467" s="1"/>
      <c r="D467" s="1"/>
      <c r="E467" s="1"/>
      <c r="F467" s="1"/>
      <c r="G467" s="22"/>
      <c r="H467" s="1"/>
      <c r="I467" s="1"/>
      <c r="J467" s="1"/>
      <c r="K467" s="1"/>
      <c r="L467" s="1"/>
      <c r="M467" s="262"/>
      <c r="N467" s="1"/>
      <c r="O467" s="1"/>
      <c r="P467" s="1"/>
      <c r="Q467" s="1"/>
      <c r="R467" s="1"/>
      <c r="S467" s="1"/>
      <c r="T467" s="1"/>
      <c r="U467" s="1"/>
      <c r="V467" s="1"/>
      <c r="W467" s="1"/>
      <c r="X467" s="1"/>
      <c r="Y467" s="1"/>
      <c r="Z467" s="1"/>
      <c r="AA467" s="1"/>
      <c r="AB467" s="1"/>
    </row>
    <row r="468" spans="2:28" ht="11.25" customHeight="1" x14ac:dyDescent="0.25">
      <c r="B468" s="16"/>
      <c r="C468" s="1"/>
      <c r="D468" s="1"/>
      <c r="E468" s="1"/>
      <c r="F468" s="1"/>
      <c r="G468" s="22"/>
      <c r="H468" s="1"/>
      <c r="I468" s="1"/>
      <c r="J468" s="1"/>
      <c r="K468" s="1"/>
      <c r="L468" s="1"/>
      <c r="M468" s="262"/>
      <c r="N468" s="1"/>
      <c r="O468" s="1"/>
      <c r="P468" s="1"/>
      <c r="Q468" s="1"/>
      <c r="R468" s="1"/>
      <c r="S468" s="1"/>
      <c r="T468" s="1"/>
      <c r="U468" s="1"/>
      <c r="V468" s="1"/>
      <c r="W468" s="1"/>
      <c r="X468" s="1"/>
      <c r="Y468" s="1"/>
      <c r="Z468" s="1"/>
      <c r="AA468" s="1"/>
      <c r="AB468" s="1"/>
    </row>
    <row r="469" spans="2:28" ht="11.25" customHeight="1" x14ac:dyDescent="0.25">
      <c r="B469" s="16"/>
      <c r="C469" s="1"/>
      <c r="D469" s="1"/>
      <c r="E469" s="1"/>
      <c r="F469" s="1"/>
      <c r="G469" s="22"/>
      <c r="H469" s="1"/>
      <c r="I469" s="1"/>
      <c r="J469" s="1"/>
      <c r="K469" s="1"/>
      <c r="L469" s="1"/>
      <c r="M469" s="262"/>
      <c r="N469" s="1"/>
      <c r="O469" s="1"/>
      <c r="P469" s="1"/>
      <c r="Q469" s="1"/>
      <c r="R469" s="1"/>
      <c r="S469" s="1"/>
      <c r="T469" s="1"/>
      <c r="U469" s="1"/>
      <c r="V469" s="1"/>
      <c r="W469" s="1"/>
      <c r="X469" s="1"/>
      <c r="Y469" s="1"/>
      <c r="Z469" s="1"/>
      <c r="AA469" s="1"/>
      <c r="AB469" s="1"/>
    </row>
    <row r="470" spans="2:28" ht="11.25" customHeight="1" x14ac:dyDescent="0.25">
      <c r="B470" s="16"/>
      <c r="C470" s="1"/>
      <c r="D470" s="1"/>
      <c r="E470" s="1"/>
      <c r="F470" s="1"/>
      <c r="G470" s="22"/>
      <c r="H470" s="1"/>
      <c r="I470" s="1"/>
      <c r="J470" s="1"/>
      <c r="K470" s="1"/>
      <c r="L470" s="1"/>
      <c r="M470" s="262"/>
      <c r="N470" s="1"/>
      <c r="O470" s="1"/>
      <c r="P470" s="1"/>
      <c r="Q470" s="1"/>
      <c r="R470" s="1"/>
      <c r="S470" s="1"/>
      <c r="T470" s="1"/>
      <c r="U470" s="1"/>
      <c r="V470" s="1"/>
      <c r="W470" s="1"/>
      <c r="X470" s="1"/>
      <c r="Y470" s="1"/>
      <c r="Z470" s="1"/>
      <c r="AA470" s="1"/>
      <c r="AB470" s="1"/>
    </row>
    <row r="471" spans="2:28" ht="11.25" customHeight="1" x14ac:dyDescent="0.25">
      <c r="B471" s="16"/>
      <c r="C471" s="1"/>
      <c r="D471" s="1"/>
      <c r="E471" s="1"/>
      <c r="F471" s="1"/>
      <c r="G471" s="22"/>
      <c r="H471" s="1"/>
      <c r="I471" s="1"/>
      <c r="J471" s="1"/>
      <c r="K471" s="1"/>
      <c r="L471" s="1"/>
      <c r="M471" s="262"/>
      <c r="N471" s="1"/>
      <c r="O471" s="1"/>
      <c r="P471" s="1"/>
      <c r="Q471" s="1"/>
      <c r="R471" s="1"/>
      <c r="S471" s="1"/>
      <c r="T471" s="1"/>
      <c r="U471" s="1"/>
      <c r="V471" s="1"/>
      <c r="W471" s="1"/>
      <c r="X471" s="1"/>
      <c r="Y471" s="1"/>
      <c r="Z471" s="1"/>
      <c r="AA471" s="1"/>
      <c r="AB471" s="1"/>
    </row>
    <row r="472" spans="2:28" ht="11.25" customHeight="1" x14ac:dyDescent="0.25">
      <c r="B472" s="16"/>
      <c r="C472" s="1"/>
      <c r="D472" s="1"/>
      <c r="E472" s="1"/>
      <c r="F472" s="1"/>
      <c r="G472" s="22"/>
      <c r="H472" s="1"/>
      <c r="I472" s="1"/>
      <c r="J472" s="1"/>
      <c r="K472" s="1"/>
      <c r="L472" s="1"/>
      <c r="M472" s="262"/>
      <c r="N472" s="1"/>
      <c r="O472" s="1"/>
      <c r="P472" s="1"/>
      <c r="Q472" s="1"/>
      <c r="R472" s="1"/>
      <c r="S472" s="1"/>
      <c r="T472" s="1"/>
      <c r="U472" s="1"/>
      <c r="V472" s="1"/>
      <c r="W472" s="1"/>
      <c r="X472" s="1"/>
      <c r="Y472" s="1"/>
      <c r="Z472" s="1"/>
      <c r="AA472" s="1"/>
      <c r="AB472" s="1"/>
    </row>
    <row r="473" spans="2:28" ht="11.25" customHeight="1" x14ac:dyDescent="0.25">
      <c r="B473" s="16"/>
      <c r="C473" s="1"/>
      <c r="D473" s="1"/>
      <c r="E473" s="1"/>
      <c r="F473" s="1"/>
      <c r="G473" s="22"/>
      <c r="H473" s="1"/>
      <c r="I473" s="1"/>
      <c r="J473" s="1"/>
      <c r="K473" s="1"/>
      <c r="L473" s="1"/>
      <c r="M473" s="262"/>
      <c r="N473" s="1"/>
      <c r="O473" s="1"/>
      <c r="P473" s="1"/>
      <c r="Q473" s="1"/>
      <c r="R473" s="1"/>
      <c r="S473" s="1"/>
      <c r="T473" s="1"/>
      <c r="U473" s="1"/>
      <c r="V473" s="1"/>
      <c r="W473" s="1"/>
      <c r="X473" s="1"/>
      <c r="Y473" s="1"/>
      <c r="Z473" s="1"/>
      <c r="AA473" s="1"/>
      <c r="AB473" s="1"/>
    </row>
    <row r="474" spans="2:28" ht="11.25" customHeight="1" x14ac:dyDescent="0.25">
      <c r="B474" s="16"/>
      <c r="C474" s="1"/>
      <c r="D474" s="1"/>
      <c r="E474" s="1"/>
      <c r="F474" s="1"/>
      <c r="G474" s="22"/>
      <c r="H474" s="1"/>
      <c r="I474" s="1"/>
      <c r="J474" s="1"/>
      <c r="K474" s="1"/>
      <c r="L474" s="1"/>
      <c r="M474" s="262"/>
      <c r="N474" s="1"/>
      <c r="O474" s="1"/>
      <c r="P474" s="1"/>
      <c r="Q474" s="1"/>
      <c r="R474" s="1"/>
      <c r="S474" s="1"/>
      <c r="T474" s="1"/>
      <c r="U474" s="1"/>
      <c r="V474" s="1"/>
      <c r="W474" s="1"/>
      <c r="X474" s="1"/>
      <c r="Y474" s="1"/>
      <c r="Z474" s="1"/>
      <c r="AA474" s="1"/>
      <c r="AB474" s="1"/>
    </row>
    <row r="475" spans="2:28" ht="11.25" customHeight="1" x14ac:dyDescent="0.25">
      <c r="B475" s="16"/>
      <c r="C475" s="1"/>
      <c r="D475" s="1"/>
      <c r="E475" s="1"/>
      <c r="F475" s="1"/>
      <c r="G475" s="22"/>
      <c r="H475" s="1"/>
      <c r="I475" s="1"/>
      <c r="J475" s="1"/>
      <c r="K475" s="1"/>
      <c r="L475" s="1"/>
      <c r="M475" s="262"/>
      <c r="N475" s="1"/>
      <c r="O475" s="1"/>
      <c r="P475" s="1"/>
      <c r="Q475" s="1"/>
      <c r="R475" s="1"/>
      <c r="S475" s="1"/>
      <c r="T475" s="1"/>
      <c r="U475" s="1"/>
      <c r="V475" s="1"/>
      <c r="W475" s="1"/>
      <c r="X475" s="1"/>
      <c r="Y475" s="1"/>
      <c r="Z475" s="1"/>
      <c r="AA475" s="1"/>
      <c r="AB475" s="1"/>
    </row>
    <row r="476" spans="2:28" ht="11.25" customHeight="1" x14ac:dyDescent="0.25">
      <c r="B476" s="16"/>
      <c r="C476" s="1"/>
      <c r="D476" s="1"/>
      <c r="E476" s="1"/>
      <c r="F476" s="1"/>
      <c r="G476" s="22"/>
      <c r="H476" s="1"/>
      <c r="I476" s="1"/>
      <c r="J476" s="1"/>
      <c r="K476" s="1"/>
      <c r="L476" s="1"/>
      <c r="M476" s="262"/>
      <c r="N476" s="1"/>
      <c r="O476" s="1"/>
      <c r="P476" s="1"/>
      <c r="Q476" s="1"/>
      <c r="R476" s="1"/>
      <c r="S476" s="1"/>
      <c r="T476" s="1"/>
      <c r="U476" s="1"/>
      <c r="V476" s="1"/>
      <c r="W476" s="1"/>
      <c r="X476" s="1"/>
      <c r="Y476" s="1"/>
      <c r="Z476" s="1"/>
      <c r="AA476" s="1"/>
      <c r="AB476" s="1"/>
    </row>
    <row r="477" spans="2:28" ht="11.25" customHeight="1" x14ac:dyDescent="0.25">
      <c r="B477" s="16"/>
      <c r="C477" s="1"/>
      <c r="D477" s="1"/>
      <c r="E477" s="1"/>
      <c r="F477" s="1"/>
      <c r="G477" s="22"/>
      <c r="H477" s="1"/>
      <c r="I477" s="1"/>
      <c r="J477" s="1"/>
      <c r="K477" s="1"/>
      <c r="L477" s="1"/>
      <c r="M477" s="262"/>
      <c r="N477" s="1"/>
      <c r="O477" s="1"/>
      <c r="P477" s="1"/>
      <c r="Q477" s="1"/>
      <c r="R477" s="1"/>
      <c r="S477" s="1"/>
      <c r="T477" s="1"/>
      <c r="U477" s="1"/>
      <c r="V477" s="1"/>
      <c r="W477" s="1"/>
      <c r="X477" s="1"/>
      <c r="Y477" s="1"/>
      <c r="Z477" s="1"/>
      <c r="AA477" s="1"/>
      <c r="AB477" s="1"/>
    </row>
    <row r="478" spans="2:28" ht="11.25" customHeight="1" x14ac:dyDescent="0.25">
      <c r="B478" s="16"/>
      <c r="C478" s="1"/>
      <c r="D478" s="1"/>
      <c r="E478" s="1"/>
      <c r="F478" s="1"/>
      <c r="G478" s="22"/>
      <c r="H478" s="1"/>
      <c r="I478" s="1"/>
      <c r="J478" s="1"/>
      <c r="K478" s="1"/>
      <c r="L478" s="1"/>
      <c r="M478" s="262"/>
      <c r="N478" s="1"/>
      <c r="O478" s="1"/>
      <c r="P478" s="1"/>
      <c r="Q478" s="1"/>
      <c r="R478" s="1"/>
      <c r="S478" s="1"/>
      <c r="T478" s="1"/>
      <c r="U478" s="1"/>
      <c r="V478" s="1"/>
      <c r="W478" s="1"/>
      <c r="X478" s="1"/>
      <c r="Y478" s="1"/>
      <c r="Z478" s="1"/>
      <c r="AA478" s="1"/>
      <c r="AB478" s="1"/>
    </row>
    <row r="479" spans="2:28" ht="11.25" customHeight="1" x14ac:dyDescent="0.25">
      <c r="B479" s="16"/>
      <c r="C479" s="1"/>
      <c r="D479" s="1"/>
      <c r="E479" s="1"/>
      <c r="F479" s="1"/>
      <c r="G479" s="22"/>
      <c r="H479" s="1"/>
      <c r="I479" s="1"/>
      <c r="J479" s="1"/>
      <c r="K479" s="1"/>
      <c r="L479" s="1"/>
      <c r="M479" s="262"/>
      <c r="N479" s="1"/>
      <c r="O479" s="1"/>
      <c r="P479" s="1"/>
      <c r="Q479" s="1"/>
      <c r="R479" s="1"/>
      <c r="S479" s="1"/>
      <c r="T479" s="1"/>
      <c r="U479" s="1"/>
      <c r="V479" s="1"/>
      <c r="W479" s="1"/>
      <c r="X479" s="1"/>
      <c r="Y479" s="1"/>
      <c r="Z479" s="1"/>
      <c r="AA479" s="1"/>
      <c r="AB479" s="1"/>
    </row>
    <row r="480" spans="2:28" ht="11.25" customHeight="1" x14ac:dyDescent="0.25">
      <c r="B480" s="16"/>
      <c r="C480" s="1"/>
      <c r="D480" s="1"/>
      <c r="E480" s="1"/>
      <c r="F480" s="1"/>
      <c r="G480" s="22"/>
      <c r="H480" s="1"/>
      <c r="I480" s="1"/>
      <c r="J480" s="1"/>
      <c r="K480" s="1"/>
      <c r="L480" s="1"/>
      <c r="M480" s="262"/>
      <c r="N480" s="1"/>
      <c r="O480" s="1"/>
      <c r="P480" s="1"/>
      <c r="Q480" s="1"/>
      <c r="R480" s="1"/>
      <c r="S480" s="1"/>
      <c r="T480" s="1"/>
      <c r="U480" s="1"/>
      <c r="V480" s="1"/>
      <c r="W480" s="1"/>
      <c r="X480" s="1"/>
      <c r="Y480" s="1"/>
      <c r="Z480" s="1"/>
      <c r="AA480" s="1"/>
      <c r="AB480" s="1"/>
    </row>
    <row r="481" spans="2:28" ht="11.25" customHeight="1" x14ac:dyDescent="0.25">
      <c r="B481" s="16"/>
      <c r="C481" s="1"/>
      <c r="D481" s="1"/>
      <c r="E481" s="1"/>
      <c r="F481" s="1"/>
      <c r="G481" s="22"/>
      <c r="H481" s="1"/>
      <c r="I481" s="1"/>
      <c r="J481" s="1"/>
      <c r="K481" s="1"/>
      <c r="L481" s="1"/>
      <c r="M481" s="262"/>
      <c r="N481" s="1"/>
      <c r="O481" s="1"/>
      <c r="P481" s="1"/>
      <c r="Q481" s="1"/>
      <c r="R481" s="1"/>
      <c r="S481" s="1"/>
      <c r="T481" s="1"/>
      <c r="U481" s="1"/>
      <c r="V481" s="1"/>
      <c r="W481" s="1"/>
      <c r="X481" s="1"/>
      <c r="Y481" s="1"/>
      <c r="Z481" s="1"/>
      <c r="AA481" s="1"/>
      <c r="AB481" s="1"/>
    </row>
    <row r="482" spans="2:28" ht="11.25" customHeight="1" x14ac:dyDescent="0.25">
      <c r="B482" s="16"/>
      <c r="C482" s="1"/>
      <c r="D482" s="1"/>
      <c r="E482" s="1"/>
      <c r="F482" s="1"/>
      <c r="G482" s="22"/>
      <c r="H482" s="1"/>
      <c r="I482" s="1"/>
      <c r="J482" s="1"/>
      <c r="K482" s="1"/>
      <c r="L482" s="1"/>
      <c r="M482" s="262"/>
      <c r="N482" s="1"/>
      <c r="O482" s="1"/>
      <c r="P482" s="1"/>
      <c r="Q482" s="1"/>
      <c r="R482" s="1"/>
      <c r="S482" s="1"/>
      <c r="T482" s="1"/>
      <c r="U482" s="1"/>
      <c r="V482" s="1"/>
      <c r="W482" s="1"/>
      <c r="X482" s="1"/>
      <c r="Y482" s="1"/>
      <c r="Z482" s="1"/>
      <c r="AA482" s="1"/>
      <c r="AB482" s="1"/>
    </row>
    <row r="483" spans="2:28" ht="11.25" customHeight="1" x14ac:dyDescent="0.25">
      <c r="B483" s="16"/>
      <c r="C483" s="1"/>
      <c r="D483" s="1"/>
      <c r="E483" s="1"/>
      <c r="F483" s="1"/>
      <c r="G483" s="22"/>
      <c r="H483" s="1"/>
      <c r="I483" s="1"/>
      <c r="J483" s="1"/>
      <c r="K483" s="1"/>
      <c r="L483" s="1"/>
      <c r="M483" s="262"/>
      <c r="N483" s="1"/>
      <c r="O483" s="1"/>
      <c r="P483" s="1"/>
      <c r="Q483" s="1"/>
      <c r="R483" s="1"/>
      <c r="S483" s="1"/>
      <c r="T483" s="1"/>
      <c r="U483" s="1"/>
      <c r="V483" s="1"/>
      <c r="W483" s="1"/>
      <c r="X483" s="1"/>
      <c r="Y483" s="1"/>
      <c r="Z483" s="1"/>
      <c r="AA483" s="1"/>
      <c r="AB483" s="1"/>
    </row>
    <row r="484" spans="2:28" ht="11.25" customHeight="1" x14ac:dyDescent="0.25">
      <c r="B484" s="16"/>
      <c r="C484" s="1"/>
      <c r="D484" s="1"/>
      <c r="E484" s="1"/>
      <c r="F484" s="1"/>
      <c r="G484" s="22"/>
      <c r="H484" s="1"/>
      <c r="I484" s="1"/>
      <c r="J484" s="1"/>
      <c r="K484" s="1"/>
      <c r="L484" s="1"/>
      <c r="M484" s="262"/>
      <c r="N484" s="1"/>
      <c r="O484" s="1"/>
      <c r="P484" s="1"/>
      <c r="Q484" s="1"/>
      <c r="R484" s="1"/>
      <c r="S484" s="1"/>
      <c r="T484" s="1"/>
      <c r="U484" s="1"/>
      <c r="V484" s="1"/>
      <c r="W484" s="1"/>
      <c r="X484" s="1"/>
      <c r="Y484" s="1"/>
      <c r="Z484" s="1"/>
      <c r="AA484" s="1"/>
      <c r="AB484" s="1"/>
    </row>
    <row r="485" spans="2:28" ht="11.25" customHeight="1" x14ac:dyDescent="0.25">
      <c r="B485" s="16"/>
      <c r="C485" s="1"/>
      <c r="D485" s="1"/>
      <c r="E485" s="1"/>
      <c r="F485" s="1"/>
      <c r="G485" s="22"/>
      <c r="H485" s="1"/>
      <c r="I485" s="1"/>
      <c r="J485" s="1"/>
      <c r="K485" s="1"/>
      <c r="L485" s="1"/>
      <c r="M485" s="262"/>
      <c r="N485" s="1"/>
      <c r="O485" s="1"/>
      <c r="P485" s="1"/>
      <c r="Q485" s="1"/>
      <c r="R485" s="1"/>
      <c r="S485" s="1"/>
      <c r="T485" s="1"/>
      <c r="U485" s="1"/>
      <c r="V485" s="1"/>
      <c r="W485" s="1"/>
      <c r="X485" s="1"/>
      <c r="Y485" s="1"/>
      <c r="Z485" s="1"/>
      <c r="AA485" s="1"/>
      <c r="AB485" s="1"/>
    </row>
    <row r="486" spans="2:28" ht="11.25" customHeight="1" x14ac:dyDescent="0.25">
      <c r="B486" s="16"/>
      <c r="C486" s="1"/>
      <c r="D486" s="1"/>
      <c r="E486" s="1"/>
      <c r="F486" s="1"/>
      <c r="G486" s="22"/>
      <c r="H486" s="1"/>
      <c r="I486" s="1"/>
      <c r="J486" s="1"/>
      <c r="K486" s="1"/>
      <c r="L486" s="1"/>
      <c r="M486" s="262"/>
      <c r="N486" s="1"/>
      <c r="O486" s="1"/>
      <c r="P486" s="1"/>
      <c r="Q486" s="1"/>
      <c r="R486" s="1"/>
      <c r="S486" s="1"/>
      <c r="T486" s="1"/>
      <c r="U486" s="1"/>
      <c r="V486" s="1"/>
      <c r="W486" s="1"/>
      <c r="X486" s="1"/>
      <c r="Y486" s="1"/>
      <c r="Z486" s="1"/>
      <c r="AA486" s="1"/>
      <c r="AB486" s="1"/>
    </row>
    <row r="487" spans="2:28" ht="11.25" customHeight="1" x14ac:dyDescent="0.25">
      <c r="B487" s="16"/>
      <c r="C487" s="1"/>
      <c r="D487" s="1"/>
      <c r="E487" s="1"/>
      <c r="F487" s="1"/>
      <c r="G487" s="22"/>
      <c r="H487" s="1"/>
      <c r="I487" s="1"/>
      <c r="J487" s="1"/>
      <c r="K487" s="1"/>
      <c r="L487" s="1"/>
      <c r="M487" s="262"/>
      <c r="N487" s="1"/>
      <c r="O487" s="1"/>
      <c r="P487" s="1"/>
      <c r="Q487" s="1"/>
      <c r="R487" s="1"/>
      <c r="S487" s="1"/>
      <c r="T487" s="1"/>
      <c r="U487" s="1"/>
      <c r="V487" s="1"/>
      <c r="W487" s="1"/>
      <c r="X487" s="1"/>
      <c r="Y487" s="1"/>
      <c r="Z487" s="1"/>
      <c r="AA487" s="1"/>
      <c r="AB487" s="1"/>
    </row>
    <row r="488" spans="2:28" ht="11.25" customHeight="1" x14ac:dyDescent="0.25">
      <c r="B488" s="16"/>
      <c r="C488" s="1"/>
      <c r="D488" s="1"/>
      <c r="E488" s="1"/>
      <c r="F488" s="1"/>
      <c r="G488" s="22"/>
      <c r="H488" s="1"/>
      <c r="I488" s="1"/>
      <c r="J488" s="1"/>
      <c r="K488" s="1"/>
      <c r="L488" s="1"/>
      <c r="M488" s="262"/>
      <c r="N488" s="1"/>
      <c r="O488" s="1"/>
      <c r="P488" s="1"/>
      <c r="Q488" s="1"/>
      <c r="R488" s="1"/>
      <c r="S488" s="1"/>
      <c r="T488" s="1"/>
      <c r="U488" s="1"/>
      <c r="V488" s="1"/>
      <c r="W488" s="1"/>
      <c r="X488" s="1"/>
      <c r="Y488" s="1"/>
      <c r="Z488" s="1"/>
      <c r="AA488" s="1"/>
      <c r="AB488" s="1"/>
    </row>
    <row r="489" spans="2:28" ht="11.25" customHeight="1" x14ac:dyDescent="0.25">
      <c r="B489" s="16"/>
      <c r="C489" s="1"/>
      <c r="D489" s="1"/>
      <c r="E489" s="1"/>
      <c r="F489" s="1"/>
      <c r="G489" s="22"/>
      <c r="H489" s="1"/>
      <c r="I489" s="1"/>
      <c r="J489" s="1"/>
      <c r="K489" s="1"/>
      <c r="L489" s="1"/>
      <c r="M489" s="262"/>
      <c r="N489" s="1"/>
      <c r="O489" s="1"/>
      <c r="P489" s="1"/>
      <c r="Q489" s="1"/>
      <c r="R489" s="1"/>
      <c r="S489" s="1"/>
      <c r="T489" s="1"/>
      <c r="U489" s="1"/>
      <c r="V489" s="1"/>
      <c r="W489" s="1"/>
      <c r="X489" s="1"/>
      <c r="Y489" s="1"/>
      <c r="Z489" s="1"/>
      <c r="AA489" s="1"/>
      <c r="AB489" s="1"/>
    </row>
    <row r="490" spans="2:28" ht="11.25" customHeight="1" x14ac:dyDescent="0.25">
      <c r="B490" s="16"/>
      <c r="C490" s="1"/>
      <c r="D490" s="1"/>
      <c r="E490" s="1"/>
      <c r="F490" s="1"/>
      <c r="G490" s="22"/>
      <c r="H490" s="1"/>
      <c r="I490" s="1"/>
      <c r="J490" s="1"/>
      <c r="K490" s="1"/>
      <c r="L490" s="1"/>
      <c r="M490" s="262"/>
      <c r="N490" s="1"/>
      <c r="O490" s="1"/>
      <c r="P490" s="1"/>
      <c r="Q490" s="1"/>
      <c r="R490" s="1"/>
      <c r="S490" s="1"/>
      <c r="T490" s="1"/>
      <c r="U490" s="1"/>
      <c r="V490" s="1"/>
      <c r="W490" s="1"/>
      <c r="X490" s="1"/>
      <c r="Y490" s="1"/>
      <c r="Z490" s="1"/>
      <c r="AA490" s="1"/>
      <c r="AB490" s="1"/>
    </row>
    <row r="491" spans="2:28" ht="11.25" customHeight="1" x14ac:dyDescent="0.25">
      <c r="B491" s="16"/>
      <c r="C491" s="1"/>
      <c r="D491" s="1"/>
      <c r="E491" s="1"/>
      <c r="F491" s="1"/>
      <c r="G491" s="22"/>
      <c r="H491" s="1"/>
      <c r="I491" s="1"/>
      <c r="J491" s="1"/>
      <c r="K491" s="1"/>
      <c r="L491" s="1"/>
      <c r="M491" s="262"/>
      <c r="N491" s="1"/>
      <c r="O491" s="1"/>
      <c r="P491" s="1"/>
      <c r="Q491" s="1"/>
      <c r="R491" s="1"/>
      <c r="S491" s="1"/>
      <c r="T491" s="1"/>
      <c r="U491" s="1"/>
      <c r="V491" s="1"/>
      <c r="W491" s="1"/>
      <c r="X491" s="1"/>
      <c r="Y491" s="1"/>
      <c r="Z491" s="1"/>
      <c r="AA491" s="1"/>
      <c r="AB491" s="1"/>
    </row>
    <row r="492" spans="2:28" ht="11.25" customHeight="1" x14ac:dyDescent="0.25">
      <c r="B492" s="16"/>
      <c r="C492" s="1"/>
      <c r="D492" s="1"/>
      <c r="E492" s="1"/>
      <c r="F492" s="1"/>
      <c r="G492" s="22"/>
      <c r="H492" s="1"/>
      <c r="I492" s="1"/>
      <c r="J492" s="1"/>
      <c r="K492" s="1"/>
      <c r="L492" s="1"/>
      <c r="M492" s="262"/>
      <c r="N492" s="1"/>
      <c r="O492" s="1"/>
      <c r="P492" s="1"/>
      <c r="Q492" s="1"/>
      <c r="R492" s="1"/>
      <c r="S492" s="1"/>
      <c r="T492" s="1"/>
      <c r="U492" s="1"/>
      <c r="V492" s="1"/>
      <c r="W492" s="1"/>
      <c r="X492" s="1"/>
      <c r="Y492" s="1"/>
      <c r="Z492" s="1"/>
      <c r="AA492" s="1"/>
      <c r="AB492" s="1"/>
    </row>
    <row r="493" spans="2:28" ht="11.25" customHeight="1" x14ac:dyDescent="0.25">
      <c r="B493" s="16"/>
      <c r="C493" s="1"/>
      <c r="D493" s="1"/>
      <c r="E493" s="1"/>
      <c r="F493" s="1"/>
      <c r="G493" s="22"/>
      <c r="H493" s="1"/>
      <c r="I493" s="1"/>
      <c r="J493" s="1"/>
      <c r="K493" s="1"/>
      <c r="L493" s="1"/>
      <c r="M493" s="262"/>
      <c r="N493" s="1"/>
      <c r="O493" s="1"/>
      <c r="P493" s="1"/>
      <c r="Q493" s="1"/>
      <c r="R493" s="1"/>
      <c r="S493" s="1"/>
      <c r="T493" s="1"/>
      <c r="U493" s="1"/>
      <c r="V493" s="1"/>
      <c r="W493" s="1"/>
      <c r="X493" s="1"/>
      <c r="Y493" s="1"/>
      <c r="Z493" s="1"/>
      <c r="AA493" s="1"/>
      <c r="AB493" s="1"/>
    </row>
    <row r="494" spans="2:28" ht="11.25" customHeight="1" x14ac:dyDescent="0.25">
      <c r="B494" s="16"/>
      <c r="C494" s="1"/>
      <c r="D494" s="1"/>
      <c r="E494" s="1"/>
      <c r="F494" s="1"/>
      <c r="G494" s="22"/>
      <c r="H494" s="1"/>
      <c r="I494" s="1"/>
      <c r="J494" s="1"/>
      <c r="K494" s="1"/>
      <c r="L494" s="1"/>
      <c r="M494" s="262"/>
      <c r="N494" s="1"/>
      <c r="O494" s="1"/>
      <c r="P494" s="1"/>
      <c r="Q494" s="1"/>
      <c r="R494" s="1"/>
      <c r="S494" s="1"/>
      <c r="T494" s="1"/>
      <c r="U494" s="1"/>
      <c r="V494" s="1"/>
      <c r="W494" s="1"/>
      <c r="X494" s="1"/>
      <c r="Y494" s="1"/>
      <c r="Z494" s="1"/>
      <c r="AA494" s="1"/>
      <c r="AB494" s="1"/>
    </row>
    <row r="495" spans="2:28" ht="11.25" customHeight="1" x14ac:dyDescent="0.25">
      <c r="B495" s="16"/>
      <c r="C495" s="1"/>
      <c r="D495" s="1"/>
      <c r="E495" s="1"/>
      <c r="F495" s="1"/>
      <c r="G495" s="22"/>
      <c r="H495" s="1"/>
      <c r="I495" s="1"/>
      <c r="J495" s="1"/>
      <c r="K495" s="1"/>
      <c r="L495" s="1"/>
      <c r="M495" s="262"/>
      <c r="N495" s="1"/>
      <c r="O495" s="1"/>
      <c r="P495" s="1"/>
      <c r="Q495" s="1"/>
      <c r="R495" s="1"/>
      <c r="S495" s="1"/>
      <c r="T495" s="1"/>
      <c r="U495" s="1"/>
      <c r="V495" s="1"/>
      <c r="W495" s="1"/>
      <c r="X495" s="1"/>
      <c r="Y495" s="1"/>
      <c r="Z495" s="1"/>
      <c r="AA495" s="1"/>
      <c r="AB495" s="1"/>
    </row>
    <row r="496" spans="2:28" ht="11.25" customHeight="1" x14ac:dyDescent="0.25">
      <c r="B496" s="16"/>
      <c r="C496" s="1"/>
      <c r="D496" s="1"/>
      <c r="E496" s="1"/>
      <c r="F496" s="1"/>
      <c r="G496" s="22"/>
      <c r="H496" s="1"/>
      <c r="I496" s="1"/>
      <c r="J496" s="1"/>
      <c r="K496" s="1"/>
      <c r="L496" s="1"/>
      <c r="M496" s="262"/>
      <c r="N496" s="1"/>
      <c r="O496" s="1"/>
      <c r="P496" s="1"/>
      <c r="Q496" s="1"/>
      <c r="R496" s="1"/>
      <c r="S496" s="1"/>
      <c r="T496" s="1"/>
      <c r="U496" s="1"/>
      <c r="V496" s="1"/>
      <c r="W496" s="1"/>
      <c r="X496" s="1"/>
      <c r="Y496" s="1"/>
      <c r="Z496" s="1"/>
      <c r="AA496" s="1"/>
      <c r="AB496" s="1"/>
    </row>
    <row r="497" spans="2:28" ht="11.25" customHeight="1" x14ac:dyDescent="0.25">
      <c r="B497" s="16"/>
      <c r="C497" s="1"/>
      <c r="D497" s="1"/>
      <c r="E497" s="1"/>
      <c r="F497" s="1"/>
      <c r="G497" s="22"/>
      <c r="H497" s="1"/>
      <c r="I497" s="1"/>
      <c r="J497" s="1"/>
      <c r="K497" s="1"/>
      <c r="L497" s="1"/>
      <c r="M497" s="262"/>
      <c r="N497" s="1"/>
      <c r="O497" s="1"/>
      <c r="P497" s="1"/>
      <c r="Q497" s="1"/>
      <c r="R497" s="1"/>
      <c r="S497" s="1"/>
      <c r="T497" s="1"/>
      <c r="U497" s="1"/>
      <c r="V497" s="1"/>
      <c r="W497" s="1"/>
      <c r="X497" s="1"/>
      <c r="Y497" s="1"/>
      <c r="Z497" s="1"/>
      <c r="AA497" s="1"/>
      <c r="AB497" s="1"/>
    </row>
    <row r="498" spans="2:28" ht="11.25" customHeight="1" x14ac:dyDescent="0.25">
      <c r="B498" s="16"/>
      <c r="C498" s="1"/>
      <c r="D498" s="1"/>
      <c r="E498" s="1"/>
      <c r="F498" s="1"/>
      <c r="G498" s="22"/>
      <c r="H498" s="1"/>
      <c r="I498" s="1"/>
      <c r="J498" s="1"/>
      <c r="K498" s="1"/>
      <c r="L498" s="1"/>
      <c r="M498" s="262"/>
      <c r="N498" s="1"/>
      <c r="O498" s="1"/>
      <c r="P498" s="1"/>
      <c r="Q498" s="1"/>
      <c r="R498" s="1"/>
      <c r="S498" s="1"/>
      <c r="T498" s="1"/>
      <c r="U498" s="1"/>
      <c r="V498" s="1"/>
      <c r="W498" s="1"/>
      <c r="X498" s="1"/>
      <c r="Y498" s="1"/>
      <c r="Z498" s="1"/>
      <c r="AA498" s="1"/>
      <c r="AB498" s="1"/>
    </row>
    <row r="499" spans="2:28" ht="11.25" customHeight="1" x14ac:dyDescent="0.25">
      <c r="B499" s="16"/>
      <c r="C499" s="1"/>
      <c r="D499" s="1"/>
      <c r="E499" s="1"/>
      <c r="F499" s="1"/>
      <c r="G499" s="22"/>
      <c r="H499" s="1"/>
      <c r="I499" s="1"/>
      <c r="J499" s="1"/>
      <c r="K499" s="1"/>
      <c r="L499" s="1"/>
      <c r="M499" s="262"/>
      <c r="N499" s="1"/>
      <c r="O499" s="1"/>
      <c r="P499" s="1"/>
      <c r="Q499" s="1"/>
      <c r="R499" s="1"/>
      <c r="S499" s="1"/>
      <c r="T499" s="1"/>
      <c r="U499" s="1"/>
      <c r="V499" s="1"/>
      <c r="W499" s="1"/>
      <c r="X499" s="1"/>
      <c r="Y499" s="1"/>
      <c r="Z499" s="1"/>
      <c r="AA499" s="1"/>
      <c r="AB499" s="1"/>
    </row>
    <row r="500" spans="2:28" ht="11.25" customHeight="1" x14ac:dyDescent="0.25">
      <c r="B500" s="16"/>
      <c r="C500" s="1"/>
      <c r="D500" s="1"/>
      <c r="E500" s="1"/>
      <c r="F500" s="1"/>
      <c r="G500" s="22"/>
      <c r="H500" s="1"/>
      <c r="I500" s="1"/>
      <c r="J500" s="1"/>
      <c r="K500" s="1"/>
      <c r="L500" s="1"/>
      <c r="M500" s="262"/>
      <c r="N500" s="1"/>
      <c r="O500" s="1"/>
      <c r="P500" s="1"/>
      <c r="Q500" s="1"/>
      <c r="R500" s="1"/>
      <c r="S500" s="1"/>
      <c r="T500" s="1"/>
      <c r="U500" s="1"/>
      <c r="V500" s="1"/>
      <c r="W500" s="1"/>
      <c r="X500" s="1"/>
      <c r="Y500" s="1"/>
      <c r="Z500" s="1"/>
      <c r="AA500" s="1"/>
      <c r="AB500" s="1"/>
    </row>
    <row r="501" spans="2:28" ht="11.25" customHeight="1" x14ac:dyDescent="0.25">
      <c r="B501" s="16"/>
      <c r="C501" s="1"/>
      <c r="D501" s="1"/>
      <c r="E501" s="1"/>
      <c r="F501" s="1"/>
      <c r="G501" s="22"/>
      <c r="H501" s="1"/>
      <c r="I501" s="1"/>
      <c r="J501" s="1"/>
      <c r="K501" s="1"/>
      <c r="L501" s="1"/>
      <c r="M501" s="262"/>
      <c r="N501" s="1"/>
      <c r="O501" s="1"/>
      <c r="P501" s="1"/>
      <c r="Q501" s="1"/>
      <c r="R501" s="1"/>
      <c r="S501" s="1"/>
      <c r="T501" s="1"/>
      <c r="U501" s="1"/>
      <c r="V501" s="1"/>
      <c r="W501" s="1"/>
      <c r="X501" s="1"/>
      <c r="Y501" s="1"/>
      <c r="Z501" s="1"/>
      <c r="AA501" s="1"/>
      <c r="AB501" s="1"/>
    </row>
    <row r="502" spans="2:28" ht="11.25" customHeight="1" x14ac:dyDescent="0.25">
      <c r="B502" s="16"/>
      <c r="C502" s="1"/>
      <c r="D502" s="1"/>
      <c r="E502" s="1"/>
      <c r="F502" s="1"/>
      <c r="G502" s="22"/>
      <c r="H502" s="1"/>
      <c r="I502" s="1"/>
      <c r="J502" s="1"/>
      <c r="K502" s="1"/>
      <c r="L502" s="1"/>
      <c r="M502" s="262"/>
      <c r="N502" s="1"/>
      <c r="O502" s="1"/>
      <c r="P502" s="1"/>
      <c r="Q502" s="1"/>
      <c r="R502" s="1"/>
      <c r="S502" s="1"/>
      <c r="T502" s="1"/>
      <c r="U502" s="1"/>
      <c r="V502" s="1"/>
      <c r="W502" s="1"/>
      <c r="X502" s="1"/>
      <c r="Y502" s="1"/>
      <c r="Z502" s="1"/>
      <c r="AA502" s="1"/>
      <c r="AB502" s="1"/>
    </row>
    <row r="503" spans="2:28" ht="11.25" customHeight="1" x14ac:dyDescent="0.25">
      <c r="B503" s="16"/>
      <c r="C503" s="1"/>
      <c r="D503" s="1"/>
      <c r="E503" s="1"/>
      <c r="F503" s="1"/>
      <c r="G503" s="22"/>
      <c r="H503" s="1"/>
      <c r="I503" s="1"/>
      <c r="J503" s="1"/>
      <c r="K503" s="1"/>
      <c r="L503" s="1"/>
      <c r="M503" s="262"/>
      <c r="N503" s="1"/>
      <c r="O503" s="1"/>
      <c r="P503" s="1"/>
      <c r="Q503" s="1"/>
      <c r="R503" s="1"/>
      <c r="S503" s="1"/>
      <c r="T503" s="1"/>
      <c r="U503" s="1"/>
      <c r="V503" s="1"/>
      <c r="W503" s="1"/>
      <c r="X503" s="1"/>
      <c r="Y503" s="1"/>
      <c r="Z503" s="1"/>
      <c r="AA503" s="1"/>
      <c r="AB503" s="1"/>
    </row>
    <row r="504" spans="2:28" ht="11.25" customHeight="1" x14ac:dyDescent="0.25">
      <c r="B504" s="16"/>
      <c r="C504" s="1"/>
      <c r="D504" s="1"/>
      <c r="E504" s="1"/>
      <c r="F504" s="1"/>
      <c r="G504" s="22"/>
      <c r="H504" s="1"/>
      <c r="I504" s="1"/>
      <c r="J504" s="1"/>
      <c r="K504" s="1"/>
      <c r="L504" s="1"/>
      <c r="M504" s="262"/>
      <c r="N504" s="1"/>
      <c r="O504" s="1"/>
      <c r="P504" s="1"/>
      <c r="Q504" s="1"/>
      <c r="R504" s="1"/>
      <c r="S504" s="1"/>
      <c r="T504" s="1"/>
      <c r="U504" s="1"/>
      <c r="V504" s="1"/>
      <c r="W504" s="1"/>
      <c r="X504" s="1"/>
      <c r="Y504" s="1"/>
      <c r="Z504" s="1"/>
      <c r="AA504" s="1"/>
      <c r="AB504" s="1"/>
    </row>
    <row r="505" spans="2:28" ht="11.25" customHeight="1" x14ac:dyDescent="0.25">
      <c r="B505" s="16"/>
      <c r="C505" s="1"/>
      <c r="D505" s="1"/>
      <c r="E505" s="1"/>
      <c r="F505" s="1"/>
      <c r="G505" s="22"/>
      <c r="H505" s="1"/>
      <c r="I505" s="1"/>
      <c r="J505" s="1"/>
      <c r="K505" s="1"/>
      <c r="L505" s="1"/>
      <c r="M505" s="262"/>
      <c r="N505" s="1"/>
      <c r="O505" s="1"/>
      <c r="P505" s="1"/>
      <c r="Q505" s="1"/>
      <c r="R505" s="1"/>
      <c r="S505" s="1"/>
      <c r="T505" s="1"/>
      <c r="U505" s="1"/>
      <c r="V505" s="1"/>
      <c r="W505" s="1"/>
      <c r="X505" s="1"/>
      <c r="Y505" s="1"/>
      <c r="Z505" s="1"/>
      <c r="AA505" s="1"/>
      <c r="AB505" s="1"/>
    </row>
    <row r="506" spans="2:28" ht="11.25" customHeight="1" x14ac:dyDescent="0.25">
      <c r="B506" s="16"/>
      <c r="C506" s="1"/>
      <c r="D506" s="1"/>
      <c r="E506" s="1"/>
      <c r="F506" s="1"/>
      <c r="G506" s="22"/>
      <c r="H506" s="1"/>
      <c r="I506" s="1"/>
      <c r="J506" s="1"/>
      <c r="K506" s="1"/>
      <c r="L506" s="1"/>
      <c r="M506" s="262"/>
      <c r="N506" s="1"/>
      <c r="O506" s="1"/>
      <c r="P506" s="1"/>
      <c r="Q506" s="1"/>
      <c r="R506" s="1"/>
      <c r="S506" s="1"/>
      <c r="T506" s="1"/>
      <c r="U506" s="1"/>
      <c r="V506" s="1"/>
      <c r="W506" s="1"/>
      <c r="X506" s="1"/>
      <c r="Y506" s="1"/>
      <c r="Z506" s="1"/>
      <c r="AA506" s="1"/>
      <c r="AB506" s="1"/>
    </row>
    <row r="507" spans="2:28" ht="11.25" customHeight="1" x14ac:dyDescent="0.25">
      <c r="B507" s="16"/>
      <c r="C507" s="1"/>
      <c r="D507" s="1"/>
      <c r="E507" s="1"/>
      <c r="F507" s="1"/>
      <c r="G507" s="22"/>
      <c r="H507" s="1"/>
      <c r="I507" s="1"/>
      <c r="J507" s="1"/>
      <c r="K507" s="1"/>
      <c r="L507" s="1"/>
      <c r="M507" s="262"/>
      <c r="N507" s="1"/>
      <c r="O507" s="1"/>
      <c r="P507" s="1"/>
      <c r="Q507" s="1"/>
      <c r="R507" s="1"/>
      <c r="S507" s="1"/>
      <c r="T507" s="1"/>
      <c r="U507" s="1"/>
      <c r="V507" s="1"/>
      <c r="W507" s="1"/>
      <c r="X507" s="1"/>
      <c r="Y507" s="1"/>
      <c r="Z507" s="1"/>
      <c r="AA507" s="1"/>
      <c r="AB507" s="1"/>
    </row>
    <row r="508" spans="2:28" ht="11.25" customHeight="1" x14ac:dyDescent="0.25">
      <c r="B508" s="16"/>
      <c r="C508" s="1"/>
      <c r="D508" s="1"/>
      <c r="E508" s="1"/>
      <c r="F508" s="1"/>
      <c r="G508" s="22"/>
      <c r="H508" s="1"/>
      <c r="I508" s="1"/>
      <c r="J508" s="1"/>
      <c r="K508" s="1"/>
      <c r="L508" s="1"/>
      <c r="M508" s="262"/>
      <c r="N508" s="1"/>
      <c r="O508" s="1"/>
      <c r="P508" s="1"/>
      <c r="Q508" s="1"/>
      <c r="R508" s="1"/>
      <c r="S508" s="1"/>
      <c r="T508" s="1"/>
      <c r="U508" s="1"/>
      <c r="V508" s="1"/>
      <c r="W508" s="1"/>
      <c r="X508" s="1"/>
      <c r="Y508" s="1"/>
      <c r="Z508" s="1"/>
      <c r="AA508" s="1"/>
      <c r="AB508" s="1"/>
    </row>
    <row r="509" spans="2:28" ht="11.25" customHeight="1" x14ac:dyDescent="0.25">
      <c r="B509" s="16"/>
      <c r="C509" s="1"/>
      <c r="D509" s="1"/>
      <c r="E509" s="1"/>
      <c r="F509" s="1"/>
      <c r="G509" s="22"/>
      <c r="H509" s="1"/>
      <c r="I509" s="1"/>
      <c r="J509" s="1"/>
      <c r="K509" s="1"/>
      <c r="L509" s="1"/>
      <c r="M509" s="262"/>
      <c r="N509" s="1"/>
      <c r="O509" s="1"/>
      <c r="P509" s="1"/>
      <c r="Q509" s="1"/>
      <c r="R509" s="1"/>
      <c r="S509" s="1"/>
      <c r="T509" s="1"/>
      <c r="U509" s="1"/>
      <c r="V509" s="1"/>
      <c r="W509" s="1"/>
      <c r="X509" s="1"/>
      <c r="Y509" s="1"/>
      <c r="Z509" s="1"/>
      <c r="AA509" s="1"/>
      <c r="AB509" s="1"/>
    </row>
    <row r="510" spans="2:28" ht="11.25" customHeight="1" x14ac:dyDescent="0.25">
      <c r="B510" s="16"/>
      <c r="C510" s="1"/>
      <c r="D510" s="1"/>
      <c r="E510" s="1"/>
      <c r="F510" s="1"/>
      <c r="G510" s="22"/>
      <c r="H510" s="1"/>
      <c r="I510" s="1"/>
      <c r="J510" s="1"/>
      <c r="K510" s="1"/>
      <c r="L510" s="1"/>
      <c r="M510" s="262"/>
      <c r="N510" s="1"/>
      <c r="O510" s="1"/>
      <c r="P510" s="1"/>
      <c r="Q510" s="1"/>
      <c r="R510" s="1"/>
      <c r="S510" s="1"/>
      <c r="T510" s="1"/>
      <c r="U510" s="1"/>
      <c r="V510" s="1"/>
      <c r="W510" s="1"/>
      <c r="X510" s="1"/>
      <c r="Y510" s="1"/>
      <c r="Z510" s="1"/>
      <c r="AA510" s="1"/>
      <c r="AB510" s="1"/>
    </row>
    <row r="511" spans="2:28" ht="11.25" customHeight="1" x14ac:dyDescent="0.25">
      <c r="B511" s="16"/>
      <c r="C511" s="1"/>
      <c r="D511" s="1"/>
      <c r="E511" s="1"/>
      <c r="F511" s="1"/>
      <c r="G511" s="22"/>
      <c r="H511" s="1"/>
      <c r="I511" s="1"/>
      <c r="J511" s="1"/>
      <c r="K511" s="1"/>
      <c r="L511" s="1"/>
      <c r="M511" s="262"/>
      <c r="N511" s="1"/>
      <c r="O511" s="1"/>
      <c r="P511" s="1"/>
      <c r="Q511" s="1"/>
      <c r="R511" s="1"/>
      <c r="S511" s="1"/>
      <c r="T511" s="1"/>
      <c r="U511" s="1"/>
      <c r="V511" s="1"/>
      <c r="W511" s="1"/>
      <c r="X511" s="1"/>
      <c r="Y511" s="1"/>
      <c r="Z511" s="1"/>
      <c r="AA511" s="1"/>
      <c r="AB511" s="1"/>
    </row>
    <row r="512" spans="2:28" ht="11.25" customHeight="1" x14ac:dyDescent="0.25">
      <c r="B512" s="16"/>
      <c r="C512" s="1"/>
      <c r="D512" s="1"/>
      <c r="E512" s="1"/>
      <c r="F512" s="1"/>
      <c r="G512" s="22"/>
      <c r="H512" s="1"/>
      <c r="I512" s="1"/>
      <c r="J512" s="1"/>
      <c r="K512" s="1"/>
      <c r="L512" s="1"/>
      <c r="M512" s="262"/>
      <c r="N512" s="1"/>
      <c r="O512" s="1"/>
      <c r="P512" s="1"/>
      <c r="Q512" s="1"/>
      <c r="R512" s="1"/>
      <c r="S512" s="1"/>
      <c r="T512" s="1"/>
      <c r="U512" s="1"/>
      <c r="V512" s="1"/>
      <c r="W512" s="1"/>
      <c r="X512" s="1"/>
      <c r="Y512" s="1"/>
      <c r="Z512" s="1"/>
      <c r="AA512" s="1"/>
      <c r="AB512" s="1"/>
    </row>
    <row r="513" spans="2:28" ht="11.25" customHeight="1" x14ac:dyDescent="0.25">
      <c r="B513" s="16"/>
      <c r="C513" s="1"/>
      <c r="D513" s="1"/>
      <c r="E513" s="1"/>
      <c r="F513" s="1"/>
      <c r="G513" s="22"/>
      <c r="H513" s="1"/>
      <c r="I513" s="1"/>
      <c r="J513" s="1"/>
      <c r="K513" s="1"/>
      <c r="L513" s="1"/>
      <c r="M513" s="262"/>
      <c r="N513" s="1"/>
      <c r="O513" s="1"/>
      <c r="P513" s="1"/>
      <c r="Q513" s="1"/>
      <c r="R513" s="1"/>
      <c r="S513" s="1"/>
      <c r="T513" s="1"/>
      <c r="U513" s="1"/>
      <c r="V513" s="1"/>
      <c r="W513" s="1"/>
      <c r="X513" s="1"/>
      <c r="Y513" s="1"/>
      <c r="Z513" s="1"/>
      <c r="AA513" s="1"/>
      <c r="AB513" s="1"/>
    </row>
    <row r="514" spans="2:28" ht="11.25" customHeight="1" x14ac:dyDescent="0.25">
      <c r="B514" s="16"/>
      <c r="C514" s="1"/>
      <c r="D514" s="1"/>
      <c r="E514" s="1"/>
      <c r="F514" s="1"/>
      <c r="G514" s="22"/>
      <c r="H514" s="1"/>
      <c r="I514" s="1"/>
      <c r="J514" s="1"/>
      <c r="K514" s="1"/>
      <c r="L514" s="1"/>
      <c r="M514" s="262"/>
      <c r="N514" s="1"/>
      <c r="O514" s="1"/>
      <c r="P514" s="1"/>
      <c r="Q514" s="1"/>
      <c r="R514" s="1"/>
      <c r="S514" s="1"/>
      <c r="T514" s="1"/>
      <c r="U514" s="1"/>
      <c r="V514" s="1"/>
      <c r="W514" s="1"/>
      <c r="X514" s="1"/>
      <c r="Y514" s="1"/>
      <c r="Z514" s="1"/>
      <c r="AA514" s="1"/>
      <c r="AB514" s="1"/>
    </row>
    <row r="515" spans="2:28" ht="11.25" customHeight="1" x14ac:dyDescent="0.25">
      <c r="B515" s="16"/>
      <c r="C515" s="1"/>
      <c r="D515" s="1"/>
      <c r="E515" s="1"/>
      <c r="F515" s="1"/>
      <c r="G515" s="22"/>
      <c r="H515" s="1"/>
      <c r="I515" s="1"/>
      <c r="J515" s="1"/>
      <c r="K515" s="1"/>
      <c r="L515" s="1"/>
      <c r="M515" s="262"/>
      <c r="N515" s="1"/>
      <c r="O515" s="1"/>
      <c r="P515" s="1"/>
      <c r="Q515" s="1"/>
      <c r="R515" s="1"/>
      <c r="S515" s="1"/>
      <c r="T515" s="1"/>
      <c r="U515" s="1"/>
      <c r="V515" s="1"/>
      <c r="W515" s="1"/>
      <c r="X515" s="1"/>
      <c r="Y515" s="1"/>
      <c r="Z515" s="1"/>
      <c r="AA515" s="1"/>
      <c r="AB515" s="1"/>
    </row>
    <row r="516" spans="2:28" ht="11.25" customHeight="1" x14ac:dyDescent="0.25">
      <c r="B516" s="16"/>
      <c r="C516" s="1"/>
      <c r="D516" s="1"/>
      <c r="E516" s="1"/>
      <c r="F516" s="1"/>
      <c r="G516" s="22"/>
      <c r="H516" s="1"/>
      <c r="I516" s="1"/>
      <c r="J516" s="1"/>
      <c r="K516" s="1"/>
      <c r="L516" s="1"/>
      <c r="M516" s="262"/>
      <c r="N516" s="1"/>
      <c r="O516" s="1"/>
      <c r="P516" s="1"/>
      <c r="Q516" s="1"/>
      <c r="R516" s="1"/>
      <c r="S516" s="1"/>
      <c r="T516" s="1"/>
      <c r="U516" s="1"/>
      <c r="V516" s="1"/>
      <c r="W516" s="1"/>
      <c r="X516" s="1"/>
      <c r="Y516" s="1"/>
      <c r="Z516" s="1"/>
      <c r="AA516" s="1"/>
      <c r="AB516" s="1"/>
    </row>
    <row r="517" spans="2:28" ht="11.25" customHeight="1" x14ac:dyDescent="0.25">
      <c r="B517" s="16"/>
      <c r="C517" s="1"/>
      <c r="D517" s="1"/>
      <c r="E517" s="1"/>
      <c r="F517" s="1"/>
      <c r="G517" s="22"/>
      <c r="H517" s="1"/>
      <c r="I517" s="1"/>
      <c r="J517" s="1"/>
      <c r="K517" s="1"/>
      <c r="L517" s="1"/>
      <c r="M517" s="262"/>
      <c r="N517" s="1"/>
      <c r="O517" s="1"/>
      <c r="P517" s="1"/>
      <c r="Q517" s="1"/>
      <c r="R517" s="1"/>
      <c r="S517" s="1"/>
      <c r="T517" s="1"/>
      <c r="U517" s="1"/>
      <c r="V517" s="1"/>
      <c r="W517" s="1"/>
      <c r="X517" s="1"/>
      <c r="Y517" s="1"/>
      <c r="Z517" s="1"/>
      <c r="AA517" s="1"/>
      <c r="AB517" s="1"/>
    </row>
    <row r="518" spans="2:28" ht="11.25" customHeight="1" x14ac:dyDescent="0.25">
      <c r="B518" s="16"/>
      <c r="C518" s="1"/>
      <c r="D518" s="1"/>
      <c r="E518" s="1"/>
      <c r="F518" s="1"/>
      <c r="G518" s="22"/>
      <c r="H518" s="1"/>
      <c r="I518" s="1"/>
      <c r="J518" s="1"/>
      <c r="K518" s="1"/>
      <c r="L518" s="1"/>
      <c r="M518" s="262"/>
      <c r="N518" s="1"/>
      <c r="O518" s="1"/>
      <c r="P518" s="1"/>
      <c r="Q518" s="1"/>
      <c r="R518" s="1"/>
      <c r="S518" s="1"/>
      <c r="T518" s="1"/>
      <c r="U518" s="1"/>
      <c r="V518" s="1"/>
      <c r="W518" s="1"/>
      <c r="X518" s="1"/>
      <c r="Y518" s="1"/>
      <c r="Z518" s="1"/>
      <c r="AA518" s="1"/>
      <c r="AB518" s="1"/>
    </row>
    <row r="519" spans="2:28" ht="11.25" customHeight="1" x14ac:dyDescent="0.25">
      <c r="B519" s="16"/>
      <c r="C519" s="1"/>
      <c r="D519" s="1"/>
      <c r="E519" s="1"/>
      <c r="F519" s="1"/>
      <c r="G519" s="22"/>
      <c r="H519" s="1"/>
      <c r="I519" s="1"/>
      <c r="J519" s="1"/>
      <c r="K519" s="1"/>
      <c r="L519" s="1"/>
      <c r="M519" s="262"/>
      <c r="N519" s="1"/>
      <c r="O519" s="1"/>
      <c r="P519" s="1"/>
      <c r="Q519" s="1"/>
      <c r="R519" s="1"/>
      <c r="S519" s="1"/>
      <c r="T519" s="1"/>
      <c r="U519" s="1"/>
      <c r="V519" s="1"/>
      <c r="W519" s="1"/>
      <c r="X519" s="1"/>
      <c r="Y519" s="1"/>
      <c r="Z519" s="1"/>
      <c r="AA519" s="1"/>
      <c r="AB519" s="1"/>
    </row>
    <row r="520" spans="2:28" ht="11.25" customHeight="1" x14ac:dyDescent="0.25">
      <c r="B520" s="16"/>
      <c r="C520" s="1"/>
      <c r="D520" s="1"/>
      <c r="E520" s="1"/>
      <c r="F520" s="1"/>
      <c r="G520" s="22"/>
      <c r="H520" s="1"/>
      <c r="I520" s="1"/>
      <c r="J520" s="1"/>
      <c r="K520" s="1"/>
      <c r="L520" s="1"/>
      <c r="M520" s="262"/>
      <c r="N520" s="1"/>
      <c r="O520" s="1"/>
      <c r="P520" s="1"/>
      <c r="Q520" s="1"/>
      <c r="R520" s="1"/>
      <c r="S520" s="1"/>
      <c r="T520" s="1"/>
      <c r="U520" s="1"/>
      <c r="V520" s="1"/>
      <c r="W520" s="1"/>
      <c r="X520" s="1"/>
      <c r="Y520" s="1"/>
      <c r="Z520" s="1"/>
      <c r="AA520" s="1"/>
      <c r="AB520" s="1"/>
    </row>
    <row r="521" spans="2:28" ht="11.25" customHeight="1" x14ac:dyDescent="0.25">
      <c r="B521" s="16"/>
      <c r="C521" s="1"/>
      <c r="D521" s="1"/>
      <c r="E521" s="1"/>
      <c r="F521" s="1"/>
      <c r="G521" s="22"/>
      <c r="H521" s="1"/>
      <c r="I521" s="1"/>
      <c r="J521" s="1"/>
      <c r="K521" s="1"/>
      <c r="L521" s="1"/>
      <c r="M521" s="262"/>
      <c r="N521" s="1"/>
      <c r="O521" s="1"/>
      <c r="P521" s="1"/>
      <c r="Q521" s="1"/>
      <c r="R521" s="1"/>
      <c r="S521" s="1"/>
      <c r="T521" s="1"/>
      <c r="U521" s="1"/>
      <c r="V521" s="1"/>
      <c r="W521" s="1"/>
      <c r="X521" s="1"/>
      <c r="Y521" s="1"/>
      <c r="Z521" s="1"/>
      <c r="AA521" s="1"/>
      <c r="AB521" s="1"/>
    </row>
    <row r="522" spans="2:28" ht="11.25" customHeight="1" x14ac:dyDescent="0.25">
      <c r="B522" s="16"/>
      <c r="C522" s="1"/>
      <c r="D522" s="1"/>
      <c r="E522" s="1"/>
      <c r="F522" s="1"/>
      <c r="G522" s="22"/>
      <c r="H522" s="1"/>
      <c r="I522" s="1"/>
      <c r="J522" s="1"/>
      <c r="K522" s="1"/>
      <c r="L522" s="1"/>
      <c r="M522" s="262"/>
      <c r="N522" s="1"/>
      <c r="O522" s="1"/>
      <c r="P522" s="1"/>
      <c r="Q522" s="1"/>
      <c r="R522" s="1"/>
      <c r="S522" s="1"/>
      <c r="T522" s="1"/>
      <c r="U522" s="1"/>
      <c r="V522" s="1"/>
      <c r="W522" s="1"/>
      <c r="X522" s="1"/>
      <c r="Y522" s="1"/>
      <c r="Z522" s="1"/>
      <c r="AA522" s="1"/>
      <c r="AB522" s="1"/>
    </row>
    <row r="523" spans="2:28" ht="11.25" customHeight="1" x14ac:dyDescent="0.25">
      <c r="B523" s="16"/>
      <c r="C523" s="1"/>
      <c r="D523" s="1"/>
      <c r="E523" s="1"/>
      <c r="F523" s="1"/>
      <c r="G523" s="22"/>
      <c r="H523" s="1"/>
      <c r="I523" s="1"/>
      <c r="J523" s="1"/>
      <c r="K523" s="1"/>
      <c r="L523" s="1"/>
      <c r="M523" s="262"/>
      <c r="N523" s="1"/>
      <c r="O523" s="1"/>
      <c r="P523" s="1"/>
      <c r="Q523" s="1"/>
      <c r="R523" s="1"/>
      <c r="S523" s="1"/>
      <c r="T523" s="1"/>
      <c r="U523" s="1"/>
      <c r="V523" s="1"/>
      <c r="W523" s="1"/>
      <c r="X523" s="1"/>
      <c r="Y523" s="1"/>
      <c r="Z523" s="1"/>
      <c r="AA523" s="1"/>
      <c r="AB523" s="1"/>
    </row>
    <row r="524" spans="2:28" ht="11.25" customHeight="1" x14ac:dyDescent="0.25">
      <c r="B524" s="16"/>
      <c r="C524" s="1"/>
      <c r="D524" s="1"/>
      <c r="E524" s="1"/>
      <c r="F524" s="1"/>
      <c r="G524" s="22"/>
      <c r="H524" s="1"/>
      <c r="I524" s="1"/>
      <c r="J524" s="1"/>
      <c r="K524" s="1"/>
      <c r="L524" s="1"/>
      <c r="M524" s="262"/>
      <c r="N524" s="1"/>
      <c r="O524" s="1"/>
      <c r="P524" s="1"/>
      <c r="Q524" s="1"/>
      <c r="R524" s="1"/>
      <c r="S524" s="1"/>
      <c r="T524" s="1"/>
      <c r="U524" s="1"/>
      <c r="V524" s="1"/>
      <c r="W524" s="1"/>
      <c r="X524" s="1"/>
      <c r="Y524" s="1"/>
      <c r="Z524" s="1"/>
      <c r="AA524" s="1"/>
      <c r="AB524" s="1"/>
    </row>
    <row r="525" spans="2:28" ht="11.25" customHeight="1" x14ac:dyDescent="0.25">
      <c r="B525" s="16"/>
      <c r="C525" s="1"/>
      <c r="D525" s="1"/>
      <c r="E525" s="1"/>
      <c r="F525" s="1"/>
      <c r="G525" s="22"/>
      <c r="H525" s="1"/>
      <c r="I525" s="1"/>
      <c r="J525" s="1"/>
      <c r="K525" s="1"/>
      <c r="L525" s="1"/>
      <c r="M525" s="262"/>
      <c r="N525" s="1"/>
      <c r="O525" s="1"/>
      <c r="P525" s="1"/>
      <c r="Q525" s="1"/>
      <c r="R525" s="1"/>
      <c r="S525" s="1"/>
      <c r="T525" s="1"/>
      <c r="U525" s="1"/>
      <c r="V525" s="1"/>
      <c r="W525" s="1"/>
      <c r="X525" s="1"/>
      <c r="Y525" s="1"/>
      <c r="Z525" s="1"/>
      <c r="AA525" s="1"/>
      <c r="AB525" s="1"/>
    </row>
    <row r="526" spans="2:28" ht="11.25" customHeight="1" x14ac:dyDescent="0.25">
      <c r="B526" s="16"/>
      <c r="C526" s="1"/>
      <c r="D526" s="1"/>
      <c r="E526" s="1"/>
      <c r="F526" s="1"/>
      <c r="G526" s="22"/>
      <c r="H526" s="1"/>
      <c r="I526" s="1"/>
      <c r="J526" s="1"/>
      <c r="K526" s="1"/>
      <c r="L526" s="1"/>
      <c r="M526" s="262"/>
      <c r="N526" s="1"/>
      <c r="O526" s="1"/>
      <c r="P526" s="1"/>
      <c r="Q526" s="1"/>
      <c r="R526" s="1"/>
      <c r="S526" s="1"/>
      <c r="T526" s="1"/>
      <c r="U526" s="1"/>
      <c r="V526" s="1"/>
      <c r="W526" s="1"/>
      <c r="X526" s="1"/>
      <c r="Y526" s="1"/>
      <c r="Z526" s="1"/>
      <c r="AA526" s="1"/>
      <c r="AB526" s="1"/>
    </row>
    <row r="527" spans="2:28" ht="11.25" customHeight="1" x14ac:dyDescent="0.25">
      <c r="B527" s="16"/>
      <c r="C527" s="1"/>
      <c r="D527" s="1"/>
      <c r="E527" s="1"/>
      <c r="F527" s="1"/>
      <c r="G527" s="22"/>
      <c r="H527" s="1"/>
      <c r="I527" s="1"/>
      <c r="J527" s="1"/>
      <c r="K527" s="1"/>
      <c r="L527" s="1"/>
      <c r="M527" s="262"/>
      <c r="N527" s="1"/>
      <c r="O527" s="1"/>
      <c r="P527" s="1"/>
      <c r="Q527" s="1"/>
      <c r="R527" s="1"/>
      <c r="S527" s="1"/>
      <c r="T527" s="1"/>
      <c r="U527" s="1"/>
      <c r="V527" s="1"/>
      <c r="W527" s="1"/>
      <c r="X527" s="1"/>
      <c r="Y527" s="1"/>
      <c r="Z527" s="1"/>
      <c r="AA527" s="1"/>
      <c r="AB527" s="1"/>
    </row>
    <row r="528" spans="2:28" ht="11.25" customHeight="1" x14ac:dyDescent="0.25">
      <c r="B528" s="16"/>
      <c r="C528" s="1"/>
      <c r="D528" s="1"/>
      <c r="E528" s="1"/>
      <c r="F528" s="1"/>
      <c r="G528" s="22"/>
      <c r="H528" s="1"/>
      <c r="I528" s="1"/>
      <c r="J528" s="1"/>
      <c r="K528" s="1"/>
      <c r="L528" s="1"/>
      <c r="M528" s="262"/>
      <c r="N528" s="1"/>
      <c r="O528" s="1"/>
      <c r="P528" s="1"/>
      <c r="Q528" s="1"/>
      <c r="R528" s="1"/>
      <c r="S528" s="1"/>
      <c r="T528" s="1"/>
      <c r="U528" s="1"/>
      <c r="V528" s="1"/>
      <c r="W528" s="1"/>
      <c r="X528" s="1"/>
      <c r="Y528" s="1"/>
      <c r="Z528" s="1"/>
      <c r="AA528" s="1"/>
      <c r="AB528" s="1"/>
    </row>
    <row r="529" spans="2:28" ht="11.25" customHeight="1" x14ac:dyDescent="0.25">
      <c r="B529" s="16"/>
      <c r="C529" s="1"/>
      <c r="D529" s="1"/>
      <c r="E529" s="1"/>
      <c r="F529" s="1"/>
      <c r="G529" s="22"/>
      <c r="H529" s="1"/>
      <c r="I529" s="1"/>
      <c r="J529" s="1"/>
      <c r="K529" s="1"/>
      <c r="L529" s="1"/>
      <c r="M529" s="262"/>
      <c r="N529" s="1"/>
      <c r="O529" s="1"/>
      <c r="P529" s="1"/>
      <c r="Q529" s="1"/>
      <c r="R529" s="1"/>
      <c r="S529" s="1"/>
      <c r="T529" s="1"/>
      <c r="U529" s="1"/>
      <c r="V529" s="1"/>
      <c r="W529" s="1"/>
      <c r="X529" s="1"/>
      <c r="Y529" s="1"/>
      <c r="Z529" s="1"/>
      <c r="AA529" s="1"/>
      <c r="AB529" s="1"/>
    </row>
    <row r="530" spans="2:28" ht="11.25" customHeight="1" x14ac:dyDescent="0.25">
      <c r="B530" s="16"/>
      <c r="C530" s="1"/>
      <c r="D530" s="1"/>
      <c r="E530" s="1"/>
      <c r="F530" s="1"/>
      <c r="G530" s="22"/>
      <c r="H530" s="1"/>
      <c r="I530" s="1"/>
      <c r="J530" s="1"/>
      <c r="K530" s="1"/>
      <c r="L530" s="1"/>
      <c r="M530" s="262"/>
      <c r="N530" s="1"/>
      <c r="O530" s="1"/>
      <c r="P530" s="1"/>
      <c r="Q530" s="1"/>
      <c r="R530" s="1"/>
      <c r="S530" s="1"/>
      <c r="T530" s="1"/>
      <c r="U530" s="1"/>
      <c r="V530" s="1"/>
      <c r="W530" s="1"/>
      <c r="X530" s="1"/>
      <c r="Y530" s="1"/>
      <c r="Z530" s="1"/>
      <c r="AA530" s="1"/>
      <c r="AB530" s="1"/>
    </row>
    <row r="531" spans="2:28" ht="11.25" customHeight="1" x14ac:dyDescent="0.25">
      <c r="B531" s="16"/>
      <c r="C531" s="1"/>
      <c r="D531" s="1"/>
      <c r="E531" s="1"/>
      <c r="F531" s="1"/>
      <c r="G531" s="22"/>
      <c r="H531" s="1"/>
      <c r="I531" s="1"/>
      <c r="J531" s="1"/>
      <c r="K531" s="1"/>
      <c r="L531" s="1"/>
      <c r="M531" s="262"/>
      <c r="N531" s="1"/>
      <c r="O531" s="1"/>
      <c r="P531" s="1"/>
      <c r="Q531" s="1"/>
      <c r="R531" s="1"/>
      <c r="S531" s="1"/>
      <c r="T531" s="1"/>
      <c r="U531" s="1"/>
      <c r="V531" s="1"/>
      <c r="W531" s="1"/>
      <c r="X531" s="1"/>
      <c r="Y531" s="1"/>
      <c r="Z531" s="1"/>
      <c r="AA531" s="1"/>
      <c r="AB531" s="1"/>
    </row>
    <row r="532" spans="2:28" ht="11.25" customHeight="1" x14ac:dyDescent="0.25">
      <c r="B532" s="16"/>
      <c r="C532" s="1"/>
      <c r="D532" s="1"/>
      <c r="E532" s="1"/>
      <c r="F532" s="1"/>
      <c r="G532" s="22"/>
      <c r="H532" s="1"/>
      <c r="I532" s="1"/>
      <c r="J532" s="1"/>
      <c r="K532" s="1"/>
      <c r="L532" s="1"/>
      <c r="M532" s="262"/>
      <c r="N532" s="1"/>
      <c r="O532" s="1"/>
      <c r="P532" s="1"/>
      <c r="Q532" s="1"/>
      <c r="R532" s="1"/>
      <c r="S532" s="1"/>
      <c r="T532" s="1"/>
      <c r="U532" s="1"/>
      <c r="V532" s="1"/>
      <c r="W532" s="1"/>
      <c r="X532" s="1"/>
      <c r="Y532" s="1"/>
      <c r="Z532" s="1"/>
      <c r="AA532" s="1"/>
      <c r="AB532" s="1"/>
    </row>
    <row r="533" spans="2:28" ht="11.25" customHeight="1" x14ac:dyDescent="0.25">
      <c r="B533" s="16"/>
      <c r="C533" s="1"/>
      <c r="D533" s="1"/>
      <c r="E533" s="1"/>
      <c r="F533" s="1"/>
      <c r="G533" s="22"/>
      <c r="H533" s="1"/>
      <c r="I533" s="1"/>
      <c r="J533" s="1"/>
      <c r="K533" s="1"/>
      <c r="L533" s="1"/>
      <c r="M533" s="262"/>
      <c r="N533" s="1"/>
      <c r="O533" s="1"/>
      <c r="P533" s="1"/>
      <c r="Q533" s="1"/>
      <c r="R533" s="1"/>
      <c r="S533" s="1"/>
      <c r="T533" s="1"/>
      <c r="U533" s="1"/>
      <c r="V533" s="1"/>
      <c r="W533" s="1"/>
      <c r="X533" s="1"/>
      <c r="Y533" s="1"/>
      <c r="Z533" s="1"/>
      <c r="AA533" s="1"/>
      <c r="AB533" s="1"/>
    </row>
    <row r="534" spans="2:28" ht="11.25" customHeight="1" x14ac:dyDescent="0.25">
      <c r="B534" s="16"/>
      <c r="C534" s="1"/>
      <c r="D534" s="1"/>
      <c r="E534" s="1"/>
      <c r="F534" s="1"/>
      <c r="G534" s="22"/>
      <c r="H534" s="1"/>
      <c r="I534" s="1"/>
      <c r="J534" s="1"/>
      <c r="K534" s="1"/>
      <c r="L534" s="1"/>
      <c r="M534" s="262"/>
      <c r="N534" s="1"/>
      <c r="O534" s="1"/>
      <c r="P534" s="1"/>
      <c r="Q534" s="1"/>
      <c r="R534" s="1"/>
      <c r="S534" s="1"/>
      <c r="T534" s="1"/>
      <c r="U534" s="1"/>
      <c r="V534" s="1"/>
      <c r="W534" s="1"/>
      <c r="X534" s="1"/>
      <c r="Y534" s="1"/>
      <c r="Z534" s="1"/>
      <c r="AA534" s="1"/>
      <c r="AB534" s="1"/>
    </row>
    <row r="535" spans="2:28" ht="11.25" customHeight="1" x14ac:dyDescent="0.25">
      <c r="B535" s="16"/>
      <c r="C535" s="1"/>
      <c r="D535" s="1"/>
      <c r="E535" s="1"/>
      <c r="F535" s="1"/>
      <c r="G535" s="22"/>
      <c r="H535" s="1"/>
      <c r="I535" s="1"/>
      <c r="J535" s="1"/>
      <c r="K535" s="1"/>
      <c r="L535" s="1"/>
      <c r="M535" s="262"/>
      <c r="N535" s="1"/>
      <c r="O535" s="1"/>
      <c r="P535" s="1"/>
      <c r="Q535" s="1"/>
      <c r="R535" s="1"/>
      <c r="S535" s="1"/>
      <c r="T535" s="1"/>
      <c r="U535" s="1"/>
      <c r="V535" s="1"/>
      <c r="W535" s="1"/>
      <c r="X535" s="1"/>
      <c r="Y535" s="1"/>
      <c r="Z535" s="1"/>
      <c r="AA535" s="1"/>
      <c r="AB535" s="1"/>
    </row>
    <row r="536" spans="2:28" ht="11.25" customHeight="1" x14ac:dyDescent="0.25">
      <c r="B536" s="16"/>
      <c r="C536" s="1"/>
      <c r="D536" s="1"/>
      <c r="E536" s="1"/>
      <c r="F536" s="1"/>
      <c r="G536" s="22"/>
      <c r="H536" s="1"/>
      <c r="I536" s="1"/>
      <c r="J536" s="1"/>
      <c r="K536" s="1"/>
      <c r="L536" s="1"/>
      <c r="M536" s="262"/>
      <c r="N536" s="1"/>
      <c r="O536" s="1"/>
      <c r="P536" s="1"/>
      <c r="Q536" s="1"/>
      <c r="R536" s="1"/>
      <c r="S536" s="1"/>
      <c r="T536" s="1"/>
      <c r="U536" s="1"/>
      <c r="V536" s="1"/>
      <c r="W536" s="1"/>
      <c r="X536" s="1"/>
      <c r="Y536" s="1"/>
      <c r="Z536" s="1"/>
      <c r="AA536" s="1"/>
      <c r="AB536" s="1"/>
    </row>
    <row r="537" spans="2:28" ht="11.25" customHeight="1" x14ac:dyDescent="0.25">
      <c r="B537" s="16"/>
      <c r="C537" s="1"/>
      <c r="D537" s="1"/>
      <c r="E537" s="1"/>
      <c r="F537" s="1"/>
      <c r="G537" s="22"/>
      <c r="H537" s="1"/>
      <c r="I537" s="1"/>
      <c r="J537" s="1"/>
      <c r="K537" s="1"/>
      <c r="L537" s="1"/>
      <c r="M537" s="262"/>
      <c r="N537" s="1"/>
      <c r="O537" s="1"/>
      <c r="P537" s="1"/>
      <c r="Q537" s="1"/>
      <c r="R537" s="1"/>
      <c r="S537" s="1"/>
      <c r="T537" s="1"/>
      <c r="U537" s="1"/>
      <c r="V537" s="1"/>
      <c r="W537" s="1"/>
      <c r="X537" s="1"/>
      <c r="Y537" s="1"/>
      <c r="Z537" s="1"/>
      <c r="AA537" s="1"/>
      <c r="AB537" s="1"/>
    </row>
    <row r="538" spans="2:28" ht="11.25" customHeight="1" x14ac:dyDescent="0.25">
      <c r="B538" s="16"/>
      <c r="C538" s="1"/>
      <c r="D538" s="1"/>
      <c r="E538" s="1"/>
      <c r="F538" s="1"/>
      <c r="G538" s="22"/>
      <c r="H538" s="1"/>
      <c r="I538" s="1"/>
      <c r="J538" s="1"/>
      <c r="K538" s="1"/>
      <c r="L538" s="1"/>
      <c r="M538" s="262"/>
      <c r="N538" s="1"/>
      <c r="O538" s="1"/>
      <c r="P538" s="1"/>
      <c r="Q538" s="1"/>
      <c r="R538" s="1"/>
      <c r="S538" s="1"/>
      <c r="T538" s="1"/>
      <c r="U538" s="1"/>
      <c r="V538" s="1"/>
      <c r="W538" s="1"/>
      <c r="X538" s="1"/>
      <c r="Y538" s="1"/>
      <c r="Z538" s="1"/>
      <c r="AA538" s="1"/>
      <c r="AB538" s="1"/>
    </row>
    <row r="539" spans="2:28" ht="11.25" customHeight="1" x14ac:dyDescent="0.25">
      <c r="B539" s="16"/>
      <c r="C539" s="1"/>
      <c r="D539" s="1"/>
      <c r="E539" s="1"/>
      <c r="F539" s="1"/>
      <c r="G539" s="22"/>
      <c r="H539" s="1"/>
      <c r="I539" s="1"/>
      <c r="J539" s="1"/>
      <c r="K539" s="1"/>
      <c r="L539" s="1"/>
      <c r="M539" s="262"/>
      <c r="N539" s="1"/>
      <c r="O539" s="1"/>
      <c r="P539" s="1"/>
      <c r="Q539" s="1"/>
      <c r="R539" s="1"/>
      <c r="S539" s="1"/>
      <c r="T539" s="1"/>
      <c r="U539" s="1"/>
      <c r="V539" s="1"/>
      <c r="W539" s="1"/>
      <c r="X539" s="1"/>
      <c r="Y539" s="1"/>
      <c r="Z539" s="1"/>
      <c r="AA539" s="1"/>
      <c r="AB539" s="1"/>
    </row>
    <row r="540" spans="2:28" ht="11.25" customHeight="1" x14ac:dyDescent="0.25">
      <c r="B540" s="16"/>
      <c r="C540" s="1"/>
      <c r="D540" s="1"/>
      <c r="E540" s="1"/>
      <c r="F540" s="1"/>
      <c r="G540" s="22"/>
      <c r="H540" s="1"/>
      <c r="I540" s="1"/>
      <c r="J540" s="1"/>
      <c r="K540" s="1"/>
      <c r="L540" s="1"/>
      <c r="M540" s="262"/>
      <c r="N540" s="1"/>
      <c r="O540" s="1"/>
      <c r="P540" s="1"/>
      <c r="Q540" s="1"/>
      <c r="R540" s="1"/>
      <c r="S540" s="1"/>
      <c r="T540" s="1"/>
      <c r="U540" s="1"/>
      <c r="V540" s="1"/>
      <c r="W540" s="1"/>
      <c r="X540" s="1"/>
      <c r="Y540" s="1"/>
      <c r="Z540" s="1"/>
      <c r="AA540" s="1"/>
      <c r="AB540" s="1"/>
    </row>
    <row r="541" spans="2:28" ht="11.25" customHeight="1" x14ac:dyDescent="0.25">
      <c r="B541" s="16"/>
      <c r="C541" s="1"/>
      <c r="D541" s="1"/>
      <c r="E541" s="1"/>
      <c r="F541" s="1"/>
      <c r="G541" s="22"/>
      <c r="H541" s="1"/>
      <c r="I541" s="1"/>
      <c r="J541" s="1"/>
      <c r="K541" s="1"/>
      <c r="L541" s="1"/>
      <c r="M541" s="262"/>
      <c r="N541" s="1"/>
      <c r="O541" s="1"/>
      <c r="P541" s="1"/>
      <c r="Q541" s="1"/>
      <c r="R541" s="1"/>
      <c r="S541" s="1"/>
      <c r="T541" s="1"/>
      <c r="U541" s="1"/>
      <c r="V541" s="1"/>
      <c r="W541" s="1"/>
      <c r="X541" s="1"/>
      <c r="Y541" s="1"/>
      <c r="Z541" s="1"/>
      <c r="AA541" s="1"/>
      <c r="AB541" s="1"/>
    </row>
    <row r="542" spans="2:28" ht="11.25" customHeight="1" x14ac:dyDescent="0.25">
      <c r="B542" s="16"/>
      <c r="C542" s="1"/>
      <c r="D542" s="1"/>
      <c r="E542" s="1"/>
      <c r="F542" s="1"/>
      <c r="G542" s="22"/>
      <c r="H542" s="1"/>
      <c r="I542" s="1"/>
      <c r="J542" s="1"/>
      <c r="K542" s="1"/>
      <c r="L542" s="1"/>
      <c r="M542" s="262"/>
      <c r="N542" s="1"/>
      <c r="O542" s="1"/>
      <c r="P542" s="1"/>
      <c r="Q542" s="1"/>
      <c r="R542" s="1"/>
      <c r="S542" s="1"/>
      <c r="T542" s="1"/>
      <c r="U542" s="1"/>
      <c r="V542" s="1"/>
      <c r="W542" s="1"/>
      <c r="X542" s="1"/>
      <c r="Y542" s="1"/>
      <c r="Z542" s="1"/>
      <c r="AA542" s="1"/>
      <c r="AB542" s="1"/>
    </row>
    <row r="543" spans="2:28" ht="11.25" customHeight="1" x14ac:dyDescent="0.25">
      <c r="B543" s="16"/>
      <c r="C543" s="1"/>
      <c r="D543" s="1"/>
      <c r="E543" s="1"/>
      <c r="F543" s="1"/>
      <c r="G543" s="22"/>
      <c r="H543" s="1"/>
      <c r="I543" s="1"/>
      <c r="J543" s="1"/>
      <c r="K543" s="1"/>
      <c r="L543" s="1"/>
      <c r="M543" s="262"/>
      <c r="N543" s="1"/>
      <c r="O543" s="1"/>
      <c r="P543" s="1"/>
      <c r="Q543" s="1"/>
      <c r="R543" s="1"/>
      <c r="S543" s="1"/>
      <c r="T543" s="1"/>
      <c r="U543" s="1"/>
      <c r="V543" s="1"/>
      <c r="W543" s="1"/>
      <c r="X543" s="1"/>
      <c r="Y543" s="1"/>
      <c r="Z543" s="1"/>
      <c r="AA543" s="1"/>
      <c r="AB543" s="1"/>
    </row>
    <row r="544" spans="2:28" ht="11.25" customHeight="1" x14ac:dyDescent="0.25">
      <c r="B544" s="16"/>
      <c r="C544" s="1"/>
      <c r="D544" s="1"/>
      <c r="E544" s="1"/>
      <c r="F544" s="1"/>
      <c r="G544" s="22"/>
      <c r="H544" s="1"/>
      <c r="I544" s="1"/>
      <c r="J544" s="1"/>
      <c r="K544" s="1"/>
      <c r="L544" s="1"/>
      <c r="M544" s="262"/>
      <c r="N544" s="1"/>
      <c r="O544" s="1"/>
      <c r="P544" s="1"/>
      <c r="Q544" s="1"/>
      <c r="R544" s="1"/>
      <c r="S544" s="1"/>
      <c r="T544" s="1"/>
      <c r="U544" s="1"/>
      <c r="V544" s="1"/>
      <c r="W544" s="1"/>
      <c r="X544" s="1"/>
      <c r="Y544" s="1"/>
      <c r="Z544" s="1"/>
      <c r="AA544" s="1"/>
      <c r="AB544" s="1"/>
    </row>
    <row r="545" spans="2:28" ht="11.25" customHeight="1" x14ac:dyDescent="0.25">
      <c r="B545" s="16"/>
      <c r="C545" s="1"/>
      <c r="D545" s="1"/>
      <c r="E545" s="1"/>
      <c r="F545" s="1"/>
      <c r="G545" s="22"/>
      <c r="H545" s="1"/>
      <c r="I545" s="1"/>
      <c r="J545" s="1"/>
      <c r="K545" s="1"/>
      <c r="L545" s="1"/>
      <c r="M545" s="262"/>
      <c r="N545" s="1"/>
      <c r="O545" s="1"/>
      <c r="P545" s="1"/>
      <c r="Q545" s="1"/>
      <c r="R545" s="1"/>
      <c r="S545" s="1"/>
      <c r="T545" s="1"/>
      <c r="U545" s="1"/>
      <c r="V545" s="1"/>
      <c r="W545" s="1"/>
      <c r="X545" s="1"/>
      <c r="Y545" s="1"/>
      <c r="Z545" s="1"/>
      <c r="AA545" s="1"/>
      <c r="AB545" s="1"/>
    </row>
    <row r="546" spans="2:28" ht="11.25" customHeight="1" x14ac:dyDescent="0.25">
      <c r="B546" s="16"/>
      <c r="C546" s="1"/>
      <c r="D546" s="1"/>
      <c r="E546" s="1"/>
      <c r="F546" s="1"/>
      <c r="G546" s="22"/>
      <c r="H546" s="1"/>
      <c r="I546" s="1"/>
      <c r="J546" s="1"/>
      <c r="K546" s="1"/>
      <c r="L546" s="1"/>
      <c r="M546" s="262"/>
      <c r="N546" s="1"/>
      <c r="O546" s="1"/>
      <c r="P546" s="1"/>
      <c r="Q546" s="1"/>
      <c r="R546" s="1"/>
      <c r="S546" s="1"/>
      <c r="T546" s="1"/>
      <c r="U546" s="1"/>
      <c r="V546" s="1"/>
      <c r="W546" s="1"/>
      <c r="X546" s="1"/>
      <c r="Y546" s="1"/>
      <c r="Z546" s="1"/>
      <c r="AA546" s="1"/>
      <c r="AB546" s="1"/>
    </row>
    <row r="547" spans="2:28" ht="11.25" customHeight="1" x14ac:dyDescent="0.25">
      <c r="B547" s="16"/>
      <c r="C547" s="1"/>
      <c r="D547" s="1"/>
      <c r="E547" s="1"/>
      <c r="F547" s="1"/>
      <c r="G547" s="22"/>
      <c r="H547" s="1"/>
      <c r="I547" s="1"/>
      <c r="J547" s="1"/>
      <c r="K547" s="1"/>
      <c r="L547" s="1"/>
      <c r="M547" s="262"/>
      <c r="N547" s="1"/>
      <c r="O547" s="1"/>
      <c r="P547" s="1"/>
      <c r="Q547" s="1"/>
      <c r="R547" s="1"/>
      <c r="S547" s="1"/>
      <c r="T547" s="1"/>
      <c r="U547" s="1"/>
      <c r="V547" s="1"/>
      <c r="W547" s="1"/>
      <c r="X547" s="1"/>
      <c r="Y547" s="1"/>
      <c r="Z547" s="1"/>
      <c r="AA547" s="1"/>
      <c r="AB547" s="1"/>
    </row>
    <row r="548" spans="2:28" ht="11.25" customHeight="1" x14ac:dyDescent="0.25">
      <c r="B548" s="16"/>
      <c r="C548" s="1"/>
      <c r="D548" s="1"/>
      <c r="E548" s="1"/>
      <c r="F548" s="1"/>
      <c r="G548" s="22"/>
      <c r="H548" s="1"/>
      <c r="I548" s="1"/>
      <c r="J548" s="1"/>
      <c r="K548" s="1"/>
      <c r="L548" s="1"/>
      <c r="M548" s="262"/>
      <c r="N548" s="1"/>
      <c r="O548" s="1"/>
      <c r="P548" s="1"/>
      <c r="Q548" s="1"/>
      <c r="R548" s="1"/>
      <c r="S548" s="1"/>
      <c r="T548" s="1"/>
      <c r="U548" s="1"/>
      <c r="V548" s="1"/>
      <c r="W548" s="1"/>
      <c r="X548" s="1"/>
      <c r="Y548" s="1"/>
      <c r="Z548" s="1"/>
      <c r="AA548" s="1"/>
      <c r="AB548" s="1"/>
    </row>
    <row r="549" spans="2:28" ht="11.25" customHeight="1" x14ac:dyDescent="0.25">
      <c r="B549" s="16"/>
      <c r="C549" s="1"/>
      <c r="D549" s="1"/>
      <c r="E549" s="1"/>
      <c r="F549" s="1"/>
      <c r="G549" s="22"/>
      <c r="H549" s="1"/>
      <c r="I549" s="1"/>
      <c r="J549" s="1"/>
      <c r="K549" s="1"/>
      <c r="L549" s="1"/>
      <c r="M549" s="262"/>
      <c r="N549" s="1"/>
      <c r="O549" s="1"/>
      <c r="P549" s="1"/>
      <c r="Q549" s="1"/>
      <c r="R549" s="1"/>
      <c r="S549" s="1"/>
      <c r="T549" s="1"/>
      <c r="U549" s="1"/>
      <c r="V549" s="1"/>
      <c r="W549" s="1"/>
      <c r="X549" s="1"/>
      <c r="Y549" s="1"/>
      <c r="Z549" s="1"/>
      <c r="AA549" s="1"/>
      <c r="AB549" s="1"/>
    </row>
    <row r="550" spans="2:28" ht="11.25" customHeight="1" x14ac:dyDescent="0.25">
      <c r="B550" s="16"/>
      <c r="C550" s="1"/>
      <c r="D550" s="1"/>
      <c r="E550" s="1"/>
      <c r="F550" s="1"/>
      <c r="G550" s="22"/>
      <c r="H550" s="1"/>
      <c r="I550" s="1"/>
      <c r="J550" s="1"/>
      <c r="K550" s="1"/>
      <c r="L550" s="1"/>
      <c r="M550" s="262"/>
      <c r="N550" s="1"/>
      <c r="O550" s="1"/>
      <c r="P550" s="1"/>
      <c r="Q550" s="1"/>
      <c r="R550" s="1"/>
      <c r="S550" s="1"/>
      <c r="T550" s="1"/>
      <c r="U550" s="1"/>
      <c r="V550" s="1"/>
      <c r="W550" s="1"/>
      <c r="X550" s="1"/>
      <c r="Y550" s="1"/>
      <c r="Z550" s="1"/>
      <c r="AA550" s="1"/>
      <c r="AB550" s="1"/>
    </row>
    <row r="551" spans="2:28" ht="11.25" customHeight="1" x14ac:dyDescent="0.25">
      <c r="B551" s="16"/>
      <c r="C551" s="1"/>
      <c r="D551" s="1"/>
      <c r="E551" s="1"/>
      <c r="F551" s="1"/>
      <c r="G551" s="22"/>
      <c r="H551" s="1"/>
      <c r="I551" s="1"/>
      <c r="J551" s="1"/>
      <c r="K551" s="1"/>
      <c r="L551" s="1"/>
      <c r="M551" s="262"/>
      <c r="N551" s="1"/>
      <c r="O551" s="1"/>
      <c r="P551" s="1"/>
      <c r="Q551" s="1"/>
      <c r="R551" s="1"/>
      <c r="S551" s="1"/>
      <c r="T551" s="1"/>
      <c r="U551" s="1"/>
      <c r="V551" s="1"/>
      <c r="W551" s="1"/>
      <c r="X551" s="1"/>
      <c r="Y551" s="1"/>
      <c r="Z551" s="1"/>
      <c r="AA551" s="1"/>
      <c r="AB551" s="1"/>
    </row>
    <row r="552" spans="2:28" ht="11.25" customHeight="1" x14ac:dyDescent="0.25">
      <c r="B552" s="16"/>
      <c r="C552" s="1"/>
      <c r="D552" s="1"/>
      <c r="E552" s="1"/>
      <c r="F552" s="1"/>
      <c r="G552" s="22"/>
      <c r="H552" s="1"/>
      <c r="I552" s="1"/>
      <c r="J552" s="1"/>
      <c r="K552" s="1"/>
      <c r="L552" s="1"/>
      <c r="M552" s="262"/>
      <c r="N552" s="1"/>
      <c r="O552" s="1"/>
      <c r="P552" s="1"/>
      <c r="Q552" s="1"/>
      <c r="R552" s="1"/>
      <c r="S552" s="1"/>
      <c r="T552" s="1"/>
      <c r="U552" s="1"/>
      <c r="V552" s="1"/>
      <c r="W552" s="1"/>
      <c r="X552" s="1"/>
      <c r="Y552" s="1"/>
      <c r="Z552" s="1"/>
      <c r="AA552" s="1"/>
      <c r="AB552" s="1"/>
    </row>
    <row r="553" spans="2:28" ht="11.25" customHeight="1" x14ac:dyDescent="0.25">
      <c r="B553" s="16"/>
      <c r="C553" s="1"/>
      <c r="D553" s="1"/>
      <c r="E553" s="1"/>
      <c r="F553" s="1"/>
      <c r="G553" s="22"/>
      <c r="H553" s="1"/>
      <c r="I553" s="1"/>
      <c r="J553" s="1"/>
      <c r="K553" s="1"/>
      <c r="L553" s="1"/>
      <c r="M553" s="262"/>
      <c r="N553" s="1"/>
      <c r="O553" s="1"/>
      <c r="P553" s="1"/>
      <c r="Q553" s="1"/>
      <c r="R553" s="1"/>
      <c r="S553" s="1"/>
      <c r="T553" s="1"/>
      <c r="U553" s="1"/>
      <c r="V553" s="1"/>
      <c r="W553" s="1"/>
      <c r="X553" s="1"/>
      <c r="Y553" s="1"/>
      <c r="Z553" s="1"/>
      <c r="AA553" s="1"/>
      <c r="AB553" s="1"/>
    </row>
    <row r="554" spans="2:28" ht="11.25" customHeight="1" x14ac:dyDescent="0.25">
      <c r="B554" s="16"/>
      <c r="C554" s="1"/>
      <c r="D554" s="1"/>
      <c r="E554" s="1"/>
      <c r="F554" s="1"/>
      <c r="G554" s="22"/>
      <c r="H554" s="1"/>
      <c r="I554" s="1"/>
      <c r="J554" s="1"/>
      <c r="K554" s="1"/>
      <c r="L554" s="1"/>
      <c r="M554" s="262"/>
      <c r="N554" s="1"/>
      <c r="O554" s="1"/>
      <c r="P554" s="1"/>
      <c r="Q554" s="1"/>
      <c r="R554" s="1"/>
      <c r="S554" s="1"/>
      <c r="T554" s="1"/>
      <c r="U554" s="1"/>
      <c r="V554" s="1"/>
      <c r="W554" s="1"/>
      <c r="X554" s="1"/>
      <c r="Y554" s="1"/>
      <c r="Z554" s="1"/>
      <c r="AA554" s="1"/>
      <c r="AB554" s="1"/>
    </row>
    <row r="555" spans="2:28" ht="11.25" customHeight="1" x14ac:dyDescent="0.25">
      <c r="B555" s="16"/>
      <c r="C555" s="1"/>
      <c r="D555" s="1"/>
      <c r="E555" s="1"/>
      <c r="F555" s="1"/>
      <c r="G555" s="22"/>
      <c r="H555" s="1"/>
      <c r="I555" s="1"/>
      <c r="J555" s="1"/>
      <c r="K555" s="1"/>
      <c r="L555" s="1"/>
      <c r="M555" s="262"/>
      <c r="N555" s="1"/>
      <c r="O555" s="1"/>
      <c r="P555" s="1"/>
      <c r="Q555" s="1"/>
      <c r="R555" s="1"/>
      <c r="S555" s="1"/>
      <c r="T555" s="1"/>
      <c r="U555" s="1"/>
      <c r="V555" s="1"/>
      <c r="W555" s="1"/>
      <c r="X555" s="1"/>
      <c r="Y555" s="1"/>
      <c r="Z555" s="1"/>
      <c r="AA555" s="1"/>
      <c r="AB555" s="1"/>
    </row>
    <row r="556" spans="2:28" ht="11.25" customHeight="1" x14ac:dyDescent="0.25">
      <c r="B556" s="16"/>
      <c r="C556" s="1"/>
      <c r="D556" s="1"/>
      <c r="E556" s="1"/>
      <c r="F556" s="1"/>
      <c r="G556" s="22"/>
      <c r="H556" s="1"/>
      <c r="I556" s="1"/>
      <c r="J556" s="1"/>
      <c r="K556" s="1"/>
      <c r="L556" s="1"/>
      <c r="M556" s="262"/>
      <c r="N556" s="1"/>
      <c r="O556" s="1"/>
      <c r="P556" s="1"/>
      <c r="Q556" s="1"/>
      <c r="R556" s="1"/>
      <c r="S556" s="1"/>
      <c r="T556" s="1"/>
      <c r="U556" s="1"/>
      <c r="V556" s="1"/>
      <c r="W556" s="1"/>
      <c r="X556" s="1"/>
      <c r="Y556" s="1"/>
      <c r="Z556" s="1"/>
      <c r="AA556" s="1"/>
      <c r="AB556" s="1"/>
    </row>
    <row r="557" spans="2:28" ht="11.25" customHeight="1" x14ac:dyDescent="0.25">
      <c r="B557" s="16"/>
      <c r="C557" s="1"/>
      <c r="D557" s="1"/>
      <c r="E557" s="1"/>
      <c r="F557" s="1"/>
      <c r="G557" s="22"/>
      <c r="H557" s="1"/>
      <c r="I557" s="1"/>
      <c r="J557" s="1"/>
      <c r="K557" s="1"/>
      <c r="L557" s="1"/>
      <c r="M557" s="262"/>
      <c r="N557" s="1"/>
      <c r="O557" s="1"/>
      <c r="P557" s="1"/>
      <c r="Q557" s="1"/>
      <c r="R557" s="1"/>
      <c r="S557" s="1"/>
      <c r="T557" s="1"/>
      <c r="U557" s="1"/>
      <c r="V557" s="1"/>
      <c r="W557" s="1"/>
      <c r="X557" s="1"/>
      <c r="Y557" s="1"/>
      <c r="Z557" s="1"/>
      <c r="AA557" s="1"/>
      <c r="AB557" s="1"/>
    </row>
    <row r="558" spans="2:28" ht="11.25" customHeight="1" x14ac:dyDescent="0.25">
      <c r="B558" s="16"/>
      <c r="C558" s="1"/>
      <c r="D558" s="1"/>
      <c r="E558" s="1"/>
      <c r="F558" s="1"/>
      <c r="G558" s="22"/>
      <c r="H558" s="1"/>
      <c r="I558" s="1"/>
      <c r="J558" s="1"/>
      <c r="K558" s="1"/>
      <c r="L558" s="1"/>
      <c r="M558" s="262"/>
      <c r="N558" s="1"/>
      <c r="O558" s="1"/>
      <c r="P558" s="1"/>
      <c r="Q558" s="1"/>
      <c r="R558" s="1"/>
      <c r="S558" s="1"/>
      <c r="T558" s="1"/>
      <c r="U558" s="1"/>
      <c r="V558" s="1"/>
      <c r="W558" s="1"/>
      <c r="X558" s="1"/>
      <c r="Y558" s="1"/>
      <c r="Z558" s="1"/>
      <c r="AA558" s="1"/>
      <c r="AB558" s="1"/>
    </row>
    <row r="559" spans="2:28" ht="11.25" customHeight="1" x14ac:dyDescent="0.25">
      <c r="B559" s="16"/>
      <c r="C559" s="1"/>
      <c r="D559" s="1"/>
      <c r="E559" s="1"/>
      <c r="F559" s="1"/>
      <c r="G559" s="22"/>
      <c r="H559" s="1"/>
      <c r="I559" s="1"/>
      <c r="J559" s="1"/>
      <c r="K559" s="1"/>
      <c r="L559" s="1"/>
      <c r="M559" s="262"/>
      <c r="N559" s="1"/>
      <c r="O559" s="1"/>
      <c r="P559" s="1"/>
      <c r="Q559" s="1"/>
      <c r="R559" s="1"/>
      <c r="S559" s="1"/>
      <c r="T559" s="1"/>
      <c r="U559" s="1"/>
      <c r="V559" s="1"/>
      <c r="W559" s="1"/>
      <c r="X559" s="1"/>
      <c r="Y559" s="1"/>
      <c r="Z559" s="1"/>
      <c r="AA559" s="1"/>
      <c r="AB559" s="1"/>
    </row>
    <row r="560" spans="2:28" ht="11.25" customHeight="1" x14ac:dyDescent="0.25">
      <c r="B560" s="16"/>
      <c r="C560" s="1"/>
      <c r="D560" s="1"/>
      <c r="E560" s="1"/>
      <c r="F560" s="1"/>
      <c r="G560" s="22"/>
      <c r="H560" s="1"/>
      <c r="I560" s="1"/>
      <c r="J560" s="1"/>
      <c r="K560" s="1"/>
      <c r="L560" s="1"/>
      <c r="M560" s="262"/>
      <c r="N560" s="1"/>
      <c r="O560" s="1"/>
      <c r="P560" s="1"/>
      <c r="Q560" s="1"/>
      <c r="R560" s="1"/>
      <c r="S560" s="1"/>
      <c r="T560" s="1"/>
      <c r="U560" s="1"/>
      <c r="V560" s="1"/>
      <c r="W560" s="1"/>
      <c r="X560" s="1"/>
      <c r="Y560" s="1"/>
      <c r="Z560" s="1"/>
      <c r="AA560" s="1"/>
      <c r="AB560" s="1"/>
    </row>
    <row r="561" spans="2:28" ht="11.25" customHeight="1" x14ac:dyDescent="0.25">
      <c r="B561" s="16"/>
      <c r="C561" s="1"/>
      <c r="D561" s="1"/>
      <c r="E561" s="1"/>
      <c r="F561" s="1"/>
      <c r="G561" s="22"/>
      <c r="H561" s="1"/>
      <c r="I561" s="1"/>
      <c r="J561" s="1"/>
      <c r="K561" s="1"/>
      <c r="L561" s="1"/>
      <c r="M561" s="262"/>
      <c r="N561" s="1"/>
      <c r="O561" s="1"/>
      <c r="P561" s="1"/>
      <c r="Q561" s="1"/>
      <c r="R561" s="1"/>
      <c r="S561" s="1"/>
      <c r="T561" s="1"/>
      <c r="U561" s="1"/>
      <c r="V561" s="1"/>
      <c r="W561" s="1"/>
      <c r="X561" s="1"/>
      <c r="Y561" s="1"/>
      <c r="Z561" s="1"/>
      <c r="AA561" s="1"/>
      <c r="AB561" s="1"/>
    </row>
    <row r="562" spans="2:28" ht="11.25" customHeight="1" x14ac:dyDescent="0.25">
      <c r="B562" s="16"/>
      <c r="C562" s="1"/>
      <c r="D562" s="1"/>
      <c r="E562" s="1"/>
      <c r="F562" s="1"/>
      <c r="G562" s="22"/>
      <c r="H562" s="1"/>
      <c r="I562" s="1"/>
      <c r="J562" s="1"/>
      <c r="K562" s="1"/>
      <c r="L562" s="1"/>
      <c r="M562" s="262"/>
      <c r="N562" s="1"/>
      <c r="O562" s="1"/>
      <c r="P562" s="1"/>
      <c r="Q562" s="1"/>
      <c r="R562" s="1"/>
      <c r="S562" s="1"/>
      <c r="T562" s="1"/>
      <c r="U562" s="1"/>
      <c r="V562" s="1"/>
      <c r="W562" s="1"/>
      <c r="X562" s="1"/>
      <c r="Y562" s="1"/>
      <c r="Z562" s="1"/>
      <c r="AA562" s="1"/>
      <c r="AB562" s="1"/>
    </row>
    <row r="563" spans="2:28" ht="11.25" customHeight="1" x14ac:dyDescent="0.25">
      <c r="B563" s="16"/>
      <c r="C563" s="1"/>
      <c r="D563" s="1"/>
      <c r="E563" s="1"/>
      <c r="F563" s="1"/>
      <c r="G563" s="22"/>
      <c r="H563" s="1"/>
      <c r="I563" s="1"/>
      <c r="J563" s="1"/>
      <c r="K563" s="1"/>
      <c r="L563" s="1"/>
      <c r="M563" s="262"/>
      <c r="N563" s="1"/>
      <c r="O563" s="1"/>
      <c r="P563" s="1"/>
      <c r="Q563" s="1"/>
      <c r="R563" s="1"/>
      <c r="S563" s="1"/>
      <c r="T563" s="1"/>
      <c r="U563" s="1"/>
      <c r="V563" s="1"/>
      <c r="W563" s="1"/>
      <c r="X563" s="1"/>
      <c r="Y563" s="1"/>
      <c r="Z563" s="1"/>
      <c r="AA563" s="1"/>
      <c r="AB563" s="1"/>
    </row>
    <row r="564" spans="2:28" ht="11.25" customHeight="1" x14ac:dyDescent="0.25">
      <c r="B564" s="16"/>
      <c r="C564" s="1"/>
      <c r="D564" s="1"/>
      <c r="E564" s="1"/>
      <c r="F564" s="1"/>
      <c r="G564" s="22"/>
      <c r="H564" s="1"/>
      <c r="I564" s="1"/>
      <c r="J564" s="1"/>
      <c r="K564" s="1"/>
      <c r="L564" s="1"/>
      <c r="M564" s="262"/>
      <c r="N564" s="1"/>
      <c r="O564" s="1"/>
      <c r="P564" s="1"/>
      <c r="Q564" s="1"/>
      <c r="R564" s="1"/>
      <c r="S564" s="1"/>
      <c r="T564" s="1"/>
      <c r="U564" s="1"/>
      <c r="V564" s="1"/>
      <c r="W564" s="1"/>
      <c r="X564" s="1"/>
      <c r="Y564" s="1"/>
      <c r="Z564" s="1"/>
      <c r="AA564" s="1"/>
      <c r="AB564" s="1"/>
    </row>
    <row r="565" spans="2:28" ht="11.25" customHeight="1" x14ac:dyDescent="0.25">
      <c r="B565" s="16"/>
      <c r="C565" s="1"/>
      <c r="D565" s="1"/>
      <c r="E565" s="1"/>
      <c r="F565" s="1"/>
      <c r="G565" s="22"/>
      <c r="H565" s="1"/>
      <c r="I565" s="1"/>
      <c r="J565" s="1"/>
      <c r="K565" s="1"/>
      <c r="L565" s="1"/>
      <c r="M565" s="262"/>
      <c r="N565" s="1"/>
      <c r="O565" s="1"/>
      <c r="P565" s="1"/>
      <c r="Q565" s="1"/>
      <c r="R565" s="1"/>
      <c r="S565" s="1"/>
      <c r="T565" s="1"/>
      <c r="U565" s="1"/>
      <c r="V565" s="1"/>
      <c r="W565" s="1"/>
      <c r="X565" s="1"/>
      <c r="Y565" s="1"/>
      <c r="Z565" s="1"/>
      <c r="AA565" s="1"/>
      <c r="AB565" s="1"/>
    </row>
    <row r="566" spans="2:28" ht="11.25" customHeight="1" x14ac:dyDescent="0.25">
      <c r="B566" s="16"/>
      <c r="C566" s="1"/>
      <c r="D566" s="1"/>
      <c r="E566" s="1"/>
      <c r="F566" s="1"/>
      <c r="G566" s="22"/>
      <c r="H566" s="1"/>
      <c r="I566" s="1"/>
      <c r="J566" s="1"/>
      <c r="K566" s="1"/>
      <c r="L566" s="1"/>
      <c r="M566" s="262"/>
      <c r="N566" s="1"/>
      <c r="O566" s="1"/>
      <c r="P566" s="1"/>
      <c r="Q566" s="1"/>
      <c r="R566" s="1"/>
      <c r="S566" s="1"/>
      <c r="T566" s="1"/>
      <c r="U566" s="1"/>
      <c r="V566" s="1"/>
      <c r="W566" s="1"/>
      <c r="X566" s="1"/>
      <c r="Y566" s="1"/>
      <c r="Z566" s="1"/>
      <c r="AA566" s="1"/>
      <c r="AB566" s="1"/>
    </row>
    <row r="567" spans="2:28" ht="11.25" customHeight="1" x14ac:dyDescent="0.25">
      <c r="B567" s="16"/>
      <c r="C567" s="1"/>
      <c r="D567" s="1"/>
      <c r="E567" s="1"/>
      <c r="F567" s="1"/>
      <c r="G567" s="22"/>
      <c r="H567" s="1"/>
      <c r="I567" s="1"/>
      <c r="J567" s="1"/>
      <c r="K567" s="1"/>
      <c r="L567" s="1"/>
      <c r="M567" s="262"/>
      <c r="N567" s="1"/>
      <c r="O567" s="1"/>
      <c r="P567" s="1"/>
      <c r="Q567" s="1"/>
      <c r="R567" s="1"/>
      <c r="S567" s="1"/>
      <c r="T567" s="1"/>
      <c r="U567" s="1"/>
      <c r="V567" s="1"/>
      <c r="W567" s="1"/>
      <c r="X567" s="1"/>
      <c r="Y567" s="1"/>
      <c r="Z567" s="1"/>
      <c r="AA567" s="1"/>
      <c r="AB567" s="1"/>
    </row>
    <row r="568" spans="2:28" ht="11.25" customHeight="1" x14ac:dyDescent="0.25">
      <c r="B568" s="16"/>
      <c r="C568" s="1"/>
      <c r="D568" s="1"/>
      <c r="E568" s="1"/>
      <c r="F568" s="1"/>
      <c r="G568" s="22"/>
      <c r="H568" s="1"/>
      <c r="I568" s="1"/>
      <c r="J568" s="1"/>
      <c r="K568" s="1"/>
      <c r="L568" s="1"/>
      <c r="M568" s="262"/>
      <c r="N568" s="1"/>
      <c r="O568" s="1"/>
      <c r="P568" s="1"/>
      <c r="Q568" s="1"/>
      <c r="R568" s="1"/>
      <c r="S568" s="1"/>
      <c r="T568" s="1"/>
      <c r="U568" s="1"/>
      <c r="V568" s="1"/>
      <c r="W568" s="1"/>
      <c r="X568" s="1"/>
      <c r="Y568" s="1"/>
      <c r="Z568" s="1"/>
      <c r="AA568" s="1"/>
      <c r="AB568" s="1"/>
    </row>
    <row r="569" spans="2:28" ht="11.25" customHeight="1" x14ac:dyDescent="0.25">
      <c r="B569" s="16"/>
      <c r="C569" s="1"/>
      <c r="D569" s="1"/>
      <c r="E569" s="1"/>
      <c r="F569" s="1"/>
      <c r="G569" s="22"/>
      <c r="H569" s="1"/>
      <c r="I569" s="1"/>
      <c r="J569" s="1"/>
      <c r="K569" s="1"/>
      <c r="L569" s="1"/>
      <c r="M569" s="262"/>
      <c r="N569" s="1"/>
      <c r="O569" s="1"/>
      <c r="P569" s="1"/>
      <c r="Q569" s="1"/>
      <c r="R569" s="1"/>
      <c r="S569" s="1"/>
      <c r="T569" s="1"/>
      <c r="U569" s="1"/>
      <c r="V569" s="1"/>
      <c r="W569" s="1"/>
      <c r="X569" s="1"/>
      <c r="Y569" s="1"/>
      <c r="Z569" s="1"/>
      <c r="AA569" s="1"/>
      <c r="AB569" s="1"/>
    </row>
    <row r="570" spans="2:28" ht="11.25" customHeight="1" x14ac:dyDescent="0.25">
      <c r="B570" s="16"/>
      <c r="C570" s="1"/>
      <c r="D570" s="1"/>
      <c r="E570" s="1"/>
      <c r="F570" s="1"/>
      <c r="G570" s="22"/>
      <c r="H570" s="1"/>
      <c r="I570" s="1"/>
      <c r="J570" s="1"/>
      <c r="K570" s="1"/>
      <c r="L570" s="1"/>
      <c r="M570" s="262"/>
      <c r="N570" s="1"/>
      <c r="O570" s="1"/>
      <c r="P570" s="1"/>
      <c r="Q570" s="1"/>
      <c r="R570" s="1"/>
      <c r="S570" s="1"/>
      <c r="T570" s="1"/>
      <c r="U570" s="1"/>
      <c r="V570" s="1"/>
      <c r="W570" s="1"/>
      <c r="X570" s="1"/>
      <c r="Y570" s="1"/>
      <c r="Z570" s="1"/>
      <c r="AA570" s="1"/>
      <c r="AB570" s="1"/>
    </row>
    <row r="571" spans="2:28" ht="11.25" customHeight="1" x14ac:dyDescent="0.25">
      <c r="B571" s="16"/>
      <c r="C571" s="1"/>
      <c r="D571" s="1"/>
      <c r="E571" s="1"/>
      <c r="F571" s="1"/>
      <c r="G571" s="22"/>
      <c r="H571" s="1"/>
      <c r="I571" s="1"/>
      <c r="J571" s="1"/>
      <c r="K571" s="1"/>
      <c r="L571" s="1"/>
      <c r="M571" s="262"/>
      <c r="N571" s="1"/>
      <c r="O571" s="1"/>
      <c r="P571" s="1"/>
      <c r="Q571" s="1"/>
      <c r="R571" s="1"/>
      <c r="S571" s="1"/>
      <c r="T571" s="1"/>
      <c r="U571" s="1"/>
      <c r="V571" s="1"/>
      <c r="W571" s="1"/>
      <c r="X571" s="1"/>
      <c r="Y571" s="1"/>
      <c r="Z571" s="1"/>
      <c r="AA571" s="1"/>
      <c r="AB571" s="1"/>
    </row>
    <row r="572" spans="2:28" ht="11.25" customHeight="1" x14ac:dyDescent="0.25">
      <c r="B572" s="16"/>
      <c r="C572" s="1"/>
      <c r="D572" s="1"/>
      <c r="E572" s="1"/>
      <c r="F572" s="1"/>
      <c r="G572" s="22"/>
      <c r="H572" s="1"/>
      <c r="I572" s="1"/>
      <c r="J572" s="1"/>
      <c r="K572" s="1"/>
      <c r="L572" s="1"/>
      <c r="M572" s="262"/>
      <c r="N572" s="1"/>
      <c r="O572" s="1"/>
      <c r="P572" s="1"/>
      <c r="Q572" s="1"/>
      <c r="R572" s="1"/>
      <c r="S572" s="1"/>
      <c r="T572" s="1"/>
      <c r="U572" s="1"/>
      <c r="V572" s="1"/>
      <c r="W572" s="1"/>
      <c r="X572" s="1"/>
      <c r="Y572" s="1"/>
      <c r="Z572" s="1"/>
      <c r="AA572" s="1"/>
      <c r="AB572" s="1"/>
    </row>
    <row r="573" spans="2:28" ht="11.25" customHeight="1" x14ac:dyDescent="0.25">
      <c r="B573" s="16"/>
      <c r="C573" s="1"/>
      <c r="D573" s="1"/>
      <c r="E573" s="1"/>
      <c r="F573" s="1"/>
      <c r="G573" s="22"/>
      <c r="H573" s="1"/>
      <c r="I573" s="1"/>
      <c r="J573" s="1"/>
      <c r="K573" s="1"/>
      <c r="L573" s="1"/>
      <c r="M573" s="262"/>
      <c r="N573" s="1"/>
      <c r="O573" s="1"/>
      <c r="P573" s="1"/>
      <c r="Q573" s="1"/>
      <c r="R573" s="1"/>
      <c r="S573" s="1"/>
      <c r="T573" s="1"/>
      <c r="U573" s="1"/>
      <c r="V573" s="1"/>
      <c r="W573" s="1"/>
      <c r="X573" s="1"/>
      <c r="Y573" s="1"/>
      <c r="Z573" s="1"/>
      <c r="AA573" s="1"/>
      <c r="AB573" s="1"/>
    </row>
    <row r="574" spans="2:28" ht="11.25" customHeight="1" x14ac:dyDescent="0.25">
      <c r="B574" s="16"/>
      <c r="C574" s="1"/>
      <c r="D574" s="1"/>
      <c r="E574" s="1"/>
      <c r="F574" s="1"/>
      <c r="G574" s="22"/>
      <c r="H574" s="1"/>
      <c r="I574" s="1"/>
      <c r="J574" s="1"/>
      <c r="K574" s="1"/>
      <c r="L574" s="1"/>
      <c r="M574" s="262"/>
      <c r="N574" s="1"/>
      <c r="O574" s="1"/>
      <c r="P574" s="1"/>
      <c r="Q574" s="1"/>
      <c r="R574" s="1"/>
      <c r="S574" s="1"/>
      <c r="T574" s="1"/>
      <c r="U574" s="1"/>
      <c r="V574" s="1"/>
      <c r="W574" s="1"/>
      <c r="X574" s="1"/>
      <c r="Y574" s="1"/>
      <c r="Z574" s="1"/>
      <c r="AA574" s="1"/>
      <c r="AB574" s="1"/>
    </row>
    <row r="575" spans="2:28" ht="11.25" customHeight="1" x14ac:dyDescent="0.25">
      <c r="B575" s="16"/>
      <c r="C575" s="1"/>
      <c r="D575" s="1"/>
      <c r="E575" s="1"/>
      <c r="F575" s="1"/>
      <c r="G575" s="22"/>
      <c r="H575" s="1"/>
      <c r="I575" s="1"/>
      <c r="J575" s="1"/>
      <c r="K575" s="1"/>
      <c r="L575" s="1"/>
      <c r="M575" s="262"/>
      <c r="N575" s="1"/>
      <c r="O575" s="1"/>
      <c r="P575" s="1"/>
      <c r="Q575" s="1"/>
      <c r="R575" s="1"/>
      <c r="S575" s="1"/>
      <c r="T575" s="1"/>
      <c r="U575" s="1"/>
      <c r="V575" s="1"/>
      <c r="W575" s="1"/>
      <c r="X575" s="1"/>
      <c r="Y575" s="1"/>
      <c r="Z575" s="1"/>
      <c r="AA575" s="1"/>
      <c r="AB575" s="1"/>
    </row>
    <row r="576" spans="2:28" ht="11.25" customHeight="1" x14ac:dyDescent="0.25">
      <c r="B576" s="16"/>
      <c r="C576" s="1"/>
      <c r="D576" s="1"/>
      <c r="E576" s="1"/>
      <c r="F576" s="1"/>
      <c r="G576" s="22"/>
      <c r="H576" s="1"/>
      <c r="I576" s="1"/>
      <c r="J576" s="1"/>
      <c r="K576" s="1"/>
      <c r="L576" s="1"/>
      <c r="M576" s="262"/>
      <c r="N576" s="1"/>
      <c r="O576" s="1"/>
      <c r="P576" s="1"/>
      <c r="Q576" s="1"/>
      <c r="R576" s="1"/>
      <c r="S576" s="1"/>
      <c r="T576" s="1"/>
      <c r="U576" s="1"/>
      <c r="V576" s="1"/>
      <c r="W576" s="1"/>
      <c r="X576" s="1"/>
      <c r="Y576" s="1"/>
      <c r="Z576" s="1"/>
      <c r="AA576" s="1"/>
      <c r="AB576" s="1"/>
    </row>
    <row r="577" spans="2:28" ht="11.25" customHeight="1" x14ac:dyDescent="0.25">
      <c r="B577" s="16"/>
      <c r="C577" s="1"/>
      <c r="D577" s="1"/>
      <c r="E577" s="1"/>
      <c r="F577" s="1"/>
      <c r="G577" s="22"/>
      <c r="H577" s="1"/>
      <c r="I577" s="1"/>
      <c r="J577" s="1"/>
      <c r="K577" s="1"/>
      <c r="L577" s="1"/>
      <c r="M577" s="262"/>
      <c r="N577" s="1"/>
      <c r="O577" s="1"/>
      <c r="P577" s="1"/>
      <c r="Q577" s="1"/>
      <c r="R577" s="1"/>
      <c r="S577" s="1"/>
      <c r="T577" s="1"/>
      <c r="U577" s="1"/>
      <c r="V577" s="1"/>
      <c r="W577" s="1"/>
      <c r="X577" s="1"/>
      <c r="Y577" s="1"/>
      <c r="Z577" s="1"/>
      <c r="AA577" s="1"/>
      <c r="AB577" s="1"/>
    </row>
    <row r="578" spans="2:28" ht="11.25" customHeight="1" x14ac:dyDescent="0.25">
      <c r="B578" s="16"/>
      <c r="C578" s="1"/>
      <c r="D578" s="1"/>
      <c r="E578" s="1"/>
      <c r="F578" s="1"/>
      <c r="G578" s="22"/>
      <c r="H578" s="1"/>
      <c r="I578" s="1"/>
      <c r="J578" s="1"/>
      <c r="K578" s="1"/>
      <c r="L578" s="1"/>
      <c r="M578" s="262"/>
      <c r="N578" s="1"/>
      <c r="O578" s="1"/>
      <c r="P578" s="1"/>
      <c r="Q578" s="1"/>
      <c r="R578" s="1"/>
      <c r="S578" s="1"/>
      <c r="T578" s="1"/>
      <c r="U578" s="1"/>
      <c r="V578" s="1"/>
      <c r="W578" s="1"/>
      <c r="X578" s="1"/>
      <c r="Y578" s="1"/>
      <c r="Z578" s="1"/>
      <c r="AA578" s="1"/>
      <c r="AB578" s="1"/>
    </row>
    <row r="579" spans="2:28" ht="11.25" customHeight="1" x14ac:dyDescent="0.25">
      <c r="B579" s="16"/>
      <c r="C579" s="1"/>
      <c r="D579" s="1"/>
      <c r="E579" s="1"/>
      <c r="F579" s="1"/>
      <c r="G579" s="22"/>
      <c r="H579" s="1"/>
      <c r="I579" s="1"/>
      <c r="J579" s="1"/>
      <c r="K579" s="1"/>
      <c r="L579" s="1"/>
      <c r="M579" s="262"/>
      <c r="N579" s="1"/>
      <c r="O579" s="1"/>
      <c r="P579" s="1"/>
      <c r="Q579" s="1"/>
      <c r="R579" s="1"/>
      <c r="S579" s="1"/>
      <c r="T579" s="1"/>
      <c r="U579" s="1"/>
      <c r="V579" s="1"/>
      <c r="W579" s="1"/>
      <c r="X579" s="1"/>
      <c r="Y579" s="1"/>
      <c r="Z579" s="1"/>
      <c r="AA579" s="1"/>
      <c r="AB579" s="1"/>
    </row>
    <row r="580" spans="2:28" ht="11.25" customHeight="1" x14ac:dyDescent="0.25">
      <c r="B580" s="16"/>
      <c r="C580" s="1"/>
      <c r="D580" s="1"/>
      <c r="E580" s="1"/>
      <c r="F580" s="1"/>
      <c r="G580" s="22"/>
      <c r="H580" s="1"/>
      <c r="I580" s="1"/>
      <c r="J580" s="1"/>
      <c r="K580" s="1"/>
      <c r="L580" s="1"/>
      <c r="M580" s="262"/>
      <c r="N580" s="1"/>
      <c r="O580" s="1"/>
      <c r="P580" s="1"/>
      <c r="Q580" s="1"/>
      <c r="R580" s="1"/>
      <c r="S580" s="1"/>
      <c r="T580" s="1"/>
      <c r="U580" s="1"/>
      <c r="V580" s="1"/>
      <c r="W580" s="1"/>
      <c r="X580" s="1"/>
      <c r="Y580" s="1"/>
      <c r="Z580" s="1"/>
      <c r="AA580" s="1"/>
      <c r="AB580" s="1"/>
    </row>
    <row r="581" spans="2:28" ht="11.25" customHeight="1" x14ac:dyDescent="0.25">
      <c r="B581" s="16"/>
      <c r="C581" s="1"/>
      <c r="D581" s="1"/>
      <c r="E581" s="1"/>
      <c r="F581" s="1"/>
      <c r="G581" s="22"/>
      <c r="H581" s="1"/>
      <c r="I581" s="1"/>
      <c r="J581" s="1"/>
      <c r="K581" s="1"/>
      <c r="L581" s="1"/>
      <c r="M581" s="262"/>
      <c r="N581" s="1"/>
      <c r="O581" s="1"/>
      <c r="P581" s="1"/>
      <c r="Q581" s="1"/>
      <c r="R581" s="1"/>
      <c r="S581" s="1"/>
      <c r="T581" s="1"/>
      <c r="U581" s="1"/>
      <c r="V581" s="1"/>
      <c r="W581" s="1"/>
      <c r="X581" s="1"/>
      <c r="Y581" s="1"/>
      <c r="Z581" s="1"/>
      <c r="AA581" s="1"/>
      <c r="AB581" s="1"/>
    </row>
    <row r="582" spans="2:28" ht="11.25" customHeight="1" x14ac:dyDescent="0.25">
      <c r="B582" s="16"/>
      <c r="C582" s="1"/>
      <c r="D582" s="1"/>
      <c r="E582" s="1"/>
      <c r="F582" s="1"/>
      <c r="G582" s="22"/>
      <c r="H582" s="1"/>
      <c r="I582" s="1"/>
      <c r="J582" s="1"/>
      <c r="K582" s="1"/>
      <c r="L582" s="1"/>
      <c r="M582" s="262"/>
      <c r="N582" s="1"/>
      <c r="O582" s="1"/>
      <c r="P582" s="1"/>
      <c r="Q582" s="1"/>
      <c r="R582" s="1"/>
      <c r="S582" s="1"/>
      <c r="T582" s="1"/>
      <c r="U582" s="1"/>
      <c r="V582" s="1"/>
      <c r="W582" s="1"/>
      <c r="X582" s="1"/>
      <c r="Y582" s="1"/>
      <c r="Z582" s="1"/>
      <c r="AA582" s="1"/>
      <c r="AB582" s="1"/>
    </row>
    <row r="583" spans="2:28" ht="11.25" customHeight="1" x14ac:dyDescent="0.25">
      <c r="B583" s="16"/>
      <c r="C583" s="1"/>
      <c r="D583" s="1"/>
      <c r="E583" s="1"/>
      <c r="F583" s="1"/>
      <c r="G583" s="22"/>
      <c r="H583" s="1"/>
      <c r="I583" s="1"/>
      <c r="J583" s="1"/>
      <c r="K583" s="1"/>
      <c r="L583" s="1"/>
      <c r="M583" s="262"/>
      <c r="N583" s="1"/>
      <c r="O583" s="1"/>
      <c r="P583" s="1"/>
      <c r="Q583" s="1"/>
      <c r="R583" s="1"/>
      <c r="S583" s="1"/>
      <c r="T583" s="1"/>
      <c r="U583" s="1"/>
      <c r="V583" s="1"/>
      <c r="W583" s="1"/>
      <c r="X583" s="1"/>
      <c r="Y583" s="1"/>
      <c r="Z583" s="1"/>
      <c r="AA583" s="1"/>
      <c r="AB583" s="1"/>
    </row>
    <row r="584" spans="2:28" ht="11.25" customHeight="1" x14ac:dyDescent="0.25">
      <c r="B584" s="16"/>
      <c r="C584" s="1"/>
      <c r="D584" s="1"/>
      <c r="E584" s="1"/>
      <c r="F584" s="1"/>
      <c r="G584" s="22"/>
      <c r="H584" s="1"/>
      <c r="I584" s="1"/>
      <c r="J584" s="1"/>
      <c r="K584" s="1"/>
      <c r="L584" s="1"/>
      <c r="M584" s="262"/>
      <c r="N584" s="1"/>
      <c r="O584" s="1"/>
      <c r="P584" s="1"/>
      <c r="Q584" s="1"/>
      <c r="R584" s="1"/>
      <c r="S584" s="1"/>
      <c r="T584" s="1"/>
      <c r="U584" s="1"/>
      <c r="V584" s="1"/>
      <c r="W584" s="1"/>
      <c r="X584" s="1"/>
      <c r="Y584" s="1"/>
      <c r="Z584" s="1"/>
      <c r="AA584" s="1"/>
      <c r="AB584" s="1"/>
    </row>
    <row r="585" spans="2:28" ht="11.25" customHeight="1" x14ac:dyDescent="0.25">
      <c r="B585" s="16"/>
      <c r="C585" s="1"/>
      <c r="D585" s="1"/>
      <c r="E585" s="1"/>
      <c r="F585" s="1"/>
      <c r="G585" s="22"/>
      <c r="H585" s="1"/>
      <c r="I585" s="1"/>
      <c r="J585" s="1"/>
      <c r="K585" s="1"/>
      <c r="L585" s="1"/>
      <c r="M585" s="262"/>
      <c r="N585" s="1"/>
      <c r="O585" s="1"/>
      <c r="P585" s="1"/>
      <c r="Q585" s="1"/>
      <c r="R585" s="1"/>
      <c r="S585" s="1"/>
      <c r="T585" s="1"/>
      <c r="U585" s="1"/>
      <c r="V585" s="1"/>
      <c r="W585" s="1"/>
      <c r="X585" s="1"/>
      <c r="Y585" s="1"/>
      <c r="Z585" s="1"/>
      <c r="AA585" s="1"/>
      <c r="AB585" s="1"/>
    </row>
    <row r="586" spans="2:28" ht="11.25" customHeight="1" x14ac:dyDescent="0.25">
      <c r="B586" s="16"/>
      <c r="C586" s="1"/>
      <c r="D586" s="1"/>
      <c r="E586" s="1"/>
      <c r="F586" s="1"/>
      <c r="G586" s="22"/>
      <c r="H586" s="1"/>
      <c r="I586" s="1"/>
      <c r="J586" s="1"/>
      <c r="K586" s="1"/>
      <c r="L586" s="1"/>
      <c r="M586" s="262"/>
      <c r="N586" s="1"/>
      <c r="O586" s="1"/>
      <c r="P586" s="1"/>
      <c r="Q586" s="1"/>
      <c r="R586" s="1"/>
      <c r="S586" s="1"/>
      <c r="T586" s="1"/>
      <c r="U586" s="1"/>
      <c r="V586" s="1"/>
      <c r="W586" s="1"/>
      <c r="X586" s="1"/>
      <c r="Y586" s="1"/>
      <c r="Z586" s="1"/>
      <c r="AA586" s="1"/>
      <c r="AB586" s="1"/>
    </row>
    <row r="587" spans="2:28" ht="11.25" customHeight="1" x14ac:dyDescent="0.25">
      <c r="B587" s="16"/>
      <c r="C587" s="1"/>
      <c r="D587" s="1"/>
      <c r="E587" s="1"/>
      <c r="F587" s="1"/>
      <c r="G587" s="22"/>
      <c r="H587" s="1"/>
      <c r="I587" s="1"/>
      <c r="J587" s="1"/>
      <c r="K587" s="1"/>
      <c r="L587" s="1"/>
      <c r="M587" s="262"/>
      <c r="N587" s="1"/>
      <c r="O587" s="1"/>
      <c r="P587" s="1"/>
      <c r="Q587" s="1"/>
      <c r="R587" s="1"/>
      <c r="S587" s="1"/>
      <c r="T587" s="1"/>
      <c r="U587" s="1"/>
      <c r="V587" s="1"/>
      <c r="W587" s="1"/>
      <c r="X587" s="1"/>
      <c r="Y587" s="1"/>
      <c r="Z587" s="1"/>
      <c r="AA587" s="1"/>
      <c r="AB587" s="1"/>
    </row>
    <row r="588" spans="2:28" ht="11.25" customHeight="1" x14ac:dyDescent="0.25">
      <c r="B588" s="16"/>
      <c r="C588" s="1"/>
      <c r="D588" s="1"/>
      <c r="E588" s="1"/>
      <c r="F588" s="1"/>
      <c r="G588" s="22"/>
      <c r="H588" s="1"/>
      <c r="I588" s="1"/>
      <c r="J588" s="1"/>
      <c r="K588" s="1"/>
      <c r="L588" s="1"/>
      <c r="M588" s="262"/>
      <c r="N588" s="1"/>
      <c r="O588" s="1"/>
      <c r="P588" s="1"/>
      <c r="Q588" s="1"/>
      <c r="R588" s="1"/>
      <c r="S588" s="1"/>
      <c r="T588" s="1"/>
      <c r="U588" s="1"/>
      <c r="V588" s="1"/>
      <c r="W588" s="1"/>
      <c r="X588" s="1"/>
      <c r="Y588" s="1"/>
      <c r="Z588" s="1"/>
      <c r="AA588" s="1"/>
      <c r="AB588" s="1"/>
    </row>
    <row r="589" spans="2:28" ht="11.25" customHeight="1" x14ac:dyDescent="0.25">
      <c r="B589" s="16"/>
      <c r="C589" s="1"/>
      <c r="D589" s="1"/>
      <c r="E589" s="1"/>
      <c r="F589" s="1"/>
      <c r="G589" s="22"/>
      <c r="H589" s="1"/>
      <c r="I589" s="1"/>
      <c r="J589" s="1"/>
      <c r="K589" s="1"/>
      <c r="L589" s="1"/>
      <c r="M589" s="262"/>
      <c r="N589" s="1"/>
      <c r="O589" s="1"/>
      <c r="P589" s="1"/>
      <c r="Q589" s="1"/>
      <c r="R589" s="1"/>
      <c r="S589" s="1"/>
      <c r="T589" s="1"/>
      <c r="U589" s="1"/>
      <c r="V589" s="1"/>
      <c r="W589" s="1"/>
      <c r="X589" s="1"/>
      <c r="Y589" s="1"/>
      <c r="Z589" s="1"/>
      <c r="AA589" s="1"/>
      <c r="AB589" s="1"/>
    </row>
    <row r="590" spans="2:28" ht="11.25" customHeight="1" x14ac:dyDescent="0.25">
      <c r="B590" s="16"/>
      <c r="C590" s="1"/>
      <c r="D590" s="1"/>
      <c r="E590" s="1"/>
      <c r="F590" s="1"/>
      <c r="G590" s="22"/>
      <c r="H590" s="1"/>
      <c r="I590" s="1"/>
      <c r="J590" s="1"/>
      <c r="K590" s="1"/>
      <c r="L590" s="1"/>
      <c r="M590" s="262"/>
      <c r="N590" s="1"/>
      <c r="O590" s="1"/>
      <c r="P590" s="1"/>
      <c r="Q590" s="1"/>
      <c r="R590" s="1"/>
      <c r="S590" s="1"/>
      <c r="T590" s="1"/>
      <c r="U590" s="1"/>
      <c r="V590" s="1"/>
      <c r="W590" s="1"/>
      <c r="X590" s="1"/>
      <c r="Y590" s="1"/>
      <c r="Z590" s="1"/>
      <c r="AA590" s="1"/>
      <c r="AB590" s="1"/>
    </row>
    <row r="591" spans="2:28" ht="11.25" customHeight="1" x14ac:dyDescent="0.25">
      <c r="B591" s="16"/>
      <c r="C591" s="1"/>
      <c r="D591" s="1"/>
      <c r="E591" s="1"/>
      <c r="F591" s="1"/>
      <c r="G591" s="22"/>
      <c r="H591" s="1"/>
      <c r="I591" s="1"/>
      <c r="J591" s="1"/>
      <c r="K591" s="1"/>
      <c r="L591" s="1"/>
      <c r="M591" s="262"/>
      <c r="N591" s="1"/>
      <c r="O591" s="1"/>
      <c r="P591" s="1"/>
      <c r="Q591" s="1"/>
      <c r="R591" s="1"/>
      <c r="S591" s="1"/>
      <c r="T591" s="1"/>
      <c r="U591" s="1"/>
      <c r="V591" s="1"/>
      <c r="W591" s="1"/>
      <c r="X591" s="1"/>
      <c r="Y591" s="1"/>
      <c r="Z591" s="1"/>
      <c r="AA591" s="1"/>
      <c r="AB591" s="1"/>
    </row>
    <row r="592" spans="2:28" ht="11.25" customHeight="1" x14ac:dyDescent="0.25">
      <c r="B592" s="16"/>
      <c r="C592" s="1"/>
      <c r="D592" s="1"/>
      <c r="E592" s="1"/>
      <c r="F592" s="1"/>
      <c r="G592" s="22"/>
      <c r="H592" s="1"/>
      <c r="I592" s="1"/>
      <c r="J592" s="1"/>
      <c r="K592" s="1"/>
      <c r="L592" s="1"/>
      <c r="M592" s="262"/>
      <c r="N592" s="1"/>
      <c r="O592" s="1"/>
      <c r="P592" s="1"/>
      <c r="Q592" s="1"/>
      <c r="R592" s="1"/>
      <c r="S592" s="1"/>
      <c r="T592" s="1"/>
      <c r="U592" s="1"/>
      <c r="V592" s="1"/>
      <c r="W592" s="1"/>
      <c r="X592" s="1"/>
      <c r="Y592" s="1"/>
      <c r="Z592" s="1"/>
      <c r="AA592" s="1"/>
      <c r="AB592" s="1"/>
    </row>
    <row r="593" spans="2:28" ht="11.25" customHeight="1" x14ac:dyDescent="0.25">
      <c r="B593" s="16"/>
      <c r="C593" s="1"/>
      <c r="D593" s="1"/>
      <c r="E593" s="1"/>
      <c r="F593" s="1"/>
      <c r="G593" s="22"/>
      <c r="H593" s="1"/>
      <c r="I593" s="1"/>
      <c r="J593" s="1"/>
      <c r="K593" s="1"/>
      <c r="L593" s="1"/>
      <c r="M593" s="262"/>
      <c r="N593" s="1"/>
      <c r="O593" s="1"/>
      <c r="P593" s="1"/>
      <c r="Q593" s="1"/>
      <c r="R593" s="1"/>
      <c r="S593" s="1"/>
      <c r="T593" s="1"/>
      <c r="U593" s="1"/>
      <c r="V593" s="1"/>
      <c r="W593" s="1"/>
      <c r="X593" s="1"/>
      <c r="Y593" s="1"/>
      <c r="Z593" s="1"/>
      <c r="AA593" s="1"/>
      <c r="AB593" s="1"/>
    </row>
    <row r="594" spans="2:28" ht="11.25" customHeight="1" x14ac:dyDescent="0.25">
      <c r="B594" s="16"/>
      <c r="C594" s="1"/>
      <c r="D594" s="1"/>
      <c r="E594" s="1"/>
      <c r="F594" s="1"/>
      <c r="G594" s="22"/>
      <c r="H594" s="1"/>
      <c r="I594" s="1"/>
      <c r="J594" s="1"/>
      <c r="K594" s="1"/>
      <c r="L594" s="1"/>
      <c r="M594" s="262"/>
      <c r="N594" s="1"/>
      <c r="O594" s="1"/>
      <c r="P594" s="1"/>
      <c r="Q594" s="1"/>
      <c r="R594" s="1"/>
      <c r="S594" s="1"/>
      <c r="T594" s="1"/>
      <c r="U594" s="1"/>
      <c r="V594" s="1"/>
      <c r="W594" s="1"/>
      <c r="X594" s="1"/>
      <c r="Y594" s="1"/>
      <c r="Z594" s="1"/>
      <c r="AA594" s="1"/>
      <c r="AB594" s="1"/>
    </row>
    <row r="595" spans="2:28" ht="11.25" customHeight="1" x14ac:dyDescent="0.25">
      <c r="B595" s="16"/>
      <c r="C595" s="1"/>
      <c r="D595" s="1"/>
      <c r="E595" s="1"/>
      <c r="F595" s="1"/>
      <c r="G595" s="22"/>
      <c r="H595" s="1"/>
      <c r="I595" s="1"/>
      <c r="J595" s="1"/>
      <c r="K595" s="1"/>
      <c r="L595" s="1"/>
      <c r="M595" s="262"/>
      <c r="N595" s="1"/>
      <c r="O595" s="1"/>
      <c r="P595" s="1"/>
      <c r="Q595" s="1"/>
      <c r="R595" s="1"/>
      <c r="S595" s="1"/>
      <c r="T595" s="1"/>
      <c r="U595" s="1"/>
      <c r="V595" s="1"/>
      <c r="W595" s="1"/>
      <c r="X595" s="1"/>
      <c r="Y595" s="1"/>
      <c r="Z595" s="1"/>
      <c r="AA595" s="1"/>
      <c r="AB595" s="1"/>
    </row>
    <row r="596" spans="2:28" ht="11.25" customHeight="1" x14ac:dyDescent="0.25">
      <c r="B596" s="16"/>
      <c r="C596" s="1"/>
      <c r="D596" s="1"/>
      <c r="E596" s="1"/>
      <c r="F596" s="1"/>
      <c r="G596" s="22"/>
      <c r="H596" s="1"/>
      <c r="I596" s="1"/>
      <c r="J596" s="1"/>
      <c r="K596" s="1"/>
      <c r="L596" s="1"/>
      <c r="M596" s="262"/>
      <c r="N596" s="1"/>
      <c r="O596" s="1"/>
      <c r="P596" s="1"/>
      <c r="Q596" s="1"/>
      <c r="R596" s="1"/>
      <c r="S596" s="1"/>
      <c r="T596" s="1"/>
      <c r="U596" s="1"/>
      <c r="V596" s="1"/>
      <c r="W596" s="1"/>
      <c r="X596" s="1"/>
      <c r="Y596" s="1"/>
      <c r="Z596" s="1"/>
      <c r="AA596" s="1"/>
      <c r="AB596" s="1"/>
    </row>
    <row r="597" spans="2:28" ht="11.25" customHeight="1" x14ac:dyDescent="0.25">
      <c r="B597" s="16"/>
      <c r="C597" s="1"/>
      <c r="D597" s="1"/>
      <c r="E597" s="1"/>
      <c r="F597" s="1"/>
      <c r="G597" s="22"/>
      <c r="H597" s="1"/>
      <c r="I597" s="1"/>
      <c r="J597" s="1"/>
      <c r="K597" s="1"/>
      <c r="L597" s="1"/>
      <c r="M597" s="262"/>
      <c r="N597" s="1"/>
      <c r="O597" s="1"/>
      <c r="P597" s="1"/>
      <c r="Q597" s="1"/>
      <c r="R597" s="1"/>
      <c r="S597" s="1"/>
      <c r="T597" s="1"/>
      <c r="U597" s="1"/>
      <c r="V597" s="1"/>
      <c r="W597" s="1"/>
      <c r="X597" s="1"/>
      <c r="Y597" s="1"/>
      <c r="Z597" s="1"/>
      <c r="AA597" s="1"/>
      <c r="AB597" s="1"/>
    </row>
    <row r="598" spans="2:28" ht="11.25" customHeight="1" x14ac:dyDescent="0.25">
      <c r="B598" s="16"/>
      <c r="C598" s="1"/>
      <c r="D598" s="1"/>
      <c r="E598" s="1"/>
      <c r="F598" s="1"/>
      <c r="G598" s="22"/>
      <c r="H598" s="1"/>
      <c r="I598" s="1"/>
      <c r="J598" s="1"/>
      <c r="K598" s="1"/>
      <c r="L598" s="1"/>
      <c r="M598" s="262"/>
      <c r="N598" s="1"/>
      <c r="O598" s="1"/>
      <c r="P598" s="1"/>
      <c r="Q598" s="1"/>
      <c r="R598" s="1"/>
      <c r="S598" s="1"/>
      <c r="T598" s="1"/>
      <c r="U598" s="1"/>
      <c r="V598" s="1"/>
      <c r="W598" s="1"/>
      <c r="X598" s="1"/>
      <c r="Y598" s="1"/>
      <c r="Z598" s="1"/>
      <c r="AA598" s="1"/>
      <c r="AB598" s="1"/>
    </row>
    <row r="599" spans="2:28" ht="11.25" customHeight="1" x14ac:dyDescent="0.25">
      <c r="B599" s="16"/>
      <c r="C599" s="1"/>
      <c r="D599" s="1"/>
      <c r="E599" s="1"/>
      <c r="F599" s="1"/>
      <c r="G599" s="22"/>
      <c r="H599" s="1"/>
      <c r="I599" s="1"/>
      <c r="J599" s="1"/>
      <c r="K599" s="1"/>
      <c r="L599" s="1"/>
      <c r="M599" s="262"/>
      <c r="N599" s="1"/>
      <c r="O599" s="1"/>
      <c r="P599" s="1"/>
      <c r="Q599" s="1"/>
      <c r="R599" s="1"/>
      <c r="S599" s="1"/>
      <c r="T599" s="1"/>
      <c r="U599" s="1"/>
      <c r="V599" s="1"/>
      <c r="W599" s="1"/>
      <c r="X599" s="1"/>
      <c r="Y599" s="1"/>
      <c r="Z599" s="1"/>
      <c r="AA599" s="1"/>
      <c r="AB599" s="1"/>
    </row>
    <row r="600" spans="2:28" ht="11.25" customHeight="1" x14ac:dyDescent="0.25">
      <c r="B600" s="16"/>
      <c r="C600" s="1"/>
      <c r="D600" s="1"/>
      <c r="E600" s="1"/>
      <c r="F600" s="1"/>
      <c r="G600" s="22"/>
      <c r="H600" s="1"/>
      <c r="I600" s="1"/>
      <c r="J600" s="1"/>
      <c r="K600" s="1"/>
      <c r="L600" s="1"/>
      <c r="M600" s="262"/>
      <c r="N600" s="1"/>
      <c r="O600" s="1"/>
      <c r="P600" s="1"/>
      <c r="Q600" s="1"/>
      <c r="R600" s="1"/>
      <c r="S600" s="1"/>
      <c r="T600" s="1"/>
      <c r="U600" s="1"/>
      <c r="V600" s="1"/>
      <c r="W600" s="1"/>
      <c r="X600" s="1"/>
      <c r="Y600" s="1"/>
      <c r="Z600" s="1"/>
      <c r="AA600" s="1"/>
      <c r="AB600" s="1"/>
    </row>
    <row r="601" spans="2:28" ht="11.25" customHeight="1" x14ac:dyDescent="0.25">
      <c r="B601" s="16"/>
      <c r="C601" s="1"/>
      <c r="D601" s="1"/>
      <c r="E601" s="1"/>
      <c r="F601" s="1"/>
      <c r="G601" s="22"/>
      <c r="H601" s="1"/>
      <c r="I601" s="1"/>
      <c r="J601" s="1"/>
      <c r="K601" s="1"/>
      <c r="L601" s="1"/>
      <c r="M601" s="262"/>
      <c r="N601" s="1"/>
      <c r="O601" s="1"/>
      <c r="P601" s="1"/>
      <c r="Q601" s="1"/>
      <c r="R601" s="1"/>
      <c r="S601" s="1"/>
      <c r="T601" s="1"/>
      <c r="U601" s="1"/>
      <c r="V601" s="1"/>
      <c r="W601" s="1"/>
      <c r="X601" s="1"/>
      <c r="Y601" s="1"/>
      <c r="Z601" s="1"/>
      <c r="AA601" s="1"/>
      <c r="AB601" s="1"/>
    </row>
    <row r="602" spans="2:28" ht="11.25" customHeight="1" x14ac:dyDescent="0.25">
      <c r="B602" s="16"/>
      <c r="C602" s="1"/>
      <c r="D602" s="1"/>
      <c r="E602" s="1"/>
      <c r="F602" s="1"/>
      <c r="G602" s="22"/>
      <c r="H602" s="1"/>
      <c r="I602" s="1"/>
      <c r="J602" s="1"/>
      <c r="K602" s="1"/>
      <c r="L602" s="1"/>
      <c r="M602" s="262"/>
      <c r="N602" s="1"/>
      <c r="O602" s="1"/>
      <c r="P602" s="1"/>
      <c r="Q602" s="1"/>
      <c r="R602" s="1"/>
      <c r="S602" s="1"/>
      <c r="T602" s="1"/>
      <c r="U602" s="1"/>
      <c r="V602" s="1"/>
      <c r="W602" s="1"/>
      <c r="X602" s="1"/>
      <c r="Y602" s="1"/>
      <c r="Z602" s="1"/>
      <c r="AA602" s="1"/>
      <c r="AB602" s="1"/>
    </row>
    <row r="603" spans="2:28" ht="11.25" customHeight="1" x14ac:dyDescent="0.25">
      <c r="B603" s="16"/>
      <c r="C603" s="1"/>
      <c r="D603" s="1"/>
      <c r="E603" s="1"/>
      <c r="F603" s="1"/>
      <c r="G603" s="22"/>
      <c r="H603" s="1"/>
      <c r="I603" s="1"/>
      <c r="J603" s="1"/>
      <c r="K603" s="1"/>
      <c r="L603" s="1"/>
      <c r="M603" s="262"/>
      <c r="N603" s="1"/>
      <c r="O603" s="1"/>
      <c r="P603" s="1"/>
      <c r="Q603" s="1"/>
      <c r="R603" s="1"/>
      <c r="S603" s="1"/>
      <c r="T603" s="1"/>
      <c r="U603" s="1"/>
      <c r="V603" s="1"/>
      <c r="W603" s="1"/>
      <c r="X603" s="1"/>
      <c r="Y603" s="1"/>
      <c r="Z603" s="1"/>
      <c r="AA603" s="1"/>
      <c r="AB603" s="1"/>
    </row>
    <row r="604" spans="2:28" ht="11.25" customHeight="1" x14ac:dyDescent="0.25">
      <c r="B604" s="16"/>
      <c r="C604" s="1"/>
      <c r="D604" s="1"/>
      <c r="E604" s="1"/>
      <c r="F604" s="1"/>
      <c r="G604" s="22"/>
      <c r="H604" s="1"/>
      <c r="I604" s="1"/>
      <c r="J604" s="1"/>
      <c r="K604" s="1"/>
      <c r="L604" s="1"/>
      <c r="M604" s="262"/>
      <c r="N604" s="1"/>
      <c r="O604" s="1"/>
      <c r="P604" s="1"/>
      <c r="Q604" s="1"/>
      <c r="R604" s="1"/>
      <c r="S604" s="1"/>
      <c r="T604" s="1"/>
      <c r="U604" s="1"/>
      <c r="V604" s="1"/>
      <c r="W604" s="1"/>
      <c r="X604" s="1"/>
      <c r="Y604" s="1"/>
      <c r="Z604" s="1"/>
      <c r="AA604" s="1"/>
      <c r="AB604" s="1"/>
    </row>
    <row r="605" spans="2:28" ht="11.25" customHeight="1" x14ac:dyDescent="0.25">
      <c r="B605" s="16"/>
      <c r="C605" s="1"/>
      <c r="D605" s="1"/>
      <c r="E605" s="1"/>
      <c r="F605" s="1"/>
      <c r="G605" s="22"/>
      <c r="H605" s="1"/>
      <c r="I605" s="1"/>
      <c r="J605" s="1"/>
      <c r="K605" s="1"/>
      <c r="L605" s="1"/>
      <c r="M605" s="262"/>
      <c r="N605" s="1"/>
      <c r="O605" s="1"/>
      <c r="P605" s="1"/>
      <c r="Q605" s="1"/>
      <c r="R605" s="1"/>
      <c r="S605" s="1"/>
      <c r="T605" s="1"/>
      <c r="U605" s="1"/>
      <c r="V605" s="1"/>
      <c r="W605" s="1"/>
      <c r="X605" s="1"/>
      <c r="Y605" s="1"/>
      <c r="Z605" s="1"/>
      <c r="AA605" s="1"/>
      <c r="AB605" s="1"/>
    </row>
    <row r="606" spans="2:28" ht="11.25" customHeight="1" x14ac:dyDescent="0.25">
      <c r="B606" s="16"/>
      <c r="C606" s="1"/>
      <c r="D606" s="1"/>
      <c r="E606" s="1"/>
      <c r="F606" s="1"/>
      <c r="G606" s="22"/>
      <c r="H606" s="1"/>
      <c r="I606" s="1"/>
      <c r="J606" s="1"/>
      <c r="K606" s="1"/>
      <c r="L606" s="1"/>
      <c r="M606" s="262"/>
      <c r="N606" s="1"/>
      <c r="O606" s="1"/>
      <c r="P606" s="1"/>
      <c r="Q606" s="1"/>
      <c r="R606" s="1"/>
      <c r="S606" s="1"/>
      <c r="T606" s="1"/>
      <c r="U606" s="1"/>
      <c r="V606" s="1"/>
      <c r="W606" s="1"/>
      <c r="X606" s="1"/>
      <c r="Y606" s="1"/>
      <c r="Z606" s="1"/>
      <c r="AA606" s="1"/>
      <c r="AB606" s="1"/>
    </row>
    <row r="607" spans="2:28" ht="11.25" customHeight="1" x14ac:dyDescent="0.25">
      <c r="B607" s="16"/>
      <c r="C607" s="1"/>
      <c r="D607" s="1"/>
      <c r="E607" s="1"/>
      <c r="F607" s="1"/>
      <c r="G607" s="22"/>
      <c r="H607" s="1"/>
      <c r="I607" s="1"/>
      <c r="J607" s="1"/>
      <c r="K607" s="1"/>
      <c r="L607" s="1"/>
      <c r="M607" s="262"/>
      <c r="N607" s="1"/>
      <c r="O607" s="1"/>
      <c r="P607" s="1"/>
      <c r="Q607" s="1"/>
      <c r="R607" s="1"/>
      <c r="S607" s="1"/>
      <c r="T607" s="1"/>
      <c r="U607" s="1"/>
      <c r="V607" s="1"/>
      <c r="W607" s="1"/>
      <c r="X607" s="1"/>
      <c r="Y607" s="1"/>
      <c r="Z607" s="1"/>
      <c r="AA607" s="1"/>
      <c r="AB607" s="1"/>
    </row>
    <row r="608" spans="2:28" ht="11.25" customHeight="1" x14ac:dyDescent="0.25">
      <c r="B608" s="16"/>
      <c r="C608" s="1"/>
      <c r="D608" s="1"/>
      <c r="E608" s="1"/>
      <c r="F608" s="1"/>
      <c r="G608" s="22"/>
      <c r="H608" s="1"/>
      <c r="I608" s="1"/>
      <c r="J608" s="1"/>
      <c r="K608" s="1"/>
      <c r="L608" s="1"/>
      <c r="M608" s="262"/>
      <c r="N608" s="1"/>
      <c r="O608" s="1"/>
      <c r="P608" s="1"/>
      <c r="Q608" s="1"/>
      <c r="R608" s="1"/>
      <c r="S608" s="1"/>
      <c r="T608" s="1"/>
      <c r="U608" s="1"/>
      <c r="V608" s="1"/>
      <c r="W608" s="1"/>
      <c r="X608" s="1"/>
      <c r="Y608" s="1"/>
      <c r="Z608" s="1"/>
      <c r="AA608" s="1"/>
      <c r="AB608" s="1"/>
    </row>
    <row r="609" spans="2:28" ht="11.25" customHeight="1" x14ac:dyDescent="0.25">
      <c r="B609" s="16"/>
      <c r="C609" s="1"/>
      <c r="D609" s="1"/>
      <c r="E609" s="1"/>
      <c r="F609" s="1"/>
      <c r="G609" s="22"/>
      <c r="H609" s="1"/>
      <c r="I609" s="1"/>
      <c r="J609" s="1"/>
      <c r="K609" s="1"/>
      <c r="L609" s="1"/>
      <c r="M609" s="262"/>
      <c r="N609" s="1"/>
      <c r="O609" s="1"/>
      <c r="P609" s="1"/>
      <c r="Q609" s="1"/>
      <c r="R609" s="1"/>
      <c r="S609" s="1"/>
      <c r="T609" s="1"/>
      <c r="U609" s="1"/>
      <c r="V609" s="1"/>
      <c r="W609" s="1"/>
      <c r="X609" s="1"/>
      <c r="Y609" s="1"/>
      <c r="Z609" s="1"/>
      <c r="AA609" s="1"/>
      <c r="AB609" s="1"/>
    </row>
    <row r="610" spans="2:28" ht="11.25" customHeight="1" x14ac:dyDescent="0.25">
      <c r="B610" s="16"/>
      <c r="C610" s="1"/>
      <c r="D610" s="1"/>
      <c r="E610" s="1"/>
      <c r="F610" s="1"/>
      <c r="G610" s="22"/>
      <c r="H610" s="1"/>
      <c r="I610" s="1"/>
      <c r="J610" s="1"/>
      <c r="K610" s="1"/>
      <c r="L610" s="1"/>
      <c r="M610" s="262"/>
      <c r="N610" s="1"/>
      <c r="O610" s="1"/>
      <c r="P610" s="1"/>
      <c r="Q610" s="1"/>
      <c r="R610" s="1"/>
      <c r="S610" s="1"/>
      <c r="T610" s="1"/>
      <c r="U610" s="1"/>
      <c r="V610" s="1"/>
      <c r="W610" s="1"/>
      <c r="X610" s="1"/>
      <c r="Y610" s="1"/>
      <c r="Z610" s="1"/>
      <c r="AA610" s="1"/>
      <c r="AB610" s="1"/>
    </row>
    <row r="611" spans="2:28" ht="11.25" customHeight="1" x14ac:dyDescent="0.25">
      <c r="B611" s="16"/>
      <c r="C611" s="1"/>
      <c r="D611" s="1"/>
      <c r="E611" s="1"/>
      <c r="F611" s="1"/>
      <c r="G611" s="22"/>
      <c r="H611" s="1"/>
      <c r="I611" s="1"/>
      <c r="J611" s="1"/>
      <c r="K611" s="1"/>
      <c r="L611" s="1"/>
      <c r="M611" s="262"/>
      <c r="N611" s="1"/>
      <c r="O611" s="1"/>
      <c r="P611" s="1"/>
      <c r="Q611" s="1"/>
      <c r="R611" s="1"/>
      <c r="S611" s="1"/>
      <c r="T611" s="1"/>
      <c r="U611" s="1"/>
      <c r="V611" s="1"/>
      <c r="W611" s="1"/>
      <c r="X611" s="1"/>
      <c r="Y611" s="1"/>
      <c r="Z611" s="1"/>
      <c r="AA611" s="1"/>
      <c r="AB611" s="1"/>
    </row>
    <row r="612" spans="2:28" ht="11.25" customHeight="1" x14ac:dyDescent="0.25">
      <c r="B612" s="16"/>
      <c r="C612" s="1"/>
      <c r="D612" s="1"/>
      <c r="E612" s="1"/>
      <c r="F612" s="1"/>
      <c r="G612" s="22"/>
      <c r="H612" s="1"/>
      <c r="I612" s="1"/>
      <c r="J612" s="1"/>
      <c r="K612" s="1"/>
      <c r="L612" s="1"/>
      <c r="M612" s="262"/>
      <c r="N612" s="1"/>
      <c r="O612" s="1"/>
      <c r="P612" s="1"/>
      <c r="Q612" s="1"/>
      <c r="R612" s="1"/>
      <c r="S612" s="1"/>
      <c r="T612" s="1"/>
      <c r="U612" s="1"/>
      <c r="V612" s="1"/>
      <c r="W612" s="1"/>
      <c r="X612" s="1"/>
      <c r="Y612" s="1"/>
      <c r="Z612" s="1"/>
      <c r="AA612" s="1"/>
      <c r="AB612" s="1"/>
    </row>
    <row r="613" spans="2:28" ht="11.25" customHeight="1" x14ac:dyDescent="0.25">
      <c r="B613" s="16"/>
      <c r="C613" s="1"/>
      <c r="D613" s="1"/>
      <c r="E613" s="1"/>
      <c r="F613" s="1"/>
      <c r="G613" s="22"/>
      <c r="H613" s="1"/>
      <c r="I613" s="1"/>
      <c r="J613" s="1"/>
      <c r="K613" s="1"/>
      <c r="L613" s="1"/>
      <c r="M613" s="262"/>
      <c r="N613" s="1"/>
      <c r="O613" s="1"/>
      <c r="P613" s="1"/>
      <c r="Q613" s="1"/>
      <c r="R613" s="1"/>
      <c r="S613" s="1"/>
      <c r="T613" s="1"/>
      <c r="U613" s="1"/>
      <c r="V613" s="1"/>
      <c r="W613" s="1"/>
      <c r="X613" s="1"/>
      <c r="Y613" s="1"/>
      <c r="Z613" s="1"/>
      <c r="AA613" s="1"/>
      <c r="AB613" s="1"/>
    </row>
    <row r="614" spans="2:28" ht="11.25" customHeight="1" x14ac:dyDescent="0.25">
      <c r="B614" s="16"/>
      <c r="C614" s="1"/>
      <c r="D614" s="1"/>
      <c r="E614" s="1"/>
      <c r="F614" s="1"/>
      <c r="G614" s="22"/>
      <c r="H614" s="1"/>
      <c r="I614" s="1"/>
      <c r="J614" s="1"/>
      <c r="K614" s="1"/>
      <c r="L614" s="1"/>
      <c r="M614" s="262"/>
      <c r="N614" s="1"/>
      <c r="O614" s="1"/>
      <c r="P614" s="1"/>
      <c r="Q614" s="1"/>
      <c r="R614" s="1"/>
      <c r="S614" s="1"/>
      <c r="T614" s="1"/>
      <c r="U614" s="1"/>
      <c r="V614" s="1"/>
      <c r="W614" s="1"/>
      <c r="X614" s="1"/>
      <c r="Y614" s="1"/>
      <c r="Z614" s="1"/>
      <c r="AA614" s="1"/>
      <c r="AB614" s="1"/>
    </row>
    <row r="615" spans="2:28" ht="11.25" customHeight="1" x14ac:dyDescent="0.25">
      <c r="B615" s="16"/>
      <c r="C615" s="1"/>
      <c r="D615" s="1"/>
      <c r="E615" s="1"/>
      <c r="F615" s="1"/>
      <c r="G615" s="22"/>
      <c r="H615" s="1"/>
      <c r="I615" s="1"/>
      <c r="J615" s="1"/>
      <c r="K615" s="1"/>
      <c r="L615" s="1"/>
      <c r="M615" s="262"/>
      <c r="N615" s="1"/>
      <c r="O615" s="1"/>
      <c r="P615" s="1"/>
      <c r="Q615" s="1"/>
      <c r="R615" s="1"/>
      <c r="S615" s="1"/>
      <c r="T615" s="1"/>
      <c r="U615" s="1"/>
      <c r="V615" s="1"/>
      <c r="W615" s="1"/>
      <c r="X615" s="1"/>
      <c r="Y615" s="1"/>
      <c r="Z615" s="1"/>
      <c r="AA615" s="1"/>
      <c r="AB615" s="1"/>
    </row>
    <row r="616" spans="2:28" ht="11.25" customHeight="1" x14ac:dyDescent="0.25">
      <c r="B616" s="16"/>
      <c r="C616" s="1"/>
      <c r="D616" s="1"/>
      <c r="E616" s="1"/>
      <c r="F616" s="1"/>
      <c r="G616" s="22"/>
      <c r="H616" s="1"/>
      <c r="I616" s="1"/>
      <c r="J616" s="1"/>
      <c r="K616" s="1"/>
      <c r="L616" s="1"/>
      <c r="M616" s="262"/>
      <c r="N616" s="1"/>
      <c r="O616" s="1"/>
      <c r="P616" s="1"/>
      <c r="Q616" s="1"/>
      <c r="R616" s="1"/>
      <c r="S616" s="1"/>
      <c r="T616" s="1"/>
      <c r="U616" s="1"/>
      <c r="V616" s="1"/>
      <c r="W616" s="1"/>
      <c r="X616" s="1"/>
      <c r="Y616" s="1"/>
      <c r="Z616" s="1"/>
      <c r="AA616" s="1"/>
      <c r="AB616" s="1"/>
    </row>
    <row r="617" spans="2:28" ht="11.25" customHeight="1" x14ac:dyDescent="0.25">
      <c r="B617" s="16"/>
      <c r="C617" s="1"/>
      <c r="D617" s="1"/>
      <c r="E617" s="1"/>
      <c r="F617" s="1"/>
      <c r="G617" s="22"/>
      <c r="H617" s="1"/>
      <c r="I617" s="1"/>
      <c r="J617" s="1"/>
      <c r="K617" s="1"/>
      <c r="L617" s="1"/>
      <c r="M617" s="262"/>
      <c r="N617" s="1"/>
      <c r="O617" s="1"/>
      <c r="P617" s="1"/>
      <c r="Q617" s="1"/>
      <c r="R617" s="1"/>
      <c r="S617" s="1"/>
      <c r="T617" s="1"/>
      <c r="U617" s="1"/>
      <c r="V617" s="1"/>
      <c r="W617" s="1"/>
      <c r="X617" s="1"/>
      <c r="Y617" s="1"/>
      <c r="Z617" s="1"/>
      <c r="AA617" s="1"/>
      <c r="AB617" s="1"/>
    </row>
    <row r="618" spans="2:28" ht="11.25" customHeight="1" x14ac:dyDescent="0.25">
      <c r="B618" s="16"/>
      <c r="C618" s="1"/>
      <c r="D618" s="1"/>
      <c r="E618" s="1"/>
      <c r="F618" s="1"/>
      <c r="G618" s="22"/>
      <c r="H618" s="1"/>
      <c r="I618" s="1"/>
      <c r="J618" s="1"/>
      <c r="K618" s="1"/>
      <c r="L618" s="1"/>
      <c r="M618" s="262"/>
      <c r="N618" s="1"/>
      <c r="O618" s="1"/>
      <c r="P618" s="1"/>
      <c r="Q618" s="1"/>
      <c r="R618" s="1"/>
      <c r="S618" s="1"/>
      <c r="T618" s="1"/>
      <c r="U618" s="1"/>
      <c r="V618" s="1"/>
      <c r="W618" s="1"/>
      <c r="X618" s="1"/>
      <c r="Y618" s="1"/>
      <c r="Z618" s="1"/>
      <c r="AA618" s="1"/>
      <c r="AB618" s="1"/>
    </row>
    <row r="619" spans="2:28" ht="11.25" customHeight="1" x14ac:dyDescent="0.25">
      <c r="B619" s="16"/>
      <c r="C619" s="1"/>
      <c r="D619" s="1"/>
      <c r="E619" s="1"/>
      <c r="F619" s="1"/>
      <c r="G619" s="22"/>
      <c r="H619" s="1"/>
      <c r="I619" s="1"/>
      <c r="J619" s="1"/>
      <c r="K619" s="1"/>
      <c r="L619" s="1"/>
      <c r="M619" s="262"/>
      <c r="N619" s="1"/>
      <c r="O619" s="1"/>
      <c r="P619" s="1"/>
      <c r="Q619" s="1"/>
      <c r="R619" s="1"/>
      <c r="S619" s="1"/>
      <c r="T619" s="1"/>
      <c r="U619" s="1"/>
      <c r="V619" s="1"/>
      <c r="W619" s="1"/>
      <c r="X619" s="1"/>
      <c r="Y619" s="1"/>
      <c r="Z619" s="1"/>
      <c r="AA619" s="1"/>
      <c r="AB619" s="1"/>
    </row>
    <row r="620" spans="2:28" ht="11.25" customHeight="1" x14ac:dyDescent="0.25">
      <c r="B620" s="16"/>
      <c r="C620" s="1"/>
      <c r="D620" s="1"/>
      <c r="E620" s="1"/>
      <c r="F620" s="1"/>
      <c r="G620" s="22"/>
      <c r="H620" s="1"/>
      <c r="I620" s="1"/>
      <c r="J620" s="1"/>
      <c r="K620" s="1"/>
      <c r="L620" s="1"/>
      <c r="M620" s="262"/>
      <c r="N620" s="1"/>
      <c r="O620" s="1"/>
      <c r="P620" s="1"/>
      <c r="Q620" s="1"/>
      <c r="R620" s="1"/>
      <c r="S620" s="1"/>
      <c r="T620" s="1"/>
      <c r="U620" s="1"/>
      <c r="V620" s="1"/>
      <c r="W620" s="1"/>
      <c r="X620" s="1"/>
      <c r="Y620" s="1"/>
      <c r="Z620" s="1"/>
      <c r="AA620" s="1"/>
      <c r="AB620" s="1"/>
    </row>
    <row r="621" spans="2:28" ht="11.25" customHeight="1" x14ac:dyDescent="0.25">
      <c r="B621" s="16"/>
      <c r="C621" s="1"/>
      <c r="D621" s="1"/>
      <c r="E621" s="1"/>
      <c r="F621" s="1"/>
      <c r="G621" s="22"/>
      <c r="H621" s="1"/>
      <c r="I621" s="1"/>
      <c r="J621" s="1"/>
      <c r="K621" s="1"/>
      <c r="L621" s="1"/>
      <c r="M621" s="262"/>
      <c r="N621" s="1"/>
      <c r="O621" s="1"/>
      <c r="P621" s="1"/>
      <c r="Q621" s="1"/>
      <c r="R621" s="1"/>
      <c r="S621" s="1"/>
      <c r="T621" s="1"/>
      <c r="U621" s="1"/>
      <c r="V621" s="1"/>
      <c r="W621" s="1"/>
      <c r="X621" s="1"/>
      <c r="Y621" s="1"/>
      <c r="Z621" s="1"/>
      <c r="AA621" s="1"/>
      <c r="AB621" s="1"/>
    </row>
    <row r="622" spans="2:28" ht="11.25" customHeight="1" x14ac:dyDescent="0.25">
      <c r="B622" s="16"/>
      <c r="C622" s="1"/>
      <c r="D622" s="1"/>
      <c r="E622" s="1"/>
      <c r="F622" s="1"/>
      <c r="G622" s="22"/>
      <c r="H622" s="1"/>
      <c r="I622" s="1"/>
      <c r="J622" s="1"/>
      <c r="K622" s="1"/>
      <c r="L622" s="1"/>
      <c r="M622" s="262"/>
      <c r="N622" s="1"/>
      <c r="O622" s="1"/>
      <c r="P622" s="1"/>
      <c r="Q622" s="1"/>
      <c r="R622" s="1"/>
      <c r="S622" s="1"/>
      <c r="T622" s="1"/>
      <c r="U622" s="1"/>
      <c r="V622" s="1"/>
      <c r="W622" s="1"/>
      <c r="X622" s="1"/>
      <c r="Y622" s="1"/>
      <c r="Z622" s="1"/>
      <c r="AA622" s="1"/>
      <c r="AB622" s="1"/>
    </row>
    <row r="623" spans="2:28" ht="11.25" customHeight="1" x14ac:dyDescent="0.25">
      <c r="B623" s="16"/>
      <c r="C623" s="1"/>
      <c r="D623" s="1"/>
      <c r="E623" s="1"/>
      <c r="F623" s="1"/>
      <c r="G623" s="22"/>
      <c r="H623" s="1"/>
      <c r="I623" s="1"/>
      <c r="J623" s="1"/>
      <c r="K623" s="1"/>
      <c r="L623" s="1"/>
      <c r="M623" s="262"/>
      <c r="N623" s="1"/>
      <c r="O623" s="1"/>
      <c r="P623" s="1"/>
      <c r="Q623" s="1"/>
      <c r="R623" s="1"/>
      <c r="S623" s="1"/>
      <c r="T623" s="1"/>
      <c r="U623" s="1"/>
      <c r="V623" s="1"/>
      <c r="W623" s="1"/>
      <c r="X623" s="1"/>
      <c r="Y623" s="1"/>
      <c r="Z623" s="1"/>
      <c r="AA623" s="1"/>
      <c r="AB623" s="1"/>
    </row>
    <row r="624" spans="2:28" ht="11.25" customHeight="1" x14ac:dyDescent="0.25">
      <c r="B624" s="16"/>
      <c r="C624" s="1"/>
      <c r="D624" s="1"/>
      <c r="E624" s="1"/>
      <c r="F624" s="1"/>
      <c r="G624" s="22"/>
      <c r="H624" s="1"/>
      <c r="I624" s="1"/>
      <c r="J624" s="1"/>
      <c r="K624" s="1"/>
      <c r="L624" s="1"/>
      <c r="M624" s="262"/>
      <c r="N624" s="1"/>
      <c r="O624" s="1"/>
      <c r="P624" s="1"/>
      <c r="Q624" s="1"/>
      <c r="R624" s="1"/>
      <c r="S624" s="1"/>
      <c r="T624" s="1"/>
      <c r="U624" s="1"/>
      <c r="V624" s="1"/>
      <c r="W624" s="1"/>
      <c r="X624" s="1"/>
      <c r="Y624" s="1"/>
      <c r="Z624" s="1"/>
      <c r="AA624" s="1"/>
      <c r="AB624" s="1"/>
    </row>
    <row r="625" spans="2:28" ht="11.25" customHeight="1" x14ac:dyDescent="0.25">
      <c r="B625" s="16"/>
      <c r="C625" s="1"/>
      <c r="D625" s="1"/>
      <c r="E625" s="1"/>
      <c r="F625" s="1"/>
      <c r="G625" s="22"/>
      <c r="H625" s="1"/>
      <c r="I625" s="1"/>
      <c r="J625" s="1"/>
      <c r="K625" s="1"/>
      <c r="L625" s="1"/>
      <c r="M625" s="262"/>
      <c r="N625" s="1"/>
      <c r="O625" s="1"/>
      <c r="P625" s="1"/>
      <c r="Q625" s="1"/>
      <c r="R625" s="1"/>
      <c r="S625" s="1"/>
      <c r="T625" s="1"/>
      <c r="U625" s="1"/>
      <c r="V625" s="1"/>
      <c r="W625" s="1"/>
      <c r="X625" s="1"/>
      <c r="Y625" s="1"/>
      <c r="Z625" s="1"/>
      <c r="AA625" s="1"/>
      <c r="AB625" s="1"/>
    </row>
    <row r="626" spans="2:28" ht="11.25" customHeight="1" x14ac:dyDescent="0.25">
      <c r="B626" s="16"/>
      <c r="C626" s="1"/>
      <c r="D626" s="1"/>
      <c r="E626" s="1"/>
      <c r="F626" s="1"/>
      <c r="G626" s="22"/>
      <c r="H626" s="1"/>
      <c r="I626" s="1"/>
      <c r="J626" s="1"/>
      <c r="K626" s="1"/>
      <c r="L626" s="1"/>
      <c r="M626" s="262"/>
      <c r="N626" s="1"/>
      <c r="O626" s="1"/>
      <c r="P626" s="1"/>
      <c r="Q626" s="1"/>
      <c r="R626" s="1"/>
      <c r="S626" s="1"/>
      <c r="T626" s="1"/>
      <c r="U626" s="1"/>
      <c r="V626" s="1"/>
      <c r="W626" s="1"/>
      <c r="X626" s="1"/>
      <c r="Y626" s="1"/>
      <c r="Z626" s="1"/>
      <c r="AA626" s="1"/>
      <c r="AB626" s="1"/>
    </row>
    <row r="627" spans="2:28" ht="11.25" customHeight="1" x14ac:dyDescent="0.25">
      <c r="B627" s="16"/>
      <c r="C627" s="1"/>
      <c r="D627" s="1"/>
      <c r="E627" s="1"/>
      <c r="F627" s="1"/>
      <c r="G627" s="22"/>
      <c r="H627" s="1"/>
      <c r="I627" s="1"/>
      <c r="J627" s="1"/>
      <c r="K627" s="1"/>
      <c r="L627" s="1"/>
      <c r="M627" s="262"/>
      <c r="N627" s="1"/>
      <c r="O627" s="1"/>
      <c r="P627" s="1"/>
      <c r="Q627" s="1"/>
      <c r="R627" s="1"/>
      <c r="S627" s="1"/>
      <c r="T627" s="1"/>
      <c r="U627" s="1"/>
      <c r="V627" s="1"/>
      <c r="W627" s="1"/>
      <c r="X627" s="1"/>
      <c r="Y627" s="1"/>
      <c r="Z627" s="1"/>
      <c r="AA627" s="1"/>
      <c r="AB627" s="1"/>
    </row>
    <row r="628" spans="2:28" ht="11.25" customHeight="1" x14ac:dyDescent="0.25">
      <c r="B628" s="16"/>
      <c r="C628" s="1"/>
      <c r="D628" s="1"/>
      <c r="E628" s="1"/>
      <c r="F628" s="1"/>
      <c r="G628" s="22"/>
      <c r="H628" s="1"/>
      <c r="I628" s="1"/>
      <c r="J628" s="1"/>
      <c r="K628" s="1"/>
      <c r="L628" s="1"/>
      <c r="M628" s="262"/>
      <c r="N628" s="1"/>
      <c r="O628" s="1"/>
      <c r="P628" s="1"/>
      <c r="Q628" s="1"/>
      <c r="R628" s="1"/>
      <c r="S628" s="1"/>
      <c r="T628" s="1"/>
      <c r="U628" s="1"/>
      <c r="V628" s="1"/>
      <c r="W628" s="1"/>
      <c r="X628" s="1"/>
      <c r="Y628" s="1"/>
      <c r="Z628" s="1"/>
      <c r="AA628" s="1"/>
      <c r="AB628" s="1"/>
    </row>
    <row r="629" spans="2:28" ht="11.25" customHeight="1" x14ac:dyDescent="0.25">
      <c r="B629" s="16"/>
      <c r="C629" s="1"/>
      <c r="D629" s="1"/>
      <c r="E629" s="1"/>
      <c r="F629" s="1"/>
      <c r="G629" s="22"/>
      <c r="H629" s="1"/>
      <c r="I629" s="1"/>
      <c r="J629" s="1"/>
      <c r="K629" s="1"/>
      <c r="L629" s="1"/>
      <c r="M629" s="262"/>
      <c r="N629" s="1"/>
      <c r="O629" s="1"/>
      <c r="P629" s="1"/>
      <c r="Q629" s="1"/>
      <c r="R629" s="1"/>
      <c r="S629" s="1"/>
      <c r="T629" s="1"/>
      <c r="U629" s="1"/>
      <c r="V629" s="1"/>
      <c r="W629" s="1"/>
      <c r="X629" s="1"/>
      <c r="Y629" s="1"/>
      <c r="Z629" s="1"/>
      <c r="AA629" s="1"/>
      <c r="AB629" s="1"/>
    </row>
    <row r="630" spans="2:28" ht="11.25" customHeight="1" x14ac:dyDescent="0.25">
      <c r="B630" s="16"/>
      <c r="C630" s="1"/>
      <c r="D630" s="1"/>
      <c r="E630" s="1"/>
      <c r="F630" s="1"/>
      <c r="G630" s="22"/>
      <c r="H630" s="1"/>
      <c r="I630" s="1"/>
      <c r="J630" s="1"/>
      <c r="K630" s="1"/>
      <c r="L630" s="1"/>
      <c r="M630" s="262"/>
      <c r="N630" s="1"/>
      <c r="O630" s="1"/>
      <c r="P630" s="1"/>
      <c r="Q630" s="1"/>
      <c r="R630" s="1"/>
      <c r="S630" s="1"/>
      <c r="T630" s="1"/>
      <c r="U630" s="1"/>
      <c r="V630" s="1"/>
      <c r="W630" s="1"/>
      <c r="X630" s="1"/>
      <c r="Y630" s="1"/>
      <c r="Z630" s="1"/>
      <c r="AA630" s="1"/>
      <c r="AB630" s="1"/>
    </row>
    <row r="631" spans="2:28" ht="11.25" customHeight="1" x14ac:dyDescent="0.25">
      <c r="B631" s="16"/>
      <c r="C631" s="1"/>
      <c r="D631" s="1"/>
      <c r="E631" s="1"/>
      <c r="F631" s="1"/>
      <c r="G631" s="22"/>
      <c r="H631" s="1"/>
      <c r="I631" s="1"/>
      <c r="J631" s="1"/>
      <c r="K631" s="1"/>
      <c r="L631" s="1"/>
      <c r="M631" s="262"/>
      <c r="N631" s="1"/>
      <c r="O631" s="1"/>
      <c r="P631" s="1"/>
      <c r="Q631" s="1"/>
      <c r="R631" s="1"/>
      <c r="S631" s="1"/>
      <c r="T631" s="1"/>
      <c r="U631" s="1"/>
      <c r="V631" s="1"/>
      <c r="W631" s="1"/>
      <c r="X631" s="1"/>
      <c r="Y631" s="1"/>
      <c r="Z631" s="1"/>
      <c r="AA631" s="1"/>
      <c r="AB631" s="1"/>
    </row>
    <row r="632" spans="2:28" ht="11.25" customHeight="1" x14ac:dyDescent="0.25">
      <c r="B632" s="16"/>
      <c r="C632" s="1"/>
      <c r="D632" s="1"/>
      <c r="E632" s="1"/>
      <c r="F632" s="1"/>
      <c r="G632" s="22"/>
      <c r="H632" s="1"/>
      <c r="I632" s="1"/>
      <c r="J632" s="1"/>
      <c r="K632" s="1"/>
      <c r="L632" s="1"/>
      <c r="M632" s="262"/>
      <c r="N632" s="1"/>
      <c r="O632" s="1"/>
      <c r="P632" s="1"/>
      <c r="Q632" s="1"/>
      <c r="R632" s="1"/>
      <c r="S632" s="1"/>
      <c r="T632" s="1"/>
      <c r="U632" s="1"/>
      <c r="V632" s="1"/>
      <c r="W632" s="1"/>
      <c r="X632" s="1"/>
      <c r="Y632" s="1"/>
      <c r="Z632" s="1"/>
      <c r="AA632" s="1"/>
      <c r="AB632" s="1"/>
    </row>
    <row r="633" spans="2:28" ht="11.25" customHeight="1" x14ac:dyDescent="0.25">
      <c r="B633" s="16"/>
      <c r="C633" s="1"/>
      <c r="D633" s="1"/>
      <c r="E633" s="1"/>
      <c r="F633" s="1"/>
      <c r="G633" s="22"/>
      <c r="H633" s="1"/>
      <c r="I633" s="1"/>
      <c r="J633" s="1"/>
      <c r="K633" s="1"/>
      <c r="L633" s="1"/>
      <c r="M633" s="262"/>
      <c r="N633" s="1"/>
      <c r="O633" s="1"/>
      <c r="P633" s="1"/>
      <c r="Q633" s="1"/>
      <c r="R633" s="1"/>
      <c r="S633" s="1"/>
      <c r="T633" s="1"/>
      <c r="U633" s="1"/>
      <c r="V633" s="1"/>
      <c r="W633" s="1"/>
      <c r="X633" s="1"/>
      <c r="Y633" s="1"/>
      <c r="Z633" s="1"/>
      <c r="AA633" s="1"/>
      <c r="AB633" s="1"/>
    </row>
    <row r="634" spans="2:28" ht="11.25" customHeight="1" x14ac:dyDescent="0.25">
      <c r="B634" s="16"/>
      <c r="C634" s="1"/>
      <c r="D634" s="1"/>
      <c r="E634" s="1"/>
      <c r="F634" s="1"/>
      <c r="G634" s="22"/>
      <c r="H634" s="1"/>
      <c r="I634" s="1"/>
      <c r="J634" s="1"/>
      <c r="K634" s="1"/>
      <c r="L634" s="1"/>
      <c r="M634" s="262"/>
      <c r="N634" s="1"/>
      <c r="O634" s="1"/>
      <c r="P634" s="1"/>
      <c r="Q634" s="1"/>
      <c r="R634" s="1"/>
      <c r="S634" s="1"/>
      <c r="T634" s="1"/>
      <c r="U634" s="1"/>
      <c r="V634" s="1"/>
      <c r="W634" s="1"/>
      <c r="X634" s="1"/>
      <c r="Y634" s="1"/>
      <c r="Z634" s="1"/>
      <c r="AA634" s="1"/>
      <c r="AB634" s="1"/>
    </row>
    <row r="635" spans="2:28" ht="11.25" customHeight="1" x14ac:dyDescent="0.25">
      <c r="B635" s="16"/>
      <c r="C635" s="1"/>
      <c r="D635" s="1"/>
      <c r="E635" s="1"/>
      <c r="F635" s="1"/>
      <c r="G635" s="22"/>
      <c r="H635" s="1"/>
      <c r="I635" s="1"/>
      <c r="J635" s="1"/>
      <c r="K635" s="1"/>
      <c r="L635" s="1"/>
      <c r="M635" s="262"/>
      <c r="N635" s="1"/>
      <c r="O635" s="1"/>
      <c r="P635" s="1"/>
      <c r="Q635" s="1"/>
      <c r="R635" s="1"/>
      <c r="S635" s="1"/>
      <c r="T635" s="1"/>
      <c r="U635" s="1"/>
      <c r="V635" s="1"/>
      <c r="W635" s="1"/>
      <c r="X635" s="1"/>
      <c r="Y635" s="1"/>
      <c r="Z635" s="1"/>
      <c r="AA635" s="1"/>
      <c r="AB635" s="1"/>
    </row>
    <row r="636" spans="2:28" ht="11.25" customHeight="1" x14ac:dyDescent="0.25">
      <c r="B636" s="16"/>
      <c r="C636" s="1"/>
      <c r="D636" s="1"/>
      <c r="E636" s="1"/>
      <c r="F636" s="1"/>
      <c r="G636" s="22"/>
      <c r="H636" s="1"/>
      <c r="I636" s="1"/>
      <c r="J636" s="1"/>
      <c r="K636" s="1"/>
      <c r="L636" s="1"/>
      <c r="M636" s="262"/>
      <c r="N636" s="1"/>
      <c r="O636" s="1"/>
      <c r="P636" s="1"/>
      <c r="Q636" s="1"/>
      <c r="R636" s="1"/>
      <c r="S636" s="1"/>
      <c r="T636" s="1"/>
      <c r="U636" s="1"/>
      <c r="V636" s="1"/>
      <c r="W636" s="1"/>
      <c r="X636" s="1"/>
      <c r="Y636" s="1"/>
      <c r="Z636" s="1"/>
      <c r="AA636" s="1"/>
      <c r="AB636" s="1"/>
    </row>
    <row r="637" spans="2:28" ht="11.25" customHeight="1" x14ac:dyDescent="0.25">
      <c r="B637" s="16"/>
      <c r="C637" s="1"/>
      <c r="D637" s="1"/>
      <c r="E637" s="1"/>
      <c r="F637" s="1"/>
      <c r="G637" s="22"/>
      <c r="H637" s="1"/>
      <c r="I637" s="1"/>
      <c r="J637" s="1"/>
      <c r="K637" s="1"/>
      <c r="L637" s="1"/>
      <c r="M637" s="262"/>
      <c r="N637" s="1"/>
      <c r="O637" s="1"/>
      <c r="P637" s="1"/>
      <c r="Q637" s="1"/>
      <c r="R637" s="1"/>
      <c r="S637" s="1"/>
      <c r="T637" s="1"/>
      <c r="U637" s="1"/>
      <c r="V637" s="1"/>
      <c r="W637" s="1"/>
      <c r="X637" s="1"/>
      <c r="Y637" s="1"/>
      <c r="Z637" s="1"/>
      <c r="AA637" s="1"/>
      <c r="AB637" s="1"/>
    </row>
    <row r="638" spans="2:28" ht="11.25" customHeight="1" x14ac:dyDescent="0.25">
      <c r="B638" s="16"/>
      <c r="C638" s="1"/>
      <c r="D638" s="1"/>
      <c r="E638" s="1"/>
      <c r="F638" s="1"/>
      <c r="G638" s="22"/>
      <c r="H638" s="1"/>
      <c r="I638" s="1"/>
      <c r="J638" s="1"/>
      <c r="K638" s="1"/>
      <c r="L638" s="1"/>
      <c r="M638" s="262"/>
      <c r="N638" s="1"/>
      <c r="O638" s="1"/>
      <c r="P638" s="1"/>
      <c r="Q638" s="1"/>
      <c r="R638" s="1"/>
      <c r="S638" s="1"/>
      <c r="T638" s="1"/>
      <c r="U638" s="1"/>
      <c r="V638" s="1"/>
      <c r="W638" s="1"/>
      <c r="X638" s="1"/>
      <c r="Y638" s="1"/>
      <c r="Z638" s="1"/>
      <c r="AA638" s="1"/>
      <c r="AB638" s="1"/>
    </row>
    <row r="639" spans="2:28" ht="11.25" customHeight="1" x14ac:dyDescent="0.25">
      <c r="B639" s="16"/>
      <c r="C639" s="1"/>
      <c r="D639" s="1"/>
      <c r="E639" s="1"/>
      <c r="F639" s="1"/>
      <c r="G639" s="22"/>
      <c r="H639" s="1"/>
      <c r="I639" s="1"/>
      <c r="J639" s="1"/>
      <c r="K639" s="1"/>
      <c r="L639" s="1"/>
      <c r="M639" s="262"/>
      <c r="N639" s="1"/>
      <c r="O639" s="1"/>
      <c r="P639" s="1"/>
      <c r="Q639" s="1"/>
      <c r="R639" s="1"/>
      <c r="S639" s="1"/>
      <c r="T639" s="1"/>
      <c r="U639" s="1"/>
      <c r="V639" s="1"/>
      <c r="W639" s="1"/>
      <c r="X639" s="1"/>
      <c r="Y639" s="1"/>
      <c r="Z639" s="1"/>
      <c r="AA639" s="1"/>
      <c r="AB639" s="1"/>
    </row>
    <row r="640" spans="2:28" ht="11.25" customHeight="1" x14ac:dyDescent="0.25">
      <c r="B640" s="16"/>
      <c r="C640" s="1"/>
      <c r="D640" s="1"/>
      <c r="E640" s="1"/>
      <c r="F640" s="1"/>
      <c r="G640" s="22"/>
      <c r="H640" s="1"/>
      <c r="I640" s="1"/>
      <c r="J640" s="1"/>
      <c r="K640" s="1"/>
      <c r="L640" s="1"/>
      <c r="M640" s="262"/>
      <c r="N640" s="1"/>
      <c r="O640" s="1"/>
      <c r="P640" s="1"/>
      <c r="Q640" s="1"/>
      <c r="R640" s="1"/>
      <c r="S640" s="1"/>
      <c r="T640" s="1"/>
      <c r="U640" s="1"/>
      <c r="V640" s="1"/>
      <c r="W640" s="1"/>
      <c r="X640" s="1"/>
      <c r="Y640" s="1"/>
      <c r="Z640" s="1"/>
      <c r="AA640" s="1"/>
      <c r="AB640" s="1"/>
    </row>
    <row r="641" spans="2:28" ht="11.25" customHeight="1" x14ac:dyDescent="0.25">
      <c r="B641" s="16"/>
      <c r="C641" s="1"/>
      <c r="D641" s="1"/>
      <c r="E641" s="1"/>
      <c r="F641" s="1"/>
      <c r="G641" s="22"/>
      <c r="H641" s="1"/>
      <c r="I641" s="1"/>
      <c r="J641" s="1"/>
      <c r="K641" s="1"/>
      <c r="L641" s="1"/>
      <c r="M641" s="262"/>
      <c r="N641" s="1"/>
      <c r="O641" s="1"/>
      <c r="P641" s="1"/>
      <c r="Q641" s="1"/>
      <c r="R641" s="1"/>
      <c r="S641" s="1"/>
      <c r="T641" s="1"/>
      <c r="U641" s="1"/>
      <c r="V641" s="1"/>
      <c r="W641" s="1"/>
      <c r="X641" s="1"/>
      <c r="Y641" s="1"/>
      <c r="Z641" s="1"/>
      <c r="AA641" s="1"/>
      <c r="AB641" s="1"/>
    </row>
    <row r="642" spans="2:28" ht="11.25" customHeight="1" x14ac:dyDescent="0.25">
      <c r="B642" s="16"/>
      <c r="C642" s="1"/>
      <c r="D642" s="1"/>
      <c r="E642" s="1"/>
      <c r="F642" s="1"/>
      <c r="G642" s="22"/>
      <c r="H642" s="1"/>
      <c r="I642" s="1"/>
      <c r="J642" s="1"/>
      <c r="K642" s="1"/>
      <c r="L642" s="1"/>
      <c r="M642" s="262"/>
      <c r="N642" s="1"/>
      <c r="O642" s="1"/>
      <c r="P642" s="1"/>
      <c r="Q642" s="1"/>
      <c r="R642" s="1"/>
      <c r="S642" s="1"/>
      <c r="T642" s="1"/>
      <c r="U642" s="1"/>
      <c r="V642" s="1"/>
      <c r="W642" s="1"/>
      <c r="X642" s="1"/>
      <c r="Y642" s="1"/>
      <c r="Z642" s="1"/>
      <c r="AA642" s="1"/>
      <c r="AB642" s="1"/>
    </row>
    <row r="643" spans="2:28" ht="11.25" customHeight="1" x14ac:dyDescent="0.25">
      <c r="B643" s="16"/>
      <c r="C643" s="1"/>
      <c r="D643" s="1"/>
      <c r="E643" s="1"/>
      <c r="F643" s="1"/>
      <c r="G643" s="22"/>
      <c r="H643" s="1"/>
      <c r="I643" s="1"/>
      <c r="J643" s="1"/>
      <c r="K643" s="1"/>
      <c r="L643" s="1"/>
      <c r="M643" s="262"/>
      <c r="N643" s="1"/>
      <c r="O643" s="1"/>
      <c r="P643" s="1"/>
      <c r="Q643" s="1"/>
      <c r="R643" s="1"/>
      <c r="S643" s="1"/>
      <c r="T643" s="1"/>
      <c r="U643" s="1"/>
      <c r="V643" s="1"/>
      <c r="W643" s="1"/>
      <c r="X643" s="1"/>
      <c r="Y643" s="1"/>
      <c r="Z643" s="1"/>
      <c r="AA643" s="1"/>
      <c r="AB643" s="1"/>
    </row>
    <row r="644" spans="2:28" ht="11.25" customHeight="1" x14ac:dyDescent="0.25">
      <c r="B644" s="16"/>
      <c r="C644" s="1"/>
      <c r="D644" s="1"/>
      <c r="E644" s="1"/>
      <c r="F644" s="1"/>
      <c r="G644" s="22"/>
      <c r="H644" s="1"/>
      <c r="I644" s="1"/>
      <c r="J644" s="1"/>
      <c r="K644" s="1"/>
      <c r="L644" s="1"/>
      <c r="M644" s="262"/>
      <c r="N644" s="1"/>
      <c r="O644" s="1"/>
      <c r="P644" s="1"/>
      <c r="Q644" s="1"/>
      <c r="R644" s="1"/>
      <c r="S644" s="1"/>
      <c r="T644" s="1"/>
      <c r="U644" s="1"/>
      <c r="V644" s="1"/>
      <c r="W644" s="1"/>
      <c r="X644" s="1"/>
      <c r="Y644" s="1"/>
      <c r="Z644" s="1"/>
      <c r="AA644" s="1"/>
      <c r="AB644" s="1"/>
    </row>
    <row r="645" spans="2:28" ht="11.25" customHeight="1" x14ac:dyDescent="0.25">
      <c r="B645" s="16"/>
      <c r="C645" s="1"/>
      <c r="D645" s="1"/>
      <c r="E645" s="1"/>
      <c r="F645" s="1"/>
      <c r="G645" s="22"/>
      <c r="H645" s="1"/>
      <c r="I645" s="1"/>
      <c r="J645" s="1"/>
      <c r="K645" s="1"/>
      <c r="L645" s="1"/>
      <c r="M645" s="262"/>
      <c r="N645" s="1"/>
      <c r="O645" s="1"/>
      <c r="P645" s="1"/>
      <c r="Q645" s="1"/>
      <c r="R645" s="1"/>
      <c r="S645" s="1"/>
      <c r="T645" s="1"/>
      <c r="U645" s="1"/>
      <c r="V645" s="1"/>
      <c r="W645" s="1"/>
      <c r="X645" s="1"/>
      <c r="Y645" s="1"/>
      <c r="Z645" s="1"/>
      <c r="AA645" s="1"/>
      <c r="AB645" s="1"/>
    </row>
    <row r="646" spans="2:28" ht="11.25" customHeight="1" x14ac:dyDescent="0.25">
      <c r="B646" s="16"/>
      <c r="C646" s="1"/>
      <c r="D646" s="1"/>
      <c r="E646" s="1"/>
      <c r="F646" s="1"/>
      <c r="G646" s="22"/>
      <c r="H646" s="1"/>
      <c r="I646" s="1"/>
      <c r="J646" s="1"/>
      <c r="K646" s="1"/>
      <c r="L646" s="1"/>
      <c r="M646" s="262"/>
      <c r="N646" s="1"/>
      <c r="O646" s="1"/>
      <c r="P646" s="1"/>
      <c r="Q646" s="1"/>
      <c r="R646" s="1"/>
      <c r="S646" s="1"/>
      <c r="T646" s="1"/>
      <c r="U646" s="1"/>
      <c r="V646" s="1"/>
      <c r="W646" s="1"/>
      <c r="X646" s="1"/>
      <c r="Y646" s="1"/>
      <c r="Z646" s="1"/>
      <c r="AA646" s="1"/>
      <c r="AB646" s="1"/>
    </row>
    <row r="647" spans="2:28" ht="11.25" customHeight="1" x14ac:dyDescent="0.25">
      <c r="B647" s="16"/>
      <c r="C647" s="1"/>
      <c r="D647" s="1"/>
      <c r="E647" s="1"/>
      <c r="F647" s="1"/>
      <c r="G647" s="22"/>
      <c r="H647" s="1"/>
      <c r="I647" s="1"/>
      <c r="J647" s="1"/>
      <c r="K647" s="1"/>
      <c r="L647" s="1"/>
      <c r="M647" s="262"/>
      <c r="N647" s="1"/>
      <c r="O647" s="1"/>
      <c r="P647" s="1"/>
      <c r="Q647" s="1"/>
      <c r="R647" s="1"/>
      <c r="S647" s="1"/>
      <c r="T647" s="1"/>
      <c r="U647" s="1"/>
      <c r="V647" s="1"/>
      <c r="W647" s="1"/>
      <c r="X647" s="1"/>
      <c r="Y647" s="1"/>
      <c r="Z647" s="1"/>
      <c r="AA647" s="1"/>
      <c r="AB647" s="1"/>
    </row>
    <row r="648" spans="2:28" ht="11.25" customHeight="1" x14ac:dyDescent="0.25">
      <c r="B648" s="16"/>
      <c r="C648" s="1"/>
      <c r="D648" s="1"/>
      <c r="E648" s="1"/>
      <c r="F648" s="1"/>
      <c r="G648" s="22"/>
      <c r="H648" s="1"/>
      <c r="I648" s="1"/>
      <c r="J648" s="1"/>
      <c r="K648" s="1"/>
      <c r="L648" s="1"/>
      <c r="M648" s="262"/>
      <c r="N648" s="1"/>
      <c r="O648" s="1"/>
      <c r="P648" s="1"/>
      <c r="Q648" s="1"/>
      <c r="R648" s="1"/>
      <c r="S648" s="1"/>
      <c r="T648" s="1"/>
      <c r="U648" s="1"/>
      <c r="V648" s="1"/>
      <c r="W648" s="1"/>
      <c r="X648" s="1"/>
      <c r="Y648" s="1"/>
      <c r="Z648" s="1"/>
      <c r="AA648" s="1"/>
      <c r="AB648" s="1"/>
    </row>
    <row r="649" spans="2:28" ht="11.25" customHeight="1" x14ac:dyDescent="0.25">
      <c r="B649" s="16"/>
      <c r="C649" s="1"/>
      <c r="D649" s="1"/>
      <c r="E649" s="1"/>
      <c r="F649" s="1"/>
      <c r="G649" s="22"/>
      <c r="H649" s="1"/>
      <c r="I649" s="1"/>
      <c r="J649" s="1"/>
      <c r="K649" s="1"/>
      <c r="L649" s="1"/>
      <c r="M649" s="262"/>
      <c r="N649" s="1"/>
      <c r="O649" s="1"/>
      <c r="P649" s="1"/>
      <c r="Q649" s="1"/>
      <c r="R649" s="1"/>
      <c r="S649" s="1"/>
      <c r="T649" s="1"/>
      <c r="U649" s="1"/>
      <c r="V649" s="1"/>
      <c r="W649" s="1"/>
      <c r="X649" s="1"/>
      <c r="Y649" s="1"/>
      <c r="Z649" s="1"/>
      <c r="AA649" s="1"/>
      <c r="AB649" s="1"/>
    </row>
    <row r="650" spans="2:28" ht="11.25" customHeight="1" x14ac:dyDescent="0.25">
      <c r="B650" s="16"/>
      <c r="C650" s="1"/>
      <c r="D650" s="1"/>
      <c r="E650" s="1"/>
      <c r="F650" s="1"/>
      <c r="G650" s="22"/>
      <c r="H650" s="1"/>
      <c r="I650" s="1"/>
      <c r="J650" s="1"/>
      <c r="K650" s="1"/>
      <c r="L650" s="1"/>
      <c r="M650" s="262"/>
      <c r="N650" s="1"/>
      <c r="O650" s="1"/>
      <c r="P650" s="1"/>
      <c r="Q650" s="1"/>
      <c r="R650" s="1"/>
      <c r="S650" s="1"/>
      <c r="T650" s="1"/>
      <c r="U650" s="1"/>
      <c r="V650" s="1"/>
      <c r="W650" s="1"/>
      <c r="X650" s="1"/>
      <c r="Y650" s="1"/>
      <c r="Z650" s="1"/>
      <c r="AA650" s="1"/>
      <c r="AB650" s="1"/>
    </row>
    <row r="651" spans="2:28" ht="11.25" customHeight="1" x14ac:dyDescent="0.25">
      <c r="B651" s="16"/>
      <c r="C651" s="1"/>
      <c r="D651" s="1"/>
      <c r="E651" s="1"/>
      <c r="F651" s="1"/>
      <c r="G651" s="22"/>
      <c r="H651" s="1"/>
      <c r="I651" s="1"/>
      <c r="J651" s="1"/>
      <c r="K651" s="1"/>
      <c r="L651" s="1"/>
      <c r="M651" s="262"/>
      <c r="N651" s="1"/>
      <c r="O651" s="1"/>
      <c r="P651" s="1"/>
      <c r="Q651" s="1"/>
      <c r="R651" s="1"/>
      <c r="S651" s="1"/>
      <c r="T651" s="1"/>
      <c r="U651" s="1"/>
      <c r="V651" s="1"/>
      <c r="W651" s="1"/>
      <c r="X651" s="1"/>
      <c r="Y651" s="1"/>
      <c r="Z651" s="1"/>
      <c r="AA651" s="1"/>
      <c r="AB651" s="1"/>
    </row>
    <row r="652" spans="2:28" ht="11.25" customHeight="1" x14ac:dyDescent="0.25">
      <c r="B652" s="16"/>
      <c r="C652" s="1"/>
      <c r="D652" s="1"/>
      <c r="E652" s="1"/>
      <c r="F652" s="1"/>
      <c r="G652" s="22"/>
      <c r="H652" s="1"/>
      <c r="I652" s="1"/>
      <c r="J652" s="1"/>
      <c r="K652" s="1"/>
      <c r="L652" s="1"/>
      <c r="M652" s="262"/>
      <c r="N652" s="1"/>
      <c r="O652" s="1"/>
      <c r="P652" s="1"/>
      <c r="Q652" s="1"/>
      <c r="R652" s="1"/>
      <c r="S652" s="1"/>
      <c r="T652" s="1"/>
      <c r="U652" s="1"/>
      <c r="V652" s="1"/>
      <c r="W652" s="1"/>
      <c r="X652" s="1"/>
      <c r="Y652" s="1"/>
      <c r="Z652" s="1"/>
      <c r="AA652" s="1"/>
      <c r="AB652" s="1"/>
    </row>
    <row r="653" spans="2:28" ht="11.25" customHeight="1" x14ac:dyDescent="0.25">
      <c r="B653" s="16"/>
      <c r="C653" s="1"/>
      <c r="D653" s="1"/>
      <c r="E653" s="1"/>
      <c r="F653" s="1"/>
      <c r="G653" s="22"/>
      <c r="H653" s="1"/>
      <c r="I653" s="1"/>
      <c r="J653" s="1"/>
      <c r="K653" s="1"/>
      <c r="L653" s="1"/>
      <c r="M653" s="262"/>
      <c r="N653" s="1"/>
      <c r="O653" s="1"/>
      <c r="P653" s="1"/>
      <c r="Q653" s="1"/>
      <c r="R653" s="1"/>
      <c r="S653" s="1"/>
      <c r="T653" s="1"/>
      <c r="U653" s="1"/>
      <c r="V653" s="1"/>
      <c r="W653" s="1"/>
      <c r="X653" s="1"/>
      <c r="Y653" s="1"/>
      <c r="Z653" s="1"/>
      <c r="AA653" s="1"/>
      <c r="AB653" s="1"/>
    </row>
    <row r="654" spans="2:28" ht="11.25" customHeight="1" x14ac:dyDescent="0.25">
      <c r="B654" s="16"/>
      <c r="C654" s="1"/>
      <c r="D654" s="1"/>
      <c r="E654" s="1"/>
      <c r="F654" s="1"/>
      <c r="G654" s="22"/>
      <c r="H654" s="1"/>
      <c r="I654" s="1"/>
      <c r="J654" s="1"/>
      <c r="K654" s="1"/>
      <c r="L654" s="1"/>
      <c r="M654" s="262"/>
      <c r="N654" s="1"/>
      <c r="O654" s="1"/>
      <c r="P654" s="1"/>
      <c r="Q654" s="1"/>
      <c r="R654" s="1"/>
      <c r="S654" s="1"/>
      <c r="T654" s="1"/>
      <c r="U654" s="1"/>
      <c r="V654" s="1"/>
      <c r="W654" s="1"/>
      <c r="X654" s="1"/>
      <c r="Y654" s="1"/>
      <c r="Z654" s="1"/>
      <c r="AA654" s="1"/>
      <c r="AB654" s="1"/>
    </row>
    <row r="655" spans="2:28" ht="11.25" customHeight="1" x14ac:dyDescent="0.25">
      <c r="B655" s="16"/>
      <c r="C655" s="1"/>
      <c r="D655" s="1"/>
      <c r="E655" s="1"/>
      <c r="F655" s="1"/>
      <c r="G655" s="22"/>
      <c r="H655" s="1"/>
      <c r="I655" s="1"/>
      <c r="J655" s="1"/>
      <c r="K655" s="1"/>
      <c r="L655" s="1"/>
      <c r="M655" s="262"/>
      <c r="N655" s="1"/>
      <c r="O655" s="1"/>
      <c r="P655" s="1"/>
      <c r="Q655" s="1"/>
      <c r="R655" s="1"/>
      <c r="S655" s="1"/>
      <c r="T655" s="1"/>
      <c r="U655" s="1"/>
      <c r="V655" s="1"/>
      <c r="W655" s="1"/>
      <c r="X655" s="1"/>
      <c r="Y655" s="1"/>
      <c r="Z655" s="1"/>
      <c r="AA655" s="1"/>
      <c r="AB655" s="1"/>
    </row>
    <row r="656" spans="2:28" ht="11.25" customHeight="1" x14ac:dyDescent="0.25">
      <c r="B656" s="16"/>
      <c r="C656" s="1"/>
      <c r="D656" s="1"/>
      <c r="E656" s="1"/>
      <c r="F656" s="1"/>
      <c r="G656" s="22"/>
      <c r="H656" s="1"/>
      <c r="I656" s="1"/>
      <c r="J656" s="1"/>
      <c r="K656" s="1"/>
      <c r="L656" s="1"/>
      <c r="M656" s="262"/>
      <c r="N656" s="1"/>
      <c r="O656" s="1"/>
      <c r="P656" s="1"/>
      <c r="Q656" s="1"/>
      <c r="R656" s="1"/>
      <c r="S656" s="1"/>
      <c r="T656" s="1"/>
      <c r="U656" s="1"/>
      <c r="V656" s="1"/>
      <c r="W656" s="1"/>
      <c r="X656" s="1"/>
      <c r="Y656" s="1"/>
      <c r="Z656" s="1"/>
      <c r="AA656" s="1"/>
      <c r="AB656" s="1"/>
    </row>
    <row r="657" spans="2:28" ht="11.25" customHeight="1" x14ac:dyDescent="0.25">
      <c r="B657" s="16"/>
      <c r="C657" s="1"/>
      <c r="D657" s="1"/>
      <c r="E657" s="1"/>
      <c r="F657" s="1"/>
      <c r="G657" s="22"/>
      <c r="H657" s="1"/>
      <c r="I657" s="1"/>
      <c r="J657" s="1"/>
      <c r="K657" s="1"/>
      <c r="L657" s="1"/>
      <c r="M657" s="262"/>
      <c r="N657" s="1"/>
      <c r="O657" s="1"/>
      <c r="P657" s="1"/>
      <c r="Q657" s="1"/>
      <c r="R657" s="1"/>
      <c r="S657" s="1"/>
      <c r="T657" s="1"/>
      <c r="U657" s="1"/>
      <c r="V657" s="1"/>
      <c r="W657" s="1"/>
      <c r="X657" s="1"/>
      <c r="Y657" s="1"/>
      <c r="Z657" s="1"/>
      <c r="AA657" s="1"/>
      <c r="AB657" s="1"/>
    </row>
    <row r="658" spans="2:28" ht="11.25" customHeight="1" x14ac:dyDescent="0.25">
      <c r="B658" s="16"/>
      <c r="C658" s="1"/>
      <c r="D658" s="1"/>
      <c r="E658" s="1"/>
      <c r="F658" s="1"/>
      <c r="G658" s="22"/>
      <c r="H658" s="1"/>
      <c r="I658" s="1"/>
      <c r="J658" s="1"/>
      <c r="K658" s="1"/>
      <c r="L658" s="1"/>
      <c r="M658" s="262"/>
      <c r="N658" s="1"/>
      <c r="O658" s="1"/>
      <c r="P658" s="1"/>
      <c r="Q658" s="1"/>
      <c r="R658" s="1"/>
      <c r="S658" s="1"/>
      <c r="T658" s="1"/>
      <c r="U658" s="1"/>
      <c r="V658" s="1"/>
      <c r="W658" s="1"/>
      <c r="X658" s="1"/>
      <c r="Y658" s="1"/>
      <c r="Z658" s="1"/>
      <c r="AA658" s="1"/>
      <c r="AB658" s="1"/>
    </row>
    <row r="659" spans="2:28" ht="11.25" customHeight="1" x14ac:dyDescent="0.25">
      <c r="B659" s="16"/>
      <c r="C659" s="1"/>
      <c r="D659" s="1"/>
      <c r="E659" s="1"/>
      <c r="F659" s="1"/>
      <c r="G659" s="22"/>
      <c r="H659" s="1"/>
      <c r="I659" s="1"/>
      <c r="J659" s="1"/>
      <c r="K659" s="1"/>
      <c r="L659" s="1"/>
      <c r="M659" s="262"/>
      <c r="N659" s="1"/>
      <c r="O659" s="1"/>
      <c r="P659" s="1"/>
      <c r="Q659" s="1"/>
      <c r="R659" s="1"/>
      <c r="S659" s="1"/>
      <c r="T659" s="1"/>
      <c r="U659" s="1"/>
      <c r="V659" s="1"/>
      <c r="W659" s="1"/>
      <c r="X659" s="1"/>
      <c r="Y659" s="1"/>
      <c r="Z659" s="1"/>
      <c r="AA659" s="1"/>
      <c r="AB659" s="1"/>
    </row>
    <row r="660" spans="2:28" ht="11.25" customHeight="1" x14ac:dyDescent="0.25">
      <c r="B660" s="16"/>
      <c r="C660" s="1"/>
      <c r="D660" s="1"/>
      <c r="E660" s="1"/>
      <c r="F660" s="1"/>
      <c r="G660" s="22"/>
      <c r="H660" s="1"/>
      <c r="I660" s="1"/>
      <c r="J660" s="1"/>
      <c r="K660" s="1"/>
      <c r="L660" s="1"/>
      <c r="M660" s="262"/>
      <c r="N660" s="1"/>
      <c r="O660" s="1"/>
      <c r="P660" s="1"/>
      <c r="Q660" s="1"/>
      <c r="R660" s="1"/>
      <c r="S660" s="1"/>
      <c r="T660" s="1"/>
      <c r="U660" s="1"/>
      <c r="V660" s="1"/>
      <c r="W660" s="1"/>
      <c r="X660" s="1"/>
      <c r="Y660" s="1"/>
      <c r="Z660" s="1"/>
      <c r="AA660" s="1"/>
      <c r="AB660" s="1"/>
    </row>
    <row r="661" spans="2:28" ht="11.25" customHeight="1" x14ac:dyDescent="0.25">
      <c r="B661" s="16"/>
      <c r="C661" s="1"/>
      <c r="D661" s="1"/>
      <c r="E661" s="1"/>
      <c r="F661" s="1"/>
      <c r="G661" s="22"/>
      <c r="H661" s="1"/>
      <c r="I661" s="1"/>
      <c r="J661" s="1"/>
      <c r="K661" s="1"/>
      <c r="L661" s="1"/>
      <c r="M661" s="262"/>
      <c r="N661" s="1"/>
      <c r="O661" s="1"/>
      <c r="P661" s="1"/>
      <c r="Q661" s="1"/>
      <c r="R661" s="1"/>
      <c r="S661" s="1"/>
      <c r="T661" s="1"/>
      <c r="U661" s="1"/>
      <c r="V661" s="1"/>
      <c r="W661" s="1"/>
      <c r="X661" s="1"/>
      <c r="Y661" s="1"/>
      <c r="Z661" s="1"/>
      <c r="AA661" s="1"/>
      <c r="AB661" s="1"/>
    </row>
    <row r="662" spans="2:28" ht="11.25" customHeight="1" x14ac:dyDescent="0.25">
      <c r="B662" s="16"/>
      <c r="C662" s="1"/>
      <c r="D662" s="1"/>
      <c r="E662" s="1"/>
      <c r="F662" s="1"/>
      <c r="G662" s="22"/>
      <c r="H662" s="1"/>
      <c r="I662" s="1"/>
      <c r="J662" s="1"/>
      <c r="K662" s="1"/>
      <c r="L662" s="1"/>
      <c r="M662" s="262"/>
      <c r="N662" s="1"/>
      <c r="O662" s="1"/>
      <c r="P662" s="1"/>
      <c r="Q662" s="1"/>
      <c r="R662" s="1"/>
      <c r="S662" s="1"/>
      <c r="T662" s="1"/>
      <c r="U662" s="1"/>
      <c r="V662" s="1"/>
      <c r="W662" s="1"/>
      <c r="X662" s="1"/>
      <c r="Y662" s="1"/>
      <c r="Z662" s="1"/>
      <c r="AA662" s="1"/>
      <c r="AB662" s="1"/>
    </row>
    <row r="663" spans="2:28" ht="11.25" customHeight="1" x14ac:dyDescent="0.25">
      <c r="B663" s="16"/>
      <c r="C663" s="1"/>
      <c r="D663" s="1"/>
      <c r="E663" s="1"/>
      <c r="F663" s="1"/>
      <c r="G663" s="22"/>
      <c r="H663" s="1"/>
      <c r="I663" s="1"/>
      <c r="J663" s="1"/>
      <c r="K663" s="1"/>
      <c r="L663" s="1"/>
      <c r="M663" s="262"/>
      <c r="N663" s="1"/>
      <c r="O663" s="1"/>
      <c r="P663" s="1"/>
      <c r="Q663" s="1"/>
      <c r="R663" s="1"/>
      <c r="S663" s="1"/>
      <c r="T663" s="1"/>
      <c r="U663" s="1"/>
      <c r="V663" s="1"/>
      <c r="W663" s="1"/>
      <c r="X663" s="1"/>
      <c r="Y663" s="1"/>
      <c r="Z663" s="1"/>
      <c r="AA663" s="1"/>
      <c r="AB663" s="1"/>
    </row>
    <row r="664" spans="2:28" ht="11.25" customHeight="1" x14ac:dyDescent="0.25">
      <c r="B664" s="16"/>
      <c r="C664" s="1"/>
      <c r="D664" s="1"/>
      <c r="E664" s="1"/>
      <c r="F664" s="1"/>
      <c r="G664" s="22"/>
      <c r="H664" s="1"/>
      <c r="I664" s="1"/>
      <c r="J664" s="1"/>
      <c r="K664" s="1"/>
      <c r="L664" s="1"/>
      <c r="M664" s="262"/>
      <c r="N664" s="1"/>
      <c r="O664" s="1"/>
      <c r="P664" s="1"/>
      <c r="Q664" s="1"/>
      <c r="R664" s="1"/>
      <c r="S664" s="1"/>
      <c r="T664" s="1"/>
      <c r="U664" s="1"/>
      <c r="V664" s="1"/>
      <c r="W664" s="1"/>
      <c r="X664" s="1"/>
      <c r="Y664" s="1"/>
      <c r="Z664" s="1"/>
      <c r="AA664" s="1"/>
      <c r="AB664" s="1"/>
    </row>
    <row r="665" spans="2:28" ht="11.25" customHeight="1" x14ac:dyDescent="0.25">
      <c r="B665" s="16"/>
      <c r="C665" s="1"/>
      <c r="D665" s="1"/>
      <c r="E665" s="1"/>
      <c r="F665" s="1"/>
      <c r="G665" s="22"/>
      <c r="H665" s="1"/>
      <c r="I665" s="1"/>
      <c r="J665" s="1"/>
      <c r="K665" s="1"/>
      <c r="L665" s="1"/>
      <c r="M665" s="262"/>
      <c r="N665" s="1"/>
      <c r="O665" s="1"/>
      <c r="P665" s="1"/>
      <c r="Q665" s="1"/>
      <c r="R665" s="1"/>
      <c r="S665" s="1"/>
      <c r="T665" s="1"/>
      <c r="U665" s="1"/>
      <c r="V665" s="1"/>
      <c r="W665" s="1"/>
      <c r="X665" s="1"/>
      <c r="Y665" s="1"/>
      <c r="Z665" s="1"/>
      <c r="AA665" s="1"/>
      <c r="AB665" s="1"/>
    </row>
    <row r="666" spans="2:28" ht="11.25" customHeight="1" x14ac:dyDescent="0.25">
      <c r="B666" s="16"/>
      <c r="C666" s="1"/>
      <c r="D666" s="1"/>
      <c r="E666" s="1"/>
      <c r="F666" s="1"/>
      <c r="G666" s="22"/>
      <c r="H666" s="1"/>
      <c r="I666" s="1"/>
      <c r="J666" s="1"/>
      <c r="K666" s="1"/>
      <c r="L666" s="1"/>
      <c r="M666" s="262"/>
      <c r="N666" s="1"/>
      <c r="O666" s="1"/>
      <c r="P666" s="1"/>
      <c r="Q666" s="1"/>
      <c r="R666" s="1"/>
      <c r="S666" s="1"/>
      <c r="T666" s="1"/>
      <c r="U666" s="1"/>
      <c r="V666" s="1"/>
      <c r="W666" s="1"/>
      <c r="X666" s="1"/>
      <c r="Y666" s="1"/>
      <c r="Z666" s="1"/>
      <c r="AA666" s="1"/>
      <c r="AB666" s="1"/>
    </row>
    <row r="667" spans="2:28" ht="11.25" customHeight="1" x14ac:dyDescent="0.25">
      <c r="B667" s="16"/>
      <c r="C667" s="1"/>
      <c r="D667" s="1"/>
      <c r="E667" s="1"/>
      <c r="F667" s="1"/>
      <c r="G667" s="22"/>
      <c r="H667" s="1"/>
      <c r="I667" s="1"/>
      <c r="J667" s="1"/>
      <c r="K667" s="1"/>
      <c r="L667" s="1"/>
      <c r="M667" s="262"/>
      <c r="N667" s="1"/>
      <c r="O667" s="1"/>
      <c r="P667" s="1"/>
      <c r="Q667" s="1"/>
      <c r="R667" s="1"/>
      <c r="S667" s="1"/>
      <c r="T667" s="1"/>
      <c r="U667" s="1"/>
      <c r="V667" s="1"/>
      <c r="W667" s="1"/>
      <c r="X667" s="1"/>
      <c r="Y667" s="1"/>
      <c r="Z667" s="1"/>
      <c r="AA667" s="1"/>
      <c r="AB667" s="1"/>
    </row>
    <row r="668" spans="2:28" ht="11.25" customHeight="1" x14ac:dyDescent="0.25">
      <c r="B668" s="16"/>
      <c r="C668" s="1"/>
      <c r="D668" s="1"/>
      <c r="E668" s="1"/>
      <c r="F668" s="1"/>
      <c r="G668" s="22"/>
      <c r="H668" s="1"/>
      <c r="I668" s="1"/>
      <c r="J668" s="1"/>
      <c r="K668" s="1"/>
      <c r="L668" s="1"/>
      <c r="M668" s="262"/>
      <c r="N668" s="1"/>
      <c r="O668" s="1"/>
      <c r="P668" s="1"/>
      <c r="Q668" s="1"/>
      <c r="R668" s="1"/>
      <c r="S668" s="1"/>
      <c r="T668" s="1"/>
      <c r="U668" s="1"/>
      <c r="V668" s="1"/>
      <c r="W668" s="1"/>
      <c r="X668" s="1"/>
      <c r="Y668" s="1"/>
      <c r="Z668" s="1"/>
      <c r="AA668" s="1"/>
      <c r="AB668" s="1"/>
    </row>
    <row r="669" spans="2:28" ht="11.25" customHeight="1" x14ac:dyDescent="0.25">
      <c r="B669" s="16"/>
      <c r="C669" s="1"/>
      <c r="D669" s="1"/>
      <c r="E669" s="1"/>
      <c r="F669" s="1"/>
      <c r="G669" s="22"/>
      <c r="H669" s="1"/>
      <c r="I669" s="1"/>
      <c r="J669" s="1"/>
      <c r="K669" s="1"/>
      <c r="L669" s="1"/>
      <c r="M669" s="262"/>
      <c r="N669" s="1"/>
      <c r="O669" s="1"/>
      <c r="P669" s="1"/>
      <c r="Q669" s="1"/>
      <c r="R669" s="1"/>
      <c r="S669" s="1"/>
      <c r="T669" s="1"/>
      <c r="U669" s="1"/>
      <c r="V669" s="1"/>
      <c r="W669" s="1"/>
      <c r="X669" s="1"/>
      <c r="Y669" s="1"/>
      <c r="Z669" s="1"/>
      <c r="AA669" s="1"/>
      <c r="AB669" s="1"/>
    </row>
    <row r="670" spans="2:28" ht="11.25" customHeight="1" x14ac:dyDescent="0.25">
      <c r="B670" s="16"/>
      <c r="C670" s="1"/>
      <c r="D670" s="1"/>
      <c r="E670" s="1"/>
      <c r="F670" s="1"/>
      <c r="G670" s="22"/>
      <c r="H670" s="1"/>
      <c r="I670" s="1"/>
      <c r="J670" s="1"/>
      <c r="K670" s="1"/>
      <c r="L670" s="1"/>
      <c r="M670" s="262"/>
      <c r="N670" s="1"/>
      <c r="O670" s="1"/>
      <c r="P670" s="1"/>
      <c r="Q670" s="1"/>
      <c r="R670" s="1"/>
      <c r="S670" s="1"/>
      <c r="T670" s="1"/>
      <c r="U670" s="1"/>
      <c r="V670" s="1"/>
      <c r="W670" s="1"/>
      <c r="X670" s="1"/>
      <c r="Y670" s="1"/>
      <c r="Z670" s="1"/>
      <c r="AA670" s="1"/>
      <c r="AB670" s="1"/>
    </row>
    <row r="671" spans="2:28" ht="11.25" customHeight="1" x14ac:dyDescent="0.25">
      <c r="B671" s="16"/>
      <c r="C671" s="1"/>
      <c r="D671" s="1"/>
      <c r="E671" s="1"/>
      <c r="F671" s="1"/>
      <c r="G671" s="22"/>
      <c r="H671" s="1"/>
      <c r="I671" s="1"/>
      <c r="J671" s="1"/>
      <c r="K671" s="1"/>
      <c r="L671" s="1"/>
      <c r="M671" s="262"/>
      <c r="N671" s="1"/>
      <c r="O671" s="1"/>
      <c r="P671" s="1"/>
      <c r="Q671" s="1"/>
      <c r="R671" s="1"/>
      <c r="S671" s="1"/>
      <c r="T671" s="1"/>
      <c r="U671" s="1"/>
      <c r="V671" s="1"/>
      <c r="W671" s="1"/>
      <c r="X671" s="1"/>
      <c r="Y671" s="1"/>
      <c r="Z671" s="1"/>
      <c r="AA671" s="1"/>
      <c r="AB671" s="1"/>
    </row>
    <row r="672" spans="2:28" ht="11.25" customHeight="1" x14ac:dyDescent="0.25">
      <c r="B672" s="16"/>
      <c r="C672" s="1"/>
      <c r="D672" s="1"/>
      <c r="E672" s="1"/>
      <c r="F672" s="1"/>
      <c r="G672" s="22"/>
      <c r="H672" s="1"/>
      <c r="I672" s="1"/>
      <c r="J672" s="1"/>
      <c r="K672" s="1"/>
      <c r="L672" s="1"/>
      <c r="M672" s="262"/>
      <c r="N672" s="1"/>
      <c r="O672" s="1"/>
      <c r="P672" s="1"/>
      <c r="Q672" s="1"/>
      <c r="R672" s="1"/>
      <c r="S672" s="1"/>
      <c r="T672" s="1"/>
      <c r="U672" s="1"/>
      <c r="V672" s="1"/>
      <c r="W672" s="1"/>
      <c r="X672" s="1"/>
      <c r="Y672" s="1"/>
      <c r="Z672" s="1"/>
      <c r="AA672" s="1"/>
      <c r="AB672" s="1"/>
    </row>
    <row r="673" spans="2:28" ht="11.25" customHeight="1" x14ac:dyDescent="0.25">
      <c r="B673" s="16"/>
      <c r="C673" s="1"/>
      <c r="D673" s="1"/>
      <c r="E673" s="1"/>
      <c r="F673" s="1"/>
      <c r="G673" s="22"/>
      <c r="H673" s="1"/>
      <c r="I673" s="1"/>
      <c r="J673" s="1"/>
      <c r="K673" s="1"/>
      <c r="L673" s="1"/>
      <c r="M673" s="262"/>
      <c r="N673" s="1"/>
      <c r="O673" s="1"/>
      <c r="P673" s="1"/>
      <c r="Q673" s="1"/>
      <c r="R673" s="1"/>
      <c r="S673" s="1"/>
      <c r="T673" s="1"/>
      <c r="U673" s="1"/>
      <c r="V673" s="1"/>
      <c r="W673" s="1"/>
      <c r="X673" s="1"/>
      <c r="Y673" s="1"/>
      <c r="Z673" s="1"/>
      <c r="AA673" s="1"/>
      <c r="AB673" s="1"/>
    </row>
    <row r="674" spans="2:28" ht="11.25" customHeight="1" x14ac:dyDescent="0.25">
      <c r="B674" s="16"/>
      <c r="C674" s="1"/>
      <c r="D674" s="1"/>
      <c r="E674" s="1"/>
      <c r="F674" s="1"/>
      <c r="G674" s="22"/>
      <c r="H674" s="1"/>
      <c r="I674" s="1"/>
      <c r="J674" s="1"/>
      <c r="K674" s="1"/>
      <c r="L674" s="1"/>
      <c r="M674" s="262"/>
      <c r="N674" s="1"/>
      <c r="O674" s="1"/>
      <c r="P674" s="1"/>
      <c r="Q674" s="1"/>
      <c r="R674" s="1"/>
      <c r="S674" s="1"/>
      <c r="T674" s="1"/>
      <c r="U674" s="1"/>
      <c r="V674" s="1"/>
      <c r="W674" s="1"/>
      <c r="X674" s="1"/>
      <c r="Y674" s="1"/>
      <c r="Z674" s="1"/>
      <c r="AA674" s="1"/>
      <c r="AB674" s="1"/>
    </row>
    <row r="675" spans="2:28" ht="11.25" customHeight="1" x14ac:dyDescent="0.25">
      <c r="B675" s="16"/>
      <c r="C675" s="1"/>
      <c r="D675" s="1"/>
      <c r="E675" s="1"/>
      <c r="F675" s="1"/>
      <c r="G675" s="22"/>
      <c r="H675" s="1"/>
      <c r="I675" s="1"/>
      <c r="J675" s="1"/>
      <c r="K675" s="1"/>
      <c r="L675" s="1"/>
      <c r="M675" s="262"/>
      <c r="N675" s="1"/>
      <c r="O675" s="1"/>
      <c r="P675" s="1"/>
      <c r="Q675" s="1"/>
      <c r="R675" s="1"/>
      <c r="S675" s="1"/>
      <c r="T675" s="1"/>
      <c r="U675" s="1"/>
      <c r="V675" s="1"/>
      <c r="W675" s="1"/>
      <c r="X675" s="1"/>
      <c r="Y675" s="1"/>
      <c r="Z675" s="1"/>
      <c r="AA675" s="1"/>
      <c r="AB675" s="1"/>
    </row>
    <row r="676" spans="2:28" ht="11.25" customHeight="1" x14ac:dyDescent="0.25">
      <c r="B676" s="16"/>
      <c r="C676" s="1"/>
      <c r="D676" s="1"/>
      <c r="E676" s="1"/>
      <c r="F676" s="1"/>
      <c r="G676" s="22"/>
      <c r="H676" s="1"/>
      <c r="I676" s="1"/>
      <c r="J676" s="1"/>
      <c r="K676" s="1"/>
      <c r="L676" s="1"/>
      <c r="M676" s="262"/>
      <c r="N676" s="1"/>
      <c r="O676" s="1"/>
      <c r="P676" s="1"/>
      <c r="Q676" s="1"/>
      <c r="R676" s="1"/>
      <c r="S676" s="1"/>
      <c r="T676" s="1"/>
      <c r="U676" s="1"/>
      <c r="V676" s="1"/>
      <c r="W676" s="1"/>
      <c r="X676" s="1"/>
      <c r="Y676" s="1"/>
      <c r="Z676" s="1"/>
      <c r="AA676" s="1"/>
      <c r="AB676" s="1"/>
    </row>
    <row r="677" spans="2:28" ht="11.25" customHeight="1" x14ac:dyDescent="0.25">
      <c r="B677" s="16"/>
      <c r="C677" s="1"/>
      <c r="D677" s="1"/>
      <c r="E677" s="1"/>
      <c r="F677" s="1"/>
      <c r="G677" s="22"/>
      <c r="H677" s="1"/>
      <c r="I677" s="1"/>
      <c r="J677" s="1"/>
      <c r="K677" s="1"/>
      <c r="L677" s="1"/>
      <c r="M677" s="262"/>
      <c r="N677" s="1"/>
      <c r="O677" s="1"/>
      <c r="P677" s="1"/>
      <c r="Q677" s="1"/>
      <c r="R677" s="1"/>
      <c r="S677" s="1"/>
      <c r="T677" s="1"/>
      <c r="U677" s="1"/>
      <c r="V677" s="1"/>
      <c r="W677" s="1"/>
      <c r="X677" s="1"/>
      <c r="Y677" s="1"/>
      <c r="Z677" s="1"/>
      <c r="AA677" s="1"/>
      <c r="AB677" s="1"/>
    </row>
    <row r="678" spans="2:28" ht="11.25" customHeight="1" x14ac:dyDescent="0.25">
      <c r="B678" s="16"/>
      <c r="C678" s="1"/>
      <c r="D678" s="1"/>
      <c r="E678" s="1"/>
      <c r="F678" s="1"/>
      <c r="G678" s="22"/>
      <c r="H678" s="1"/>
      <c r="I678" s="1"/>
      <c r="J678" s="1"/>
      <c r="K678" s="1"/>
      <c r="L678" s="1"/>
      <c r="M678" s="262"/>
      <c r="N678" s="1"/>
      <c r="O678" s="1"/>
      <c r="P678" s="1"/>
      <c r="Q678" s="1"/>
      <c r="R678" s="1"/>
      <c r="S678" s="1"/>
      <c r="T678" s="1"/>
      <c r="U678" s="1"/>
      <c r="V678" s="1"/>
      <c r="W678" s="1"/>
      <c r="X678" s="1"/>
      <c r="Y678" s="1"/>
      <c r="Z678" s="1"/>
      <c r="AA678" s="1"/>
      <c r="AB678" s="1"/>
    </row>
    <row r="679" spans="2:28" ht="11.25" customHeight="1" x14ac:dyDescent="0.25">
      <c r="B679" s="16"/>
      <c r="C679" s="1"/>
      <c r="D679" s="1"/>
      <c r="E679" s="1"/>
      <c r="F679" s="1"/>
      <c r="G679" s="22"/>
      <c r="H679" s="1"/>
      <c r="I679" s="1"/>
      <c r="J679" s="1"/>
      <c r="K679" s="1"/>
      <c r="L679" s="1"/>
      <c r="M679" s="262"/>
      <c r="N679" s="1"/>
      <c r="O679" s="1"/>
      <c r="P679" s="1"/>
      <c r="Q679" s="1"/>
      <c r="R679" s="1"/>
      <c r="S679" s="1"/>
      <c r="T679" s="1"/>
      <c r="U679" s="1"/>
      <c r="V679" s="1"/>
      <c r="W679" s="1"/>
      <c r="X679" s="1"/>
      <c r="Y679" s="1"/>
      <c r="Z679" s="1"/>
      <c r="AA679" s="1"/>
      <c r="AB679" s="1"/>
    </row>
    <row r="680" spans="2:28" ht="11.25" customHeight="1" x14ac:dyDescent="0.25">
      <c r="B680" s="16"/>
      <c r="C680" s="1"/>
      <c r="D680" s="1"/>
      <c r="E680" s="1"/>
      <c r="F680" s="1"/>
      <c r="G680" s="22"/>
      <c r="H680" s="1"/>
      <c r="I680" s="1"/>
      <c r="J680" s="1"/>
      <c r="K680" s="1"/>
      <c r="L680" s="1"/>
      <c r="M680" s="262"/>
      <c r="N680" s="1"/>
      <c r="O680" s="1"/>
      <c r="P680" s="1"/>
      <c r="Q680" s="1"/>
      <c r="R680" s="1"/>
      <c r="S680" s="1"/>
      <c r="T680" s="1"/>
      <c r="U680" s="1"/>
      <c r="V680" s="1"/>
      <c r="W680" s="1"/>
      <c r="X680" s="1"/>
      <c r="Y680" s="1"/>
      <c r="Z680" s="1"/>
      <c r="AA680" s="1"/>
      <c r="AB680" s="1"/>
    </row>
    <row r="681" spans="2:28" ht="11.25" customHeight="1" x14ac:dyDescent="0.25">
      <c r="B681" s="16"/>
      <c r="C681" s="1"/>
      <c r="D681" s="1"/>
      <c r="E681" s="1"/>
      <c r="F681" s="1"/>
      <c r="G681" s="22"/>
      <c r="H681" s="1"/>
      <c r="I681" s="1"/>
      <c r="J681" s="1"/>
      <c r="K681" s="1"/>
      <c r="L681" s="1"/>
      <c r="M681" s="262"/>
      <c r="N681" s="1"/>
      <c r="O681" s="1"/>
      <c r="P681" s="1"/>
      <c r="Q681" s="1"/>
      <c r="R681" s="1"/>
      <c r="S681" s="1"/>
      <c r="T681" s="1"/>
      <c r="U681" s="1"/>
      <c r="V681" s="1"/>
      <c r="W681" s="1"/>
      <c r="X681" s="1"/>
      <c r="Y681" s="1"/>
      <c r="Z681" s="1"/>
      <c r="AA681" s="1"/>
      <c r="AB681" s="1"/>
    </row>
    <row r="682" spans="2:28" ht="11.25" customHeight="1" x14ac:dyDescent="0.25">
      <c r="B682" s="16"/>
      <c r="C682" s="1"/>
      <c r="D682" s="1"/>
      <c r="E682" s="1"/>
      <c r="F682" s="1"/>
      <c r="G682" s="22"/>
      <c r="H682" s="1"/>
      <c r="I682" s="1"/>
      <c r="J682" s="1"/>
      <c r="K682" s="1"/>
      <c r="L682" s="1"/>
      <c r="M682" s="262"/>
      <c r="N682" s="1"/>
      <c r="O682" s="1"/>
      <c r="P682" s="1"/>
      <c r="Q682" s="1"/>
      <c r="R682" s="1"/>
      <c r="S682" s="1"/>
      <c r="T682" s="1"/>
      <c r="U682" s="1"/>
      <c r="V682" s="1"/>
      <c r="W682" s="1"/>
      <c r="X682" s="1"/>
      <c r="Y682" s="1"/>
      <c r="Z682" s="1"/>
      <c r="AA682" s="1"/>
      <c r="AB682" s="1"/>
    </row>
    <row r="683" spans="2:28" ht="11.25" customHeight="1" x14ac:dyDescent="0.25">
      <c r="B683" s="16"/>
      <c r="C683" s="1"/>
      <c r="D683" s="1"/>
      <c r="E683" s="1"/>
      <c r="F683" s="1"/>
      <c r="G683" s="22"/>
      <c r="H683" s="1"/>
      <c r="I683" s="1"/>
      <c r="J683" s="1"/>
      <c r="K683" s="1"/>
      <c r="L683" s="1"/>
      <c r="M683" s="262"/>
      <c r="N683" s="1"/>
      <c r="O683" s="1"/>
      <c r="P683" s="1"/>
      <c r="Q683" s="1"/>
      <c r="R683" s="1"/>
      <c r="S683" s="1"/>
      <c r="T683" s="1"/>
      <c r="U683" s="1"/>
      <c r="V683" s="1"/>
      <c r="W683" s="1"/>
      <c r="X683" s="1"/>
      <c r="Y683" s="1"/>
      <c r="Z683" s="1"/>
      <c r="AA683" s="1"/>
      <c r="AB683" s="1"/>
    </row>
    <row r="684" spans="2:28" ht="11.25" customHeight="1" x14ac:dyDescent="0.25">
      <c r="B684" s="16"/>
      <c r="C684" s="1"/>
      <c r="D684" s="1"/>
      <c r="E684" s="1"/>
      <c r="F684" s="1"/>
      <c r="G684" s="22"/>
      <c r="H684" s="1"/>
      <c r="I684" s="1"/>
      <c r="J684" s="1"/>
      <c r="K684" s="1"/>
      <c r="L684" s="1"/>
      <c r="M684" s="262"/>
      <c r="N684" s="1"/>
      <c r="O684" s="1"/>
      <c r="P684" s="1"/>
      <c r="Q684" s="1"/>
      <c r="R684" s="1"/>
      <c r="S684" s="1"/>
      <c r="T684" s="1"/>
      <c r="U684" s="1"/>
      <c r="V684" s="1"/>
      <c r="W684" s="1"/>
      <c r="X684" s="1"/>
      <c r="Y684" s="1"/>
      <c r="Z684" s="1"/>
      <c r="AA684" s="1"/>
      <c r="AB684" s="1"/>
    </row>
    <row r="685" spans="2:28" ht="11.25" customHeight="1" x14ac:dyDescent="0.25">
      <c r="B685" s="16"/>
      <c r="C685" s="1"/>
      <c r="D685" s="1"/>
      <c r="E685" s="1"/>
      <c r="F685" s="1"/>
      <c r="G685" s="22"/>
      <c r="H685" s="1"/>
      <c r="I685" s="1"/>
      <c r="J685" s="1"/>
      <c r="K685" s="1"/>
      <c r="L685" s="1"/>
      <c r="M685" s="262"/>
      <c r="N685" s="1"/>
      <c r="O685" s="1"/>
      <c r="P685" s="1"/>
      <c r="Q685" s="1"/>
      <c r="R685" s="1"/>
      <c r="S685" s="1"/>
      <c r="T685" s="1"/>
      <c r="U685" s="1"/>
      <c r="V685" s="1"/>
      <c r="W685" s="1"/>
      <c r="X685" s="1"/>
      <c r="Y685" s="1"/>
      <c r="Z685" s="1"/>
      <c r="AA685" s="1"/>
      <c r="AB685" s="1"/>
    </row>
    <row r="686" spans="2:28" ht="11.25" customHeight="1" x14ac:dyDescent="0.25">
      <c r="B686" s="16"/>
      <c r="C686" s="1"/>
      <c r="D686" s="1"/>
      <c r="E686" s="1"/>
      <c r="F686" s="1"/>
      <c r="G686" s="22"/>
      <c r="H686" s="1"/>
      <c r="I686" s="1"/>
      <c r="J686" s="1"/>
      <c r="K686" s="1"/>
      <c r="L686" s="1"/>
      <c r="M686" s="262"/>
      <c r="N686" s="1"/>
      <c r="O686" s="1"/>
      <c r="P686" s="1"/>
      <c r="Q686" s="1"/>
      <c r="R686" s="1"/>
      <c r="S686" s="1"/>
      <c r="T686" s="1"/>
      <c r="U686" s="1"/>
      <c r="V686" s="1"/>
      <c r="W686" s="1"/>
      <c r="X686" s="1"/>
      <c r="Y686" s="1"/>
      <c r="Z686" s="1"/>
      <c r="AA686" s="1"/>
      <c r="AB686" s="1"/>
    </row>
    <row r="687" spans="2:28" ht="11.25" customHeight="1" x14ac:dyDescent="0.25">
      <c r="B687" s="16"/>
      <c r="C687" s="1"/>
      <c r="D687" s="1"/>
      <c r="E687" s="1"/>
      <c r="F687" s="1"/>
      <c r="G687" s="22"/>
      <c r="H687" s="1"/>
      <c r="I687" s="1"/>
      <c r="J687" s="1"/>
      <c r="K687" s="1"/>
      <c r="L687" s="1"/>
      <c r="M687" s="262"/>
      <c r="N687" s="1"/>
      <c r="O687" s="1"/>
      <c r="P687" s="1"/>
      <c r="Q687" s="1"/>
      <c r="R687" s="1"/>
      <c r="S687" s="1"/>
      <c r="T687" s="1"/>
      <c r="U687" s="1"/>
      <c r="V687" s="1"/>
      <c r="W687" s="1"/>
      <c r="X687" s="1"/>
      <c r="Y687" s="1"/>
      <c r="Z687" s="1"/>
      <c r="AA687" s="1"/>
      <c r="AB687" s="1"/>
    </row>
    <row r="688" spans="2:28" ht="11.25" customHeight="1" x14ac:dyDescent="0.25">
      <c r="B688" s="16"/>
      <c r="C688" s="1"/>
      <c r="D688" s="1"/>
      <c r="E688" s="1"/>
      <c r="F688" s="1"/>
      <c r="G688" s="22"/>
      <c r="H688" s="1"/>
      <c r="I688" s="1"/>
      <c r="J688" s="1"/>
      <c r="K688" s="1"/>
      <c r="L688" s="1"/>
      <c r="M688" s="262"/>
      <c r="N688" s="1"/>
      <c r="O688" s="1"/>
      <c r="P688" s="1"/>
      <c r="Q688" s="1"/>
      <c r="R688" s="1"/>
      <c r="S688" s="1"/>
      <c r="T688" s="1"/>
      <c r="U688" s="1"/>
      <c r="V688" s="1"/>
      <c r="W688" s="1"/>
      <c r="X688" s="1"/>
      <c r="Y688" s="1"/>
      <c r="Z688" s="1"/>
      <c r="AA688" s="1"/>
      <c r="AB688" s="1"/>
    </row>
    <row r="689" spans="2:28" ht="11.25" customHeight="1" x14ac:dyDescent="0.25">
      <c r="B689" s="16"/>
      <c r="C689" s="1"/>
      <c r="D689" s="1"/>
      <c r="E689" s="1"/>
      <c r="F689" s="1"/>
      <c r="G689" s="22"/>
      <c r="H689" s="1"/>
      <c r="I689" s="1"/>
      <c r="J689" s="1"/>
      <c r="K689" s="1"/>
      <c r="L689" s="1"/>
      <c r="M689" s="262"/>
      <c r="N689" s="1"/>
      <c r="O689" s="1"/>
      <c r="P689" s="1"/>
      <c r="Q689" s="1"/>
      <c r="R689" s="1"/>
      <c r="S689" s="1"/>
      <c r="T689" s="1"/>
      <c r="U689" s="1"/>
      <c r="V689" s="1"/>
      <c r="W689" s="1"/>
      <c r="X689" s="1"/>
      <c r="Y689" s="1"/>
      <c r="Z689" s="1"/>
      <c r="AA689" s="1"/>
      <c r="AB689" s="1"/>
    </row>
    <row r="690" spans="2:28" ht="11.25" customHeight="1" x14ac:dyDescent="0.25">
      <c r="B690" s="16"/>
      <c r="C690" s="1"/>
      <c r="D690" s="1"/>
      <c r="E690" s="1"/>
      <c r="F690" s="1"/>
      <c r="G690" s="22"/>
      <c r="H690" s="1"/>
      <c r="I690" s="1"/>
      <c r="J690" s="1"/>
      <c r="K690" s="1"/>
      <c r="L690" s="1"/>
      <c r="M690" s="262"/>
      <c r="N690" s="1"/>
      <c r="O690" s="1"/>
      <c r="P690" s="1"/>
      <c r="Q690" s="1"/>
      <c r="R690" s="1"/>
      <c r="S690" s="1"/>
      <c r="T690" s="1"/>
      <c r="U690" s="1"/>
      <c r="V690" s="1"/>
      <c r="W690" s="1"/>
      <c r="X690" s="1"/>
      <c r="Y690" s="1"/>
      <c r="Z690" s="1"/>
      <c r="AA690" s="1"/>
      <c r="AB690" s="1"/>
    </row>
    <row r="691" spans="2:28" ht="11.25" customHeight="1" x14ac:dyDescent="0.25">
      <c r="B691" s="16"/>
      <c r="C691" s="1"/>
      <c r="D691" s="1"/>
      <c r="E691" s="1"/>
      <c r="F691" s="1"/>
      <c r="G691" s="22"/>
      <c r="H691" s="1"/>
      <c r="I691" s="1"/>
      <c r="J691" s="1"/>
      <c r="K691" s="1"/>
      <c r="L691" s="1"/>
      <c r="M691" s="262"/>
      <c r="N691" s="1"/>
      <c r="O691" s="1"/>
      <c r="P691" s="1"/>
      <c r="Q691" s="1"/>
      <c r="R691" s="1"/>
      <c r="S691" s="1"/>
      <c r="T691" s="1"/>
      <c r="U691" s="1"/>
      <c r="V691" s="1"/>
      <c r="W691" s="1"/>
      <c r="X691" s="1"/>
      <c r="Y691" s="1"/>
      <c r="Z691" s="1"/>
      <c r="AA691" s="1"/>
      <c r="AB691" s="1"/>
    </row>
    <row r="692" spans="2:28" ht="11.25" customHeight="1" x14ac:dyDescent="0.25">
      <c r="B692" s="16"/>
      <c r="C692" s="1"/>
      <c r="D692" s="1"/>
      <c r="E692" s="1"/>
      <c r="F692" s="1"/>
      <c r="G692" s="22"/>
      <c r="H692" s="1"/>
      <c r="I692" s="1"/>
      <c r="J692" s="1"/>
      <c r="K692" s="1"/>
      <c r="L692" s="1"/>
      <c r="M692" s="262"/>
      <c r="N692" s="1"/>
      <c r="O692" s="1"/>
      <c r="P692" s="1"/>
      <c r="Q692" s="1"/>
      <c r="R692" s="1"/>
      <c r="S692" s="1"/>
      <c r="T692" s="1"/>
      <c r="U692" s="1"/>
      <c r="V692" s="1"/>
      <c r="W692" s="1"/>
      <c r="X692" s="1"/>
      <c r="Y692" s="1"/>
      <c r="Z692" s="1"/>
      <c r="AA692" s="1"/>
      <c r="AB692" s="1"/>
    </row>
    <row r="693" spans="2:28" ht="11.25" customHeight="1" x14ac:dyDescent="0.25">
      <c r="B693" s="16"/>
      <c r="C693" s="1"/>
      <c r="D693" s="1"/>
      <c r="E693" s="1"/>
      <c r="F693" s="1"/>
      <c r="G693" s="22"/>
      <c r="H693" s="1"/>
      <c r="I693" s="1"/>
      <c r="J693" s="1"/>
      <c r="K693" s="1"/>
      <c r="L693" s="1"/>
      <c r="M693" s="262"/>
      <c r="N693" s="1"/>
      <c r="O693" s="1"/>
      <c r="P693" s="1"/>
      <c r="Q693" s="1"/>
      <c r="R693" s="1"/>
      <c r="S693" s="1"/>
      <c r="T693" s="1"/>
      <c r="U693" s="1"/>
      <c r="V693" s="1"/>
      <c r="W693" s="1"/>
      <c r="X693" s="1"/>
      <c r="Y693" s="1"/>
      <c r="Z693" s="1"/>
      <c r="AA693" s="1"/>
      <c r="AB693" s="1"/>
    </row>
    <row r="694" spans="2:28" ht="11.25" customHeight="1" x14ac:dyDescent="0.25">
      <c r="B694" s="16"/>
      <c r="C694" s="1"/>
      <c r="D694" s="1"/>
      <c r="E694" s="1"/>
      <c r="F694" s="1"/>
      <c r="G694" s="22"/>
      <c r="H694" s="1"/>
      <c r="I694" s="1"/>
      <c r="J694" s="1"/>
      <c r="K694" s="1"/>
      <c r="L694" s="1"/>
      <c r="M694" s="262"/>
      <c r="N694" s="1"/>
      <c r="O694" s="1"/>
      <c r="P694" s="1"/>
      <c r="Q694" s="1"/>
      <c r="R694" s="1"/>
      <c r="S694" s="1"/>
      <c r="T694" s="1"/>
      <c r="U694" s="1"/>
      <c r="V694" s="1"/>
      <c r="W694" s="1"/>
      <c r="X694" s="1"/>
      <c r="Y694" s="1"/>
      <c r="Z694" s="1"/>
      <c r="AA694" s="1"/>
      <c r="AB694" s="1"/>
    </row>
    <row r="695" spans="2:28" ht="11.25" customHeight="1" x14ac:dyDescent="0.25">
      <c r="B695" s="16"/>
      <c r="C695" s="1"/>
      <c r="D695" s="1"/>
      <c r="E695" s="1"/>
      <c r="F695" s="1"/>
      <c r="G695" s="22"/>
      <c r="H695" s="1"/>
      <c r="I695" s="1"/>
      <c r="J695" s="1"/>
      <c r="K695" s="1"/>
      <c r="L695" s="1"/>
      <c r="M695" s="262"/>
      <c r="N695" s="1"/>
      <c r="O695" s="1"/>
      <c r="P695" s="1"/>
      <c r="Q695" s="1"/>
      <c r="R695" s="1"/>
      <c r="S695" s="1"/>
      <c r="T695" s="1"/>
      <c r="U695" s="1"/>
      <c r="V695" s="1"/>
      <c r="W695" s="1"/>
      <c r="X695" s="1"/>
      <c r="Y695" s="1"/>
      <c r="Z695" s="1"/>
      <c r="AA695" s="1"/>
      <c r="AB695" s="1"/>
    </row>
    <row r="696" spans="2:28" ht="11.25" customHeight="1" x14ac:dyDescent="0.25">
      <c r="B696" s="16"/>
      <c r="C696" s="1"/>
      <c r="D696" s="1"/>
      <c r="E696" s="1"/>
      <c r="F696" s="1"/>
      <c r="G696" s="22"/>
      <c r="H696" s="1"/>
      <c r="I696" s="1"/>
      <c r="J696" s="1"/>
      <c r="K696" s="1"/>
      <c r="L696" s="1"/>
      <c r="M696" s="262"/>
      <c r="N696" s="1"/>
      <c r="O696" s="1"/>
      <c r="P696" s="1"/>
      <c r="Q696" s="1"/>
      <c r="R696" s="1"/>
      <c r="S696" s="1"/>
      <c r="T696" s="1"/>
      <c r="U696" s="1"/>
      <c r="V696" s="1"/>
      <c r="W696" s="1"/>
      <c r="X696" s="1"/>
      <c r="Y696" s="1"/>
      <c r="Z696" s="1"/>
      <c r="AA696" s="1"/>
      <c r="AB696" s="1"/>
    </row>
    <row r="697" spans="2:28" ht="11.25" customHeight="1" x14ac:dyDescent="0.25">
      <c r="B697" s="16"/>
      <c r="C697" s="1"/>
      <c r="D697" s="1"/>
      <c r="E697" s="1"/>
      <c r="F697" s="1"/>
      <c r="G697" s="22"/>
      <c r="H697" s="1"/>
      <c r="I697" s="1"/>
      <c r="J697" s="1"/>
      <c r="K697" s="1"/>
      <c r="L697" s="1"/>
      <c r="M697" s="262"/>
      <c r="N697" s="1"/>
      <c r="O697" s="1"/>
      <c r="P697" s="1"/>
      <c r="Q697" s="1"/>
      <c r="R697" s="1"/>
      <c r="S697" s="1"/>
      <c r="T697" s="1"/>
      <c r="U697" s="1"/>
      <c r="V697" s="1"/>
      <c r="W697" s="1"/>
      <c r="X697" s="1"/>
      <c r="Y697" s="1"/>
      <c r="Z697" s="1"/>
      <c r="AA697" s="1"/>
      <c r="AB697" s="1"/>
    </row>
    <row r="698" spans="2:28" ht="11.25" customHeight="1" x14ac:dyDescent="0.25">
      <c r="B698" s="16"/>
      <c r="C698" s="1"/>
      <c r="D698" s="1"/>
      <c r="E698" s="1"/>
      <c r="F698" s="1"/>
      <c r="G698" s="22"/>
      <c r="H698" s="1"/>
      <c r="I698" s="1"/>
      <c r="J698" s="1"/>
      <c r="K698" s="1"/>
      <c r="L698" s="1"/>
      <c r="M698" s="262"/>
      <c r="N698" s="1"/>
      <c r="O698" s="1"/>
      <c r="P698" s="1"/>
      <c r="Q698" s="1"/>
      <c r="R698" s="1"/>
      <c r="S698" s="1"/>
      <c r="T698" s="1"/>
      <c r="U698" s="1"/>
      <c r="V698" s="1"/>
      <c r="W698" s="1"/>
      <c r="X698" s="1"/>
      <c r="Y698" s="1"/>
      <c r="Z698" s="1"/>
      <c r="AA698" s="1"/>
      <c r="AB698" s="1"/>
    </row>
    <row r="699" spans="2:28" ht="11.25" customHeight="1" x14ac:dyDescent="0.25">
      <c r="B699" s="16"/>
      <c r="C699" s="1"/>
      <c r="D699" s="1"/>
      <c r="E699" s="1"/>
      <c r="F699" s="1"/>
      <c r="G699" s="22"/>
      <c r="H699" s="1"/>
      <c r="I699" s="1"/>
      <c r="J699" s="1"/>
      <c r="K699" s="1"/>
      <c r="L699" s="1"/>
      <c r="M699" s="262"/>
      <c r="N699" s="1"/>
      <c r="O699" s="1"/>
      <c r="P699" s="1"/>
      <c r="Q699" s="1"/>
      <c r="R699" s="1"/>
      <c r="S699" s="1"/>
      <c r="T699" s="1"/>
      <c r="U699" s="1"/>
      <c r="V699" s="1"/>
      <c r="W699" s="1"/>
      <c r="X699" s="1"/>
      <c r="Y699" s="1"/>
      <c r="Z699" s="1"/>
      <c r="AA699" s="1"/>
      <c r="AB699" s="1"/>
    </row>
    <row r="700" spans="2:28" ht="11.25" customHeight="1" x14ac:dyDescent="0.25">
      <c r="B700" s="16"/>
      <c r="C700" s="1"/>
      <c r="D700" s="1"/>
      <c r="E700" s="1"/>
      <c r="F700" s="1"/>
      <c r="G700" s="22"/>
      <c r="H700" s="1"/>
      <c r="I700" s="1"/>
      <c r="J700" s="1"/>
      <c r="K700" s="1"/>
      <c r="L700" s="1"/>
      <c r="M700" s="262"/>
      <c r="N700" s="1"/>
      <c r="O700" s="1"/>
      <c r="P700" s="1"/>
      <c r="Q700" s="1"/>
      <c r="R700" s="1"/>
      <c r="S700" s="1"/>
      <c r="T700" s="1"/>
      <c r="U700" s="1"/>
      <c r="V700" s="1"/>
      <c r="W700" s="1"/>
      <c r="X700" s="1"/>
      <c r="Y700" s="1"/>
      <c r="Z700" s="1"/>
      <c r="AA700" s="1"/>
      <c r="AB700" s="1"/>
    </row>
    <row r="701" spans="2:28" ht="11.25" customHeight="1" x14ac:dyDescent="0.25">
      <c r="B701" s="16"/>
      <c r="C701" s="1"/>
      <c r="D701" s="1"/>
      <c r="E701" s="1"/>
      <c r="F701" s="1"/>
      <c r="G701" s="22"/>
      <c r="H701" s="1"/>
      <c r="I701" s="1"/>
      <c r="J701" s="1"/>
      <c r="K701" s="1"/>
      <c r="L701" s="1"/>
      <c r="M701" s="262"/>
      <c r="N701" s="1"/>
      <c r="O701" s="1"/>
      <c r="P701" s="1"/>
      <c r="Q701" s="1"/>
      <c r="R701" s="1"/>
      <c r="S701" s="1"/>
      <c r="T701" s="1"/>
      <c r="U701" s="1"/>
      <c r="V701" s="1"/>
      <c r="W701" s="1"/>
      <c r="X701" s="1"/>
      <c r="Y701" s="1"/>
      <c r="Z701" s="1"/>
      <c r="AA701" s="1"/>
      <c r="AB701" s="1"/>
    </row>
    <row r="702" spans="2:28" ht="11.25" customHeight="1" x14ac:dyDescent="0.25">
      <c r="B702" s="16"/>
      <c r="C702" s="1"/>
      <c r="D702" s="1"/>
      <c r="E702" s="1"/>
      <c r="F702" s="1"/>
      <c r="G702" s="22"/>
      <c r="H702" s="1"/>
      <c r="I702" s="1"/>
      <c r="J702" s="1"/>
      <c r="K702" s="1"/>
      <c r="L702" s="1"/>
      <c r="M702" s="262"/>
      <c r="N702" s="1"/>
      <c r="O702" s="1"/>
      <c r="P702" s="1"/>
      <c r="Q702" s="1"/>
      <c r="R702" s="1"/>
      <c r="S702" s="1"/>
      <c r="T702" s="1"/>
      <c r="U702" s="1"/>
      <c r="V702" s="1"/>
      <c r="W702" s="1"/>
      <c r="X702" s="1"/>
      <c r="Y702" s="1"/>
      <c r="Z702" s="1"/>
      <c r="AA702" s="1"/>
      <c r="AB702" s="1"/>
    </row>
    <row r="703" spans="2:28" ht="11.25" customHeight="1" x14ac:dyDescent="0.25">
      <c r="B703" s="16"/>
      <c r="C703" s="1"/>
      <c r="D703" s="1"/>
      <c r="E703" s="1"/>
      <c r="F703" s="1"/>
      <c r="G703" s="22"/>
      <c r="H703" s="1"/>
      <c r="I703" s="1"/>
      <c r="J703" s="1"/>
      <c r="K703" s="1"/>
      <c r="L703" s="1"/>
      <c r="M703" s="262"/>
      <c r="N703" s="1"/>
      <c r="O703" s="1"/>
      <c r="P703" s="1"/>
      <c r="Q703" s="1"/>
      <c r="R703" s="1"/>
      <c r="S703" s="1"/>
      <c r="T703" s="1"/>
      <c r="U703" s="1"/>
      <c r="V703" s="1"/>
      <c r="W703" s="1"/>
      <c r="X703" s="1"/>
      <c r="Y703" s="1"/>
      <c r="Z703" s="1"/>
      <c r="AA703" s="1"/>
      <c r="AB703" s="1"/>
    </row>
    <row r="704" spans="2:28" ht="11.25" customHeight="1" x14ac:dyDescent="0.25">
      <c r="B704" s="16"/>
      <c r="C704" s="1"/>
      <c r="D704" s="1"/>
      <c r="E704" s="1"/>
      <c r="F704" s="1"/>
      <c r="G704" s="22"/>
      <c r="H704" s="1"/>
      <c r="I704" s="1"/>
      <c r="J704" s="1"/>
      <c r="K704" s="1"/>
      <c r="L704" s="1"/>
      <c r="M704" s="262"/>
      <c r="N704" s="1"/>
      <c r="O704" s="1"/>
      <c r="P704" s="1"/>
      <c r="Q704" s="1"/>
      <c r="R704" s="1"/>
      <c r="S704" s="1"/>
      <c r="T704" s="1"/>
      <c r="U704" s="1"/>
      <c r="V704" s="1"/>
      <c r="W704" s="1"/>
      <c r="X704" s="1"/>
      <c r="Y704" s="1"/>
      <c r="Z704" s="1"/>
      <c r="AA704" s="1"/>
      <c r="AB704" s="1"/>
    </row>
    <row r="705" spans="2:28" ht="11.25" customHeight="1" x14ac:dyDescent="0.25">
      <c r="B705" s="16"/>
      <c r="C705" s="1"/>
      <c r="D705" s="1"/>
      <c r="E705" s="1"/>
      <c r="F705" s="1"/>
      <c r="G705" s="22"/>
      <c r="H705" s="1"/>
      <c r="I705" s="1"/>
      <c r="J705" s="1"/>
      <c r="K705" s="1"/>
      <c r="L705" s="1"/>
      <c r="M705" s="262"/>
      <c r="N705" s="1"/>
      <c r="O705" s="1"/>
      <c r="P705" s="1"/>
      <c r="Q705" s="1"/>
      <c r="R705" s="1"/>
      <c r="S705" s="1"/>
      <c r="T705" s="1"/>
      <c r="U705" s="1"/>
      <c r="V705" s="1"/>
      <c r="W705" s="1"/>
      <c r="X705" s="1"/>
      <c r="Y705" s="1"/>
      <c r="Z705" s="1"/>
      <c r="AA705" s="1"/>
      <c r="AB705" s="1"/>
    </row>
    <row r="706" spans="2:28" ht="11.25" customHeight="1" x14ac:dyDescent="0.25">
      <c r="B706" s="16"/>
      <c r="C706" s="1"/>
      <c r="D706" s="1"/>
      <c r="E706" s="1"/>
      <c r="F706" s="1"/>
      <c r="G706" s="22"/>
      <c r="H706" s="1"/>
      <c r="I706" s="1"/>
      <c r="J706" s="1"/>
      <c r="K706" s="1"/>
      <c r="L706" s="1"/>
      <c r="M706" s="262"/>
      <c r="N706" s="1"/>
      <c r="O706" s="1"/>
      <c r="P706" s="1"/>
      <c r="Q706" s="1"/>
      <c r="R706" s="1"/>
      <c r="S706" s="1"/>
      <c r="T706" s="1"/>
      <c r="U706" s="1"/>
      <c r="V706" s="1"/>
      <c r="W706" s="1"/>
      <c r="X706" s="1"/>
      <c r="Y706" s="1"/>
      <c r="Z706" s="1"/>
      <c r="AA706" s="1"/>
      <c r="AB706" s="1"/>
    </row>
    <row r="707" spans="2:28" ht="11.25" customHeight="1" x14ac:dyDescent="0.25">
      <c r="B707" s="16"/>
      <c r="C707" s="1"/>
      <c r="D707" s="1"/>
      <c r="E707" s="1"/>
      <c r="F707" s="1"/>
      <c r="G707" s="22"/>
      <c r="H707" s="1"/>
      <c r="I707" s="1"/>
      <c r="J707" s="1"/>
      <c r="K707" s="1"/>
      <c r="L707" s="1"/>
      <c r="M707" s="262"/>
      <c r="N707" s="1"/>
      <c r="O707" s="1"/>
      <c r="P707" s="1"/>
      <c r="Q707" s="1"/>
      <c r="R707" s="1"/>
      <c r="S707" s="1"/>
      <c r="T707" s="1"/>
      <c r="U707" s="1"/>
      <c r="V707" s="1"/>
      <c r="W707" s="1"/>
      <c r="X707" s="1"/>
      <c r="Y707" s="1"/>
      <c r="Z707" s="1"/>
      <c r="AA707" s="1"/>
      <c r="AB707" s="1"/>
    </row>
    <row r="708" spans="2:28" ht="11.25" customHeight="1" x14ac:dyDescent="0.25">
      <c r="B708" s="16"/>
      <c r="C708" s="1"/>
      <c r="D708" s="1"/>
      <c r="E708" s="1"/>
      <c r="F708" s="1"/>
      <c r="G708" s="22"/>
      <c r="H708" s="1"/>
      <c r="I708" s="1"/>
      <c r="J708" s="1"/>
      <c r="K708" s="1"/>
      <c r="L708" s="1"/>
      <c r="M708" s="262"/>
      <c r="N708" s="1"/>
      <c r="O708" s="1"/>
      <c r="P708" s="1"/>
      <c r="Q708" s="1"/>
      <c r="R708" s="1"/>
      <c r="S708" s="1"/>
      <c r="T708" s="1"/>
      <c r="U708" s="1"/>
      <c r="V708" s="1"/>
      <c r="W708" s="1"/>
      <c r="X708" s="1"/>
      <c r="Y708" s="1"/>
      <c r="Z708" s="1"/>
      <c r="AA708" s="1"/>
      <c r="AB708" s="1"/>
    </row>
    <row r="709" spans="2:28" ht="11.25" customHeight="1" x14ac:dyDescent="0.25">
      <c r="B709" s="16"/>
      <c r="C709" s="1"/>
      <c r="D709" s="1"/>
      <c r="E709" s="1"/>
      <c r="F709" s="1"/>
      <c r="G709" s="22"/>
      <c r="H709" s="1"/>
      <c r="I709" s="1"/>
      <c r="J709" s="1"/>
      <c r="K709" s="1"/>
      <c r="L709" s="1"/>
      <c r="M709" s="262"/>
      <c r="N709" s="1"/>
      <c r="O709" s="1"/>
      <c r="P709" s="1"/>
      <c r="Q709" s="1"/>
      <c r="R709" s="1"/>
      <c r="S709" s="1"/>
      <c r="T709" s="1"/>
      <c r="U709" s="1"/>
      <c r="V709" s="1"/>
      <c r="W709" s="1"/>
      <c r="X709" s="1"/>
      <c r="Y709" s="1"/>
      <c r="Z709" s="1"/>
      <c r="AA709" s="1"/>
      <c r="AB709" s="1"/>
    </row>
    <row r="710" spans="2:28" ht="11.25" customHeight="1" x14ac:dyDescent="0.25">
      <c r="B710" s="16"/>
      <c r="C710" s="1"/>
      <c r="D710" s="1"/>
      <c r="E710" s="1"/>
      <c r="F710" s="1"/>
      <c r="G710" s="22"/>
      <c r="H710" s="1"/>
      <c r="I710" s="1"/>
      <c r="J710" s="1"/>
      <c r="K710" s="1"/>
      <c r="L710" s="1"/>
      <c r="M710" s="262"/>
      <c r="N710" s="1"/>
      <c r="O710" s="1"/>
      <c r="P710" s="1"/>
      <c r="Q710" s="1"/>
      <c r="R710" s="1"/>
      <c r="S710" s="1"/>
      <c r="T710" s="1"/>
      <c r="U710" s="1"/>
      <c r="V710" s="1"/>
      <c r="W710" s="1"/>
      <c r="X710" s="1"/>
      <c r="Y710" s="1"/>
      <c r="Z710" s="1"/>
      <c r="AA710" s="1"/>
      <c r="AB710" s="1"/>
    </row>
    <row r="711" spans="2:28" ht="11.25" customHeight="1" x14ac:dyDescent="0.25">
      <c r="B711" s="16"/>
      <c r="C711" s="1"/>
      <c r="D711" s="1"/>
      <c r="E711" s="1"/>
      <c r="F711" s="1"/>
      <c r="G711" s="22"/>
      <c r="H711" s="1"/>
      <c r="I711" s="1"/>
      <c r="J711" s="1"/>
      <c r="K711" s="1"/>
      <c r="L711" s="1"/>
      <c r="M711" s="262"/>
      <c r="N711" s="1"/>
      <c r="O711" s="1"/>
      <c r="P711" s="1"/>
      <c r="Q711" s="1"/>
      <c r="R711" s="1"/>
      <c r="S711" s="1"/>
      <c r="T711" s="1"/>
      <c r="U711" s="1"/>
      <c r="V711" s="1"/>
      <c r="W711" s="1"/>
      <c r="X711" s="1"/>
      <c r="Y711" s="1"/>
      <c r="Z711" s="1"/>
      <c r="AA711" s="1"/>
      <c r="AB711" s="1"/>
    </row>
    <row r="712" spans="2:28" ht="11.25" customHeight="1" x14ac:dyDescent="0.25">
      <c r="B712" s="16"/>
      <c r="C712" s="1"/>
      <c r="D712" s="1"/>
      <c r="E712" s="1"/>
      <c r="F712" s="1"/>
      <c r="G712" s="22"/>
      <c r="H712" s="1"/>
      <c r="I712" s="1"/>
      <c r="J712" s="1"/>
      <c r="K712" s="1"/>
      <c r="L712" s="1"/>
      <c r="M712" s="262"/>
      <c r="N712" s="1"/>
      <c r="O712" s="1"/>
      <c r="P712" s="1"/>
      <c r="Q712" s="1"/>
      <c r="R712" s="1"/>
      <c r="S712" s="1"/>
      <c r="T712" s="1"/>
      <c r="U712" s="1"/>
      <c r="V712" s="1"/>
      <c r="W712" s="1"/>
      <c r="X712" s="1"/>
      <c r="Y712" s="1"/>
      <c r="Z712" s="1"/>
      <c r="AA712" s="1"/>
      <c r="AB712" s="1"/>
    </row>
    <row r="713" spans="2:28" ht="11.25" customHeight="1" x14ac:dyDescent="0.25">
      <c r="B713" s="16"/>
      <c r="C713" s="1"/>
      <c r="D713" s="1"/>
      <c r="E713" s="1"/>
      <c r="F713" s="1"/>
      <c r="G713" s="22"/>
      <c r="H713" s="1"/>
      <c r="I713" s="1"/>
      <c r="J713" s="1"/>
      <c r="K713" s="1"/>
      <c r="L713" s="1"/>
      <c r="M713" s="262"/>
      <c r="N713" s="1"/>
      <c r="O713" s="1"/>
      <c r="P713" s="1"/>
      <c r="Q713" s="1"/>
      <c r="R713" s="1"/>
      <c r="S713" s="1"/>
      <c r="T713" s="1"/>
      <c r="U713" s="1"/>
      <c r="V713" s="1"/>
      <c r="W713" s="1"/>
      <c r="X713" s="1"/>
      <c r="Y713" s="1"/>
      <c r="Z713" s="1"/>
      <c r="AA713" s="1"/>
      <c r="AB713" s="1"/>
    </row>
    <row r="714" spans="2:28" ht="11.25" customHeight="1" x14ac:dyDescent="0.25">
      <c r="B714" s="16"/>
      <c r="C714" s="1"/>
      <c r="D714" s="1"/>
      <c r="E714" s="1"/>
      <c r="F714" s="1"/>
      <c r="G714" s="22"/>
      <c r="H714" s="1"/>
      <c r="I714" s="1"/>
      <c r="J714" s="1"/>
      <c r="K714" s="1"/>
      <c r="L714" s="1"/>
      <c r="M714" s="262"/>
      <c r="N714" s="1"/>
      <c r="O714" s="1"/>
      <c r="P714" s="1"/>
      <c r="Q714" s="1"/>
      <c r="R714" s="1"/>
      <c r="S714" s="1"/>
      <c r="T714" s="1"/>
      <c r="U714" s="1"/>
      <c r="V714" s="1"/>
      <c r="W714" s="1"/>
      <c r="X714" s="1"/>
      <c r="Y714" s="1"/>
      <c r="Z714" s="1"/>
      <c r="AA714" s="1"/>
      <c r="AB714" s="1"/>
    </row>
    <row r="715" spans="2:28" ht="11.25" customHeight="1" x14ac:dyDescent="0.25">
      <c r="B715" s="16"/>
      <c r="C715" s="1"/>
      <c r="D715" s="1"/>
      <c r="E715" s="1"/>
      <c r="F715" s="1"/>
      <c r="G715" s="22"/>
      <c r="H715" s="1"/>
      <c r="I715" s="1"/>
      <c r="J715" s="1"/>
      <c r="K715" s="1"/>
      <c r="L715" s="1"/>
      <c r="M715" s="262"/>
      <c r="N715" s="1"/>
      <c r="O715" s="1"/>
      <c r="P715" s="1"/>
      <c r="Q715" s="1"/>
      <c r="R715" s="1"/>
      <c r="S715" s="1"/>
      <c r="T715" s="1"/>
      <c r="U715" s="1"/>
      <c r="V715" s="1"/>
      <c r="W715" s="1"/>
      <c r="X715" s="1"/>
      <c r="Y715" s="1"/>
      <c r="Z715" s="1"/>
      <c r="AA715" s="1"/>
      <c r="AB715" s="1"/>
    </row>
    <row r="716" spans="2:28" ht="11.25" customHeight="1" x14ac:dyDescent="0.25">
      <c r="B716" s="16"/>
      <c r="C716" s="1"/>
      <c r="D716" s="1"/>
      <c r="E716" s="1"/>
      <c r="F716" s="1"/>
      <c r="G716" s="22"/>
      <c r="H716" s="1"/>
      <c r="I716" s="1"/>
      <c r="J716" s="1"/>
      <c r="K716" s="1"/>
      <c r="L716" s="1"/>
      <c r="M716" s="262"/>
      <c r="N716" s="1"/>
      <c r="O716" s="1"/>
      <c r="P716" s="1"/>
      <c r="Q716" s="1"/>
      <c r="R716" s="1"/>
      <c r="S716" s="1"/>
      <c r="T716" s="1"/>
      <c r="U716" s="1"/>
      <c r="V716" s="1"/>
      <c r="W716" s="1"/>
      <c r="X716" s="1"/>
      <c r="Y716" s="1"/>
      <c r="Z716" s="1"/>
      <c r="AA716" s="1"/>
      <c r="AB716" s="1"/>
    </row>
    <row r="717" spans="2:28" ht="11.25" customHeight="1" x14ac:dyDescent="0.25">
      <c r="B717" s="16"/>
      <c r="C717" s="1"/>
      <c r="D717" s="1"/>
      <c r="E717" s="1"/>
      <c r="F717" s="1"/>
      <c r="G717" s="22"/>
      <c r="H717" s="1"/>
      <c r="I717" s="1"/>
      <c r="J717" s="1"/>
      <c r="K717" s="1"/>
      <c r="L717" s="1"/>
      <c r="M717" s="262"/>
      <c r="N717" s="1"/>
      <c r="O717" s="1"/>
      <c r="P717" s="1"/>
      <c r="Q717" s="1"/>
      <c r="R717" s="1"/>
      <c r="S717" s="1"/>
      <c r="T717" s="1"/>
      <c r="U717" s="1"/>
      <c r="V717" s="1"/>
      <c r="W717" s="1"/>
      <c r="X717" s="1"/>
      <c r="Y717" s="1"/>
      <c r="Z717" s="1"/>
      <c r="AA717" s="1"/>
      <c r="AB717" s="1"/>
    </row>
    <row r="718" spans="2:28" ht="11.25" customHeight="1" x14ac:dyDescent="0.25">
      <c r="B718" s="16"/>
      <c r="C718" s="1"/>
      <c r="D718" s="1"/>
      <c r="E718" s="1"/>
      <c r="F718" s="1"/>
      <c r="G718" s="22"/>
      <c r="H718" s="1"/>
      <c r="I718" s="1"/>
      <c r="J718" s="1"/>
      <c r="K718" s="1"/>
      <c r="L718" s="1"/>
      <c r="M718" s="262"/>
      <c r="N718" s="1"/>
      <c r="O718" s="1"/>
      <c r="P718" s="1"/>
      <c r="Q718" s="1"/>
      <c r="R718" s="1"/>
      <c r="S718" s="1"/>
      <c r="T718" s="1"/>
      <c r="U718" s="1"/>
      <c r="V718" s="1"/>
      <c r="W718" s="1"/>
      <c r="X718" s="1"/>
      <c r="Y718" s="1"/>
      <c r="Z718" s="1"/>
      <c r="AA718" s="1"/>
      <c r="AB718" s="1"/>
    </row>
    <row r="719" spans="2:28" ht="11.25" customHeight="1" x14ac:dyDescent="0.25">
      <c r="B719" s="16"/>
      <c r="C719" s="1"/>
      <c r="D719" s="1"/>
      <c r="E719" s="1"/>
      <c r="F719" s="1"/>
      <c r="G719" s="22"/>
      <c r="H719" s="1"/>
      <c r="I719" s="1"/>
      <c r="J719" s="1"/>
      <c r="K719" s="1"/>
      <c r="L719" s="1"/>
      <c r="M719" s="262"/>
      <c r="N719" s="1"/>
      <c r="O719" s="1"/>
      <c r="P719" s="1"/>
      <c r="Q719" s="1"/>
      <c r="R719" s="1"/>
      <c r="S719" s="1"/>
      <c r="T719" s="1"/>
      <c r="U719" s="1"/>
      <c r="V719" s="1"/>
      <c r="W719" s="1"/>
      <c r="X719" s="1"/>
      <c r="Y719" s="1"/>
      <c r="Z719" s="1"/>
      <c r="AA719" s="1"/>
      <c r="AB719" s="1"/>
    </row>
    <row r="720" spans="2:28" ht="11.25" customHeight="1" x14ac:dyDescent="0.25">
      <c r="B720" s="16"/>
      <c r="C720" s="1"/>
      <c r="D720" s="1"/>
      <c r="E720" s="1"/>
      <c r="F720" s="1"/>
      <c r="G720" s="22"/>
      <c r="H720" s="1"/>
      <c r="I720" s="1"/>
      <c r="J720" s="1"/>
      <c r="K720" s="1"/>
      <c r="L720" s="1"/>
      <c r="M720" s="262"/>
      <c r="N720" s="1"/>
      <c r="O720" s="1"/>
      <c r="P720" s="1"/>
      <c r="Q720" s="1"/>
      <c r="R720" s="1"/>
      <c r="S720" s="1"/>
      <c r="T720" s="1"/>
      <c r="U720" s="1"/>
      <c r="V720" s="1"/>
      <c r="W720" s="1"/>
      <c r="X720" s="1"/>
      <c r="Y720" s="1"/>
      <c r="Z720" s="1"/>
      <c r="AA720" s="1"/>
      <c r="AB720" s="1"/>
    </row>
    <row r="721" spans="2:28" ht="11.25" customHeight="1" x14ac:dyDescent="0.25">
      <c r="B721" s="16"/>
      <c r="C721" s="1"/>
      <c r="D721" s="1"/>
      <c r="E721" s="1"/>
      <c r="F721" s="1"/>
      <c r="G721" s="22"/>
      <c r="H721" s="1"/>
      <c r="I721" s="1"/>
      <c r="J721" s="1"/>
      <c r="K721" s="1"/>
      <c r="L721" s="1"/>
      <c r="M721" s="262"/>
      <c r="N721" s="1"/>
      <c r="O721" s="1"/>
      <c r="P721" s="1"/>
      <c r="Q721" s="1"/>
      <c r="R721" s="1"/>
      <c r="S721" s="1"/>
      <c r="T721" s="1"/>
      <c r="U721" s="1"/>
      <c r="V721" s="1"/>
      <c r="W721" s="1"/>
      <c r="X721" s="1"/>
      <c r="Y721" s="1"/>
      <c r="Z721" s="1"/>
      <c r="AA721" s="1"/>
      <c r="AB721" s="1"/>
    </row>
    <row r="722" spans="2:28" ht="11.25" customHeight="1" x14ac:dyDescent="0.25">
      <c r="B722" s="16"/>
      <c r="C722" s="1"/>
      <c r="D722" s="1"/>
      <c r="E722" s="1"/>
      <c r="F722" s="1"/>
      <c r="G722" s="22"/>
      <c r="H722" s="1"/>
      <c r="I722" s="1"/>
      <c r="J722" s="1"/>
      <c r="K722" s="1"/>
      <c r="L722" s="1"/>
      <c r="M722" s="262"/>
      <c r="N722" s="1"/>
      <c r="O722" s="1"/>
      <c r="P722" s="1"/>
      <c r="Q722" s="1"/>
      <c r="R722" s="1"/>
      <c r="S722" s="1"/>
      <c r="T722" s="1"/>
      <c r="U722" s="1"/>
      <c r="V722" s="1"/>
      <c r="W722" s="1"/>
      <c r="X722" s="1"/>
      <c r="Y722" s="1"/>
      <c r="Z722" s="1"/>
      <c r="AA722" s="1"/>
      <c r="AB722" s="1"/>
    </row>
    <row r="723" spans="2:28" ht="11.25" customHeight="1" x14ac:dyDescent="0.25">
      <c r="B723" s="16"/>
      <c r="C723" s="1"/>
      <c r="D723" s="1"/>
      <c r="E723" s="1"/>
      <c r="F723" s="1"/>
      <c r="G723" s="22"/>
      <c r="H723" s="1"/>
      <c r="I723" s="1"/>
      <c r="J723" s="1"/>
      <c r="K723" s="1"/>
      <c r="L723" s="1"/>
      <c r="M723" s="262"/>
      <c r="N723" s="1"/>
      <c r="O723" s="1"/>
      <c r="P723" s="1"/>
      <c r="Q723" s="1"/>
      <c r="R723" s="1"/>
      <c r="S723" s="1"/>
      <c r="T723" s="1"/>
      <c r="U723" s="1"/>
      <c r="V723" s="1"/>
      <c r="W723" s="1"/>
      <c r="X723" s="1"/>
      <c r="Y723" s="1"/>
      <c r="Z723" s="1"/>
      <c r="AA723" s="1"/>
      <c r="AB723" s="1"/>
    </row>
    <row r="724" spans="2:28" ht="11.25" customHeight="1" x14ac:dyDescent="0.25">
      <c r="B724" s="16"/>
      <c r="C724" s="1"/>
      <c r="D724" s="1"/>
      <c r="E724" s="1"/>
      <c r="F724" s="1"/>
      <c r="G724" s="22"/>
      <c r="H724" s="1"/>
      <c r="I724" s="1"/>
      <c r="J724" s="1"/>
      <c r="K724" s="1"/>
      <c r="L724" s="1"/>
      <c r="M724" s="262"/>
      <c r="N724" s="1"/>
      <c r="O724" s="1"/>
      <c r="P724" s="1"/>
      <c r="Q724" s="1"/>
      <c r="R724" s="1"/>
      <c r="S724" s="1"/>
      <c r="T724" s="1"/>
      <c r="U724" s="1"/>
      <c r="V724" s="1"/>
      <c r="W724" s="1"/>
      <c r="X724" s="1"/>
      <c r="Y724" s="1"/>
      <c r="Z724" s="1"/>
      <c r="AA724" s="1"/>
      <c r="AB724" s="1"/>
    </row>
    <row r="725" spans="2:28" ht="11.25" customHeight="1" x14ac:dyDescent="0.25">
      <c r="B725" s="16"/>
      <c r="C725" s="1"/>
      <c r="D725" s="1"/>
      <c r="E725" s="1"/>
      <c r="F725" s="1"/>
      <c r="G725" s="22"/>
      <c r="H725" s="1"/>
      <c r="I725" s="1"/>
      <c r="J725" s="1"/>
      <c r="K725" s="1"/>
      <c r="L725" s="1"/>
      <c r="M725" s="262"/>
      <c r="N725" s="1"/>
      <c r="O725" s="1"/>
      <c r="P725" s="1"/>
      <c r="Q725" s="1"/>
      <c r="R725" s="1"/>
      <c r="S725" s="1"/>
      <c r="T725" s="1"/>
      <c r="U725" s="1"/>
      <c r="V725" s="1"/>
      <c r="W725" s="1"/>
      <c r="X725" s="1"/>
      <c r="Y725" s="1"/>
      <c r="Z725" s="1"/>
      <c r="AA725" s="1"/>
      <c r="AB725" s="1"/>
    </row>
    <row r="726" spans="2:28" ht="11.25" customHeight="1" x14ac:dyDescent="0.25">
      <c r="B726" s="16"/>
      <c r="C726" s="1"/>
      <c r="D726" s="1"/>
      <c r="E726" s="1"/>
      <c r="F726" s="1"/>
      <c r="G726" s="22"/>
      <c r="H726" s="1"/>
      <c r="I726" s="1"/>
      <c r="J726" s="1"/>
      <c r="K726" s="1"/>
      <c r="L726" s="1"/>
      <c r="M726" s="262"/>
      <c r="N726" s="1"/>
      <c r="O726" s="1"/>
      <c r="P726" s="1"/>
      <c r="Q726" s="1"/>
      <c r="R726" s="1"/>
      <c r="S726" s="1"/>
      <c r="T726" s="1"/>
      <c r="U726" s="1"/>
      <c r="V726" s="1"/>
      <c r="W726" s="1"/>
      <c r="X726" s="1"/>
      <c r="Y726" s="1"/>
      <c r="Z726" s="1"/>
      <c r="AA726" s="1"/>
      <c r="AB726" s="1"/>
    </row>
    <row r="727" spans="2:28" ht="11.25" customHeight="1" x14ac:dyDescent="0.25">
      <c r="B727" s="16"/>
      <c r="C727" s="1"/>
      <c r="D727" s="1"/>
      <c r="E727" s="1"/>
      <c r="F727" s="1"/>
      <c r="G727" s="22"/>
      <c r="H727" s="1"/>
      <c r="I727" s="1"/>
      <c r="J727" s="1"/>
      <c r="K727" s="1"/>
      <c r="L727" s="1"/>
      <c r="M727" s="262"/>
      <c r="N727" s="1"/>
      <c r="O727" s="1"/>
      <c r="P727" s="1"/>
      <c r="Q727" s="1"/>
      <c r="R727" s="1"/>
      <c r="S727" s="1"/>
      <c r="T727" s="1"/>
      <c r="U727" s="1"/>
      <c r="V727" s="1"/>
      <c r="W727" s="1"/>
      <c r="X727" s="1"/>
      <c r="Y727" s="1"/>
      <c r="Z727" s="1"/>
      <c r="AA727" s="1"/>
      <c r="AB727" s="1"/>
    </row>
    <row r="728" spans="2:28" ht="11.25" customHeight="1" x14ac:dyDescent="0.25">
      <c r="B728" s="16"/>
      <c r="C728" s="1"/>
      <c r="D728" s="1"/>
      <c r="E728" s="1"/>
      <c r="F728" s="1"/>
      <c r="G728" s="22"/>
      <c r="H728" s="1"/>
      <c r="I728" s="1"/>
      <c r="J728" s="1"/>
      <c r="K728" s="1"/>
      <c r="L728" s="1"/>
      <c r="M728" s="262"/>
      <c r="N728" s="1"/>
      <c r="O728" s="1"/>
      <c r="P728" s="1"/>
      <c r="Q728" s="1"/>
      <c r="R728" s="1"/>
      <c r="S728" s="1"/>
      <c r="T728" s="1"/>
      <c r="U728" s="1"/>
      <c r="V728" s="1"/>
      <c r="W728" s="1"/>
      <c r="X728" s="1"/>
      <c r="Y728" s="1"/>
      <c r="Z728" s="1"/>
      <c r="AA728" s="1"/>
      <c r="AB728" s="1"/>
    </row>
    <row r="729" spans="2:28" ht="11.25" customHeight="1" x14ac:dyDescent="0.25">
      <c r="B729" s="16"/>
      <c r="C729" s="1"/>
      <c r="D729" s="1"/>
      <c r="E729" s="1"/>
      <c r="F729" s="1"/>
      <c r="G729" s="22"/>
      <c r="H729" s="1"/>
      <c r="I729" s="1"/>
      <c r="J729" s="1"/>
      <c r="K729" s="1"/>
      <c r="L729" s="1"/>
      <c r="M729" s="262"/>
      <c r="N729" s="1"/>
      <c r="O729" s="1"/>
      <c r="P729" s="1"/>
      <c r="Q729" s="1"/>
      <c r="R729" s="1"/>
      <c r="S729" s="1"/>
      <c r="T729" s="1"/>
      <c r="U729" s="1"/>
      <c r="V729" s="1"/>
      <c r="W729" s="1"/>
      <c r="X729" s="1"/>
      <c r="Y729" s="1"/>
      <c r="Z729" s="1"/>
      <c r="AA729" s="1"/>
      <c r="AB729" s="1"/>
    </row>
    <row r="730" spans="2:28" ht="11.25" customHeight="1" x14ac:dyDescent="0.25">
      <c r="B730" s="16"/>
      <c r="C730" s="1"/>
      <c r="D730" s="1"/>
      <c r="E730" s="1"/>
      <c r="F730" s="1"/>
      <c r="G730" s="22"/>
      <c r="H730" s="1"/>
      <c r="I730" s="1"/>
      <c r="J730" s="1"/>
      <c r="K730" s="1"/>
      <c r="L730" s="1"/>
      <c r="M730" s="262"/>
      <c r="N730" s="1"/>
      <c r="O730" s="1"/>
      <c r="P730" s="1"/>
      <c r="Q730" s="1"/>
      <c r="R730" s="1"/>
      <c r="S730" s="1"/>
      <c r="T730" s="1"/>
      <c r="U730" s="1"/>
      <c r="V730" s="1"/>
      <c r="W730" s="1"/>
      <c r="X730" s="1"/>
      <c r="Y730" s="1"/>
      <c r="Z730" s="1"/>
      <c r="AA730" s="1"/>
      <c r="AB730" s="1"/>
    </row>
    <row r="731" spans="2:28" ht="11.25" customHeight="1" x14ac:dyDescent="0.25">
      <c r="B731" s="16"/>
      <c r="C731" s="1"/>
      <c r="D731" s="1"/>
      <c r="E731" s="1"/>
      <c r="F731" s="1"/>
      <c r="G731" s="22"/>
      <c r="H731" s="1"/>
      <c r="I731" s="1"/>
      <c r="J731" s="1"/>
      <c r="K731" s="1"/>
      <c r="L731" s="1"/>
      <c r="M731" s="262"/>
      <c r="N731" s="1"/>
      <c r="O731" s="1"/>
      <c r="P731" s="1"/>
      <c r="Q731" s="1"/>
      <c r="R731" s="1"/>
      <c r="S731" s="1"/>
      <c r="T731" s="1"/>
      <c r="U731" s="1"/>
      <c r="V731" s="1"/>
      <c r="W731" s="1"/>
      <c r="X731" s="1"/>
      <c r="Y731" s="1"/>
      <c r="Z731" s="1"/>
      <c r="AA731" s="1"/>
      <c r="AB731" s="1"/>
    </row>
    <row r="732" spans="2:28" ht="11.25" customHeight="1" x14ac:dyDescent="0.25">
      <c r="B732" s="16"/>
      <c r="C732" s="1"/>
      <c r="D732" s="1"/>
      <c r="E732" s="1"/>
      <c r="F732" s="1"/>
      <c r="G732" s="22"/>
      <c r="H732" s="1"/>
      <c r="I732" s="1"/>
      <c r="J732" s="1"/>
      <c r="K732" s="1"/>
      <c r="L732" s="1"/>
      <c r="M732" s="262"/>
      <c r="N732" s="1"/>
      <c r="O732" s="1"/>
      <c r="P732" s="1"/>
      <c r="Q732" s="1"/>
      <c r="R732" s="1"/>
      <c r="S732" s="1"/>
      <c r="T732" s="1"/>
      <c r="U732" s="1"/>
      <c r="V732" s="1"/>
      <c r="W732" s="1"/>
      <c r="X732" s="1"/>
      <c r="Y732" s="1"/>
      <c r="Z732" s="1"/>
      <c r="AA732" s="1"/>
      <c r="AB732" s="1"/>
    </row>
    <row r="733" spans="2:28" ht="11.25" customHeight="1" x14ac:dyDescent="0.25">
      <c r="B733" s="16"/>
      <c r="C733" s="1"/>
      <c r="D733" s="1"/>
      <c r="E733" s="1"/>
      <c r="F733" s="1"/>
      <c r="G733" s="22"/>
      <c r="H733" s="1"/>
      <c r="I733" s="1"/>
      <c r="J733" s="1"/>
      <c r="K733" s="1"/>
      <c r="L733" s="1"/>
      <c r="M733" s="262"/>
      <c r="N733" s="1"/>
      <c r="O733" s="1"/>
      <c r="P733" s="1"/>
      <c r="Q733" s="1"/>
      <c r="R733" s="1"/>
      <c r="S733" s="1"/>
      <c r="T733" s="1"/>
      <c r="U733" s="1"/>
      <c r="V733" s="1"/>
      <c r="W733" s="1"/>
      <c r="X733" s="1"/>
      <c r="Y733" s="1"/>
      <c r="Z733" s="1"/>
      <c r="AA733" s="1"/>
      <c r="AB733" s="1"/>
    </row>
    <row r="734" spans="2:28" ht="11.25" customHeight="1" x14ac:dyDescent="0.25">
      <c r="B734" s="16"/>
      <c r="C734" s="1"/>
      <c r="D734" s="1"/>
      <c r="E734" s="1"/>
      <c r="F734" s="1"/>
      <c r="G734" s="22"/>
      <c r="H734" s="1"/>
      <c r="I734" s="1"/>
      <c r="J734" s="1"/>
      <c r="K734" s="1"/>
      <c r="L734" s="1"/>
      <c r="M734" s="262"/>
      <c r="N734" s="1"/>
      <c r="O734" s="1"/>
      <c r="P734" s="1"/>
      <c r="Q734" s="1"/>
      <c r="R734" s="1"/>
      <c r="S734" s="1"/>
      <c r="T734" s="1"/>
      <c r="U734" s="1"/>
      <c r="V734" s="1"/>
      <c r="W734" s="1"/>
      <c r="X734" s="1"/>
      <c r="Y734" s="1"/>
      <c r="Z734" s="1"/>
      <c r="AA734" s="1"/>
      <c r="AB734" s="1"/>
    </row>
    <row r="735" spans="2:28" ht="11.25" customHeight="1" x14ac:dyDescent="0.25">
      <c r="B735" s="16"/>
      <c r="C735" s="1"/>
      <c r="D735" s="1"/>
      <c r="E735" s="1"/>
      <c r="F735" s="1"/>
      <c r="G735" s="22"/>
      <c r="H735" s="1"/>
      <c r="I735" s="1"/>
      <c r="J735" s="1"/>
      <c r="K735" s="1"/>
      <c r="L735" s="1"/>
      <c r="M735" s="262"/>
      <c r="N735" s="1"/>
      <c r="O735" s="1"/>
      <c r="P735" s="1"/>
      <c r="Q735" s="1"/>
      <c r="R735" s="1"/>
      <c r="S735" s="1"/>
      <c r="T735" s="1"/>
      <c r="U735" s="1"/>
      <c r="V735" s="1"/>
      <c r="W735" s="1"/>
      <c r="X735" s="1"/>
      <c r="Y735" s="1"/>
      <c r="Z735" s="1"/>
      <c r="AA735" s="1"/>
      <c r="AB735" s="1"/>
    </row>
    <row r="736" spans="2:28" ht="11.25" customHeight="1" x14ac:dyDescent="0.25">
      <c r="B736" s="16"/>
      <c r="C736" s="1"/>
      <c r="D736" s="1"/>
      <c r="E736" s="1"/>
      <c r="F736" s="1"/>
      <c r="G736" s="22"/>
      <c r="H736" s="1"/>
      <c r="I736" s="1"/>
      <c r="J736" s="1"/>
      <c r="K736" s="1"/>
      <c r="L736" s="1"/>
      <c r="M736" s="262"/>
      <c r="N736" s="1"/>
      <c r="O736" s="1"/>
      <c r="P736" s="1"/>
      <c r="Q736" s="1"/>
      <c r="R736" s="1"/>
      <c r="S736" s="1"/>
      <c r="T736" s="1"/>
      <c r="U736" s="1"/>
      <c r="V736" s="1"/>
      <c r="W736" s="1"/>
      <c r="X736" s="1"/>
      <c r="Y736" s="1"/>
      <c r="Z736" s="1"/>
      <c r="AA736" s="1"/>
      <c r="AB736" s="1"/>
    </row>
    <row r="737" spans="2:28" ht="11.25" customHeight="1" x14ac:dyDescent="0.25">
      <c r="B737" s="16"/>
      <c r="C737" s="1"/>
      <c r="D737" s="1"/>
      <c r="E737" s="1"/>
      <c r="F737" s="1"/>
      <c r="G737" s="22"/>
      <c r="H737" s="1"/>
      <c r="I737" s="1"/>
      <c r="J737" s="1"/>
      <c r="K737" s="1"/>
      <c r="L737" s="1"/>
      <c r="M737" s="262"/>
      <c r="N737" s="1"/>
      <c r="O737" s="1"/>
      <c r="P737" s="1"/>
      <c r="Q737" s="1"/>
      <c r="R737" s="1"/>
      <c r="S737" s="1"/>
      <c r="T737" s="1"/>
      <c r="U737" s="1"/>
      <c r="V737" s="1"/>
      <c r="W737" s="1"/>
      <c r="X737" s="1"/>
      <c r="Y737" s="1"/>
      <c r="Z737" s="1"/>
      <c r="AA737" s="1"/>
      <c r="AB737" s="1"/>
    </row>
    <row r="738" spans="2:28" ht="11.25" customHeight="1" x14ac:dyDescent="0.25">
      <c r="B738" s="16"/>
      <c r="C738" s="1"/>
      <c r="D738" s="1"/>
      <c r="E738" s="1"/>
      <c r="F738" s="1"/>
      <c r="G738" s="22"/>
      <c r="H738" s="1"/>
      <c r="I738" s="1"/>
      <c r="J738" s="1"/>
      <c r="K738" s="1"/>
      <c r="L738" s="1"/>
      <c r="M738" s="262"/>
      <c r="N738" s="1"/>
      <c r="O738" s="1"/>
      <c r="P738" s="1"/>
      <c r="Q738" s="1"/>
      <c r="R738" s="1"/>
      <c r="S738" s="1"/>
      <c r="T738" s="1"/>
      <c r="U738" s="1"/>
      <c r="V738" s="1"/>
      <c r="W738" s="1"/>
      <c r="X738" s="1"/>
      <c r="Y738" s="1"/>
      <c r="Z738" s="1"/>
      <c r="AA738" s="1"/>
      <c r="AB738" s="1"/>
    </row>
    <row r="739" spans="2:28" ht="11.25" customHeight="1" x14ac:dyDescent="0.25">
      <c r="B739" s="16"/>
      <c r="C739" s="1"/>
      <c r="D739" s="1"/>
      <c r="E739" s="1"/>
      <c r="F739" s="1"/>
      <c r="G739" s="22"/>
      <c r="H739" s="1"/>
      <c r="I739" s="1"/>
      <c r="J739" s="1"/>
      <c r="K739" s="1"/>
      <c r="L739" s="1"/>
      <c r="M739" s="262"/>
      <c r="N739" s="1"/>
      <c r="O739" s="1"/>
      <c r="P739" s="1"/>
      <c r="Q739" s="1"/>
      <c r="R739" s="1"/>
      <c r="S739" s="1"/>
      <c r="T739" s="1"/>
      <c r="U739" s="1"/>
      <c r="V739" s="1"/>
      <c r="W739" s="1"/>
      <c r="X739" s="1"/>
      <c r="Y739" s="1"/>
      <c r="Z739" s="1"/>
      <c r="AA739" s="1"/>
      <c r="AB739" s="1"/>
    </row>
    <row r="740" spans="2:28" ht="11.25" customHeight="1" x14ac:dyDescent="0.25">
      <c r="B740" s="16"/>
      <c r="C740" s="1"/>
      <c r="D740" s="1"/>
      <c r="E740" s="1"/>
      <c r="F740" s="1"/>
      <c r="G740" s="22"/>
      <c r="H740" s="1"/>
      <c r="I740" s="1"/>
      <c r="J740" s="1"/>
      <c r="K740" s="1"/>
      <c r="L740" s="1"/>
      <c r="M740" s="262"/>
      <c r="N740" s="1"/>
      <c r="O740" s="1"/>
      <c r="P740" s="1"/>
      <c r="Q740" s="1"/>
      <c r="R740" s="1"/>
      <c r="S740" s="1"/>
      <c r="T740" s="1"/>
      <c r="U740" s="1"/>
      <c r="V740" s="1"/>
      <c r="W740" s="1"/>
      <c r="X740" s="1"/>
      <c r="Y740" s="1"/>
      <c r="Z740" s="1"/>
      <c r="AA740" s="1"/>
      <c r="AB740" s="1"/>
    </row>
    <row r="741" spans="2:28" ht="11.25" customHeight="1" x14ac:dyDescent="0.25">
      <c r="B741" s="16"/>
      <c r="C741" s="1"/>
      <c r="D741" s="1"/>
      <c r="E741" s="1"/>
      <c r="F741" s="1"/>
      <c r="G741" s="22"/>
      <c r="H741" s="1"/>
      <c r="I741" s="1"/>
      <c r="J741" s="1"/>
      <c r="K741" s="1"/>
      <c r="L741" s="1"/>
      <c r="M741" s="262"/>
      <c r="N741" s="1"/>
      <c r="O741" s="1"/>
      <c r="P741" s="1"/>
      <c r="Q741" s="1"/>
      <c r="R741" s="1"/>
      <c r="S741" s="1"/>
      <c r="T741" s="1"/>
      <c r="U741" s="1"/>
      <c r="V741" s="1"/>
      <c r="W741" s="1"/>
      <c r="X741" s="1"/>
      <c r="Y741" s="1"/>
      <c r="Z741" s="1"/>
      <c r="AA741" s="1"/>
      <c r="AB741" s="1"/>
    </row>
    <row r="742" spans="2:28" ht="11.25" customHeight="1" x14ac:dyDescent="0.25">
      <c r="B742" s="16"/>
      <c r="C742" s="1"/>
      <c r="D742" s="1"/>
      <c r="E742" s="1"/>
      <c r="F742" s="1"/>
      <c r="G742" s="22"/>
      <c r="H742" s="1"/>
      <c r="I742" s="1"/>
      <c r="J742" s="1"/>
      <c r="K742" s="1"/>
      <c r="L742" s="1"/>
      <c r="M742" s="262"/>
      <c r="N742" s="1"/>
      <c r="O742" s="1"/>
      <c r="P742" s="1"/>
      <c r="Q742" s="1"/>
      <c r="R742" s="1"/>
      <c r="S742" s="1"/>
      <c r="T742" s="1"/>
      <c r="U742" s="1"/>
      <c r="V742" s="1"/>
      <c r="W742" s="1"/>
      <c r="X742" s="1"/>
      <c r="Y742" s="1"/>
      <c r="Z742" s="1"/>
      <c r="AA742" s="1"/>
      <c r="AB742" s="1"/>
    </row>
    <row r="743" spans="2:28" ht="11.25" customHeight="1" x14ac:dyDescent="0.25">
      <c r="B743" s="16"/>
      <c r="C743" s="1"/>
      <c r="D743" s="1"/>
      <c r="E743" s="1"/>
      <c r="F743" s="1"/>
      <c r="G743" s="22"/>
      <c r="H743" s="1"/>
      <c r="I743" s="1"/>
      <c r="J743" s="1"/>
      <c r="K743" s="1"/>
      <c r="L743" s="1"/>
      <c r="M743" s="262"/>
      <c r="N743" s="1"/>
      <c r="O743" s="1"/>
      <c r="P743" s="1"/>
      <c r="Q743" s="1"/>
      <c r="R743" s="1"/>
      <c r="S743" s="1"/>
      <c r="T743" s="1"/>
      <c r="U743" s="1"/>
      <c r="V743" s="1"/>
      <c r="W743" s="1"/>
      <c r="X743" s="1"/>
      <c r="Y743" s="1"/>
      <c r="Z743" s="1"/>
      <c r="AA743" s="1"/>
      <c r="AB743" s="1"/>
    </row>
    <row r="744" spans="2:28" ht="11.25" customHeight="1" x14ac:dyDescent="0.25">
      <c r="B744" s="16"/>
      <c r="C744" s="1"/>
      <c r="D744" s="1"/>
      <c r="E744" s="1"/>
      <c r="F744" s="1"/>
      <c r="G744" s="22"/>
      <c r="H744" s="1"/>
      <c r="I744" s="1"/>
      <c r="J744" s="1"/>
      <c r="K744" s="1"/>
      <c r="L744" s="1"/>
      <c r="M744" s="262"/>
      <c r="N744" s="1"/>
      <c r="O744" s="1"/>
      <c r="P744" s="1"/>
      <c r="Q744" s="1"/>
      <c r="R744" s="1"/>
      <c r="S744" s="1"/>
      <c r="T744" s="1"/>
      <c r="U744" s="1"/>
      <c r="V744" s="1"/>
      <c r="W744" s="1"/>
      <c r="X744" s="1"/>
      <c r="Y744" s="1"/>
      <c r="Z744" s="1"/>
      <c r="AA744" s="1"/>
      <c r="AB744" s="1"/>
    </row>
    <row r="745" spans="2:28" ht="11.25" customHeight="1" x14ac:dyDescent="0.25">
      <c r="B745" s="16"/>
      <c r="C745" s="1"/>
      <c r="D745" s="1"/>
      <c r="E745" s="1"/>
      <c r="F745" s="1"/>
      <c r="G745" s="22"/>
      <c r="H745" s="1"/>
      <c r="I745" s="1"/>
      <c r="J745" s="1"/>
      <c r="K745" s="1"/>
      <c r="L745" s="1"/>
      <c r="M745" s="262"/>
      <c r="N745" s="1"/>
      <c r="O745" s="1"/>
      <c r="P745" s="1"/>
      <c r="Q745" s="1"/>
      <c r="R745" s="1"/>
      <c r="S745" s="1"/>
      <c r="T745" s="1"/>
      <c r="U745" s="1"/>
      <c r="V745" s="1"/>
      <c r="W745" s="1"/>
      <c r="X745" s="1"/>
      <c r="Y745" s="1"/>
      <c r="Z745" s="1"/>
      <c r="AA745" s="1"/>
      <c r="AB745" s="1"/>
    </row>
    <row r="746" spans="2:28" ht="11.25" customHeight="1" x14ac:dyDescent="0.25">
      <c r="B746" s="16"/>
      <c r="C746" s="1"/>
      <c r="D746" s="1"/>
      <c r="E746" s="1"/>
      <c r="F746" s="1"/>
      <c r="G746" s="22"/>
      <c r="H746" s="1"/>
      <c r="I746" s="1"/>
      <c r="J746" s="1"/>
      <c r="K746" s="1"/>
      <c r="L746" s="1"/>
      <c r="M746" s="262"/>
      <c r="N746" s="1"/>
      <c r="O746" s="1"/>
      <c r="P746" s="1"/>
      <c r="Q746" s="1"/>
      <c r="R746" s="1"/>
      <c r="S746" s="1"/>
      <c r="T746" s="1"/>
      <c r="U746" s="1"/>
      <c r="V746" s="1"/>
      <c r="W746" s="1"/>
      <c r="X746" s="1"/>
      <c r="Y746" s="1"/>
      <c r="Z746" s="1"/>
      <c r="AA746" s="1"/>
      <c r="AB746" s="1"/>
    </row>
    <row r="747" spans="2:28" ht="11.25" customHeight="1" x14ac:dyDescent="0.25">
      <c r="B747" s="16"/>
      <c r="C747" s="1"/>
      <c r="D747" s="1"/>
      <c r="E747" s="1"/>
      <c r="F747" s="1"/>
      <c r="G747" s="22"/>
      <c r="H747" s="1"/>
      <c r="I747" s="1"/>
      <c r="J747" s="1"/>
      <c r="K747" s="1"/>
      <c r="L747" s="1"/>
      <c r="M747" s="262"/>
      <c r="N747" s="1"/>
      <c r="O747" s="1"/>
      <c r="P747" s="1"/>
      <c r="Q747" s="1"/>
      <c r="R747" s="1"/>
      <c r="S747" s="1"/>
      <c r="T747" s="1"/>
      <c r="U747" s="1"/>
      <c r="V747" s="1"/>
      <c r="W747" s="1"/>
      <c r="X747" s="1"/>
      <c r="Y747" s="1"/>
      <c r="Z747" s="1"/>
      <c r="AA747" s="1"/>
      <c r="AB747" s="1"/>
    </row>
    <row r="748" spans="2:28" ht="11.25" customHeight="1" x14ac:dyDescent="0.25">
      <c r="B748" s="16"/>
      <c r="C748" s="1"/>
      <c r="D748" s="1"/>
      <c r="E748" s="1"/>
      <c r="F748" s="1"/>
      <c r="G748" s="22"/>
      <c r="H748" s="1"/>
      <c r="I748" s="1"/>
      <c r="J748" s="1"/>
      <c r="K748" s="1"/>
      <c r="L748" s="1"/>
      <c r="M748" s="262"/>
      <c r="N748" s="1"/>
      <c r="O748" s="1"/>
      <c r="P748" s="1"/>
      <c r="Q748" s="1"/>
      <c r="R748" s="1"/>
      <c r="S748" s="1"/>
      <c r="T748" s="1"/>
      <c r="U748" s="1"/>
      <c r="V748" s="1"/>
      <c r="W748" s="1"/>
      <c r="X748" s="1"/>
      <c r="Y748" s="1"/>
      <c r="Z748" s="1"/>
      <c r="AA748" s="1"/>
      <c r="AB748" s="1"/>
    </row>
    <row r="749" spans="2:28" ht="11.25" customHeight="1" x14ac:dyDescent="0.25">
      <c r="B749" s="16"/>
      <c r="C749" s="1"/>
      <c r="D749" s="1"/>
      <c r="E749" s="1"/>
      <c r="F749" s="1"/>
      <c r="G749" s="22"/>
      <c r="H749" s="1"/>
      <c r="I749" s="1"/>
      <c r="J749" s="1"/>
      <c r="K749" s="1"/>
      <c r="L749" s="1"/>
      <c r="M749" s="262"/>
      <c r="N749" s="1"/>
      <c r="O749" s="1"/>
      <c r="P749" s="1"/>
      <c r="Q749" s="1"/>
      <c r="R749" s="1"/>
      <c r="S749" s="1"/>
      <c r="T749" s="1"/>
      <c r="U749" s="1"/>
      <c r="V749" s="1"/>
      <c r="W749" s="1"/>
      <c r="X749" s="1"/>
      <c r="Y749" s="1"/>
      <c r="Z749" s="1"/>
      <c r="AA749" s="1"/>
      <c r="AB749" s="1"/>
    </row>
    <row r="750" spans="2:28" ht="11.25" customHeight="1" x14ac:dyDescent="0.25">
      <c r="B750" s="16"/>
      <c r="C750" s="1"/>
      <c r="D750" s="1"/>
      <c r="E750" s="1"/>
      <c r="F750" s="1"/>
      <c r="G750" s="22"/>
      <c r="H750" s="1"/>
      <c r="I750" s="1"/>
      <c r="J750" s="1"/>
      <c r="K750" s="1"/>
      <c r="L750" s="1"/>
      <c r="M750" s="262"/>
      <c r="N750" s="1"/>
      <c r="O750" s="1"/>
      <c r="P750" s="1"/>
      <c r="Q750" s="1"/>
      <c r="R750" s="1"/>
      <c r="S750" s="1"/>
      <c r="T750" s="1"/>
      <c r="U750" s="1"/>
      <c r="V750" s="1"/>
      <c r="W750" s="1"/>
      <c r="X750" s="1"/>
      <c r="Y750" s="1"/>
      <c r="Z750" s="1"/>
      <c r="AA750" s="1"/>
      <c r="AB750" s="1"/>
    </row>
    <row r="751" spans="2:28" ht="11.25" customHeight="1" x14ac:dyDescent="0.25">
      <c r="B751" s="16"/>
      <c r="C751" s="1"/>
      <c r="D751" s="1"/>
      <c r="E751" s="1"/>
      <c r="F751" s="1"/>
      <c r="G751" s="22"/>
      <c r="H751" s="1"/>
      <c r="I751" s="1"/>
      <c r="J751" s="1"/>
      <c r="K751" s="1"/>
      <c r="L751" s="1"/>
      <c r="M751" s="262"/>
      <c r="N751" s="1"/>
      <c r="O751" s="1"/>
      <c r="P751" s="1"/>
      <c r="Q751" s="1"/>
      <c r="R751" s="1"/>
      <c r="S751" s="1"/>
      <c r="T751" s="1"/>
      <c r="U751" s="1"/>
      <c r="V751" s="1"/>
      <c r="W751" s="1"/>
      <c r="X751" s="1"/>
      <c r="Y751" s="1"/>
      <c r="Z751" s="1"/>
      <c r="AA751" s="1"/>
      <c r="AB751" s="1"/>
    </row>
    <row r="752" spans="2:28" ht="11.25" customHeight="1" x14ac:dyDescent="0.25">
      <c r="B752" s="16"/>
      <c r="C752" s="1"/>
      <c r="D752" s="1"/>
      <c r="E752" s="1"/>
      <c r="F752" s="1"/>
      <c r="G752" s="22"/>
      <c r="H752" s="1"/>
      <c r="I752" s="1"/>
      <c r="J752" s="1"/>
      <c r="K752" s="1"/>
      <c r="L752" s="1"/>
      <c r="M752" s="262"/>
      <c r="N752" s="1"/>
      <c r="O752" s="1"/>
      <c r="P752" s="1"/>
      <c r="Q752" s="1"/>
      <c r="R752" s="1"/>
      <c r="S752" s="1"/>
      <c r="T752" s="1"/>
      <c r="U752" s="1"/>
      <c r="V752" s="1"/>
      <c r="W752" s="1"/>
      <c r="X752" s="1"/>
      <c r="Y752" s="1"/>
      <c r="Z752" s="1"/>
      <c r="AA752" s="1"/>
      <c r="AB752" s="1"/>
    </row>
    <row r="753" spans="2:28" ht="11.25" customHeight="1" x14ac:dyDescent="0.25">
      <c r="B753" s="16"/>
      <c r="C753" s="1"/>
      <c r="D753" s="1"/>
      <c r="E753" s="1"/>
      <c r="F753" s="1"/>
      <c r="G753" s="22"/>
      <c r="H753" s="1"/>
      <c r="I753" s="1"/>
      <c r="J753" s="1"/>
      <c r="K753" s="1"/>
      <c r="L753" s="1"/>
      <c r="M753" s="262"/>
      <c r="N753" s="1"/>
      <c r="O753" s="1"/>
      <c r="P753" s="1"/>
      <c r="Q753" s="1"/>
      <c r="R753" s="1"/>
      <c r="S753" s="1"/>
      <c r="T753" s="1"/>
      <c r="U753" s="1"/>
      <c r="V753" s="1"/>
      <c r="W753" s="1"/>
      <c r="X753" s="1"/>
      <c r="Y753" s="1"/>
      <c r="Z753" s="1"/>
      <c r="AA753" s="1"/>
      <c r="AB753" s="1"/>
    </row>
    <row r="754" spans="2:28" ht="11.25" customHeight="1" x14ac:dyDescent="0.25">
      <c r="B754" s="16"/>
      <c r="C754" s="1"/>
      <c r="D754" s="1"/>
      <c r="E754" s="1"/>
      <c r="F754" s="1"/>
      <c r="G754" s="22"/>
      <c r="H754" s="1"/>
      <c r="I754" s="1"/>
      <c r="J754" s="1"/>
      <c r="K754" s="1"/>
      <c r="L754" s="1"/>
      <c r="M754" s="262"/>
      <c r="N754" s="1"/>
      <c r="O754" s="1"/>
      <c r="P754" s="1"/>
      <c r="Q754" s="1"/>
      <c r="R754" s="1"/>
      <c r="S754" s="1"/>
      <c r="T754" s="1"/>
      <c r="U754" s="1"/>
      <c r="V754" s="1"/>
      <c r="W754" s="1"/>
      <c r="X754" s="1"/>
      <c r="Y754" s="1"/>
      <c r="Z754" s="1"/>
      <c r="AA754" s="1"/>
      <c r="AB754" s="1"/>
    </row>
    <row r="755" spans="2:28" ht="11.25" customHeight="1" x14ac:dyDescent="0.25">
      <c r="B755" s="16"/>
      <c r="C755" s="1"/>
      <c r="D755" s="1"/>
      <c r="E755" s="1"/>
      <c r="F755" s="1"/>
      <c r="G755" s="22"/>
      <c r="H755" s="1"/>
      <c r="I755" s="1"/>
      <c r="J755" s="1"/>
      <c r="K755" s="1"/>
      <c r="L755" s="1"/>
      <c r="M755" s="262"/>
      <c r="N755" s="1"/>
      <c r="O755" s="1"/>
      <c r="P755" s="1"/>
      <c r="Q755" s="1"/>
      <c r="R755" s="1"/>
      <c r="S755" s="1"/>
      <c r="T755" s="1"/>
      <c r="U755" s="1"/>
      <c r="V755" s="1"/>
      <c r="W755" s="1"/>
      <c r="X755" s="1"/>
      <c r="Y755" s="1"/>
      <c r="Z755" s="1"/>
      <c r="AA755" s="1"/>
      <c r="AB755" s="1"/>
    </row>
    <row r="756" spans="2:28" ht="11.25" customHeight="1" x14ac:dyDescent="0.25">
      <c r="B756" s="16"/>
      <c r="C756" s="1"/>
      <c r="D756" s="1"/>
      <c r="E756" s="1"/>
      <c r="F756" s="1"/>
      <c r="G756" s="22"/>
      <c r="H756" s="1"/>
      <c r="I756" s="1"/>
      <c r="J756" s="1"/>
      <c r="K756" s="1"/>
      <c r="L756" s="1"/>
      <c r="M756" s="262"/>
      <c r="N756" s="1"/>
      <c r="O756" s="1"/>
      <c r="P756" s="1"/>
      <c r="Q756" s="1"/>
      <c r="R756" s="1"/>
      <c r="S756" s="1"/>
      <c r="T756" s="1"/>
      <c r="U756" s="1"/>
      <c r="V756" s="1"/>
      <c r="W756" s="1"/>
      <c r="X756" s="1"/>
      <c r="Y756" s="1"/>
      <c r="Z756" s="1"/>
      <c r="AA756" s="1"/>
      <c r="AB756" s="1"/>
    </row>
    <row r="757" spans="2:28" ht="11.25" customHeight="1" x14ac:dyDescent="0.25">
      <c r="B757" s="16"/>
      <c r="C757" s="1"/>
      <c r="D757" s="1"/>
      <c r="E757" s="1"/>
      <c r="F757" s="1"/>
      <c r="G757" s="22"/>
      <c r="H757" s="1"/>
      <c r="I757" s="1"/>
      <c r="J757" s="1"/>
      <c r="K757" s="1"/>
      <c r="L757" s="1"/>
      <c r="M757" s="262"/>
      <c r="N757" s="1"/>
      <c r="O757" s="1"/>
      <c r="P757" s="1"/>
      <c r="Q757" s="1"/>
      <c r="R757" s="1"/>
      <c r="S757" s="1"/>
      <c r="T757" s="1"/>
      <c r="U757" s="1"/>
      <c r="V757" s="1"/>
      <c r="W757" s="1"/>
      <c r="X757" s="1"/>
      <c r="Y757" s="1"/>
      <c r="Z757" s="1"/>
      <c r="AA757" s="1"/>
      <c r="AB757" s="1"/>
    </row>
    <row r="758" spans="2:28" ht="11.25" customHeight="1" x14ac:dyDescent="0.25">
      <c r="B758" s="16"/>
      <c r="C758" s="1"/>
      <c r="D758" s="1"/>
      <c r="E758" s="1"/>
      <c r="F758" s="1"/>
      <c r="G758" s="22"/>
      <c r="H758" s="1"/>
      <c r="I758" s="1"/>
      <c r="J758" s="1"/>
      <c r="K758" s="1"/>
      <c r="L758" s="1"/>
      <c r="M758" s="262"/>
      <c r="N758" s="1"/>
      <c r="O758" s="1"/>
      <c r="P758" s="1"/>
      <c r="Q758" s="1"/>
      <c r="R758" s="1"/>
      <c r="S758" s="1"/>
      <c r="T758" s="1"/>
      <c r="U758" s="1"/>
      <c r="V758" s="1"/>
      <c r="W758" s="1"/>
      <c r="X758" s="1"/>
      <c r="Y758" s="1"/>
      <c r="Z758" s="1"/>
      <c r="AA758" s="1"/>
      <c r="AB758" s="1"/>
    </row>
    <row r="759" spans="2:28" ht="11.25" customHeight="1" x14ac:dyDescent="0.25">
      <c r="B759" s="16"/>
      <c r="C759" s="1"/>
      <c r="D759" s="1"/>
      <c r="E759" s="1"/>
      <c r="F759" s="1"/>
      <c r="G759" s="22"/>
      <c r="H759" s="1"/>
      <c r="I759" s="1"/>
      <c r="J759" s="1"/>
      <c r="K759" s="1"/>
      <c r="L759" s="1"/>
      <c r="M759" s="262"/>
      <c r="N759" s="1"/>
      <c r="O759" s="1"/>
      <c r="P759" s="1"/>
      <c r="Q759" s="1"/>
      <c r="R759" s="1"/>
      <c r="S759" s="1"/>
      <c r="T759" s="1"/>
      <c r="U759" s="1"/>
      <c r="V759" s="1"/>
      <c r="W759" s="1"/>
      <c r="X759" s="1"/>
      <c r="Y759" s="1"/>
      <c r="Z759" s="1"/>
      <c r="AA759" s="1"/>
      <c r="AB759" s="1"/>
    </row>
    <row r="760" spans="2:28" ht="11.25" customHeight="1" x14ac:dyDescent="0.25">
      <c r="B760" s="16"/>
      <c r="C760" s="1"/>
      <c r="D760" s="1"/>
      <c r="E760" s="1"/>
      <c r="F760" s="1"/>
      <c r="G760" s="22"/>
      <c r="H760" s="1"/>
      <c r="I760" s="1"/>
      <c r="J760" s="1"/>
      <c r="K760" s="1"/>
      <c r="L760" s="1"/>
      <c r="M760" s="262"/>
      <c r="N760" s="1"/>
      <c r="O760" s="1"/>
      <c r="P760" s="1"/>
      <c r="Q760" s="1"/>
      <c r="R760" s="1"/>
      <c r="S760" s="1"/>
      <c r="T760" s="1"/>
      <c r="U760" s="1"/>
      <c r="V760" s="1"/>
      <c r="W760" s="1"/>
      <c r="X760" s="1"/>
      <c r="Y760" s="1"/>
      <c r="Z760" s="1"/>
      <c r="AA760" s="1"/>
      <c r="AB760" s="1"/>
    </row>
    <row r="761" spans="2:28" ht="11.25" customHeight="1" x14ac:dyDescent="0.25">
      <c r="B761" s="16"/>
      <c r="C761" s="1"/>
      <c r="D761" s="1"/>
      <c r="E761" s="1"/>
      <c r="F761" s="1"/>
      <c r="G761" s="22"/>
      <c r="H761" s="1"/>
      <c r="I761" s="1"/>
      <c r="J761" s="1"/>
      <c r="K761" s="1"/>
      <c r="L761" s="1"/>
      <c r="M761" s="262"/>
      <c r="N761" s="1"/>
      <c r="O761" s="1"/>
      <c r="P761" s="1"/>
      <c r="Q761" s="1"/>
      <c r="R761" s="1"/>
      <c r="S761" s="1"/>
      <c r="T761" s="1"/>
      <c r="U761" s="1"/>
      <c r="V761" s="1"/>
      <c r="W761" s="1"/>
      <c r="X761" s="1"/>
      <c r="Y761" s="1"/>
      <c r="Z761" s="1"/>
      <c r="AA761" s="1"/>
      <c r="AB761" s="1"/>
    </row>
    <row r="762" spans="2:28" ht="11.25" customHeight="1" x14ac:dyDescent="0.25">
      <c r="B762" s="16"/>
      <c r="C762" s="1"/>
      <c r="D762" s="1"/>
      <c r="E762" s="1"/>
      <c r="F762" s="1"/>
      <c r="G762" s="22"/>
      <c r="H762" s="1"/>
      <c r="I762" s="1"/>
      <c r="J762" s="1"/>
      <c r="K762" s="1"/>
      <c r="L762" s="1"/>
      <c r="M762" s="262"/>
      <c r="N762" s="1"/>
      <c r="O762" s="1"/>
      <c r="P762" s="1"/>
      <c r="Q762" s="1"/>
      <c r="R762" s="1"/>
      <c r="S762" s="1"/>
      <c r="T762" s="1"/>
      <c r="U762" s="1"/>
      <c r="V762" s="1"/>
      <c r="W762" s="1"/>
      <c r="X762" s="1"/>
      <c r="Y762" s="1"/>
      <c r="Z762" s="1"/>
      <c r="AA762" s="1"/>
      <c r="AB762" s="1"/>
    </row>
    <row r="763" spans="2:28" ht="11.25" customHeight="1" x14ac:dyDescent="0.25">
      <c r="B763" s="16"/>
      <c r="C763" s="1"/>
      <c r="D763" s="1"/>
      <c r="E763" s="1"/>
      <c r="F763" s="1"/>
      <c r="G763" s="22"/>
      <c r="H763" s="1"/>
      <c r="I763" s="1"/>
      <c r="J763" s="1"/>
      <c r="K763" s="1"/>
      <c r="L763" s="1"/>
      <c r="M763" s="262"/>
      <c r="N763" s="1"/>
      <c r="O763" s="1"/>
      <c r="P763" s="1"/>
      <c r="Q763" s="1"/>
      <c r="R763" s="1"/>
      <c r="S763" s="1"/>
      <c r="T763" s="1"/>
      <c r="U763" s="1"/>
      <c r="V763" s="1"/>
      <c r="W763" s="1"/>
      <c r="X763" s="1"/>
      <c r="Y763" s="1"/>
      <c r="Z763" s="1"/>
      <c r="AA763" s="1"/>
      <c r="AB763" s="1"/>
    </row>
    <row r="764" spans="2:28" ht="11.25" customHeight="1" x14ac:dyDescent="0.25">
      <c r="B764" s="16"/>
      <c r="C764" s="1"/>
      <c r="D764" s="1"/>
      <c r="E764" s="1"/>
      <c r="F764" s="1"/>
      <c r="G764" s="22"/>
      <c r="H764" s="1"/>
      <c r="I764" s="1"/>
      <c r="J764" s="1"/>
      <c r="K764" s="1"/>
      <c r="L764" s="1"/>
      <c r="M764" s="262"/>
      <c r="N764" s="1"/>
      <c r="O764" s="1"/>
      <c r="P764" s="1"/>
      <c r="Q764" s="1"/>
      <c r="R764" s="1"/>
      <c r="S764" s="1"/>
      <c r="T764" s="1"/>
      <c r="U764" s="1"/>
      <c r="V764" s="1"/>
      <c r="W764" s="1"/>
      <c r="X764" s="1"/>
      <c r="Y764" s="1"/>
      <c r="Z764" s="1"/>
      <c r="AA764" s="1"/>
      <c r="AB764" s="1"/>
    </row>
    <row r="765" spans="2:28" ht="11.25" customHeight="1" x14ac:dyDescent="0.25">
      <c r="B765" s="16"/>
      <c r="C765" s="1"/>
      <c r="D765" s="1"/>
      <c r="E765" s="1"/>
      <c r="F765" s="1"/>
      <c r="G765" s="22"/>
      <c r="H765" s="1"/>
      <c r="I765" s="1"/>
      <c r="J765" s="1"/>
      <c r="K765" s="1"/>
      <c r="L765" s="1"/>
      <c r="M765" s="262"/>
      <c r="N765" s="1"/>
      <c r="O765" s="1"/>
      <c r="P765" s="1"/>
      <c r="Q765" s="1"/>
      <c r="R765" s="1"/>
      <c r="S765" s="1"/>
      <c r="T765" s="1"/>
      <c r="U765" s="1"/>
      <c r="V765" s="1"/>
      <c r="W765" s="1"/>
      <c r="X765" s="1"/>
      <c r="Y765" s="1"/>
      <c r="Z765" s="1"/>
      <c r="AA765" s="1"/>
      <c r="AB765" s="1"/>
    </row>
    <row r="766" spans="2:28" ht="11.25" customHeight="1" x14ac:dyDescent="0.25">
      <c r="B766" s="16"/>
      <c r="C766" s="1"/>
      <c r="D766" s="1"/>
      <c r="E766" s="1"/>
      <c r="F766" s="1"/>
      <c r="G766" s="22"/>
      <c r="H766" s="1"/>
      <c r="I766" s="1"/>
      <c r="J766" s="1"/>
      <c r="K766" s="1"/>
      <c r="L766" s="1"/>
      <c r="M766" s="262"/>
      <c r="N766" s="1"/>
      <c r="O766" s="1"/>
      <c r="P766" s="1"/>
      <c r="Q766" s="1"/>
      <c r="R766" s="1"/>
      <c r="S766" s="1"/>
      <c r="T766" s="1"/>
      <c r="U766" s="1"/>
      <c r="V766" s="1"/>
      <c r="W766" s="1"/>
      <c r="X766" s="1"/>
      <c r="Y766" s="1"/>
      <c r="Z766" s="1"/>
      <c r="AA766" s="1"/>
      <c r="AB766" s="1"/>
    </row>
    <row r="767" spans="2:28" ht="11.25" customHeight="1" x14ac:dyDescent="0.25">
      <c r="B767" s="16"/>
      <c r="C767" s="1"/>
      <c r="D767" s="1"/>
      <c r="E767" s="1"/>
      <c r="F767" s="1"/>
      <c r="G767" s="22"/>
      <c r="H767" s="1"/>
      <c r="I767" s="1"/>
      <c r="J767" s="1"/>
      <c r="K767" s="1"/>
      <c r="L767" s="1"/>
      <c r="M767" s="262"/>
      <c r="N767" s="1"/>
      <c r="O767" s="1"/>
      <c r="P767" s="1"/>
      <c r="Q767" s="1"/>
      <c r="R767" s="1"/>
      <c r="S767" s="1"/>
      <c r="T767" s="1"/>
      <c r="U767" s="1"/>
      <c r="V767" s="1"/>
      <c r="W767" s="1"/>
      <c r="X767" s="1"/>
      <c r="Y767" s="1"/>
      <c r="Z767" s="1"/>
      <c r="AA767" s="1"/>
      <c r="AB767" s="1"/>
    </row>
    <row r="768" spans="2:28" ht="11.25" customHeight="1" x14ac:dyDescent="0.25">
      <c r="B768" s="16"/>
      <c r="C768" s="1"/>
      <c r="D768" s="1"/>
      <c r="E768" s="1"/>
      <c r="F768" s="1"/>
      <c r="G768" s="22"/>
      <c r="H768" s="1"/>
      <c r="I768" s="1"/>
      <c r="J768" s="1"/>
      <c r="K768" s="1"/>
      <c r="L768" s="1"/>
      <c r="M768" s="262"/>
      <c r="N768" s="1"/>
      <c r="O768" s="1"/>
      <c r="P768" s="1"/>
      <c r="Q768" s="1"/>
      <c r="R768" s="1"/>
      <c r="S768" s="1"/>
      <c r="T768" s="1"/>
      <c r="U768" s="1"/>
      <c r="V768" s="1"/>
      <c r="W768" s="1"/>
      <c r="X768" s="1"/>
      <c r="Y768" s="1"/>
      <c r="Z768" s="1"/>
      <c r="AA768" s="1"/>
      <c r="AB768" s="1"/>
    </row>
    <row r="769" spans="2:28" ht="11.25" customHeight="1" x14ac:dyDescent="0.25">
      <c r="B769" s="16"/>
      <c r="C769" s="1"/>
      <c r="D769" s="1"/>
      <c r="E769" s="1"/>
      <c r="F769" s="1"/>
      <c r="G769" s="22"/>
      <c r="H769" s="1"/>
      <c r="I769" s="1"/>
      <c r="J769" s="1"/>
      <c r="K769" s="1"/>
      <c r="L769" s="1"/>
      <c r="M769" s="262"/>
      <c r="N769" s="1"/>
      <c r="O769" s="1"/>
      <c r="P769" s="1"/>
      <c r="Q769" s="1"/>
      <c r="R769" s="1"/>
      <c r="S769" s="1"/>
      <c r="T769" s="1"/>
      <c r="U769" s="1"/>
      <c r="V769" s="1"/>
      <c r="W769" s="1"/>
      <c r="X769" s="1"/>
      <c r="Y769" s="1"/>
      <c r="Z769" s="1"/>
      <c r="AA769" s="1"/>
      <c r="AB769" s="1"/>
    </row>
    <row r="770" spans="2:28" ht="11.25" customHeight="1" x14ac:dyDescent="0.25">
      <c r="B770" s="16"/>
      <c r="C770" s="1"/>
      <c r="D770" s="1"/>
      <c r="E770" s="1"/>
      <c r="F770" s="1"/>
      <c r="G770" s="22"/>
      <c r="H770" s="1"/>
      <c r="I770" s="1"/>
      <c r="J770" s="1"/>
      <c r="K770" s="1"/>
      <c r="L770" s="1"/>
      <c r="M770" s="262"/>
      <c r="N770" s="1"/>
      <c r="O770" s="1"/>
      <c r="P770" s="1"/>
      <c r="Q770" s="1"/>
      <c r="R770" s="1"/>
      <c r="S770" s="1"/>
      <c r="T770" s="1"/>
      <c r="U770" s="1"/>
      <c r="V770" s="1"/>
      <c r="W770" s="1"/>
      <c r="X770" s="1"/>
      <c r="Y770" s="1"/>
      <c r="Z770" s="1"/>
      <c r="AA770" s="1"/>
      <c r="AB770" s="1"/>
    </row>
    <row r="771" spans="2:28" ht="11.25" customHeight="1" x14ac:dyDescent="0.25">
      <c r="B771" s="16"/>
      <c r="C771" s="1"/>
      <c r="D771" s="1"/>
      <c r="E771" s="1"/>
      <c r="F771" s="1"/>
      <c r="G771" s="22"/>
      <c r="H771" s="1"/>
      <c r="I771" s="1"/>
      <c r="J771" s="1"/>
      <c r="K771" s="1"/>
      <c r="L771" s="1"/>
      <c r="M771" s="262"/>
      <c r="N771" s="1"/>
      <c r="O771" s="1"/>
      <c r="P771" s="1"/>
      <c r="Q771" s="1"/>
      <c r="R771" s="1"/>
      <c r="S771" s="1"/>
      <c r="T771" s="1"/>
      <c r="U771" s="1"/>
      <c r="V771" s="1"/>
      <c r="W771" s="1"/>
      <c r="X771" s="1"/>
      <c r="Y771" s="1"/>
      <c r="Z771" s="1"/>
      <c r="AA771" s="1"/>
      <c r="AB771" s="1"/>
    </row>
    <row r="772" spans="2:28" ht="11.25" customHeight="1" x14ac:dyDescent="0.25">
      <c r="B772" s="16"/>
      <c r="C772" s="1"/>
      <c r="D772" s="1"/>
      <c r="E772" s="1"/>
      <c r="F772" s="1"/>
      <c r="G772" s="22"/>
      <c r="H772" s="1"/>
      <c r="I772" s="1"/>
      <c r="J772" s="1"/>
      <c r="K772" s="1"/>
      <c r="L772" s="1"/>
      <c r="M772" s="262"/>
      <c r="N772" s="1"/>
      <c r="O772" s="1"/>
      <c r="P772" s="1"/>
      <c r="Q772" s="1"/>
      <c r="R772" s="1"/>
      <c r="S772" s="1"/>
      <c r="T772" s="1"/>
      <c r="U772" s="1"/>
      <c r="V772" s="1"/>
      <c r="W772" s="1"/>
      <c r="X772" s="1"/>
      <c r="Y772" s="1"/>
      <c r="Z772" s="1"/>
      <c r="AA772" s="1"/>
      <c r="AB772" s="1"/>
    </row>
    <row r="773" spans="2:28" ht="11.25" customHeight="1" x14ac:dyDescent="0.25">
      <c r="B773" s="16"/>
      <c r="C773" s="1"/>
      <c r="D773" s="1"/>
      <c r="E773" s="1"/>
      <c r="F773" s="1"/>
      <c r="G773" s="22"/>
      <c r="H773" s="1"/>
      <c r="I773" s="1"/>
      <c r="J773" s="1"/>
      <c r="K773" s="1"/>
      <c r="L773" s="1"/>
      <c r="M773" s="262"/>
      <c r="N773" s="1"/>
      <c r="O773" s="1"/>
      <c r="P773" s="1"/>
      <c r="Q773" s="1"/>
      <c r="R773" s="1"/>
      <c r="S773" s="1"/>
      <c r="T773" s="1"/>
      <c r="U773" s="1"/>
      <c r="V773" s="1"/>
      <c r="W773" s="1"/>
      <c r="X773" s="1"/>
      <c r="Y773" s="1"/>
      <c r="Z773" s="1"/>
      <c r="AA773" s="1"/>
      <c r="AB773" s="1"/>
    </row>
    <row r="774" spans="2:28" ht="11.25" customHeight="1" x14ac:dyDescent="0.25">
      <c r="B774" s="16"/>
      <c r="C774" s="1"/>
      <c r="D774" s="1"/>
      <c r="E774" s="1"/>
      <c r="F774" s="1"/>
      <c r="G774" s="22"/>
      <c r="H774" s="1"/>
      <c r="I774" s="1"/>
      <c r="J774" s="1"/>
      <c r="K774" s="1"/>
      <c r="L774" s="1"/>
      <c r="M774" s="262"/>
      <c r="N774" s="1"/>
      <c r="O774" s="1"/>
      <c r="P774" s="1"/>
      <c r="Q774" s="1"/>
      <c r="R774" s="1"/>
      <c r="S774" s="1"/>
      <c r="T774" s="1"/>
      <c r="U774" s="1"/>
      <c r="V774" s="1"/>
      <c r="W774" s="1"/>
      <c r="X774" s="1"/>
      <c r="Y774" s="1"/>
      <c r="Z774" s="1"/>
      <c r="AA774" s="1"/>
      <c r="AB774" s="1"/>
    </row>
    <row r="775" spans="2:28" ht="11.25" customHeight="1" x14ac:dyDescent="0.25">
      <c r="B775" s="16"/>
      <c r="C775" s="1"/>
      <c r="D775" s="1"/>
      <c r="E775" s="1"/>
      <c r="F775" s="1"/>
      <c r="G775" s="22"/>
      <c r="H775" s="1"/>
      <c r="I775" s="1"/>
      <c r="J775" s="1"/>
      <c r="K775" s="1"/>
      <c r="L775" s="1"/>
      <c r="M775" s="262"/>
      <c r="N775" s="1"/>
      <c r="O775" s="1"/>
      <c r="P775" s="1"/>
      <c r="Q775" s="1"/>
      <c r="R775" s="1"/>
      <c r="S775" s="1"/>
      <c r="T775" s="1"/>
      <c r="U775" s="1"/>
      <c r="V775" s="1"/>
      <c r="W775" s="1"/>
      <c r="X775" s="1"/>
      <c r="Y775" s="1"/>
      <c r="Z775" s="1"/>
      <c r="AA775" s="1"/>
      <c r="AB775" s="1"/>
    </row>
    <row r="776" spans="2:28" ht="11.25" customHeight="1" x14ac:dyDescent="0.25">
      <c r="B776" s="16"/>
      <c r="C776" s="1"/>
      <c r="D776" s="1"/>
      <c r="E776" s="1"/>
      <c r="F776" s="1"/>
      <c r="G776" s="22"/>
      <c r="H776" s="1"/>
      <c r="I776" s="1"/>
      <c r="J776" s="1"/>
      <c r="K776" s="1"/>
      <c r="L776" s="1"/>
      <c r="M776" s="262"/>
      <c r="N776" s="1"/>
      <c r="O776" s="1"/>
      <c r="P776" s="1"/>
      <c r="Q776" s="1"/>
      <c r="R776" s="1"/>
      <c r="S776" s="1"/>
      <c r="T776" s="1"/>
      <c r="U776" s="1"/>
      <c r="V776" s="1"/>
      <c r="W776" s="1"/>
      <c r="X776" s="1"/>
      <c r="Y776" s="1"/>
      <c r="Z776" s="1"/>
      <c r="AA776" s="1"/>
      <c r="AB776" s="1"/>
    </row>
    <row r="777" spans="2:28" ht="11.25" customHeight="1" x14ac:dyDescent="0.25">
      <c r="B777" s="16"/>
      <c r="C777" s="1"/>
      <c r="D777" s="1"/>
      <c r="E777" s="1"/>
      <c r="F777" s="1"/>
      <c r="G777" s="22"/>
      <c r="H777" s="1"/>
      <c r="I777" s="1"/>
      <c r="J777" s="1"/>
      <c r="K777" s="1"/>
      <c r="L777" s="1"/>
      <c r="M777" s="262"/>
      <c r="N777" s="1"/>
      <c r="O777" s="1"/>
      <c r="P777" s="1"/>
      <c r="Q777" s="1"/>
      <c r="R777" s="1"/>
      <c r="S777" s="1"/>
      <c r="T777" s="1"/>
      <c r="U777" s="1"/>
      <c r="V777" s="1"/>
      <c r="W777" s="1"/>
      <c r="X777" s="1"/>
      <c r="Y777" s="1"/>
      <c r="Z777" s="1"/>
      <c r="AA777" s="1"/>
      <c r="AB777" s="1"/>
    </row>
    <row r="778" spans="2:28" ht="11.25" customHeight="1" x14ac:dyDescent="0.25">
      <c r="B778" s="16"/>
      <c r="C778" s="1"/>
      <c r="D778" s="1"/>
      <c r="E778" s="1"/>
      <c r="F778" s="1"/>
      <c r="G778" s="22"/>
      <c r="H778" s="1"/>
      <c r="I778" s="1"/>
      <c r="J778" s="1"/>
      <c r="K778" s="1"/>
      <c r="L778" s="1"/>
      <c r="M778" s="262"/>
      <c r="N778" s="1"/>
      <c r="O778" s="1"/>
      <c r="P778" s="1"/>
      <c r="Q778" s="1"/>
      <c r="R778" s="1"/>
      <c r="S778" s="1"/>
      <c r="T778" s="1"/>
      <c r="U778" s="1"/>
      <c r="V778" s="1"/>
      <c r="W778" s="1"/>
      <c r="X778" s="1"/>
      <c r="Y778" s="1"/>
      <c r="Z778" s="1"/>
      <c r="AA778" s="1"/>
      <c r="AB778" s="1"/>
    </row>
    <row r="779" spans="2:28" ht="11.25" customHeight="1" x14ac:dyDescent="0.25">
      <c r="B779" s="16"/>
      <c r="C779" s="1"/>
      <c r="D779" s="1"/>
      <c r="E779" s="1"/>
      <c r="F779" s="1"/>
      <c r="G779" s="22"/>
      <c r="H779" s="1"/>
      <c r="I779" s="1"/>
      <c r="J779" s="1"/>
      <c r="K779" s="1"/>
      <c r="L779" s="1"/>
      <c r="M779" s="262"/>
      <c r="N779" s="1"/>
      <c r="O779" s="1"/>
      <c r="P779" s="1"/>
      <c r="Q779" s="1"/>
      <c r="R779" s="1"/>
      <c r="S779" s="1"/>
      <c r="T779" s="1"/>
      <c r="U779" s="1"/>
      <c r="V779" s="1"/>
      <c r="W779" s="1"/>
      <c r="X779" s="1"/>
      <c r="Y779" s="1"/>
      <c r="Z779" s="1"/>
      <c r="AA779" s="1"/>
      <c r="AB779" s="1"/>
    </row>
    <row r="780" spans="2:28" ht="11.25" customHeight="1" x14ac:dyDescent="0.25">
      <c r="B780" s="16"/>
      <c r="C780" s="1"/>
      <c r="D780" s="1"/>
      <c r="E780" s="1"/>
      <c r="F780" s="1"/>
      <c r="G780" s="22"/>
      <c r="H780" s="1"/>
      <c r="I780" s="1"/>
      <c r="J780" s="1"/>
      <c r="K780" s="1"/>
      <c r="L780" s="1"/>
      <c r="M780" s="262"/>
      <c r="N780" s="1"/>
      <c r="O780" s="1"/>
      <c r="P780" s="1"/>
      <c r="Q780" s="1"/>
      <c r="R780" s="1"/>
      <c r="S780" s="1"/>
      <c r="T780" s="1"/>
      <c r="U780" s="1"/>
      <c r="V780" s="1"/>
      <c r="W780" s="1"/>
      <c r="X780" s="1"/>
      <c r="Y780" s="1"/>
      <c r="Z780" s="1"/>
      <c r="AA780" s="1"/>
      <c r="AB780" s="1"/>
    </row>
    <row r="781" spans="2:28" ht="11.25" customHeight="1" x14ac:dyDescent="0.25">
      <c r="B781" s="16"/>
      <c r="C781" s="1"/>
      <c r="D781" s="1"/>
      <c r="E781" s="1"/>
      <c r="F781" s="1"/>
      <c r="G781" s="22"/>
      <c r="H781" s="1"/>
      <c r="I781" s="1"/>
      <c r="J781" s="1"/>
      <c r="K781" s="1"/>
      <c r="L781" s="1"/>
      <c r="M781" s="262"/>
      <c r="N781" s="1"/>
      <c r="O781" s="1"/>
      <c r="P781" s="1"/>
      <c r="Q781" s="1"/>
      <c r="R781" s="1"/>
      <c r="S781" s="1"/>
      <c r="T781" s="1"/>
      <c r="U781" s="1"/>
      <c r="V781" s="1"/>
      <c r="W781" s="1"/>
      <c r="X781" s="1"/>
      <c r="Y781" s="1"/>
      <c r="Z781" s="1"/>
      <c r="AA781" s="1"/>
      <c r="AB781" s="1"/>
    </row>
    <row r="782" spans="2:28" ht="11.25" customHeight="1" x14ac:dyDescent="0.25">
      <c r="B782" s="16"/>
      <c r="C782" s="1"/>
      <c r="D782" s="1"/>
      <c r="E782" s="1"/>
      <c r="F782" s="1"/>
      <c r="G782" s="22"/>
      <c r="H782" s="1"/>
      <c r="I782" s="1"/>
      <c r="J782" s="1"/>
      <c r="K782" s="1"/>
      <c r="L782" s="1"/>
      <c r="M782" s="262"/>
      <c r="N782" s="1"/>
      <c r="O782" s="1"/>
      <c r="P782" s="1"/>
      <c r="Q782" s="1"/>
      <c r="R782" s="1"/>
      <c r="S782" s="1"/>
      <c r="T782" s="1"/>
      <c r="U782" s="1"/>
      <c r="V782" s="1"/>
      <c r="W782" s="1"/>
      <c r="X782" s="1"/>
      <c r="Y782" s="1"/>
      <c r="Z782" s="1"/>
      <c r="AA782" s="1"/>
      <c r="AB782" s="1"/>
    </row>
    <row r="783" spans="2:28" ht="11.25" customHeight="1" x14ac:dyDescent="0.25">
      <c r="B783" s="16"/>
      <c r="C783" s="1"/>
      <c r="D783" s="1"/>
      <c r="E783" s="1"/>
      <c r="F783" s="1"/>
      <c r="G783" s="22"/>
      <c r="H783" s="1"/>
      <c r="I783" s="1"/>
      <c r="J783" s="1"/>
      <c r="K783" s="1"/>
      <c r="L783" s="1"/>
      <c r="M783" s="262"/>
      <c r="N783" s="1"/>
      <c r="O783" s="1"/>
      <c r="P783" s="1"/>
      <c r="Q783" s="1"/>
      <c r="R783" s="1"/>
      <c r="S783" s="1"/>
      <c r="T783" s="1"/>
      <c r="U783" s="1"/>
      <c r="V783" s="1"/>
      <c r="W783" s="1"/>
      <c r="X783" s="1"/>
      <c r="Y783" s="1"/>
      <c r="Z783" s="1"/>
      <c r="AA783" s="1"/>
      <c r="AB783" s="1"/>
    </row>
    <row r="784" spans="2:28" ht="11.25" customHeight="1" x14ac:dyDescent="0.25">
      <c r="B784" s="16"/>
      <c r="C784" s="1"/>
      <c r="D784" s="1"/>
      <c r="E784" s="1"/>
      <c r="F784" s="1"/>
      <c r="G784" s="22"/>
      <c r="H784" s="1"/>
      <c r="I784" s="1"/>
      <c r="J784" s="1"/>
      <c r="K784" s="1"/>
      <c r="L784" s="1"/>
      <c r="M784" s="262"/>
      <c r="N784" s="1"/>
      <c r="O784" s="1"/>
      <c r="P784" s="1"/>
      <c r="Q784" s="1"/>
      <c r="R784" s="1"/>
      <c r="S784" s="1"/>
      <c r="T784" s="1"/>
      <c r="U784" s="1"/>
      <c r="V784" s="1"/>
      <c r="W784" s="1"/>
      <c r="X784" s="1"/>
      <c r="Y784" s="1"/>
      <c r="Z784" s="1"/>
      <c r="AA784" s="1"/>
      <c r="AB784" s="1"/>
    </row>
    <row r="785" spans="2:28" ht="11.25" customHeight="1" x14ac:dyDescent="0.25">
      <c r="B785" s="16"/>
      <c r="C785" s="1"/>
      <c r="D785" s="1"/>
      <c r="E785" s="1"/>
      <c r="F785" s="1"/>
      <c r="G785" s="22"/>
      <c r="H785" s="1"/>
      <c r="I785" s="1"/>
      <c r="J785" s="1"/>
      <c r="K785" s="1"/>
      <c r="L785" s="1"/>
      <c r="M785" s="262"/>
      <c r="N785" s="1"/>
      <c r="O785" s="1"/>
      <c r="P785" s="1"/>
      <c r="Q785" s="1"/>
      <c r="R785" s="1"/>
      <c r="S785" s="1"/>
      <c r="T785" s="1"/>
      <c r="U785" s="1"/>
      <c r="V785" s="1"/>
      <c r="W785" s="1"/>
      <c r="X785" s="1"/>
      <c r="Y785" s="1"/>
      <c r="Z785" s="1"/>
      <c r="AA785" s="1"/>
      <c r="AB785" s="1"/>
    </row>
    <row r="786" spans="2:28" ht="11.25" customHeight="1" x14ac:dyDescent="0.25">
      <c r="B786" s="16"/>
      <c r="C786" s="1"/>
      <c r="D786" s="1"/>
      <c r="E786" s="1"/>
      <c r="F786" s="1"/>
      <c r="G786" s="22"/>
      <c r="H786" s="1"/>
      <c r="I786" s="1"/>
      <c r="J786" s="1"/>
      <c r="K786" s="1"/>
      <c r="L786" s="1"/>
      <c r="M786" s="262"/>
      <c r="N786" s="1"/>
      <c r="O786" s="1"/>
      <c r="P786" s="1"/>
      <c r="Q786" s="1"/>
      <c r="R786" s="1"/>
      <c r="S786" s="1"/>
      <c r="T786" s="1"/>
      <c r="U786" s="1"/>
      <c r="V786" s="1"/>
      <c r="W786" s="1"/>
      <c r="X786" s="1"/>
      <c r="Y786" s="1"/>
      <c r="Z786" s="1"/>
      <c r="AA786" s="1"/>
      <c r="AB786" s="1"/>
    </row>
    <row r="787" spans="2:28" ht="11.25" customHeight="1" x14ac:dyDescent="0.25">
      <c r="B787" s="16"/>
      <c r="C787" s="1"/>
      <c r="D787" s="1"/>
      <c r="E787" s="1"/>
      <c r="F787" s="1"/>
      <c r="G787" s="22"/>
      <c r="H787" s="1"/>
      <c r="I787" s="1"/>
      <c r="J787" s="1"/>
      <c r="K787" s="1"/>
      <c r="L787" s="1"/>
      <c r="M787" s="262"/>
      <c r="N787" s="1"/>
      <c r="O787" s="1"/>
      <c r="P787" s="1"/>
      <c r="Q787" s="1"/>
      <c r="R787" s="1"/>
      <c r="S787" s="1"/>
      <c r="T787" s="1"/>
      <c r="U787" s="1"/>
      <c r="V787" s="1"/>
      <c r="W787" s="1"/>
      <c r="X787" s="1"/>
      <c r="Y787" s="1"/>
      <c r="Z787" s="1"/>
      <c r="AA787" s="1"/>
      <c r="AB787" s="1"/>
    </row>
    <row r="788" spans="2:28" ht="11.25" customHeight="1" x14ac:dyDescent="0.25">
      <c r="B788" s="16"/>
      <c r="C788" s="1"/>
      <c r="D788" s="1"/>
      <c r="E788" s="1"/>
      <c r="F788" s="1"/>
      <c r="G788" s="22"/>
      <c r="H788" s="1"/>
      <c r="I788" s="1"/>
      <c r="J788" s="1"/>
      <c r="K788" s="1"/>
      <c r="L788" s="1"/>
      <c r="M788" s="262"/>
      <c r="N788" s="1"/>
      <c r="O788" s="1"/>
      <c r="P788" s="1"/>
      <c r="Q788" s="1"/>
      <c r="R788" s="1"/>
      <c r="S788" s="1"/>
      <c r="T788" s="1"/>
      <c r="U788" s="1"/>
      <c r="V788" s="1"/>
      <c r="W788" s="1"/>
      <c r="X788" s="1"/>
      <c r="Y788" s="1"/>
      <c r="Z788" s="1"/>
      <c r="AA788" s="1"/>
      <c r="AB788" s="1"/>
    </row>
    <row r="789" spans="2:28" ht="11.25" customHeight="1" x14ac:dyDescent="0.25">
      <c r="B789" s="16"/>
      <c r="C789" s="1"/>
      <c r="D789" s="1"/>
      <c r="E789" s="1"/>
      <c r="F789" s="1"/>
      <c r="G789" s="22"/>
      <c r="H789" s="1"/>
      <c r="I789" s="1"/>
      <c r="J789" s="1"/>
      <c r="K789" s="1"/>
      <c r="L789" s="1"/>
      <c r="M789" s="262"/>
      <c r="N789" s="1"/>
      <c r="O789" s="1"/>
      <c r="P789" s="1"/>
      <c r="Q789" s="1"/>
      <c r="R789" s="1"/>
      <c r="S789" s="1"/>
      <c r="T789" s="1"/>
      <c r="U789" s="1"/>
      <c r="V789" s="1"/>
      <c r="W789" s="1"/>
      <c r="X789" s="1"/>
      <c r="Y789" s="1"/>
      <c r="Z789" s="1"/>
      <c r="AA789" s="1"/>
      <c r="AB789" s="1"/>
    </row>
    <row r="790" spans="2:28" ht="11.25" customHeight="1" x14ac:dyDescent="0.25">
      <c r="B790" s="16"/>
      <c r="C790" s="1"/>
      <c r="D790" s="1"/>
      <c r="E790" s="1"/>
      <c r="F790" s="1"/>
      <c r="G790" s="22"/>
      <c r="H790" s="1"/>
      <c r="I790" s="1"/>
      <c r="J790" s="1"/>
      <c r="K790" s="1"/>
      <c r="L790" s="1"/>
      <c r="M790" s="262"/>
      <c r="N790" s="1"/>
      <c r="O790" s="1"/>
      <c r="P790" s="1"/>
      <c r="Q790" s="1"/>
      <c r="R790" s="1"/>
      <c r="S790" s="1"/>
      <c r="T790" s="1"/>
      <c r="U790" s="1"/>
      <c r="V790" s="1"/>
      <c r="W790" s="1"/>
      <c r="X790" s="1"/>
      <c r="Y790" s="1"/>
      <c r="Z790" s="1"/>
      <c r="AA790" s="1"/>
      <c r="AB790" s="1"/>
    </row>
    <row r="791" spans="2:28" ht="11.25" customHeight="1" x14ac:dyDescent="0.25">
      <c r="B791" s="16"/>
      <c r="C791" s="1"/>
      <c r="D791" s="1"/>
      <c r="E791" s="1"/>
      <c r="F791" s="1"/>
      <c r="G791" s="22"/>
      <c r="H791" s="1"/>
      <c r="I791" s="1"/>
      <c r="J791" s="1"/>
      <c r="K791" s="1"/>
      <c r="L791" s="1"/>
      <c r="M791" s="262"/>
      <c r="N791" s="1"/>
      <c r="O791" s="1"/>
      <c r="P791" s="1"/>
      <c r="Q791" s="1"/>
      <c r="R791" s="1"/>
      <c r="S791" s="1"/>
      <c r="T791" s="1"/>
      <c r="U791" s="1"/>
      <c r="V791" s="1"/>
      <c r="W791" s="1"/>
      <c r="X791" s="1"/>
      <c r="Y791" s="1"/>
      <c r="Z791" s="1"/>
      <c r="AA791" s="1"/>
      <c r="AB791" s="1"/>
    </row>
    <row r="792" spans="2:28" ht="11.25" customHeight="1" x14ac:dyDescent="0.25">
      <c r="B792" s="16"/>
      <c r="C792" s="1"/>
      <c r="D792" s="1"/>
      <c r="E792" s="1"/>
      <c r="F792" s="1"/>
      <c r="G792" s="22"/>
      <c r="H792" s="1"/>
      <c r="I792" s="1"/>
      <c r="J792" s="1"/>
      <c r="K792" s="1"/>
      <c r="L792" s="1"/>
      <c r="M792" s="262"/>
      <c r="N792" s="1"/>
      <c r="O792" s="1"/>
      <c r="P792" s="1"/>
      <c r="Q792" s="1"/>
      <c r="R792" s="1"/>
      <c r="S792" s="1"/>
      <c r="T792" s="1"/>
      <c r="U792" s="1"/>
      <c r="V792" s="1"/>
      <c r="W792" s="1"/>
      <c r="X792" s="1"/>
      <c r="Y792" s="1"/>
      <c r="Z792" s="1"/>
      <c r="AA792" s="1"/>
      <c r="AB792" s="1"/>
    </row>
    <row r="793" spans="2:28" ht="11.25" customHeight="1" x14ac:dyDescent="0.25">
      <c r="B793" s="16"/>
      <c r="C793" s="1"/>
      <c r="D793" s="1"/>
      <c r="E793" s="1"/>
      <c r="F793" s="1"/>
      <c r="G793" s="22"/>
      <c r="H793" s="1"/>
      <c r="I793" s="1"/>
      <c r="J793" s="1"/>
      <c r="K793" s="1"/>
      <c r="L793" s="1"/>
      <c r="M793" s="262"/>
      <c r="N793" s="1"/>
      <c r="O793" s="1"/>
      <c r="P793" s="1"/>
      <c r="Q793" s="1"/>
      <c r="R793" s="1"/>
      <c r="S793" s="1"/>
      <c r="T793" s="1"/>
      <c r="U793" s="1"/>
      <c r="V793" s="1"/>
      <c r="W793" s="1"/>
      <c r="X793" s="1"/>
      <c r="Y793" s="1"/>
      <c r="Z793" s="1"/>
      <c r="AA793" s="1"/>
      <c r="AB793" s="1"/>
    </row>
    <row r="794" spans="2:28" ht="11.25" customHeight="1" x14ac:dyDescent="0.25">
      <c r="B794" s="16"/>
      <c r="C794" s="1"/>
      <c r="D794" s="1"/>
      <c r="E794" s="1"/>
      <c r="F794" s="1"/>
      <c r="G794" s="22"/>
      <c r="H794" s="1"/>
      <c r="I794" s="1"/>
      <c r="J794" s="1"/>
      <c r="K794" s="1"/>
      <c r="L794" s="1"/>
      <c r="M794" s="262"/>
      <c r="N794" s="1"/>
      <c r="O794" s="1"/>
      <c r="P794" s="1"/>
      <c r="Q794" s="1"/>
      <c r="R794" s="1"/>
      <c r="S794" s="1"/>
      <c r="T794" s="1"/>
      <c r="U794" s="1"/>
      <c r="V794" s="1"/>
      <c r="W794" s="1"/>
      <c r="X794" s="1"/>
      <c r="Y794" s="1"/>
      <c r="Z794" s="1"/>
      <c r="AA794" s="1"/>
      <c r="AB794" s="1"/>
    </row>
    <row r="795" spans="2:28" ht="11.25" customHeight="1" x14ac:dyDescent="0.25">
      <c r="B795" s="16"/>
      <c r="C795" s="1"/>
      <c r="D795" s="1"/>
      <c r="E795" s="1"/>
      <c r="F795" s="1"/>
      <c r="G795" s="22"/>
      <c r="H795" s="1"/>
      <c r="I795" s="1"/>
      <c r="J795" s="1"/>
      <c r="K795" s="1"/>
      <c r="L795" s="1"/>
      <c r="M795" s="262"/>
      <c r="N795" s="1"/>
      <c r="O795" s="1"/>
      <c r="P795" s="1"/>
      <c r="Q795" s="1"/>
      <c r="R795" s="1"/>
      <c r="S795" s="1"/>
      <c r="T795" s="1"/>
      <c r="U795" s="1"/>
      <c r="V795" s="1"/>
      <c r="W795" s="1"/>
      <c r="X795" s="1"/>
      <c r="Y795" s="1"/>
      <c r="Z795" s="1"/>
      <c r="AA795" s="1"/>
      <c r="AB795" s="1"/>
    </row>
    <row r="796" spans="2:28" ht="11.25" customHeight="1" x14ac:dyDescent="0.25">
      <c r="B796" s="16"/>
      <c r="C796" s="1"/>
      <c r="D796" s="1"/>
      <c r="E796" s="1"/>
      <c r="F796" s="1"/>
      <c r="G796" s="22"/>
      <c r="H796" s="1"/>
      <c r="I796" s="1"/>
      <c r="J796" s="1"/>
      <c r="K796" s="1"/>
      <c r="L796" s="1"/>
      <c r="M796" s="262"/>
      <c r="N796" s="1"/>
      <c r="O796" s="1"/>
      <c r="P796" s="1"/>
      <c r="Q796" s="1"/>
      <c r="R796" s="1"/>
      <c r="S796" s="1"/>
      <c r="T796" s="1"/>
      <c r="U796" s="1"/>
      <c r="V796" s="1"/>
      <c r="W796" s="1"/>
      <c r="X796" s="1"/>
      <c r="Y796" s="1"/>
      <c r="Z796" s="1"/>
      <c r="AA796" s="1"/>
      <c r="AB796" s="1"/>
    </row>
    <row r="797" spans="2:28" ht="11.25" customHeight="1" x14ac:dyDescent="0.25">
      <c r="B797" s="16"/>
      <c r="C797" s="1"/>
      <c r="D797" s="1"/>
      <c r="E797" s="1"/>
      <c r="F797" s="1"/>
      <c r="G797" s="22"/>
      <c r="H797" s="1"/>
      <c r="I797" s="1"/>
      <c r="J797" s="1"/>
      <c r="K797" s="1"/>
      <c r="L797" s="1"/>
      <c r="M797" s="262"/>
      <c r="N797" s="1"/>
      <c r="O797" s="1"/>
      <c r="P797" s="1"/>
      <c r="Q797" s="1"/>
      <c r="R797" s="1"/>
      <c r="S797" s="1"/>
      <c r="T797" s="1"/>
      <c r="U797" s="1"/>
      <c r="V797" s="1"/>
      <c r="W797" s="1"/>
      <c r="X797" s="1"/>
      <c r="Y797" s="1"/>
      <c r="Z797" s="1"/>
      <c r="AA797" s="1"/>
      <c r="AB797" s="1"/>
    </row>
    <row r="798" spans="2:28" ht="11.25" customHeight="1" x14ac:dyDescent="0.25">
      <c r="B798" s="16"/>
      <c r="C798" s="1"/>
      <c r="D798" s="1"/>
      <c r="E798" s="1"/>
      <c r="F798" s="1"/>
      <c r="G798" s="22"/>
      <c r="H798" s="1"/>
      <c r="I798" s="1"/>
      <c r="J798" s="1"/>
      <c r="K798" s="1"/>
      <c r="L798" s="1"/>
      <c r="M798" s="262"/>
      <c r="N798" s="1"/>
      <c r="O798" s="1"/>
      <c r="P798" s="1"/>
      <c r="Q798" s="1"/>
      <c r="R798" s="1"/>
      <c r="S798" s="1"/>
      <c r="T798" s="1"/>
      <c r="U798" s="1"/>
      <c r="V798" s="1"/>
      <c r="W798" s="1"/>
      <c r="X798" s="1"/>
      <c r="Y798" s="1"/>
      <c r="Z798" s="1"/>
      <c r="AA798" s="1"/>
      <c r="AB798" s="1"/>
    </row>
    <row r="799" spans="2:28" ht="11.25" customHeight="1" x14ac:dyDescent="0.25">
      <c r="B799" s="16"/>
      <c r="C799" s="1"/>
      <c r="D799" s="1"/>
      <c r="E799" s="1"/>
      <c r="F799" s="1"/>
      <c r="G799" s="22"/>
      <c r="H799" s="1"/>
      <c r="I799" s="1"/>
      <c r="J799" s="1"/>
      <c r="K799" s="1"/>
      <c r="L799" s="1"/>
      <c r="M799" s="262"/>
      <c r="N799" s="1"/>
      <c r="O799" s="1"/>
      <c r="P799" s="1"/>
      <c r="Q799" s="1"/>
      <c r="R799" s="1"/>
      <c r="S799" s="1"/>
      <c r="T799" s="1"/>
      <c r="U799" s="1"/>
      <c r="V799" s="1"/>
      <c r="W799" s="1"/>
      <c r="X799" s="1"/>
      <c r="Y799" s="1"/>
      <c r="Z799" s="1"/>
      <c r="AA799" s="1"/>
      <c r="AB799" s="1"/>
    </row>
    <row r="800" spans="2:28" ht="11.25" customHeight="1" x14ac:dyDescent="0.25">
      <c r="B800" s="16"/>
      <c r="C800" s="1"/>
      <c r="D800" s="1"/>
      <c r="E800" s="1"/>
      <c r="F800" s="1"/>
      <c r="G800" s="22"/>
      <c r="H800" s="1"/>
      <c r="I800" s="1"/>
      <c r="J800" s="1"/>
      <c r="K800" s="1"/>
      <c r="L800" s="1"/>
      <c r="M800" s="262"/>
      <c r="N800" s="1"/>
      <c r="O800" s="1"/>
      <c r="P800" s="1"/>
      <c r="Q800" s="1"/>
      <c r="R800" s="1"/>
      <c r="S800" s="1"/>
      <c r="T800" s="1"/>
      <c r="U800" s="1"/>
      <c r="V800" s="1"/>
      <c r="W800" s="1"/>
      <c r="X800" s="1"/>
      <c r="Y800" s="1"/>
      <c r="Z800" s="1"/>
      <c r="AA800" s="1"/>
      <c r="AB800" s="1"/>
    </row>
    <row r="801" spans="2:28" ht="11.25" customHeight="1" x14ac:dyDescent="0.25">
      <c r="B801" s="16"/>
      <c r="C801" s="1"/>
      <c r="D801" s="1"/>
      <c r="E801" s="1"/>
      <c r="F801" s="1"/>
      <c r="G801" s="22"/>
      <c r="H801" s="1"/>
      <c r="I801" s="1"/>
      <c r="J801" s="1"/>
      <c r="K801" s="1"/>
      <c r="L801" s="1"/>
      <c r="M801" s="262"/>
      <c r="N801" s="1"/>
      <c r="O801" s="1"/>
      <c r="P801" s="1"/>
      <c r="Q801" s="1"/>
      <c r="R801" s="1"/>
      <c r="S801" s="1"/>
      <c r="T801" s="1"/>
      <c r="U801" s="1"/>
      <c r="V801" s="1"/>
      <c r="W801" s="1"/>
      <c r="X801" s="1"/>
      <c r="Y801" s="1"/>
      <c r="Z801" s="1"/>
      <c r="AA801" s="1"/>
      <c r="AB801" s="1"/>
    </row>
    <row r="802" spans="2:28" ht="11.25" customHeight="1" x14ac:dyDescent="0.25">
      <c r="B802" s="16"/>
      <c r="C802" s="1"/>
      <c r="D802" s="1"/>
      <c r="E802" s="1"/>
      <c r="F802" s="1"/>
      <c r="G802" s="22"/>
      <c r="H802" s="1"/>
      <c r="I802" s="1"/>
      <c r="J802" s="1"/>
      <c r="K802" s="1"/>
      <c r="L802" s="1"/>
      <c r="M802" s="262"/>
      <c r="N802" s="1"/>
      <c r="O802" s="1"/>
      <c r="P802" s="1"/>
      <c r="Q802" s="1"/>
      <c r="R802" s="1"/>
      <c r="S802" s="1"/>
      <c r="T802" s="1"/>
      <c r="U802" s="1"/>
      <c r="V802" s="1"/>
      <c r="W802" s="1"/>
      <c r="X802" s="1"/>
      <c r="Y802" s="1"/>
      <c r="Z802" s="1"/>
      <c r="AA802" s="1"/>
      <c r="AB802" s="1"/>
    </row>
    <row r="803" spans="2:28" ht="11.25" customHeight="1" x14ac:dyDescent="0.25">
      <c r="B803" s="16"/>
      <c r="C803" s="1"/>
      <c r="D803" s="1"/>
      <c r="E803" s="1"/>
      <c r="F803" s="1"/>
      <c r="G803" s="22"/>
      <c r="H803" s="1"/>
      <c r="I803" s="1"/>
      <c r="J803" s="1"/>
      <c r="K803" s="1"/>
      <c r="L803" s="1"/>
      <c r="M803" s="262"/>
      <c r="N803" s="1"/>
      <c r="O803" s="1"/>
      <c r="P803" s="1"/>
      <c r="Q803" s="1"/>
      <c r="R803" s="1"/>
      <c r="S803" s="1"/>
      <c r="T803" s="1"/>
      <c r="U803" s="1"/>
      <c r="V803" s="1"/>
      <c r="W803" s="1"/>
      <c r="X803" s="1"/>
      <c r="Y803" s="1"/>
      <c r="Z803" s="1"/>
      <c r="AA803" s="1"/>
      <c r="AB803" s="1"/>
    </row>
    <row r="804" spans="2:28" ht="11.25" customHeight="1" x14ac:dyDescent="0.25">
      <c r="B804" s="16"/>
      <c r="C804" s="1"/>
      <c r="D804" s="1"/>
      <c r="E804" s="1"/>
      <c r="F804" s="1"/>
      <c r="G804" s="22"/>
      <c r="H804" s="1"/>
      <c r="I804" s="1"/>
      <c r="J804" s="1"/>
      <c r="K804" s="1"/>
      <c r="L804" s="1"/>
      <c r="M804" s="262"/>
      <c r="N804" s="1"/>
      <c r="O804" s="1"/>
      <c r="P804" s="1"/>
      <c r="Q804" s="1"/>
      <c r="R804" s="1"/>
      <c r="S804" s="1"/>
      <c r="T804" s="1"/>
      <c r="U804" s="1"/>
      <c r="V804" s="1"/>
      <c r="W804" s="1"/>
      <c r="X804" s="1"/>
      <c r="Y804" s="1"/>
      <c r="Z804" s="1"/>
      <c r="AA804" s="1"/>
      <c r="AB804" s="1"/>
    </row>
    <row r="805" spans="2:28" ht="11.25" customHeight="1" x14ac:dyDescent="0.25">
      <c r="B805" s="16"/>
      <c r="C805" s="1"/>
      <c r="D805" s="1"/>
      <c r="E805" s="1"/>
      <c r="F805" s="1"/>
      <c r="G805" s="22"/>
      <c r="H805" s="1"/>
      <c r="I805" s="1"/>
      <c r="J805" s="1"/>
      <c r="K805" s="1"/>
      <c r="L805" s="1"/>
      <c r="M805" s="262"/>
      <c r="N805" s="1"/>
      <c r="O805" s="1"/>
      <c r="P805" s="1"/>
      <c r="Q805" s="1"/>
      <c r="R805" s="1"/>
      <c r="S805" s="1"/>
      <c r="T805" s="1"/>
      <c r="U805" s="1"/>
      <c r="V805" s="1"/>
      <c r="W805" s="1"/>
      <c r="X805" s="1"/>
      <c r="Y805" s="1"/>
      <c r="Z805" s="1"/>
      <c r="AA805" s="1"/>
      <c r="AB805" s="1"/>
    </row>
    <row r="806" spans="2:28" ht="11.25" customHeight="1" x14ac:dyDescent="0.25">
      <c r="B806" s="16"/>
      <c r="C806" s="1"/>
      <c r="D806" s="1"/>
      <c r="E806" s="1"/>
      <c r="F806" s="1"/>
      <c r="G806" s="22"/>
      <c r="H806" s="1"/>
      <c r="I806" s="1"/>
      <c r="J806" s="1"/>
      <c r="K806" s="1"/>
      <c r="L806" s="1"/>
      <c r="M806" s="262"/>
      <c r="N806" s="1"/>
      <c r="O806" s="1"/>
      <c r="P806" s="1"/>
      <c r="Q806" s="1"/>
      <c r="R806" s="1"/>
      <c r="S806" s="1"/>
      <c r="T806" s="1"/>
      <c r="U806" s="1"/>
      <c r="V806" s="1"/>
      <c r="W806" s="1"/>
      <c r="X806" s="1"/>
      <c r="Y806" s="1"/>
      <c r="Z806" s="1"/>
      <c r="AA806" s="1"/>
      <c r="AB806" s="1"/>
    </row>
    <row r="807" spans="2:28" ht="11.25" customHeight="1" x14ac:dyDescent="0.25">
      <c r="B807" s="16"/>
      <c r="C807" s="1"/>
      <c r="D807" s="1"/>
      <c r="E807" s="1"/>
      <c r="F807" s="1"/>
      <c r="G807" s="22"/>
      <c r="H807" s="1"/>
      <c r="I807" s="1"/>
      <c r="J807" s="1"/>
      <c r="K807" s="1"/>
      <c r="L807" s="1"/>
      <c r="M807" s="262"/>
      <c r="N807" s="1"/>
      <c r="O807" s="1"/>
      <c r="P807" s="1"/>
      <c r="Q807" s="1"/>
      <c r="R807" s="1"/>
      <c r="S807" s="1"/>
      <c r="T807" s="1"/>
      <c r="U807" s="1"/>
      <c r="V807" s="1"/>
      <c r="W807" s="1"/>
      <c r="X807" s="1"/>
      <c r="Y807" s="1"/>
      <c r="Z807" s="1"/>
      <c r="AA807" s="1"/>
      <c r="AB807" s="1"/>
    </row>
    <row r="808" spans="2:28" ht="11.25" customHeight="1" x14ac:dyDescent="0.25">
      <c r="B808" s="16"/>
      <c r="C808" s="1"/>
      <c r="D808" s="1"/>
      <c r="E808" s="1"/>
      <c r="F808" s="1"/>
      <c r="G808" s="22"/>
      <c r="H808" s="1"/>
      <c r="I808" s="1"/>
      <c r="J808" s="1"/>
      <c r="K808" s="1"/>
      <c r="L808" s="1"/>
      <c r="M808" s="262"/>
      <c r="N808" s="1"/>
      <c r="O808" s="1"/>
      <c r="P808" s="1"/>
      <c r="Q808" s="1"/>
      <c r="R808" s="1"/>
      <c r="S808" s="1"/>
      <c r="T808" s="1"/>
      <c r="U808" s="1"/>
      <c r="V808" s="1"/>
      <c r="W808" s="1"/>
      <c r="X808" s="1"/>
      <c r="Y808" s="1"/>
      <c r="Z808" s="1"/>
      <c r="AA808" s="1"/>
      <c r="AB808" s="1"/>
    </row>
    <row r="809" spans="2:28" ht="11.25" customHeight="1" x14ac:dyDescent="0.25">
      <c r="B809" s="16"/>
      <c r="C809" s="1"/>
      <c r="D809" s="1"/>
      <c r="E809" s="1"/>
      <c r="F809" s="1"/>
      <c r="G809" s="22"/>
      <c r="H809" s="1"/>
      <c r="I809" s="1"/>
      <c r="J809" s="1"/>
      <c r="K809" s="1"/>
      <c r="L809" s="1"/>
      <c r="M809" s="262"/>
      <c r="N809" s="1"/>
      <c r="O809" s="1"/>
      <c r="P809" s="1"/>
      <c r="Q809" s="1"/>
      <c r="R809" s="1"/>
      <c r="S809" s="1"/>
      <c r="T809" s="1"/>
      <c r="U809" s="1"/>
      <c r="V809" s="1"/>
      <c r="W809" s="1"/>
      <c r="X809" s="1"/>
      <c r="Y809" s="1"/>
      <c r="Z809" s="1"/>
      <c r="AA809" s="1"/>
      <c r="AB809" s="1"/>
    </row>
    <row r="810" spans="2:28" ht="11.25" customHeight="1" x14ac:dyDescent="0.25">
      <c r="B810" s="16"/>
      <c r="C810" s="1"/>
      <c r="D810" s="1"/>
      <c r="E810" s="1"/>
      <c r="F810" s="1"/>
      <c r="G810" s="22"/>
      <c r="H810" s="1"/>
      <c r="I810" s="1"/>
      <c r="J810" s="1"/>
      <c r="K810" s="1"/>
      <c r="L810" s="1"/>
      <c r="M810" s="262"/>
      <c r="N810" s="1"/>
      <c r="O810" s="1"/>
      <c r="P810" s="1"/>
      <c r="Q810" s="1"/>
      <c r="R810" s="1"/>
      <c r="S810" s="1"/>
      <c r="T810" s="1"/>
      <c r="U810" s="1"/>
      <c r="V810" s="1"/>
      <c r="W810" s="1"/>
      <c r="X810" s="1"/>
      <c r="Y810" s="1"/>
      <c r="Z810" s="1"/>
      <c r="AA810" s="1"/>
      <c r="AB810" s="1"/>
    </row>
    <row r="811" spans="2:28" ht="11.25" customHeight="1" x14ac:dyDescent="0.25">
      <c r="B811" s="16"/>
      <c r="C811" s="1"/>
      <c r="D811" s="1"/>
      <c r="E811" s="1"/>
      <c r="F811" s="1"/>
      <c r="G811" s="22"/>
      <c r="H811" s="1"/>
      <c r="I811" s="1"/>
      <c r="J811" s="1"/>
      <c r="K811" s="1"/>
      <c r="L811" s="1"/>
      <c r="M811" s="262"/>
      <c r="N811" s="1"/>
      <c r="O811" s="1"/>
      <c r="P811" s="1"/>
      <c r="Q811" s="1"/>
      <c r="R811" s="1"/>
      <c r="S811" s="1"/>
      <c r="T811" s="1"/>
      <c r="U811" s="1"/>
      <c r="V811" s="1"/>
      <c r="W811" s="1"/>
      <c r="X811" s="1"/>
      <c r="Y811" s="1"/>
      <c r="Z811" s="1"/>
      <c r="AA811" s="1"/>
      <c r="AB811" s="1"/>
    </row>
    <row r="812" spans="2:28" ht="11.25" customHeight="1" x14ac:dyDescent="0.25">
      <c r="B812" s="16"/>
      <c r="C812" s="1"/>
      <c r="D812" s="1"/>
      <c r="E812" s="1"/>
      <c r="F812" s="1"/>
      <c r="G812" s="22"/>
      <c r="H812" s="1"/>
      <c r="I812" s="1"/>
      <c r="J812" s="1"/>
      <c r="K812" s="1"/>
      <c r="L812" s="1"/>
      <c r="M812" s="262"/>
      <c r="N812" s="1"/>
      <c r="O812" s="1"/>
      <c r="P812" s="1"/>
      <c r="Q812" s="1"/>
      <c r="R812" s="1"/>
      <c r="S812" s="1"/>
      <c r="T812" s="1"/>
      <c r="U812" s="1"/>
      <c r="V812" s="1"/>
      <c r="W812" s="1"/>
      <c r="X812" s="1"/>
      <c r="Y812" s="1"/>
      <c r="Z812" s="1"/>
      <c r="AA812" s="1"/>
      <c r="AB812" s="1"/>
    </row>
    <row r="813" spans="2:28" ht="11.25" customHeight="1" x14ac:dyDescent="0.25">
      <c r="B813" s="16"/>
      <c r="C813" s="1"/>
      <c r="D813" s="1"/>
      <c r="E813" s="1"/>
      <c r="F813" s="1"/>
      <c r="G813" s="22"/>
      <c r="H813" s="1"/>
      <c r="I813" s="1"/>
      <c r="J813" s="1"/>
      <c r="K813" s="1"/>
      <c r="L813" s="1"/>
      <c r="M813" s="262"/>
      <c r="N813" s="1"/>
      <c r="O813" s="1"/>
      <c r="P813" s="1"/>
      <c r="Q813" s="1"/>
      <c r="R813" s="1"/>
      <c r="S813" s="1"/>
      <c r="T813" s="1"/>
      <c r="U813" s="1"/>
      <c r="V813" s="1"/>
      <c r="W813" s="1"/>
      <c r="X813" s="1"/>
      <c r="Y813" s="1"/>
      <c r="Z813" s="1"/>
      <c r="AA813" s="1"/>
      <c r="AB813" s="1"/>
    </row>
    <row r="814" spans="2:28" ht="11.25" customHeight="1" x14ac:dyDescent="0.25">
      <c r="B814" s="16"/>
      <c r="C814" s="1"/>
      <c r="D814" s="1"/>
      <c r="E814" s="1"/>
      <c r="F814" s="1"/>
      <c r="G814" s="22"/>
      <c r="H814" s="1"/>
      <c r="I814" s="1"/>
      <c r="J814" s="1"/>
      <c r="K814" s="1"/>
      <c r="L814" s="1"/>
      <c r="M814" s="262"/>
      <c r="N814" s="1"/>
      <c r="O814" s="1"/>
      <c r="P814" s="1"/>
      <c r="Q814" s="1"/>
      <c r="R814" s="1"/>
      <c r="S814" s="1"/>
      <c r="T814" s="1"/>
      <c r="U814" s="1"/>
      <c r="V814" s="1"/>
      <c r="W814" s="1"/>
      <c r="X814" s="1"/>
      <c r="Y814" s="1"/>
      <c r="Z814" s="1"/>
      <c r="AA814" s="1"/>
      <c r="AB814" s="1"/>
    </row>
    <row r="815" spans="2:28" ht="11.25" customHeight="1" x14ac:dyDescent="0.25">
      <c r="B815" s="16"/>
      <c r="C815" s="1"/>
      <c r="D815" s="1"/>
      <c r="E815" s="1"/>
      <c r="F815" s="1"/>
      <c r="G815" s="22"/>
      <c r="H815" s="1"/>
      <c r="I815" s="1"/>
      <c r="J815" s="1"/>
      <c r="K815" s="1"/>
      <c r="L815" s="1"/>
      <c r="M815" s="262"/>
      <c r="N815" s="1"/>
      <c r="O815" s="1"/>
      <c r="P815" s="1"/>
      <c r="Q815" s="1"/>
      <c r="R815" s="1"/>
      <c r="S815" s="1"/>
      <c r="T815" s="1"/>
      <c r="U815" s="1"/>
      <c r="V815" s="1"/>
      <c r="W815" s="1"/>
      <c r="X815" s="1"/>
      <c r="Y815" s="1"/>
      <c r="Z815" s="1"/>
      <c r="AA815" s="1"/>
      <c r="AB815" s="1"/>
    </row>
    <row r="816" spans="2:28" ht="11.25" customHeight="1" x14ac:dyDescent="0.25">
      <c r="B816" s="16"/>
      <c r="C816" s="1"/>
      <c r="D816" s="1"/>
      <c r="E816" s="1"/>
      <c r="F816" s="1"/>
      <c r="G816" s="22"/>
      <c r="H816" s="1"/>
      <c r="I816" s="1"/>
      <c r="J816" s="1"/>
      <c r="K816" s="1"/>
      <c r="L816" s="1"/>
      <c r="M816" s="262"/>
      <c r="N816" s="1"/>
      <c r="O816" s="1"/>
      <c r="P816" s="1"/>
      <c r="Q816" s="1"/>
      <c r="R816" s="1"/>
      <c r="S816" s="1"/>
      <c r="T816" s="1"/>
      <c r="U816" s="1"/>
      <c r="V816" s="1"/>
      <c r="W816" s="1"/>
      <c r="X816" s="1"/>
      <c r="Y816" s="1"/>
      <c r="Z816" s="1"/>
      <c r="AA816" s="1"/>
      <c r="AB816" s="1"/>
    </row>
    <row r="817" spans="2:28" ht="11.25" customHeight="1" x14ac:dyDescent="0.25">
      <c r="B817" s="16"/>
      <c r="C817" s="1"/>
      <c r="D817" s="1"/>
      <c r="E817" s="1"/>
      <c r="F817" s="1"/>
      <c r="G817" s="22"/>
      <c r="H817" s="1"/>
      <c r="I817" s="1"/>
      <c r="J817" s="1"/>
      <c r="K817" s="1"/>
      <c r="L817" s="1"/>
      <c r="M817" s="262"/>
      <c r="N817" s="1"/>
      <c r="O817" s="1"/>
      <c r="P817" s="1"/>
      <c r="Q817" s="1"/>
      <c r="R817" s="1"/>
      <c r="S817" s="1"/>
      <c r="T817" s="1"/>
      <c r="U817" s="1"/>
      <c r="V817" s="1"/>
      <c r="W817" s="1"/>
      <c r="X817" s="1"/>
      <c r="Y817" s="1"/>
      <c r="Z817" s="1"/>
      <c r="AA817" s="1"/>
      <c r="AB817" s="1"/>
    </row>
    <row r="818" spans="2:28" ht="11.25" customHeight="1" x14ac:dyDescent="0.25">
      <c r="B818" s="16"/>
      <c r="C818" s="1"/>
      <c r="D818" s="1"/>
      <c r="E818" s="1"/>
      <c r="F818" s="1"/>
      <c r="G818" s="22"/>
      <c r="H818" s="1"/>
      <c r="I818" s="1"/>
      <c r="J818" s="1"/>
      <c r="K818" s="1"/>
      <c r="L818" s="1"/>
      <c r="M818" s="262"/>
      <c r="N818" s="1"/>
      <c r="O818" s="1"/>
      <c r="P818" s="1"/>
      <c r="Q818" s="1"/>
      <c r="R818" s="1"/>
      <c r="S818" s="1"/>
      <c r="T818" s="1"/>
      <c r="U818" s="1"/>
      <c r="V818" s="1"/>
      <c r="W818" s="1"/>
      <c r="X818" s="1"/>
      <c r="Y818" s="1"/>
      <c r="Z818" s="1"/>
      <c r="AA818" s="1"/>
      <c r="AB818" s="1"/>
    </row>
    <row r="819" spans="2:28" ht="11.25" customHeight="1" x14ac:dyDescent="0.25">
      <c r="B819" s="16"/>
      <c r="C819" s="1"/>
      <c r="D819" s="1"/>
      <c r="E819" s="1"/>
      <c r="F819" s="1"/>
      <c r="G819" s="22"/>
      <c r="H819" s="1"/>
      <c r="I819" s="1"/>
      <c r="J819" s="1"/>
      <c r="K819" s="1"/>
      <c r="L819" s="1"/>
      <c r="M819" s="262"/>
      <c r="N819" s="1"/>
      <c r="O819" s="1"/>
      <c r="P819" s="1"/>
      <c r="Q819" s="1"/>
      <c r="R819" s="1"/>
      <c r="S819" s="1"/>
      <c r="T819" s="1"/>
      <c r="U819" s="1"/>
      <c r="V819" s="1"/>
      <c r="W819" s="1"/>
      <c r="X819" s="1"/>
      <c r="Y819" s="1"/>
      <c r="Z819" s="1"/>
      <c r="AA819" s="1"/>
      <c r="AB819" s="1"/>
    </row>
    <row r="820" spans="2:28" ht="11.25" customHeight="1" x14ac:dyDescent="0.25">
      <c r="B820" s="16"/>
      <c r="C820" s="1"/>
      <c r="D820" s="1"/>
      <c r="E820" s="1"/>
      <c r="F820" s="1"/>
      <c r="G820" s="22"/>
      <c r="H820" s="1"/>
      <c r="I820" s="1"/>
      <c r="J820" s="1"/>
      <c r="K820" s="1"/>
      <c r="L820" s="1"/>
      <c r="M820" s="262"/>
      <c r="N820" s="1"/>
      <c r="O820" s="1"/>
      <c r="P820" s="1"/>
      <c r="Q820" s="1"/>
      <c r="R820" s="1"/>
      <c r="S820" s="1"/>
      <c r="T820" s="1"/>
      <c r="U820" s="1"/>
      <c r="V820" s="1"/>
      <c r="W820" s="1"/>
      <c r="X820" s="1"/>
      <c r="Y820" s="1"/>
      <c r="Z820" s="1"/>
      <c r="AA820" s="1"/>
      <c r="AB820" s="1"/>
    </row>
    <row r="821" spans="2:28" ht="11.25" customHeight="1" x14ac:dyDescent="0.25">
      <c r="B821" s="16"/>
      <c r="C821" s="1"/>
      <c r="D821" s="1"/>
      <c r="E821" s="1"/>
      <c r="F821" s="1"/>
      <c r="G821" s="22"/>
      <c r="H821" s="1"/>
      <c r="I821" s="1"/>
      <c r="J821" s="1"/>
      <c r="K821" s="1"/>
      <c r="L821" s="1"/>
      <c r="M821" s="262"/>
      <c r="N821" s="1"/>
      <c r="O821" s="1"/>
      <c r="P821" s="1"/>
      <c r="Q821" s="1"/>
      <c r="R821" s="1"/>
      <c r="S821" s="1"/>
      <c r="T821" s="1"/>
      <c r="U821" s="1"/>
      <c r="V821" s="1"/>
      <c r="W821" s="1"/>
      <c r="X821" s="1"/>
      <c r="Y821" s="1"/>
      <c r="Z821" s="1"/>
      <c r="AA821" s="1"/>
      <c r="AB821" s="1"/>
    </row>
    <row r="822" spans="2:28" ht="11.25" customHeight="1" x14ac:dyDescent="0.25">
      <c r="B822" s="16"/>
      <c r="C822" s="1"/>
      <c r="D822" s="1"/>
      <c r="E822" s="1"/>
      <c r="F822" s="1"/>
      <c r="G822" s="22"/>
      <c r="H822" s="1"/>
      <c r="I822" s="1"/>
      <c r="J822" s="1"/>
      <c r="K822" s="1"/>
      <c r="L822" s="1"/>
      <c r="M822" s="262"/>
      <c r="N822" s="1"/>
      <c r="O822" s="1"/>
      <c r="P822" s="1"/>
      <c r="Q822" s="1"/>
      <c r="R822" s="1"/>
      <c r="S822" s="1"/>
      <c r="T822" s="1"/>
      <c r="U822" s="1"/>
      <c r="V822" s="1"/>
      <c r="W822" s="1"/>
      <c r="X822" s="1"/>
      <c r="Y822" s="1"/>
      <c r="Z822" s="1"/>
      <c r="AA822" s="1"/>
      <c r="AB822" s="1"/>
    </row>
    <row r="823" spans="2:28" ht="11.25" customHeight="1" x14ac:dyDescent="0.25">
      <c r="B823" s="16"/>
      <c r="C823" s="1"/>
      <c r="D823" s="1"/>
      <c r="E823" s="1"/>
      <c r="F823" s="1"/>
      <c r="G823" s="22"/>
      <c r="H823" s="1"/>
      <c r="I823" s="1"/>
      <c r="J823" s="1"/>
      <c r="K823" s="1"/>
      <c r="L823" s="1"/>
      <c r="M823" s="262"/>
      <c r="N823" s="1"/>
      <c r="O823" s="1"/>
      <c r="P823" s="1"/>
      <c r="Q823" s="1"/>
      <c r="R823" s="1"/>
      <c r="S823" s="1"/>
      <c r="T823" s="1"/>
      <c r="U823" s="1"/>
      <c r="V823" s="1"/>
      <c r="W823" s="1"/>
      <c r="X823" s="1"/>
      <c r="Y823" s="1"/>
      <c r="Z823" s="1"/>
      <c r="AA823" s="1"/>
      <c r="AB823" s="1"/>
    </row>
    <row r="824" spans="2:28" ht="11.25" customHeight="1" x14ac:dyDescent="0.25">
      <c r="B824" s="16"/>
      <c r="C824" s="1"/>
      <c r="D824" s="1"/>
      <c r="E824" s="1"/>
      <c r="F824" s="1"/>
      <c r="G824" s="22"/>
      <c r="H824" s="1"/>
      <c r="I824" s="1"/>
      <c r="J824" s="1"/>
      <c r="K824" s="1"/>
      <c r="L824" s="1"/>
      <c r="M824" s="262"/>
      <c r="N824" s="1"/>
      <c r="O824" s="1"/>
      <c r="P824" s="1"/>
      <c r="Q824" s="1"/>
      <c r="R824" s="1"/>
      <c r="S824" s="1"/>
      <c r="T824" s="1"/>
      <c r="U824" s="1"/>
      <c r="V824" s="1"/>
      <c r="W824" s="1"/>
      <c r="X824" s="1"/>
      <c r="Y824" s="1"/>
      <c r="Z824" s="1"/>
      <c r="AA824" s="1"/>
      <c r="AB824" s="1"/>
    </row>
    <row r="825" spans="2:28" ht="11.25" customHeight="1" x14ac:dyDescent="0.25">
      <c r="B825" s="16"/>
      <c r="C825" s="1"/>
      <c r="D825" s="1"/>
      <c r="E825" s="1"/>
      <c r="F825" s="1"/>
      <c r="G825" s="22"/>
      <c r="H825" s="1"/>
      <c r="I825" s="1"/>
      <c r="J825" s="1"/>
      <c r="K825" s="1"/>
      <c r="L825" s="1"/>
      <c r="M825" s="262"/>
      <c r="N825" s="1"/>
      <c r="O825" s="1"/>
      <c r="P825" s="1"/>
      <c r="Q825" s="1"/>
      <c r="R825" s="1"/>
      <c r="S825" s="1"/>
      <c r="T825" s="1"/>
      <c r="U825" s="1"/>
      <c r="V825" s="1"/>
      <c r="W825" s="1"/>
      <c r="X825" s="1"/>
      <c r="Y825" s="1"/>
      <c r="Z825" s="1"/>
      <c r="AA825" s="1"/>
      <c r="AB825" s="1"/>
    </row>
    <row r="826" spans="2:28" ht="11.25" customHeight="1" x14ac:dyDescent="0.25">
      <c r="B826" s="16"/>
      <c r="C826" s="1"/>
      <c r="D826" s="1"/>
      <c r="E826" s="1"/>
      <c r="F826" s="1"/>
      <c r="G826" s="22"/>
      <c r="H826" s="1"/>
      <c r="I826" s="1"/>
      <c r="J826" s="1"/>
      <c r="K826" s="1"/>
      <c r="L826" s="1"/>
      <c r="M826" s="262"/>
      <c r="N826" s="1"/>
      <c r="O826" s="1"/>
      <c r="P826" s="1"/>
      <c r="Q826" s="1"/>
      <c r="R826" s="1"/>
      <c r="S826" s="1"/>
      <c r="T826" s="1"/>
      <c r="U826" s="1"/>
      <c r="V826" s="1"/>
      <c r="W826" s="1"/>
      <c r="X826" s="1"/>
      <c r="Y826" s="1"/>
      <c r="Z826" s="1"/>
      <c r="AA826" s="1"/>
      <c r="AB826" s="1"/>
    </row>
    <row r="827" spans="2:28" ht="11.25" customHeight="1" x14ac:dyDescent="0.25">
      <c r="B827" s="16"/>
      <c r="C827" s="1"/>
      <c r="D827" s="1"/>
      <c r="E827" s="1"/>
      <c r="F827" s="1"/>
      <c r="G827" s="22"/>
      <c r="H827" s="1"/>
      <c r="I827" s="1"/>
      <c r="J827" s="1"/>
      <c r="K827" s="1"/>
      <c r="L827" s="1"/>
      <c r="M827" s="262"/>
      <c r="N827" s="1"/>
      <c r="O827" s="1"/>
      <c r="P827" s="1"/>
      <c r="Q827" s="1"/>
      <c r="R827" s="1"/>
      <c r="S827" s="1"/>
      <c r="T827" s="1"/>
      <c r="U827" s="1"/>
      <c r="V827" s="1"/>
      <c r="W827" s="1"/>
      <c r="X827" s="1"/>
      <c r="Y827" s="1"/>
      <c r="Z827" s="1"/>
      <c r="AA827" s="1"/>
      <c r="AB827" s="1"/>
    </row>
    <row r="828" spans="2:28" ht="11.25" customHeight="1" x14ac:dyDescent="0.25">
      <c r="B828" s="16"/>
      <c r="C828" s="1"/>
      <c r="D828" s="1"/>
      <c r="E828" s="1"/>
      <c r="F828" s="1"/>
      <c r="G828" s="22"/>
      <c r="H828" s="1"/>
      <c r="I828" s="1"/>
      <c r="J828" s="1"/>
      <c r="K828" s="1"/>
      <c r="L828" s="1"/>
      <c r="M828" s="262"/>
      <c r="N828" s="1"/>
      <c r="O828" s="1"/>
      <c r="P828" s="1"/>
      <c r="Q828" s="1"/>
      <c r="R828" s="1"/>
      <c r="S828" s="1"/>
      <c r="T828" s="1"/>
      <c r="U828" s="1"/>
      <c r="V828" s="1"/>
      <c r="W828" s="1"/>
      <c r="X828" s="1"/>
      <c r="Y828" s="1"/>
      <c r="Z828" s="1"/>
      <c r="AA828" s="1"/>
      <c r="AB828" s="1"/>
    </row>
    <row r="829" spans="2:28" ht="11.25" customHeight="1" x14ac:dyDescent="0.25">
      <c r="B829" s="16"/>
      <c r="C829" s="1"/>
      <c r="D829" s="1"/>
      <c r="E829" s="1"/>
      <c r="F829" s="1"/>
      <c r="G829" s="22"/>
      <c r="H829" s="1"/>
      <c r="I829" s="1"/>
      <c r="J829" s="1"/>
      <c r="K829" s="1"/>
      <c r="L829" s="1"/>
      <c r="M829" s="262"/>
      <c r="N829" s="1"/>
      <c r="O829" s="1"/>
      <c r="P829" s="1"/>
      <c r="Q829" s="1"/>
      <c r="R829" s="1"/>
      <c r="S829" s="1"/>
      <c r="T829" s="1"/>
      <c r="U829" s="1"/>
      <c r="V829" s="1"/>
      <c r="W829" s="1"/>
      <c r="X829" s="1"/>
      <c r="Y829" s="1"/>
      <c r="Z829" s="1"/>
      <c r="AA829" s="1"/>
      <c r="AB829" s="1"/>
    </row>
    <row r="830" spans="2:28" ht="11.25" customHeight="1" x14ac:dyDescent="0.25">
      <c r="B830" s="16"/>
      <c r="C830" s="1"/>
      <c r="D830" s="1"/>
      <c r="E830" s="1"/>
      <c r="F830" s="1"/>
      <c r="G830" s="22"/>
      <c r="H830" s="1"/>
      <c r="I830" s="1"/>
      <c r="J830" s="1"/>
      <c r="K830" s="1"/>
      <c r="L830" s="1"/>
      <c r="M830" s="262"/>
      <c r="N830" s="1"/>
      <c r="O830" s="1"/>
      <c r="P830" s="1"/>
      <c r="Q830" s="1"/>
      <c r="R830" s="1"/>
      <c r="S830" s="1"/>
      <c r="T830" s="1"/>
      <c r="U830" s="1"/>
      <c r="V830" s="1"/>
      <c r="W830" s="1"/>
      <c r="X830" s="1"/>
      <c r="Y830" s="1"/>
      <c r="Z830" s="1"/>
      <c r="AA830" s="1"/>
      <c r="AB830" s="1"/>
    </row>
    <row r="831" spans="2:28" ht="11.25" customHeight="1" x14ac:dyDescent="0.25">
      <c r="B831" s="16"/>
      <c r="C831" s="1"/>
      <c r="D831" s="1"/>
      <c r="E831" s="1"/>
      <c r="F831" s="1"/>
      <c r="G831" s="22"/>
      <c r="H831" s="1"/>
      <c r="I831" s="1"/>
      <c r="J831" s="1"/>
      <c r="K831" s="1"/>
      <c r="L831" s="1"/>
      <c r="M831" s="262"/>
      <c r="N831" s="1"/>
      <c r="O831" s="1"/>
      <c r="P831" s="1"/>
      <c r="Q831" s="1"/>
      <c r="R831" s="1"/>
      <c r="S831" s="1"/>
      <c r="T831" s="1"/>
      <c r="U831" s="1"/>
      <c r="V831" s="1"/>
      <c r="W831" s="1"/>
      <c r="X831" s="1"/>
      <c r="Y831" s="1"/>
      <c r="Z831" s="1"/>
      <c r="AA831" s="1"/>
      <c r="AB831" s="1"/>
    </row>
    <row r="832" spans="2:28" ht="11.25" customHeight="1" x14ac:dyDescent="0.25">
      <c r="B832" s="16"/>
      <c r="C832" s="1"/>
      <c r="D832" s="1"/>
      <c r="E832" s="1"/>
      <c r="F832" s="1"/>
      <c r="G832" s="22"/>
      <c r="H832" s="1"/>
      <c r="I832" s="1"/>
      <c r="J832" s="1"/>
      <c r="K832" s="1"/>
      <c r="L832" s="1"/>
      <c r="M832" s="262"/>
      <c r="N832" s="1"/>
      <c r="O832" s="1"/>
      <c r="P832" s="1"/>
      <c r="Q832" s="1"/>
      <c r="R832" s="1"/>
      <c r="S832" s="1"/>
      <c r="T832" s="1"/>
      <c r="U832" s="1"/>
      <c r="V832" s="1"/>
      <c r="W832" s="1"/>
      <c r="X832" s="1"/>
      <c r="Y832" s="1"/>
      <c r="Z832" s="1"/>
      <c r="AA832" s="1"/>
      <c r="AB832" s="1"/>
    </row>
    <row r="833" spans="2:28" ht="11.25" customHeight="1" x14ac:dyDescent="0.25">
      <c r="B833" s="16"/>
      <c r="C833" s="1"/>
      <c r="D833" s="1"/>
      <c r="E833" s="1"/>
      <c r="F833" s="1"/>
      <c r="G833" s="22"/>
      <c r="H833" s="1"/>
      <c r="I833" s="1"/>
      <c r="J833" s="1"/>
      <c r="K833" s="1"/>
      <c r="L833" s="1"/>
      <c r="M833" s="262"/>
      <c r="N833" s="1"/>
      <c r="O833" s="1"/>
      <c r="P833" s="1"/>
      <c r="Q833" s="1"/>
      <c r="R833" s="1"/>
      <c r="S833" s="1"/>
      <c r="T833" s="1"/>
      <c r="U833" s="1"/>
      <c r="V833" s="1"/>
      <c r="W833" s="1"/>
      <c r="X833" s="1"/>
      <c r="Y833" s="1"/>
      <c r="Z833" s="1"/>
      <c r="AA833" s="1"/>
      <c r="AB833" s="1"/>
    </row>
    <row r="834" spans="2:28" ht="11.25" customHeight="1" x14ac:dyDescent="0.25">
      <c r="B834" s="16"/>
      <c r="C834" s="1"/>
      <c r="D834" s="1"/>
      <c r="E834" s="1"/>
      <c r="F834" s="1"/>
      <c r="G834" s="22"/>
      <c r="H834" s="1"/>
      <c r="I834" s="1"/>
      <c r="J834" s="1"/>
      <c r="K834" s="1"/>
      <c r="L834" s="1"/>
      <c r="M834" s="262"/>
      <c r="N834" s="1"/>
      <c r="O834" s="1"/>
      <c r="P834" s="1"/>
      <c r="Q834" s="1"/>
      <c r="R834" s="1"/>
      <c r="S834" s="1"/>
      <c r="T834" s="1"/>
      <c r="U834" s="1"/>
      <c r="V834" s="1"/>
      <c r="W834" s="1"/>
      <c r="X834" s="1"/>
      <c r="Y834" s="1"/>
      <c r="Z834" s="1"/>
      <c r="AA834" s="1"/>
      <c r="AB834" s="1"/>
    </row>
    <row r="835" spans="2:28" ht="11.25" customHeight="1" x14ac:dyDescent="0.25">
      <c r="B835" s="16"/>
      <c r="C835" s="1"/>
      <c r="D835" s="1"/>
      <c r="E835" s="1"/>
      <c r="F835" s="1"/>
      <c r="G835" s="22"/>
      <c r="H835" s="1"/>
      <c r="I835" s="1"/>
      <c r="J835" s="1"/>
      <c r="K835" s="1"/>
      <c r="L835" s="1"/>
      <c r="M835" s="262"/>
      <c r="N835" s="1"/>
      <c r="O835" s="1"/>
      <c r="P835" s="1"/>
      <c r="Q835" s="1"/>
      <c r="R835" s="1"/>
      <c r="S835" s="1"/>
      <c r="T835" s="1"/>
      <c r="U835" s="1"/>
      <c r="V835" s="1"/>
      <c r="W835" s="1"/>
      <c r="X835" s="1"/>
      <c r="Y835" s="1"/>
      <c r="Z835" s="1"/>
      <c r="AA835" s="1"/>
      <c r="AB835" s="1"/>
    </row>
    <row r="836" spans="2:28" ht="11.25" customHeight="1" x14ac:dyDescent="0.25">
      <c r="B836" s="16"/>
      <c r="C836" s="1"/>
      <c r="D836" s="1"/>
      <c r="E836" s="1"/>
      <c r="F836" s="1"/>
      <c r="G836" s="22"/>
      <c r="H836" s="1"/>
      <c r="I836" s="1"/>
      <c r="J836" s="1"/>
      <c r="K836" s="1"/>
      <c r="L836" s="1"/>
      <c r="M836" s="262"/>
      <c r="N836" s="1"/>
      <c r="O836" s="1"/>
      <c r="P836" s="1"/>
      <c r="Q836" s="1"/>
      <c r="R836" s="1"/>
      <c r="S836" s="1"/>
      <c r="T836" s="1"/>
      <c r="U836" s="1"/>
      <c r="V836" s="1"/>
      <c r="W836" s="1"/>
      <c r="X836" s="1"/>
      <c r="Y836" s="1"/>
      <c r="Z836" s="1"/>
      <c r="AA836" s="1"/>
      <c r="AB836" s="1"/>
    </row>
    <row r="837" spans="2:28" ht="11.25" customHeight="1" x14ac:dyDescent="0.25">
      <c r="B837" s="16"/>
      <c r="C837" s="1"/>
      <c r="D837" s="1"/>
      <c r="E837" s="1"/>
      <c r="F837" s="1"/>
      <c r="G837" s="22"/>
      <c r="H837" s="1"/>
      <c r="I837" s="1"/>
      <c r="J837" s="1"/>
      <c r="K837" s="1"/>
      <c r="L837" s="1"/>
      <c r="M837" s="262"/>
      <c r="N837" s="1"/>
      <c r="O837" s="1"/>
      <c r="P837" s="1"/>
      <c r="Q837" s="1"/>
      <c r="R837" s="1"/>
      <c r="S837" s="1"/>
      <c r="T837" s="1"/>
      <c r="U837" s="1"/>
      <c r="V837" s="1"/>
      <c r="W837" s="1"/>
      <c r="X837" s="1"/>
      <c r="Y837" s="1"/>
      <c r="Z837" s="1"/>
      <c r="AA837" s="1"/>
      <c r="AB837" s="1"/>
    </row>
    <row r="838" spans="2:28" ht="11.25" customHeight="1" x14ac:dyDescent="0.25">
      <c r="B838" s="16"/>
      <c r="C838" s="1"/>
      <c r="D838" s="1"/>
      <c r="E838" s="1"/>
      <c r="F838" s="1"/>
      <c r="G838" s="22"/>
      <c r="H838" s="1"/>
      <c r="I838" s="1"/>
      <c r="J838" s="1"/>
      <c r="K838" s="1"/>
      <c r="L838" s="1"/>
      <c r="M838" s="262"/>
      <c r="N838" s="1"/>
      <c r="O838" s="1"/>
      <c r="P838" s="1"/>
      <c r="Q838" s="1"/>
      <c r="R838" s="1"/>
      <c r="S838" s="1"/>
      <c r="T838" s="1"/>
      <c r="U838" s="1"/>
      <c r="V838" s="1"/>
      <c r="W838" s="1"/>
      <c r="X838" s="1"/>
      <c r="Y838" s="1"/>
      <c r="Z838" s="1"/>
      <c r="AA838" s="1"/>
      <c r="AB838" s="1"/>
    </row>
    <row r="839" spans="2:28" ht="11.25" customHeight="1" x14ac:dyDescent="0.25">
      <c r="B839" s="16"/>
      <c r="C839" s="1"/>
      <c r="D839" s="1"/>
      <c r="E839" s="1"/>
      <c r="F839" s="1"/>
      <c r="G839" s="22"/>
      <c r="H839" s="1"/>
      <c r="I839" s="1"/>
      <c r="J839" s="1"/>
      <c r="K839" s="1"/>
      <c r="L839" s="1"/>
      <c r="M839" s="262"/>
      <c r="N839" s="1"/>
      <c r="O839" s="1"/>
      <c r="P839" s="1"/>
      <c r="Q839" s="1"/>
      <c r="R839" s="1"/>
      <c r="S839" s="1"/>
      <c r="T839" s="1"/>
      <c r="U839" s="1"/>
      <c r="V839" s="1"/>
      <c r="W839" s="1"/>
      <c r="X839" s="1"/>
      <c r="Y839" s="1"/>
      <c r="Z839" s="1"/>
      <c r="AA839" s="1"/>
      <c r="AB839" s="1"/>
    </row>
    <row r="840" spans="2:28" ht="11.25" customHeight="1" x14ac:dyDescent="0.25">
      <c r="B840" s="16"/>
      <c r="C840" s="1"/>
      <c r="D840" s="1"/>
      <c r="E840" s="1"/>
      <c r="F840" s="1"/>
      <c r="G840" s="22"/>
      <c r="H840" s="1"/>
      <c r="I840" s="1"/>
      <c r="J840" s="1"/>
      <c r="K840" s="1"/>
      <c r="L840" s="1"/>
      <c r="M840" s="262"/>
      <c r="N840" s="1"/>
      <c r="O840" s="1"/>
      <c r="P840" s="1"/>
      <c r="Q840" s="1"/>
      <c r="R840" s="1"/>
      <c r="S840" s="1"/>
      <c r="T840" s="1"/>
      <c r="U840" s="1"/>
      <c r="V840" s="1"/>
      <c r="W840" s="1"/>
      <c r="X840" s="1"/>
      <c r="Y840" s="1"/>
      <c r="Z840" s="1"/>
      <c r="AA840" s="1"/>
      <c r="AB840" s="1"/>
    </row>
    <row r="841" spans="2:28" ht="11.25" customHeight="1" x14ac:dyDescent="0.25">
      <c r="B841" s="16"/>
      <c r="C841" s="1"/>
      <c r="D841" s="1"/>
      <c r="E841" s="1"/>
      <c r="F841" s="1"/>
      <c r="G841" s="22"/>
      <c r="H841" s="1"/>
      <c r="I841" s="1"/>
      <c r="J841" s="1"/>
      <c r="K841" s="1"/>
      <c r="L841" s="1"/>
      <c r="M841" s="262"/>
      <c r="N841" s="1"/>
      <c r="O841" s="1"/>
      <c r="P841" s="1"/>
      <c r="Q841" s="1"/>
      <c r="R841" s="1"/>
      <c r="S841" s="1"/>
      <c r="T841" s="1"/>
      <c r="U841" s="1"/>
      <c r="V841" s="1"/>
      <c r="W841" s="1"/>
      <c r="X841" s="1"/>
      <c r="Y841" s="1"/>
      <c r="Z841" s="1"/>
      <c r="AA841" s="1"/>
      <c r="AB841" s="1"/>
    </row>
    <row r="842" spans="2:28" ht="11.25" customHeight="1" x14ac:dyDescent="0.25">
      <c r="B842" s="16"/>
      <c r="C842" s="1"/>
      <c r="D842" s="1"/>
      <c r="E842" s="1"/>
      <c r="F842" s="1"/>
      <c r="G842" s="22"/>
      <c r="H842" s="1"/>
      <c r="I842" s="1"/>
      <c r="J842" s="1"/>
      <c r="K842" s="1"/>
      <c r="L842" s="1"/>
      <c r="M842" s="262"/>
      <c r="N842" s="1"/>
      <c r="O842" s="1"/>
      <c r="P842" s="1"/>
      <c r="Q842" s="1"/>
      <c r="R842" s="1"/>
      <c r="S842" s="1"/>
      <c r="T842" s="1"/>
      <c r="U842" s="1"/>
      <c r="V842" s="1"/>
      <c r="W842" s="1"/>
      <c r="X842" s="1"/>
      <c r="Y842" s="1"/>
      <c r="Z842" s="1"/>
      <c r="AA842" s="1"/>
      <c r="AB842" s="1"/>
    </row>
    <row r="843" spans="2:28" ht="11.25" customHeight="1" x14ac:dyDescent="0.25">
      <c r="B843" s="16"/>
      <c r="C843" s="1"/>
      <c r="D843" s="1"/>
      <c r="E843" s="1"/>
      <c r="F843" s="1"/>
      <c r="G843" s="22"/>
      <c r="H843" s="1"/>
      <c r="I843" s="1"/>
      <c r="J843" s="1"/>
      <c r="K843" s="1"/>
      <c r="L843" s="1"/>
      <c r="M843" s="262"/>
      <c r="N843" s="1"/>
      <c r="O843" s="1"/>
      <c r="P843" s="1"/>
      <c r="Q843" s="1"/>
      <c r="R843" s="1"/>
      <c r="S843" s="1"/>
      <c r="T843" s="1"/>
      <c r="U843" s="1"/>
      <c r="V843" s="1"/>
      <c r="W843" s="1"/>
      <c r="X843" s="1"/>
      <c r="Y843" s="1"/>
      <c r="Z843" s="1"/>
      <c r="AA843" s="1"/>
      <c r="AB843" s="1"/>
    </row>
    <row r="844" spans="2:28" ht="11.25" customHeight="1" x14ac:dyDescent="0.25">
      <c r="B844" s="16"/>
      <c r="C844" s="1"/>
      <c r="D844" s="1"/>
      <c r="E844" s="1"/>
      <c r="F844" s="1"/>
      <c r="G844" s="22"/>
      <c r="H844" s="1"/>
      <c r="I844" s="1"/>
      <c r="J844" s="1"/>
      <c r="K844" s="1"/>
      <c r="L844" s="1"/>
      <c r="M844" s="262"/>
      <c r="N844" s="1"/>
      <c r="O844" s="1"/>
      <c r="P844" s="1"/>
      <c r="Q844" s="1"/>
      <c r="R844" s="1"/>
      <c r="S844" s="1"/>
      <c r="T844" s="1"/>
      <c r="U844" s="1"/>
      <c r="V844" s="1"/>
      <c r="W844" s="1"/>
      <c r="X844" s="1"/>
      <c r="Y844" s="1"/>
      <c r="Z844" s="1"/>
      <c r="AA844" s="1"/>
      <c r="AB844" s="1"/>
    </row>
    <row r="845" spans="2:28" ht="11.25" customHeight="1" x14ac:dyDescent="0.25">
      <c r="B845" s="16"/>
      <c r="C845" s="1"/>
      <c r="D845" s="1"/>
      <c r="E845" s="1"/>
      <c r="F845" s="1"/>
      <c r="G845" s="22"/>
      <c r="H845" s="1"/>
      <c r="I845" s="1"/>
      <c r="J845" s="1"/>
      <c r="K845" s="1"/>
      <c r="L845" s="1"/>
      <c r="M845" s="262"/>
      <c r="N845" s="1"/>
      <c r="O845" s="1"/>
      <c r="P845" s="1"/>
      <c r="Q845" s="1"/>
      <c r="R845" s="1"/>
      <c r="S845" s="1"/>
      <c r="T845" s="1"/>
      <c r="U845" s="1"/>
      <c r="V845" s="1"/>
      <c r="W845" s="1"/>
      <c r="X845" s="1"/>
      <c r="Y845" s="1"/>
      <c r="Z845" s="1"/>
      <c r="AA845" s="1"/>
      <c r="AB845" s="1"/>
    </row>
    <row r="846" spans="2:28" ht="11.25" customHeight="1" x14ac:dyDescent="0.25">
      <c r="B846" s="16"/>
      <c r="C846" s="1"/>
      <c r="D846" s="1"/>
      <c r="E846" s="1"/>
      <c r="F846" s="1"/>
      <c r="G846" s="22"/>
      <c r="H846" s="1"/>
      <c r="I846" s="1"/>
      <c r="J846" s="1"/>
      <c r="K846" s="1"/>
      <c r="L846" s="1"/>
      <c r="M846" s="262"/>
      <c r="N846" s="1"/>
      <c r="O846" s="1"/>
      <c r="P846" s="1"/>
      <c r="Q846" s="1"/>
      <c r="R846" s="1"/>
      <c r="S846" s="1"/>
      <c r="T846" s="1"/>
      <c r="U846" s="1"/>
      <c r="V846" s="1"/>
      <c r="W846" s="1"/>
      <c r="X846" s="1"/>
      <c r="Y846" s="1"/>
      <c r="Z846" s="1"/>
      <c r="AA846" s="1"/>
      <c r="AB846" s="1"/>
    </row>
    <row r="847" spans="2:28" ht="11.25" customHeight="1" x14ac:dyDescent="0.25">
      <c r="B847" s="16"/>
      <c r="C847" s="1"/>
      <c r="D847" s="1"/>
      <c r="E847" s="1"/>
      <c r="F847" s="1"/>
      <c r="G847" s="22"/>
      <c r="H847" s="1"/>
      <c r="I847" s="1"/>
      <c r="J847" s="1"/>
      <c r="K847" s="1"/>
      <c r="L847" s="1"/>
      <c r="M847" s="262"/>
      <c r="N847" s="1"/>
      <c r="O847" s="1"/>
      <c r="P847" s="1"/>
      <c r="Q847" s="1"/>
      <c r="R847" s="1"/>
      <c r="S847" s="1"/>
      <c r="T847" s="1"/>
      <c r="U847" s="1"/>
      <c r="V847" s="1"/>
      <c r="W847" s="1"/>
      <c r="X847" s="1"/>
      <c r="Y847" s="1"/>
      <c r="Z847" s="1"/>
      <c r="AA847" s="1"/>
      <c r="AB847" s="1"/>
    </row>
    <row r="848" spans="2:28" ht="11.25" customHeight="1" x14ac:dyDescent="0.25">
      <c r="B848" s="16"/>
      <c r="C848" s="1"/>
      <c r="D848" s="1"/>
      <c r="E848" s="1"/>
      <c r="F848" s="1"/>
      <c r="G848" s="22"/>
      <c r="H848" s="1"/>
      <c r="I848" s="1"/>
      <c r="J848" s="1"/>
      <c r="K848" s="1"/>
      <c r="L848" s="1"/>
      <c r="M848" s="262"/>
      <c r="N848" s="1"/>
      <c r="O848" s="1"/>
      <c r="P848" s="1"/>
      <c r="Q848" s="1"/>
      <c r="R848" s="1"/>
      <c r="S848" s="1"/>
      <c r="T848" s="1"/>
      <c r="U848" s="1"/>
      <c r="V848" s="1"/>
      <c r="W848" s="1"/>
      <c r="X848" s="1"/>
      <c r="Y848" s="1"/>
      <c r="Z848" s="1"/>
      <c r="AA848" s="1"/>
      <c r="AB848" s="1"/>
    </row>
    <row r="849" spans="2:28" ht="11.25" customHeight="1" x14ac:dyDescent="0.25">
      <c r="B849" s="16"/>
      <c r="C849" s="1"/>
      <c r="D849" s="1"/>
      <c r="E849" s="1"/>
      <c r="F849" s="1"/>
      <c r="G849" s="22"/>
      <c r="H849" s="1"/>
      <c r="I849" s="1"/>
      <c r="J849" s="1"/>
      <c r="K849" s="1"/>
      <c r="L849" s="1"/>
      <c r="M849" s="262"/>
      <c r="N849" s="1"/>
      <c r="O849" s="1"/>
      <c r="P849" s="1"/>
      <c r="Q849" s="1"/>
      <c r="R849" s="1"/>
      <c r="S849" s="1"/>
      <c r="T849" s="1"/>
      <c r="U849" s="1"/>
      <c r="V849" s="1"/>
      <c r="W849" s="1"/>
      <c r="X849" s="1"/>
      <c r="Y849" s="1"/>
      <c r="Z849" s="1"/>
      <c r="AA849" s="1"/>
      <c r="AB849" s="1"/>
    </row>
    <row r="850" spans="2:28" ht="11.25" customHeight="1" x14ac:dyDescent="0.25">
      <c r="B850" s="16"/>
      <c r="C850" s="1"/>
      <c r="D850" s="1"/>
      <c r="E850" s="1"/>
      <c r="F850" s="1"/>
      <c r="G850" s="22"/>
      <c r="H850" s="1"/>
      <c r="I850" s="1"/>
      <c r="J850" s="1"/>
      <c r="K850" s="1"/>
      <c r="L850" s="1"/>
      <c r="M850" s="262"/>
      <c r="N850" s="1"/>
      <c r="O850" s="1"/>
      <c r="P850" s="1"/>
      <c r="Q850" s="1"/>
      <c r="R850" s="1"/>
      <c r="S850" s="1"/>
      <c r="T850" s="1"/>
      <c r="U850" s="1"/>
      <c r="V850" s="1"/>
      <c r="W850" s="1"/>
      <c r="X850" s="1"/>
      <c r="Y850" s="1"/>
      <c r="Z850" s="1"/>
      <c r="AA850" s="1"/>
      <c r="AB850" s="1"/>
    </row>
    <row r="851" spans="2:28" ht="11.25" customHeight="1" x14ac:dyDescent="0.25">
      <c r="B851" s="16"/>
      <c r="C851" s="1"/>
      <c r="D851" s="1"/>
      <c r="E851" s="1"/>
      <c r="F851" s="1"/>
      <c r="G851" s="22"/>
      <c r="H851" s="1"/>
      <c r="I851" s="1"/>
      <c r="J851" s="1"/>
      <c r="K851" s="1"/>
      <c r="L851" s="1"/>
      <c r="M851" s="262"/>
      <c r="N851" s="1"/>
      <c r="O851" s="1"/>
      <c r="P851" s="1"/>
      <c r="Q851" s="1"/>
      <c r="R851" s="1"/>
      <c r="S851" s="1"/>
      <c r="T851" s="1"/>
      <c r="U851" s="1"/>
      <c r="V851" s="1"/>
      <c r="W851" s="1"/>
      <c r="X851" s="1"/>
      <c r="Y851" s="1"/>
      <c r="Z851" s="1"/>
      <c r="AA851" s="1"/>
      <c r="AB851" s="1"/>
    </row>
    <row r="852" spans="2:28" ht="11.25" customHeight="1" x14ac:dyDescent="0.25">
      <c r="B852" s="16"/>
      <c r="C852" s="1"/>
      <c r="D852" s="1"/>
      <c r="E852" s="1"/>
      <c r="F852" s="1"/>
      <c r="G852" s="22"/>
      <c r="H852" s="1"/>
      <c r="I852" s="1"/>
      <c r="J852" s="1"/>
      <c r="K852" s="1"/>
      <c r="L852" s="1"/>
      <c r="M852" s="262"/>
      <c r="N852" s="1"/>
      <c r="O852" s="1"/>
      <c r="P852" s="1"/>
      <c r="Q852" s="1"/>
      <c r="R852" s="1"/>
      <c r="S852" s="1"/>
      <c r="T852" s="1"/>
      <c r="U852" s="1"/>
      <c r="V852" s="1"/>
      <c r="W852" s="1"/>
      <c r="X852" s="1"/>
      <c r="Y852" s="1"/>
      <c r="Z852" s="1"/>
      <c r="AA852" s="1"/>
      <c r="AB852" s="1"/>
    </row>
    <row r="853" spans="2:28" ht="11.25" customHeight="1" x14ac:dyDescent="0.25">
      <c r="B853" s="16"/>
      <c r="C853" s="1"/>
      <c r="D853" s="1"/>
      <c r="E853" s="1"/>
      <c r="F853" s="1"/>
      <c r="G853" s="22"/>
      <c r="H853" s="1"/>
      <c r="I853" s="1"/>
      <c r="J853" s="1"/>
      <c r="K853" s="1"/>
      <c r="L853" s="1"/>
      <c r="M853" s="262"/>
      <c r="N853" s="1"/>
      <c r="O853" s="1"/>
      <c r="P853" s="1"/>
      <c r="Q853" s="1"/>
      <c r="R853" s="1"/>
      <c r="S853" s="1"/>
      <c r="T853" s="1"/>
      <c r="U853" s="1"/>
      <c r="V853" s="1"/>
      <c r="W853" s="1"/>
      <c r="X853" s="1"/>
      <c r="Y853" s="1"/>
      <c r="Z853" s="1"/>
      <c r="AA853" s="1"/>
      <c r="AB853" s="1"/>
    </row>
    <row r="854" spans="2:28" ht="11.25" customHeight="1" x14ac:dyDescent="0.25">
      <c r="B854" s="16"/>
      <c r="C854" s="1"/>
      <c r="D854" s="1"/>
      <c r="E854" s="1"/>
      <c r="F854" s="1"/>
      <c r="G854" s="22"/>
      <c r="H854" s="1"/>
      <c r="I854" s="1"/>
      <c r="J854" s="1"/>
      <c r="K854" s="1"/>
      <c r="L854" s="1"/>
      <c r="M854" s="262"/>
      <c r="N854" s="1"/>
      <c r="O854" s="1"/>
      <c r="P854" s="1"/>
      <c r="Q854" s="1"/>
      <c r="R854" s="1"/>
      <c r="S854" s="1"/>
      <c r="T854" s="1"/>
      <c r="U854" s="1"/>
      <c r="V854" s="1"/>
      <c r="W854" s="1"/>
      <c r="X854" s="1"/>
      <c r="Y854" s="1"/>
      <c r="Z854" s="1"/>
      <c r="AA854" s="1"/>
      <c r="AB854" s="1"/>
    </row>
    <row r="855" spans="2:28" ht="11.25" customHeight="1" x14ac:dyDescent="0.25">
      <c r="B855" s="16"/>
      <c r="C855" s="1"/>
      <c r="D855" s="1"/>
      <c r="E855" s="1"/>
      <c r="F855" s="1"/>
      <c r="G855" s="22"/>
      <c r="H855" s="1"/>
      <c r="I855" s="1"/>
      <c r="J855" s="1"/>
      <c r="K855" s="1"/>
      <c r="L855" s="1"/>
      <c r="M855" s="262"/>
      <c r="N855" s="1"/>
      <c r="O855" s="1"/>
      <c r="P855" s="1"/>
      <c r="Q855" s="1"/>
      <c r="R855" s="1"/>
      <c r="S855" s="1"/>
      <c r="T855" s="1"/>
      <c r="U855" s="1"/>
      <c r="V855" s="1"/>
      <c r="W855" s="1"/>
      <c r="X855" s="1"/>
      <c r="Y855" s="1"/>
      <c r="Z855" s="1"/>
      <c r="AA855" s="1"/>
      <c r="AB855" s="1"/>
    </row>
    <row r="856" spans="2:28" ht="11.25" customHeight="1" x14ac:dyDescent="0.25">
      <c r="B856" s="16"/>
      <c r="C856" s="1"/>
      <c r="D856" s="1"/>
      <c r="E856" s="1"/>
      <c r="F856" s="1"/>
      <c r="G856" s="22"/>
      <c r="H856" s="1"/>
      <c r="I856" s="1"/>
      <c r="J856" s="1"/>
      <c r="K856" s="1"/>
      <c r="L856" s="1"/>
      <c r="M856" s="262"/>
      <c r="N856" s="1"/>
      <c r="O856" s="1"/>
      <c r="P856" s="1"/>
      <c r="Q856" s="1"/>
      <c r="R856" s="1"/>
      <c r="S856" s="1"/>
      <c r="T856" s="1"/>
      <c r="U856" s="1"/>
      <c r="V856" s="1"/>
      <c r="W856" s="1"/>
      <c r="X856" s="1"/>
      <c r="Y856" s="1"/>
      <c r="Z856" s="1"/>
      <c r="AA856" s="1"/>
      <c r="AB856" s="1"/>
    </row>
    <row r="857" spans="2:28" ht="11.25" customHeight="1" x14ac:dyDescent="0.25">
      <c r="B857" s="16"/>
      <c r="C857" s="1"/>
      <c r="D857" s="1"/>
      <c r="E857" s="1"/>
      <c r="F857" s="1"/>
      <c r="G857" s="22"/>
      <c r="H857" s="1"/>
      <c r="I857" s="1"/>
      <c r="J857" s="1"/>
      <c r="K857" s="1"/>
      <c r="L857" s="1"/>
      <c r="M857" s="262"/>
      <c r="N857" s="1"/>
      <c r="O857" s="1"/>
      <c r="P857" s="1"/>
      <c r="Q857" s="1"/>
      <c r="R857" s="1"/>
      <c r="S857" s="1"/>
      <c r="T857" s="1"/>
      <c r="U857" s="1"/>
      <c r="V857" s="1"/>
      <c r="W857" s="1"/>
      <c r="X857" s="1"/>
      <c r="Y857" s="1"/>
      <c r="Z857" s="1"/>
      <c r="AA857" s="1"/>
      <c r="AB857" s="1"/>
    </row>
    <row r="858" spans="2:28" ht="11.25" customHeight="1" x14ac:dyDescent="0.25">
      <c r="B858" s="16"/>
      <c r="C858" s="1"/>
      <c r="D858" s="1"/>
      <c r="E858" s="1"/>
      <c r="F858" s="1"/>
      <c r="G858" s="22"/>
      <c r="H858" s="1"/>
      <c r="I858" s="1"/>
      <c r="J858" s="1"/>
      <c r="K858" s="1"/>
      <c r="L858" s="1"/>
      <c r="M858" s="262"/>
      <c r="N858" s="1"/>
      <c r="O858" s="1"/>
      <c r="P858" s="1"/>
      <c r="Q858" s="1"/>
      <c r="R858" s="1"/>
      <c r="S858" s="1"/>
      <c r="T858" s="1"/>
      <c r="U858" s="1"/>
      <c r="V858" s="1"/>
      <c r="W858" s="1"/>
      <c r="X858" s="1"/>
      <c r="Y858" s="1"/>
      <c r="Z858" s="1"/>
      <c r="AA858" s="1"/>
      <c r="AB858" s="1"/>
    </row>
    <row r="859" spans="2:28" ht="11.25" customHeight="1" x14ac:dyDescent="0.25">
      <c r="B859" s="16"/>
      <c r="C859" s="1"/>
      <c r="D859" s="1"/>
      <c r="E859" s="1"/>
      <c r="F859" s="1"/>
      <c r="G859" s="22"/>
      <c r="H859" s="1"/>
      <c r="I859" s="1"/>
      <c r="J859" s="1"/>
      <c r="K859" s="1"/>
      <c r="L859" s="1"/>
      <c r="M859" s="262"/>
      <c r="N859" s="1"/>
      <c r="O859" s="1"/>
      <c r="P859" s="1"/>
      <c r="Q859" s="1"/>
      <c r="R859" s="1"/>
      <c r="S859" s="1"/>
      <c r="T859" s="1"/>
      <c r="U859" s="1"/>
      <c r="V859" s="1"/>
      <c r="W859" s="1"/>
      <c r="X859" s="1"/>
      <c r="Y859" s="1"/>
      <c r="Z859" s="1"/>
      <c r="AA859" s="1"/>
      <c r="AB859" s="1"/>
    </row>
    <row r="860" spans="2:28" ht="11.25" customHeight="1" x14ac:dyDescent="0.25">
      <c r="B860" s="16"/>
      <c r="C860" s="1"/>
      <c r="D860" s="1"/>
      <c r="E860" s="1"/>
      <c r="F860" s="1"/>
      <c r="G860" s="22"/>
      <c r="H860" s="1"/>
      <c r="I860" s="1"/>
      <c r="J860" s="1"/>
      <c r="K860" s="1"/>
      <c r="L860" s="1"/>
      <c r="M860" s="262"/>
      <c r="N860" s="1"/>
      <c r="O860" s="1"/>
      <c r="P860" s="1"/>
      <c r="Q860" s="1"/>
      <c r="R860" s="1"/>
      <c r="S860" s="1"/>
      <c r="T860" s="1"/>
      <c r="U860" s="1"/>
      <c r="V860" s="1"/>
      <c r="W860" s="1"/>
      <c r="X860" s="1"/>
      <c r="Y860" s="1"/>
      <c r="Z860" s="1"/>
      <c r="AA860" s="1"/>
      <c r="AB860" s="1"/>
    </row>
    <row r="861" spans="2:28" ht="11.25" customHeight="1" x14ac:dyDescent="0.25">
      <c r="B861" s="16"/>
      <c r="C861" s="1"/>
      <c r="D861" s="1"/>
      <c r="E861" s="1"/>
      <c r="F861" s="1"/>
      <c r="G861" s="22"/>
      <c r="H861" s="1"/>
      <c r="I861" s="1"/>
      <c r="J861" s="1"/>
      <c r="K861" s="1"/>
      <c r="L861" s="1"/>
      <c r="M861" s="262"/>
      <c r="N861" s="1"/>
      <c r="O861" s="1"/>
      <c r="P861" s="1"/>
      <c r="Q861" s="1"/>
      <c r="R861" s="1"/>
      <c r="S861" s="1"/>
      <c r="T861" s="1"/>
      <c r="U861" s="1"/>
      <c r="V861" s="1"/>
      <c r="W861" s="1"/>
      <c r="X861" s="1"/>
      <c r="Y861" s="1"/>
      <c r="Z861" s="1"/>
      <c r="AA861" s="1"/>
      <c r="AB861" s="1"/>
    </row>
    <row r="862" spans="2:28" ht="11.25" customHeight="1" x14ac:dyDescent="0.25">
      <c r="B862" s="16"/>
      <c r="C862" s="1"/>
      <c r="D862" s="1"/>
      <c r="E862" s="1"/>
      <c r="F862" s="1"/>
      <c r="G862" s="22"/>
      <c r="H862" s="1"/>
      <c r="I862" s="1"/>
      <c r="J862" s="1"/>
      <c r="K862" s="1"/>
      <c r="L862" s="1"/>
      <c r="M862" s="262"/>
      <c r="N862" s="1"/>
      <c r="O862" s="1"/>
      <c r="P862" s="1"/>
      <c r="Q862" s="1"/>
      <c r="R862" s="1"/>
      <c r="S862" s="1"/>
      <c r="T862" s="1"/>
      <c r="U862" s="1"/>
      <c r="V862" s="1"/>
      <c r="W862" s="1"/>
      <c r="X862" s="1"/>
      <c r="Y862" s="1"/>
      <c r="Z862" s="1"/>
      <c r="AA862" s="1"/>
      <c r="AB862" s="1"/>
    </row>
    <row r="863" spans="2:28" ht="11.25" customHeight="1" x14ac:dyDescent="0.25">
      <c r="B863" s="16"/>
      <c r="C863" s="1"/>
      <c r="D863" s="1"/>
      <c r="E863" s="1"/>
      <c r="F863" s="1"/>
      <c r="G863" s="22"/>
      <c r="H863" s="1"/>
      <c r="I863" s="1"/>
      <c r="J863" s="1"/>
      <c r="K863" s="1"/>
      <c r="L863" s="1"/>
      <c r="M863" s="262"/>
      <c r="N863" s="1"/>
      <c r="O863" s="1"/>
      <c r="P863" s="1"/>
      <c r="Q863" s="1"/>
      <c r="R863" s="1"/>
      <c r="S863" s="1"/>
      <c r="T863" s="1"/>
      <c r="U863" s="1"/>
      <c r="V863" s="1"/>
      <c r="W863" s="1"/>
      <c r="X863" s="1"/>
      <c r="Y863" s="1"/>
      <c r="Z863" s="1"/>
      <c r="AA863" s="1"/>
      <c r="AB863" s="1"/>
    </row>
    <row r="864" spans="2:28" ht="11.25" customHeight="1" x14ac:dyDescent="0.25">
      <c r="B864" s="16"/>
      <c r="C864" s="1"/>
      <c r="D864" s="1"/>
      <c r="E864" s="1"/>
      <c r="F864" s="1"/>
      <c r="G864" s="22"/>
      <c r="H864" s="1"/>
      <c r="I864" s="1"/>
      <c r="J864" s="1"/>
      <c r="K864" s="1"/>
      <c r="L864" s="1"/>
      <c r="M864" s="262"/>
      <c r="N864" s="1"/>
      <c r="O864" s="1"/>
      <c r="P864" s="1"/>
      <c r="Q864" s="1"/>
      <c r="R864" s="1"/>
      <c r="S864" s="1"/>
      <c r="T864" s="1"/>
      <c r="U864" s="1"/>
      <c r="V864" s="1"/>
      <c r="W864" s="1"/>
      <c r="X864" s="1"/>
      <c r="Y864" s="1"/>
      <c r="Z864" s="1"/>
      <c r="AA864" s="1"/>
      <c r="AB864" s="1"/>
    </row>
    <row r="865" spans="2:28" ht="11.25" customHeight="1" x14ac:dyDescent="0.25">
      <c r="B865" s="16"/>
      <c r="C865" s="1"/>
      <c r="D865" s="1"/>
      <c r="E865" s="1"/>
      <c r="F865" s="1"/>
      <c r="G865" s="22"/>
      <c r="H865" s="1"/>
      <c r="I865" s="1"/>
      <c r="J865" s="1"/>
      <c r="K865" s="1"/>
      <c r="L865" s="1"/>
      <c r="M865" s="262"/>
      <c r="N865" s="1"/>
      <c r="O865" s="1"/>
      <c r="P865" s="1"/>
      <c r="Q865" s="1"/>
      <c r="R865" s="1"/>
      <c r="S865" s="1"/>
      <c r="T865" s="1"/>
      <c r="U865" s="1"/>
      <c r="V865" s="1"/>
      <c r="W865" s="1"/>
      <c r="X865" s="1"/>
      <c r="Y865" s="1"/>
      <c r="Z865" s="1"/>
      <c r="AA865" s="1"/>
      <c r="AB865" s="1"/>
    </row>
    <row r="866" spans="2:28" ht="11.25" customHeight="1" x14ac:dyDescent="0.25">
      <c r="B866" s="16"/>
      <c r="C866" s="1"/>
      <c r="D866" s="1"/>
      <c r="E866" s="1"/>
      <c r="F866" s="1"/>
      <c r="G866" s="22"/>
      <c r="H866" s="1"/>
      <c r="I866" s="1"/>
      <c r="J866" s="1"/>
      <c r="K866" s="1"/>
      <c r="L866" s="1"/>
      <c r="M866" s="262"/>
      <c r="N866" s="1"/>
      <c r="O866" s="1"/>
      <c r="P866" s="1"/>
      <c r="Q866" s="1"/>
      <c r="R866" s="1"/>
      <c r="S866" s="1"/>
      <c r="T866" s="1"/>
      <c r="U866" s="1"/>
      <c r="V866" s="1"/>
      <c r="W866" s="1"/>
      <c r="X866" s="1"/>
      <c r="Y866" s="1"/>
      <c r="Z866" s="1"/>
      <c r="AA866" s="1"/>
      <c r="AB866" s="1"/>
    </row>
    <row r="867" spans="2:28" ht="11.25" customHeight="1" x14ac:dyDescent="0.25">
      <c r="B867" s="16"/>
      <c r="C867" s="1"/>
      <c r="D867" s="1"/>
      <c r="E867" s="1"/>
      <c r="F867" s="1"/>
      <c r="G867" s="22"/>
      <c r="H867" s="1"/>
      <c r="I867" s="1"/>
      <c r="J867" s="1"/>
      <c r="K867" s="1"/>
      <c r="L867" s="1"/>
      <c r="M867" s="262"/>
      <c r="N867" s="1"/>
      <c r="O867" s="1"/>
      <c r="P867" s="1"/>
      <c r="Q867" s="1"/>
      <c r="R867" s="1"/>
      <c r="S867" s="1"/>
      <c r="T867" s="1"/>
      <c r="U867" s="1"/>
      <c r="V867" s="1"/>
      <c r="W867" s="1"/>
      <c r="X867" s="1"/>
      <c r="Y867" s="1"/>
      <c r="Z867" s="1"/>
      <c r="AA867" s="1"/>
      <c r="AB867" s="1"/>
    </row>
    <row r="868" spans="2:28" ht="11.25" customHeight="1" x14ac:dyDescent="0.25">
      <c r="B868" s="16"/>
      <c r="C868" s="1"/>
      <c r="D868" s="1"/>
      <c r="E868" s="1"/>
      <c r="F868" s="1"/>
      <c r="G868" s="22"/>
      <c r="H868" s="1"/>
      <c r="I868" s="1"/>
      <c r="J868" s="1"/>
      <c r="K868" s="1"/>
      <c r="L868" s="1"/>
      <c r="M868" s="262"/>
      <c r="N868" s="1"/>
      <c r="O868" s="1"/>
      <c r="P868" s="1"/>
      <c r="Q868" s="1"/>
      <c r="R868" s="1"/>
      <c r="S868" s="1"/>
      <c r="T868" s="1"/>
      <c r="U868" s="1"/>
      <c r="V868" s="1"/>
      <c r="W868" s="1"/>
      <c r="X868" s="1"/>
      <c r="Y868" s="1"/>
      <c r="Z868" s="1"/>
      <c r="AA868" s="1"/>
      <c r="AB868" s="1"/>
    </row>
    <row r="869" spans="2:28" ht="11.25" customHeight="1" x14ac:dyDescent="0.25">
      <c r="B869" s="16"/>
      <c r="C869" s="1"/>
      <c r="D869" s="1"/>
      <c r="E869" s="1"/>
      <c r="F869" s="1"/>
      <c r="G869" s="22"/>
      <c r="H869" s="1"/>
      <c r="I869" s="1"/>
      <c r="J869" s="1"/>
      <c r="K869" s="1"/>
      <c r="L869" s="1"/>
      <c r="M869" s="262"/>
      <c r="N869" s="1"/>
      <c r="O869" s="1"/>
      <c r="P869" s="1"/>
      <c r="Q869" s="1"/>
      <c r="R869" s="1"/>
      <c r="S869" s="1"/>
      <c r="T869" s="1"/>
      <c r="U869" s="1"/>
      <c r="V869" s="1"/>
      <c r="W869" s="1"/>
      <c r="X869" s="1"/>
      <c r="Y869" s="1"/>
      <c r="Z869" s="1"/>
      <c r="AA869" s="1"/>
      <c r="AB869" s="1"/>
    </row>
    <row r="870" spans="2:28" ht="11.25" customHeight="1" x14ac:dyDescent="0.25">
      <c r="B870" s="16"/>
      <c r="C870" s="1"/>
      <c r="D870" s="1"/>
      <c r="E870" s="1"/>
      <c r="F870" s="1"/>
      <c r="G870" s="22"/>
      <c r="H870" s="1"/>
      <c r="I870" s="1"/>
      <c r="J870" s="1"/>
      <c r="K870" s="1"/>
      <c r="L870" s="1"/>
      <c r="M870" s="262"/>
      <c r="N870" s="1"/>
      <c r="O870" s="1"/>
      <c r="P870" s="1"/>
      <c r="Q870" s="1"/>
      <c r="R870" s="1"/>
      <c r="S870" s="1"/>
      <c r="T870" s="1"/>
      <c r="U870" s="1"/>
      <c r="V870" s="1"/>
      <c r="W870" s="1"/>
      <c r="X870" s="1"/>
      <c r="Y870" s="1"/>
      <c r="Z870" s="1"/>
      <c r="AA870" s="1"/>
      <c r="AB870" s="1"/>
    </row>
    <row r="871" spans="2:28" ht="11.25" customHeight="1" x14ac:dyDescent="0.25">
      <c r="B871" s="16"/>
      <c r="C871" s="1"/>
      <c r="D871" s="1"/>
      <c r="E871" s="1"/>
      <c r="F871" s="1"/>
      <c r="G871" s="22"/>
      <c r="H871" s="1"/>
      <c r="I871" s="1"/>
      <c r="J871" s="1"/>
      <c r="K871" s="1"/>
      <c r="L871" s="1"/>
      <c r="M871" s="262"/>
      <c r="N871" s="1"/>
      <c r="O871" s="1"/>
      <c r="P871" s="1"/>
      <c r="Q871" s="1"/>
      <c r="R871" s="1"/>
      <c r="S871" s="1"/>
      <c r="T871" s="1"/>
      <c r="U871" s="1"/>
      <c r="V871" s="1"/>
      <c r="W871" s="1"/>
      <c r="X871" s="1"/>
      <c r="Y871" s="1"/>
      <c r="Z871" s="1"/>
      <c r="AA871" s="1"/>
      <c r="AB871" s="1"/>
    </row>
    <row r="872" spans="2:28" ht="11.25" customHeight="1" x14ac:dyDescent="0.25">
      <c r="B872" s="16"/>
      <c r="C872" s="1"/>
      <c r="D872" s="1"/>
      <c r="E872" s="1"/>
      <c r="F872" s="1"/>
      <c r="G872" s="22"/>
      <c r="H872" s="1"/>
      <c r="I872" s="1"/>
      <c r="J872" s="1"/>
      <c r="K872" s="1"/>
      <c r="L872" s="1"/>
      <c r="M872" s="262"/>
      <c r="N872" s="1"/>
      <c r="O872" s="1"/>
      <c r="P872" s="1"/>
      <c r="Q872" s="1"/>
      <c r="R872" s="1"/>
      <c r="S872" s="1"/>
      <c r="T872" s="1"/>
      <c r="U872" s="1"/>
      <c r="V872" s="1"/>
      <c r="W872" s="1"/>
      <c r="X872" s="1"/>
      <c r="Y872" s="1"/>
      <c r="Z872" s="1"/>
      <c r="AA872" s="1"/>
      <c r="AB872" s="1"/>
    </row>
    <row r="873" spans="2:28" ht="11.25" customHeight="1" x14ac:dyDescent="0.25">
      <c r="B873" s="16"/>
      <c r="C873" s="1"/>
      <c r="D873" s="1"/>
      <c r="E873" s="1"/>
      <c r="F873" s="1"/>
      <c r="G873" s="22"/>
      <c r="H873" s="1"/>
      <c r="I873" s="1"/>
      <c r="J873" s="1"/>
      <c r="K873" s="1"/>
      <c r="L873" s="1"/>
      <c r="M873" s="262"/>
      <c r="N873" s="1"/>
      <c r="O873" s="1"/>
      <c r="P873" s="1"/>
      <c r="Q873" s="1"/>
      <c r="R873" s="1"/>
      <c r="S873" s="1"/>
      <c r="T873" s="1"/>
      <c r="U873" s="1"/>
      <c r="V873" s="1"/>
      <c r="W873" s="1"/>
      <c r="X873" s="1"/>
      <c r="Y873" s="1"/>
      <c r="Z873" s="1"/>
      <c r="AA873" s="1"/>
      <c r="AB873" s="1"/>
    </row>
    <row r="874" spans="2:28" ht="11.25" customHeight="1" x14ac:dyDescent="0.25">
      <c r="B874" s="16"/>
      <c r="C874" s="1"/>
      <c r="D874" s="1"/>
      <c r="E874" s="1"/>
      <c r="F874" s="1"/>
      <c r="G874" s="22"/>
      <c r="H874" s="1"/>
      <c r="I874" s="1"/>
      <c r="J874" s="1"/>
      <c r="K874" s="1"/>
      <c r="L874" s="1"/>
      <c r="M874" s="262"/>
      <c r="N874" s="1"/>
      <c r="O874" s="1"/>
      <c r="P874" s="1"/>
      <c r="Q874" s="1"/>
      <c r="R874" s="1"/>
      <c r="S874" s="1"/>
      <c r="T874" s="1"/>
      <c r="U874" s="1"/>
      <c r="V874" s="1"/>
      <c r="W874" s="1"/>
      <c r="X874" s="1"/>
      <c r="Y874" s="1"/>
      <c r="Z874" s="1"/>
      <c r="AA874" s="1"/>
      <c r="AB874" s="1"/>
    </row>
    <row r="875" spans="2:28" ht="11.25" customHeight="1" x14ac:dyDescent="0.25">
      <c r="B875" s="16"/>
      <c r="C875" s="1"/>
      <c r="D875" s="1"/>
      <c r="E875" s="1"/>
      <c r="F875" s="1"/>
      <c r="G875" s="22"/>
      <c r="H875" s="1"/>
      <c r="I875" s="1"/>
      <c r="J875" s="1"/>
      <c r="K875" s="1"/>
      <c r="L875" s="1"/>
      <c r="M875" s="262"/>
      <c r="N875" s="1"/>
      <c r="O875" s="1"/>
      <c r="P875" s="1"/>
      <c r="Q875" s="1"/>
      <c r="R875" s="1"/>
      <c r="S875" s="1"/>
      <c r="T875" s="1"/>
      <c r="U875" s="1"/>
      <c r="V875" s="1"/>
      <c r="W875" s="1"/>
      <c r="X875" s="1"/>
      <c r="Y875" s="1"/>
      <c r="Z875" s="1"/>
      <c r="AA875" s="1"/>
      <c r="AB875" s="1"/>
    </row>
    <row r="876" spans="2:28" ht="11.25" customHeight="1" x14ac:dyDescent="0.25">
      <c r="B876" s="16"/>
      <c r="C876" s="1"/>
      <c r="D876" s="1"/>
      <c r="E876" s="1"/>
      <c r="F876" s="1"/>
      <c r="G876" s="22"/>
      <c r="H876" s="1"/>
      <c r="I876" s="1"/>
      <c r="J876" s="1"/>
      <c r="K876" s="1"/>
      <c r="L876" s="1"/>
      <c r="M876" s="262"/>
      <c r="N876" s="1"/>
      <c r="O876" s="1"/>
      <c r="P876" s="1"/>
      <c r="Q876" s="1"/>
      <c r="R876" s="1"/>
      <c r="S876" s="1"/>
      <c r="T876" s="1"/>
      <c r="U876" s="1"/>
      <c r="V876" s="1"/>
      <c r="W876" s="1"/>
      <c r="X876" s="1"/>
      <c r="Y876" s="1"/>
      <c r="Z876" s="1"/>
      <c r="AA876" s="1"/>
      <c r="AB876" s="1"/>
    </row>
    <row r="877" spans="2:28" ht="11.25" customHeight="1" x14ac:dyDescent="0.25">
      <c r="B877" s="16"/>
      <c r="C877" s="1"/>
      <c r="D877" s="1"/>
      <c r="E877" s="1"/>
      <c r="F877" s="1"/>
      <c r="G877" s="22"/>
      <c r="H877" s="1"/>
      <c r="I877" s="1"/>
      <c r="J877" s="1"/>
      <c r="K877" s="1"/>
      <c r="L877" s="1"/>
      <c r="M877" s="262"/>
      <c r="N877" s="1"/>
      <c r="O877" s="1"/>
      <c r="P877" s="1"/>
      <c r="Q877" s="1"/>
      <c r="R877" s="1"/>
      <c r="S877" s="1"/>
      <c r="T877" s="1"/>
      <c r="U877" s="1"/>
      <c r="V877" s="1"/>
      <c r="W877" s="1"/>
      <c r="X877" s="1"/>
      <c r="Y877" s="1"/>
      <c r="Z877" s="1"/>
      <c r="AA877" s="1"/>
      <c r="AB877" s="1"/>
    </row>
    <row r="878" spans="2:28" ht="11.25" customHeight="1" x14ac:dyDescent="0.25">
      <c r="B878" s="16"/>
      <c r="C878" s="1"/>
      <c r="D878" s="1"/>
      <c r="E878" s="1"/>
      <c r="F878" s="1"/>
      <c r="G878" s="22"/>
      <c r="H878" s="1"/>
      <c r="I878" s="1"/>
      <c r="J878" s="1"/>
      <c r="K878" s="1"/>
      <c r="L878" s="1"/>
      <c r="M878" s="262"/>
      <c r="N878" s="1"/>
      <c r="O878" s="1"/>
      <c r="P878" s="1"/>
      <c r="Q878" s="1"/>
      <c r="R878" s="1"/>
      <c r="S878" s="1"/>
      <c r="T878" s="1"/>
      <c r="U878" s="1"/>
      <c r="V878" s="1"/>
      <c r="W878" s="1"/>
      <c r="X878" s="1"/>
      <c r="Y878" s="1"/>
      <c r="Z878" s="1"/>
      <c r="AA878" s="1"/>
      <c r="AB878" s="1"/>
    </row>
    <row r="879" spans="2:28" ht="11.25" customHeight="1" x14ac:dyDescent="0.25">
      <c r="B879" s="16"/>
      <c r="C879" s="1"/>
      <c r="D879" s="1"/>
      <c r="E879" s="1"/>
      <c r="F879" s="1"/>
      <c r="G879" s="22"/>
      <c r="H879" s="1"/>
      <c r="I879" s="1"/>
      <c r="J879" s="1"/>
      <c r="K879" s="1"/>
      <c r="L879" s="1"/>
      <c r="M879" s="262"/>
      <c r="N879" s="1"/>
      <c r="O879" s="1"/>
      <c r="P879" s="1"/>
      <c r="Q879" s="1"/>
      <c r="R879" s="1"/>
      <c r="S879" s="1"/>
      <c r="T879" s="1"/>
      <c r="U879" s="1"/>
      <c r="V879" s="1"/>
      <c r="W879" s="1"/>
      <c r="X879" s="1"/>
      <c r="Y879" s="1"/>
      <c r="Z879" s="1"/>
      <c r="AA879" s="1"/>
      <c r="AB879" s="1"/>
    </row>
    <row r="880" spans="2:28" ht="11.25" customHeight="1" x14ac:dyDescent="0.25">
      <c r="B880" s="16"/>
      <c r="C880" s="1"/>
      <c r="D880" s="1"/>
      <c r="E880" s="1"/>
      <c r="F880" s="1"/>
      <c r="G880" s="22"/>
      <c r="H880" s="1"/>
      <c r="I880" s="1"/>
      <c r="J880" s="1"/>
      <c r="K880" s="1"/>
      <c r="L880" s="1"/>
      <c r="M880" s="262"/>
      <c r="N880" s="1"/>
      <c r="O880" s="1"/>
      <c r="P880" s="1"/>
      <c r="Q880" s="1"/>
      <c r="R880" s="1"/>
      <c r="S880" s="1"/>
      <c r="T880" s="1"/>
      <c r="U880" s="1"/>
      <c r="V880" s="1"/>
      <c r="W880" s="1"/>
      <c r="X880" s="1"/>
      <c r="Y880" s="1"/>
      <c r="Z880" s="1"/>
      <c r="AA880" s="1"/>
      <c r="AB880" s="1"/>
    </row>
    <row r="881" spans="2:28" ht="11.25" customHeight="1" x14ac:dyDescent="0.25">
      <c r="B881" s="16"/>
      <c r="C881" s="1"/>
      <c r="D881" s="1"/>
      <c r="E881" s="1"/>
      <c r="F881" s="1"/>
      <c r="G881" s="22"/>
      <c r="H881" s="1"/>
      <c r="I881" s="1"/>
      <c r="J881" s="1"/>
      <c r="K881" s="1"/>
      <c r="L881" s="1"/>
      <c r="M881" s="262"/>
      <c r="N881" s="1"/>
      <c r="O881" s="1"/>
      <c r="P881" s="1"/>
      <c r="Q881" s="1"/>
      <c r="R881" s="1"/>
      <c r="S881" s="1"/>
      <c r="T881" s="1"/>
      <c r="U881" s="1"/>
      <c r="V881" s="1"/>
      <c r="W881" s="1"/>
      <c r="X881" s="1"/>
      <c r="Y881" s="1"/>
      <c r="Z881" s="1"/>
      <c r="AA881" s="1"/>
      <c r="AB881" s="1"/>
    </row>
    <row r="882" spans="2:28" ht="11.25" customHeight="1" x14ac:dyDescent="0.25">
      <c r="B882" s="16"/>
      <c r="C882" s="1"/>
      <c r="D882" s="1"/>
      <c r="E882" s="1"/>
      <c r="F882" s="1"/>
      <c r="G882" s="22"/>
      <c r="H882" s="1"/>
      <c r="I882" s="1"/>
      <c r="J882" s="1"/>
      <c r="K882" s="1"/>
      <c r="L882" s="1"/>
      <c r="M882" s="262"/>
      <c r="N882" s="1"/>
      <c r="O882" s="1"/>
      <c r="P882" s="1"/>
      <c r="Q882" s="1"/>
      <c r="R882" s="1"/>
      <c r="S882" s="1"/>
      <c r="T882" s="1"/>
      <c r="U882" s="1"/>
      <c r="V882" s="1"/>
      <c r="W882" s="1"/>
      <c r="X882" s="1"/>
      <c r="Y882" s="1"/>
      <c r="Z882" s="1"/>
      <c r="AA882" s="1"/>
      <c r="AB882" s="1"/>
    </row>
    <row r="883" spans="2:28" ht="11.25" customHeight="1" x14ac:dyDescent="0.25">
      <c r="B883" s="16"/>
      <c r="C883" s="1"/>
      <c r="D883" s="1"/>
      <c r="E883" s="1"/>
      <c r="F883" s="1"/>
      <c r="G883" s="22"/>
      <c r="H883" s="1"/>
      <c r="I883" s="1"/>
      <c r="J883" s="1"/>
      <c r="K883" s="1"/>
      <c r="L883" s="1"/>
      <c r="M883" s="262"/>
      <c r="N883" s="1"/>
      <c r="O883" s="1"/>
      <c r="P883" s="1"/>
      <c r="Q883" s="1"/>
      <c r="R883" s="1"/>
      <c r="S883" s="1"/>
      <c r="T883" s="1"/>
      <c r="U883" s="1"/>
      <c r="V883" s="1"/>
      <c r="W883" s="1"/>
      <c r="X883" s="1"/>
      <c r="Y883" s="1"/>
      <c r="Z883" s="1"/>
      <c r="AA883" s="1"/>
      <c r="AB883" s="1"/>
    </row>
    <row r="884" spans="2:28" ht="11.25" customHeight="1" x14ac:dyDescent="0.25">
      <c r="B884" s="16"/>
      <c r="C884" s="1"/>
      <c r="D884" s="1"/>
      <c r="E884" s="1"/>
      <c r="F884" s="1"/>
      <c r="G884" s="22"/>
      <c r="H884" s="1"/>
      <c r="I884" s="1"/>
      <c r="J884" s="1"/>
      <c r="K884" s="1"/>
      <c r="L884" s="1"/>
      <c r="M884" s="262"/>
      <c r="N884" s="1"/>
      <c r="O884" s="1"/>
      <c r="P884" s="1"/>
      <c r="Q884" s="1"/>
      <c r="R884" s="1"/>
      <c r="S884" s="1"/>
      <c r="T884" s="1"/>
      <c r="U884" s="1"/>
      <c r="V884" s="1"/>
      <c r="W884" s="1"/>
      <c r="X884" s="1"/>
      <c r="Y884" s="1"/>
      <c r="Z884" s="1"/>
      <c r="AA884" s="1"/>
      <c r="AB884" s="1"/>
    </row>
    <row r="885" spans="2:28" ht="11.25" customHeight="1" x14ac:dyDescent="0.25">
      <c r="B885" s="16"/>
      <c r="C885" s="1"/>
      <c r="D885" s="1"/>
      <c r="E885" s="1"/>
      <c r="F885" s="1"/>
      <c r="G885" s="22"/>
      <c r="H885" s="1"/>
      <c r="I885" s="1"/>
      <c r="J885" s="1"/>
      <c r="K885" s="1"/>
      <c r="L885" s="1"/>
      <c r="M885" s="262"/>
      <c r="N885" s="1"/>
      <c r="O885" s="1"/>
      <c r="P885" s="1"/>
      <c r="Q885" s="1"/>
      <c r="R885" s="1"/>
      <c r="S885" s="1"/>
      <c r="T885" s="1"/>
      <c r="U885" s="1"/>
      <c r="V885" s="1"/>
      <c r="W885" s="1"/>
      <c r="X885" s="1"/>
      <c r="Y885" s="1"/>
      <c r="Z885" s="1"/>
      <c r="AA885" s="1"/>
      <c r="AB885" s="1"/>
    </row>
    <row r="886" spans="2:28" ht="11.25" customHeight="1" x14ac:dyDescent="0.25">
      <c r="B886" s="16"/>
      <c r="C886" s="1"/>
      <c r="D886" s="1"/>
      <c r="E886" s="1"/>
      <c r="F886" s="1"/>
      <c r="G886" s="22"/>
      <c r="H886" s="1"/>
      <c r="I886" s="1"/>
      <c r="J886" s="1"/>
      <c r="K886" s="1"/>
      <c r="L886" s="1"/>
      <c r="M886" s="262"/>
      <c r="N886" s="1"/>
      <c r="O886" s="1"/>
      <c r="P886" s="1"/>
      <c r="Q886" s="1"/>
      <c r="R886" s="1"/>
      <c r="S886" s="1"/>
      <c r="T886" s="1"/>
      <c r="U886" s="1"/>
      <c r="V886" s="1"/>
      <c r="W886" s="1"/>
      <c r="X886" s="1"/>
      <c r="Y886" s="1"/>
      <c r="Z886" s="1"/>
      <c r="AA886" s="1"/>
      <c r="AB886" s="1"/>
    </row>
    <row r="887" spans="2:28" ht="11.25" customHeight="1" x14ac:dyDescent="0.25">
      <c r="B887" s="16"/>
      <c r="C887" s="1"/>
      <c r="D887" s="1"/>
      <c r="E887" s="1"/>
      <c r="F887" s="1"/>
      <c r="G887" s="22"/>
      <c r="H887" s="1"/>
      <c r="I887" s="1"/>
      <c r="J887" s="1"/>
      <c r="K887" s="1"/>
      <c r="L887" s="1"/>
      <c r="M887" s="262"/>
      <c r="N887" s="1"/>
      <c r="O887" s="1"/>
      <c r="P887" s="1"/>
      <c r="Q887" s="1"/>
      <c r="R887" s="1"/>
      <c r="S887" s="1"/>
      <c r="T887" s="1"/>
      <c r="U887" s="1"/>
      <c r="V887" s="1"/>
      <c r="W887" s="1"/>
      <c r="X887" s="1"/>
      <c r="Y887" s="1"/>
      <c r="Z887" s="1"/>
      <c r="AA887" s="1"/>
      <c r="AB887" s="1"/>
    </row>
    <row r="888" spans="2:28" ht="11.25" customHeight="1" x14ac:dyDescent="0.25">
      <c r="B888" s="16"/>
      <c r="C888" s="1"/>
      <c r="D888" s="1"/>
      <c r="E888" s="1"/>
      <c r="F888" s="1"/>
      <c r="G888" s="22"/>
      <c r="H888" s="1"/>
      <c r="I888" s="1"/>
      <c r="J888" s="1"/>
      <c r="K888" s="1"/>
      <c r="L888" s="1"/>
      <c r="M888" s="262"/>
      <c r="N888" s="1"/>
      <c r="O888" s="1"/>
      <c r="P888" s="1"/>
      <c r="Q888" s="1"/>
      <c r="R888" s="1"/>
      <c r="S888" s="1"/>
      <c r="T888" s="1"/>
      <c r="U888" s="1"/>
      <c r="V888" s="1"/>
      <c r="W888" s="1"/>
      <c r="X888" s="1"/>
      <c r="Y888" s="1"/>
      <c r="Z888" s="1"/>
      <c r="AA888" s="1"/>
      <c r="AB888" s="1"/>
    </row>
    <row r="889" spans="2:28" ht="11.25" customHeight="1" x14ac:dyDescent="0.25">
      <c r="B889" s="16"/>
      <c r="C889" s="1"/>
      <c r="D889" s="1"/>
      <c r="E889" s="1"/>
      <c r="F889" s="1"/>
      <c r="G889" s="22"/>
      <c r="H889" s="1"/>
      <c r="I889" s="1"/>
      <c r="J889" s="1"/>
      <c r="K889" s="1"/>
      <c r="L889" s="1"/>
      <c r="M889" s="262"/>
      <c r="N889" s="1"/>
      <c r="O889" s="1"/>
      <c r="P889" s="1"/>
      <c r="Q889" s="1"/>
      <c r="R889" s="1"/>
      <c r="S889" s="1"/>
      <c r="T889" s="1"/>
      <c r="U889" s="1"/>
      <c r="V889" s="1"/>
      <c r="W889" s="1"/>
      <c r="X889" s="1"/>
      <c r="Y889" s="1"/>
      <c r="Z889" s="1"/>
      <c r="AA889" s="1"/>
      <c r="AB889" s="1"/>
    </row>
    <row r="890" spans="2:28" ht="11.25" customHeight="1" x14ac:dyDescent="0.25">
      <c r="B890" s="16"/>
      <c r="C890" s="1"/>
      <c r="D890" s="1"/>
      <c r="E890" s="1"/>
      <c r="F890" s="1"/>
      <c r="G890" s="22"/>
      <c r="H890" s="1"/>
      <c r="I890" s="1"/>
      <c r="J890" s="1"/>
      <c r="K890" s="1"/>
      <c r="L890" s="1"/>
      <c r="M890" s="262"/>
      <c r="N890" s="1"/>
      <c r="O890" s="1"/>
      <c r="P890" s="1"/>
      <c r="Q890" s="1"/>
      <c r="R890" s="1"/>
      <c r="S890" s="1"/>
      <c r="T890" s="1"/>
      <c r="U890" s="1"/>
      <c r="V890" s="1"/>
      <c r="W890" s="1"/>
      <c r="X890" s="1"/>
      <c r="Y890" s="1"/>
      <c r="Z890" s="1"/>
      <c r="AA890" s="1"/>
      <c r="AB890" s="1"/>
    </row>
    <row r="891" spans="2:28" ht="11.25" customHeight="1" x14ac:dyDescent="0.25">
      <c r="B891" s="16"/>
      <c r="C891" s="1"/>
      <c r="D891" s="1"/>
      <c r="E891" s="1"/>
      <c r="F891" s="1"/>
      <c r="G891" s="22"/>
      <c r="H891" s="1"/>
      <c r="I891" s="1"/>
      <c r="J891" s="1"/>
      <c r="K891" s="1"/>
      <c r="L891" s="1"/>
      <c r="M891" s="262"/>
      <c r="N891" s="1"/>
      <c r="O891" s="1"/>
      <c r="P891" s="1"/>
      <c r="Q891" s="1"/>
      <c r="R891" s="1"/>
      <c r="S891" s="1"/>
      <c r="T891" s="1"/>
      <c r="U891" s="1"/>
      <c r="V891" s="1"/>
      <c r="W891" s="1"/>
      <c r="X891" s="1"/>
      <c r="Y891" s="1"/>
      <c r="Z891" s="1"/>
      <c r="AA891" s="1"/>
      <c r="AB891" s="1"/>
    </row>
    <row r="892" spans="2:28" ht="11.25" customHeight="1" x14ac:dyDescent="0.25">
      <c r="B892" s="16"/>
      <c r="C892" s="1"/>
      <c r="D892" s="1"/>
      <c r="E892" s="1"/>
      <c r="F892" s="1"/>
      <c r="G892" s="22"/>
      <c r="H892" s="1"/>
      <c r="I892" s="1"/>
      <c r="J892" s="1"/>
      <c r="K892" s="1"/>
      <c r="L892" s="1"/>
      <c r="M892" s="262"/>
      <c r="N892" s="1"/>
      <c r="O892" s="1"/>
      <c r="P892" s="1"/>
      <c r="Q892" s="1"/>
      <c r="R892" s="1"/>
      <c r="S892" s="1"/>
      <c r="T892" s="1"/>
      <c r="U892" s="1"/>
      <c r="V892" s="1"/>
      <c r="W892" s="1"/>
      <c r="X892" s="1"/>
      <c r="Y892" s="1"/>
      <c r="Z892" s="1"/>
      <c r="AA892" s="1"/>
      <c r="AB892" s="1"/>
    </row>
    <row r="893" spans="2:28" ht="11.25" customHeight="1" x14ac:dyDescent="0.25">
      <c r="B893" s="16"/>
      <c r="C893" s="1"/>
      <c r="D893" s="1"/>
      <c r="E893" s="1"/>
      <c r="F893" s="1"/>
      <c r="G893" s="22"/>
      <c r="H893" s="1"/>
      <c r="I893" s="1"/>
      <c r="J893" s="1"/>
      <c r="K893" s="1"/>
      <c r="L893" s="1"/>
      <c r="M893" s="262"/>
      <c r="N893" s="1"/>
      <c r="O893" s="1"/>
      <c r="P893" s="1"/>
      <c r="Q893" s="1"/>
      <c r="R893" s="1"/>
      <c r="S893" s="1"/>
      <c r="T893" s="1"/>
      <c r="U893" s="1"/>
      <c r="V893" s="1"/>
      <c r="W893" s="1"/>
      <c r="X893" s="1"/>
      <c r="Y893" s="1"/>
      <c r="Z893" s="1"/>
      <c r="AA893" s="1"/>
      <c r="AB893" s="1"/>
    </row>
    <row r="894" spans="2:28" ht="11.25" customHeight="1" x14ac:dyDescent="0.25">
      <c r="B894" s="16"/>
      <c r="C894" s="1"/>
      <c r="D894" s="1"/>
      <c r="E894" s="1"/>
      <c r="F894" s="1"/>
      <c r="G894" s="22"/>
      <c r="H894" s="1"/>
      <c r="I894" s="1"/>
      <c r="J894" s="1"/>
      <c r="K894" s="1"/>
      <c r="L894" s="1"/>
      <c r="M894" s="262"/>
      <c r="N894" s="1"/>
      <c r="O894" s="1"/>
      <c r="P894" s="1"/>
      <c r="Q894" s="1"/>
      <c r="R894" s="1"/>
      <c r="S894" s="1"/>
      <c r="T894" s="1"/>
      <c r="U894" s="1"/>
      <c r="V894" s="1"/>
      <c r="W894" s="1"/>
      <c r="X894" s="1"/>
      <c r="Y894" s="1"/>
      <c r="Z894" s="1"/>
      <c r="AA894" s="1"/>
      <c r="AB894" s="1"/>
    </row>
    <row r="895" spans="2:28" ht="11.25" customHeight="1" x14ac:dyDescent="0.25">
      <c r="B895" s="16"/>
      <c r="C895" s="1"/>
      <c r="D895" s="1"/>
      <c r="E895" s="1"/>
      <c r="F895" s="1"/>
      <c r="G895" s="22"/>
      <c r="H895" s="1"/>
      <c r="I895" s="1"/>
      <c r="J895" s="1"/>
      <c r="K895" s="1"/>
      <c r="L895" s="1"/>
      <c r="M895" s="262"/>
      <c r="N895" s="1"/>
      <c r="O895" s="1"/>
      <c r="P895" s="1"/>
      <c r="Q895" s="1"/>
      <c r="R895" s="1"/>
      <c r="S895" s="1"/>
      <c r="T895" s="1"/>
      <c r="U895" s="1"/>
      <c r="V895" s="1"/>
      <c r="W895" s="1"/>
      <c r="X895" s="1"/>
      <c r="Y895" s="1"/>
      <c r="Z895" s="1"/>
      <c r="AA895" s="1"/>
      <c r="AB895" s="1"/>
    </row>
    <row r="896" spans="2:28" ht="11.25" customHeight="1" x14ac:dyDescent="0.25">
      <c r="B896" s="16"/>
      <c r="C896" s="1"/>
      <c r="D896" s="1"/>
      <c r="E896" s="1"/>
      <c r="F896" s="1"/>
      <c r="G896" s="22"/>
      <c r="H896" s="1"/>
      <c r="I896" s="1"/>
      <c r="J896" s="1"/>
      <c r="K896" s="1"/>
      <c r="L896" s="1"/>
      <c r="M896" s="262"/>
      <c r="N896" s="1"/>
      <c r="O896" s="1"/>
      <c r="P896" s="1"/>
      <c r="Q896" s="1"/>
      <c r="R896" s="1"/>
      <c r="S896" s="1"/>
      <c r="T896" s="1"/>
      <c r="U896" s="1"/>
      <c r="V896" s="1"/>
      <c r="W896" s="1"/>
      <c r="X896" s="1"/>
      <c r="Y896" s="1"/>
      <c r="Z896" s="1"/>
      <c r="AA896" s="1"/>
      <c r="AB896" s="1"/>
    </row>
    <row r="897" spans="2:28" ht="11.25" customHeight="1" x14ac:dyDescent="0.25">
      <c r="B897" s="16"/>
      <c r="C897" s="1"/>
      <c r="D897" s="1"/>
      <c r="E897" s="1"/>
      <c r="F897" s="1"/>
      <c r="G897" s="22"/>
      <c r="H897" s="1"/>
      <c r="I897" s="1"/>
      <c r="J897" s="1"/>
      <c r="K897" s="1"/>
      <c r="L897" s="1"/>
      <c r="M897" s="262"/>
      <c r="N897" s="1"/>
      <c r="O897" s="1"/>
      <c r="P897" s="1"/>
      <c r="Q897" s="1"/>
      <c r="R897" s="1"/>
      <c r="S897" s="1"/>
      <c r="T897" s="1"/>
      <c r="U897" s="1"/>
      <c r="V897" s="1"/>
      <c r="W897" s="1"/>
      <c r="X897" s="1"/>
      <c r="Y897" s="1"/>
      <c r="Z897" s="1"/>
      <c r="AA897" s="1"/>
      <c r="AB897" s="1"/>
    </row>
    <row r="898" spans="2:28" ht="11.25" customHeight="1" x14ac:dyDescent="0.25">
      <c r="B898" s="16"/>
      <c r="C898" s="1"/>
      <c r="D898" s="1"/>
      <c r="E898" s="1"/>
      <c r="F898" s="1"/>
      <c r="G898" s="22"/>
      <c r="H898" s="1"/>
      <c r="I898" s="1"/>
      <c r="J898" s="1"/>
      <c r="K898" s="1"/>
      <c r="L898" s="1"/>
      <c r="M898" s="262"/>
      <c r="N898" s="1"/>
      <c r="O898" s="1"/>
      <c r="P898" s="1"/>
      <c r="Q898" s="1"/>
      <c r="R898" s="1"/>
      <c r="S898" s="1"/>
      <c r="T898" s="1"/>
      <c r="U898" s="1"/>
      <c r="V898" s="1"/>
      <c r="W898" s="1"/>
      <c r="X898" s="1"/>
      <c r="Y898" s="1"/>
      <c r="Z898" s="1"/>
      <c r="AA898" s="1"/>
      <c r="AB898" s="1"/>
    </row>
    <row r="899" spans="2:28" ht="11.25" customHeight="1" x14ac:dyDescent="0.25">
      <c r="B899" s="16"/>
      <c r="C899" s="1"/>
      <c r="D899" s="1"/>
      <c r="E899" s="1"/>
      <c r="F899" s="1"/>
      <c r="G899" s="22"/>
      <c r="H899" s="1"/>
      <c r="I899" s="1"/>
      <c r="J899" s="1"/>
      <c r="K899" s="1"/>
      <c r="L899" s="1"/>
      <c r="M899" s="262"/>
      <c r="N899" s="1"/>
      <c r="O899" s="1"/>
      <c r="P899" s="1"/>
      <c r="Q899" s="1"/>
      <c r="R899" s="1"/>
      <c r="S899" s="1"/>
      <c r="T899" s="1"/>
      <c r="U899" s="1"/>
      <c r="V899" s="1"/>
      <c r="W899" s="1"/>
      <c r="X899" s="1"/>
      <c r="Y899" s="1"/>
      <c r="Z899" s="1"/>
      <c r="AA899" s="1"/>
      <c r="AB899" s="1"/>
    </row>
    <row r="900" spans="2:28" ht="11.25" customHeight="1" x14ac:dyDescent="0.25">
      <c r="B900" s="16"/>
      <c r="C900" s="1"/>
      <c r="D900" s="1"/>
      <c r="E900" s="1"/>
      <c r="F900" s="1"/>
      <c r="G900" s="22"/>
      <c r="H900" s="1"/>
      <c r="I900" s="1"/>
      <c r="J900" s="1"/>
      <c r="K900" s="1"/>
      <c r="L900" s="1"/>
      <c r="M900" s="262"/>
      <c r="N900" s="1"/>
      <c r="O900" s="1"/>
      <c r="P900" s="1"/>
      <c r="Q900" s="1"/>
      <c r="R900" s="1"/>
      <c r="S900" s="1"/>
      <c r="T900" s="1"/>
      <c r="U900" s="1"/>
      <c r="V900" s="1"/>
      <c r="W900" s="1"/>
      <c r="X900" s="1"/>
      <c r="Y900" s="1"/>
      <c r="Z900" s="1"/>
      <c r="AA900" s="1"/>
      <c r="AB900" s="1"/>
    </row>
    <row r="901" spans="2:28" ht="11.25" customHeight="1" x14ac:dyDescent="0.25">
      <c r="B901" s="16"/>
      <c r="C901" s="1"/>
      <c r="D901" s="1"/>
      <c r="E901" s="1"/>
      <c r="F901" s="1"/>
      <c r="G901" s="22"/>
      <c r="H901" s="1"/>
      <c r="I901" s="1"/>
      <c r="J901" s="1"/>
      <c r="K901" s="1"/>
      <c r="L901" s="1"/>
      <c r="M901" s="262"/>
      <c r="N901" s="1"/>
      <c r="O901" s="1"/>
      <c r="P901" s="1"/>
      <c r="Q901" s="1"/>
      <c r="R901" s="1"/>
      <c r="S901" s="1"/>
      <c r="T901" s="1"/>
      <c r="U901" s="1"/>
      <c r="V901" s="1"/>
      <c r="W901" s="1"/>
      <c r="X901" s="1"/>
      <c r="Y901" s="1"/>
      <c r="Z901" s="1"/>
      <c r="AA901" s="1"/>
      <c r="AB901" s="1"/>
    </row>
    <row r="902" spans="2:28" ht="11.25" customHeight="1" x14ac:dyDescent="0.25">
      <c r="B902" s="16"/>
      <c r="C902" s="1"/>
      <c r="D902" s="1"/>
      <c r="E902" s="1"/>
      <c r="F902" s="1"/>
      <c r="G902" s="22"/>
      <c r="H902" s="1"/>
      <c r="I902" s="1"/>
      <c r="J902" s="1"/>
      <c r="K902" s="1"/>
      <c r="L902" s="1"/>
      <c r="M902" s="262"/>
      <c r="N902" s="1"/>
      <c r="O902" s="1"/>
      <c r="P902" s="1"/>
      <c r="Q902" s="1"/>
      <c r="R902" s="1"/>
      <c r="S902" s="1"/>
      <c r="T902" s="1"/>
      <c r="U902" s="1"/>
      <c r="V902" s="1"/>
      <c r="W902" s="1"/>
      <c r="X902" s="1"/>
      <c r="Y902" s="1"/>
      <c r="Z902" s="1"/>
      <c r="AA902" s="1"/>
      <c r="AB902" s="1"/>
    </row>
    <row r="903" spans="2:28" ht="11.25" customHeight="1" x14ac:dyDescent="0.25">
      <c r="B903" s="16"/>
      <c r="C903" s="1"/>
      <c r="D903" s="1"/>
      <c r="E903" s="1"/>
      <c r="F903" s="1"/>
      <c r="G903" s="22"/>
      <c r="H903" s="1"/>
      <c r="I903" s="1"/>
      <c r="J903" s="1"/>
      <c r="K903" s="1"/>
      <c r="L903" s="1"/>
      <c r="M903" s="262"/>
      <c r="N903" s="1"/>
      <c r="O903" s="1"/>
      <c r="P903" s="1"/>
      <c r="Q903" s="1"/>
      <c r="R903" s="1"/>
      <c r="S903" s="1"/>
      <c r="T903" s="1"/>
      <c r="U903" s="1"/>
      <c r="V903" s="1"/>
      <c r="W903" s="1"/>
      <c r="X903" s="1"/>
      <c r="Y903" s="1"/>
      <c r="Z903" s="1"/>
      <c r="AA903" s="1"/>
      <c r="AB903" s="1"/>
    </row>
    <row r="904" spans="2:28" ht="11.25" customHeight="1" x14ac:dyDescent="0.25">
      <c r="B904" s="16"/>
      <c r="C904" s="1"/>
      <c r="D904" s="1"/>
      <c r="E904" s="1"/>
      <c r="F904" s="1"/>
      <c r="G904" s="22"/>
      <c r="H904" s="1"/>
      <c r="I904" s="1"/>
      <c r="J904" s="1"/>
      <c r="K904" s="1"/>
      <c r="L904" s="1"/>
      <c r="M904" s="262"/>
      <c r="N904" s="1"/>
      <c r="O904" s="1"/>
      <c r="P904" s="1"/>
      <c r="Q904" s="1"/>
      <c r="R904" s="1"/>
      <c r="S904" s="1"/>
      <c r="T904" s="1"/>
      <c r="U904" s="1"/>
      <c r="V904" s="1"/>
      <c r="W904" s="1"/>
      <c r="X904" s="1"/>
      <c r="Y904" s="1"/>
      <c r="Z904" s="1"/>
      <c r="AA904" s="1"/>
      <c r="AB904" s="1"/>
    </row>
    <row r="905" spans="2:28" ht="11.25" customHeight="1" x14ac:dyDescent="0.25">
      <c r="B905" s="16"/>
      <c r="C905" s="1"/>
      <c r="D905" s="1"/>
      <c r="E905" s="1"/>
      <c r="F905" s="1"/>
      <c r="G905" s="22"/>
      <c r="H905" s="1"/>
      <c r="I905" s="1"/>
      <c r="J905" s="1"/>
      <c r="K905" s="1"/>
      <c r="L905" s="1"/>
      <c r="M905" s="262"/>
      <c r="N905" s="1"/>
      <c r="O905" s="1"/>
      <c r="P905" s="1"/>
      <c r="Q905" s="1"/>
      <c r="R905" s="1"/>
      <c r="S905" s="1"/>
      <c r="T905" s="1"/>
      <c r="U905" s="1"/>
      <c r="V905" s="1"/>
      <c r="W905" s="1"/>
      <c r="X905" s="1"/>
      <c r="Y905" s="1"/>
      <c r="Z905" s="1"/>
      <c r="AA905" s="1"/>
      <c r="AB905" s="1"/>
    </row>
    <row r="906" spans="2:28" ht="11.25" customHeight="1" x14ac:dyDescent="0.25">
      <c r="B906" s="16"/>
      <c r="C906" s="1"/>
      <c r="D906" s="1"/>
      <c r="E906" s="1"/>
      <c r="F906" s="1"/>
      <c r="G906" s="22"/>
      <c r="H906" s="1"/>
      <c r="I906" s="1"/>
      <c r="J906" s="1"/>
      <c r="K906" s="1"/>
      <c r="L906" s="1"/>
      <c r="M906" s="262"/>
      <c r="N906" s="1"/>
      <c r="O906" s="1"/>
      <c r="P906" s="1"/>
      <c r="Q906" s="1"/>
      <c r="R906" s="1"/>
      <c r="S906" s="1"/>
      <c r="T906" s="1"/>
      <c r="U906" s="1"/>
      <c r="V906" s="1"/>
      <c r="W906" s="1"/>
      <c r="X906" s="1"/>
      <c r="Y906" s="1"/>
      <c r="Z906" s="1"/>
      <c r="AA906" s="1"/>
      <c r="AB906" s="1"/>
    </row>
    <row r="907" spans="2:28" ht="11.25" customHeight="1" x14ac:dyDescent="0.25">
      <c r="B907" s="16"/>
      <c r="C907" s="1"/>
      <c r="D907" s="1"/>
      <c r="E907" s="1"/>
      <c r="F907" s="1"/>
      <c r="G907" s="22"/>
      <c r="H907" s="1"/>
      <c r="I907" s="1"/>
      <c r="J907" s="1"/>
      <c r="K907" s="1"/>
      <c r="L907" s="1"/>
      <c r="M907" s="262"/>
      <c r="N907" s="1"/>
      <c r="O907" s="1"/>
      <c r="P907" s="1"/>
      <c r="Q907" s="1"/>
      <c r="R907" s="1"/>
      <c r="S907" s="1"/>
      <c r="T907" s="1"/>
      <c r="U907" s="1"/>
      <c r="V907" s="1"/>
      <c r="W907" s="1"/>
      <c r="X907" s="1"/>
      <c r="Y907" s="1"/>
      <c r="Z907" s="1"/>
      <c r="AA907" s="1"/>
      <c r="AB907" s="1"/>
    </row>
    <row r="908" spans="2:28" ht="11.25" customHeight="1" x14ac:dyDescent="0.25">
      <c r="B908" s="16"/>
      <c r="C908" s="1"/>
      <c r="D908" s="1"/>
      <c r="E908" s="1"/>
      <c r="F908" s="1"/>
      <c r="G908" s="22"/>
      <c r="H908" s="1"/>
      <c r="I908" s="1"/>
      <c r="J908" s="1"/>
      <c r="K908" s="1"/>
      <c r="L908" s="1"/>
      <c r="M908" s="262"/>
      <c r="N908" s="1"/>
      <c r="O908" s="1"/>
      <c r="P908" s="1"/>
      <c r="Q908" s="1"/>
      <c r="R908" s="1"/>
      <c r="S908" s="1"/>
      <c r="T908" s="1"/>
      <c r="U908" s="1"/>
      <c r="V908" s="1"/>
      <c r="W908" s="1"/>
      <c r="X908" s="1"/>
      <c r="Y908" s="1"/>
      <c r="Z908" s="1"/>
      <c r="AA908" s="1"/>
      <c r="AB908" s="1"/>
    </row>
    <row r="909" spans="2:28" ht="11.25" customHeight="1" x14ac:dyDescent="0.25">
      <c r="B909" s="16"/>
      <c r="C909" s="1"/>
      <c r="D909" s="1"/>
      <c r="E909" s="1"/>
      <c r="F909" s="1"/>
      <c r="G909" s="22"/>
      <c r="H909" s="1"/>
      <c r="I909" s="1"/>
      <c r="J909" s="1"/>
      <c r="K909" s="1"/>
      <c r="L909" s="1"/>
      <c r="M909" s="262"/>
      <c r="N909" s="1"/>
      <c r="O909" s="1"/>
      <c r="P909" s="1"/>
      <c r="Q909" s="1"/>
      <c r="R909" s="1"/>
      <c r="S909" s="1"/>
      <c r="T909" s="1"/>
      <c r="U909" s="1"/>
      <c r="V909" s="1"/>
      <c r="W909" s="1"/>
      <c r="X909" s="1"/>
      <c r="Y909" s="1"/>
      <c r="Z909" s="1"/>
      <c r="AA909" s="1"/>
      <c r="AB909" s="1"/>
    </row>
    <row r="910" spans="2:28" ht="11.25" customHeight="1" x14ac:dyDescent="0.25">
      <c r="B910" s="16"/>
      <c r="C910" s="1"/>
      <c r="D910" s="1"/>
      <c r="E910" s="1"/>
      <c r="F910" s="1"/>
      <c r="G910" s="22"/>
      <c r="H910" s="1"/>
      <c r="I910" s="1"/>
      <c r="J910" s="1"/>
      <c r="K910" s="1"/>
      <c r="L910" s="1"/>
      <c r="M910" s="262"/>
      <c r="N910" s="1"/>
      <c r="O910" s="1"/>
      <c r="P910" s="1"/>
      <c r="Q910" s="1"/>
      <c r="R910" s="1"/>
      <c r="S910" s="1"/>
      <c r="T910" s="1"/>
      <c r="U910" s="1"/>
      <c r="V910" s="1"/>
      <c r="W910" s="1"/>
      <c r="X910" s="1"/>
      <c r="Y910" s="1"/>
      <c r="Z910" s="1"/>
      <c r="AA910" s="1"/>
      <c r="AB910" s="1"/>
    </row>
    <row r="911" spans="2:28" ht="11.25" customHeight="1" x14ac:dyDescent="0.25">
      <c r="B911" s="16"/>
      <c r="C911" s="1"/>
      <c r="D911" s="1"/>
      <c r="E911" s="1"/>
      <c r="F911" s="1"/>
      <c r="G911" s="22"/>
      <c r="H911" s="1"/>
      <c r="I911" s="1"/>
      <c r="J911" s="1"/>
      <c r="K911" s="1"/>
      <c r="L911" s="1"/>
      <c r="M911" s="262"/>
      <c r="N911" s="1"/>
      <c r="O911" s="1"/>
      <c r="P911" s="1"/>
      <c r="Q911" s="1"/>
      <c r="R911" s="1"/>
      <c r="S911" s="1"/>
      <c r="T911" s="1"/>
      <c r="U911" s="1"/>
      <c r="V911" s="1"/>
      <c r="W911" s="1"/>
      <c r="X911" s="1"/>
      <c r="Y911" s="1"/>
      <c r="Z911" s="1"/>
      <c r="AA911" s="1"/>
      <c r="AB911" s="1"/>
    </row>
    <row r="912" spans="2:28" ht="11.25" customHeight="1" x14ac:dyDescent="0.25">
      <c r="B912" s="16"/>
      <c r="C912" s="1"/>
      <c r="D912" s="1"/>
      <c r="E912" s="1"/>
      <c r="F912" s="1"/>
      <c r="G912" s="22"/>
      <c r="H912" s="1"/>
      <c r="I912" s="1"/>
      <c r="J912" s="1"/>
      <c r="K912" s="1"/>
      <c r="L912" s="1"/>
      <c r="M912" s="262"/>
      <c r="N912" s="1"/>
      <c r="O912" s="1"/>
      <c r="P912" s="1"/>
      <c r="Q912" s="1"/>
      <c r="R912" s="1"/>
      <c r="S912" s="1"/>
      <c r="T912" s="1"/>
      <c r="U912" s="1"/>
      <c r="V912" s="1"/>
      <c r="W912" s="1"/>
      <c r="X912" s="1"/>
      <c r="Y912" s="1"/>
      <c r="Z912" s="1"/>
      <c r="AA912" s="1"/>
      <c r="AB912" s="1"/>
    </row>
    <row r="913" spans="2:28" ht="11.25" customHeight="1" x14ac:dyDescent="0.25">
      <c r="B913" s="16"/>
      <c r="C913" s="1"/>
      <c r="D913" s="1"/>
      <c r="E913" s="1"/>
      <c r="F913" s="1"/>
      <c r="G913" s="22"/>
      <c r="H913" s="1"/>
      <c r="I913" s="1"/>
      <c r="J913" s="1"/>
      <c r="K913" s="1"/>
      <c r="L913" s="1"/>
      <c r="M913" s="262"/>
      <c r="N913" s="1"/>
      <c r="O913" s="1"/>
      <c r="P913" s="1"/>
      <c r="Q913" s="1"/>
      <c r="R913" s="1"/>
      <c r="S913" s="1"/>
      <c r="T913" s="1"/>
      <c r="U913" s="1"/>
      <c r="V913" s="1"/>
      <c r="W913" s="1"/>
      <c r="X913" s="1"/>
      <c r="Y913" s="1"/>
      <c r="Z913" s="1"/>
      <c r="AA913" s="1"/>
      <c r="AB913" s="1"/>
    </row>
    <row r="914" spans="2:28" ht="11.25" customHeight="1" x14ac:dyDescent="0.25">
      <c r="B914" s="16"/>
      <c r="C914" s="1"/>
      <c r="D914" s="1"/>
      <c r="E914" s="1"/>
      <c r="F914" s="1"/>
      <c r="G914" s="22"/>
      <c r="H914" s="1"/>
      <c r="I914" s="1"/>
      <c r="J914" s="1"/>
      <c r="K914" s="1"/>
      <c r="L914" s="1"/>
      <c r="M914" s="262"/>
      <c r="N914" s="1"/>
      <c r="O914" s="1"/>
      <c r="P914" s="1"/>
      <c r="Q914" s="1"/>
      <c r="R914" s="1"/>
      <c r="S914" s="1"/>
      <c r="T914" s="1"/>
      <c r="U914" s="1"/>
      <c r="V914" s="1"/>
      <c r="W914" s="1"/>
      <c r="X914" s="1"/>
      <c r="Y914" s="1"/>
      <c r="Z914" s="1"/>
      <c r="AA914" s="1"/>
      <c r="AB914" s="1"/>
    </row>
    <row r="915" spans="2:28" ht="11.25" customHeight="1" x14ac:dyDescent="0.25">
      <c r="B915" s="16"/>
      <c r="C915" s="1"/>
      <c r="D915" s="1"/>
      <c r="E915" s="1"/>
      <c r="F915" s="1"/>
      <c r="G915" s="22"/>
      <c r="H915" s="1"/>
      <c r="I915" s="1"/>
      <c r="J915" s="1"/>
      <c r="K915" s="1"/>
      <c r="L915" s="1"/>
      <c r="M915" s="262"/>
      <c r="N915" s="1"/>
      <c r="O915" s="1"/>
      <c r="P915" s="1"/>
      <c r="Q915" s="1"/>
      <c r="R915" s="1"/>
      <c r="S915" s="1"/>
      <c r="T915" s="1"/>
      <c r="U915" s="1"/>
      <c r="V915" s="1"/>
      <c r="W915" s="1"/>
      <c r="X915" s="1"/>
      <c r="Y915" s="1"/>
      <c r="Z915" s="1"/>
      <c r="AA915" s="1"/>
      <c r="AB915" s="1"/>
    </row>
    <row r="916" spans="2:28" ht="11.25" customHeight="1" x14ac:dyDescent="0.25">
      <c r="B916" s="16"/>
      <c r="C916" s="1"/>
      <c r="D916" s="1"/>
      <c r="E916" s="1"/>
      <c r="F916" s="1"/>
      <c r="G916" s="22"/>
      <c r="H916" s="1"/>
      <c r="I916" s="1"/>
      <c r="J916" s="1"/>
      <c r="K916" s="1"/>
      <c r="L916" s="1"/>
      <c r="M916" s="262"/>
      <c r="N916" s="1"/>
      <c r="O916" s="1"/>
      <c r="P916" s="1"/>
      <c r="Q916" s="1"/>
      <c r="R916" s="1"/>
      <c r="S916" s="1"/>
      <c r="T916" s="1"/>
      <c r="U916" s="1"/>
      <c r="V916" s="1"/>
      <c r="W916" s="1"/>
      <c r="X916" s="1"/>
      <c r="Y916" s="1"/>
      <c r="Z916" s="1"/>
      <c r="AA916" s="1"/>
      <c r="AB916" s="1"/>
    </row>
    <row r="917" spans="2:28" ht="11.25" customHeight="1" x14ac:dyDescent="0.25">
      <c r="B917" s="16"/>
      <c r="C917" s="1"/>
      <c r="D917" s="1"/>
      <c r="E917" s="1"/>
      <c r="F917" s="1"/>
      <c r="G917" s="22"/>
      <c r="H917" s="1"/>
      <c r="I917" s="1"/>
      <c r="J917" s="1"/>
      <c r="K917" s="1"/>
      <c r="L917" s="1"/>
      <c r="M917" s="262"/>
      <c r="N917" s="1"/>
      <c r="O917" s="1"/>
      <c r="P917" s="1"/>
      <c r="Q917" s="1"/>
      <c r="R917" s="1"/>
      <c r="S917" s="1"/>
      <c r="T917" s="1"/>
      <c r="U917" s="1"/>
      <c r="V917" s="1"/>
      <c r="W917" s="1"/>
      <c r="X917" s="1"/>
      <c r="Y917" s="1"/>
      <c r="Z917" s="1"/>
      <c r="AA917" s="1"/>
      <c r="AB917" s="1"/>
    </row>
    <row r="918" spans="2:28" ht="11.25" customHeight="1" x14ac:dyDescent="0.25">
      <c r="B918" s="16"/>
      <c r="C918" s="1"/>
      <c r="D918" s="1"/>
      <c r="E918" s="1"/>
      <c r="F918" s="1"/>
      <c r="G918" s="22"/>
      <c r="H918" s="1"/>
      <c r="I918" s="1"/>
      <c r="J918" s="1"/>
      <c r="K918" s="1"/>
      <c r="L918" s="1"/>
      <c r="M918" s="262"/>
      <c r="N918" s="1"/>
      <c r="O918" s="1"/>
      <c r="P918" s="1"/>
      <c r="Q918" s="1"/>
      <c r="R918" s="1"/>
      <c r="S918" s="1"/>
      <c r="T918" s="1"/>
      <c r="U918" s="1"/>
      <c r="V918" s="1"/>
      <c r="W918" s="1"/>
      <c r="X918" s="1"/>
      <c r="Y918" s="1"/>
      <c r="Z918" s="1"/>
      <c r="AA918" s="1"/>
      <c r="AB918" s="1"/>
    </row>
    <row r="919" spans="2:28" ht="11.25" customHeight="1" x14ac:dyDescent="0.25">
      <c r="B919" s="16"/>
      <c r="C919" s="1"/>
      <c r="D919" s="1"/>
      <c r="E919" s="1"/>
      <c r="F919" s="1"/>
      <c r="G919" s="22"/>
      <c r="H919" s="1"/>
      <c r="I919" s="1"/>
      <c r="J919" s="1"/>
      <c r="K919" s="1"/>
      <c r="L919" s="1"/>
      <c r="M919" s="262"/>
      <c r="N919" s="1"/>
      <c r="O919" s="1"/>
      <c r="P919" s="1"/>
      <c r="Q919" s="1"/>
      <c r="R919" s="1"/>
      <c r="S919" s="1"/>
      <c r="T919" s="1"/>
      <c r="U919" s="1"/>
      <c r="V919" s="1"/>
      <c r="W919" s="1"/>
      <c r="X919" s="1"/>
      <c r="Y919" s="1"/>
      <c r="Z919" s="1"/>
      <c r="AA919" s="1"/>
      <c r="AB919" s="1"/>
    </row>
    <row r="920" spans="2:28" ht="11.25" customHeight="1" x14ac:dyDescent="0.25">
      <c r="B920" s="16"/>
      <c r="C920" s="1"/>
      <c r="D920" s="1"/>
      <c r="E920" s="1"/>
      <c r="F920" s="1"/>
      <c r="G920" s="22"/>
      <c r="H920" s="1"/>
      <c r="I920" s="1"/>
      <c r="J920" s="1"/>
      <c r="K920" s="1"/>
      <c r="L920" s="1"/>
      <c r="M920" s="262"/>
      <c r="N920" s="1"/>
      <c r="O920" s="1"/>
      <c r="P920" s="1"/>
      <c r="Q920" s="1"/>
      <c r="R920" s="1"/>
      <c r="S920" s="1"/>
      <c r="T920" s="1"/>
      <c r="U920" s="1"/>
      <c r="V920" s="1"/>
      <c r="W920" s="1"/>
      <c r="X920" s="1"/>
      <c r="Y920" s="1"/>
      <c r="Z920" s="1"/>
      <c r="AA920" s="1"/>
      <c r="AB920" s="1"/>
    </row>
    <row r="921" spans="2:28" ht="11.25" customHeight="1" x14ac:dyDescent="0.25">
      <c r="B921" s="16"/>
      <c r="C921" s="1"/>
      <c r="D921" s="1"/>
      <c r="E921" s="1"/>
      <c r="F921" s="1"/>
      <c r="G921" s="22"/>
      <c r="H921" s="1"/>
      <c r="I921" s="1"/>
      <c r="J921" s="1"/>
      <c r="K921" s="1"/>
      <c r="L921" s="1"/>
      <c r="M921" s="262"/>
      <c r="N921" s="1"/>
      <c r="O921" s="1"/>
      <c r="P921" s="1"/>
      <c r="Q921" s="1"/>
      <c r="R921" s="1"/>
      <c r="S921" s="1"/>
      <c r="T921" s="1"/>
      <c r="U921" s="1"/>
      <c r="V921" s="1"/>
      <c r="W921" s="1"/>
      <c r="X921" s="1"/>
      <c r="Y921" s="1"/>
      <c r="Z921" s="1"/>
      <c r="AA921" s="1"/>
      <c r="AB921" s="1"/>
    </row>
    <row r="922" spans="2:28" ht="11.25" customHeight="1" x14ac:dyDescent="0.25">
      <c r="B922" s="16"/>
      <c r="C922" s="1"/>
      <c r="D922" s="1"/>
      <c r="E922" s="1"/>
      <c r="F922" s="1"/>
      <c r="G922" s="22"/>
      <c r="H922" s="1"/>
      <c r="I922" s="1"/>
      <c r="J922" s="1"/>
      <c r="K922" s="1"/>
      <c r="L922" s="1"/>
      <c r="M922" s="262"/>
      <c r="N922" s="1"/>
      <c r="O922" s="1"/>
      <c r="P922" s="1"/>
      <c r="Q922" s="1"/>
      <c r="R922" s="1"/>
      <c r="S922" s="1"/>
      <c r="T922" s="1"/>
      <c r="U922" s="1"/>
      <c r="V922" s="1"/>
      <c r="W922" s="1"/>
      <c r="X922" s="1"/>
      <c r="Y922" s="1"/>
      <c r="Z922" s="1"/>
      <c r="AA922" s="1"/>
      <c r="AB922" s="1"/>
    </row>
    <row r="923" spans="2:28" ht="11.25" customHeight="1" x14ac:dyDescent="0.25">
      <c r="B923" s="16"/>
      <c r="C923" s="1"/>
      <c r="D923" s="1"/>
      <c r="E923" s="1"/>
      <c r="F923" s="1"/>
      <c r="G923" s="22"/>
      <c r="H923" s="1"/>
      <c r="I923" s="1"/>
      <c r="J923" s="1"/>
      <c r="K923" s="1"/>
      <c r="L923" s="1"/>
      <c r="M923" s="262"/>
      <c r="N923" s="1"/>
      <c r="O923" s="1"/>
      <c r="P923" s="1"/>
      <c r="Q923" s="1"/>
      <c r="R923" s="1"/>
      <c r="S923" s="1"/>
      <c r="T923" s="1"/>
      <c r="U923" s="1"/>
      <c r="V923" s="1"/>
      <c r="W923" s="1"/>
      <c r="X923" s="1"/>
      <c r="Y923" s="1"/>
      <c r="Z923" s="1"/>
      <c r="AA923" s="1"/>
      <c r="AB923" s="1"/>
    </row>
    <row r="924" spans="2:28" ht="11.25" customHeight="1" x14ac:dyDescent="0.25">
      <c r="B924" s="16"/>
      <c r="C924" s="1"/>
      <c r="D924" s="1"/>
      <c r="E924" s="1"/>
      <c r="F924" s="1"/>
      <c r="G924" s="22"/>
      <c r="H924" s="1"/>
      <c r="I924" s="1"/>
      <c r="J924" s="1"/>
      <c r="K924" s="1"/>
      <c r="L924" s="1"/>
      <c r="M924" s="262"/>
      <c r="N924" s="1"/>
      <c r="O924" s="1"/>
      <c r="P924" s="1"/>
      <c r="Q924" s="1"/>
      <c r="R924" s="1"/>
      <c r="S924" s="1"/>
      <c r="T924" s="1"/>
      <c r="U924" s="1"/>
      <c r="V924" s="1"/>
      <c r="W924" s="1"/>
      <c r="X924" s="1"/>
      <c r="Y924" s="1"/>
      <c r="Z924" s="1"/>
      <c r="AA924" s="1"/>
      <c r="AB924" s="1"/>
    </row>
    <row r="925" spans="2:28" ht="11.25" customHeight="1" x14ac:dyDescent="0.25">
      <c r="B925" s="16"/>
      <c r="C925" s="1"/>
      <c r="D925" s="1"/>
      <c r="E925" s="1"/>
      <c r="F925" s="1"/>
      <c r="G925" s="22"/>
      <c r="H925" s="1"/>
      <c r="I925" s="1"/>
      <c r="J925" s="1"/>
      <c r="K925" s="1"/>
      <c r="L925" s="1"/>
      <c r="M925" s="262"/>
      <c r="N925" s="1"/>
      <c r="O925" s="1"/>
      <c r="P925" s="1"/>
      <c r="Q925" s="1"/>
      <c r="R925" s="1"/>
      <c r="S925" s="1"/>
      <c r="T925" s="1"/>
      <c r="U925" s="1"/>
      <c r="V925" s="1"/>
      <c r="W925" s="1"/>
      <c r="X925" s="1"/>
      <c r="Y925" s="1"/>
      <c r="Z925" s="1"/>
      <c r="AA925" s="1"/>
      <c r="AB925" s="1"/>
    </row>
    <row r="926" spans="2:28" ht="11.25" customHeight="1" x14ac:dyDescent="0.25">
      <c r="B926" s="16"/>
      <c r="C926" s="1"/>
      <c r="D926" s="1"/>
      <c r="E926" s="1"/>
      <c r="F926" s="1"/>
      <c r="G926" s="22"/>
      <c r="H926" s="1"/>
      <c r="I926" s="1"/>
      <c r="J926" s="1"/>
      <c r="K926" s="1"/>
      <c r="L926" s="1"/>
      <c r="M926" s="262"/>
      <c r="N926" s="1"/>
      <c r="O926" s="1"/>
      <c r="P926" s="1"/>
      <c r="Q926" s="1"/>
      <c r="R926" s="1"/>
      <c r="S926" s="1"/>
      <c r="T926" s="1"/>
      <c r="U926" s="1"/>
      <c r="V926" s="1"/>
      <c r="W926" s="1"/>
      <c r="X926" s="1"/>
      <c r="Y926" s="1"/>
      <c r="Z926" s="1"/>
      <c r="AA926" s="1"/>
      <c r="AB926" s="1"/>
    </row>
    <row r="927" spans="2:28" ht="11.25" customHeight="1" x14ac:dyDescent="0.25">
      <c r="B927" s="16"/>
      <c r="C927" s="1"/>
      <c r="D927" s="1"/>
      <c r="E927" s="1"/>
      <c r="F927" s="1"/>
      <c r="G927" s="22"/>
      <c r="H927" s="1"/>
      <c r="I927" s="1"/>
      <c r="J927" s="1"/>
      <c r="K927" s="1"/>
      <c r="L927" s="1"/>
      <c r="M927" s="262"/>
      <c r="N927" s="1"/>
      <c r="O927" s="1"/>
      <c r="P927" s="1"/>
      <c r="Q927" s="1"/>
      <c r="R927" s="1"/>
      <c r="S927" s="1"/>
      <c r="T927" s="1"/>
      <c r="U927" s="1"/>
      <c r="V927" s="1"/>
      <c r="W927" s="1"/>
      <c r="X927" s="1"/>
      <c r="Y927" s="1"/>
      <c r="Z927" s="1"/>
      <c r="AA927" s="1"/>
      <c r="AB927" s="1"/>
    </row>
    <row r="928" spans="2:28" ht="11.25" customHeight="1" x14ac:dyDescent="0.25">
      <c r="B928" s="16"/>
      <c r="C928" s="1"/>
      <c r="D928" s="1"/>
      <c r="E928" s="1"/>
      <c r="F928" s="1"/>
      <c r="G928" s="22"/>
      <c r="H928" s="1"/>
      <c r="I928" s="1"/>
      <c r="J928" s="1"/>
      <c r="K928" s="1"/>
      <c r="L928" s="1"/>
      <c r="M928" s="262"/>
      <c r="N928" s="1"/>
      <c r="O928" s="1"/>
      <c r="P928" s="1"/>
      <c r="Q928" s="1"/>
      <c r="R928" s="1"/>
      <c r="S928" s="1"/>
      <c r="T928" s="1"/>
      <c r="U928" s="1"/>
      <c r="V928" s="1"/>
      <c r="W928" s="1"/>
      <c r="X928" s="1"/>
      <c r="Y928" s="1"/>
      <c r="Z928" s="1"/>
      <c r="AA928" s="1"/>
      <c r="AB928" s="1"/>
    </row>
    <row r="929" spans="2:28" ht="11.25" customHeight="1" x14ac:dyDescent="0.25">
      <c r="B929" s="16"/>
      <c r="C929" s="1"/>
      <c r="D929" s="1"/>
      <c r="E929" s="1"/>
      <c r="F929" s="1"/>
      <c r="G929" s="22"/>
      <c r="H929" s="1"/>
      <c r="I929" s="1"/>
      <c r="J929" s="1"/>
      <c r="K929" s="1"/>
      <c r="L929" s="1"/>
      <c r="M929" s="262"/>
      <c r="N929" s="1"/>
      <c r="O929" s="1"/>
      <c r="P929" s="1"/>
      <c r="Q929" s="1"/>
      <c r="R929" s="1"/>
      <c r="S929" s="1"/>
      <c r="T929" s="1"/>
      <c r="U929" s="1"/>
      <c r="V929" s="1"/>
      <c r="W929" s="1"/>
      <c r="X929" s="1"/>
      <c r="Y929" s="1"/>
      <c r="Z929" s="1"/>
      <c r="AA929" s="1"/>
      <c r="AB929" s="1"/>
    </row>
    <row r="930" spans="2:28" ht="11.25" customHeight="1" x14ac:dyDescent="0.25">
      <c r="B930" s="16"/>
      <c r="C930" s="1"/>
      <c r="D930" s="1"/>
      <c r="E930" s="1"/>
      <c r="F930" s="1"/>
      <c r="G930" s="22"/>
      <c r="H930" s="1"/>
      <c r="I930" s="1"/>
      <c r="J930" s="1"/>
      <c r="K930" s="1"/>
      <c r="L930" s="1"/>
      <c r="M930" s="262"/>
      <c r="N930" s="1"/>
      <c r="O930" s="1"/>
      <c r="P930" s="1"/>
      <c r="Q930" s="1"/>
      <c r="R930" s="1"/>
      <c r="S930" s="1"/>
      <c r="T930" s="1"/>
      <c r="U930" s="1"/>
      <c r="V930" s="1"/>
      <c r="W930" s="1"/>
      <c r="X930" s="1"/>
      <c r="Y930" s="1"/>
      <c r="Z930" s="1"/>
      <c r="AA930" s="1"/>
      <c r="AB930" s="1"/>
    </row>
    <row r="931" spans="2:28" ht="11.25" customHeight="1" x14ac:dyDescent="0.25">
      <c r="B931" s="16"/>
      <c r="C931" s="1"/>
      <c r="D931" s="1"/>
      <c r="E931" s="1"/>
      <c r="F931" s="1"/>
      <c r="G931" s="22"/>
      <c r="H931" s="1"/>
      <c r="I931" s="1"/>
      <c r="J931" s="1"/>
      <c r="K931" s="1"/>
      <c r="L931" s="1"/>
      <c r="M931" s="262"/>
      <c r="N931" s="1"/>
      <c r="O931" s="1"/>
      <c r="P931" s="1"/>
      <c r="Q931" s="1"/>
      <c r="R931" s="1"/>
      <c r="S931" s="1"/>
      <c r="T931" s="1"/>
      <c r="U931" s="1"/>
      <c r="V931" s="1"/>
      <c r="W931" s="1"/>
      <c r="X931" s="1"/>
      <c r="Y931" s="1"/>
      <c r="Z931" s="1"/>
      <c r="AA931" s="1"/>
      <c r="AB931" s="1"/>
    </row>
    <row r="932" spans="2:28" ht="11.25" customHeight="1" x14ac:dyDescent="0.25">
      <c r="B932" s="16"/>
      <c r="C932" s="1"/>
      <c r="D932" s="1"/>
      <c r="E932" s="1"/>
      <c r="F932" s="1"/>
      <c r="G932" s="22"/>
      <c r="H932" s="1"/>
      <c r="I932" s="1"/>
      <c r="J932" s="1"/>
      <c r="K932" s="1"/>
      <c r="L932" s="1"/>
      <c r="M932" s="262"/>
      <c r="N932" s="1"/>
      <c r="O932" s="1"/>
      <c r="P932" s="1"/>
      <c r="Q932" s="1"/>
      <c r="R932" s="1"/>
      <c r="S932" s="1"/>
      <c r="T932" s="1"/>
      <c r="U932" s="1"/>
      <c r="V932" s="1"/>
      <c r="W932" s="1"/>
      <c r="X932" s="1"/>
      <c r="Y932" s="1"/>
      <c r="Z932" s="1"/>
      <c r="AA932" s="1"/>
      <c r="AB932" s="1"/>
    </row>
    <row r="933" spans="2:28" ht="11.25" customHeight="1" x14ac:dyDescent="0.25">
      <c r="B933" s="16"/>
      <c r="C933" s="1"/>
      <c r="D933" s="1"/>
      <c r="E933" s="1"/>
      <c r="F933" s="1"/>
      <c r="G933" s="22"/>
      <c r="H933" s="1"/>
      <c r="I933" s="1"/>
      <c r="J933" s="1"/>
      <c r="K933" s="1"/>
      <c r="L933" s="1"/>
      <c r="M933" s="262"/>
      <c r="N933" s="1"/>
      <c r="O933" s="1"/>
      <c r="P933" s="1"/>
      <c r="Q933" s="1"/>
      <c r="R933" s="1"/>
      <c r="S933" s="1"/>
      <c r="T933" s="1"/>
      <c r="U933" s="1"/>
      <c r="V933" s="1"/>
      <c r="W933" s="1"/>
      <c r="X933" s="1"/>
      <c r="Y933" s="1"/>
      <c r="Z933" s="1"/>
      <c r="AA933" s="1"/>
      <c r="AB933" s="1"/>
    </row>
    <row r="934" spans="2:28" ht="11.25" customHeight="1" x14ac:dyDescent="0.25">
      <c r="B934" s="16"/>
      <c r="C934" s="1"/>
      <c r="D934" s="1"/>
      <c r="E934" s="1"/>
      <c r="F934" s="1"/>
      <c r="G934" s="22"/>
      <c r="H934" s="1"/>
      <c r="I934" s="1"/>
      <c r="J934" s="1"/>
      <c r="K934" s="1"/>
      <c r="L934" s="1"/>
      <c r="M934" s="262"/>
      <c r="N934" s="1"/>
      <c r="O934" s="1"/>
      <c r="P934" s="1"/>
      <c r="Q934" s="1"/>
      <c r="R934" s="1"/>
      <c r="S934" s="1"/>
      <c r="T934" s="1"/>
      <c r="U934" s="1"/>
      <c r="V934" s="1"/>
      <c r="W934" s="1"/>
      <c r="X934" s="1"/>
      <c r="Y934" s="1"/>
      <c r="Z934" s="1"/>
      <c r="AA934" s="1"/>
      <c r="AB934" s="1"/>
    </row>
    <row r="935" spans="2:28" ht="11.25" customHeight="1" x14ac:dyDescent="0.25">
      <c r="B935" s="16"/>
      <c r="C935" s="1"/>
      <c r="D935" s="1"/>
      <c r="E935" s="1"/>
      <c r="F935" s="1"/>
      <c r="G935" s="22"/>
      <c r="H935" s="1"/>
      <c r="I935" s="1"/>
      <c r="J935" s="1"/>
      <c r="K935" s="1"/>
      <c r="L935" s="1"/>
      <c r="M935" s="262"/>
      <c r="N935" s="1"/>
      <c r="O935" s="1"/>
      <c r="P935" s="1"/>
      <c r="Q935" s="1"/>
      <c r="R935" s="1"/>
      <c r="S935" s="1"/>
      <c r="T935" s="1"/>
      <c r="U935" s="1"/>
      <c r="V935" s="1"/>
      <c r="W935" s="1"/>
      <c r="X935" s="1"/>
      <c r="Y935" s="1"/>
      <c r="Z935" s="1"/>
      <c r="AA935" s="1"/>
      <c r="AB935" s="1"/>
    </row>
    <row r="936" spans="2:28" ht="11.25" customHeight="1" x14ac:dyDescent="0.25">
      <c r="B936" s="16"/>
      <c r="C936" s="1"/>
      <c r="D936" s="1"/>
      <c r="E936" s="1"/>
      <c r="F936" s="1"/>
      <c r="G936" s="22"/>
      <c r="H936" s="1"/>
      <c r="I936" s="1"/>
      <c r="J936" s="1"/>
      <c r="K936" s="1"/>
      <c r="L936" s="1"/>
      <c r="M936" s="262"/>
      <c r="N936" s="1"/>
      <c r="O936" s="1"/>
      <c r="P936" s="1"/>
      <c r="Q936" s="1"/>
      <c r="R936" s="1"/>
      <c r="S936" s="1"/>
      <c r="T936" s="1"/>
      <c r="U936" s="1"/>
      <c r="V936" s="1"/>
      <c r="W936" s="1"/>
      <c r="X936" s="1"/>
      <c r="Y936" s="1"/>
      <c r="Z936" s="1"/>
      <c r="AA936" s="1"/>
      <c r="AB936" s="1"/>
    </row>
    <row r="937" spans="2:28" ht="11.25" customHeight="1" x14ac:dyDescent="0.25">
      <c r="B937" s="16"/>
      <c r="C937" s="1"/>
      <c r="D937" s="1"/>
      <c r="E937" s="1"/>
      <c r="F937" s="1"/>
      <c r="G937" s="22"/>
      <c r="H937" s="1"/>
      <c r="I937" s="1"/>
      <c r="J937" s="1"/>
      <c r="K937" s="1"/>
      <c r="L937" s="1"/>
      <c r="M937" s="262"/>
      <c r="N937" s="1"/>
      <c r="O937" s="1"/>
      <c r="P937" s="1"/>
      <c r="Q937" s="1"/>
      <c r="R937" s="1"/>
      <c r="S937" s="1"/>
      <c r="T937" s="1"/>
      <c r="U937" s="1"/>
      <c r="V937" s="1"/>
      <c r="W937" s="1"/>
      <c r="X937" s="1"/>
      <c r="Y937" s="1"/>
      <c r="Z937" s="1"/>
      <c r="AA937" s="1"/>
      <c r="AB937" s="1"/>
    </row>
    <row r="938" spans="2:28" ht="11.25" customHeight="1" x14ac:dyDescent="0.25">
      <c r="B938" s="16"/>
      <c r="C938" s="1"/>
      <c r="D938" s="1"/>
      <c r="E938" s="1"/>
      <c r="F938" s="1"/>
      <c r="G938" s="22"/>
      <c r="H938" s="1"/>
      <c r="I938" s="1"/>
      <c r="J938" s="1"/>
      <c r="K938" s="1"/>
      <c r="L938" s="1"/>
      <c r="M938" s="262"/>
      <c r="N938" s="1"/>
      <c r="O938" s="1"/>
      <c r="P938" s="1"/>
      <c r="Q938" s="1"/>
      <c r="R938" s="1"/>
      <c r="S938" s="1"/>
      <c r="T938" s="1"/>
      <c r="U938" s="1"/>
      <c r="V938" s="1"/>
      <c r="W938" s="1"/>
      <c r="X938" s="1"/>
      <c r="Y938" s="1"/>
      <c r="Z938" s="1"/>
      <c r="AA938" s="1"/>
      <c r="AB938" s="1"/>
    </row>
    <row r="939" spans="2:28" ht="11.25" customHeight="1" x14ac:dyDescent="0.25">
      <c r="B939" s="16"/>
      <c r="C939" s="1"/>
      <c r="D939" s="1"/>
      <c r="E939" s="1"/>
      <c r="F939" s="1"/>
      <c r="G939" s="22"/>
      <c r="H939" s="1"/>
      <c r="I939" s="1"/>
      <c r="J939" s="1"/>
      <c r="K939" s="1"/>
      <c r="L939" s="1"/>
      <c r="M939" s="262"/>
      <c r="N939" s="1"/>
      <c r="O939" s="1"/>
      <c r="P939" s="1"/>
      <c r="Q939" s="1"/>
      <c r="R939" s="1"/>
      <c r="S939" s="1"/>
      <c r="T939" s="1"/>
      <c r="U939" s="1"/>
      <c r="V939" s="1"/>
      <c r="W939" s="1"/>
      <c r="X939" s="1"/>
      <c r="Y939" s="1"/>
      <c r="Z939" s="1"/>
      <c r="AA939" s="1"/>
      <c r="AB939" s="1"/>
    </row>
    <row r="940" spans="2:28" ht="11.25" customHeight="1" x14ac:dyDescent="0.25">
      <c r="B940" s="16"/>
      <c r="C940" s="1"/>
      <c r="D940" s="1"/>
      <c r="E940" s="1"/>
      <c r="F940" s="1"/>
      <c r="G940" s="22"/>
      <c r="H940" s="1"/>
      <c r="I940" s="1"/>
      <c r="J940" s="1"/>
      <c r="K940" s="1"/>
      <c r="L940" s="1"/>
      <c r="M940" s="262"/>
      <c r="N940" s="1"/>
      <c r="O940" s="1"/>
      <c r="P940" s="1"/>
      <c r="Q940" s="1"/>
      <c r="R940" s="1"/>
      <c r="S940" s="1"/>
      <c r="T940" s="1"/>
      <c r="U940" s="1"/>
      <c r="V940" s="1"/>
      <c r="W940" s="1"/>
      <c r="X940" s="1"/>
      <c r="Y940" s="1"/>
      <c r="Z940" s="1"/>
      <c r="AA940" s="1"/>
      <c r="AB940" s="1"/>
    </row>
    <row r="941" spans="2:28" ht="11.25" customHeight="1" x14ac:dyDescent="0.25">
      <c r="B941" s="16"/>
      <c r="C941" s="1"/>
      <c r="D941" s="1"/>
      <c r="E941" s="1"/>
      <c r="F941" s="1"/>
      <c r="G941" s="22"/>
      <c r="H941" s="1"/>
      <c r="I941" s="1"/>
      <c r="J941" s="1"/>
      <c r="K941" s="1"/>
      <c r="L941" s="1"/>
      <c r="M941" s="262"/>
      <c r="N941" s="1"/>
      <c r="O941" s="1"/>
      <c r="P941" s="1"/>
      <c r="Q941" s="1"/>
      <c r="R941" s="1"/>
      <c r="S941" s="1"/>
      <c r="T941" s="1"/>
      <c r="U941" s="1"/>
      <c r="V941" s="1"/>
      <c r="W941" s="1"/>
      <c r="X941" s="1"/>
      <c r="Y941" s="1"/>
      <c r="Z941" s="1"/>
      <c r="AA941" s="1"/>
      <c r="AB941" s="1"/>
    </row>
    <row r="942" spans="2:28" ht="11.25" customHeight="1" x14ac:dyDescent="0.25">
      <c r="B942" s="16"/>
      <c r="C942" s="1"/>
      <c r="D942" s="1"/>
      <c r="E942" s="1"/>
      <c r="F942" s="1"/>
      <c r="G942" s="22"/>
      <c r="H942" s="1"/>
      <c r="I942" s="1"/>
      <c r="J942" s="1"/>
      <c r="K942" s="1"/>
      <c r="L942" s="1"/>
      <c r="M942" s="262"/>
      <c r="N942" s="1"/>
      <c r="O942" s="1"/>
      <c r="P942" s="1"/>
      <c r="Q942" s="1"/>
      <c r="R942" s="1"/>
      <c r="S942" s="1"/>
      <c r="T942" s="1"/>
      <c r="U942" s="1"/>
      <c r="V942" s="1"/>
      <c r="W942" s="1"/>
      <c r="X942" s="1"/>
      <c r="Y942" s="1"/>
      <c r="Z942" s="1"/>
      <c r="AA942" s="1"/>
      <c r="AB942" s="1"/>
    </row>
    <row r="943" spans="2:28" ht="11.25" customHeight="1" x14ac:dyDescent="0.25">
      <c r="B943" s="16"/>
      <c r="C943" s="1"/>
      <c r="D943" s="1"/>
      <c r="E943" s="1"/>
      <c r="F943" s="1"/>
      <c r="G943" s="22"/>
      <c r="H943" s="1"/>
      <c r="I943" s="1"/>
      <c r="J943" s="1"/>
      <c r="K943" s="1"/>
      <c r="L943" s="1"/>
      <c r="M943" s="262"/>
      <c r="N943" s="1"/>
      <c r="O943" s="1"/>
      <c r="P943" s="1"/>
      <c r="Q943" s="1"/>
      <c r="R943" s="1"/>
      <c r="S943" s="1"/>
      <c r="T943" s="1"/>
      <c r="U943" s="1"/>
      <c r="V943" s="1"/>
      <c r="W943" s="1"/>
      <c r="X943" s="1"/>
      <c r="Y943" s="1"/>
      <c r="Z943" s="1"/>
      <c r="AA943" s="1"/>
      <c r="AB943" s="1"/>
    </row>
    <row r="944" spans="2:28" ht="11.25" customHeight="1" x14ac:dyDescent="0.25">
      <c r="B944" s="16"/>
      <c r="C944" s="1"/>
      <c r="D944" s="1"/>
      <c r="E944" s="1"/>
      <c r="F944" s="1"/>
      <c r="G944" s="22"/>
      <c r="H944" s="1"/>
      <c r="I944" s="1"/>
      <c r="J944" s="1"/>
      <c r="K944" s="1"/>
      <c r="L944" s="1"/>
      <c r="M944" s="262"/>
      <c r="N944" s="1"/>
      <c r="O944" s="1"/>
      <c r="P944" s="1"/>
      <c r="Q944" s="1"/>
      <c r="R944" s="1"/>
      <c r="S944" s="1"/>
      <c r="T944" s="1"/>
      <c r="U944" s="1"/>
      <c r="V944" s="1"/>
      <c r="W944" s="1"/>
      <c r="X944" s="1"/>
      <c r="Y944" s="1"/>
      <c r="Z944" s="1"/>
      <c r="AA944" s="1"/>
      <c r="AB944" s="1"/>
    </row>
    <row r="945" spans="2:28" ht="11.25" customHeight="1" x14ac:dyDescent="0.25">
      <c r="B945" s="16"/>
      <c r="C945" s="1"/>
      <c r="D945" s="1"/>
      <c r="E945" s="1"/>
      <c r="F945" s="1"/>
      <c r="G945" s="22"/>
      <c r="H945" s="1"/>
      <c r="I945" s="1"/>
      <c r="J945" s="1"/>
      <c r="K945" s="1"/>
      <c r="L945" s="1"/>
      <c r="M945" s="262"/>
      <c r="N945" s="1"/>
      <c r="O945" s="1"/>
      <c r="P945" s="1"/>
      <c r="Q945" s="1"/>
      <c r="R945" s="1"/>
      <c r="S945" s="1"/>
      <c r="T945" s="1"/>
      <c r="U945" s="1"/>
      <c r="V945" s="1"/>
      <c r="W945" s="1"/>
      <c r="X945" s="1"/>
      <c r="Y945" s="1"/>
      <c r="Z945" s="1"/>
      <c r="AA945" s="1"/>
      <c r="AB945" s="1"/>
    </row>
    <row r="946" spans="2:28" ht="11.25" customHeight="1" x14ac:dyDescent="0.25">
      <c r="B946" s="16"/>
      <c r="C946" s="1"/>
      <c r="D946" s="1"/>
      <c r="E946" s="1"/>
      <c r="F946" s="1"/>
      <c r="G946" s="22"/>
      <c r="H946" s="1"/>
      <c r="I946" s="1"/>
      <c r="J946" s="1"/>
      <c r="K946" s="1"/>
      <c r="L946" s="1"/>
      <c r="M946" s="262"/>
      <c r="N946" s="1"/>
      <c r="O946" s="1"/>
      <c r="P946" s="1"/>
      <c r="Q946" s="1"/>
      <c r="R946" s="1"/>
      <c r="S946" s="1"/>
      <c r="T946" s="1"/>
      <c r="U946" s="1"/>
      <c r="V946" s="1"/>
      <c r="W946" s="1"/>
      <c r="X946" s="1"/>
      <c r="Y946" s="1"/>
      <c r="Z946" s="1"/>
      <c r="AA946" s="1"/>
      <c r="AB946" s="1"/>
    </row>
    <row r="947" spans="2:28" ht="11.25" customHeight="1" x14ac:dyDescent="0.25">
      <c r="B947" s="16"/>
      <c r="C947" s="1"/>
      <c r="D947" s="1"/>
      <c r="E947" s="1"/>
      <c r="F947" s="1"/>
      <c r="G947" s="22"/>
      <c r="H947" s="1"/>
      <c r="I947" s="1"/>
      <c r="J947" s="1"/>
      <c r="K947" s="1"/>
      <c r="L947" s="1"/>
      <c r="M947" s="262"/>
      <c r="N947" s="1"/>
      <c r="O947" s="1"/>
      <c r="P947" s="1"/>
      <c r="Q947" s="1"/>
      <c r="R947" s="1"/>
      <c r="S947" s="1"/>
      <c r="T947" s="1"/>
      <c r="U947" s="1"/>
      <c r="V947" s="1"/>
      <c r="W947" s="1"/>
      <c r="X947" s="1"/>
      <c r="Y947" s="1"/>
      <c r="Z947" s="1"/>
      <c r="AA947" s="1"/>
      <c r="AB947" s="1"/>
    </row>
    <row r="948" spans="2:28" ht="11.25" customHeight="1" x14ac:dyDescent="0.25">
      <c r="B948" s="16"/>
      <c r="C948" s="1"/>
      <c r="D948" s="1"/>
      <c r="E948" s="1"/>
      <c r="F948" s="1"/>
      <c r="G948" s="22"/>
      <c r="H948" s="1"/>
      <c r="I948" s="1"/>
      <c r="J948" s="1"/>
      <c r="K948" s="1"/>
      <c r="L948" s="1"/>
      <c r="M948" s="262"/>
      <c r="N948" s="1"/>
      <c r="O948" s="1"/>
      <c r="P948" s="1"/>
      <c r="Q948" s="1"/>
      <c r="R948" s="1"/>
      <c r="S948" s="1"/>
      <c r="T948" s="1"/>
      <c r="U948" s="1"/>
      <c r="V948" s="1"/>
      <c r="W948" s="1"/>
      <c r="X948" s="1"/>
      <c r="Y948" s="1"/>
      <c r="Z948" s="1"/>
      <c r="AA948" s="1"/>
      <c r="AB948" s="1"/>
    </row>
    <row r="949" spans="2:28" ht="11.25" customHeight="1" x14ac:dyDescent="0.25">
      <c r="B949" s="16"/>
      <c r="C949" s="1"/>
      <c r="D949" s="1"/>
      <c r="E949" s="1"/>
      <c r="F949" s="1"/>
      <c r="G949" s="22"/>
      <c r="H949" s="1"/>
      <c r="I949" s="1"/>
      <c r="J949" s="1"/>
      <c r="K949" s="1"/>
      <c r="L949" s="1"/>
      <c r="M949" s="262"/>
      <c r="N949" s="1"/>
      <c r="O949" s="1"/>
      <c r="P949" s="1"/>
      <c r="Q949" s="1"/>
      <c r="R949" s="1"/>
      <c r="S949" s="1"/>
      <c r="T949" s="1"/>
      <c r="U949" s="1"/>
      <c r="V949" s="1"/>
      <c r="W949" s="1"/>
      <c r="X949" s="1"/>
      <c r="Y949" s="1"/>
      <c r="Z949" s="1"/>
      <c r="AA949" s="1"/>
      <c r="AB949" s="1"/>
    </row>
    <row r="950" spans="2:28" ht="11.25" customHeight="1" x14ac:dyDescent="0.25">
      <c r="B950" s="16"/>
      <c r="C950" s="1"/>
      <c r="D950" s="1"/>
      <c r="E950" s="1"/>
      <c r="F950" s="1"/>
      <c r="G950" s="22"/>
      <c r="H950" s="1"/>
      <c r="I950" s="1"/>
      <c r="J950" s="1"/>
      <c r="K950" s="1"/>
      <c r="L950" s="1"/>
      <c r="M950" s="262"/>
      <c r="N950" s="1"/>
      <c r="O950" s="1"/>
      <c r="P950" s="1"/>
      <c r="Q950" s="1"/>
      <c r="R950" s="1"/>
      <c r="S950" s="1"/>
      <c r="T950" s="1"/>
      <c r="U950" s="1"/>
      <c r="V950" s="1"/>
      <c r="W950" s="1"/>
      <c r="X950" s="1"/>
      <c r="Y950" s="1"/>
      <c r="Z950" s="1"/>
      <c r="AA950" s="1"/>
      <c r="AB950" s="1"/>
    </row>
    <row r="951" spans="2:28" ht="11.25" customHeight="1" x14ac:dyDescent="0.25">
      <c r="B951" s="16"/>
      <c r="C951" s="1"/>
      <c r="D951" s="1"/>
      <c r="E951" s="1"/>
      <c r="F951" s="1"/>
      <c r="G951" s="22"/>
      <c r="H951" s="1"/>
      <c r="I951" s="1"/>
      <c r="J951" s="1"/>
      <c r="K951" s="1"/>
      <c r="L951" s="1"/>
      <c r="M951" s="262"/>
      <c r="N951" s="1"/>
      <c r="O951" s="1"/>
      <c r="P951" s="1"/>
      <c r="Q951" s="1"/>
      <c r="R951" s="1"/>
      <c r="S951" s="1"/>
      <c r="T951" s="1"/>
      <c r="U951" s="1"/>
      <c r="V951" s="1"/>
      <c r="W951" s="1"/>
      <c r="X951" s="1"/>
      <c r="Y951" s="1"/>
      <c r="Z951" s="1"/>
      <c r="AA951" s="1"/>
      <c r="AB951" s="1"/>
    </row>
    <row r="952" spans="2:28" ht="11.25" customHeight="1" x14ac:dyDescent="0.25">
      <c r="B952" s="16"/>
      <c r="C952" s="1"/>
      <c r="D952" s="1"/>
      <c r="E952" s="1"/>
      <c r="F952" s="1"/>
      <c r="G952" s="22"/>
      <c r="H952" s="1"/>
      <c r="I952" s="1"/>
      <c r="J952" s="1"/>
      <c r="K952" s="1"/>
      <c r="L952" s="1"/>
      <c r="M952" s="262"/>
      <c r="N952" s="1"/>
      <c r="O952" s="1"/>
      <c r="P952" s="1"/>
      <c r="Q952" s="1"/>
      <c r="R952" s="1"/>
      <c r="S952" s="1"/>
      <c r="T952" s="1"/>
      <c r="U952" s="1"/>
      <c r="V952" s="1"/>
      <c r="W952" s="1"/>
      <c r="X952" s="1"/>
      <c r="Y952" s="1"/>
      <c r="Z952" s="1"/>
      <c r="AA952" s="1"/>
      <c r="AB952" s="1"/>
    </row>
    <row r="953" spans="2:28" ht="11.25" customHeight="1" x14ac:dyDescent="0.25">
      <c r="B953" s="16"/>
      <c r="C953" s="1"/>
      <c r="D953" s="1"/>
      <c r="E953" s="1"/>
      <c r="F953" s="1"/>
      <c r="G953" s="22"/>
      <c r="H953" s="1"/>
      <c r="I953" s="1"/>
      <c r="J953" s="1"/>
      <c r="K953" s="1"/>
      <c r="L953" s="1"/>
      <c r="M953" s="262"/>
      <c r="N953" s="1"/>
      <c r="O953" s="1"/>
      <c r="P953" s="1"/>
      <c r="Q953" s="1"/>
      <c r="R953" s="1"/>
      <c r="S953" s="1"/>
      <c r="T953" s="1"/>
      <c r="U953" s="1"/>
      <c r="V953" s="1"/>
      <c r="W953" s="1"/>
      <c r="X953" s="1"/>
      <c r="Y953" s="1"/>
      <c r="Z953" s="1"/>
      <c r="AA953" s="1"/>
      <c r="AB953" s="1"/>
    </row>
    <row r="954" spans="2:28" ht="11.25" customHeight="1" x14ac:dyDescent="0.25">
      <c r="B954" s="16"/>
      <c r="C954" s="1"/>
      <c r="D954" s="1"/>
      <c r="E954" s="1"/>
      <c r="F954" s="1"/>
      <c r="G954" s="22"/>
      <c r="H954" s="1"/>
      <c r="I954" s="1"/>
      <c r="J954" s="1"/>
      <c r="K954" s="1"/>
      <c r="L954" s="1"/>
      <c r="M954" s="262"/>
      <c r="N954" s="1"/>
      <c r="O954" s="1"/>
      <c r="P954" s="1"/>
      <c r="Q954" s="1"/>
      <c r="R954" s="1"/>
      <c r="S954" s="1"/>
      <c r="T954" s="1"/>
      <c r="U954" s="1"/>
      <c r="V954" s="1"/>
      <c r="W954" s="1"/>
      <c r="X954" s="1"/>
      <c r="Y954" s="1"/>
      <c r="Z954" s="1"/>
      <c r="AA954" s="1"/>
      <c r="AB954" s="1"/>
    </row>
    <row r="955" spans="2:28" ht="11.25" customHeight="1" x14ac:dyDescent="0.25">
      <c r="B955" s="16"/>
      <c r="C955" s="1"/>
      <c r="D955" s="1"/>
      <c r="E955" s="1"/>
      <c r="F955" s="1"/>
      <c r="G955" s="22"/>
      <c r="H955" s="1"/>
      <c r="I955" s="1"/>
      <c r="J955" s="1"/>
      <c r="K955" s="1"/>
      <c r="L955" s="1"/>
      <c r="M955" s="262"/>
      <c r="N955" s="1"/>
      <c r="O955" s="1"/>
      <c r="P955" s="1"/>
      <c r="Q955" s="1"/>
      <c r="R955" s="1"/>
      <c r="S955" s="1"/>
      <c r="T955" s="1"/>
      <c r="U955" s="1"/>
      <c r="V955" s="1"/>
      <c r="W955" s="1"/>
      <c r="X955" s="1"/>
      <c r="Y955" s="1"/>
      <c r="Z955" s="1"/>
      <c r="AA955" s="1"/>
      <c r="AB955" s="1"/>
    </row>
    <row r="956" spans="2:28" ht="11.25" customHeight="1" x14ac:dyDescent="0.25">
      <c r="B956" s="16"/>
      <c r="C956" s="1"/>
      <c r="D956" s="1"/>
      <c r="E956" s="1"/>
      <c r="F956" s="1"/>
      <c r="G956" s="22"/>
      <c r="H956" s="1"/>
      <c r="I956" s="1"/>
      <c r="J956" s="1"/>
      <c r="K956" s="1"/>
      <c r="L956" s="1"/>
      <c r="M956" s="262"/>
      <c r="N956" s="1"/>
      <c r="O956" s="1"/>
      <c r="P956" s="1"/>
      <c r="Q956" s="1"/>
      <c r="R956" s="1"/>
      <c r="S956" s="1"/>
      <c r="T956" s="1"/>
      <c r="U956" s="1"/>
      <c r="V956" s="1"/>
      <c r="W956" s="1"/>
      <c r="X956" s="1"/>
      <c r="Y956" s="1"/>
      <c r="Z956" s="1"/>
      <c r="AA956" s="1"/>
      <c r="AB956" s="1"/>
    </row>
    <row r="957" spans="2:28" ht="11.25" customHeight="1" x14ac:dyDescent="0.25">
      <c r="B957" s="16"/>
      <c r="C957" s="1"/>
      <c r="D957" s="1"/>
      <c r="E957" s="1"/>
      <c r="F957" s="1"/>
      <c r="G957" s="22"/>
      <c r="H957" s="1"/>
      <c r="I957" s="1"/>
      <c r="J957" s="1"/>
      <c r="K957" s="1"/>
      <c r="L957" s="1"/>
      <c r="M957" s="262"/>
      <c r="N957" s="1"/>
      <c r="O957" s="1"/>
      <c r="P957" s="1"/>
      <c r="Q957" s="1"/>
      <c r="R957" s="1"/>
      <c r="S957" s="1"/>
      <c r="T957" s="1"/>
      <c r="U957" s="1"/>
      <c r="V957" s="1"/>
      <c r="W957" s="1"/>
      <c r="X957" s="1"/>
      <c r="Y957" s="1"/>
      <c r="Z957" s="1"/>
      <c r="AA957" s="1"/>
      <c r="AB957" s="1"/>
    </row>
    <row r="958" spans="2:28" ht="11.25" customHeight="1" x14ac:dyDescent="0.25">
      <c r="B958" s="16"/>
      <c r="C958" s="1"/>
      <c r="D958" s="1"/>
      <c r="E958" s="1"/>
      <c r="F958" s="1"/>
      <c r="G958" s="22"/>
      <c r="H958" s="1"/>
      <c r="I958" s="1"/>
      <c r="J958" s="1"/>
      <c r="K958" s="1"/>
      <c r="L958" s="1"/>
      <c r="M958" s="262"/>
      <c r="N958" s="1"/>
      <c r="O958" s="1"/>
      <c r="P958" s="1"/>
      <c r="Q958" s="1"/>
      <c r="R958" s="1"/>
      <c r="S958" s="1"/>
      <c r="T958" s="1"/>
      <c r="U958" s="1"/>
      <c r="V958" s="1"/>
      <c r="W958" s="1"/>
      <c r="X958" s="1"/>
      <c r="Y958" s="1"/>
      <c r="Z958" s="1"/>
      <c r="AA958" s="1"/>
      <c r="AB958" s="1"/>
    </row>
    <row r="959" spans="2:28" ht="11.25" customHeight="1" x14ac:dyDescent="0.25">
      <c r="B959" s="16"/>
      <c r="C959" s="1"/>
      <c r="D959" s="1"/>
      <c r="E959" s="1"/>
      <c r="F959" s="1"/>
      <c r="G959" s="22"/>
      <c r="H959" s="1"/>
      <c r="I959" s="1"/>
      <c r="J959" s="1"/>
      <c r="K959" s="1"/>
      <c r="L959" s="1"/>
      <c r="M959" s="262"/>
      <c r="N959" s="1"/>
      <c r="O959" s="1"/>
      <c r="P959" s="1"/>
      <c r="Q959" s="1"/>
      <c r="R959" s="1"/>
      <c r="S959" s="1"/>
      <c r="T959" s="1"/>
      <c r="U959" s="1"/>
      <c r="V959" s="1"/>
      <c r="W959" s="1"/>
      <c r="X959" s="1"/>
      <c r="Y959" s="1"/>
      <c r="Z959" s="1"/>
      <c r="AA959" s="1"/>
      <c r="AB959" s="1"/>
    </row>
    <row r="960" spans="2:28" ht="11.25" customHeight="1" x14ac:dyDescent="0.25">
      <c r="B960" s="16"/>
      <c r="C960" s="1"/>
      <c r="D960" s="1"/>
      <c r="E960" s="1"/>
      <c r="F960" s="1"/>
      <c r="G960" s="22"/>
      <c r="H960" s="1"/>
      <c r="I960" s="1"/>
      <c r="J960" s="1"/>
      <c r="K960" s="1"/>
      <c r="L960" s="1"/>
      <c r="M960" s="262"/>
      <c r="N960" s="1"/>
      <c r="O960" s="1"/>
      <c r="P960" s="1"/>
      <c r="Q960" s="1"/>
      <c r="R960" s="1"/>
      <c r="S960" s="1"/>
      <c r="T960" s="1"/>
      <c r="U960" s="1"/>
      <c r="V960" s="1"/>
      <c r="W960" s="1"/>
      <c r="X960" s="1"/>
      <c r="Y960" s="1"/>
      <c r="Z960" s="1"/>
      <c r="AA960" s="1"/>
      <c r="AB960" s="1"/>
    </row>
    <row r="961" spans="2:28" ht="11.25" customHeight="1" x14ac:dyDescent="0.25">
      <c r="B961" s="16"/>
      <c r="C961" s="1"/>
      <c r="D961" s="1"/>
      <c r="E961" s="1"/>
      <c r="F961" s="1"/>
      <c r="G961" s="22"/>
      <c r="H961" s="1"/>
      <c r="I961" s="1"/>
      <c r="J961" s="1"/>
      <c r="K961" s="1"/>
      <c r="L961" s="1"/>
      <c r="M961" s="262"/>
      <c r="N961" s="1"/>
      <c r="O961" s="1"/>
      <c r="P961" s="1"/>
      <c r="Q961" s="1"/>
      <c r="R961" s="1"/>
      <c r="S961" s="1"/>
      <c r="T961" s="1"/>
      <c r="U961" s="1"/>
      <c r="V961" s="1"/>
      <c r="W961" s="1"/>
      <c r="X961" s="1"/>
      <c r="Y961" s="1"/>
      <c r="Z961" s="1"/>
      <c r="AA961" s="1"/>
      <c r="AB961" s="1"/>
    </row>
    <row r="962" spans="2:28" ht="11.25" customHeight="1" x14ac:dyDescent="0.25">
      <c r="B962" s="16"/>
      <c r="C962" s="1"/>
      <c r="D962" s="1"/>
      <c r="E962" s="1"/>
      <c r="F962" s="1"/>
      <c r="G962" s="22"/>
      <c r="H962" s="1"/>
      <c r="I962" s="1"/>
      <c r="J962" s="1"/>
      <c r="K962" s="1"/>
      <c r="L962" s="1"/>
      <c r="M962" s="262"/>
      <c r="N962" s="1"/>
      <c r="O962" s="1"/>
      <c r="P962" s="1"/>
      <c r="Q962" s="1"/>
      <c r="R962" s="1"/>
      <c r="S962" s="1"/>
      <c r="T962" s="1"/>
      <c r="U962" s="1"/>
      <c r="V962" s="1"/>
      <c r="W962" s="1"/>
      <c r="X962" s="1"/>
      <c r="Y962" s="1"/>
      <c r="Z962" s="1"/>
      <c r="AA962" s="1"/>
      <c r="AB962" s="1"/>
    </row>
    <row r="963" spans="2:28" ht="11.25" customHeight="1" x14ac:dyDescent="0.25">
      <c r="B963" s="16"/>
      <c r="C963" s="1"/>
      <c r="D963" s="1"/>
      <c r="E963" s="1"/>
      <c r="F963" s="1"/>
      <c r="G963" s="22"/>
      <c r="H963" s="1"/>
      <c r="I963" s="1"/>
      <c r="J963" s="1"/>
      <c r="K963" s="1"/>
      <c r="L963" s="1"/>
      <c r="M963" s="262"/>
      <c r="N963" s="1"/>
      <c r="O963" s="1"/>
      <c r="P963" s="1"/>
      <c r="Q963" s="1"/>
      <c r="R963" s="1"/>
      <c r="S963" s="1"/>
      <c r="T963" s="1"/>
      <c r="U963" s="1"/>
      <c r="V963" s="1"/>
      <c r="W963" s="1"/>
      <c r="X963" s="1"/>
      <c r="Y963" s="1"/>
      <c r="Z963" s="1"/>
      <c r="AA963" s="1"/>
      <c r="AB963" s="1"/>
    </row>
    <row r="964" spans="2:28" ht="11.25" customHeight="1" x14ac:dyDescent="0.25">
      <c r="B964" s="16"/>
      <c r="C964" s="1"/>
      <c r="D964" s="1"/>
      <c r="E964" s="1"/>
      <c r="F964" s="1"/>
      <c r="G964" s="22"/>
      <c r="H964" s="1"/>
      <c r="I964" s="1"/>
      <c r="J964" s="1"/>
      <c r="K964" s="1"/>
      <c r="L964" s="1"/>
      <c r="M964" s="262"/>
      <c r="N964" s="1"/>
      <c r="O964" s="1"/>
      <c r="P964" s="1"/>
      <c r="Q964" s="1"/>
      <c r="R964" s="1"/>
      <c r="S964" s="1"/>
      <c r="T964" s="1"/>
      <c r="U964" s="1"/>
      <c r="V964" s="1"/>
      <c r="W964" s="1"/>
      <c r="X964" s="1"/>
      <c r="Y964" s="1"/>
      <c r="Z964" s="1"/>
      <c r="AA964" s="1"/>
      <c r="AB964" s="1"/>
    </row>
    <row r="965" spans="2:28" ht="11.25" customHeight="1" x14ac:dyDescent="0.25">
      <c r="B965" s="16"/>
      <c r="C965" s="1"/>
      <c r="D965" s="1"/>
      <c r="E965" s="1"/>
      <c r="F965" s="1"/>
      <c r="G965" s="22"/>
      <c r="H965" s="1"/>
      <c r="I965" s="1"/>
      <c r="J965" s="1"/>
      <c r="K965" s="1"/>
      <c r="L965" s="1"/>
      <c r="M965" s="262"/>
      <c r="N965" s="1"/>
      <c r="O965" s="1"/>
      <c r="P965" s="1"/>
      <c r="Q965" s="1"/>
      <c r="R965" s="1"/>
      <c r="S965" s="1"/>
      <c r="T965" s="1"/>
      <c r="U965" s="1"/>
      <c r="V965" s="1"/>
      <c r="W965" s="1"/>
      <c r="X965" s="1"/>
      <c r="Y965" s="1"/>
      <c r="Z965" s="1"/>
      <c r="AA965" s="1"/>
      <c r="AB965" s="1"/>
    </row>
    <row r="966" spans="2:28" ht="11.25" customHeight="1" x14ac:dyDescent="0.25">
      <c r="B966" s="16"/>
      <c r="C966" s="1"/>
      <c r="D966" s="1"/>
      <c r="E966" s="1"/>
      <c r="F966" s="1"/>
      <c r="G966" s="22"/>
      <c r="H966" s="1"/>
      <c r="I966" s="1"/>
      <c r="J966" s="1"/>
      <c r="K966" s="1"/>
      <c r="L966" s="1"/>
      <c r="M966" s="262"/>
      <c r="N966" s="1"/>
      <c r="O966" s="1"/>
      <c r="P966" s="1"/>
      <c r="Q966" s="1"/>
      <c r="R966" s="1"/>
      <c r="S966" s="1"/>
      <c r="T966" s="1"/>
      <c r="U966" s="1"/>
      <c r="V966" s="1"/>
      <c r="W966" s="1"/>
      <c r="X966" s="1"/>
      <c r="Y966" s="1"/>
      <c r="Z966" s="1"/>
      <c r="AA966" s="1"/>
      <c r="AB966" s="1"/>
    </row>
    <row r="967" spans="2:28" ht="11.25" customHeight="1" x14ac:dyDescent="0.25">
      <c r="B967" s="16"/>
      <c r="C967" s="1"/>
      <c r="D967" s="1"/>
      <c r="E967" s="1"/>
      <c r="F967" s="1"/>
      <c r="G967" s="22"/>
      <c r="H967" s="1"/>
      <c r="I967" s="1"/>
      <c r="J967" s="1"/>
      <c r="K967" s="1"/>
      <c r="L967" s="1"/>
      <c r="M967" s="262"/>
      <c r="N967" s="1"/>
      <c r="O967" s="1"/>
      <c r="P967" s="1"/>
      <c r="Q967" s="1"/>
      <c r="R967" s="1"/>
      <c r="S967" s="1"/>
      <c r="T967" s="1"/>
      <c r="U967" s="1"/>
      <c r="V967" s="1"/>
      <c r="W967" s="1"/>
      <c r="X967" s="1"/>
      <c r="Y967" s="1"/>
      <c r="Z967" s="1"/>
      <c r="AA967" s="1"/>
      <c r="AB967" s="1"/>
    </row>
    <row r="968" spans="2:28" ht="11.25" customHeight="1" x14ac:dyDescent="0.25">
      <c r="B968" s="16"/>
      <c r="C968" s="1"/>
      <c r="D968" s="1"/>
      <c r="E968" s="1"/>
      <c r="F968" s="1"/>
      <c r="G968" s="22"/>
      <c r="H968" s="1"/>
      <c r="I968" s="1"/>
      <c r="J968" s="1"/>
      <c r="K968" s="1"/>
      <c r="L968" s="1"/>
      <c r="M968" s="262"/>
      <c r="N968" s="1"/>
      <c r="O968" s="1"/>
      <c r="P968" s="1"/>
      <c r="Q968" s="1"/>
      <c r="R968" s="1"/>
      <c r="S968" s="1"/>
      <c r="T968" s="1"/>
      <c r="U968" s="1"/>
      <c r="V968" s="1"/>
      <c r="W968" s="1"/>
      <c r="X968" s="1"/>
      <c r="Y968" s="1"/>
      <c r="Z968" s="1"/>
      <c r="AA968" s="1"/>
      <c r="AB968" s="1"/>
    </row>
    <row r="969" spans="2:28" ht="11.25" customHeight="1" x14ac:dyDescent="0.25">
      <c r="B969" s="16"/>
      <c r="C969" s="1"/>
      <c r="D969" s="1"/>
      <c r="E969" s="1"/>
      <c r="F969" s="1"/>
      <c r="G969" s="22"/>
      <c r="H969" s="1"/>
      <c r="I969" s="1"/>
      <c r="J969" s="1"/>
      <c r="K969" s="1"/>
      <c r="L969" s="1"/>
      <c r="M969" s="262"/>
      <c r="N969" s="1"/>
      <c r="O969" s="1"/>
      <c r="P969" s="1"/>
      <c r="Q969" s="1"/>
      <c r="R969" s="1"/>
      <c r="S969" s="1"/>
      <c r="T969" s="1"/>
      <c r="U969" s="1"/>
      <c r="V969" s="1"/>
      <c r="W969" s="1"/>
      <c r="X969" s="1"/>
      <c r="Y969" s="1"/>
      <c r="Z969" s="1"/>
      <c r="AA969" s="1"/>
      <c r="AB969" s="1"/>
    </row>
    <row r="970" spans="2:28" ht="11.25" customHeight="1" x14ac:dyDescent="0.25">
      <c r="B970" s="16"/>
      <c r="C970" s="1"/>
      <c r="D970" s="1"/>
      <c r="E970" s="1"/>
      <c r="F970" s="1"/>
      <c r="G970" s="22"/>
      <c r="H970" s="1"/>
      <c r="I970" s="1"/>
      <c r="J970" s="1"/>
      <c r="K970" s="1"/>
      <c r="L970" s="1"/>
      <c r="M970" s="262"/>
      <c r="N970" s="1"/>
      <c r="O970" s="1"/>
      <c r="P970" s="1"/>
      <c r="Q970" s="1"/>
      <c r="R970" s="1"/>
      <c r="S970" s="1"/>
      <c r="T970" s="1"/>
      <c r="U970" s="1"/>
      <c r="V970" s="1"/>
      <c r="W970" s="1"/>
      <c r="X970" s="1"/>
      <c r="Y970" s="1"/>
      <c r="Z970" s="1"/>
      <c r="AA970" s="1"/>
      <c r="AB970" s="1"/>
    </row>
    <row r="971" spans="2:28" ht="11.25" customHeight="1" x14ac:dyDescent="0.25">
      <c r="B971" s="16"/>
      <c r="C971" s="1"/>
      <c r="D971" s="1"/>
      <c r="E971" s="1"/>
      <c r="F971" s="1"/>
      <c r="G971" s="22"/>
      <c r="H971" s="1"/>
      <c r="I971" s="1"/>
      <c r="J971" s="1"/>
      <c r="K971" s="1"/>
      <c r="L971" s="1"/>
      <c r="M971" s="262"/>
      <c r="N971" s="1"/>
      <c r="O971" s="1"/>
      <c r="P971" s="1"/>
      <c r="Q971" s="1"/>
      <c r="R971" s="1"/>
      <c r="S971" s="1"/>
      <c r="T971" s="1"/>
      <c r="U971" s="1"/>
      <c r="V971" s="1"/>
      <c r="W971" s="1"/>
      <c r="X971" s="1"/>
      <c r="Y971" s="1"/>
      <c r="Z971" s="1"/>
      <c r="AA971" s="1"/>
      <c r="AB971" s="1"/>
    </row>
    <row r="972" spans="2:28" ht="11.25" customHeight="1" x14ac:dyDescent="0.25">
      <c r="B972" s="16"/>
      <c r="C972" s="1"/>
      <c r="D972" s="1"/>
      <c r="E972" s="1"/>
      <c r="F972" s="1"/>
      <c r="G972" s="22"/>
      <c r="H972" s="1"/>
      <c r="I972" s="1"/>
      <c r="J972" s="1"/>
      <c r="K972" s="1"/>
      <c r="L972" s="1"/>
      <c r="M972" s="262"/>
      <c r="N972" s="1"/>
      <c r="O972" s="1"/>
      <c r="P972" s="1"/>
      <c r="Q972" s="1"/>
      <c r="R972" s="1"/>
      <c r="S972" s="1"/>
      <c r="T972" s="1"/>
      <c r="U972" s="1"/>
      <c r="V972" s="1"/>
      <c r="W972" s="1"/>
      <c r="X972" s="1"/>
      <c r="Y972" s="1"/>
      <c r="Z972" s="1"/>
      <c r="AA972" s="1"/>
      <c r="AB972" s="1"/>
    </row>
    <row r="973" spans="2:28" ht="11.25" customHeight="1" x14ac:dyDescent="0.25">
      <c r="B973" s="16"/>
      <c r="C973" s="1"/>
      <c r="D973" s="1"/>
      <c r="E973" s="1"/>
      <c r="F973" s="1"/>
      <c r="G973" s="22"/>
      <c r="H973" s="1"/>
      <c r="I973" s="1"/>
      <c r="J973" s="1"/>
      <c r="K973" s="1"/>
      <c r="L973" s="1"/>
      <c r="M973" s="262"/>
      <c r="N973" s="1"/>
      <c r="O973" s="1"/>
      <c r="P973" s="1"/>
      <c r="Q973" s="1"/>
      <c r="R973" s="1"/>
      <c r="S973" s="1"/>
      <c r="T973" s="1"/>
      <c r="U973" s="1"/>
      <c r="V973" s="1"/>
      <c r="W973" s="1"/>
      <c r="X973" s="1"/>
      <c r="Y973" s="1"/>
      <c r="Z973" s="1"/>
      <c r="AA973" s="1"/>
      <c r="AB973" s="1"/>
    </row>
    <row r="974" spans="2:28" ht="11.25" customHeight="1" x14ac:dyDescent="0.25">
      <c r="B974" s="16"/>
      <c r="C974" s="1"/>
      <c r="D974" s="1"/>
      <c r="E974" s="1"/>
      <c r="F974" s="1"/>
      <c r="G974" s="22"/>
      <c r="H974" s="1"/>
      <c r="I974" s="1"/>
      <c r="J974" s="1"/>
      <c r="K974" s="1"/>
      <c r="L974" s="1"/>
      <c r="M974" s="262"/>
      <c r="N974" s="1"/>
      <c r="O974" s="1"/>
      <c r="P974" s="1"/>
      <c r="Q974" s="1"/>
      <c r="R974" s="1"/>
      <c r="S974" s="1"/>
      <c r="T974" s="1"/>
      <c r="U974" s="1"/>
      <c r="V974" s="1"/>
      <c r="W974" s="1"/>
      <c r="X974" s="1"/>
      <c r="Y974" s="1"/>
      <c r="Z974" s="1"/>
      <c r="AA974" s="1"/>
      <c r="AB974" s="1"/>
    </row>
    <row r="975" spans="2:28" ht="11.25" customHeight="1" x14ac:dyDescent="0.25">
      <c r="B975" s="16"/>
      <c r="C975" s="1"/>
      <c r="D975" s="1"/>
      <c r="E975" s="1"/>
      <c r="F975" s="1"/>
      <c r="G975" s="22"/>
      <c r="H975" s="1"/>
      <c r="I975" s="1"/>
      <c r="J975" s="1"/>
      <c r="K975" s="1"/>
      <c r="L975" s="1"/>
      <c r="M975" s="262"/>
      <c r="N975" s="1"/>
      <c r="O975" s="1"/>
      <c r="P975" s="1"/>
      <c r="Q975" s="1"/>
      <c r="R975" s="1"/>
      <c r="S975" s="1"/>
      <c r="T975" s="1"/>
      <c r="U975" s="1"/>
      <c r="V975" s="1"/>
      <c r="W975" s="1"/>
      <c r="X975" s="1"/>
      <c r="Y975" s="1"/>
      <c r="Z975" s="1"/>
      <c r="AA975" s="1"/>
      <c r="AB975" s="1"/>
    </row>
    <row r="976" spans="2:28" ht="11.25" customHeight="1" x14ac:dyDescent="0.25">
      <c r="B976" s="16"/>
      <c r="C976" s="1"/>
      <c r="D976" s="1"/>
      <c r="E976" s="1"/>
      <c r="F976" s="1"/>
      <c r="G976" s="22"/>
      <c r="H976" s="1"/>
      <c r="I976" s="1"/>
      <c r="J976" s="1"/>
      <c r="K976" s="1"/>
      <c r="L976" s="1"/>
      <c r="M976" s="262"/>
      <c r="N976" s="1"/>
      <c r="O976" s="1"/>
      <c r="P976" s="1"/>
      <c r="Q976" s="1"/>
      <c r="R976" s="1"/>
      <c r="S976" s="1"/>
      <c r="T976" s="1"/>
      <c r="U976" s="1"/>
      <c r="V976" s="1"/>
      <c r="W976" s="1"/>
      <c r="X976" s="1"/>
      <c r="Y976" s="1"/>
      <c r="Z976" s="1"/>
      <c r="AA976" s="1"/>
      <c r="AB976" s="1"/>
    </row>
    <row r="977" spans="2:28" ht="11.25" customHeight="1" x14ac:dyDescent="0.25">
      <c r="B977" s="16"/>
      <c r="C977" s="1"/>
      <c r="D977" s="1"/>
      <c r="E977" s="1"/>
      <c r="F977" s="1"/>
      <c r="G977" s="22"/>
      <c r="H977" s="1"/>
      <c r="I977" s="1"/>
      <c r="J977" s="1"/>
      <c r="K977" s="1"/>
      <c r="L977" s="1"/>
      <c r="M977" s="262"/>
      <c r="N977" s="1"/>
      <c r="O977" s="1"/>
      <c r="P977" s="1"/>
      <c r="Q977" s="1"/>
      <c r="R977" s="1"/>
      <c r="S977" s="1"/>
      <c r="T977" s="1"/>
      <c r="U977" s="1"/>
      <c r="V977" s="1"/>
      <c r="W977" s="1"/>
      <c r="X977" s="1"/>
      <c r="Y977" s="1"/>
      <c r="Z977" s="1"/>
      <c r="AA977" s="1"/>
      <c r="AB977" s="1"/>
    </row>
    <row r="978" spans="2:28" ht="11.25" customHeight="1" x14ac:dyDescent="0.25">
      <c r="B978" s="16"/>
      <c r="C978" s="1"/>
      <c r="D978" s="1"/>
      <c r="E978" s="1"/>
      <c r="F978" s="1"/>
      <c r="G978" s="22"/>
      <c r="H978" s="1"/>
      <c r="I978" s="1"/>
      <c r="J978" s="1"/>
      <c r="K978" s="1"/>
      <c r="L978" s="1"/>
      <c r="M978" s="262"/>
      <c r="N978" s="1"/>
      <c r="O978" s="1"/>
      <c r="P978" s="1"/>
      <c r="Q978" s="1"/>
      <c r="R978" s="1"/>
      <c r="S978" s="1"/>
      <c r="T978" s="1"/>
      <c r="U978" s="1"/>
      <c r="V978" s="1"/>
      <c r="W978" s="1"/>
      <c r="X978" s="1"/>
      <c r="Y978" s="1"/>
      <c r="Z978" s="1"/>
      <c r="AA978" s="1"/>
      <c r="AB978" s="1"/>
    </row>
    <row r="979" spans="2:28" ht="11.25" customHeight="1" x14ac:dyDescent="0.25">
      <c r="B979" s="16"/>
      <c r="C979" s="1"/>
      <c r="D979" s="1"/>
      <c r="E979" s="1"/>
      <c r="F979" s="1"/>
      <c r="G979" s="22"/>
      <c r="H979" s="1"/>
      <c r="I979" s="1"/>
      <c r="J979" s="1"/>
      <c r="K979" s="1"/>
      <c r="L979" s="1"/>
      <c r="M979" s="262"/>
      <c r="N979" s="1"/>
      <c r="O979" s="1"/>
      <c r="P979" s="1"/>
      <c r="Q979" s="1"/>
      <c r="R979" s="1"/>
      <c r="S979" s="1"/>
      <c r="T979" s="1"/>
      <c r="U979" s="1"/>
      <c r="V979" s="1"/>
      <c r="W979" s="1"/>
      <c r="X979" s="1"/>
      <c r="Y979" s="1"/>
      <c r="Z979" s="1"/>
      <c r="AA979" s="1"/>
      <c r="AB979" s="1"/>
    </row>
    <row r="980" spans="2:28" ht="11.25" customHeight="1" x14ac:dyDescent="0.25">
      <c r="B980" s="16"/>
      <c r="C980" s="1"/>
      <c r="D980" s="1"/>
      <c r="E980" s="1"/>
      <c r="F980" s="1"/>
      <c r="G980" s="22"/>
      <c r="H980" s="1"/>
      <c r="I980" s="1"/>
      <c r="J980" s="1"/>
      <c r="K980" s="1"/>
      <c r="L980" s="1"/>
      <c r="M980" s="262"/>
      <c r="N980" s="1"/>
      <c r="O980" s="1"/>
      <c r="P980" s="1"/>
      <c r="Q980" s="1"/>
      <c r="R980" s="1"/>
      <c r="S980" s="1"/>
      <c r="T980" s="1"/>
      <c r="U980" s="1"/>
      <c r="V980" s="1"/>
      <c r="W980" s="1"/>
      <c r="X980" s="1"/>
      <c r="Y980" s="1"/>
      <c r="Z980" s="1"/>
      <c r="AA980" s="1"/>
      <c r="AB980" s="1"/>
    </row>
    <row r="981" spans="2:28" ht="11.25" customHeight="1" x14ac:dyDescent="0.25">
      <c r="B981" s="16"/>
      <c r="C981" s="1"/>
      <c r="D981" s="1"/>
      <c r="E981" s="1"/>
      <c r="F981" s="1"/>
      <c r="G981" s="22"/>
      <c r="H981" s="1"/>
      <c r="I981" s="1"/>
      <c r="J981" s="1"/>
      <c r="K981" s="1"/>
      <c r="L981" s="1"/>
      <c r="M981" s="262"/>
      <c r="N981" s="1"/>
      <c r="O981" s="1"/>
      <c r="P981" s="1"/>
      <c r="Q981" s="1"/>
      <c r="R981" s="1"/>
      <c r="S981" s="1"/>
      <c r="T981" s="1"/>
      <c r="U981" s="1"/>
      <c r="V981" s="1"/>
      <c r="W981" s="1"/>
      <c r="X981" s="1"/>
      <c r="Y981" s="1"/>
      <c r="Z981" s="1"/>
      <c r="AA981" s="1"/>
      <c r="AB981" s="1"/>
    </row>
    <row r="982" spans="2:28" ht="11.25" customHeight="1" x14ac:dyDescent="0.25">
      <c r="B982" s="16"/>
      <c r="C982" s="1"/>
      <c r="D982" s="1"/>
      <c r="E982" s="1"/>
      <c r="F982" s="1"/>
      <c r="G982" s="22"/>
      <c r="H982" s="1"/>
      <c r="I982" s="1"/>
      <c r="J982" s="1"/>
      <c r="K982" s="1"/>
      <c r="L982" s="1"/>
      <c r="M982" s="262"/>
      <c r="N982" s="1"/>
      <c r="O982" s="1"/>
      <c r="P982" s="1"/>
      <c r="Q982" s="1"/>
      <c r="R982" s="1"/>
      <c r="S982" s="1"/>
      <c r="T982" s="1"/>
      <c r="U982" s="1"/>
      <c r="V982" s="1"/>
      <c r="W982" s="1"/>
      <c r="X982" s="1"/>
      <c r="Y982" s="1"/>
      <c r="Z982" s="1"/>
      <c r="AA982" s="1"/>
      <c r="AB982" s="1"/>
    </row>
    <row r="983" spans="2:28" ht="11.25" customHeight="1" x14ac:dyDescent="0.25">
      <c r="B983" s="16"/>
      <c r="C983" s="1"/>
      <c r="D983" s="1"/>
      <c r="E983" s="1"/>
      <c r="F983" s="1"/>
      <c r="G983" s="22"/>
      <c r="H983" s="1"/>
      <c r="I983" s="1"/>
      <c r="J983" s="1"/>
      <c r="K983" s="1"/>
      <c r="L983" s="1"/>
      <c r="M983" s="262"/>
      <c r="N983" s="1"/>
      <c r="O983" s="1"/>
      <c r="P983" s="1"/>
      <c r="Q983" s="1"/>
      <c r="R983" s="1"/>
      <c r="S983" s="1"/>
      <c r="T983" s="1"/>
      <c r="U983" s="1"/>
      <c r="V983" s="1"/>
      <c r="W983" s="1"/>
      <c r="X983" s="1"/>
      <c r="Y983" s="1"/>
      <c r="Z983" s="1"/>
      <c r="AA983" s="1"/>
      <c r="AB983" s="1"/>
    </row>
    <row r="984" spans="2:28" ht="11.25" customHeight="1" x14ac:dyDescent="0.25">
      <c r="B984" s="16"/>
      <c r="C984" s="1"/>
      <c r="D984" s="1"/>
      <c r="E984" s="1"/>
      <c r="F984" s="1"/>
      <c r="G984" s="22"/>
      <c r="H984" s="1"/>
      <c r="I984" s="1"/>
      <c r="J984" s="1"/>
      <c r="K984" s="1"/>
      <c r="L984" s="1"/>
      <c r="M984" s="262"/>
      <c r="N984" s="1"/>
      <c r="O984" s="1"/>
      <c r="P984" s="1"/>
      <c r="Q984" s="1"/>
      <c r="R984" s="1"/>
      <c r="S984" s="1"/>
      <c r="T984" s="1"/>
      <c r="U984" s="1"/>
      <c r="V984" s="1"/>
      <c r="W984" s="1"/>
      <c r="X984" s="1"/>
      <c r="Y984" s="1"/>
      <c r="Z984" s="1"/>
      <c r="AA984" s="1"/>
      <c r="AB984" s="1"/>
    </row>
    <row r="985" spans="2:28" ht="11.25" customHeight="1" x14ac:dyDescent="0.25">
      <c r="B985" s="16"/>
      <c r="C985" s="1"/>
      <c r="D985" s="1"/>
      <c r="E985" s="1"/>
      <c r="F985" s="1"/>
      <c r="G985" s="22"/>
      <c r="H985" s="1"/>
      <c r="I985" s="1"/>
      <c r="J985" s="1"/>
      <c r="K985" s="1"/>
      <c r="L985" s="1"/>
      <c r="M985" s="262"/>
      <c r="N985" s="1"/>
      <c r="O985" s="1"/>
      <c r="P985" s="1"/>
      <c r="Q985" s="1"/>
      <c r="R985" s="1"/>
      <c r="S985" s="1"/>
      <c r="T985" s="1"/>
      <c r="U985" s="1"/>
      <c r="V985" s="1"/>
      <c r="W985" s="1"/>
      <c r="X985" s="1"/>
      <c r="Y985" s="1"/>
      <c r="Z985" s="1"/>
      <c r="AA985" s="1"/>
      <c r="AB985" s="1"/>
    </row>
    <row r="986" spans="2:28" ht="11.25" customHeight="1" x14ac:dyDescent="0.25">
      <c r="B986" s="16"/>
      <c r="C986" s="1"/>
      <c r="D986" s="1"/>
      <c r="E986" s="1"/>
      <c r="F986" s="1"/>
      <c r="G986" s="22"/>
      <c r="H986" s="1"/>
      <c r="I986" s="1"/>
      <c r="J986" s="1"/>
      <c r="K986" s="1"/>
      <c r="L986" s="1"/>
      <c r="M986" s="262"/>
      <c r="N986" s="1"/>
      <c r="O986" s="1"/>
      <c r="P986" s="1"/>
      <c r="Q986" s="1"/>
      <c r="R986" s="1"/>
      <c r="S986" s="1"/>
      <c r="T986" s="1"/>
      <c r="U986" s="1"/>
      <c r="V986" s="1"/>
      <c r="W986" s="1"/>
      <c r="X986" s="1"/>
      <c r="Y986" s="1"/>
      <c r="Z986" s="1"/>
      <c r="AA986" s="1"/>
      <c r="AB986" s="1"/>
    </row>
    <row r="987" spans="2:28" ht="11.25" customHeight="1" x14ac:dyDescent="0.25">
      <c r="B987" s="16"/>
      <c r="C987" s="1"/>
      <c r="D987" s="1"/>
      <c r="E987" s="1"/>
      <c r="F987" s="1"/>
      <c r="G987" s="22"/>
      <c r="H987" s="1"/>
      <c r="I987" s="1"/>
      <c r="J987" s="1"/>
      <c r="K987" s="1"/>
      <c r="L987" s="1"/>
      <c r="M987" s="262"/>
      <c r="N987" s="1"/>
      <c r="O987" s="1"/>
      <c r="P987" s="1"/>
      <c r="Q987" s="1"/>
      <c r="R987" s="1"/>
      <c r="S987" s="1"/>
      <c r="T987" s="1"/>
      <c r="U987" s="1"/>
      <c r="V987" s="1"/>
      <c r="W987" s="1"/>
      <c r="X987" s="1"/>
      <c r="Y987" s="1"/>
      <c r="Z987" s="1"/>
      <c r="AA987" s="1"/>
      <c r="AB987" s="1"/>
    </row>
    <row r="988" spans="2:28" ht="11.25" customHeight="1" x14ac:dyDescent="0.25">
      <c r="B988" s="16"/>
      <c r="C988" s="1"/>
      <c r="D988" s="1"/>
      <c r="E988" s="1"/>
      <c r="F988" s="1"/>
      <c r="G988" s="22"/>
      <c r="H988" s="1"/>
      <c r="I988" s="1"/>
      <c r="J988" s="1"/>
      <c r="K988" s="1"/>
      <c r="L988" s="1"/>
      <c r="M988" s="262"/>
      <c r="N988" s="1"/>
      <c r="O988" s="1"/>
      <c r="P988" s="1"/>
      <c r="Q988" s="1"/>
      <c r="R988" s="1"/>
      <c r="S988" s="1"/>
      <c r="T988" s="1"/>
      <c r="U988" s="1"/>
      <c r="V988" s="1"/>
      <c r="W988" s="1"/>
      <c r="X988" s="1"/>
      <c r="Y988" s="1"/>
      <c r="Z988" s="1"/>
      <c r="AA988" s="1"/>
      <c r="AB988" s="1"/>
    </row>
    <row r="989" spans="2:28" ht="11.25" customHeight="1" x14ac:dyDescent="0.25">
      <c r="B989" s="16"/>
      <c r="C989" s="1"/>
      <c r="D989" s="1"/>
      <c r="E989" s="1"/>
      <c r="F989" s="1"/>
      <c r="G989" s="22"/>
      <c r="H989" s="1"/>
      <c r="I989" s="1"/>
      <c r="J989" s="1"/>
      <c r="K989" s="1"/>
      <c r="L989" s="1"/>
      <c r="M989" s="262"/>
      <c r="N989" s="1"/>
      <c r="O989" s="1"/>
      <c r="P989" s="1"/>
      <c r="Q989" s="1"/>
      <c r="R989" s="1"/>
      <c r="S989" s="1"/>
      <c r="T989" s="1"/>
      <c r="U989" s="1"/>
      <c r="V989" s="1"/>
      <c r="W989" s="1"/>
      <c r="X989" s="1"/>
      <c r="Y989" s="1"/>
      <c r="Z989" s="1"/>
      <c r="AA989" s="1"/>
      <c r="AB989" s="1"/>
    </row>
    <row r="990" spans="2:28" ht="11.25" customHeight="1" x14ac:dyDescent="0.25">
      <c r="B990" s="16"/>
      <c r="C990" s="1"/>
      <c r="D990" s="1"/>
      <c r="E990" s="1"/>
      <c r="F990" s="1"/>
      <c r="G990" s="22"/>
      <c r="H990" s="1"/>
      <c r="I990" s="1"/>
      <c r="J990" s="1"/>
      <c r="K990" s="1"/>
      <c r="L990" s="1"/>
      <c r="M990" s="262"/>
      <c r="N990" s="1"/>
      <c r="O990" s="1"/>
      <c r="P990" s="1"/>
      <c r="Q990" s="1"/>
      <c r="R990" s="1"/>
      <c r="S990" s="1"/>
      <c r="T990" s="1"/>
      <c r="U990" s="1"/>
      <c r="V990" s="1"/>
      <c r="W990" s="1"/>
      <c r="X990" s="1"/>
      <c r="Y990" s="1"/>
      <c r="Z990" s="1"/>
      <c r="AA990" s="1"/>
      <c r="AB990" s="1"/>
    </row>
    <row r="991" spans="2:28" ht="11.25" customHeight="1" x14ac:dyDescent="0.25">
      <c r="B991" s="16"/>
      <c r="C991" s="1"/>
      <c r="D991" s="1"/>
      <c r="E991" s="1"/>
      <c r="F991" s="1"/>
      <c r="G991" s="22"/>
      <c r="H991" s="1"/>
      <c r="I991" s="1"/>
      <c r="J991" s="1"/>
      <c r="K991" s="1"/>
      <c r="L991" s="1"/>
      <c r="M991" s="262"/>
      <c r="N991" s="1"/>
      <c r="O991" s="1"/>
      <c r="P991" s="1"/>
      <c r="Q991" s="1"/>
      <c r="R991" s="1"/>
      <c r="S991" s="1"/>
      <c r="T991" s="1"/>
      <c r="U991" s="1"/>
      <c r="V991" s="1"/>
      <c r="W991" s="1"/>
      <c r="X991" s="1"/>
      <c r="Y991" s="1"/>
      <c r="Z991" s="1"/>
      <c r="AA991" s="1"/>
      <c r="AB991" s="1"/>
    </row>
    <row r="992" spans="2:28" ht="11.25" customHeight="1" x14ac:dyDescent="0.25">
      <c r="B992" s="16"/>
      <c r="C992" s="1"/>
      <c r="D992" s="1"/>
      <c r="E992" s="1"/>
      <c r="F992" s="1"/>
      <c r="G992" s="22"/>
      <c r="H992" s="1"/>
      <c r="I992" s="1"/>
      <c r="J992" s="1"/>
      <c r="K992" s="1"/>
      <c r="L992" s="1"/>
      <c r="M992" s="262"/>
      <c r="N992" s="1"/>
      <c r="O992" s="1"/>
      <c r="P992" s="1"/>
      <c r="Q992" s="1"/>
      <c r="R992" s="1"/>
      <c r="S992" s="1"/>
      <c r="T992" s="1"/>
      <c r="U992" s="1"/>
      <c r="V992" s="1"/>
      <c r="W992" s="1"/>
      <c r="X992" s="1"/>
      <c r="Y992" s="1"/>
      <c r="Z992" s="1"/>
      <c r="AA992" s="1"/>
      <c r="AB992" s="1"/>
    </row>
    <row r="993" spans="2:28" ht="11.25" customHeight="1" x14ac:dyDescent="0.25">
      <c r="B993" s="16"/>
      <c r="C993" s="1"/>
      <c r="D993" s="1"/>
      <c r="E993" s="1"/>
      <c r="F993" s="1"/>
      <c r="G993" s="22"/>
      <c r="H993" s="1"/>
      <c r="I993" s="1"/>
      <c r="J993" s="1"/>
      <c r="K993" s="1"/>
      <c r="L993" s="1"/>
      <c r="M993" s="262"/>
      <c r="N993" s="1"/>
      <c r="O993" s="1"/>
      <c r="P993" s="1"/>
      <c r="Q993" s="1"/>
      <c r="R993" s="1"/>
      <c r="S993" s="1"/>
      <c r="T993" s="1"/>
      <c r="U993" s="1"/>
      <c r="V993" s="1"/>
      <c r="W993" s="1"/>
      <c r="X993" s="1"/>
      <c r="Y993" s="1"/>
      <c r="Z993" s="1"/>
      <c r="AA993" s="1"/>
      <c r="AB993" s="1"/>
    </row>
    <row r="994" spans="2:28" ht="11.25" customHeight="1" x14ac:dyDescent="0.25">
      <c r="B994" s="16"/>
      <c r="C994" s="1"/>
      <c r="D994" s="1"/>
      <c r="E994" s="1"/>
      <c r="F994" s="1"/>
      <c r="G994" s="22"/>
      <c r="H994" s="1"/>
      <c r="I994" s="1"/>
      <c r="J994" s="1"/>
      <c r="K994" s="1"/>
      <c r="L994" s="1"/>
      <c r="M994" s="262"/>
      <c r="N994" s="1"/>
      <c r="O994" s="1"/>
      <c r="P994" s="1"/>
      <c r="Q994" s="1"/>
      <c r="R994" s="1"/>
      <c r="S994" s="1"/>
      <c r="T994" s="1"/>
      <c r="U994" s="1"/>
      <c r="V994" s="1"/>
      <c r="W994" s="1"/>
      <c r="X994" s="1"/>
      <c r="Y994" s="1"/>
      <c r="Z994" s="1"/>
      <c r="AA994" s="1"/>
      <c r="AB994" s="1"/>
    </row>
    <row r="995" spans="2:28" ht="11.25" customHeight="1" x14ac:dyDescent="0.25">
      <c r="B995" s="16"/>
      <c r="C995" s="1"/>
      <c r="D995" s="1"/>
      <c r="E995" s="1"/>
      <c r="F995" s="1"/>
      <c r="G995" s="22"/>
      <c r="H995" s="1"/>
      <c r="I995" s="1"/>
      <c r="J995" s="1"/>
      <c r="K995" s="1"/>
      <c r="L995" s="1"/>
      <c r="M995" s="262"/>
      <c r="N995" s="1"/>
      <c r="O995" s="1"/>
      <c r="P995" s="1"/>
      <c r="Q995" s="1"/>
      <c r="R995" s="1"/>
      <c r="S995" s="1"/>
      <c r="T995" s="1"/>
      <c r="U995" s="1"/>
      <c r="V995" s="1"/>
      <c r="W995" s="1"/>
      <c r="X995" s="1"/>
      <c r="Y995" s="1"/>
      <c r="Z995" s="1"/>
      <c r="AA995" s="1"/>
      <c r="AB995" s="1"/>
    </row>
    <row r="996" spans="2:28" ht="11.25" customHeight="1" x14ac:dyDescent="0.25">
      <c r="B996" s="16"/>
      <c r="C996" s="1"/>
      <c r="D996" s="1"/>
      <c r="E996" s="1"/>
      <c r="F996" s="1"/>
      <c r="G996" s="22"/>
      <c r="H996" s="1"/>
      <c r="I996" s="1"/>
      <c r="J996" s="1"/>
      <c r="K996" s="1"/>
      <c r="L996" s="1"/>
      <c r="M996" s="262"/>
      <c r="N996" s="1"/>
      <c r="O996" s="1"/>
      <c r="P996" s="1"/>
      <c r="Q996" s="1"/>
      <c r="R996" s="1"/>
      <c r="S996" s="1"/>
      <c r="T996" s="1"/>
      <c r="U996" s="1"/>
      <c r="V996" s="1"/>
      <c r="W996" s="1"/>
      <c r="X996" s="1"/>
      <c r="Y996" s="1"/>
      <c r="Z996" s="1"/>
      <c r="AA996" s="1"/>
      <c r="AB996" s="1"/>
    </row>
    <row r="997" spans="2:28" ht="11.25" customHeight="1" x14ac:dyDescent="0.25">
      <c r="B997" s="16"/>
      <c r="C997" s="1"/>
      <c r="D997" s="1"/>
      <c r="E997" s="1"/>
      <c r="F997" s="1"/>
      <c r="G997" s="22"/>
      <c r="H997" s="1"/>
      <c r="I997" s="1"/>
      <c r="J997" s="1"/>
      <c r="K997" s="1"/>
      <c r="L997" s="1"/>
      <c r="M997" s="262"/>
      <c r="N997" s="1"/>
      <c r="O997" s="1"/>
      <c r="P997" s="1"/>
      <c r="Q997" s="1"/>
      <c r="R997" s="1"/>
      <c r="S997" s="1"/>
      <c r="T997" s="1"/>
      <c r="U997" s="1"/>
      <c r="V997" s="1"/>
      <c r="W997" s="1"/>
      <c r="X997" s="1"/>
      <c r="Y997" s="1"/>
      <c r="Z997" s="1"/>
      <c r="AA997" s="1"/>
      <c r="AB997" s="1"/>
    </row>
    <row r="998" spans="2:28" ht="11.25" customHeight="1" x14ac:dyDescent="0.25">
      <c r="B998" s="16"/>
      <c r="C998" s="1"/>
      <c r="D998" s="1"/>
      <c r="E998" s="1"/>
      <c r="F998" s="1"/>
      <c r="G998" s="22"/>
      <c r="H998" s="1"/>
      <c r="I998" s="1"/>
      <c r="J998" s="1"/>
      <c r="K998" s="1"/>
      <c r="L998" s="1"/>
      <c r="M998" s="262"/>
      <c r="N998" s="1"/>
      <c r="O998" s="1"/>
      <c r="P998" s="1"/>
      <c r="Q998" s="1"/>
      <c r="R998" s="1"/>
      <c r="S998" s="1"/>
      <c r="T998" s="1"/>
      <c r="U998" s="1"/>
      <c r="V998" s="1"/>
      <c r="W998" s="1"/>
      <c r="X998" s="1"/>
      <c r="Y998" s="1"/>
      <c r="Z998" s="1"/>
      <c r="AA998" s="1"/>
      <c r="AB998" s="1"/>
    </row>
    <row r="999" spans="2:28" ht="11.25" customHeight="1" x14ac:dyDescent="0.25">
      <c r="B999" s="16"/>
      <c r="C999" s="1"/>
      <c r="D999" s="1"/>
      <c r="E999" s="1"/>
      <c r="F999" s="1"/>
      <c r="G999" s="22"/>
      <c r="H999" s="1"/>
      <c r="I999" s="1"/>
      <c r="J999" s="1"/>
      <c r="K999" s="1"/>
      <c r="L999" s="1"/>
      <c r="M999" s="262"/>
      <c r="N999" s="1"/>
      <c r="O999" s="1"/>
      <c r="P999" s="1"/>
      <c r="Q999" s="1"/>
      <c r="R999" s="1"/>
      <c r="S999" s="1"/>
      <c r="T999" s="1"/>
      <c r="U999" s="1"/>
      <c r="V999" s="1"/>
      <c r="W999" s="1"/>
      <c r="X999" s="1"/>
      <c r="Y999" s="1"/>
      <c r="Z999" s="1"/>
      <c r="AA999" s="1"/>
      <c r="AB999" s="1"/>
    </row>
    <row r="1000" spans="2:28" ht="11.25" customHeight="1" x14ac:dyDescent="0.25">
      <c r="B1000" s="16"/>
      <c r="C1000" s="1"/>
      <c r="D1000" s="1"/>
      <c r="E1000" s="1"/>
      <c r="F1000" s="1"/>
      <c r="G1000" s="22"/>
      <c r="H1000" s="1"/>
      <c r="I1000" s="1"/>
      <c r="J1000" s="1"/>
      <c r="K1000" s="1"/>
      <c r="L1000" s="1"/>
      <c r="M1000" s="262"/>
      <c r="N1000" s="1"/>
      <c r="O1000" s="1"/>
      <c r="P1000" s="1"/>
      <c r="Q1000" s="1"/>
      <c r="R1000" s="1"/>
      <c r="S1000" s="1"/>
      <c r="T1000" s="1"/>
      <c r="U1000" s="1"/>
      <c r="V1000" s="1"/>
      <c r="W1000" s="1"/>
      <c r="X1000" s="1"/>
      <c r="Y1000" s="1"/>
      <c r="Z1000" s="1"/>
      <c r="AA1000" s="1"/>
      <c r="AB1000" s="1"/>
    </row>
    <row r="1001" spans="2:28" ht="11.25" customHeight="1" x14ac:dyDescent="0.25">
      <c r="B1001" s="16"/>
      <c r="C1001" s="1"/>
      <c r="D1001" s="1"/>
      <c r="E1001" s="1"/>
      <c r="F1001" s="1"/>
      <c r="G1001" s="22"/>
      <c r="H1001" s="1"/>
      <c r="I1001" s="1"/>
      <c r="J1001" s="1"/>
      <c r="K1001" s="1"/>
      <c r="L1001" s="1"/>
      <c r="M1001" s="262"/>
      <c r="N1001" s="1"/>
      <c r="O1001" s="1"/>
      <c r="P1001" s="1"/>
      <c r="Q1001" s="1"/>
      <c r="R1001" s="1"/>
      <c r="S1001" s="1"/>
      <c r="T1001" s="1"/>
      <c r="U1001" s="1"/>
      <c r="V1001" s="1"/>
      <c r="W1001" s="1"/>
      <c r="X1001" s="1"/>
      <c r="Y1001" s="1"/>
      <c r="Z1001" s="1"/>
      <c r="AA1001" s="1"/>
      <c r="AB1001" s="1"/>
    </row>
    <row r="1002" spans="2:28" ht="11.25" customHeight="1" x14ac:dyDescent="0.25">
      <c r="B1002" s="16"/>
      <c r="C1002" s="1"/>
      <c r="D1002" s="1"/>
      <c r="E1002" s="1"/>
      <c r="F1002" s="1"/>
      <c r="G1002" s="22"/>
      <c r="H1002" s="1"/>
      <c r="I1002" s="1"/>
      <c r="J1002" s="1"/>
      <c r="K1002" s="1"/>
      <c r="L1002" s="1"/>
      <c r="M1002" s="262"/>
      <c r="N1002" s="1"/>
      <c r="O1002" s="1"/>
      <c r="P1002" s="1"/>
      <c r="Q1002" s="1"/>
      <c r="R1002" s="1"/>
      <c r="S1002" s="1"/>
      <c r="T1002" s="1"/>
      <c r="U1002" s="1"/>
      <c r="V1002" s="1"/>
      <c r="W1002" s="1"/>
      <c r="X1002" s="1"/>
      <c r="Y1002" s="1"/>
      <c r="Z1002" s="1"/>
      <c r="AA1002" s="1"/>
      <c r="AB1002" s="1"/>
    </row>
    <row r="1003" spans="2:28" ht="11.25" customHeight="1" x14ac:dyDescent="0.25">
      <c r="B1003" s="16"/>
      <c r="C1003" s="1"/>
      <c r="D1003" s="1"/>
      <c r="E1003" s="1"/>
      <c r="F1003" s="1"/>
      <c r="G1003" s="22"/>
      <c r="H1003" s="1"/>
      <c r="I1003" s="1"/>
      <c r="J1003" s="1"/>
      <c r="K1003" s="1"/>
      <c r="L1003" s="1"/>
      <c r="M1003" s="262"/>
      <c r="N1003" s="1"/>
      <c r="O1003" s="1"/>
      <c r="P1003" s="1"/>
      <c r="Q1003" s="1"/>
      <c r="R1003" s="1"/>
      <c r="S1003" s="1"/>
      <c r="T1003" s="1"/>
      <c r="U1003" s="1"/>
      <c r="V1003" s="1"/>
      <c r="W1003" s="1"/>
      <c r="X1003" s="1"/>
      <c r="Y1003" s="1"/>
      <c r="Z1003" s="1"/>
      <c r="AA1003" s="1"/>
      <c r="AB1003" s="1"/>
    </row>
    <row r="1004" spans="2:28" ht="11.25" customHeight="1" x14ac:dyDescent="0.25">
      <c r="B1004" s="16"/>
      <c r="C1004" s="1"/>
      <c r="D1004" s="1"/>
      <c r="E1004" s="1"/>
      <c r="F1004" s="1"/>
      <c r="G1004" s="22"/>
      <c r="H1004" s="1"/>
      <c r="I1004" s="1"/>
      <c r="J1004" s="1"/>
      <c r="K1004" s="1"/>
      <c r="L1004" s="1"/>
      <c r="M1004" s="262"/>
      <c r="N1004" s="1"/>
      <c r="O1004" s="1"/>
      <c r="P1004" s="1"/>
      <c r="Q1004" s="1"/>
      <c r="R1004" s="1"/>
      <c r="S1004" s="1"/>
      <c r="T1004" s="1"/>
      <c r="U1004" s="1"/>
      <c r="V1004" s="1"/>
      <c r="W1004" s="1"/>
      <c r="X1004" s="1"/>
      <c r="Y1004" s="1"/>
      <c r="Z1004" s="1"/>
      <c r="AA1004" s="1"/>
      <c r="AB1004" s="1"/>
    </row>
    <row r="1005" spans="2:28" ht="11.25" customHeight="1" x14ac:dyDescent="0.25">
      <c r="B1005" s="16"/>
      <c r="C1005" s="1"/>
      <c r="D1005" s="1"/>
      <c r="E1005" s="1"/>
      <c r="F1005" s="1"/>
      <c r="G1005" s="22"/>
      <c r="H1005" s="1"/>
      <c r="I1005" s="1"/>
      <c r="J1005" s="1"/>
      <c r="K1005" s="1"/>
      <c r="L1005" s="1"/>
      <c r="M1005" s="262"/>
      <c r="N1005" s="1"/>
      <c r="O1005" s="1"/>
      <c r="P1005" s="1"/>
      <c r="Q1005" s="1"/>
      <c r="R1005" s="1"/>
      <c r="S1005" s="1"/>
      <c r="T1005" s="1"/>
      <c r="U1005" s="1"/>
      <c r="V1005" s="1"/>
      <c r="W1005" s="1"/>
      <c r="X1005" s="1"/>
      <c r="Y1005" s="1"/>
      <c r="Z1005" s="1"/>
      <c r="AA1005" s="1"/>
      <c r="AB1005" s="1"/>
    </row>
    <row r="1006" spans="2:28" ht="11.25" customHeight="1" x14ac:dyDescent="0.25">
      <c r="B1006" s="16"/>
      <c r="C1006" s="1"/>
      <c r="D1006" s="1"/>
      <c r="E1006" s="1"/>
      <c r="F1006" s="1"/>
      <c r="G1006" s="22"/>
      <c r="H1006" s="1"/>
      <c r="I1006" s="1"/>
      <c r="J1006" s="1"/>
      <c r="K1006" s="1"/>
      <c r="L1006" s="1"/>
      <c r="M1006" s="262"/>
      <c r="N1006" s="1"/>
      <c r="O1006" s="1"/>
      <c r="P1006" s="1"/>
      <c r="Q1006" s="1"/>
      <c r="R1006" s="1"/>
      <c r="S1006" s="1"/>
      <c r="T1006" s="1"/>
      <c r="U1006" s="1"/>
      <c r="V1006" s="1"/>
      <c r="W1006" s="1"/>
      <c r="X1006" s="1"/>
      <c r="Y1006" s="1"/>
      <c r="Z1006" s="1"/>
      <c r="AA1006" s="1"/>
      <c r="AB1006" s="1"/>
    </row>
    <row r="1007" spans="2:28" ht="11.25" customHeight="1" x14ac:dyDescent="0.25">
      <c r="B1007" s="16"/>
      <c r="C1007" s="1"/>
      <c r="D1007" s="1"/>
      <c r="E1007" s="1"/>
      <c r="F1007" s="1"/>
      <c r="G1007" s="22"/>
      <c r="H1007" s="1"/>
      <c r="I1007" s="1"/>
      <c r="J1007" s="1"/>
      <c r="K1007" s="1"/>
      <c r="L1007" s="1"/>
      <c r="M1007" s="262"/>
      <c r="N1007" s="1"/>
      <c r="O1007" s="1"/>
      <c r="P1007" s="1"/>
      <c r="Q1007" s="1"/>
      <c r="R1007" s="1"/>
      <c r="S1007" s="1"/>
      <c r="T1007" s="1"/>
      <c r="U1007" s="1"/>
      <c r="V1007" s="1"/>
      <c r="W1007" s="1"/>
      <c r="X1007" s="1"/>
      <c r="Y1007" s="1"/>
      <c r="Z1007" s="1"/>
      <c r="AA1007" s="1"/>
      <c r="AB1007" s="1"/>
    </row>
    <row r="1008" spans="2:28" ht="11.25" customHeight="1" x14ac:dyDescent="0.25">
      <c r="B1008" s="16"/>
      <c r="C1008" s="1"/>
      <c r="D1008" s="1"/>
      <c r="E1008" s="1"/>
      <c r="F1008" s="1"/>
      <c r="G1008" s="22"/>
      <c r="H1008" s="1"/>
      <c r="I1008" s="1"/>
      <c r="J1008" s="1"/>
      <c r="K1008" s="1"/>
      <c r="L1008" s="1"/>
      <c r="M1008" s="262"/>
      <c r="N1008" s="1"/>
      <c r="O1008" s="1"/>
      <c r="P1008" s="1"/>
      <c r="Q1008" s="1"/>
      <c r="R1008" s="1"/>
      <c r="S1008" s="1"/>
      <c r="T1008" s="1"/>
      <c r="U1008" s="1"/>
      <c r="V1008" s="1"/>
      <c r="W1008" s="1"/>
      <c r="X1008" s="1"/>
      <c r="Y1008" s="1"/>
      <c r="Z1008" s="1"/>
      <c r="AA1008" s="1"/>
      <c r="AB1008" s="1"/>
    </row>
    <row r="1009" spans="2:28" ht="11.25" customHeight="1" x14ac:dyDescent="0.25">
      <c r="B1009" s="16"/>
      <c r="C1009" s="1"/>
      <c r="D1009" s="1"/>
      <c r="E1009" s="1"/>
      <c r="F1009" s="1"/>
      <c r="G1009" s="22"/>
      <c r="H1009" s="1"/>
      <c r="I1009" s="1"/>
      <c r="J1009" s="1"/>
      <c r="K1009" s="1"/>
      <c r="L1009" s="1"/>
      <c r="M1009" s="262"/>
      <c r="N1009" s="1"/>
      <c r="O1009" s="1"/>
      <c r="P1009" s="1"/>
      <c r="Q1009" s="1"/>
      <c r="R1009" s="1"/>
      <c r="S1009" s="1"/>
      <c r="T1009" s="1"/>
      <c r="U1009" s="1"/>
      <c r="V1009" s="1"/>
      <c r="W1009" s="1"/>
      <c r="X1009" s="1"/>
      <c r="Y1009" s="1"/>
      <c r="Z1009" s="1"/>
      <c r="AA1009" s="1"/>
      <c r="AB1009" s="1"/>
    </row>
    <row r="1010" spans="2:28" ht="11.25" customHeight="1" x14ac:dyDescent="0.25">
      <c r="B1010" s="16"/>
      <c r="C1010" s="1"/>
      <c r="D1010" s="1"/>
      <c r="E1010" s="1"/>
      <c r="F1010" s="1"/>
      <c r="G1010" s="22"/>
      <c r="H1010" s="1"/>
      <c r="I1010" s="1"/>
      <c r="J1010" s="1"/>
      <c r="K1010" s="1"/>
      <c r="L1010" s="1"/>
      <c r="M1010" s="262"/>
      <c r="N1010" s="1"/>
      <c r="O1010" s="1"/>
      <c r="P1010" s="1"/>
      <c r="Q1010" s="1"/>
      <c r="R1010" s="1"/>
      <c r="S1010" s="1"/>
      <c r="T1010" s="1"/>
      <c r="U1010" s="1"/>
      <c r="V1010" s="1"/>
      <c r="W1010" s="1"/>
      <c r="X1010" s="1"/>
      <c r="Y1010" s="1"/>
      <c r="Z1010" s="1"/>
      <c r="AA1010" s="1"/>
      <c r="AB1010" s="1"/>
    </row>
    <row r="1011" spans="2:28" ht="11.25" customHeight="1" x14ac:dyDescent="0.25">
      <c r="B1011" s="16"/>
      <c r="C1011" s="1"/>
      <c r="D1011" s="1"/>
      <c r="E1011" s="1"/>
      <c r="F1011" s="1"/>
      <c r="G1011" s="22"/>
      <c r="H1011" s="1"/>
      <c r="I1011" s="1"/>
      <c r="J1011" s="1"/>
      <c r="K1011" s="1"/>
      <c r="L1011" s="1"/>
      <c r="M1011" s="262"/>
      <c r="N1011" s="1"/>
      <c r="O1011" s="1"/>
      <c r="P1011" s="1"/>
      <c r="Q1011" s="1"/>
      <c r="R1011" s="1"/>
      <c r="S1011" s="1"/>
      <c r="T1011" s="1"/>
      <c r="U1011" s="1"/>
      <c r="V1011" s="1"/>
      <c r="W1011" s="1"/>
      <c r="X1011" s="1"/>
      <c r="Y1011" s="1"/>
      <c r="Z1011" s="1"/>
      <c r="AA1011" s="1"/>
      <c r="AB1011" s="1"/>
    </row>
    <row r="1012" spans="2:28" ht="11.25" customHeight="1" x14ac:dyDescent="0.25">
      <c r="B1012" s="16"/>
      <c r="C1012" s="1"/>
      <c r="D1012" s="1"/>
      <c r="E1012" s="1"/>
      <c r="F1012" s="1"/>
      <c r="G1012" s="22"/>
      <c r="H1012" s="1"/>
      <c r="I1012" s="1"/>
      <c r="J1012" s="1"/>
      <c r="K1012" s="1"/>
      <c r="L1012" s="1"/>
      <c r="M1012" s="262"/>
      <c r="N1012" s="1"/>
      <c r="O1012" s="1"/>
      <c r="P1012" s="1"/>
      <c r="Q1012" s="1"/>
      <c r="R1012" s="1"/>
      <c r="S1012" s="1"/>
      <c r="T1012" s="1"/>
      <c r="U1012" s="1"/>
      <c r="V1012" s="1"/>
      <c r="W1012" s="1"/>
      <c r="X1012" s="1"/>
      <c r="Y1012" s="1"/>
      <c r="Z1012" s="1"/>
      <c r="AA1012" s="1"/>
      <c r="AB1012" s="1"/>
    </row>
    <row r="1013" spans="2:28" ht="11.25" customHeight="1" x14ac:dyDescent="0.25">
      <c r="B1013" s="16"/>
      <c r="C1013" s="1"/>
      <c r="D1013" s="1"/>
      <c r="E1013" s="1"/>
      <c r="F1013" s="1"/>
      <c r="G1013" s="22"/>
      <c r="H1013" s="1"/>
      <c r="I1013" s="1"/>
      <c r="J1013" s="1"/>
      <c r="K1013" s="1"/>
      <c r="L1013" s="1"/>
      <c r="M1013" s="262"/>
      <c r="N1013" s="1"/>
      <c r="O1013" s="1"/>
      <c r="P1013" s="1"/>
      <c r="Q1013" s="1"/>
      <c r="R1013" s="1"/>
      <c r="S1013" s="1"/>
      <c r="T1013" s="1"/>
      <c r="U1013" s="1"/>
      <c r="V1013" s="1"/>
      <c r="W1013" s="1"/>
      <c r="X1013" s="1"/>
      <c r="Y1013" s="1"/>
      <c r="Z1013" s="1"/>
      <c r="AA1013" s="1"/>
      <c r="AB1013" s="1"/>
    </row>
    <row r="1014" spans="2:28" ht="11.25" customHeight="1" x14ac:dyDescent="0.25">
      <c r="B1014" s="16"/>
      <c r="C1014" s="1"/>
      <c r="D1014" s="1"/>
      <c r="E1014" s="1"/>
      <c r="F1014" s="1"/>
      <c r="G1014" s="22"/>
      <c r="H1014" s="1"/>
      <c r="I1014" s="1"/>
      <c r="J1014" s="1"/>
      <c r="K1014" s="1"/>
      <c r="L1014" s="1"/>
      <c r="M1014" s="262"/>
      <c r="N1014" s="1"/>
      <c r="O1014" s="1"/>
      <c r="P1014" s="1"/>
      <c r="Q1014" s="1"/>
      <c r="R1014" s="1"/>
      <c r="S1014" s="1"/>
      <c r="T1014" s="1"/>
      <c r="U1014" s="1"/>
      <c r="V1014" s="1"/>
      <c r="W1014" s="1"/>
      <c r="X1014" s="1"/>
      <c r="Y1014" s="1"/>
      <c r="Z1014" s="1"/>
      <c r="AA1014" s="1"/>
      <c r="AB1014" s="1"/>
    </row>
  </sheetData>
  <mergeCells count="245">
    <mergeCell ref="C145:E145"/>
    <mergeCell ref="F145:AB145"/>
    <mergeCell ref="C146:C147"/>
    <mergeCell ref="D146:D147"/>
    <mergeCell ref="E146:E147"/>
    <mergeCell ref="F146:F147"/>
    <mergeCell ref="G146:G147"/>
    <mergeCell ref="H146:H147"/>
    <mergeCell ref="I146:I147"/>
    <mergeCell ref="J146:J147"/>
    <mergeCell ref="K146:K147"/>
    <mergeCell ref="L146:L147"/>
    <mergeCell ref="M146:M147"/>
    <mergeCell ref="N146:N147"/>
    <mergeCell ref="O146:P146"/>
    <mergeCell ref="Q146:U146"/>
    <mergeCell ref="V146:V147"/>
    <mergeCell ref="W146:Z146"/>
    <mergeCell ref="AB146:AB147"/>
    <mergeCell ref="C140:E140"/>
    <mergeCell ref="C141:E141"/>
    <mergeCell ref="F141:AB141"/>
    <mergeCell ref="C142:E142"/>
    <mergeCell ref="F142:AB142"/>
    <mergeCell ref="C143:E143"/>
    <mergeCell ref="F143:AB143"/>
    <mergeCell ref="C144:E144"/>
    <mergeCell ref="F144:AB144"/>
    <mergeCell ref="C123:E123"/>
    <mergeCell ref="J111:J112"/>
    <mergeCell ref="D81:D82"/>
    <mergeCell ref="E81:E82"/>
    <mergeCell ref="F81:F82"/>
    <mergeCell ref="G81:G82"/>
    <mergeCell ref="H81:H82"/>
    <mergeCell ref="I81:I82"/>
    <mergeCell ref="J81:J82"/>
    <mergeCell ref="F92:AB92"/>
    <mergeCell ref="F93:AB93"/>
    <mergeCell ref="E96:E97"/>
    <mergeCell ref="F96:F97"/>
    <mergeCell ref="G96:G97"/>
    <mergeCell ref="H96:H97"/>
    <mergeCell ref="I96:I97"/>
    <mergeCell ref="J96:J97"/>
    <mergeCell ref="W96:Z96"/>
    <mergeCell ref="K96:K97"/>
    <mergeCell ref="L96:L97"/>
    <mergeCell ref="W111:Z111"/>
    <mergeCell ref="Q111:U111"/>
    <mergeCell ref="V111:V112"/>
    <mergeCell ref="AB111:AB112"/>
    <mergeCell ref="N111:N112"/>
    <mergeCell ref="C119:E119"/>
    <mergeCell ref="C120:E120"/>
    <mergeCell ref="C121:E121"/>
    <mergeCell ref="C122:E122"/>
    <mergeCell ref="F121:AB121"/>
    <mergeCell ref="I125:I126"/>
    <mergeCell ref="J125:J126"/>
    <mergeCell ref="K125:K126"/>
    <mergeCell ref="L125:L126"/>
    <mergeCell ref="F124:AB124"/>
    <mergeCell ref="O125:P125"/>
    <mergeCell ref="Q125:U125"/>
    <mergeCell ref="V125:V126"/>
    <mergeCell ref="W125:Z125"/>
    <mergeCell ref="M125:M126"/>
    <mergeCell ref="N125:N126"/>
    <mergeCell ref="F123:AB123"/>
    <mergeCell ref="F125:F126"/>
    <mergeCell ref="G125:G126"/>
    <mergeCell ref="H125:H126"/>
    <mergeCell ref="F120:AB120"/>
    <mergeCell ref="K111:K112"/>
    <mergeCell ref="L111:L112"/>
    <mergeCell ref="C15:E15"/>
    <mergeCell ref="F15:AB15"/>
    <mergeCell ref="C16:C17"/>
    <mergeCell ref="C111:C112"/>
    <mergeCell ref="D111:D112"/>
    <mergeCell ref="E111:E112"/>
    <mergeCell ref="F111:F112"/>
    <mergeCell ref="G111:G112"/>
    <mergeCell ref="H111:H112"/>
    <mergeCell ref="I111:I112"/>
    <mergeCell ref="AB96:AB97"/>
    <mergeCell ref="F94:AB94"/>
    <mergeCell ref="F95:AB95"/>
    <mergeCell ref="K81:K82"/>
    <mergeCell ref="L81:L82"/>
    <mergeCell ref="M81:M82"/>
    <mergeCell ref="N81:N82"/>
    <mergeCell ref="O81:P81"/>
    <mergeCell ref="F38:AB38"/>
    <mergeCell ref="F39:AB39"/>
    <mergeCell ref="F40:AB40"/>
    <mergeCell ref="F41:AB41"/>
    <mergeCell ref="F91:AB91"/>
    <mergeCell ref="Q81:U81"/>
    <mergeCell ref="O111:P111"/>
    <mergeCell ref="C56:E56"/>
    <mergeCell ref="C57:E57"/>
    <mergeCell ref="C58:E58"/>
    <mergeCell ref="C59:E59"/>
    <mergeCell ref="C60:E60"/>
    <mergeCell ref="C61:E61"/>
    <mergeCell ref="C62:C63"/>
    <mergeCell ref="F59:AB59"/>
    <mergeCell ref="F60:AB60"/>
    <mergeCell ref="F61:AB61"/>
    <mergeCell ref="D62:D63"/>
    <mergeCell ref="E62:E63"/>
    <mergeCell ref="F62:F63"/>
    <mergeCell ref="G62:G63"/>
    <mergeCell ref="H62:H63"/>
    <mergeCell ref="I62:I63"/>
    <mergeCell ref="F57:AB57"/>
    <mergeCell ref="F58:AB58"/>
    <mergeCell ref="W62:Z62"/>
    <mergeCell ref="AB62:AB63"/>
    <mergeCell ref="K62:K63"/>
    <mergeCell ref="L62:L63"/>
    <mergeCell ref="M62:M63"/>
    <mergeCell ref="F42:AB42"/>
    <mergeCell ref="C37:E37"/>
    <mergeCell ref="C38:E38"/>
    <mergeCell ref="C39:E39"/>
    <mergeCell ref="C40:E40"/>
    <mergeCell ref="C41:E41"/>
    <mergeCell ref="I43:I44"/>
    <mergeCell ref="J43:J44"/>
    <mergeCell ref="K43:K44"/>
    <mergeCell ref="L43:L44"/>
    <mergeCell ref="M43:M44"/>
    <mergeCell ref="C42:E42"/>
    <mergeCell ref="C43:C44"/>
    <mergeCell ref="D43:D44"/>
    <mergeCell ref="E43:E44"/>
    <mergeCell ref="F43:F44"/>
    <mergeCell ref="G43:G44"/>
    <mergeCell ref="H43:H44"/>
    <mergeCell ref="Q43:U43"/>
    <mergeCell ref="V43:V44"/>
    <mergeCell ref="W43:Z43"/>
    <mergeCell ref="AB43:AB44"/>
    <mergeCell ref="N43:N44"/>
    <mergeCell ref="O43:P43"/>
    <mergeCell ref="C11:E11"/>
    <mergeCell ref="F11:AB11"/>
    <mergeCell ref="C12:E12"/>
    <mergeCell ref="F12:AB12"/>
    <mergeCell ref="F16:F17"/>
    <mergeCell ref="G16:G17"/>
    <mergeCell ref="H16:H17"/>
    <mergeCell ref="I16:I17"/>
    <mergeCell ref="J16:J17"/>
    <mergeCell ref="K16:K17"/>
    <mergeCell ref="L16:L17"/>
    <mergeCell ref="M16:M17"/>
    <mergeCell ref="N16:N17"/>
    <mergeCell ref="O16:P16"/>
    <mergeCell ref="D16:D17"/>
    <mergeCell ref="E16:E17"/>
    <mergeCell ref="Q16:U16"/>
    <mergeCell ref="V16:V17"/>
    <mergeCell ref="W16:Z16"/>
    <mergeCell ref="AB16:AB17"/>
    <mergeCell ref="C13:E13"/>
    <mergeCell ref="F13:AB13"/>
    <mergeCell ref="C14:E14"/>
    <mergeCell ref="F14:AB14"/>
    <mergeCell ref="N62:N63"/>
    <mergeCell ref="O62:P62"/>
    <mergeCell ref="Q62:U62"/>
    <mergeCell ref="V62:V63"/>
    <mergeCell ref="J62:J63"/>
    <mergeCell ref="C105:E105"/>
    <mergeCell ref="C75:E75"/>
    <mergeCell ref="C76:E76"/>
    <mergeCell ref="C77:E77"/>
    <mergeCell ref="C78:E78"/>
    <mergeCell ref="C79:E79"/>
    <mergeCell ref="C80:E80"/>
    <mergeCell ref="C81:C82"/>
    <mergeCell ref="C90:E90"/>
    <mergeCell ref="C91:E91"/>
    <mergeCell ref="C92:E92"/>
    <mergeCell ref="C93:E93"/>
    <mergeCell ref="C94:E94"/>
    <mergeCell ref="C95:E95"/>
    <mergeCell ref="C96:C97"/>
    <mergeCell ref="D96:D97"/>
    <mergeCell ref="F107:AB107"/>
    <mergeCell ref="F108:AB108"/>
    <mergeCell ref="F109:AB109"/>
    <mergeCell ref="F110:AB110"/>
    <mergeCell ref="F76:AB76"/>
    <mergeCell ref="F77:AB77"/>
    <mergeCell ref="F78:AB78"/>
    <mergeCell ref="F79:AB79"/>
    <mergeCell ref="F80:AB80"/>
    <mergeCell ref="V81:V82"/>
    <mergeCell ref="AB81:AB82"/>
    <mergeCell ref="W81:Z81"/>
    <mergeCell ref="M96:M97"/>
    <mergeCell ref="N96:N97"/>
    <mergeCell ref="O96:P96"/>
    <mergeCell ref="Q96:U96"/>
    <mergeCell ref="V96:V97"/>
    <mergeCell ref="M166:N166"/>
    <mergeCell ref="M167:N167"/>
    <mergeCell ref="Q157:U157"/>
    <mergeCell ref="W157:Z157"/>
    <mergeCell ref="J157:J158"/>
    <mergeCell ref="K157:K158"/>
    <mergeCell ref="L157:L158"/>
    <mergeCell ref="M157:M158"/>
    <mergeCell ref="N157:N158"/>
    <mergeCell ref="O157:P157"/>
    <mergeCell ref="V157:V158"/>
    <mergeCell ref="C8:AB8"/>
    <mergeCell ref="C10:E10"/>
    <mergeCell ref="C157:C158"/>
    <mergeCell ref="D157:D158"/>
    <mergeCell ref="E157:E158"/>
    <mergeCell ref="F157:F158"/>
    <mergeCell ref="G157:G158"/>
    <mergeCell ref="H157:H158"/>
    <mergeCell ref="I157:I158"/>
    <mergeCell ref="AB157:AB158"/>
    <mergeCell ref="F122:AB122"/>
    <mergeCell ref="M111:M112"/>
    <mergeCell ref="C124:E124"/>
    <mergeCell ref="C156:AB156"/>
    <mergeCell ref="AB125:AB126"/>
    <mergeCell ref="C125:C126"/>
    <mergeCell ref="D125:D126"/>
    <mergeCell ref="E125:E126"/>
    <mergeCell ref="C106:E106"/>
    <mergeCell ref="C107:E107"/>
    <mergeCell ref="C108:E108"/>
    <mergeCell ref="C109:E109"/>
    <mergeCell ref="C110:E110"/>
    <mergeCell ref="F106:AB106"/>
  </mergeCells>
  <phoneticPr fontId="22" type="noConversion"/>
  <pageMargins left="0" right="0" top="0" bottom="0" header="0" footer="0"/>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AB1025"/>
  <sheetViews>
    <sheetView showGridLines="0" topLeftCell="C91" zoomScale="84" zoomScaleNormal="84" workbookViewId="0">
      <selection activeCell="C126" sqref="C126:AB128"/>
    </sheetView>
  </sheetViews>
  <sheetFormatPr baseColWidth="10" defaultColWidth="11.19921875" defaultRowHeight="14.95" customHeight="1" x14ac:dyDescent="0.25"/>
  <cols>
    <col min="1" max="1" width="0" style="325" hidden="1" customWidth="1"/>
    <col min="2" max="2" width="4.8984375" style="287" hidden="1" customWidth="1"/>
    <col min="3" max="3" width="3.69921875" customWidth="1"/>
    <col min="4" max="4" width="42.796875" customWidth="1"/>
    <col min="5" max="5" width="68.296875" customWidth="1"/>
    <col min="6" max="6" width="19.09765625" customWidth="1"/>
    <col min="7" max="7" width="10.3984375" customWidth="1"/>
    <col min="8" max="8" width="10.3984375" hidden="1" customWidth="1"/>
    <col min="9" max="9" width="9.8984375" hidden="1" customWidth="1"/>
    <col min="10" max="10" width="8.69921875" hidden="1" customWidth="1"/>
    <col min="11" max="11" width="8.296875" hidden="1" customWidth="1"/>
    <col min="12" max="12" width="11.296875" hidden="1" customWidth="1"/>
    <col min="13" max="13" width="53" style="195" hidden="1" customWidth="1"/>
    <col min="14" max="14" width="10.59765625" customWidth="1"/>
    <col min="15" max="15" width="9" bestFit="1" customWidth="1"/>
    <col min="16" max="16" width="9.296875" bestFit="1" customWidth="1"/>
    <col min="17" max="17" width="9" bestFit="1" customWidth="1"/>
    <col min="18" max="18" width="8.296875" bestFit="1" customWidth="1"/>
    <col min="19" max="21" width="9" bestFit="1" customWidth="1"/>
    <col min="22" max="22" width="20.09765625" hidden="1" customWidth="1"/>
    <col min="23" max="23" width="14.09765625" customWidth="1"/>
    <col min="24" max="24" width="12.796875" customWidth="1"/>
    <col min="25" max="25" width="13.3984375" customWidth="1"/>
    <col min="26" max="26" width="10.69921875" customWidth="1"/>
    <col min="27" max="27" width="10.69921875" hidden="1" customWidth="1"/>
    <col min="28" max="28" width="10.69921875" customWidth="1"/>
  </cols>
  <sheetData>
    <row r="1" spans="1:28" s="1186" customFormat="1" ht="14.95" customHeight="1" x14ac:dyDescent="0.25">
      <c r="B1" s="287"/>
      <c r="M1" s="195"/>
    </row>
    <row r="2" spans="1:28" s="1186" customFormat="1" ht="14.95" customHeight="1" x14ac:dyDescent="0.25">
      <c r="B2" s="287"/>
      <c r="M2" s="195"/>
    </row>
    <row r="3" spans="1:28" s="1186" customFormat="1" ht="14.95" customHeight="1" x14ac:dyDescent="0.25">
      <c r="B3" s="287"/>
      <c r="M3" s="195"/>
    </row>
    <row r="4" spans="1:28" s="1186" customFormat="1" ht="14.95" customHeight="1" x14ac:dyDescent="0.25">
      <c r="B4" s="287"/>
      <c r="M4" s="195"/>
    </row>
    <row r="5" spans="1:28" ht="11.25" customHeight="1" x14ac:dyDescent="0.25">
      <c r="A5" s="825"/>
      <c r="B5" s="16"/>
      <c r="C5" s="1"/>
      <c r="D5" s="1"/>
      <c r="E5" s="1"/>
      <c r="F5" s="1"/>
      <c r="G5" s="1"/>
      <c r="H5" s="1"/>
      <c r="I5" s="1"/>
      <c r="J5" s="1"/>
      <c r="K5" s="1"/>
      <c r="L5" s="22"/>
      <c r="M5" s="262"/>
      <c r="N5" s="1"/>
      <c r="O5" s="1"/>
      <c r="P5" s="1"/>
      <c r="Q5" s="1"/>
      <c r="R5" s="1"/>
      <c r="S5" s="1"/>
      <c r="T5" s="1"/>
      <c r="U5" s="1"/>
      <c r="V5" s="1"/>
      <c r="W5" s="1"/>
      <c r="X5" s="1"/>
      <c r="Y5" s="1"/>
      <c r="Z5" s="1"/>
      <c r="AA5" s="1"/>
      <c r="AB5" s="1"/>
    </row>
    <row r="6" spans="1:28" ht="11.25" customHeight="1" x14ac:dyDescent="0.25">
      <c r="A6" s="825"/>
      <c r="B6" s="16"/>
      <c r="C6" s="1"/>
      <c r="D6" s="27" t="s">
        <v>1169</v>
      </c>
      <c r="E6" s="1"/>
      <c r="F6" s="1"/>
      <c r="G6" s="1"/>
      <c r="H6" s="1"/>
      <c r="I6" s="1"/>
      <c r="J6" s="1"/>
      <c r="K6" s="1"/>
      <c r="L6" s="22"/>
      <c r="M6" s="262"/>
      <c r="N6" s="1"/>
      <c r="O6" s="1"/>
      <c r="P6" s="1"/>
      <c r="Q6" s="1"/>
      <c r="R6" s="1"/>
      <c r="S6" s="1"/>
      <c r="T6" s="1"/>
      <c r="U6" s="1"/>
      <c r="V6" s="1"/>
      <c r="W6" s="1"/>
      <c r="X6" s="1"/>
      <c r="Y6" s="1"/>
      <c r="Z6" s="1"/>
      <c r="AA6" s="1"/>
      <c r="AB6" s="1"/>
    </row>
    <row r="7" spans="1:28" ht="11.25" customHeight="1" x14ac:dyDescent="0.25">
      <c r="A7" s="825"/>
      <c r="B7" s="16"/>
      <c r="C7" s="1"/>
      <c r="D7" s="27"/>
      <c r="E7" s="1"/>
      <c r="F7" s="1"/>
      <c r="G7" s="1"/>
      <c r="H7" s="1"/>
      <c r="I7" s="1"/>
      <c r="J7" s="1"/>
      <c r="K7" s="1"/>
      <c r="L7" s="22"/>
      <c r="M7" s="262"/>
      <c r="N7" s="1"/>
      <c r="O7" s="1"/>
      <c r="P7" s="1"/>
      <c r="Q7" s="1"/>
      <c r="R7" s="1"/>
      <c r="S7" s="1"/>
      <c r="T7" s="1"/>
      <c r="U7" s="1"/>
      <c r="V7" s="1"/>
      <c r="W7" s="1"/>
      <c r="X7" s="1"/>
      <c r="Y7" s="1"/>
      <c r="Z7" s="1"/>
      <c r="AA7" s="1"/>
      <c r="AB7" s="1"/>
    </row>
    <row r="8" spans="1:28" ht="23.95" customHeight="1" x14ac:dyDescent="0.25">
      <c r="A8" s="335" t="s">
        <v>256</v>
      </c>
      <c r="B8" s="16"/>
      <c r="C8" s="1471" t="s">
        <v>132</v>
      </c>
      <c r="D8" s="1472"/>
      <c r="E8" s="1472"/>
      <c r="F8" s="1472"/>
      <c r="G8" s="1472"/>
      <c r="H8" s="1472"/>
      <c r="I8" s="1472"/>
      <c r="J8" s="1472"/>
      <c r="K8" s="1472"/>
      <c r="L8" s="1472"/>
      <c r="M8" s="1472"/>
      <c r="N8" s="1472"/>
      <c r="O8" s="1472"/>
      <c r="P8" s="1472"/>
      <c r="Q8" s="1472"/>
      <c r="R8" s="1472"/>
      <c r="S8" s="1472"/>
      <c r="T8" s="1472"/>
      <c r="U8" s="1472"/>
      <c r="V8" s="1472"/>
      <c r="W8" s="1472"/>
      <c r="X8" s="1472"/>
      <c r="Y8" s="1472"/>
      <c r="Z8" s="1472"/>
      <c r="AA8" s="1472"/>
      <c r="AB8" s="1472"/>
    </row>
    <row r="9" spans="1:28" ht="11.25" customHeight="1" x14ac:dyDescent="0.25">
      <c r="A9" s="334" t="s">
        <v>258</v>
      </c>
      <c r="B9" s="16"/>
      <c r="C9" s="1"/>
      <c r="D9" s="1"/>
      <c r="E9" s="1"/>
      <c r="F9" s="1"/>
      <c r="G9" s="1481"/>
      <c r="H9" s="1393"/>
      <c r="I9" s="1393"/>
      <c r="J9" s="1393"/>
      <c r="K9" s="1393"/>
      <c r="L9" s="1393"/>
      <c r="M9" s="1393"/>
      <c r="N9" s="1393"/>
      <c r="O9" s="1393"/>
      <c r="P9" s="1393"/>
      <c r="Q9" s="1393"/>
      <c r="R9" s="1393"/>
      <c r="S9" s="1393"/>
      <c r="T9" s="1393"/>
      <c r="U9" s="1393"/>
      <c r="V9" s="1393"/>
      <c r="W9" s="1393"/>
      <c r="X9" s="1393"/>
      <c r="Y9" s="1393"/>
      <c r="Z9" s="1393"/>
      <c r="AA9" s="1393"/>
      <c r="AB9" s="1394"/>
    </row>
    <row r="10" spans="1:28" ht="15.65" x14ac:dyDescent="0.25">
      <c r="A10" s="337" t="s">
        <v>259</v>
      </c>
      <c r="B10" s="16"/>
      <c r="C10" s="1459" t="s">
        <v>1170</v>
      </c>
      <c r="D10" s="1405"/>
      <c r="E10" s="1405"/>
      <c r="F10" s="1406"/>
      <c r="G10" s="816" t="s">
        <v>129</v>
      </c>
      <c r="H10" s="813"/>
      <c r="I10" s="813"/>
      <c r="J10" s="813"/>
      <c r="K10" s="813"/>
      <c r="L10" s="813"/>
      <c r="M10" s="938"/>
      <c r="N10" s="813"/>
      <c r="O10" s="813"/>
      <c r="P10" s="813"/>
      <c r="Q10" s="813"/>
      <c r="R10" s="813"/>
      <c r="S10" s="813"/>
      <c r="T10" s="813"/>
      <c r="U10" s="813"/>
      <c r="V10" s="813"/>
      <c r="W10" s="813"/>
      <c r="X10" s="813"/>
      <c r="Y10" s="813"/>
      <c r="Z10" s="813"/>
      <c r="AA10" s="813"/>
      <c r="AB10" s="814"/>
    </row>
    <row r="11" spans="1:28" ht="79.5" customHeight="1" x14ac:dyDescent="0.25">
      <c r="A11" s="333" t="s">
        <v>1623</v>
      </c>
      <c r="B11" s="16"/>
      <c r="C11" s="1459" t="s">
        <v>1171</v>
      </c>
      <c r="D11" s="1405"/>
      <c r="E11" s="1405"/>
      <c r="F11" s="1406"/>
      <c r="G11" s="1445" t="s">
        <v>1624</v>
      </c>
      <c r="H11" s="1446"/>
      <c r="I11" s="1446"/>
      <c r="J11" s="1446"/>
      <c r="K11" s="1446"/>
      <c r="L11" s="1446"/>
      <c r="M11" s="1446"/>
      <c r="N11" s="1446"/>
      <c r="O11" s="1446"/>
      <c r="P11" s="1446"/>
      <c r="Q11" s="1446"/>
      <c r="R11" s="1446"/>
      <c r="S11" s="1446"/>
      <c r="T11" s="1446"/>
      <c r="U11" s="1446"/>
      <c r="V11" s="1446"/>
      <c r="W11" s="1446"/>
      <c r="X11" s="1446"/>
      <c r="Y11" s="1446"/>
      <c r="Z11" s="1446"/>
      <c r="AA11" s="1446"/>
      <c r="AB11" s="1447"/>
    </row>
    <row r="12" spans="1:28" ht="19.55" customHeight="1" x14ac:dyDescent="0.25">
      <c r="A12" s="336" t="s">
        <v>261</v>
      </c>
      <c r="B12" s="16"/>
      <c r="C12" s="1459" t="s">
        <v>1173</v>
      </c>
      <c r="D12" s="1405"/>
      <c r="E12" s="1405"/>
      <c r="F12" s="1406"/>
      <c r="G12" s="1445" t="s">
        <v>1174</v>
      </c>
      <c r="H12" s="1446"/>
      <c r="I12" s="1446"/>
      <c r="J12" s="1446"/>
      <c r="K12" s="1446"/>
      <c r="L12" s="1446"/>
      <c r="M12" s="1446"/>
      <c r="N12" s="1446"/>
      <c r="O12" s="1446"/>
      <c r="P12" s="1446"/>
      <c r="Q12" s="1446"/>
      <c r="R12" s="1446"/>
      <c r="S12" s="1446"/>
      <c r="T12" s="1446"/>
      <c r="U12" s="1446"/>
      <c r="V12" s="1446"/>
      <c r="W12" s="1446"/>
      <c r="X12" s="1446"/>
      <c r="Y12" s="1446"/>
      <c r="Z12" s="1446"/>
      <c r="AA12" s="1446"/>
      <c r="AB12" s="1447"/>
    </row>
    <row r="13" spans="1:28" ht="21.1" customHeight="1" x14ac:dyDescent="0.25">
      <c r="A13" s="295" t="s">
        <v>257</v>
      </c>
      <c r="B13" s="16"/>
      <c r="C13" s="1459" t="s">
        <v>1175</v>
      </c>
      <c r="D13" s="1405"/>
      <c r="E13" s="1405"/>
      <c r="F13" s="1406"/>
      <c r="G13" s="1445" t="s">
        <v>1176</v>
      </c>
      <c r="H13" s="1446"/>
      <c r="I13" s="1446"/>
      <c r="J13" s="1446"/>
      <c r="K13" s="1446"/>
      <c r="L13" s="1446"/>
      <c r="M13" s="1446"/>
      <c r="N13" s="1446"/>
      <c r="O13" s="1446"/>
      <c r="P13" s="1446"/>
      <c r="Q13" s="1446"/>
      <c r="R13" s="1446"/>
      <c r="S13" s="1446"/>
      <c r="T13" s="1446"/>
      <c r="U13" s="1446"/>
      <c r="V13" s="1446"/>
      <c r="W13" s="1446"/>
      <c r="X13" s="1446"/>
      <c r="Y13" s="1446"/>
      <c r="Z13" s="1446"/>
      <c r="AA13" s="1446"/>
      <c r="AB13" s="1447"/>
    </row>
    <row r="14" spans="1:28" ht="32.950000000000003" customHeight="1" x14ac:dyDescent="0.25">
      <c r="A14" s="825"/>
      <c r="B14" s="16"/>
      <c r="C14" s="1444" t="s">
        <v>142</v>
      </c>
      <c r="D14" s="1405"/>
      <c r="E14" s="1405"/>
      <c r="F14" s="1406"/>
      <c r="G14" s="1445" t="s">
        <v>1625</v>
      </c>
      <c r="H14" s="1446"/>
      <c r="I14" s="1446"/>
      <c r="J14" s="1446"/>
      <c r="K14" s="1446"/>
      <c r="L14" s="1446"/>
      <c r="M14" s="1446"/>
      <c r="N14" s="1446"/>
      <c r="O14" s="1446"/>
      <c r="P14" s="1446"/>
      <c r="Q14" s="1446"/>
      <c r="R14" s="1446"/>
      <c r="S14" s="1446"/>
      <c r="T14" s="1446"/>
      <c r="U14" s="1446"/>
      <c r="V14" s="1446"/>
      <c r="W14" s="1446"/>
      <c r="X14" s="1446"/>
      <c r="Y14" s="1446"/>
      <c r="Z14" s="1446"/>
      <c r="AA14" s="1446"/>
      <c r="AB14" s="1447"/>
    </row>
    <row r="15" spans="1:28" ht="55.55" customHeight="1" x14ac:dyDescent="0.25">
      <c r="A15" s="825"/>
      <c r="B15" s="16"/>
      <c r="C15" s="1444" t="s">
        <v>1178</v>
      </c>
      <c r="D15" s="1405"/>
      <c r="E15" s="1405"/>
      <c r="F15" s="1406"/>
      <c r="G15" s="1445" t="s">
        <v>1179</v>
      </c>
      <c r="H15" s="1446"/>
      <c r="I15" s="1446"/>
      <c r="J15" s="1446"/>
      <c r="K15" s="1446"/>
      <c r="L15" s="1446"/>
      <c r="M15" s="1446"/>
      <c r="N15" s="1446"/>
      <c r="O15" s="1446"/>
      <c r="P15" s="1446"/>
      <c r="Q15" s="1446"/>
      <c r="R15" s="1446"/>
      <c r="S15" s="1446"/>
      <c r="T15" s="1446"/>
      <c r="U15" s="1446"/>
      <c r="V15" s="1446"/>
      <c r="W15" s="1446"/>
      <c r="X15" s="1446"/>
      <c r="Y15" s="1446"/>
      <c r="Z15" s="1446"/>
      <c r="AA15" s="1446"/>
      <c r="AB15" s="1447"/>
    </row>
    <row r="16" spans="1:28" ht="23.95" customHeight="1" x14ac:dyDescent="0.25">
      <c r="A16" s="825"/>
      <c r="B16" s="16"/>
      <c r="C16" s="1452" t="s">
        <v>964</v>
      </c>
      <c r="D16" s="1452" t="s">
        <v>965</v>
      </c>
      <c r="E16" s="1452" t="s">
        <v>468</v>
      </c>
      <c r="F16" s="1452" t="s">
        <v>470</v>
      </c>
      <c r="G16" s="1452" t="s">
        <v>966</v>
      </c>
      <c r="H16" s="1452" t="s">
        <v>967</v>
      </c>
      <c r="I16" s="1452" t="s">
        <v>1180</v>
      </c>
      <c r="J16" s="1452" t="s">
        <v>968</v>
      </c>
      <c r="K16" s="1452" t="s">
        <v>969</v>
      </c>
      <c r="L16" s="1453" t="s">
        <v>970</v>
      </c>
      <c r="M16" s="1453" t="s">
        <v>971</v>
      </c>
      <c r="N16" s="1453" t="s">
        <v>972</v>
      </c>
      <c r="O16" s="1456" t="s">
        <v>973</v>
      </c>
      <c r="P16" s="1457"/>
      <c r="Q16" s="1456" t="s">
        <v>974</v>
      </c>
      <c r="R16" s="1458"/>
      <c r="S16" s="1458"/>
      <c r="T16" s="1458"/>
      <c r="U16" s="1457"/>
      <c r="V16" s="1452" t="s">
        <v>975</v>
      </c>
      <c r="W16" s="1465" t="s">
        <v>976</v>
      </c>
      <c r="X16" s="1405"/>
      <c r="Y16" s="1405"/>
      <c r="Z16" s="1406"/>
      <c r="AA16" s="808"/>
      <c r="AB16" s="1452" t="s">
        <v>977</v>
      </c>
    </row>
    <row r="17" spans="1:28" ht="67.599999999999994" customHeight="1" x14ac:dyDescent="0.25">
      <c r="A17" s="825"/>
      <c r="B17" s="16"/>
      <c r="C17" s="1420"/>
      <c r="D17" s="1420"/>
      <c r="E17" s="1420"/>
      <c r="F17" s="1449"/>
      <c r="G17" s="1449"/>
      <c r="H17" s="1449"/>
      <c r="I17" s="1449"/>
      <c r="J17" s="1449"/>
      <c r="K17" s="1449"/>
      <c r="L17" s="1454"/>
      <c r="M17" s="1455"/>
      <c r="N17" s="1454"/>
      <c r="O17" s="940" t="s">
        <v>978</v>
      </c>
      <c r="P17" s="940" t="s">
        <v>979</v>
      </c>
      <c r="Q17" s="940" t="s">
        <v>980</v>
      </c>
      <c r="R17" s="940" t="s">
        <v>981</v>
      </c>
      <c r="S17" s="940" t="s">
        <v>982</v>
      </c>
      <c r="T17" s="940" t="s">
        <v>983</v>
      </c>
      <c r="U17" s="940" t="s">
        <v>984</v>
      </c>
      <c r="V17" s="1449"/>
      <c r="W17" s="808" t="s">
        <v>985</v>
      </c>
      <c r="X17" s="808" t="s">
        <v>986</v>
      </c>
      <c r="Y17" s="808" t="s">
        <v>987</v>
      </c>
      <c r="Z17" s="808" t="s">
        <v>988</v>
      </c>
      <c r="AA17" s="808"/>
      <c r="AB17" s="1449"/>
    </row>
    <row r="18" spans="1:28" s="356" customFormat="1" ht="191.25" customHeight="1" x14ac:dyDescent="0.25">
      <c r="A18" s="334" t="s">
        <v>258</v>
      </c>
      <c r="B18" s="291" t="s">
        <v>254</v>
      </c>
      <c r="C18" s="12" t="s">
        <v>1626</v>
      </c>
      <c r="D18" s="786" t="s">
        <v>170</v>
      </c>
      <c r="E18" s="373" t="s">
        <v>1182</v>
      </c>
      <c r="F18" s="13" t="s">
        <v>1183</v>
      </c>
      <c r="G18" s="179" t="str">
        <f>+'8. BASE  CONSOLIDADA'!O77</f>
        <v>DERECHOS SOBRE LA TIERRA</v>
      </c>
      <c r="H18" s="179" t="str">
        <f>+'8. BASE  CONSOLIDADA'!P77</f>
        <v>C5</v>
      </c>
      <c r="I18" s="14">
        <f>204106.390826259/10</f>
        <v>20410.639082625901</v>
      </c>
      <c r="J18" s="14">
        <f>+I18*0.5</f>
        <v>10205.319541312951</v>
      </c>
      <c r="K18" s="14">
        <f>+I18*0.5</f>
        <v>10205.319541312951</v>
      </c>
      <c r="L18" s="26">
        <v>2000</v>
      </c>
      <c r="M18" s="788" t="s">
        <v>1184</v>
      </c>
      <c r="N18" s="13" t="s">
        <v>1185</v>
      </c>
      <c r="O18" s="26">
        <f>+J18*L18</f>
        <v>20410639.082625899</v>
      </c>
      <c r="P18" s="26">
        <f>+K18*L18</f>
        <v>20410639.082625899</v>
      </c>
      <c r="Q18" s="26">
        <f>+$O$18*0.1</f>
        <v>2041063.9082625899</v>
      </c>
      <c r="R18" s="26">
        <f>+$O$18*0.15</f>
        <v>3061595.8623938849</v>
      </c>
      <c r="S18" s="26">
        <f>+$O$18*0.2</f>
        <v>4082127.8165251799</v>
      </c>
      <c r="T18" s="26">
        <f>+$O$18*0.3</f>
        <v>6123191.7247877698</v>
      </c>
      <c r="U18" s="26">
        <f>+$O$18*0.25</f>
        <v>5102659.7706564749</v>
      </c>
      <c r="V18" s="13"/>
      <c r="W18" s="13"/>
      <c r="X18" s="13"/>
      <c r="Y18" s="13" t="s">
        <v>148</v>
      </c>
      <c r="Z18" s="13"/>
      <c r="AA18" s="13" t="str">
        <f>+B18</f>
        <v>RE</v>
      </c>
      <c r="AB18" s="13">
        <v>3</v>
      </c>
    </row>
    <row r="19" spans="1:28" ht="90" customHeight="1" x14ac:dyDescent="0.25">
      <c r="A19" s="337" t="s">
        <v>259</v>
      </c>
      <c r="B19" s="285" t="s">
        <v>254</v>
      </c>
      <c r="C19" s="12" t="s">
        <v>1627</v>
      </c>
      <c r="D19" s="375" t="s">
        <v>154</v>
      </c>
      <c r="E19" s="373" t="s">
        <v>1628</v>
      </c>
      <c r="F19" s="179" t="s">
        <v>1188</v>
      </c>
      <c r="G19" s="179" t="str">
        <f>+'8. BASE  CONSOLIDADA'!O78</f>
        <v>ASISTENCIA TÉCNICA</v>
      </c>
      <c r="H19" s="179" t="str">
        <f>+'8. BASE  CONSOLIDADA'!P78</f>
        <v>C1</v>
      </c>
      <c r="I19" s="75">
        <v>29531</v>
      </c>
      <c r="J19" s="75">
        <f>I19*0.6</f>
        <v>17718.599999999999</v>
      </c>
      <c r="K19" s="75">
        <f>I19*0.4</f>
        <v>11812.400000000001</v>
      </c>
      <c r="L19" s="76">
        <v>560</v>
      </c>
      <c r="M19" s="791" t="s">
        <v>1189</v>
      </c>
      <c r="N19" s="13" t="s">
        <v>1190</v>
      </c>
      <c r="O19" s="28">
        <f t="shared" ref="O19:O29" si="0">+J19*L19</f>
        <v>9922416</v>
      </c>
      <c r="P19" s="28">
        <f t="shared" ref="P19:P28" si="1">+L19*K19</f>
        <v>6614944.0000000009</v>
      </c>
      <c r="Q19" s="180">
        <f t="shared" ref="Q19:U19" si="2">+$O$19*0.2</f>
        <v>1984483.2000000002</v>
      </c>
      <c r="R19" s="180">
        <f t="shared" si="2"/>
        <v>1984483.2000000002</v>
      </c>
      <c r="S19" s="180">
        <f t="shared" si="2"/>
        <v>1984483.2000000002</v>
      </c>
      <c r="T19" s="180">
        <f t="shared" si="2"/>
        <v>1984483.2000000002</v>
      </c>
      <c r="U19" s="180">
        <f t="shared" si="2"/>
        <v>1984483.2000000002</v>
      </c>
      <c r="V19" s="30"/>
      <c r="W19" s="69"/>
      <c r="X19" s="69"/>
      <c r="Y19" s="69" t="s">
        <v>148</v>
      </c>
      <c r="Z19" s="179"/>
      <c r="AA19" s="179" t="str">
        <f>+B19</f>
        <v>RE</v>
      </c>
      <c r="AB19" s="179">
        <v>2</v>
      </c>
    </row>
    <row r="20" spans="1:28" ht="54.7" customHeight="1" x14ac:dyDescent="0.25">
      <c r="A20" s="337" t="s">
        <v>259</v>
      </c>
      <c r="B20" s="285"/>
      <c r="C20" s="12" t="s">
        <v>1629</v>
      </c>
      <c r="D20" s="375" t="s">
        <v>162</v>
      </c>
      <c r="E20" s="373" t="s">
        <v>1192</v>
      </c>
      <c r="F20" s="181" t="s">
        <v>1193</v>
      </c>
      <c r="G20" s="179" t="str">
        <f>+'8. BASE  CONSOLIDADA'!O79</f>
        <v>TECNOLOGÍA</v>
      </c>
      <c r="H20" s="179" t="str">
        <f>+'8. BASE  CONSOLIDADA'!P79</f>
        <v>C17</v>
      </c>
      <c r="I20" s="181">
        <v>65935</v>
      </c>
      <c r="J20" s="75">
        <f>I20*0.3</f>
        <v>19780.5</v>
      </c>
      <c r="K20" s="75">
        <f>I20*0.3</f>
        <v>19780.5</v>
      </c>
      <c r="L20" s="180">
        <v>500</v>
      </c>
      <c r="M20" s="791" t="s">
        <v>1194</v>
      </c>
      <c r="N20" s="13" t="s">
        <v>1190</v>
      </c>
      <c r="O20" s="28">
        <f t="shared" si="0"/>
        <v>9890250</v>
      </c>
      <c r="P20" s="26">
        <f t="shared" si="1"/>
        <v>9890250</v>
      </c>
      <c r="Q20" s="76">
        <f t="shared" ref="Q20:U20" si="3">+$O$20*0.2</f>
        <v>1978050</v>
      </c>
      <c r="R20" s="76">
        <f t="shared" si="3"/>
        <v>1978050</v>
      </c>
      <c r="S20" s="76">
        <f t="shared" si="3"/>
        <v>1978050</v>
      </c>
      <c r="T20" s="76">
        <f t="shared" si="3"/>
        <v>1978050</v>
      </c>
      <c r="U20" s="76">
        <f t="shared" si="3"/>
        <v>1978050</v>
      </c>
      <c r="V20" s="30"/>
      <c r="W20" s="69"/>
      <c r="X20" s="69"/>
      <c r="Y20" s="69" t="s">
        <v>148</v>
      </c>
      <c r="Z20" s="179"/>
      <c r="AA20" s="179"/>
      <c r="AB20" s="179">
        <v>2</v>
      </c>
    </row>
    <row r="21" spans="1:28" ht="63.7" customHeight="1" x14ac:dyDescent="0.25">
      <c r="A21" s="337" t="s">
        <v>259</v>
      </c>
      <c r="B21" s="285" t="s">
        <v>254</v>
      </c>
      <c r="C21" s="12" t="s">
        <v>1630</v>
      </c>
      <c r="D21" s="786" t="s">
        <v>158</v>
      </c>
      <c r="E21" s="786" t="s">
        <v>1196</v>
      </c>
      <c r="F21" s="179" t="s">
        <v>1197</v>
      </c>
      <c r="G21" s="179" t="str">
        <f>+'8. BASE  CONSOLIDADA'!O80</f>
        <v>TECNOLOGÍA</v>
      </c>
      <c r="H21" s="179" t="str">
        <f>+'8. BASE  CONSOLIDADA'!P80</f>
        <v>C17</v>
      </c>
      <c r="I21" s="181">
        <v>65935</v>
      </c>
      <c r="J21" s="75">
        <f>+I21*0.2</f>
        <v>13187</v>
      </c>
      <c r="K21" s="75">
        <f>+I21*0.3</f>
        <v>19780.5</v>
      </c>
      <c r="L21" s="180">
        <v>2500</v>
      </c>
      <c r="M21" s="791" t="s">
        <v>1198</v>
      </c>
      <c r="N21" s="69" t="s">
        <v>992</v>
      </c>
      <c r="O21" s="28">
        <f t="shared" si="0"/>
        <v>32967500</v>
      </c>
      <c r="P21" s="28">
        <f t="shared" si="1"/>
        <v>49451250</v>
      </c>
      <c r="Q21" s="180">
        <f t="shared" ref="Q21:U21" si="4">+$O$21*0.2</f>
        <v>6593500</v>
      </c>
      <c r="R21" s="180">
        <f t="shared" si="4"/>
        <v>6593500</v>
      </c>
      <c r="S21" s="180">
        <f t="shared" si="4"/>
        <v>6593500</v>
      </c>
      <c r="T21" s="180">
        <f t="shared" si="4"/>
        <v>6593500</v>
      </c>
      <c r="U21" s="180">
        <f t="shared" si="4"/>
        <v>6593500</v>
      </c>
      <c r="V21" s="30"/>
      <c r="W21" s="69"/>
      <c r="X21" s="69"/>
      <c r="Y21" s="69" t="s">
        <v>148</v>
      </c>
      <c r="Z21" s="179"/>
      <c r="AA21" s="179" t="str">
        <f t="shared" ref="AA21:AA29" si="5">+B21</f>
        <v>RE</v>
      </c>
      <c r="AB21" s="179">
        <v>3</v>
      </c>
    </row>
    <row r="22" spans="1:28" ht="43.5" x14ac:dyDescent="0.25">
      <c r="A22" s="333" t="s">
        <v>260</v>
      </c>
      <c r="B22" s="284" t="s">
        <v>254</v>
      </c>
      <c r="C22" s="12" t="s">
        <v>1631</v>
      </c>
      <c r="D22" s="786" t="s">
        <v>161</v>
      </c>
      <c r="E22" s="786" t="s">
        <v>1200</v>
      </c>
      <c r="F22" s="179" t="s">
        <v>1201</v>
      </c>
      <c r="G22" s="179" t="str">
        <f>+'8. BASE  CONSOLIDADA'!O81</f>
        <v>TECNOLOGÍA</v>
      </c>
      <c r="H22" s="179" t="str">
        <f>+'8. BASE  CONSOLIDADA'!P81</f>
        <v>C17</v>
      </c>
      <c r="I22" s="181">
        <f>+I21</f>
        <v>65935</v>
      </c>
      <c r="J22" s="75">
        <f>+I22*0.05</f>
        <v>3296.75</v>
      </c>
      <c r="K22" s="75">
        <f>+I22*0.07</f>
        <v>4615.4500000000007</v>
      </c>
      <c r="L22" s="180">
        <v>11500</v>
      </c>
      <c r="M22" s="791" t="s">
        <v>1202</v>
      </c>
      <c r="N22" s="69" t="s">
        <v>1190</v>
      </c>
      <c r="O22" s="28">
        <f t="shared" si="0"/>
        <v>37912625</v>
      </c>
      <c r="P22" s="28">
        <f t="shared" si="1"/>
        <v>53077675.000000007</v>
      </c>
      <c r="Q22" s="180">
        <f t="shared" ref="Q22:U22" si="6">+$O$22*0.2</f>
        <v>7582525</v>
      </c>
      <c r="R22" s="180">
        <f t="shared" si="6"/>
        <v>7582525</v>
      </c>
      <c r="S22" s="180">
        <f t="shared" si="6"/>
        <v>7582525</v>
      </c>
      <c r="T22" s="180">
        <f t="shared" si="6"/>
        <v>7582525</v>
      </c>
      <c r="U22" s="180">
        <f t="shared" si="6"/>
        <v>7582525</v>
      </c>
      <c r="V22" s="30"/>
      <c r="W22" s="69"/>
      <c r="X22" s="69"/>
      <c r="Y22" s="69" t="s">
        <v>148</v>
      </c>
      <c r="Z22" s="179"/>
      <c r="AA22" s="179" t="str">
        <f t="shared" si="5"/>
        <v>RE</v>
      </c>
      <c r="AB22" s="179">
        <v>3</v>
      </c>
    </row>
    <row r="23" spans="1:28" ht="76.099999999999994" x14ac:dyDescent="0.25">
      <c r="A23" s="333" t="s">
        <v>260</v>
      </c>
      <c r="B23" s="284" t="s">
        <v>254</v>
      </c>
      <c r="C23" s="12" t="s">
        <v>1632</v>
      </c>
      <c r="D23" s="375" t="s">
        <v>166</v>
      </c>
      <c r="E23" s="373" t="s">
        <v>1633</v>
      </c>
      <c r="F23" s="179" t="s">
        <v>1205</v>
      </c>
      <c r="G23" s="179" t="str">
        <f>+'8. BASE  CONSOLIDADA'!O82</f>
        <v>RECONVERSIÓN</v>
      </c>
      <c r="H23" s="179" t="str">
        <f>+'8. BASE  CONSOLIDADA'!P82</f>
        <v>C12</v>
      </c>
      <c r="I23" s="181">
        <f>+I22*0.2</f>
        <v>13187</v>
      </c>
      <c r="J23" s="75">
        <f>+I23*0.1</f>
        <v>1318.7</v>
      </c>
      <c r="K23" s="75">
        <f>+I23*0.1</f>
        <v>1318.7</v>
      </c>
      <c r="L23" s="75">
        <v>15000</v>
      </c>
      <c r="M23" s="791" t="s">
        <v>1206</v>
      </c>
      <c r="N23" s="69" t="s">
        <v>1322</v>
      </c>
      <c r="O23" s="28">
        <f t="shared" si="0"/>
        <v>19780500</v>
      </c>
      <c r="P23" s="28">
        <f t="shared" si="1"/>
        <v>19780500</v>
      </c>
      <c r="Q23" s="180">
        <f t="shared" ref="Q23:U23" si="7">+$O$23*0.2</f>
        <v>3956100</v>
      </c>
      <c r="R23" s="180">
        <f t="shared" si="7"/>
        <v>3956100</v>
      </c>
      <c r="S23" s="180">
        <f t="shared" si="7"/>
        <v>3956100</v>
      </c>
      <c r="T23" s="180">
        <f t="shared" si="7"/>
        <v>3956100</v>
      </c>
      <c r="U23" s="180">
        <f t="shared" si="7"/>
        <v>3956100</v>
      </c>
      <c r="V23" s="30"/>
      <c r="W23" s="69" t="s">
        <v>148</v>
      </c>
      <c r="X23" s="69"/>
      <c r="Y23" s="69"/>
      <c r="Z23" s="179"/>
      <c r="AA23" s="179" t="str">
        <f t="shared" si="5"/>
        <v>RE</v>
      </c>
      <c r="AB23" s="179">
        <v>2</v>
      </c>
    </row>
    <row r="24" spans="1:28" ht="94.6" customHeight="1" x14ac:dyDescent="0.25">
      <c r="A24" s="337" t="s">
        <v>259</v>
      </c>
      <c r="B24" s="285" t="s">
        <v>254</v>
      </c>
      <c r="C24" s="12" t="s">
        <v>1634</v>
      </c>
      <c r="D24" s="375" t="s">
        <v>164</v>
      </c>
      <c r="E24" s="375" t="s">
        <v>1209</v>
      </c>
      <c r="F24" s="179" t="s">
        <v>1210</v>
      </c>
      <c r="G24" s="179" t="str">
        <f>+'8. BASE  CONSOLIDADA'!O83</f>
        <v>CAPACITACIÓN</v>
      </c>
      <c r="H24" s="179" t="str">
        <f>+'8. BASE  CONSOLIDADA'!P83</f>
        <v>C3</v>
      </c>
      <c r="I24" s="181">
        <f>+I19</f>
        <v>29531</v>
      </c>
      <c r="J24" s="75">
        <f>29531*0.1</f>
        <v>2953.1000000000004</v>
      </c>
      <c r="K24" s="75">
        <f>29531*0.2</f>
        <v>5906.2000000000007</v>
      </c>
      <c r="L24" s="76">
        <f>3*4300</f>
        <v>12900</v>
      </c>
      <c r="M24" s="791" t="s">
        <v>1211</v>
      </c>
      <c r="N24" s="69" t="s">
        <v>1485</v>
      </c>
      <c r="O24" s="28">
        <f t="shared" si="0"/>
        <v>38094990.000000007</v>
      </c>
      <c r="P24" s="28">
        <f t="shared" si="1"/>
        <v>76189980.000000015</v>
      </c>
      <c r="Q24" s="180">
        <f t="shared" ref="Q24:U24" si="8">+$O$24*0.2</f>
        <v>7618998.0000000019</v>
      </c>
      <c r="R24" s="180">
        <f t="shared" si="8"/>
        <v>7618998.0000000019</v>
      </c>
      <c r="S24" s="180">
        <f t="shared" si="8"/>
        <v>7618998.0000000019</v>
      </c>
      <c r="T24" s="180">
        <f t="shared" si="8"/>
        <v>7618998.0000000019</v>
      </c>
      <c r="U24" s="180">
        <f t="shared" si="8"/>
        <v>7618998.0000000019</v>
      </c>
      <c r="V24" s="30"/>
      <c r="W24" s="69"/>
      <c r="X24" s="69"/>
      <c r="Y24" s="69" t="s">
        <v>148</v>
      </c>
      <c r="Z24" s="179"/>
      <c r="AA24" s="179" t="str">
        <f t="shared" si="5"/>
        <v>RE</v>
      </c>
      <c r="AB24" s="179">
        <v>3</v>
      </c>
    </row>
    <row r="25" spans="1:28" ht="62.35" customHeight="1" x14ac:dyDescent="0.25">
      <c r="A25" s="337" t="s">
        <v>259</v>
      </c>
      <c r="B25" s="285" t="s">
        <v>254</v>
      </c>
      <c r="C25" s="12" t="s">
        <v>1635</v>
      </c>
      <c r="D25" s="786" t="s">
        <v>155</v>
      </c>
      <c r="E25" s="786" t="s">
        <v>1636</v>
      </c>
      <c r="F25" s="179" t="s">
        <v>1488</v>
      </c>
      <c r="G25" s="179" t="str">
        <f>+'8. BASE  CONSOLIDADA'!O84</f>
        <v>ASISTENCIA TÉCNICA</v>
      </c>
      <c r="H25" s="179" t="str">
        <f>+'8. BASE  CONSOLIDADA'!P84</f>
        <v>C1</v>
      </c>
      <c r="I25" s="179">
        <v>324</v>
      </c>
      <c r="J25" s="69">
        <v>324</v>
      </c>
      <c r="K25" s="69">
        <v>324</v>
      </c>
      <c r="L25" s="76">
        <v>560</v>
      </c>
      <c r="M25" s="791" t="s">
        <v>1216</v>
      </c>
      <c r="N25" s="69" t="s">
        <v>1489</v>
      </c>
      <c r="O25" s="28">
        <f t="shared" si="0"/>
        <v>181440</v>
      </c>
      <c r="P25" s="28">
        <f t="shared" si="1"/>
        <v>181440</v>
      </c>
      <c r="Q25" s="180">
        <f t="shared" ref="Q25:U25" si="9">+$O$25*0.2</f>
        <v>36288</v>
      </c>
      <c r="R25" s="180">
        <f t="shared" si="9"/>
        <v>36288</v>
      </c>
      <c r="S25" s="180">
        <f t="shared" si="9"/>
        <v>36288</v>
      </c>
      <c r="T25" s="180">
        <f t="shared" si="9"/>
        <v>36288</v>
      </c>
      <c r="U25" s="180">
        <f t="shared" si="9"/>
        <v>36288</v>
      </c>
      <c r="V25" s="30"/>
      <c r="W25" s="69"/>
      <c r="X25" s="69"/>
      <c r="Y25" s="69" t="s">
        <v>148</v>
      </c>
      <c r="Z25" s="179"/>
      <c r="AA25" s="179" t="str">
        <f t="shared" si="5"/>
        <v>RE</v>
      </c>
      <c r="AB25" s="179">
        <v>3</v>
      </c>
    </row>
    <row r="26" spans="1:28" ht="68.3" customHeight="1" x14ac:dyDescent="0.25">
      <c r="A26" s="295" t="s">
        <v>257</v>
      </c>
      <c r="B26" s="290" t="s">
        <v>254</v>
      </c>
      <c r="C26" s="12" t="s">
        <v>1637</v>
      </c>
      <c r="D26" s="786" t="s">
        <v>160</v>
      </c>
      <c r="E26" s="786" t="s">
        <v>1638</v>
      </c>
      <c r="F26" s="179" t="s">
        <v>1219</v>
      </c>
      <c r="G26" s="179" t="str">
        <f>+'8. BASE  CONSOLIDADA'!O85</f>
        <v>FINANCIAMIENTO</v>
      </c>
      <c r="H26" s="179" t="str">
        <f>+'8. BASE  CONSOLIDADA'!P85</f>
        <v>C6</v>
      </c>
      <c r="I26" s="183">
        <v>324</v>
      </c>
      <c r="J26" s="13">
        <v>324</v>
      </c>
      <c r="K26" s="13">
        <v>324</v>
      </c>
      <c r="L26" s="76">
        <f>3*4300</f>
        <v>12900</v>
      </c>
      <c r="M26" s="788" t="s">
        <v>1639</v>
      </c>
      <c r="N26" s="13" t="s">
        <v>1493</v>
      </c>
      <c r="O26" s="28">
        <f t="shared" si="0"/>
        <v>4179600</v>
      </c>
      <c r="P26" s="28">
        <f t="shared" si="1"/>
        <v>4179600</v>
      </c>
      <c r="Q26" s="28">
        <f t="shared" ref="Q26:U26" si="10">+$O$26*0.2</f>
        <v>835920</v>
      </c>
      <c r="R26" s="28">
        <f t="shared" si="10"/>
        <v>835920</v>
      </c>
      <c r="S26" s="28">
        <f t="shared" si="10"/>
        <v>835920</v>
      </c>
      <c r="T26" s="28">
        <f t="shared" si="10"/>
        <v>835920</v>
      </c>
      <c r="U26" s="28">
        <f t="shared" si="10"/>
        <v>835920</v>
      </c>
      <c r="V26" s="30"/>
      <c r="W26" s="69" t="s">
        <v>148</v>
      </c>
      <c r="X26" s="69"/>
      <c r="Y26" s="69"/>
      <c r="Z26" s="179"/>
      <c r="AA26" s="179" t="str">
        <f t="shared" si="5"/>
        <v>RE</v>
      </c>
      <c r="AB26" s="179">
        <v>3</v>
      </c>
    </row>
    <row r="27" spans="1:28" ht="94.6" customHeight="1" x14ac:dyDescent="0.25">
      <c r="A27" s="295" t="s">
        <v>257</v>
      </c>
      <c r="B27" s="290" t="s">
        <v>254</v>
      </c>
      <c r="C27" s="12" t="s">
        <v>1640</v>
      </c>
      <c r="D27" s="375" t="s">
        <v>163</v>
      </c>
      <c r="E27" s="375" t="s">
        <v>1641</v>
      </c>
      <c r="F27" s="69" t="s">
        <v>1219</v>
      </c>
      <c r="G27" s="179" t="str">
        <f>+'8. BASE  CONSOLIDADA'!O86</f>
        <v>FINANCIAMIENTO</v>
      </c>
      <c r="H27" s="179" t="str">
        <f>+'8. BASE  CONSOLIDADA'!P86</f>
        <v>C6</v>
      </c>
      <c r="I27" s="181">
        <f>+I19</f>
        <v>29531</v>
      </c>
      <c r="J27" s="75">
        <f>+I27*0.3</f>
        <v>8859.2999999999993</v>
      </c>
      <c r="K27" s="75">
        <f>+I27*0.2</f>
        <v>5906.2000000000007</v>
      </c>
      <c r="L27" s="76">
        <f>4300*2.5</f>
        <v>10750</v>
      </c>
      <c r="M27" s="791" t="s">
        <v>1223</v>
      </c>
      <c r="N27" s="69" t="s">
        <v>54</v>
      </c>
      <c r="O27" s="28">
        <f t="shared" si="0"/>
        <v>95237474.999999985</v>
      </c>
      <c r="P27" s="28">
        <f t="shared" si="1"/>
        <v>63491650.000000007</v>
      </c>
      <c r="Q27" s="28">
        <f t="shared" ref="Q27:U27" si="11">+$O$27*0.2</f>
        <v>19047494.999999996</v>
      </c>
      <c r="R27" s="28">
        <f t="shared" si="11"/>
        <v>19047494.999999996</v>
      </c>
      <c r="S27" s="28">
        <f t="shared" si="11"/>
        <v>19047494.999999996</v>
      </c>
      <c r="T27" s="28">
        <f t="shared" si="11"/>
        <v>19047494.999999996</v>
      </c>
      <c r="U27" s="28">
        <f t="shared" si="11"/>
        <v>19047494.999999996</v>
      </c>
      <c r="V27" s="30"/>
      <c r="W27" s="69" t="s">
        <v>148</v>
      </c>
      <c r="X27" s="69"/>
      <c r="Y27" s="69"/>
      <c r="Z27" s="179"/>
      <c r="AA27" s="179" t="str">
        <f t="shared" si="5"/>
        <v>RE</v>
      </c>
      <c r="AB27" s="179">
        <v>3</v>
      </c>
    </row>
    <row r="28" spans="1:28" ht="102.75" customHeight="1" x14ac:dyDescent="0.25">
      <c r="A28" s="333" t="s">
        <v>260</v>
      </c>
      <c r="B28" s="284" t="s">
        <v>254</v>
      </c>
      <c r="C28" s="12" t="s">
        <v>1642</v>
      </c>
      <c r="D28" s="373" t="s">
        <v>167</v>
      </c>
      <c r="E28" s="373" t="s">
        <v>1226</v>
      </c>
      <c r="F28" s="415" t="s">
        <v>1227</v>
      </c>
      <c r="G28" s="179" t="str">
        <f>+'8. BASE  CONSOLIDADA'!O87</f>
        <v>INFRAESTRUCTURA</v>
      </c>
      <c r="H28" s="179" t="str">
        <f>+'8. BASE  CONSOLIDADA'!P87</f>
        <v>C7</v>
      </c>
      <c r="I28" s="179">
        <v>47</v>
      </c>
      <c r="J28" s="182">
        <f t="shared" ref="J28:J29" si="12">+I28*0.4</f>
        <v>18.8</v>
      </c>
      <c r="K28" s="182">
        <f>+J28*0.6</f>
        <v>11.28</v>
      </c>
      <c r="L28" s="180">
        <v>800000</v>
      </c>
      <c r="M28" s="791" t="s">
        <v>1228</v>
      </c>
      <c r="N28" s="69" t="s">
        <v>1229</v>
      </c>
      <c r="O28" s="28">
        <f t="shared" si="0"/>
        <v>15040000</v>
      </c>
      <c r="P28" s="28">
        <f t="shared" si="1"/>
        <v>9024000</v>
      </c>
      <c r="Q28" s="28">
        <f t="shared" ref="Q28:U28" si="13">+$O$28*0.2</f>
        <v>3008000</v>
      </c>
      <c r="R28" s="28">
        <f t="shared" si="13"/>
        <v>3008000</v>
      </c>
      <c r="S28" s="28">
        <f t="shared" si="13"/>
        <v>3008000</v>
      </c>
      <c r="T28" s="28">
        <f t="shared" si="13"/>
        <v>3008000</v>
      </c>
      <c r="U28" s="28">
        <f t="shared" si="13"/>
        <v>3008000</v>
      </c>
      <c r="V28" s="30"/>
      <c r="W28" s="69" t="s">
        <v>148</v>
      </c>
      <c r="X28" s="69"/>
      <c r="Y28" s="69"/>
      <c r="Z28" s="179"/>
      <c r="AA28" s="179" t="str">
        <f t="shared" si="5"/>
        <v>RE</v>
      </c>
      <c r="AB28" s="179">
        <v>3</v>
      </c>
    </row>
    <row r="29" spans="1:28" ht="68.95" customHeight="1" x14ac:dyDescent="0.25">
      <c r="A29" s="333" t="s">
        <v>260</v>
      </c>
      <c r="B29" s="284" t="s">
        <v>254</v>
      </c>
      <c r="C29" s="12" t="s">
        <v>1643</v>
      </c>
      <c r="D29" s="786" t="s">
        <v>159</v>
      </c>
      <c r="E29" s="786" t="s">
        <v>1231</v>
      </c>
      <c r="F29" s="69" t="s">
        <v>1040</v>
      </c>
      <c r="G29" s="179" t="str">
        <f>+'8. BASE  CONSOLIDADA'!O88</f>
        <v>CAPACITACIÓN</v>
      </c>
      <c r="H29" s="179" t="str">
        <f>+'8. BASE  CONSOLIDADA'!P88</f>
        <v>C3</v>
      </c>
      <c r="I29" s="69">
        <v>47</v>
      </c>
      <c r="J29" s="182">
        <f t="shared" si="12"/>
        <v>18.8</v>
      </c>
      <c r="K29" s="182">
        <f>+I29*0.3</f>
        <v>14.1</v>
      </c>
      <c r="L29" s="180">
        <v>50000</v>
      </c>
      <c r="M29" s="791" t="s">
        <v>1232</v>
      </c>
      <c r="N29" s="69" t="s">
        <v>1038</v>
      </c>
      <c r="O29" s="180">
        <f t="shared" si="0"/>
        <v>940000</v>
      </c>
      <c r="P29" s="180">
        <f>+K29*L29</f>
        <v>705000</v>
      </c>
      <c r="Q29" s="180">
        <f t="shared" ref="Q29:U29" si="14">+$O$29*0.2</f>
        <v>188000</v>
      </c>
      <c r="R29" s="180">
        <f t="shared" si="14"/>
        <v>188000</v>
      </c>
      <c r="S29" s="180">
        <f t="shared" si="14"/>
        <v>188000</v>
      </c>
      <c r="T29" s="180">
        <f t="shared" si="14"/>
        <v>188000</v>
      </c>
      <c r="U29" s="180">
        <f t="shared" si="14"/>
        <v>188000</v>
      </c>
      <c r="V29" s="13"/>
      <c r="W29" s="69"/>
      <c r="X29" s="69"/>
      <c r="Y29" s="69" t="s">
        <v>148</v>
      </c>
      <c r="Z29" s="179"/>
      <c r="AA29" s="179" t="str">
        <f t="shared" si="5"/>
        <v>RE</v>
      </c>
      <c r="AB29" s="179">
        <v>3</v>
      </c>
    </row>
    <row r="30" spans="1:28" ht="113.3" customHeight="1" x14ac:dyDescent="0.25">
      <c r="A30" s="337" t="s">
        <v>259</v>
      </c>
      <c r="B30" s="285"/>
      <c r="C30" s="12" t="s">
        <v>1644</v>
      </c>
      <c r="D30" s="375" t="s">
        <v>165</v>
      </c>
      <c r="E30" s="375" t="s">
        <v>1234</v>
      </c>
      <c r="F30" s="183" t="s">
        <v>1235</v>
      </c>
      <c r="G30" s="179" t="str">
        <f>+'8. BASE  CONSOLIDADA'!O89</f>
        <v>ASOCIATIVIDAD</v>
      </c>
      <c r="H30" s="179" t="str">
        <f>+'8. BASE  CONSOLIDADA'!P89</f>
        <v>C2</v>
      </c>
      <c r="I30" s="179">
        <v>47</v>
      </c>
      <c r="J30" s="182">
        <f>47*0.3</f>
        <v>14.1</v>
      </c>
      <c r="K30" s="182">
        <f>47*0.6</f>
        <v>28.2</v>
      </c>
      <c r="L30" s="28">
        <v>120000</v>
      </c>
      <c r="M30" s="788" t="s">
        <v>1236</v>
      </c>
      <c r="N30" s="13" t="s">
        <v>1237</v>
      </c>
      <c r="O30" s="28">
        <f>+J30*L30*5</f>
        <v>8460000</v>
      </c>
      <c r="P30" s="28">
        <f>+K30*L30*5</f>
        <v>16920000</v>
      </c>
      <c r="Q30" s="28">
        <f t="shared" ref="Q30:U30" si="15">+$O$30*0.2</f>
        <v>1692000</v>
      </c>
      <c r="R30" s="28">
        <f t="shared" si="15"/>
        <v>1692000</v>
      </c>
      <c r="S30" s="28">
        <f t="shared" si="15"/>
        <v>1692000</v>
      </c>
      <c r="T30" s="28">
        <f t="shared" si="15"/>
        <v>1692000</v>
      </c>
      <c r="U30" s="28">
        <f t="shared" si="15"/>
        <v>1692000</v>
      </c>
      <c r="V30" s="33"/>
      <c r="W30" s="69"/>
      <c r="X30" s="69"/>
      <c r="Y30" s="69" t="s">
        <v>148</v>
      </c>
      <c r="Z30" s="179"/>
      <c r="AA30" s="179"/>
      <c r="AB30" s="179">
        <v>3</v>
      </c>
    </row>
    <row r="31" spans="1:28" ht="70.5" customHeight="1" x14ac:dyDescent="0.25">
      <c r="A31" s="333" t="s">
        <v>260</v>
      </c>
      <c r="B31" s="284"/>
      <c r="C31" s="12" t="s">
        <v>1645</v>
      </c>
      <c r="D31" s="373" t="s">
        <v>156</v>
      </c>
      <c r="E31" s="373" t="s">
        <v>1239</v>
      </c>
      <c r="F31" s="13" t="s">
        <v>1240</v>
      </c>
      <c r="G31" s="179" t="str">
        <f>+'8. BASE  CONSOLIDADA'!O90</f>
        <v>MERCADO</v>
      </c>
      <c r="H31" s="179" t="str">
        <f>+'8. BASE  CONSOLIDADA'!P90</f>
        <v>C9</v>
      </c>
      <c r="I31" s="14">
        <v>47</v>
      </c>
      <c r="J31" s="14">
        <f>+I31*0.3</f>
        <v>14.1</v>
      </c>
      <c r="K31" s="14">
        <f>+I31*0.4</f>
        <v>18.8</v>
      </c>
      <c r="L31" s="26">
        <v>40000</v>
      </c>
      <c r="M31" s="788" t="s">
        <v>1241</v>
      </c>
      <c r="N31" s="13" t="s">
        <v>1242</v>
      </c>
      <c r="O31" s="28">
        <f>+J31*L31*5</f>
        <v>2820000</v>
      </c>
      <c r="P31" s="28">
        <f>+K31*L31*5</f>
        <v>3760000</v>
      </c>
      <c r="Q31" s="254">
        <f t="shared" ref="Q31:U31" si="16">+$O$31*0.2</f>
        <v>564000</v>
      </c>
      <c r="R31" s="254">
        <f t="shared" si="16"/>
        <v>564000</v>
      </c>
      <c r="S31" s="254">
        <f t="shared" si="16"/>
        <v>564000</v>
      </c>
      <c r="T31" s="254">
        <f t="shared" si="16"/>
        <v>564000</v>
      </c>
      <c r="U31" s="254">
        <f t="shared" si="16"/>
        <v>564000</v>
      </c>
      <c r="V31" s="13"/>
      <c r="W31" s="69"/>
      <c r="X31" s="69"/>
      <c r="Y31" s="69" t="s">
        <v>148</v>
      </c>
      <c r="Z31" s="179"/>
      <c r="AA31" s="179"/>
      <c r="AB31" s="179">
        <v>3</v>
      </c>
    </row>
    <row r="32" spans="1:28" ht="70.5" customHeight="1" x14ac:dyDescent="0.25">
      <c r="A32" s="335" t="s">
        <v>256</v>
      </c>
      <c r="B32" s="286"/>
      <c r="C32" s="12" t="s">
        <v>1646</v>
      </c>
      <c r="D32" s="375" t="s">
        <v>168</v>
      </c>
      <c r="E32" s="375" t="s">
        <v>1244</v>
      </c>
      <c r="F32" s="191" t="s">
        <v>1245</v>
      </c>
      <c r="G32" s="416" t="str">
        <f>+'8. BASE  CONSOLIDADA'!O91</f>
        <v>SERVICIOS ECOSISTÉMICOS</v>
      </c>
      <c r="H32" s="416" t="str">
        <f>+'8. BASE  CONSOLIDADA'!P91</f>
        <v>C15</v>
      </c>
      <c r="I32" s="185"/>
      <c r="J32" s="14">
        <f t="shared" ref="J32:K32" si="17">(5*2)*5</f>
        <v>50</v>
      </c>
      <c r="K32" s="14">
        <f t="shared" si="17"/>
        <v>50</v>
      </c>
      <c r="L32" s="26">
        <v>10000</v>
      </c>
      <c r="M32" s="788" t="s">
        <v>1246</v>
      </c>
      <c r="N32" s="13" t="s">
        <v>1247</v>
      </c>
      <c r="O32" s="28">
        <f>+J32*L32</f>
        <v>500000</v>
      </c>
      <c r="P32" s="28">
        <f>+K32*L32</f>
        <v>500000</v>
      </c>
      <c r="Q32" s="254">
        <f t="shared" ref="Q32:U32" si="18">+$O$32*0.2</f>
        <v>100000</v>
      </c>
      <c r="R32" s="254">
        <f t="shared" si="18"/>
        <v>100000</v>
      </c>
      <c r="S32" s="254">
        <f t="shared" si="18"/>
        <v>100000</v>
      </c>
      <c r="T32" s="254">
        <f t="shared" si="18"/>
        <v>100000</v>
      </c>
      <c r="U32" s="254">
        <f t="shared" si="18"/>
        <v>100000</v>
      </c>
      <c r="V32" s="13"/>
      <c r="W32" s="13" t="s">
        <v>148</v>
      </c>
      <c r="X32" s="13"/>
      <c r="Y32" s="13"/>
      <c r="Z32" s="183"/>
      <c r="AA32" s="179"/>
      <c r="AB32" s="183">
        <v>2</v>
      </c>
    </row>
    <row r="33" spans="1:28" ht="20.25" customHeight="1" x14ac:dyDescent="0.25">
      <c r="A33" s="825"/>
      <c r="B33" s="16"/>
      <c r="C33" s="1"/>
      <c r="D33" s="1"/>
      <c r="E33" s="1"/>
      <c r="F33" s="1"/>
      <c r="G33" s="1"/>
      <c r="H33" s="1"/>
      <c r="I33" s="1"/>
      <c r="J33" s="1"/>
      <c r="K33" s="1"/>
      <c r="L33" s="22"/>
      <c r="M33" s="262"/>
      <c r="N33" s="1"/>
      <c r="O33" s="29">
        <f>SUM(O18:O32)</f>
        <v>296337435.08262587</v>
      </c>
      <c r="P33" s="29">
        <f t="shared" ref="P33:U33" si="19">SUM(P18:P32)</f>
        <v>334176928.08262593</v>
      </c>
      <c r="Q33" s="29">
        <f t="shared" si="19"/>
        <v>57226423.108262584</v>
      </c>
      <c r="R33" s="29">
        <f t="shared" si="19"/>
        <v>58246955.062393889</v>
      </c>
      <c r="S33" s="29">
        <f t="shared" si="19"/>
        <v>59267487.016525179</v>
      </c>
      <c r="T33" s="29">
        <f t="shared" si="19"/>
        <v>61308550.924787775</v>
      </c>
      <c r="U33" s="29">
        <f t="shared" si="19"/>
        <v>60288018.970656469</v>
      </c>
      <c r="V33" s="1"/>
      <c r="W33" s="1"/>
      <c r="X33" s="1"/>
      <c r="Y33" s="1"/>
      <c r="Z33" s="1"/>
      <c r="AA33" s="1"/>
      <c r="AB33" s="1"/>
    </row>
    <row r="34" spans="1:28" s="243" customFormat="1" ht="20.25" customHeight="1" x14ac:dyDescent="0.25">
      <c r="A34" s="825"/>
      <c r="B34" s="16"/>
      <c r="C34" s="1"/>
      <c r="D34" s="1"/>
      <c r="E34" s="1"/>
      <c r="F34" s="1"/>
      <c r="G34" s="1"/>
      <c r="H34" s="1"/>
      <c r="I34" s="1"/>
      <c r="J34" s="1"/>
      <c r="K34" s="1"/>
      <c r="L34" s="22"/>
      <c r="M34" s="262"/>
      <c r="N34" s="1"/>
      <c r="O34" s="1"/>
      <c r="P34" s="1"/>
      <c r="Q34" s="1"/>
      <c r="R34" s="1"/>
      <c r="S34" s="1"/>
      <c r="T34" s="1"/>
      <c r="U34" s="1"/>
      <c r="V34" s="1"/>
      <c r="W34" s="1"/>
      <c r="X34" s="1"/>
      <c r="Y34" s="1"/>
      <c r="Z34" s="1"/>
      <c r="AA34" s="1"/>
      <c r="AB34" s="1"/>
    </row>
    <row r="35" spans="1:28" ht="11.25" customHeight="1" x14ac:dyDescent="0.25">
      <c r="A35" s="825"/>
      <c r="B35" s="16"/>
      <c r="C35" s="1"/>
      <c r="D35" s="1"/>
      <c r="E35" s="1"/>
      <c r="F35" s="1"/>
      <c r="G35" s="1"/>
      <c r="H35" s="1"/>
      <c r="I35" s="1"/>
      <c r="J35" s="1"/>
      <c r="K35" s="1"/>
      <c r="L35" s="22"/>
      <c r="M35" s="262"/>
      <c r="N35" s="1"/>
      <c r="O35" s="1"/>
      <c r="P35" s="1"/>
      <c r="Q35" s="1"/>
      <c r="R35" s="1"/>
      <c r="S35" s="1"/>
      <c r="T35" s="1"/>
      <c r="U35" s="1"/>
      <c r="V35" s="1"/>
      <c r="W35" s="1"/>
      <c r="X35" s="1"/>
      <c r="Y35" s="1"/>
      <c r="Z35" s="1"/>
      <c r="AA35" s="1"/>
      <c r="AB35" s="1"/>
    </row>
    <row r="36" spans="1:28" ht="15.8" customHeight="1" x14ac:dyDescent="0.25">
      <c r="A36" s="825"/>
      <c r="B36" s="16"/>
      <c r="C36" s="1459" t="s">
        <v>1170</v>
      </c>
      <c r="D36" s="1405"/>
      <c r="E36" s="1406"/>
      <c r="F36" s="816" t="s">
        <v>125</v>
      </c>
      <c r="G36" s="809"/>
      <c r="H36" s="809"/>
      <c r="I36" s="809"/>
      <c r="J36" s="809"/>
      <c r="K36" s="809"/>
      <c r="L36" s="809"/>
      <c r="M36" s="936"/>
      <c r="N36" s="809"/>
      <c r="O36" s="809"/>
      <c r="P36" s="809"/>
      <c r="Q36" s="809"/>
      <c r="R36" s="809"/>
      <c r="S36" s="809"/>
      <c r="T36" s="809"/>
      <c r="U36" s="809"/>
      <c r="V36" s="809"/>
      <c r="W36" s="809"/>
      <c r="X36" s="809"/>
      <c r="Y36" s="809"/>
      <c r="Z36" s="809"/>
      <c r="AA36" s="809"/>
      <c r="AB36" s="810"/>
    </row>
    <row r="37" spans="1:28" ht="46.55" customHeight="1" x14ac:dyDescent="0.25">
      <c r="A37" s="825"/>
      <c r="B37" s="16"/>
      <c r="C37" s="1459" t="s">
        <v>1171</v>
      </c>
      <c r="D37" s="1405"/>
      <c r="E37" s="1406"/>
      <c r="F37" s="1445" t="s">
        <v>1647</v>
      </c>
      <c r="G37" s="1446"/>
      <c r="H37" s="1446"/>
      <c r="I37" s="1446"/>
      <c r="J37" s="1446"/>
      <c r="K37" s="1446"/>
      <c r="L37" s="1446"/>
      <c r="M37" s="1446"/>
      <c r="N37" s="1446"/>
      <c r="O37" s="1446"/>
      <c r="P37" s="1446"/>
      <c r="Q37" s="1446"/>
      <c r="R37" s="1446"/>
      <c r="S37" s="1446"/>
      <c r="T37" s="1446"/>
      <c r="U37" s="1446"/>
      <c r="V37" s="1446"/>
      <c r="W37" s="1446"/>
      <c r="X37" s="1446"/>
      <c r="Y37" s="1446"/>
      <c r="Z37" s="1446"/>
      <c r="AA37" s="1446"/>
      <c r="AB37" s="1447"/>
    </row>
    <row r="38" spans="1:28" ht="13.6" customHeight="1" x14ac:dyDescent="0.25">
      <c r="A38" s="825"/>
      <c r="B38" s="16"/>
      <c r="C38" s="1459" t="s">
        <v>1173</v>
      </c>
      <c r="D38" s="1405"/>
      <c r="E38" s="1406"/>
      <c r="F38" s="1445" t="s">
        <v>1249</v>
      </c>
      <c r="G38" s="1446"/>
      <c r="H38" s="1446"/>
      <c r="I38" s="1446"/>
      <c r="J38" s="1446"/>
      <c r="K38" s="1446"/>
      <c r="L38" s="1446"/>
      <c r="M38" s="1446"/>
      <c r="N38" s="1446"/>
      <c r="O38" s="1446"/>
      <c r="P38" s="1446"/>
      <c r="Q38" s="1446"/>
      <c r="R38" s="1446"/>
      <c r="S38" s="1446"/>
      <c r="T38" s="1446"/>
      <c r="U38" s="1446"/>
      <c r="V38" s="1446"/>
      <c r="W38" s="1446"/>
      <c r="X38" s="1446"/>
      <c r="Y38" s="1446"/>
      <c r="Z38" s="1446"/>
      <c r="AA38" s="1446"/>
      <c r="AB38" s="1447"/>
    </row>
    <row r="39" spans="1:28" ht="40.6" customHeight="1" x14ac:dyDescent="0.25">
      <c r="A39" s="825"/>
      <c r="B39" s="16"/>
      <c r="C39" s="1459" t="s">
        <v>1175</v>
      </c>
      <c r="D39" s="1405"/>
      <c r="E39" s="1406"/>
      <c r="F39" s="1445" t="s">
        <v>1250</v>
      </c>
      <c r="G39" s="1446"/>
      <c r="H39" s="1446"/>
      <c r="I39" s="1446"/>
      <c r="J39" s="1446"/>
      <c r="K39" s="1446"/>
      <c r="L39" s="1446"/>
      <c r="M39" s="1446"/>
      <c r="N39" s="1446"/>
      <c r="O39" s="1446"/>
      <c r="P39" s="1446"/>
      <c r="Q39" s="1446"/>
      <c r="R39" s="1446"/>
      <c r="S39" s="1446"/>
      <c r="T39" s="1446"/>
      <c r="U39" s="1446"/>
      <c r="V39" s="1446"/>
      <c r="W39" s="1446"/>
      <c r="X39" s="1446"/>
      <c r="Y39" s="1446"/>
      <c r="Z39" s="1446"/>
      <c r="AA39" s="1446"/>
      <c r="AB39" s="1447"/>
    </row>
    <row r="40" spans="1:28" ht="35.35" customHeight="1" x14ac:dyDescent="0.25">
      <c r="A40" s="825"/>
      <c r="B40" s="16"/>
      <c r="C40" s="1444" t="s">
        <v>142</v>
      </c>
      <c r="D40" s="1405"/>
      <c r="E40" s="1406"/>
      <c r="F40" s="1445" t="s">
        <v>1648</v>
      </c>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7"/>
    </row>
    <row r="41" spans="1:28" ht="63.7" customHeight="1" x14ac:dyDescent="0.25">
      <c r="A41" s="825"/>
      <c r="B41" s="16"/>
      <c r="C41" s="1444" t="s">
        <v>1178</v>
      </c>
      <c r="D41" s="1405"/>
      <c r="E41" s="1406"/>
      <c r="F41" s="1445" t="s">
        <v>1524</v>
      </c>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7"/>
    </row>
    <row r="42" spans="1:28" ht="23.3" customHeight="1" x14ac:dyDescent="0.25">
      <c r="A42" s="825"/>
      <c r="B42" s="16"/>
      <c r="C42" s="1418" t="s">
        <v>964</v>
      </c>
      <c r="D42" s="1418" t="s">
        <v>965</v>
      </c>
      <c r="E42" s="1418" t="s">
        <v>468</v>
      </c>
      <c r="F42" s="1418" t="s">
        <v>470</v>
      </c>
      <c r="G42" s="1452" t="s">
        <v>966</v>
      </c>
      <c r="H42" s="1452" t="s">
        <v>967</v>
      </c>
      <c r="I42" s="1452" t="s">
        <v>1180</v>
      </c>
      <c r="J42" s="1452" t="s">
        <v>968</v>
      </c>
      <c r="K42" s="1452" t="s">
        <v>969</v>
      </c>
      <c r="L42" s="1453" t="s">
        <v>970</v>
      </c>
      <c r="M42" s="1453" t="s">
        <v>971</v>
      </c>
      <c r="N42" s="1453" t="s">
        <v>972</v>
      </c>
      <c r="O42" s="1456" t="s">
        <v>973</v>
      </c>
      <c r="P42" s="1457"/>
      <c r="Q42" s="1456" t="s">
        <v>974</v>
      </c>
      <c r="R42" s="1458"/>
      <c r="S42" s="1458"/>
      <c r="T42" s="1458"/>
      <c r="U42" s="1457"/>
      <c r="V42" s="1452" t="s">
        <v>975</v>
      </c>
      <c r="W42" s="1465" t="s">
        <v>976</v>
      </c>
      <c r="X42" s="1405"/>
      <c r="Y42" s="1405"/>
      <c r="Z42" s="1406"/>
      <c r="AA42" s="808"/>
      <c r="AB42" s="1452" t="s">
        <v>977</v>
      </c>
    </row>
    <row r="43" spans="1:28" ht="65.25" customHeight="1" x14ac:dyDescent="0.25">
      <c r="A43" s="825"/>
      <c r="B43" s="16"/>
      <c r="C43" s="1420"/>
      <c r="D43" s="1420"/>
      <c r="E43" s="1420"/>
      <c r="F43" s="1449"/>
      <c r="G43" s="1449"/>
      <c r="H43" s="1449"/>
      <c r="I43" s="1449"/>
      <c r="J43" s="1449"/>
      <c r="K43" s="1449"/>
      <c r="L43" s="1454"/>
      <c r="M43" s="1455"/>
      <c r="N43" s="1454"/>
      <c r="O43" s="940" t="s">
        <v>978</v>
      </c>
      <c r="P43" s="940" t="s">
        <v>979</v>
      </c>
      <c r="Q43" s="940" t="s">
        <v>980</v>
      </c>
      <c r="R43" s="940" t="s">
        <v>981</v>
      </c>
      <c r="S43" s="940" t="s">
        <v>982</v>
      </c>
      <c r="T43" s="940" t="s">
        <v>983</v>
      </c>
      <c r="U43" s="940" t="s">
        <v>984</v>
      </c>
      <c r="V43" s="1449"/>
      <c r="W43" s="808" t="s">
        <v>985</v>
      </c>
      <c r="X43" s="808" t="s">
        <v>986</v>
      </c>
      <c r="Y43" s="808" t="s">
        <v>987</v>
      </c>
      <c r="Z43" s="808" t="s">
        <v>988</v>
      </c>
      <c r="AA43" s="808"/>
      <c r="AB43" s="1449"/>
    </row>
    <row r="44" spans="1:28" s="356" customFormat="1" ht="178.5" customHeight="1" x14ac:dyDescent="0.25">
      <c r="A44" s="334" t="s">
        <v>258</v>
      </c>
      <c r="B44" s="291" t="s">
        <v>254</v>
      </c>
      <c r="C44" s="12" t="s">
        <v>1649</v>
      </c>
      <c r="D44" s="786" t="s">
        <v>170</v>
      </c>
      <c r="E44" s="373" t="s">
        <v>1182</v>
      </c>
      <c r="F44" s="13" t="s">
        <v>1183</v>
      </c>
      <c r="G44" s="183" t="str">
        <f>+'8. BASE  CONSOLIDADA'!O92</f>
        <v>DERECHOS SOBRE LA TIERRA</v>
      </c>
      <c r="H44" s="183" t="str">
        <f>+'8. BASE  CONSOLIDADA'!P92</f>
        <v>C5</v>
      </c>
      <c r="I44" s="14">
        <f>12658.1336155174/10</f>
        <v>1265.8133615517399</v>
      </c>
      <c r="J44" s="14">
        <f>+I44*0.5</f>
        <v>632.90668077586997</v>
      </c>
      <c r="K44" s="14">
        <f>+I44*0.5</f>
        <v>632.90668077586997</v>
      </c>
      <c r="L44" s="26">
        <v>2000</v>
      </c>
      <c r="M44" s="788" t="s">
        <v>1184</v>
      </c>
      <c r="N44" s="13" t="s">
        <v>1185</v>
      </c>
      <c r="O44" s="26">
        <f>+J44*L44</f>
        <v>1265813.36155174</v>
      </c>
      <c r="P44" s="26">
        <f>+K44*L44</f>
        <v>1265813.36155174</v>
      </c>
      <c r="Q44" s="26">
        <f>$O$44*0.1</f>
        <v>126581.33615517401</v>
      </c>
      <c r="R44" s="26">
        <f>+$O$44*0.15</f>
        <v>189872.00423276098</v>
      </c>
      <c r="S44" s="26">
        <f>+$O$44*0.2</f>
        <v>253162.67231034802</v>
      </c>
      <c r="T44" s="26">
        <f>+$O$44*0.3</f>
        <v>379744.00846552197</v>
      </c>
      <c r="U44" s="26">
        <f>+$O$44*0.25</f>
        <v>316453.34038793499</v>
      </c>
      <c r="V44" s="13"/>
      <c r="W44" s="13"/>
      <c r="X44" s="13"/>
      <c r="Y44" s="13" t="s">
        <v>148</v>
      </c>
      <c r="Z44" s="13"/>
      <c r="AA44" s="13" t="str">
        <f>+B44</f>
        <v>RE</v>
      </c>
      <c r="AB44" s="13">
        <v>3</v>
      </c>
    </row>
    <row r="45" spans="1:28" ht="42.8" customHeight="1" x14ac:dyDescent="0.25">
      <c r="A45" s="337" t="s">
        <v>259</v>
      </c>
      <c r="B45" s="285" t="s">
        <v>254</v>
      </c>
      <c r="C45" s="12" t="s">
        <v>1650</v>
      </c>
      <c r="D45" s="786" t="s">
        <v>169</v>
      </c>
      <c r="E45" s="786" t="s">
        <v>1651</v>
      </c>
      <c r="F45" s="183" t="s">
        <v>1255</v>
      </c>
      <c r="G45" s="183" t="str">
        <f>+'8. BASE  CONSOLIDADA'!O93</f>
        <v>TECNOLOGÍA</v>
      </c>
      <c r="H45" s="183" t="str">
        <f>+'8. BASE  CONSOLIDADA'!P93</f>
        <v>C17</v>
      </c>
      <c r="I45" s="14">
        <v>10</v>
      </c>
      <c r="J45" s="14">
        <f t="shared" ref="J45:J46" si="20">+I45*0.5</f>
        <v>5</v>
      </c>
      <c r="K45" s="14">
        <f>+I45*0.5</f>
        <v>5</v>
      </c>
      <c r="L45" s="26">
        <v>15000</v>
      </c>
      <c r="M45" s="788" t="s">
        <v>1652</v>
      </c>
      <c r="N45" s="13" t="s">
        <v>1190</v>
      </c>
      <c r="O45" s="26">
        <f t="shared" ref="O45:O48" si="21">+J45*L45</f>
        <v>75000</v>
      </c>
      <c r="P45" s="26">
        <f t="shared" ref="P45:P48" si="22">+K45*L45</f>
        <v>75000</v>
      </c>
      <c r="Q45" s="28">
        <f t="shared" ref="Q45:U45" si="23">+$O$45*0.2</f>
        <v>15000</v>
      </c>
      <c r="R45" s="28">
        <f t="shared" si="23"/>
        <v>15000</v>
      </c>
      <c r="S45" s="28">
        <f t="shared" si="23"/>
        <v>15000</v>
      </c>
      <c r="T45" s="28">
        <f t="shared" si="23"/>
        <v>15000</v>
      </c>
      <c r="U45" s="28">
        <f t="shared" si="23"/>
        <v>15000</v>
      </c>
      <c r="V45" s="30"/>
      <c r="W45" s="183"/>
      <c r="X45" s="183" t="s">
        <v>148</v>
      </c>
      <c r="Y45" s="183"/>
      <c r="Z45" s="183"/>
      <c r="AA45" s="183" t="str">
        <f t="shared" ref="AA45:AA48" si="24">+B45</f>
        <v>RE</v>
      </c>
      <c r="AB45" s="183">
        <v>3</v>
      </c>
    </row>
    <row r="46" spans="1:28" ht="104.3" customHeight="1" x14ac:dyDescent="0.25">
      <c r="A46" s="337" t="s">
        <v>259</v>
      </c>
      <c r="B46" s="285" t="s">
        <v>254</v>
      </c>
      <c r="C46" s="12" t="s">
        <v>1653</v>
      </c>
      <c r="D46" s="786" t="s">
        <v>279</v>
      </c>
      <c r="E46" s="375" t="s">
        <v>1654</v>
      </c>
      <c r="F46" s="179" t="s">
        <v>1188</v>
      </c>
      <c r="G46" s="183" t="str">
        <f>+'8. BASE  CONSOLIDADA'!O94</f>
        <v>CAPACITACIÓN</v>
      </c>
      <c r="H46" s="183" t="str">
        <f>+'8. BASE  CONSOLIDADA'!P94</f>
        <v>C3</v>
      </c>
      <c r="I46" s="14">
        <v>3741</v>
      </c>
      <c r="J46" s="14">
        <f t="shared" si="20"/>
        <v>1870.5</v>
      </c>
      <c r="K46" s="14">
        <f>+I46*0.3</f>
        <v>1122.3</v>
      </c>
      <c r="L46" s="76">
        <v>560</v>
      </c>
      <c r="M46" s="791" t="s">
        <v>1259</v>
      </c>
      <c r="N46" s="69" t="s">
        <v>1190</v>
      </c>
      <c r="O46" s="26">
        <f t="shared" si="21"/>
        <v>1047480</v>
      </c>
      <c r="P46" s="26">
        <f t="shared" si="22"/>
        <v>628488</v>
      </c>
      <c r="Q46" s="28">
        <f t="shared" ref="Q46:U46" si="25">+$O$46*0.2</f>
        <v>209496</v>
      </c>
      <c r="R46" s="28">
        <f t="shared" si="25"/>
        <v>209496</v>
      </c>
      <c r="S46" s="28">
        <f t="shared" si="25"/>
        <v>209496</v>
      </c>
      <c r="T46" s="28">
        <f t="shared" si="25"/>
        <v>209496</v>
      </c>
      <c r="U46" s="28">
        <f t="shared" si="25"/>
        <v>209496</v>
      </c>
      <c r="V46" s="30"/>
      <c r="W46" s="183"/>
      <c r="X46" s="183"/>
      <c r="Y46" s="183" t="s">
        <v>148</v>
      </c>
      <c r="Z46" s="183"/>
      <c r="AA46" s="183" t="str">
        <f t="shared" si="24"/>
        <v>RE</v>
      </c>
      <c r="AB46" s="183">
        <v>2</v>
      </c>
    </row>
    <row r="47" spans="1:28" ht="75.099999999999994" customHeight="1" x14ac:dyDescent="0.25">
      <c r="A47" s="333" t="s">
        <v>260</v>
      </c>
      <c r="B47" s="284" t="s">
        <v>254</v>
      </c>
      <c r="C47" s="12" t="s">
        <v>1655</v>
      </c>
      <c r="D47" s="786" t="s">
        <v>166</v>
      </c>
      <c r="E47" s="375" t="s">
        <v>1656</v>
      </c>
      <c r="F47" s="179" t="s">
        <v>1262</v>
      </c>
      <c r="G47" s="183" t="str">
        <f>+'8. BASE  CONSOLIDADA'!O95</f>
        <v>RECONVERSIÓN</v>
      </c>
      <c r="H47" s="183" t="str">
        <f>+'8. BASE  CONSOLIDADA'!P95</f>
        <v>C12</v>
      </c>
      <c r="I47" s="14">
        <f>19021*0.2</f>
        <v>3804.2000000000003</v>
      </c>
      <c r="J47" s="14">
        <f>+I47*0.1</f>
        <v>380.42000000000007</v>
      </c>
      <c r="K47" s="14">
        <f>+I47*0.1</f>
        <v>380.42000000000007</v>
      </c>
      <c r="L47" s="76">
        <v>15000</v>
      </c>
      <c r="M47" s="791" t="s">
        <v>1263</v>
      </c>
      <c r="N47" s="69" t="s">
        <v>1207</v>
      </c>
      <c r="O47" s="26">
        <f t="shared" si="21"/>
        <v>5706300.0000000009</v>
      </c>
      <c r="P47" s="26">
        <f t="shared" si="22"/>
        <v>5706300.0000000009</v>
      </c>
      <c r="Q47" s="28">
        <f t="shared" ref="Q47:U47" si="26">+$O$47*0.2</f>
        <v>1141260.0000000002</v>
      </c>
      <c r="R47" s="28">
        <f t="shared" si="26"/>
        <v>1141260.0000000002</v>
      </c>
      <c r="S47" s="28">
        <f t="shared" si="26"/>
        <v>1141260.0000000002</v>
      </c>
      <c r="T47" s="28">
        <f t="shared" si="26"/>
        <v>1141260.0000000002</v>
      </c>
      <c r="U47" s="28">
        <f t="shared" si="26"/>
        <v>1141260.0000000002</v>
      </c>
      <c r="V47" s="10"/>
      <c r="W47" s="183"/>
      <c r="X47" s="183"/>
      <c r="Y47" s="183" t="s">
        <v>148</v>
      </c>
      <c r="Z47" s="183"/>
      <c r="AA47" s="183" t="str">
        <f t="shared" si="24"/>
        <v>RE</v>
      </c>
      <c r="AB47" s="183">
        <v>3</v>
      </c>
    </row>
    <row r="48" spans="1:28" ht="134.35" customHeight="1" x14ac:dyDescent="0.25">
      <c r="A48" s="295" t="s">
        <v>257</v>
      </c>
      <c r="B48" s="292" t="s">
        <v>254</v>
      </c>
      <c r="C48" s="12" t="s">
        <v>1657</v>
      </c>
      <c r="D48" s="786" t="s">
        <v>163</v>
      </c>
      <c r="E48" s="786" t="s">
        <v>1658</v>
      </c>
      <c r="F48" s="183" t="s">
        <v>1266</v>
      </c>
      <c r="G48" s="183" t="str">
        <f>+'8. BASE  CONSOLIDADA'!O96</f>
        <v>FINANCIAMIENTO</v>
      </c>
      <c r="H48" s="183" t="str">
        <f>+'8. BASE  CONSOLIDADA'!P96</f>
        <v>C6</v>
      </c>
      <c r="I48" s="14">
        <f>+I46</f>
        <v>3741</v>
      </c>
      <c r="J48" s="14">
        <f>+I48*0.3</f>
        <v>1122.3</v>
      </c>
      <c r="K48" s="14">
        <f>+I48*0.2</f>
        <v>748.2</v>
      </c>
      <c r="L48" s="76">
        <f>4300*2.5</f>
        <v>10750</v>
      </c>
      <c r="M48" s="791" t="s">
        <v>1223</v>
      </c>
      <c r="N48" s="14" t="s">
        <v>1190</v>
      </c>
      <c r="O48" s="26">
        <f t="shared" si="21"/>
        <v>12064725</v>
      </c>
      <c r="P48" s="26">
        <f t="shared" si="22"/>
        <v>8043150.0000000009</v>
      </c>
      <c r="Q48" s="28">
        <f t="shared" ref="Q48:U48" si="27">+$O$48*0.2</f>
        <v>2412945</v>
      </c>
      <c r="R48" s="28">
        <f t="shared" si="27"/>
        <v>2412945</v>
      </c>
      <c r="S48" s="28">
        <f t="shared" si="27"/>
        <v>2412945</v>
      </c>
      <c r="T48" s="28">
        <f t="shared" si="27"/>
        <v>2412945</v>
      </c>
      <c r="U48" s="28">
        <f t="shared" si="27"/>
        <v>2412945</v>
      </c>
      <c r="V48" s="30"/>
      <c r="W48" s="183" t="s">
        <v>148</v>
      </c>
      <c r="X48" s="183"/>
      <c r="Y48" s="183"/>
      <c r="Z48" s="183"/>
      <c r="AA48" s="183" t="str">
        <f t="shared" si="24"/>
        <v>RE</v>
      </c>
      <c r="AB48" s="183">
        <v>3</v>
      </c>
    </row>
    <row r="49" spans="1:28" ht="118.55" customHeight="1" x14ac:dyDescent="0.25">
      <c r="A49" s="337" t="s">
        <v>259</v>
      </c>
      <c r="B49" s="285"/>
      <c r="C49" s="12" t="s">
        <v>1659</v>
      </c>
      <c r="D49" s="375" t="s">
        <v>165</v>
      </c>
      <c r="E49" s="375" t="s">
        <v>1297</v>
      </c>
      <c r="F49" s="183" t="s">
        <v>1269</v>
      </c>
      <c r="G49" s="183" t="str">
        <f>+'8. BASE  CONSOLIDADA'!O97</f>
        <v>ASOCIATIVIDAD</v>
      </c>
      <c r="H49" s="183" t="str">
        <f>+'8. BASE  CONSOLIDADA'!P97</f>
        <v>C2</v>
      </c>
      <c r="I49" s="14">
        <v>5</v>
      </c>
      <c r="J49" s="14">
        <v>5</v>
      </c>
      <c r="K49" s="14">
        <v>5</v>
      </c>
      <c r="L49" s="26">
        <v>120000</v>
      </c>
      <c r="M49" s="788" t="s">
        <v>1236</v>
      </c>
      <c r="N49" s="13" t="s">
        <v>1190</v>
      </c>
      <c r="O49" s="26">
        <f t="shared" ref="O49:O50" si="28">+J49*L49*5</f>
        <v>3000000</v>
      </c>
      <c r="P49" s="26">
        <f t="shared" ref="P49:P50" si="29">+K49*L49*5</f>
        <v>3000000</v>
      </c>
      <c r="Q49" s="28">
        <f t="shared" ref="Q49:U49" si="30">+$O$49*0.2</f>
        <v>600000</v>
      </c>
      <c r="R49" s="28">
        <f t="shared" si="30"/>
        <v>600000</v>
      </c>
      <c r="S49" s="28">
        <f t="shared" si="30"/>
        <v>600000</v>
      </c>
      <c r="T49" s="28">
        <f t="shared" si="30"/>
        <v>600000</v>
      </c>
      <c r="U49" s="28">
        <f t="shared" si="30"/>
        <v>600000</v>
      </c>
      <c r="V49" s="30"/>
      <c r="W49" s="183"/>
      <c r="X49" s="183"/>
      <c r="Y49" s="183" t="s">
        <v>148</v>
      </c>
      <c r="Z49" s="183"/>
      <c r="AA49" s="183"/>
      <c r="AB49" s="183">
        <v>3</v>
      </c>
    </row>
    <row r="50" spans="1:28" ht="82.55" customHeight="1" x14ac:dyDescent="0.25">
      <c r="A50" s="333" t="s">
        <v>260</v>
      </c>
      <c r="B50" s="284"/>
      <c r="C50" s="12" t="s">
        <v>1660</v>
      </c>
      <c r="D50" s="786" t="s">
        <v>263</v>
      </c>
      <c r="E50" s="786" t="s">
        <v>1661</v>
      </c>
      <c r="F50" s="69" t="s">
        <v>1273</v>
      </c>
      <c r="G50" s="183" t="str">
        <f>+'8. BASE  CONSOLIDADA'!O98</f>
        <v>INFRAESTRUCTURA</v>
      </c>
      <c r="H50" s="183" t="str">
        <f>+'8. BASE  CONSOLIDADA'!P98</f>
        <v>C7</v>
      </c>
      <c r="I50" s="75"/>
      <c r="J50" s="13">
        <v>5</v>
      </c>
      <c r="K50" s="13">
        <v>5</v>
      </c>
      <c r="L50" s="26">
        <v>15000</v>
      </c>
      <c r="M50" s="788" t="s">
        <v>1274</v>
      </c>
      <c r="N50" s="14" t="s">
        <v>1190</v>
      </c>
      <c r="O50" s="28">
        <f t="shared" si="28"/>
        <v>375000</v>
      </c>
      <c r="P50" s="28">
        <f t="shared" si="29"/>
        <v>375000</v>
      </c>
      <c r="Q50" s="28">
        <f>+O50*0.5</f>
        <v>187500</v>
      </c>
      <c r="R50" s="28"/>
      <c r="S50" s="28">
        <f>+O50*0.5</f>
        <v>187500</v>
      </c>
      <c r="T50" s="28"/>
      <c r="U50" s="28"/>
      <c r="V50" s="13"/>
      <c r="W50" s="183" t="s">
        <v>148</v>
      </c>
      <c r="X50" s="183"/>
      <c r="Y50" s="183"/>
      <c r="Z50" s="183"/>
      <c r="AA50" s="183"/>
      <c r="AB50" s="183">
        <v>2</v>
      </c>
    </row>
    <row r="51" spans="1:28" ht="72.7" customHeight="1" x14ac:dyDescent="0.25">
      <c r="A51" s="335" t="s">
        <v>256</v>
      </c>
      <c r="B51" s="286"/>
      <c r="C51" s="12" t="s">
        <v>1662</v>
      </c>
      <c r="D51" s="375" t="s">
        <v>168</v>
      </c>
      <c r="E51" s="375" t="s">
        <v>1244</v>
      </c>
      <c r="F51" s="13" t="s">
        <v>1245</v>
      </c>
      <c r="G51" s="183" t="str">
        <f>+'8. BASE  CONSOLIDADA'!O99</f>
        <v>SERVICIOS ECOSISTÉMICOS</v>
      </c>
      <c r="H51" s="183" t="str">
        <f>+'8. BASE  CONSOLIDADA'!P99</f>
        <v>C15</v>
      </c>
      <c r="I51" s="14"/>
      <c r="J51" s="14">
        <f t="shared" ref="J51:K51" si="31">(5*2)*5</f>
        <v>50</v>
      </c>
      <c r="K51" s="14">
        <f t="shared" si="31"/>
        <v>50</v>
      </c>
      <c r="L51" s="26">
        <v>10000</v>
      </c>
      <c r="M51" s="788" t="s">
        <v>1246</v>
      </c>
      <c r="N51" s="13" t="s">
        <v>1247</v>
      </c>
      <c r="O51" s="28">
        <f>+J51*L51</f>
        <v>500000</v>
      </c>
      <c r="P51" s="26">
        <f>+K51*L51</f>
        <v>500000</v>
      </c>
      <c r="Q51" s="28">
        <f t="shared" ref="Q51:U51" si="32">+$O$51*0.2</f>
        <v>100000</v>
      </c>
      <c r="R51" s="28">
        <f t="shared" si="32"/>
        <v>100000</v>
      </c>
      <c r="S51" s="28">
        <f t="shared" si="32"/>
        <v>100000</v>
      </c>
      <c r="T51" s="28">
        <f t="shared" si="32"/>
        <v>100000</v>
      </c>
      <c r="U51" s="28">
        <f t="shared" si="32"/>
        <v>100000</v>
      </c>
      <c r="V51" s="30"/>
      <c r="W51" s="183" t="s">
        <v>148</v>
      </c>
      <c r="X51" s="183"/>
      <c r="Y51" s="183"/>
      <c r="Z51" s="183"/>
      <c r="AA51" s="183"/>
      <c r="AB51" s="183">
        <v>3</v>
      </c>
    </row>
    <row r="52" spans="1:28" ht="17.350000000000001" customHeight="1" x14ac:dyDescent="0.25">
      <c r="A52" s="825"/>
      <c r="B52" s="16"/>
      <c r="C52" s="1"/>
      <c r="D52" s="366"/>
      <c r="E52" s="366"/>
      <c r="F52" s="366"/>
      <c r="G52" s="366"/>
      <c r="H52" s="366"/>
      <c r="I52" s="366"/>
      <c r="J52" s="366"/>
      <c r="K52" s="366"/>
      <c r="L52" s="366"/>
      <c r="M52" s="264"/>
      <c r="N52" s="366"/>
      <c r="O52" s="29">
        <f>SUM(O44:O51)</f>
        <v>24034318.361551739</v>
      </c>
      <c r="P52" s="29">
        <f t="shared" ref="P52:U52" si="33">SUM(P44:P51)</f>
        <v>19593751.361551743</v>
      </c>
      <c r="Q52" s="29">
        <f t="shared" si="33"/>
        <v>4792782.3361551743</v>
      </c>
      <c r="R52" s="29">
        <f t="shared" si="33"/>
        <v>4668573.0042327615</v>
      </c>
      <c r="S52" s="29">
        <f t="shared" si="33"/>
        <v>4919363.6723103486</v>
      </c>
      <c r="T52" s="29">
        <f t="shared" si="33"/>
        <v>4858445.008465522</v>
      </c>
      <c r="U52" s="29">
        <f t="shared" si="33"/>
        <v>4795154.3403879348</v>
      </c>
      <c r="V52" s="366"/>
      <c r="W52" s="1"/>
      <c r="X52" s="1"/>
      <c r="Y52" s="1"/>
      <c r="Z52" s="1"/>
      <c r="AA52" s="1"/>
      <c r="AB52" s="1"/>
    </row>
    <row r="53" spans="1:28" s="243" customFormat="1" ht="17.350000000000001" customHeight="1" x14ac:dyDescent="0.25">
      <c r="A53" s="825"/>
      <c r="B53" s="16"/>
      <c r="C53" s="1"/>
      <c r="D53" s="366"/>
      <c r="E53" s="366"/>
      <c r="F53" s="366"/>
      <c r="G53" s="366"/>
      <c r="H53" s="366"/>
      <c r="I53" s="366"/>
      <c r="J53" s="366"/>
      <c r="K53" s="366"/>
      <c r="L53" s="366"/>
      <c r="M53" s="264"/>
      <c r="N53" s="366"/>
      <c r="O53" s="366"/>
      <c r="P53" s="366"/>
      <c r="Q53" s="366"/>
      <c r="R53" s="366"/>
      <c r="S53" s="366"/>
      <c r="T53" s="366"/>
      <c r="U53" s="366"/>
      <c r="V53" s="366"/>
      <c r="W53" s="1"/>
      <c r="X53" s="1"/>
      <c r="Y53" s="1"/>
      <c r="Z53" s="1"/>
      <c r="AA53" s="1"/>
      <c r="AB53" s="1"/>
    </row>
    <row r="54" spans="1:28" ht="11.25" customHeight="1" x14ac:dyDescent="0.25">
      <c r="A54" s="825"/>
      <c r="B54" s="16"/>
      <c r="C54" s="1"/>
      <c r="D54" s="366"/>
      <c r="E54" s="34"/>
      <c r="F54" s="366"/>
      <c r="G54" s="366"/>
      <c r="H54" s="366"/>
      <c r="I54" s="366"/>
      <c r="J54" s="366"/>
      <c r="K54" s="366"/>
      <c r="L54" s="366"/>
      <c r="M54" s="264"/>
      <c r="N54" s="366"/>
      <c r="O54" s="366"/>
      <c r="P54" s="366"/>
      <c r="Q54" s="366"/>
      <c r="R54" s="366"/>
      <c r="S54" s="366"/>
      <c r="T54" s="366"/>
      <c r="U54" s="366"/>
      <c r="V54" s="366"/>
      <c r="W54" s="1"/>
      <c r="X54" s="1"/>
      <c r="Y54" s="1"/>
      <c r="Z54" s="1"/>
      <c r="AA54" s="1"/>
      <c r="AB54" s="1"/>
    </row>
    <row r="55" spans="1:28" ht="22.6" customHeight="1" x14ac:dyDescent="0.25">
      <c r="A55" s="825"/>
      <c r="B55" s="16"/>
      <c r="C55" s="1459" t="s">
        <v>1170</v>
      </c>
      <c r="D55" s="1405"/>
      <c r="E55" s="1406"/>
      <c r="F55" s="816" t="s">
        <v>126</v>
      </c>
      <c r="G55" s="813"/>
      <c r="H55" s="813"/>
      <c r="I55" s="813"/>
      <c r="J55" s="813"/>
      <c r="K55" s="813"/>
      <c r="L55" s="813"/>
      <c r="M55" s="938"/>
      <c r="N55" s="813"/>
      <c r="O55" s="813"/>
      <c r="P55" s="813"/>
      <c r="Q55" s="813"/>
      <c r="R55" s="813"/>
      <c r="S55" s="813"/>
      <c r="T55" s="813"/>
      <c r="U55" s="813"/>
      <c r="V55" s="813"/>
      <c r="W55" s="813"/>
      <c r="X55" s="813"/>
      <c r="Y55" s="813"/>
      <c r="Z55" s="813"/>
      <c r="AA55" s="813"/>
      <c r="AB55" s="814"/>
    </row>
    <row r="56" spans="1:28" ht="40.6" customHeight="1" x14ac:dyDescent="0.25">
      <c r="A56" s="825"/>
      <c r="B56" s="16"/>
      <c r="C56" s="1459" t="s">
        <v>1171</v>
      </c>
      <c r="D56" s="1405"/>
      <c r="E56" s="1406"/>
      <c r="F56" s="1445" t="s">
        <v>1663</v>
      </c>
      <c r="G56" s="1446"/>
      <c r="H56" s="1446"/>
      <c r="I56" s="1446"/>
      <c r="J56" s="1446"/>
      <c r="K56" s="1446"/>
      <c r="L56" s="1446"/>
      <c r="M56" s="1446"/>
      <c r="N56" s="1446"/>
      <c r="O56" s="1446"/>
      <c r="P56" s="1446"/>
      <c r="Q56" s="1446"/>
      <c r="R56" s="1446"/>
      <c r="S56" s="1446"/>
      <c r="T56" s="1446"/>
      <c r="U56" s="1446"/>
      <c r="V56" s="1446"/>
      <c r="W56" s="1446"/>
      <c r="X56" s="1446"/>
      <c r="Y56" s="1446"/>
      <c r="Z56" s="1446"/>
      <c r="AA56" s="1446"/>
      <c r="AB56" s="1447"/>
    </row>
    <row r="57" spans="1:28" ht="18" customHeight="1" x14ac:dyDescent="0.25">
      <c r="A57" s="825"/>
      <c r="B57" s="16"/>
      <c r="C57" s="1459" t="s">
        <v>1173</v>
      </c>
      <c r="D57" s="1405"/>
      <c r="E57" s="1406"/>
      <c r="F57" s="1445" t="s">
        <v>1277</v>
      </c>
      <c r="G57" s="1446"/>
      <c r="H57" s="1446"/>
      <c r="I57" s="1446"/>
      <c r="J57" s="1446"/>
      <c r="K57" s="1446"/>
      <c r="L57" s="1446"/>
      <c r="M57" s="1446"/>
      <c r="N57" s="1446"/>
      <c r="O57" s="1446"/>
      <c r="P57" s="1446"/>
      <c r="Q57" s="1446"/>
      <c r="R57" s="1446"/>
      <c r="S57" s="1446"/>
      <c r="T57" s="1446"/>
      <c r="U57" s="1446"/>
      <c r="V57" s="1446"/>
      <c r="W57" s="1446"/>
      <c r="X57" s="1446"/>
      <c r="Y57" s="1446"/>
      <c r="Z57" s="1446"/>
      <c r="AA57" s="1446"/>
      <c r="AB57" s="1447"/>
    </row>
    <row r="58" spans="1:28" ht="16.5" customHeight="1" x14ac:dyDescent="0.25">
      <c r="A58" s="825"/>
      <c r="B58" s="16"/>
      <c r="C58" s="1459" t="s">
        <v>1175</v>
      </c>
      <c r="D58" s="1405"/>
      <c r="E58" s="1406"/>
      <c r="F58" s="1445" t="s">
        <v>1278</v>
      </c>
      <c r="G58" s="1446"/>
      <c r="H58" s="1446"/>
      <c r="I58" s="1446"/>
      <c r="J58" s="1446"/>
      <c r="K58" s="1446"/>
      <c r="L58" s="1446"/>
      <c r="M58" s="1446"/>
      <c r="N58" s="1446"/>
      <c r="O58" s="1446"/>
      <c r="P58" s="1446"/>
      <c r="Q58" s="1446"/>
      <c r="R58" s="1446"/>
      <c r="S58" s="1446"/>
      <c r="T58" s="1446"/>
      <c r="U58" s="1446"/>
      <c r="V58" s="1446"/>
      <c r="W58" s="1446"/>
      <c r="X58" s="1446"/>
      <c r="Y58" s="1446"/>
      <c r="Z58" s="1446"/>
      <c r="AA58" s="1446"/>
      <c r="AB58" s="1447"/>
    </row>
    <row r="59" spans="1:28" ht="24.8" customHeight="1" x14ac:dyDescent="0.25">
      <c r="A59" s="825"/>
      <c r="B59" s="16"/>
      <c r="C59" s="1444" t="s">
        <v>142</v>
      </c>
      <c r="D59" s="1405"/>
      <c r="E59" s="1406"/>
      <c r="F59" s="1445" t="s">
        <v>1664</v>
      </c>
      <c r="G59" s="1446"/>
      <c r="H59" s="1446"/>
      <c r="I59" s="1446"/>
      <c r="J59" s="1446"/>
      <c r="K59" s="1446"/>
      <c r="L59" s="1446"/>
      <c r="M59" s="1446"/>
      <c r="N59" s="1446"/>
      <c r="O59" s="1446"/>
      <c r="P59" s="1446"/>
      <c r="Q59" s="1446"/>
      <c r="R59" s="1446"/>
      <c r="S59" s="1446"/>
      <c r="T59" s="1446"/>
      <c r="U59" s="1446"/>
      <c r="V59" s="1446"/>
      <c r="W59" s="1446"/>
      <c r="X59" s="1446"/>
      <c r="Y59" s="1446"/>
      <c r="Z59" s="1446"/>
      <c r="AA59" s="1446"/>
      <c r="AB59" s="1447"/>
    </row>
    <row r="60" spans="1:28" ht="48.1" customHeight="1" x14ac:dyDescent="0.25">
      <c r="A60" s="825"/>
      <c r="B60" s="16"/>
      <c r="C60" s="1444" t="s">
        <v>1178</v>
      </c>
      <c r="D60" s="1405"/>
      <c r="E60" s="1406"/>
      <c r="F60" s="1445" t="s">
        <v>1524</v>
      </c>
      <c r="G60" s="1446"/>
      <c r="H60" s="1446"/>
      <c r="I60" s="1446"/>
      <c r="J60" s="1446"/>
      <c r="K60" s="1446"/>
      <c r="L60" s="1446"/>
      <c r="M60" s="1446"/>
      <c r="N60" s="1446"/>
      <c r="O60" s="1446"/>
      <c r="P60" s="1446"/>
      <c r="Q60" s="1446"/>
      <c r="R60" s="1446"/>
      <c r="S60" s="1446"/>
      <c r="T60" s="1446"/>
      <c r="U60" s="1446"/>
      <c r="V60" s="1446"/>
      <c r="W60" s="1446"/>
      <c r="X60" s="1446"/>
      <c r="Y60" s="1446"/>
      <c r="Z60" s="1446"/>
      <c r="AA60" s="1446"/>
      <c r="AB60" s="1447"/>
    </row>
    <row r="61" spans="1:28" ht="19.55" customHeight="1" x14ac:dyDescent="0.25">
      <c r="A61" s="825"/>
      <c r="B61" s="16"/>
      <c r="C61" s="1452" t="s">
        <v>964</v>
      </c>
      <c r="D61" s="1452" t="s">
        <v>965</v>
      </c>
      <c r="E61" s="1452" t="s">
        <v>468</v>
      </c>
      <c r="F61" s="1452" t="s">
        <v>470</v>
      </c>
      <c r="G61" s="1452" t="s">
        <v>966</v>
      </c>
      <c r="H61" s="1452" t="s">
        <v>967</v>
      </c>
      <c r="I61" s="1452" t="s">
        <v>1180</v>
      </c>
      <c r="J61" s="1452" t="s">
        <v>968</v>
      </c>
      <c r="K61" s="1452" t="s">
        <v>969</v>
      </c>
      <c r="L61" s="1453" t="s">
        <v>970</v>
      </c>
      <c r="M61" s="1453" t="s">
        <v>971</v>
      </c>
      <c r="N61" s="1453" t="s">
        <v>972</v>
      </c>
      <c r="O61" s="1456" t="s">
        <v>973</v>
      </c>
      <c r="P61" s="1457"/>
      <c r="Q61" s="1456" t="s">
        <v>974</v>
      </c>
      <c r="R61" s="1458"/>
      <c r="S61" s="1458"/>
      <c r="T61" s="1458"/>
      <c r="U61" s="1457"/>
      <c r="V61" s="1452" t="s">
        <v>975</v>
      </c>
      <c r="W61" s="1465" t="s">
        <v>976</v>
      </c>
      <c r="X61" s="1405"/>
      <c r="Y61" s="1405"/>
      <c r="Z61" s="1406"/>
      <c r="AA61" s="808"/>
      <c r="AB61" s="1452" t="s">
        <v>977</v>
      </c>
    </row>
    <row r="62" spans="1:28" ht="63.7" customHeight="1" x14ac:dyDescent="0.25">
      <c r="A62" s="825"/>
      <c r="B62" s="16"/>
      <c r="C62" s="1420"/>
      <c r="D62" s="1420"/>
      <c r="E62" s="1420"/>
      <c r="F62" s="1449"/>
      <c r="G62" s="1449"/>
      <c r="H62" s="1449"/>
      <c r="I62" s="1449"/>
      <c r="J62" s="1449"/>
      <c r="K62" s="1449"/>
      <c r="L62" s="1454"/>
      <c r="M62" s="1455"/>
      <c r="N62" s="1454"/>
      <c r="O62" s="940" t="s">
        <v>978</v>
      </c>
      <c r="P62" s="940" t="s">
        <v>979</v>
      </c>
      <c r="Q62" s="940" t="s">
        <v>980</v>
      </c>
      <c r="R62" s="940" t="s">
        <v>981</v>
      </c>
      <c r="S62" s="940" t="s">
        <v>982</v>
      </c>
      <c r="T62" s="940" t="s">
        <v>983</v>
      </c>
      <c r="U62" s="940" t="s">
        <v>984</v>
      </c>
      <c r="V62" s="1449"/>
      <c r="W62" s="808" t="s">
        <v>985</v>
      </c>
      <c r="X62" s="808" t="s">
        <v>986</v>
      </c>
      <c r="Y62" s="808" t="s">
        <v>987</v>
      </c>
      <c r="Z62" s="808" t="s">
        <v>988</v>
      </c>
      <c r="AA62" s="808"/>
      <c r="AB62" s="1449"/>
    </row>
    <row r="63" spans="1:28" s="356" customFormat="1" ht="176.95" customHeight="1" x14ac:dyDescent="0.25">
      <c r="A63" s="334" t="s">
        <v>258</v>
      </c>
      <c r="B63" s="291" t="s">
        <v>254</v>
      </c>
      <c r="C63" s="12" t="s">
        <v>1665</v>
      </c>
      <c r="D63" s="786" t="s">
        <v>170</v>
      </c>
      <c r="E63" s="373" t="s">
        <v>1182</v>
      </c>
      <c r="F63" s="13" t="s">
        <v>1183</v>
      </c>
      <c r="G63" s="183" t="str">
        <f>+'8. BASE  CONSOLIDADA'!O100</f>
        <v>DERECHOS SOBRE LA TIERRA</v>
      </c>
      <c r="H63" s="183" t="str">
        <f>+'8. BASE  CONSOLIDADA'!P100</f>
        <v>C5</v>
      </c>
      <c r="I63" s="14">
        <f>8778.48592694367/10</f>
        <v>877.84859269436697</v>
      </c>
      <c r="J63" s="14">
        <f>+I63*0.5</f>
        <v>438.92429634718349</v>
      </c>
      <c r="K63" s="14">
        <f>+I63*0.5</f>
        <v>438.92429634718349</v>
      </c>
      <c r="L63" s="26">
        <v>2000</v>
      </c>
      <c r="M63" s="788" t="s">
        <v>1184</v>
      </c>
      <c r="N63" s="13" t="s">
        <v>1185</v>
      </c>
      <c r="O63" s="26">
        <f>+J63*L63</f>
        <v>877848.59269436693</v>
      </c>
      <c r="P63" s="26">
        <f>+K63*L63</f>
        <v>877848.59269436693</v>
      </c>
      <c r="Q63" s="26">
        <f>$O$63*0.1</f>
        <v>87784.859269436696</v>
      </c>
      <c r="R63" s="26">
        <f>+$O$63*0.15</f>
        <v>131677.28890415502</v>
      </c>
      <c r="S63" s="26">
        <f>+$O$63*0.2</f>
        <v>175569.71853887339</v>
      </c>
      <c r="T63" s="26">
        <f>+$O$63*0.3</f>
        <v>263354.57780831004</v>
      </c>
      <c r="U63" s="26">
        <f>+$O$63*0.25</f>
        <v>219462.14817359173</v>
      </c>
      <c r="V63" s="13"/>
      <c r="W63" s="13"/>
      <c r="X63" s="13"/>
      <c r="Y63" s="13" t="s">
        <v>148</v>
      </c>
      <c r="Z63" s="13"/>
      <c r="AA63" s="13" t="str">
        <f>+B63</f>
        <v>RE</v>
      </c>
      <c r="AB63" s="13">
        <v>3</v>
      </c>
    </row>
    <row r="64" spans="1:28" ht="77.95" customHeight="1" x14ac:dyDescent="0.25">
      <c r="A64" s="337" t="s">
        <v>259</v>
      </c>
      <c r="B64" s="285" t="s">
        <v>254</v>
      </c>
      <c r="C64" s="12" t="s">
        <v>1666</v>
      </c>
      <c r="D64" s="786" t="s">
        <v>267</v>
      </c>
      <c r="E64" s="786" t="s">
        <v>1667</v>
      </c>
      <c r="F64" s="183" t="s">
        <v>1284</v>
      </c>
      <c r="G64" s="183" t="str">
        <f>+'8. BASE  CONSOLIDADA'!O101</f>
        <v>ASISTENCIA TÉCNICA</v>
      </c>
      <c r="H64" s="183" t="str">
        <f>+'8. BASE  CONSOLIDADA'!P101</f>
        <v>C1</v>
      </c>
      <c r="I64" s="14">
        <v>1424</v>
      </c>
      <c r="J64" s="14">
        <f>1424</f>
        <v>1424</v>
      </c>
      <c r="K64" s="14">
        <v>1424</v>
      </c>
      <c r="L64" s="76">
        <v>560</v>
      </c>
      <c r="M64" s="791" t="s">
        <v>1285</v>
      </c>
      <c r="N64" s="69" t="s">
        <v>1190</v>
      </c>
      <c r="O64" s="28">
        <f t="shared" ref="O64:O65" si="34">+J64*L64</f>
        <v>797440</v>
      </c>
      <c r="P64" s="28">
        <f>+K64*L64</f>
        <v>797440</v>
      </c>
      <c r="Q64" s="28">
        <f t="shared" ref="Q64:U64" si="35">+$O$64*0.2</f>
        <v>159488</v>
      </c>
      <c r="R64" s="28">
        <f t="shared" si="35"/>
        <v>159488</v>
      </c>
      <c r="S64" s="28">
        <f t="shared" si="35"/>
        <v>159488</v>
      </c>
      <c r="T64" s="28">
        <f t="shared" si="35"/>
        <v>159488</v>
      </c>
      <c r="U64" s="28">
        <f t="shared" si="35"/>
        <v>159488</v>
      </c>
      <c r="V64" s="37"/>
      <c r="W64" s="13"/>
      <c r="X64" s="13"/>
      <c r="Y64" s="13" t="s">
        <v>148</v>
      </c>
      <c r="Z64" s="10"/>
      <c r="AA64" s="10" t="str">
        <f t="shared" ref="AA64:AA65" si="36">+B64</f>
        <v>RE</v>
      </c>
      <c r="AB64" s="13">
        <v>3</v>
      </c>
    </row>
    <row r="65" spans="1:28" ht="68.3" customHeight="1" x14ac:dyDescent="0.25">
      <c r="A65" s="337" t="s">
        <v>259</v>
      </c>
      <c r="B65" s="285" t="s">
        <v>254</v>
      </c>
      <c r="C65" s="12" t="s">
        <v>1668</v>
      </c>
      <c r="D65" s="786" t="s">
        <v>162</v>
      </c>
      <c r="E65" s="786" t="s">
        <v>1287</v>
      </c>
      <c r="F65" s="13" t="s">
        <v>1193</v>
      </c>
      <c r="G65" s="183" t="str">
        <f>+'8. BASE  CONSOLIDADA'!O102</f>
        <v>TECNOLOGÍA</v>
      </c>
      <c r="H65" s="183" t="str">
        <f>+'8. BASE  CONSOLIDADA'!P102</f>
        <v>C17</v>
      </c>
      <c r="I65" s="14">
        <v>14015</v>
      </c>
      <c r="J65" s="14">
        <f>+I65*0.2</f>
        <v>2803</v>
      </c>
      <c r="K65" s="14">
        <f>+I65*0.2</f>
        <v>2803</v>
      </c>
      <c r="L65" s="76">
        <v>500</v>
      </c>
      <c r="M65" s="791" t="s">
        <v>1194</v>
      </c>
      <c r="N65" s="13" t="s">
        <v>1190</v>
      </c>
      <c r="O65" s="26">
        <f t="shared" si="34"/>
        <v>1401500</v>
      </c>
      <c r="P65" s="26">
        <f>+L65*K65</f>
        <v>1401500</v>
      </c>
      <c r="Q65" s="28">
        <f t="shared" ref="Q65:U65" si="37">+$O$65*0.2</f>
        <v>280300</v>
      </c>
      <c r="R65" s="28">
        <f t="shared" si="37"/>
        <v>280300</v>
      </c>
      <c r="S65" s="28">
        <f t="shared" si="37"/>
        <v>280300</v>
      </c>
      <c r="T65" s="28">
        <f t="shared" si="37"/>
        <v>280300</v>
      </c>
      <c r="U65" s="28">
        <f t="shared" si="37"/>
        <v>280300</v>
      </c>
      <c r="V65" s="37"/>
      <c r="W65" s="13"/>
      <c r="X65" s="13"/>
      <c r="Y65" s="13" t="s">
        <v>148</v>
      </c>
      <c r="Z65" s="10"/>
      <c r="AA65" s="10" t="str">
        <f t="shared" si="36"/>
        <v>RE</v>
      </c>
      <c r="AB65" s="13">
        <v>3</v>
      </c>
    </row>
    <row r="66" spans="1:28" ht="66.099999999999994" customHeight="1" x14ac:dyDescent="0.25">
      <c r="A66" s="337" t="s">
        <v>259</v>
      </c>
      <c r="B66" s="285"/>
      <c r="C66" s="12" t="s">
        <v>1669</v>
      </c>
      <c r="D66" s="786" t="s">
        <v>275</v>
      </c>
      <c r="E66" s="786" t="s">
        <v>1670</v>
      </c>
      <c r="F66" s="13" t="s">
        <v>1291</v>
      </c>
      <c r="G66" s="183" t="str">
        <f>+'8. BASE  CONSOLIDADA'!O103</f>
        <v>TECNOLOGÍA</v>
      </c>
      <c r="H66" s="183" t="str">
        <f>+'8. BASE  CONSOLIDADA'!P103</f>
        <v>C17</v>
      </c>
      <c r="I66" s="14"/>
      <c r="J66" s="14">
        <v>5</v>
      </c>
      <c r="K66" s="14">
        <v>5</v>
      </c>
      <c r="L66" s="26">
        <v>54800</v>
      </c>
      <c r="M66" s="788" t="s">
        <v>1671</v>
      </c>
      <c r="N66" s="13" t="s">
        <v>1489</v>
      </c>
      <c r="O66" s="28">
        <f>+J66*L66*5</f>
        <v>1370000</v>
      </c>
      <c r="P66" s="28">
        <f>+L66*K66*5</f>
        <v>1370000</v>
      </c>
      <c r="Q66" s="28">
        <f t="shared" ref="Q66:U66" si="38">+$O$66*0.2</f>
        <v>274000</v>
      </c>
      <c r="R66" s="28">
        <f t="shared" si="38"/>
        <v>274000</v>
      </c>
      <c r="S66" s="28">
        <f t="shared" si="38"/>
        <v>274000</v>
      </c>
      <c r="T66" s="28">
        <f t="shared" si="38"/>
        <v>274000</v>
      </c>
      <c r="U66" s="28">
        <f t="shared" si="38"/>
        <v>274000</v>
      </c>
      <c r="V66" s="37"/>
      <c r="W66" s="13"/>
      <c r="X66" s="13" t="s">
        <v>148</v>
      </c>
      <c r="Y66" s="13"/>
      <c r="Z66" s="10"/>
      <c r="AA66" s="10"/>
      <c r="AB66" s="13">
        <v>3</v>
      </c>
    </row>
    <row r="67" spans="1:28" ht="95.3" customHeight="1" x14ac:dyDescent="0.25">
      <c r="A67" s="295" t="s">
        <v>257</v>
      </c>
      <c r="B67" s="290" t="s">
        <v>254</v>
      </c>
      <c r="C67" s="12" t="s">
        <v>1672</v>
      </c>
      <c r="D67" s="786" t="s">
        <v>163</v>
      </c>
      <c r="E67" s="786" t="s">
        <v>1294</v>
      </c>
      <c r="F67" s="13" t="s">
        <v>1295</v>
      </c>
      <c r="G67" s="183" t="str">
        <f>+'8. BASE  CONSOLIDADA'!O104</f>
        <v>FINANCIAMIENTO</v>
      </c>
      <c r="H67" s="183" t="str">
        <f>+'8. BASE  CONSOLIDADA'!P104</f>
        <v>C6</v>
      </c>
      <c r="I67" s="75">
        <f>+I64</f>
        <v>1424</v>
      </c>
      <c r="J67" s="75">
        <f>+I67*0.3</f>
        <v>427.2</v>
      </c>
      <c r="K67" s="75">
        <f>+I67*0.2</f>
        <v>284.8</v>
      </c>
      <c r="L67" s="76">
        <f>4300*2.5</f>
        <v>10750</v>
      </c>
      <c r="M67" s="791" t="s">
        <v>1223</v>
      </c>
      <c r="N67" s="13" t="s">
        <v>1496</v>
      </c>
      <c r="O67" s="28">
        <f>+J67*L67</f>
        <v>4592400</v>
      </c>
      <c r="P67" s="28">
        <f>+L67*K67</f>
        <v>3061600</v>
      </c>
      <c r="Q67" s="28">
        <f t="shared" ref="Q67:U67" si="39">+$O$67*0.2</f>
        <v>918480</v>
      </c>
      <c r="R67" s="28">
        <f t="shared" si="39"/>
        <v>918480</v>
      </c>
      <c r="S67" s="28">
        <f t="shared" si="39"/>
        <v>918480</v>
      </c>
      <c r="T67" s="28">
        <f t="shared" si="39"/>
        <v>918480</v>
      </c>
      <c r="U67" s="28">
        <f t="shared" si="39"/>
        <v>918480</v>
      </c>
      <c r="V67" s="37"/>
      <c r="W67" s="13" t="s">
        <v>148</v>
      </c>
      <c r="X67" s="13"/>
      <c r="Y67" s="13"/>
      <c r="Z67" s="10"/>
      <c r="AA67" s="10" t="str">
        <f>+B67</f>
        <v>RE</v>
      </c>
      <c r="AB67" s="13">
        <v>3</v>
      </c>
    </row>
    <row r="68" spans="1:28" ht="120.1" customHeight="1" x14ac:dyDescent="0.25">
      <c r="A68" s="337" t="s">
        <v>259</v>
      </c>
      <c r="B68" s="285"/>
      <c r="C68" s="12" t="s">
        <v>1673</v>
      </c>
      <c r="D68" s="786" t="s">
        <v>165</v>
      </c>
      <c r="E68" s="375" t="s">
        <v>1297</v>
      </c>
      <c r="F68" s="13" t="s">
        <v>1298</v>
      </c>
      <c r="G68" s="183" t="str">
        <f>+'8. BASE  CONSOLIDADA'!O105</f>
        <v>ASOCIATIVIDAD</v>
      </c>
      <c r="H68" s="183" t="str">
        <f>+'8. BASE  CONSOLIDADA'!P105</f>
        <v>C2</v>
      </c>
      <c r="I68" s="14"/>
      <c r="J68" s="14">
        <v>12</v>
      </c>
      <c r="K68" s="14">
        <v>12</v>
      </c>
      <c r="L68" s="26">
        <v>120000</v>
      </c>
      <c r="M68" s="788" t="s">
        <v>1236</v>
      </c>
      <c r="N68" s="13" t="s">
        <v>1501</v>
      </c>
      <c r="O68" s="28">
        <f>+J68*L68*5</f>
        <v>7200000</v>
      </c>
      <c r="P68" s="28">
        <f>+K68*L68*5</f>
        <v>7200000</v>
      </c>
      <c r="Q68" s="28">
        <f t="shared" ref="Q68:U68" si="40">+$O$68*0.2</f>
        <v>1440000</v>
      </c>
      <c r="R68" s="28">
        <f t="shared" si="40"/>
        <v>1440000</v>
      </c>
      <c r="S68" s="28">
        <f t="shared" si="40"/>
        <v>1440000</v>
      </c>
      <c r="T68" s="28">
        <f t="shared" si="40"/>
        <v>1440000</v>
      </c>
      <c r="U68" s="28">
        <f t="shared" si="40"/>
        <v>1440000</v>
      </c>
      <c r="V68" s="37"/>
      <c r="W68" s="13"/>
      <c r="X68" s="13"/>
      <c r="Y68" s="13" t="s">
        <v>148</v>
      </c>
      <c r="Z68" s="10"/>
      <c r="AA68" s="10"/>
      <c r="AB68" s="13">
        <v>3</v>
      </c>
    </row>
    <row r="69" spans="1:28" ht="81.7" customHeight="1" x14ac:dyDescent="0.25">
      <c r="A69" s="333" t="s">
        <v>260</v>
      </c>
      <c r="B69" s="284" t="s">
        <v>254</v>
      </c>
      <c r="C69" s="12" t="s">
        <v>1674</v>
      </c>
      <c r="D69" s="786" t="s">
        <v>263</v>
      </c>
      <c r="E69" s="786" t="s">
        <v>1538</v>
      </c>
      <c r="F69" s="13" t="s">
        <v>1301</v>
      </c>
      <c r="G69" s="183" t="str">
        <f>+'8. BASE  CONSOLIDADA'!O106</f>
        <v>TECNOLOGÍA</v>
      </c>
      <c r="H69" s="183" t="str">
        <f>+'8. BASE  CONSOLIDADA'!P106</f>
        <v>C17</v>
      </c>
      <c r="I69" s="14"/>
      <c r="J69" s="14">
        <v>15</v>
      </c>
      <c r="K69" s="14">
        <v>15</v>
      </c>
      <c r="L69" s="28">
        <v>800000</v>
      </c>
      <c r="M69" s="788" t="s">
        <v>1302</v>
      </c>
      <c r="N69" s="13" t="s">
        <v>1303</v>
      </c>
      <c r="O69" s="28">
        <f t="shared" ref="O69:O70" si="41">+J69*L69</f>
        <v>12000000</v>
      </c>
      <c r="P69" s="28">
        <f>+L69*K69</f>
        <v>12000000</v>
      </c>
      <c r="Q69" s="28">
        <f t="shared" ref="Q69:U69" si="42">+$O$69*0.2</f>
        <v>2400000</v>
      </c>
      <c r="R69" s="28">
        <f t="shared" si="42"/>
        <v>2400000</v>
      </c>
      <c r="S69" s="28">
        <f t="shared" si="42"/>
        <v>2400000</v>
      </c>
      <c r="T69" s="28">
        <f t="shared" si="42"/>
        <v>2400000</v>
      </c>
      <c r="U69" s="28">
        <f t="shared" si="42"/>
        <v>2400000</v>
      </c>
      <c r="V69" s="37"/>
      <c r="W69" s="13" t="s">
        <v>148</v>
      </c>
      <c r="X69" s="13"/>
      <c r="Y69" s="13"/>
      <c r="Z69" s="10"/>
      <c r="AA69" s="10" t="str">
        <f>+B69</f>
        <v>RE</v>
      </c>
      <c r="AB69" s="13">
        <v>2</v>
      </c>
    </row>
    <row r="70" spans="1:28" ht="74.25" customHeight="1" x14ac:dyDescent="0.25">
      <c r="A70" s="335" t="s">
        <v>256</v>
      </c>
      <c r="B70" s="286"/>
      <c r="C70" s="12" t="s">
        <v>1675</v>
      </c>
      <c r="D70" s="786" t="s">
        <v>168</v>
      </c>
      <c r="E70" s="375" t="s">
        <v>1244</v>
      </c>
      <c r="F70" s="13" t="s">
        <v>1245</v>
      </c>
      <c r="G70" s="183" t="str">
        <f>+'8. BASE  CONSOLIDADA'!O107</f>
        <v>SERVICIOS ECOSISTÉMICOS</v>
      </c>
      <c r="H70" s="183" t="str">
        <f>+'8. BASE  CONSOLIDADA'!P107</f>
        <v>C15</v>
      </c>
      <c r="I70" s="14"/>
      <c r="J70" s="14">
        <f t="shared" ref="J70:K70" si="43">(5*2)*5</f>
        <v>50</v>
      </c>
      <c r="K70" s="14">
        <f t="shared" si="43"/>
        <v>50</v>
      </c>
      <c r="L70" s="26">
        <v>10000</v>
      </c>
      <c r="M70" s="788" t="s">
        <v>1246</v>
      </c>
      <c r="N70" s="13" t="s">
        <v>1247</v>
      </c>
      <c r="O70" s="28">
        <f t="shared" si="41"/>
        <v>500000</v>
      </c>
      <c r="P70" s="28">
        <f>+K70*L70</f>
        <v>500000</v>
      </c>
      <c r="Q70" s="28">
        <f t="shared" ref="Q70:U70" si="44">+$O$70*0.2</f>
        <v>100000</v>
      </c>
      <c r="R70" s="28">
        <f t="shared" si="44"/>
        <v>100000</v>
      </c>
      <c r="S70" s="28">
        <f t="shared" si="44"/>
        <v>100000</v>
      </c>
      <c r="T70" s="28">
        <f t="shared" si="44"/>
        <v>100000</v>
      </c>
      <c r="U70" s="28">
        <f t="shared" si="44"/>
        <v>100000</v>
      </c>
      <c r="V70" s="13"/>
      <c r="W70" s="13" t="s">
        <v>148</v>
      </c>
      <c r="X70" s="13"/>
      <c r="Y70" s="13"/>
      <c r="Z70" s="10"/>
      <c r="AA70" s="10"/>
      <c r="AB70" s="13">
        <v>1</v>
      </c>
    </row>
    <row r="71" spans="1:28" ht="17.350000000000001" customHeight="1" x14ac:dyDescent="0.25">
      <c r="A71" s="825"/>
      <c r="B71" s="16"/>
      <c r="C71" s="1"/>
      <c r="D71" s="366"/>
      <c r="E71" s="366"/>
      <c r="F71" s="366"/>
      <c r="G71" s="366"/>
      <c r="H71" s="366"/>
      <c r="I71" s="366"/>
      <c r="J71" s="366"/>
      <c r="K71" s="366"/>
      <c r="L71" s="366"/>
      <c r="M71" s="264"/>
      <c r="N71" s="366"/>
      <c r="O71" s="29">
        <f>SUM(O63:O70)</f>
        <v>28739188.592694364</v>
      </c>
      <c r="P71" s="29">
        <f t="shared" ref="P71:U71" si="45">SUM(P63:P70)</f>
        <v>27208388.592694364</v>
      </c>
      <c r="Q71" s="29">
        <f t="shared" si="45"/>
        <v>5660052.8592694364</v>
      </c>
      <c r="R71" s="29">
        <f t="shared" si="45"/>
        <v>5703945.2889041547</v>
      </c>
      <c r="S71" s="29">
        <f t="shared" si="45"/>
        <v>5747837.7185388729</v>
      </c>
      <c r="T71" s="29">
        <f t="shared" si="45"/>
        <v>5835622.5778083103</v>
      </c>
      <c r="U71" s="29">
        <f t="shared" si="45"/>
        <v>5791730.1481735911</v>
      </c>
      <c r="V71" s="366"/>
      <c r="W71" s="1"/>
      <c r="X71" s="1"/>
      <c r="Y71" s="1"/>
      <c r="Z71" s="1"/>
      <c r="AA71" s="1"/>
      <c r="AB71" s="1"/>
    </row>
    <row r="72" spans="1:28" s="243" customFormat="1" ht="17.350000000000001" customHeight="1" x14ac:dyDescent="0.25">
      <c r="A72" s="825"/>
      <c r="B72" s="16"/>
      <c r="C72" s="1"/>
      <c r="D72" s="366"/>
      <c r="E72" s="366"/>
      <c r="F72" s="366"/>
      <c r="G72" s="366"/>
      <c r="H72" s="366"/>
      <c r="I72" s="366"/>
      <c r="J72" s="366"/>
      <c r="K72" s="366"/>
      <c r="L72" s="366"/>
      <c r="M72" s="264"/>
      <c r="N72" s="366"/>
      <c r="O72" s="366"/>
      <c r="P72" s="366"/>
      <c r="Q72" s="366"/>
      <c r="R72" s="366"/>
      <c r="S72" s="366"/>
      <c r="T72" s="366"/>
      <c r="U72" s="366"/>
      <c r="V72" s="366"/>
      <c r="W72" s="1"/>
      <c r="X72" s="1"/>
      <c r="Y72" s="1"/>
      <c r="Z72" s="1"/>
      <c r="AA72" s="1"/>
      <c r="AB72" s="1"/>
    </row>
    <row r="73" spans="1:28" ht="17.350000000000001" customHeight="1" x14ac:dyDescent="0.25">
      <c r="A73" s="825"/>
      <c r="B73" s="16"/>
      <c r="C73" s="1"/>
      <c r="D73" s="366"/>
      <c r="E73" s="366"/>
      <c r="F73" s="366"/>
      <c r="G73" s="366"/>
      <c r="H73" s="366"/>
      <c r="I73" s="366"/>
      <c r="J73" s="366"/>
      <c r="K73" s="366"/>
      <c r="L73" s="366"/>
      <c r="M73" s="264"/>
      <c r="N73" s="366"/>
      <c r="O73" s="366"/>
      <c r="P73" s="366"/>
      <c r="Q73" s="366"/>
      <c r="R73" s="366"/>
      <c r="S73" s="366"/>
      <c r="T73" s="366"/>
      <c r="U73" s="366"/>
      <c r="V73" s="366"/>
      <c r="W73" s="1"/>
      <c r="X73" s="1"/>
      <c r="Y73" s="1"/>
      <c r="Z73" s="1"/>
      <c r="AA73" s="1"/>
      <c r="AB73" s="1"/>
    </row>
    <row r="74" spans="1:28" ht="14.95" customHeight="1" x14ac:dyDescent="0.25">
      <c r="A74" s="825"/>
      <c r="B74" s="16"/>
      <c r="C74" s="1459" t="s">
        <v>1170</v>
      </c>
      <c r="D74" s="1405"/>
      <c r="E74" s="1406"/>
      <c r="F74" s="816" t="s">
        <v>130</v>
      </c>
      <c r="G74" s="813"/>
      <c r="H74" s="813"/>
      <c r="I74" s="813"/>
      <c r="J74" s="813"/>
      <c r="K74" s="813"/>
      <c r="L74" s="813"/>
      <c r="M74" s="938"/>
      <c r="N74" s="813"/>
      <c r="O74" s="813"/>
      <c r="P74" s="813"/>
      <c r="Q74" s="813"/>
      <c r="R74" s="813"/>
      <c r="S74" s="813"/>
      <c r="T74" s="813"/>
      <c r="U74" s="813"/>
      <c r="V74" s="813"/>
      <c r="W74" s="813"/>
      <c r="X74" s="813"/>
      <c r="Y74" s="813"/>
      <c r="Z74" s="813"/>
      <c r="AA74" s="813"/>
      <c r="AB74" s="863"/>
    </row>
    <row r="75" spans="1:28" ht="27" customHeight="1" x14ac:dyDescent="0.25">
      <c r="A75" s="825"/>
      <c r="B75" s="16"/>
      <c r="C75" s="1459" t="s">
        <v>1171</v>
      </c>
      <c r="D75" s="1405"/>
      <c r="E75" s="1406"/>
      <c r="F75" s="1445" t="s">
        <v>1676</v>
      </c>
      <c r="G75" s="1446"/>
      <c r="H75" s="1446"/>
      <c r="I75" s="1446"/>
      <c r="J75" s="1446"/>
      <c r="K75" s="1446"/>
      <c r="L75" s="1446"/>
      <c r="M75" s="1446"/>
      <c r="N75" s="1446"/>
      <c r="O75" s="1446"/>
      <c r="P75" s="1446"/>
      <c r="Q75" s="1446"/>
      <c r="R75" s="1446"/>
      <c r="S75" s="1446"/>
      <c r="T75" s="1446"/>
      <c r="U75" s="1446"/>
      <c r="V75" s="1446"/>
      <c r="W75" s="1446"/>
      <c r="X75" s="1446"/>
      <c r="Y75" s="1446"/>
      <c r="Z75" s="1446"/>
      <c r="AA75" s="1446"/>
      <c r="AB75" s="1447"/>
    </row>
    <row r="76" spans="1:28" ht="14.95" customHeight="1" x14ac:dyDescent="0.25">
      <c r="A76" s="825"/>
      <c r="B76" s="16"/>
      <c r="C76" s="1459" t="s">
        <v>1173</v>
      </c>
      <c r="D76" s="1405"/>
      <c r="E76" s="1406"/>
      <c r="F76" s="1445" t="s">
        <v>1306</v>
      </c>
      <c r="G76" s="1446"/>
      <c r="H76" s="1446"/>
      <c r="I76" s="1446"/>
      <c r="J76" s="1446"/>
      <c r="K76" s="1446"/>
      <c r="L76" s="1446"/>
      <c r="M76" s="1446"/>
      <c r="N76" s="1446"/>
      <c r="O76" s="1446"/>
      <c r="P76" s="1446"/>
      <c r="Q76" s="1446"/>
      <c r="R76" s="1446"/>
      <c r="S76" s="1446"/>
      <c r="T76" s="1446"/>
      <c r="U76" s="1446"/>
      <c r="V76" s="1446"/>
      <c r="W76" s="1446"/>
      <c r="X76" s="1446"/>
      <c r="Y76" s="1446"/>
      <c r="Z76" s="1446"/>
      <c r="AA76" s="1446"/>
      <c r="AB76" s="1447"/>
    </row>
    <row r="77" spans="1:28" ht="14.95" customHeight="1" x14ac:dyDescent="0.25">
      <c r="A77" s="825"/>
      <c r="B77" s="16"/>
      <c r="C77" s="1459" t="s">
        <v>1175</v>
      </c>
      <c r="D77" s="1405"/>
      <c r="E77" s="1406"/>
      <c r="F77" s="1445" t="s">
        <v>1307</v>
      </c>
      <c r="G77" s="1446"/>
      <c r="H77" s="1446"/>
      <c r="I77" s="1446"/>
      <c r="J77" s="1446"/>
      <c r="K77" s="1446"/>
      <c r="L77" s="1446"/>
      <c r="M77" s="1446"/>
      <c r="N77" s="1446"/>
      <c r="O77" s="1446"/>
      <c r="P77" s="1446"/>
      <c r="Q77" s="1446"/>
      <c r="R77" s="1446"/>
      <c r="S77" s="1446"/>
      <c r="T77" s="1446"/>
      <c r="U77" s="1446"/>
      <c r="V77" s="1446"/>
      <c r="W77" s="1446"/>
      <c r="X77" s="1446"/>
      <c r="Y77" s="1446"/>
      <c r="Z77" s="1446"/>
      <c r="AA77" s="1446"/>
      <c r="AB77" s="1447"/>
    </row>
    <row r="78" spans="1:28" ht="21.1" customHeight="1" x14ac:dyDescent="0.25">
      <c r="A78" s="825"/>
      <c r="B78" s="16"/>
      <c r="C78" s="1444" t="s">
        <v>142</v>
      </c>
      <c r="D78" s="1405"/>
      <c r="E78" s="1406"/>
      <c r="F78" s="1445" t="s">
        <v>1677</v>
      </c>
      <c r="G78" s="1446"/>
      <c r="H78" s="1446"/>
      <c r="I78" s="1446"/>
      <c r="J78" s="1446"/>
      <c r="K78" s="1446"/>
      <c r="L78" s="1446"/>
      <c r="M78" s="1446"/>
      <c r="N78" s="1446"/>
      <c r="O78" s="1446"/>
      <c r="P78" s="1446"/>
      <c r="Q78" s="1446"/>
      <c r="R78" s="1446"/>
      <c r="S78" s="1446"/>
      <c r="T78" s="1446"/>
      <c r="U78" s="1446"/>
      <c r="V78" s="1446"/>
      <c r="W78" s="1446"/>
      <c r="X78" s="1446"/>
      <c r="Y78" s="1446"/>
      <c r="Z78" s="1446"/>
      <c r="AA78" s="1446"/>
      <c r="AB78" s="1447"/>
    </row>
    <row r="79" spans="1:28" ht="48.75" customHeight="1" x14ac:dyDescent="0.25">
      <c r="A79" s="825"/>
      <c r="B79" s="16"/>
      <c r="C79" s="1444" t="s">
        <v>1178</v>
      </c>
      <c r="D79" s="1405"/>
      <c r="E79" s="1406"/>
      <c r="F79" s="1445" t="s">
        <v>1678</v>
      </c>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7"/>
    </row>
    <row r="80" spans="1:28" ht="27.7" customHeight="1" x14ac:dyDescent="0.25">
      <c r="A80" s="825"/>
      <c r="B80" s="16"/>
      <c r="C80" s="1418" t="s">
        <v>964</v>
      </c>
      <c r="D80" s="1418" t="s">
        <v>965</v>
      </c>
      <c r="E80" s="1418" t="s">
        <v>468</v>
      </c>
      <c r="F80" s="1452" t="s">
        <v>470</v>
      </c>
      <c r="G80" s="1452" t="s">
        <v>966</v>
      </c>
      <c r="H80" s="1452" t="s">
        <v>967</v>
      </c>
      <c r="I80" s="1452" t="s">
        <v>1180</v>
      </c>
      <c r="J80" s="1452" t="s">
        <v>968</v>
      </c>
      <c r="K80" s="1452" t="s">
        <v>969</v>
      </c>
      <c r="L80" s="1453" t="s">
        <v>970</v>
      </c>
      <c r="M80" s="1453" t="s">
        <v>971</v>
      </c>
      <c r="N80" s="1453" t="s">
        <v>972</v>
      </c>
      <c r="O80" s="1456" t="s">
        <v>973</v>
      </c>
      <c r="P80" s="1457"/>
      <c r="Q80" s="1456" t="s">
        <v>974</v>
      </c>
      <c r="R80" s="1458"/>
      <c r="S80" s="1458"/>
      <c r="T80" s="1458"/>
      <c r="U80" s="1457"/>
      <c r="V80" s="1452" t="s">
        <v>975</v>
      </c>
      <c r="W80" s="1465" t="s">
        <v>976</v>
      </c>
      <c r="X80" s="1405"/>
      <c r="Y80" s="1405"/>
      <c r="Z80" s="1406"/>
      <c r="AA80" s="808"/>
      <c r="AB80" s="1452" t="s">
        <v>977</v>
      </c>
    </row>
    <row r="81" spans="1:28" ht="63.7" customHeight="1" x14ac:dyDescent="0.25">
      <c r="A81" s="825"/>
      <c r="B81" s="16"/>
      <c r="C81" s="1420"/>
      <c r="D81" s="1420"/>
      <c r="E81" s="1420"/>
      <c r="F81" s="1449"/>
      <c r="G81" s="1449"/>
      <c r="H81" s="1449"/>
      <c r="I81" s="1449"/>
      <c r="J81" s="1449"/>
      <c r="K81" s="1449"/>
      <c r="L81" s="1454"/>
      <c r="M81" s="1455"/>
      <c r="N81" s="1454"/>
      <c r="O81" s="940" t="s">
        <v>978</v>
      </c>
      <c r="P81" s="940" t="s">
        <v>979</v>
      </c>
      <c r="Q81" s="940" t="s">
        <v>980</v>
      </c>
      <c r="R81" s="940" t="s">
        <v>981</v>
      </c>
      <c r="S81" s="940" t="s">
        <v>982</v>
      </c>
      <c r="T81" s="940" t="s">
        <v>983</v>
      </c>
      <c r="U81" s="940" t="s">
        <v>984</v>
      </c>
      <c r="V81" s="1449"/>
      <c r="W81" s="808" t="s">
        <v>985</v>
      </c>
      <c r="X81" s="808" t="s">
        <v>986</v>
      </c>
      <c r="Y81" s="808" t="s">
        <v>987</v>
      </c>
      <c r="Z81" s="808" t="s">
        <v>988</v>
      </c>
      <c r="AA81" s="808"/>
      <c r="AB81" s="1449"/>
    </row>
    <row r="82" spans="1:28" ht="95.95" customHeight="1" x14ac:dyDescent="0.25">
      <c r="A82" s="334" t="s">
        <v>258</v>
      </c>
      <c r="B82" s="291"/>
      <c r="C82" s="12" t="s">
        <v>1679</v>
      </c>
      <c r="D82" s="375" t="s">
        <v>178</v>
      </c>
      <c r="E82" s="375" t="s">
        <v>1680</v>
      </c>
      <c r="F82" s="183" t="s">
        <v>1681</v>
      </c>
      <c r="G82" s="183" t="str">
        <f>+'8. BASE  CONSOLIDADA'!O108</f>
        <v>GOBERNANZA</v>
      </c>
      <c r="H82" s="183" t="str">
        <f>+'8. BASE  CONSOLIDADA'!P108</f>
        <v>C20</v>
      </c>
      <c r="I82" s="14"/>
      <c r="J82" s="14">
        <v>14</v>
      </c>
      <c r="K82" s="14"/>
      <c r="L82" s="255">
        <f>7*5000*12</f>
        <v>420000</v>
      </c>
      <c r="M82" s="786" t="s">
        <v>1682</v>
      </c>
      <c r="N82" s="13" t="s">
        <v>1313</v>
      </c>
      <c r="O82" s="255">
        <f>+L82*5</f>
        <v>2100000</v>
      </c>
      <c r="P82" s="255">
        <f t="shared" ref="P82:P83" si="46">+L82*K82</f>
        <v>0</v>
      </c>
      <c r="Q82" s="255">
        <f t="shared" ref="Q82:U82" si="47">+$O$82*0.2</f>
        <v>420000</v>
      </c>
      <c r="R82" s="255">
        <f t="shared" si="47"/>
        <v>420000</v>
      </c>
      <c r="S82" s="255">
        <f t="shared" si="47"/>
        <v>420000</v>
      </c>
      <c r="T82" s="255">
        <f t="shared" si="47"/>
        <v>420000</v>
      </c>
      <c r="U82" s="255">
        <f t="shared" si="47"/>
        <v>420000</v>
      </c>
      <c r="V82" s="30"/>
      <c r="W82" s="13"/>
      <c r="X82" s="13"/>
      <c r="Y82" s="13" t="s">
        <v>148</v>
      </c>
      <c r="Z82" s="13"/>
      <c r="AA82" s="13"/>
      <c r="AB82" s="13">
        <v>3</v>
      </c>
    </row>
    <row r="83" spans="1:28" ht="88.5" customHeight="1" x14ac:dyDescent="0.25">
      <c r="A83" s="337" t="s">
        <v>259</v>
      </c>
      <c r="B83" s="285" t="s">
        <v>254</v>
      </c>
      <c r="C83" s="12" t="s">
        <v>1683</v>
      </c>
      <c r="D83" s="375" t="s">
        <v>171</v>
      </c>
      <c r="E83" s="375" t="s">
        <v>1684</v>
      </c>
      <c r="F83" s="13" t="s">
        <v>1316</v>
      </c>
      <c r="G83" s="183" t="str">
        <f>+'8. BASE  CONSOLIDADA'!O109</f>
        <v>ASISTENCIA TÉCNICA</v>
      </c>
      <c r="H83" s="183" t="str">
        <f>+'8. BASE  CONSOLIDADA'!P109</f>
        <v>C1</v>
      </c>
      <c r="I83" s="14">
        <f>15*100</f>
        <v>1500</v>
      </c>
      <c r="J83" s="14">
        <f>+I83*0.6</f>
        <v>900</v>
      </c>
      <c r="K83" s="14">
        <f>+I83*0.4</f>
        <v>600</v>
      </c>
      <c r="L83" s="76">
        <f>560</f>
        <v>560</v>
      </c>
      <c r="M83" s="791" t="s">
        <v>1317</v>
      </c>
      <c r="N83" s="13" t="s">
        <v>1313</v>
      </c>
      <c r="O83" s="255">
        <f>+J83*L83</f>
        <v>504000</v>
      </c>
      <c r="P83" s="255">
        <f t="shared" si="46"/>
        <v>336000</v>
      </c>
      <c r="Q83" s="255">
        <f t="shared" ref="Q83:U83" si="48">+$O$83*0.2</f>
        <v>100800</v>
      </c>
      <c r="R83" s="255">
        <f t="shared" si="48"/>
        <v>100800</v>
      </c>
      <c r="S83" s="255">
        <f t="shared" si="48"/>
        <v>100800</v>
      </c>
      <c r="T83" s="255">
        <f t="shared" si="48"/>
        <v>100800</v>
      </c>
      <c r="U83" s="255">
        <f t="shared" si="48"/>
        <v>100800</v>
      </c>
      <c r="V83" s="30"/>
      <c r="W83" s="13"/>
      <c r="X83" s="13"/>
      <c r="Y83" s="13" t="s">
        <v>148</v>
      </c>
      <c r="Z83" s="13"/>
      <c r="AA83" s="13" t="str">
        <f t="shared" ref="AA83:AA86" si="49">+B83</f>
        <v>RE</v>
      </c>
      <c r="AB83" s="13">
        <v>3</v>
      </c>
    </row>
    <row r="84" spans="1:28" ht="102.1" customHeight="1" x14ac:dyDescent="0.25">
      <c r="A84" s="333" t="s">
        <v>260</v>
      </c>
      <c r="B84" s="284" t="s">
        <v>254</v>
      </c>
      <c r="C84" s="12" t="s">
        <v>1685</v>
      </c>
      <c r="D84" s="373" t="s">
        <v>177</v>
      </c>
      <c r="E84" s="375" t="s">
        <v>1319</v>
      </c>
      <c r="F84" s="13" t="s">
        <v>1320</v>
      </c>
      <c r="G84" s="183" t="str">
        <f>+'8. BASE  CONSOLIDADA'!O110</f>
        <v>INNOVACIÓN</v>
      </c>
      <c r="H84" s="183" t="str">
        <f>+'8. BASE  CONSOLIDADA'!P110</f>
        <v>C8</v>
      </c>
      <c r="I84" s="14"/>
      <c r="J84" s="14">
        <f>3*15</f>
        <v>45</v>
      </c>
      <c r="K84" s="14">
        <f>2*15</f>
        <v>30</v>
      </c>
      <c r="L84" s="76">
        <v>15000</v>
      </c>
      <c r="M84" s="788" t="s">
        <v>1686</v>
      </c>
      <c r="N84" s="13" t="s">
        <v>1322</v>
      </c>
      <c r="O84" s="255">
        <f>+L84*J84</f>
        <v>675000</v>
      </c>
      <c r="P84" s="255">
        <f>+L84*K84</f>
        <v>450000</v>
      </c>
      <c r="Q84" s="255">
        <f t="shared" ref="Q84:U84" si="50">+$O$84*0.2</f>
        <v>135000</v>
      </c>
      <c r="R84" s="255">
        <f t="shared" si="50"/>
        <v>135000</v>
      </c>
      <c r="S84" s="255">
        <f t="shared" si="50"/>
        <v>135000</v>
      </c>
      <c r="T84" s="255">
        <f t="shared" si="50"/>
        <v>135000</v>
      </c>
      <c r="U84" s="255">
        <f t="shared" si="50"/>
        <v>135000</v>
      </c>
      <c r="V84" s="30"/>
      <c r="W84" s="13" t="s">
        <v>148</v>
      </c>
      <c r="X84" s="13"/>
      <c r="Y84" s="13"/>
      <c r="Z84" s="13"/>
      <c r="AA84" s="13" t="str">
        <f t="shared" si="49"/>
        <v>RE</v>
      </c>
      <c r="AB84" s="13">
        <v>2</v>
      </c>
    </row>
    <row r="85" spans="1:28" ht="66.099999999999994" customHeight="1" x14ac:dyDescent="0.25">
      <c r="A85" s="337" t="s">
        <v>259</v>
      </c>
      <c r="B85" s="285" t="s">
        <v>254</v>
      </c>
      <c r="C85" s="12" t="s">
        <v>1687</v>
      </c>
      <c r="D85" s="375" t="s">
        <v>174</v>
      </c>
      <c r="E85" s="375" t="s">
        <v>1688</v>
      </c>
      <c r="F85" s="183" t="s">
        <v>1325</v>
      </c>
      <c r="G85" s="183" t="str">
        <f>+'8. BASE  CONSOLIDADA'!O111</f>
        <v>ASOCIATIVIDAD</v>
      </c>
      <c r="H85" s="183" t="str">
        <f>+'8. BASE  CONSOLIDADA'!P111</f>
        <v>C2</v>
      </c>
      <c r="I85" s="14"/>
      <c r="J85" s="14">
        <v>15</v>
      </c>
      <c r="K85" s="14">
        <v>15</v>
      </c>
      <c r="L85" s="28">
        <f>3*4000*12</f>
        <v>144000</v>
      </c>
      <c r="M85" s="788" t="s">
        <v>1326</v>
      </c>
      <c r="N85" s="13" t="s">
        <v>1327</v>
      </c>
      <c r="O85" s="255">
        <f>+J85*L85*5</f>
        <v>10800000</v>
      </c>
      <c r="P85" s="255">
        <f>+L85*K85*5</f>
        <v>10800000</v>
      </c>
      <c r="Q85" s="255">
        <f t="shared" ref="Q85:U85" si="51">+$O$85*0.2</f>
        <v>2160000</v>
      </c>
      <c r="R85" s="255">
        <f t="shared" si="51"/>
        <v>2160000</v>
      </c>
      <c r="S85" s="255">
        <f t="shared" si="51"/>
        <v>2160000</v>
      </c>
      <c r="T85" s="255">
        <f t="shared" si="51"/>
        <v>2160000</v>
      </c>
      <c r="U85" s="255">
        <f t="shared" si="51"/>
        <v>2160000</v>
      </c>
      <c r="V85" s="30"/>
      <c r="W85" s="13"/>
      <c r="X85" s="13"/>
      <c r="Y85" s="13" t="s">
        <v>148</v>
      </c>
      <c r="Z85" s="13"/>
      <c r="AA85" s="13" t="str">
        <f t="shared" si="49"/>
        <v>RE</v>
      </c>
      <c r="AB85" s="13">
        <v>2</v>
      </c>
    </row>
    <row r="86" spans="1:28" ht="53.35" customHeight="1" x14ac:dyDescent="0.25">
      <c r="A86" s="333" t="s">
        <v>260</v>
      </c>
      <c r="B86" s="284" t="s">
        <v>254</v>
      </c>
      <c r="C86" s="12" t="s">
        <v>1689</v>
      </c>
      <c r="D86" s="375" t="s">
        <v>179</v>
      </c>
      <c r="E86" s="373" t="s">
        <v>1329</v>
      </c>
      <c r="F86" s="183" t="s">
        <v>994</v>
      </c>
      <c r="G86" s="183" t="str">
        <f>+'8. BASE  CONSOLIDADA'!O112</f>
        <v>MERCADO</v>
      </c>
      <c r="H86" s="183" t="str">
        <f>+'8. BASE  CONSOLIDADA'!P112</f>
        <v>C9</v>
      </c>
      <c r="I86" s="14"/>
      <c r="J86" s="14">
        <v>2</v>
      </c>
      <c r="K86" s="14">
        <v>2</v>
      </c>
      <c r="L86" s="76">
        <v>3500</v>
      </c>
      <c r="M86" s="788" t="s">
        <v>1330</v>
      </c>
      <c r="N86" s="13" t="s">
        <v>1331</v>
      </c>
      <c r="O86" s="255">
        <f>+J86*L86*60</f>
        <v>420000</v>
      </c>
      <c r="P86" s="255">
        <f>+L86*K86*60</f>
        <v>420000</v>
      </c>
      <c r="Q86" s="255">
        <f t="shared" ref="Q86:U86" si="52">+$O$86*0.2</f>
        <v>84000</v>
      </c>
      <c r="R86" s="255">
        <f t="shared" si="52"/>
        <v>84000</v>
      </c>
      <c r="S86" s="255">
        <f t="shared" si="52"/>
        <v>84000</v>
      </c>
      <c r="T86" s="255">
        <f t="shared" si="52"/>
        <v>84000</v>
      </c>
      <c r="U86" s="255">
        <f t="shared" si="52"/>
        <v>84000</v>
      </c>
      <c r="V86" s="30"/>
      <c r="W86" s="13" t="s">
        <v>148</v>
      </c>
      <c r="X86" s="13"/>
      <c r="Y86" s="13"/>
      <c r="Z86" s="13"/>
      <c r="AA86" s="13" t="str">
        <f t="shared" si="49"/>
        <v>RE</v>
      </c>
      <c r="AB86" s="13">
        <v>2</v>
      </c>
    </row>
    <row r="87" spans="1:28" ht="63.7" customHeight="1" x14ac:dyDescent="0.25">
      <c r="A87" s="334" t="s">
        <v>258</v>
      </c>
      <c r="B87" s="291"/>
      <c r="C87" s="12" t="s">
        <v>1690</v>
      </c>
      <c r="D87" s="373" t="s">
        <v>180</v>
      </c>
      <c r="E87" s="373" t="s">
        <v>1691</v>
      </c>
      <c r="F87" s="13" t="s">
        <v>1334</v>
      </c>
      <c r="G87" s="183" t="str">
        <f>+'8. BASE  CONSOLIDADA'!O113</f>
        <v>FINANCIAMIENTO</v>
      </c>
      <c r="H87" s="183" t="str">
        <f>+'8. BASE  CONSOLIDADA'!P113</f>
        <v>C6</v>
      </c>
      <c r="I87" s="14">
        <v>4</v>
      </c>
      <c r="J87" s="14">
        <v>9</v>
      </c>
      <c r="K87" s="14">
        <v>6</v>
      </c>
      <c r="L87" s="256">
        <v>5000</v>
      </c>
      <c r="M87" s="786" t="s">
        <v>1692</v>
      </c>
      <c r="N87" s="13" t="s">
        <v>1693</v>
      </c>
      <c r="O87" s="255">
        <f>+J87*L87*5</f>
        <v>225000</v>
      </c>
      <c r="P87" s="255">
        <f>+L87*K87*5</f>
        <v>150000</v>
      </c>
      <c r="Q87" s="255">
        <f t="shared" ref="Q87:U87" si="53">+$O$87*0.2</f>
        <v>45000</v>
      </c>
      <c r="R87" s="255">
        <f t="shared" si="53"/>
        <v>45000</v>
      </c>
      <c r="S87" s="255">
        <f t="shared" si="53"/>
        <v>45000</v>
      </c>
      <c r="T87" s="255">
        <f t="shared" si="53"/>
        <v>45000</v>
      </c>
      <c r="U87" s="255">
        <f t="shared" si="53"/>
        <v>45000</v>
      </c>
      <c r="V87" s="30"/>
      <c r="W87" s="13"/>
      <c r="X87" s="13"/>
      <c r="Y87" s="13" t="s">
        <v>148</v>
      </c>
      <c r="Z87" s="13"/>
      <c r="AA87" s="13"/>
      <c r="AB87" s="13">
        <v>3</v>
      </c>
    </row>
    <row r="88" spans="1:28" ht="58.6" customHeight="1" x14ac:dyDescent="0.25">
      <c r="A88" s="337" t="s">
        <v>259</v>
      </c>
      <c r="B88" s="285"/>
      <c r="C88" s="12" t="s">
        <v>1694</v>
      </c>
      <c r="D88" s="786" t="s">
        <v>173</v>
      </c>
      <c r="E88" s="786" t="s">
        <v>1695</v>
      </c>
      <c r="F88" s="14" t="s">
        <v>1339</v>
      </c>
      <c r="G88" s="183" t="str">
        <f>+'8. BASE  CONSOLIDADA'!O114</f>
        <v>SERVICIO DE EDUCACIÓN Y SALUD ADECUADOS</v>
      </c>
      <c r="H88" s="183" t="str">
        <f>+'8. BASE  CONSOLIDADA'!P114</f>
        <v>C14</v>
      </c>
      <c r="I88" s="14">
        <f>15*100</f>
        <v>1500</v>
      </c>
      <c r="J88" s="14">
        <f>+I88*0.3</f>
        <v>450</v>
      </c>
      <c r="K88" s="14">
        <f>+I88*0.2</f>
        <v>300</v>
      </c>
      <c r="L88" s="76">
        <v>30000</v>
      </c>
      <c r="M88" s="788" t="s">
        <v>1340</v>
      </c>
      <c r="N88" s="13" t="s">
        <v>1696</v>
      </c>
      <c r="O88" s="255">
        <f>+J88*L88</f>
        <v>13500000</v>
      </c>
      <c r="P88" s="255">
        <f>+L88*K88</f>
        <v>9000000</v>
      </c>
      <c r="Q88" s="255">
        <f t="shared" ref="Q88:U88" si="54">+$O$88*0.2</f>
        <v>2700000</v>
      </c>
      <c r="R88" s="255">
        <f t="shared" si="54"/>
        <v>2700000</v>
      </c>
      <c r="S88" s="255">
        <f t="shared" si="54"/>
        <v>2700000</v>
      </c>
      <c r="T88" s="255">
        <f t="shared" si="54"/>
        <v>2700000</v>
      </c>
      <c r="U88" s="255">
        <f t="shared" si="54"/>
        <v>2700000</v>
      </c>
      <c r="V88" s="30"/>
      <c r="W88" s="13"/>
      <c r="X88" s="13"/>
      <c r="Y88" s="13" t="s">
        <v>148</v>
      </c>
      <c r="Z88" s="13"/>
      <c r="AA88" s="13"/>
      <c r="AB88" s="13">
        <v>2</v>
      </c>
    </row>
    <row r="89" spans="1:28" ht="52.5" customHeight="1" x14ac:dyDescent="0.25">
      <c r="A89" s="337" t="s">
        <v>259</v>
      </c>
      <c r="B89" s="285" t="s">
        <v>254</v>
      </c>
      <c r="C89" s="12" t="s">
        <v>1697</v>
      </c>
      <c r="D89" s="263" t="s">
        <v>176</v>
      </c>
      <c r="E89" s="263" t="s">
        <v>1343</v>
      </c>
      <c r="F89" s="183" t="s">
        <v>1344</v>
      </c>
      <c r="G89" s="183" t="str">
        <f>+'8. BASE  CONSOLIDADA'!O115</f>
        <v>SERVICIO DE EDUCACIÓN Y SALUD ADECUADOS</v>
      </c>
      <c r="H89" s="183" t="str">
        <f>+'8. BASE  CONSOLIDADA'!P115</f>
        <v>C14</v>
      </c>
      <c r="I89" s="13">
        <v>15</v>
      </c>
      <c r="J89" s="31">
        <v>8</v>
      </c>
      <c r="K89" s="31">
        <v>7</v>
      </c>
      <c r="L89" s="26">
        <v>50000</v>
      </c>
      <c r="M89" s="788" t="s">
        <v>1345</v>
      </c>
      <c r="N89" s="13" t="s">
        <v>1346</v>
      </c>
      <c r="O89" s="255">
        <f>+J89*L89*5</f>
        <v>2000000</v>
      </c>
      <c r="P89" s="255">
        <f>+L89*K89*5</f>
        <v>1750000</v>
      </c>
      <c r="Q89" s="255">
        <f t="shared" ref="Q89:U89" si="55">+$O$89*0.2</f>
        <v>400000</v>
      </c>
      <c r="R89" s="255">
        <f t="shared" si="55"/>
        <v>400000</v>
      </c>
      <c r="S89" s="255">
        <f t="shared" si="55"/>
        <v>400000</v>
      </c>
      <c r="T89" s="255">
        <f t="shared" si="55"/>
        <v>400000</v>
      </c>
      <c r="U89" s="255">
        <f t="shared" si="55"/>
        <v>400000</v>
      </c>
      <c r="V89" s="30"/>
      <c r="W89" s="13" t="s">
        <v>148</v>
      </c>
      <c r="X89" s="13"/>
      <c r="Y89" s="13"/>
      <c r="Z89" s="13"/>
      <c r="AA89" s="13" t="str">
        <f>+B89</f>
        <v>RE</v>
      </c>
      <c r="AB89" s="13">
        <v>3</v>
      </c>
    </row>
    <row r="90" spans="1:28" ht="14.95" customHeight="1" x14ac:dyDescent="0.25">
      <c r="A90" s="825"/>
      <c r="B90" s="16"/>
      <c r="C90" s="1"/>
      <c r="D90" s="366"/>
      <c r="E90" s="366"/>
      <c r="F90" s="366"/>
      <c r="G90" s="366"/>
      <c r="H90" s="366"/>
      <c r="I90" s="366"/>
      <c r="J90" s="366"/>
      <c r="K90" s="366"/>
      <c r="L90" s="366"/>
      <c r="M90" s="264"/>
      <c r="N90" s="366"/>
      <c r="O90" s="29">
        <f>SUM(O82:O89)</f>
        <v>30224000</v>
      </c>
      <c r="P90" s="29">
        <f t="shared" ref="P90:U90" si="56">SUM(P82:P89)</f>
        <v>22906000</v>
      </c>
      <c r="Q90" s="29">
        <f t="shared" si="56"/>
        <v>6044800</v>
      </c>
      <c r="R90" s="29">
        <f t="shared" si="56"/>
        <v>6044800</v>
      </c>
      <c r="S90" s="29">
        <f t="shared" si="56"/>
        <v>6044800</v>
      </c>
      <c r="T90" s="29">
        <f t="shared" si="56"/>
        <v>6044800</v>
      </c>
      <c r="U90" s="29">
        <f t="shared" si="56"/>
        <v>6044800</v>
      </c>
      <c r="V90" s="366"/>
      <c r="W90" s="1"/>
      <c r="X90" s="1"/>
      <c r="Y90" s="1"/>
      <c r="Z90" s="1"/>
      <c r="AA90" s="1"/>
      <c r="AB90" s="1"/>
    </row>
    <row r="91" spans="1:28" ht="14.95" customHeight="1" x14ac:dyDescent="0.25">
      <c r="A91" s="825"/>
      <c r="B91" s="16"/>
      <c r="C91" s="1"/>
      <c r="D91" s="366"/>
      <c r="E91" s="497"/>
      <c r="F91" s="366"/>
      <c r="G91" s="366"/>
      <c r="H91" s="366"/>
      <c r="I91" s="366"/>
      <c r="J91" s="366"/>
      <c r="K91" s="366"/>
      <c r="L91" s="366"/>
      <c r="M91" s="264"/>
      <c r="N91" s="366"/>
      <c r="O91" s="366"/>
      <c r="P91" s="366"/>
      <c r="Q91" s="366"/>
      <c r="R91" s="366"/>
      <c r="S91" s="366"/>
      <c r="T91" s="366"/>
      <c r="U91" s="366"/>
      <c r="V91" s="366"/>
      <c r="W91" s="1"/>
      <c r="X91" s="1"/>
      <c r="Y91" s="1"/>
      <c r="Z91" s="1"/>
      <c r="AA91" s="1"/>
      <c r="AB91" s="1"/>
    </row>
    <row r="92" spans="1:28" ht="17.5" customHeight="1" x14ac:dyDescent="0.25">
      <c r="A92" s="825"/>
      <c r="B92" s="16"/>
      <c r="C92" s="1"/>
      <c r="D92" s="366"/>
      <c r="E92" s="366"/>
      <c r="F92" s="366"/>
      <c r="G92" s="366"/>
      <c r="H92" s="366"/>
      <c r="I92" s="366"/>
      <c r="J92" s="366"/>
      <c r="K92" s="366"/>
      <c r="L92" s="366"/>
      <c r="M92" s="264"/>
      <c r="N92" s="366"/>
      <c r="O92" s="366"/>
      <c r="P92" s="366"/>
      <c r="Q92" s="366"/>
      <c r="R92" s="366"/>
      <c r="S92" s="366"/>
      <c r="T92" s="366"/>
      <c r="U92" s="366"/>
      <c r="V92" s="366"/>
      <c r="W92" s="1"/>
      <c r="X92" s="1"/>
      <c r="Y92" s="1"/>
      <c r="Z92" s="1"/>
      <c r="AA92" s="1"/>
      <c r="AB92" s="1"/>
    </row>
    <row r="93" spans="1:28" ht="18.7" customHeight="1" x14ac:dyDescent="0.25">
      <c r="A93" s="825"/>
      <c r="B93" s="16"/>
      <c r="C93" s="1459" t="s">
        <v>1170</v>
      </c>
      <c r="D93" s="1405"/>
      <c r="E93" s="1406"/>
      <c r="F93" s="816" t="s">
        <v>122</v>
      </c>
      <c r="G93" s="809"/>
      <c r="H93" s="809"/>
      <c r="I93" s="809"/>
      <c r="J93" s="809"/>
      <c r="K93" s="809"/>
      <c r="L93" s="809"/>
      <c r="M93" s="936"/>
      <c r="N93" s="809"/>
      <c r="O93" s="809"/>
      <c r="P93" s="809"/>
      <c r="Q93" s="809"/>
      <c r="R93" s="809"/>
      <c r="S93" s="809"/>
      <c r="T93" s="809"/>
      <c r="U93" s="809"/>
      <c r="V93" s="809"/>
      <c r="W93" s="809"/>
      <c r="X93" s="809"/>
      <c r="Y93" s="809"/>
      <c r="Z93" s="809"/>
      <c r="AA93" s="809"/>
      <c r="AB93" s="810"/>
    </row>
    <row r="94" spans="1:28" ht="27" customHeight="1" x14ac:dyDescent="0.25">
      <c r="A94" s="825"/>
      <c r="B94" s="16"/>
      <c r="C94" s="1459" t="s">
        <v>1171</v>
      </c>
      <c r="D94" s="1405"/>
      <c r="E94" s="1406"/>
      <c r="F94" s="1445" t="s">
        <v>1698</v>
      </c>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90"/>
    </row>
    <row r="95" spans="1:28" ht="18.7" customHeight="1" x14ac:dyDescent="0.25">
      <c r="A95" s="825"/>
      <c r="B95" s="16"/>
      <c r="C95" s="1459" t="s">
        <v>1173</v>
      </c>
      <c r="D95" s="1405"/>
      <c r="E95" s="1406"/>
      <c r="F95" s="1445" t="s">
        <v>1348</v>
      </c>
      <c r="G95" s="1489"/>
      <c r="H95" s="1489"/>
      <c r="I95" s="1489"/>
      <c r="J95" s="1489"/>
      <c r="K95" s="1489"/>
      <c r="L95" s="1489"/>
      <c r="M95" s="1489"/>
      <c r="N95" s="1489"/>
      <c r="O95" s="1489"/>
      <c r="P95" s="1489"/>
      <c r="Q95" s="1489"/>
      <c r="R95" s="1489"/>
      <c r="S95" s="1489"/>
      <c r="T95" s="1489"/>
      <c r="U95" s="1489"/>
      <c r="V95" s="1489"/>
      <c r="W95" s="1489"/>
      <c r="X95" s="1489"/>
      <c r="Y95" s="1489"/>
      <c r="Z95" s="1489"/>
      <c r="AA95" s="1489"/>
      <c r="AB95" s="1490"/>
    </row>
    <row r="96" spans="1:28" ht="14.95" customHeight="1" x14ac:dyDescent="0.25">
      <c r="A96" s="825"/>
      <c r="B96" s="16"/>
      <c r="C96" s="1459" t="s">
        <v>1175</v>
      </c>
      <c r="D96" s="1405"/>
      <c r="E96" s="1406"/>
      <c r="F96" s="1445" t="s">
        <v>1349</v>
      </c>
      <c r="G96" s="1489"/>
      <c r="H96" s="1489"/>
      <c r="I96" s="1489"/>
      <c r="J96" s="1489"/>
      <c r="K96" s="1489"/>
      <c r="L96" s="1489"/>
      <c r="M96" s="1489"/>
      <c r="N96" s="1489"/>
      <c r="O96" s="1489"/>
      <c r="P96" s="1489"/>
      <c r="Q96" s="1489"/>
      <c r="R96" s="1489"/>
      <c r="S96" s="1489"/>
      <c r="T96" s="1489"/>
      <c r="U96" s="1489"/>
      <c r="V96" s="1489"/>
      <c r="W96" s="1489"/>
      <c r="X96" s="1489"/>
      <c r="Y96" s="1489"/>
      <c r="Z96" s="1489"/>
      <c r="AA96" s="1489"/>
      <c r="AB96" s="1490"/>
    </row>
    <row r="97" spans="1:28" ht="21.1" customHeight="1" x14ac:dyDescent="0.25">
      <c r="A97" s="825"/>
      <c r="B97" s="16"/>
      <c r="C97" s="1444" t="s">
        <v>142</v>
      </c>
      <c r="D97" s="1405"/>
      <c r="E97" s="1406"/>
      <c r="F97" s="1445" t="s">
        <v>1699</v>
      </c>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90"/>
    </row>
    <row r="98" spans="1:28" ht="36" customHeight="1" x14ac:dyDescent="0.25">
      <c r="A98" s="825"/>
      <c r="B98" s="16"/>
      <c r="C98" s="1444" t="s">
        <v>1178</v>
      </c>
      <c r="D98" s="1405"/>
      <c r="E98" s="1406"/>
      <c r="F98" s="1445" t="s">
        <v>1350</v>
      </c>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90"/>
    </row>
    <row r="99" spans="1:28" ht="23.95" customHeight="1" x14ac:dyDescent="0.25">
      <c r="A99" s="825"/>
      <c r="B99" s="16"/>
      <c r="C99" s="1418" t="s">
        <v>964</v>
      </c>
      <c r="D99" s="1418" t="s">
        <v>965</v>
      </c>
      <c r="E99" s="1418" t="s">
        <v>468</v>
      </c>
      <c r="F99" s="1452" t="s">
        <v>470</v>
      </c>
      <c r="G99" s="1452" t="s">
        <v>966</v>
      </c>
      <c r="H99" s="1452" t="s">
        <v>967</v>
      </c>
      <c r="I99" s="1452" t="s">
        <v>1180</v>
      </c>
      <c r="J99" s="1452" t="s">
        <v>968</v>
      </c>
      <c r="K99" s="1452" t="s">
        <v>969</v>
      </c>
      <c r="L99" s="1453" t="s">
        <v>970</v>
      </c>
      <c r="M99" s="1453" t="s">
        <v>971</v>
      </c>
      <c r="N99" s="1453" t="s">
        <v>972</v>
      </c>
      <c r="O99" s="1456" t="s">
        <v>973</v>
      </c>
      <c r="P99" s="1457"/>
      <c r="Q99" s="1456" t="s">
        <v>974</v>
      </c>
      <c r="R99" s="1458"/>
      <c r="S99" s="1458"/>
      <c r="T99" s="1458"/>
      <c r="U99" s="1457"/>
      <c r="V99" s="1452" t="s">
        <v>975</v>
      </c>
      <c r="W99" s="1465" t="s">
        <v>976</v>
      </c>
      <c r="X99" s="1405"/>
      <c r="Y99" s="1405"/>
      <c r="Z99" s="1406"/>
      <c r="AA99" s="808"/>
      <c r="AB99" s="1452" t="s">
        <v>977</v>
      </c>
    </row>
    <row r="100" spans="1:28" ht="68.95" customHeight="1" x14ac:dyDescent="0.25">
      <c r="A100" s="825"/>
      <c r="B100" s="16"/>
      <c r="C100" s="1420"/>
      <c r="D100" s="1420"/>
      <c r="E100" s="1420"/>
      <c r="F100" s="1449"/>
      <c r="G100" s="1449"/>
      <c r="H100" s="1449"/>
      <c r="I100" s="1449"/>
      <c r="J100" s="1449"/>
      <c r="K100" s="1449"/>
      <c r="L100" s="1454"/>
      <c r="M100" s="1455"/>
      <c r="N100" s="1454"/>
      <c r="O100" s="940" t="s">
        <v>978</v>
      </c>
      <c r="P100" s="940" t="s">
        <v>979</v>
      </c>
      <c r="Q100" s="940" t="s">
        <v>980</v>
      </c>
      <c r="R100" s="940" t="s">
        <v>981</v>
      </c>
      <c r="S100" s="940" t="s">
        <v>982</v>
      </c>
      <c r="T100" s="940" t="s">
        <v>983</v>
      </c>
      <c r="U100" s="940" t="s">
        <v>984</v>
      </c>
      <c r="V100" s="1449"/>
      <c r="W100" s="808" t="s">
        <v>985</v>
      </c>
      <c r="X100" s="808" t="s">
        <v>986</v>
      </c>
      <c r="Y100" s="808" t="s">
        <v>987</v>
      </c>
      <c r="Z100" s="808" t="s">
        <v>988</v>
      </c>
      <c r="AA100" s="808"/>
      <c r="AB100" s="1449"/>
    </row>
    <row r="101" spans="1:28" ht="99" customHeight="1" x14ac:dyDescent="0.25">
      <c r="A101" s="295" t="s">
        <v>257</v>
      </c>
      <c r="B101" s="290"/>
      <c r="C101" s="12" t="s">
        <v>1700</v>
      </c>
      <c r="D101" s="375" t="s">
        <v>329</v>
      </c>
      <c r="E101" s="786" t="s">
        <v>1555</v>
      </c>
      <c r="F101" s="13" t="s">
        <v>1320</v>
      </c>
      <c r="G101" s="183" t="str">
        <f>+'8. BASE  CONSOLIDADA'!O116</f>
        <v>FINANCIAMIENTO</v>
      </c>
      <c r="H101" s="183" t="str">
        <f>+'8. BASE  CONSOLIDADA'!P116</f>
        <v>C6</v>
      </c>
      <c r="I101" s="13">
        <v>4</v>
      </c>
      <c r="J101" s="31">
        <f>+I101*1</f>
        <v>4</v>
      </c>
      <c r="K101" s="31">
        <v>4</v>
      </c>
      <c r="L101" s="26">
        <v>150000</v>
      </c>
      <c r="M101" s="788" t="s">
        <v>1353</v>
      </c>
      <c r="N101" s="13" t="s">
        <v>1354</v>
      </c>
      <c r="O101" s="14">
        <f>+J101*L101</f>
        <v>600000</v>
      </c>
      <c r="P101" s="14">
        <f>+L101*K101</f>
        <v>600000</v>
      </c>
      <c r="Q101" s="14">
        <f t="shared" ref="Q101:U101" si="57">+$O$101*0.2</f>
        <v>120000</v>
      </c>
      <c r="R101" s="14">
        <f t="shared" si="57"/>
        <v>120000</v>
      </c>
      <c r="S101" s="14">
        <f t="shared" si="57"/>
        <v>120000</v>
      </c>
      <c r="T101" s="14">
        <f t="shared" si="57"/>
        <v>120000</v>
      </c>
      <c r="U101" s="14">
        <f t="shared" si="57"/>
        <v>120000</v>
      </c>
      <c r="V101" s="30"/>
      <c r="W101" s="13" t="s">
        <v>148</v>
      </c>
      <c r="X101" s="13"/>
      <c r="Y101" s="13"/>
      <c r="Z101" s="10"/>
      <c r="AA101" s="10">
        <f t="shared" ref="AA101:AA104" si="58">+B101</f>
        <v>0</v>
      </c>
      <c r="AB101" s="13">
        <v>3</v>
      </c>
    </row>
    <row r="102" spans="1:28" ht="109.55" customHeight="1" x14ac:dyDescent="0.25">
      <c r="A102" s="337" t="s">
        <v>259</v>
      </c>
      <c r="B102" s="285"/>
      <c r="C102" s="12" t="s">
        <v>1701</v>
      </c>
      <c r="D102" s="786" t="s">
        <v>271</v>
      </c>
      <c r="E102" s="373" t="s">
        <v>1356</v>
      </c>
      <c r="F102" s="183" t="s">
        <v>994</v>
      </c>
      <c r="G102" s="183" t="str">
        <f>+'8. BASE  CONSOLIDADA'!O117</f>
        <v>ASISTENCIA TÉCNICA</v>
      </c>
      <c r="H102" s="183" t="str">
        <f>+'8. BASE  CONSOLIDADA'!P117</f>
        <v>C1</v>
      </c>
      <c r="I102" s="183"/>
      <c r="J102" s="13">
        <v>2</v>
      </c>
      <c r="K102" s="13">
        <v>2</v>
      </c>
      <c r="L102" s="26">
        <v>4000</v>
      </c>
      <c r="M102" s="788" t="s">
        <v>1357</v>
      </c>
      <c r="N102" s="13" t="s">
        <v>1354</v>
      </c>
      <c r="O102" s="14">
        <f>+J102*L102*60</f>
        <v>480000</v>
      </c>
      <c r="P102" s="14">
        <f>+L102*K102*60</f>
        <v>480000</v>
      </c>
      <c r="Q102" s="14">
        <f t="shared" ref="Q102:R102" si="59">+$O$102*0.5</f>
        <v>240000</v>
      </c>
      <c r="R102" s="14">
        <f t="shared" si="59"/>
        <v>240000</v>
      </c>
      <c r="S102" s="14"/>
      <c r="T102" s="14"/>
      <c r="U102" s="14"/>
      <c r="V102" s="30"/>
      <c r="W102" s="13"/>
      <c r="X102" s="13"/>
      <c r="Y102" s="13" t="s">
        <v>148</v>
      </c>
      <c r="Z102" s="10"/>
      <c r="AA102" s="10">
        <f t="shared" si="58"/>
        <v>0</v>
      </c>
      <c r="AB102" s="13">
        <v>3</v>
      </c>
    </row>
    <row r="103" spans="1:28" ht="79.5" customHeight="1" x14ac:dyDescent="0.25">
      <c r="A103" s="333" t="s">
        <v>260</v>
      </c>
      <c r="B103" s="284" t="s">
        <v>254</v>
      </c>
      <c r="C103" s="12" t="s">
        <v>1702</v>
      </c>
      <c r="D103" s="263" t="s">
        <v>177</v>
      </c>
      <c r="E103" s="373" t="s">
        <v>1359</v>
      </c>
      <c r="F103" s="13" t="s">
        <v>1320</v>
      </c>
      <c r="G103" s="183" t="str">
        <f>+'8. BASE  CONSOLIDADA'!O118</f>
        <v>INNOVACIÓN</v>
      </c>
      <c r="H103" s="183" t="str">
        <f>+'8. BASE  CONSOLIDADA'!P118</f>
        <v>C8</v>
      </c>
      <c r="I103" s="183"/>
      <c r="J103" s="13">
        <v>4</v>
      </c>
      <c r="K103" s="13">
        <f>4*2</f>
        <v>8</v>
      </c>
      <c r="L103" s="26">
        <v>150000</v>
      </c>
      <c r="M103" s="788" t="s">
        <v>1360</v>
      </c>
      <c r="N103" s="13" t="s">
        <v>1361</v>
      </c>
      <c r="O103" s="14">
        <f>+J103*L103</f>
        <v>600000</v>
      </c>
      <c r="P103" s="14">
        <f>+L103*K103</f>
        <v>1200000</v>
      </c>
      <c r="Q103" s="14">
        <f t="shared" ref="Q103:U103" si="60">+$O$103*0.2</f>
        <v>120000</v>
      </c>
      <c r="R103" s="14">
        <f t="shared" si="60"/>
        <v>120000</v>
      </c>
      <c r="S103" s="14">
        <f t="shared" si="60"/>
        <v>120000</v>
      </c>
      <c r="T103" s="14">
        <f t="shared" si="60"/>
        <v>120000</v>
      </c>
      <c r="U103" s="14">
        <f t="shared" si="60"/>
        <v>120000</v>
      </c>
      <c r="V103" s="30"/>
      <c r="W103" s="13" t="s">
        <v>148</v>
      </c>
      <c r="X103" s="13"/>
      <c r="Y103" s="13"/>
      <c r="Z103" s="10"/>
      <c r="AA103" s="10" t="str">
        <f t="shared" si="58"/>
        <v>RE</v>
      </c>
      <c r="AB103" s="13">
        <v>3</v>
      </c>
    </row>
    <row r="104" spans="1:28" ht="76.599999999999994" customHeight="1" x14ac:dyDescent="0.25">
      <c r="A104" s="333" t="s">
        <v>260</v>
      </c>
      <c r="B104" s="284"/>
      <c r="C104" s="12" t="s">
        <v>1703</v>
      </c>
      <c r="D104" s="786" t="s">
        <v>274</v>
      </c>
      <c r="E104" s="373" t="s">
        <v>1363</v>
      </c>
      <c r="F104" s="183" t="s">
        <v>1364</v>
      </c>
      <c r="G104" s="183" t="str">
        <f>+'8. BASE  CONSOLIDADA'!O119</f>
        <v>PROMOCIÓN ACTIVIDADES ECONÓMICOS</v>
      </c>
      <c r="H104" s="183" t="str">
        <f>+'8. BASE  CONSOLIDADA'!P119</f>
        <v>C11</v>
      </c>
      <c r="I104" s="183"/>
      <c r="J104" s="13">
        <v>4</v>
      </c>
      <c r="K104" s="13">
        <v>4</v>
      </c>
      <c r="L104" s="26">
        <v>40000</v>
      </c>
      <c r="M104" s="788" t="s">
        <v>1365</v>
      </c>
      <c r="N104" s="13" t="s">
        <v>1366</v>
      </c>
      <c r="O104" s="14">
        <f>+J104*L104*5</f>
        <v>800000</v>
      </c>
      <c r="P104" s="14">
        <f>+L104*K104*5</f>
        <v>800000</v>
      </c>
      <c r="Q104" s="14">
        <f t="shared" ref="Q104:U104" si="61">+$O$104*0.2</f>
        <v>160000</v>
      </c>
      <c r="R104" s="14">
        <f t="shared" si="61"/>
        <v>160000</v>
      </c>
      <c r="S104" s="14">
        <f t="shared" si="61"/>
        <v>160000</v>
      </c>
      <c r="T104" s="14">
        <f t="shared" si="61"/>
        <v>160000</v>
      </c>
      <c r="U104" s="14">
        <f t="shared" si="61"/>
        <v>160000</v>
      </c>
      <c r="V104" s="30"/>
      <c r="W104" s="13"/>
      <c r="X104" s="13"/>
      <c r="Y104" s="13" t="s">
        <v>148</v>
      </c>
      <c r="Z104" s="10"/>
      <c r="AA104" s="10">
        <f t="shared" si="58"/>
        <v>0</v>
      </c>
      <c r="AB104" s="13">
        <v>3</v>
      </c>
    </row>
    <row r="105" spans="1:28" ht="21.75" customHeight="1" x14ac:dyDescent="0.25">
      <c r="A105" s="825"/>
      <c r="B105" s="16"/>
      <c r="C105" s="1"/>
      <c r="D105" s="366"/>
      <c r="E105" s="366"/>
      <c r="F105" s="366"/>
      <c r="G105" s="366"/>
      <c r="H105" s="366"/>
      <c r="I105" s="366"/>
      <c r="J105" s="366"/>
      <c r="K105" s="366"/>
      <c r="L105" s="366"/>
      <c r="M105" s="264"/>
      <c r="N105" s="366"/>
      <c r="O105" s="29">
        <f t="shared" ref="O105:U105" si="62">SUM(O101:O104)</f>
        <v>2480000</v>
      </c>
      <c r="P105" s="29">
        <f t="shared" si="62"/>
        <v>3080000</v>
      </c>
      <c r="Q105" s="29">
        <f t="shared" si="62"/>
        <v>640000</v>
      </c>
      <c r="R105" s="29">
        <f t="shared" si="62"/>
        <v>640000</v>
      </c>
      <c r="S105" s="29">
        <f t="shared" si="62"/>
        <v>400000</v>
      </c>
      <c r="T105" s="29">
        <f t="shared" si="62"/>
        <v>400000</v>
      </c>
      <c r="U105" s="29">
        <f t="shared" si="62"/>
        <v>400000</v>
      </c>
      <c r="V105" s="366"/>
      <c r="W105" s="1"/>
      <c r="X105" s="1"/>
      <c r="Y105" s="1"/>
      <c r="Z105" s="1"/>
      <c r="AA105" s="1"/>
      <c r="AB105" s="1"/>
    </row>
    <row r="106" spans="1:28" ht="21.75" customHeight="1" x14ac:dyDescent="0.25">
      <c r="A106" s="825"/>
      <c r="B106" s="16"/>
      <c r="C106" s="1"/>
      <c r="D106" s="366"/>
      <c r="E106" s="366"/>
      <c r="F106" s="366"/>
      <c r="G106" s="366"/>
      <c r="H106" s="366"/>
      <c r="I106" s="366"/>
      <c r="J106" s="366"/>
      <c r="K106" s="366"/>
      <c r="L106" s="366"/>
      <c r="M106" s="264"/>
      <c r="N106" s="366"/>
      <c r="O106" s="366"/>
      <c r="P106" s="366"/>
      <c r="Q106" s="366"/>
      <c r="R106" s="366"/>
      <c r="S106" s="366"/>
      <c r="T106" s="366"/>
      <c r="U106" s="366"/>
      <c r="V106" s="366"/>
      <c r="W106" s="1"/>
      <c r="X106" s="1"/>
      <c r="Y106" s="1"/>
      <c r="Z106" s="1"/>
      <c r="AA106" s="1"/>
      <c r="AB106" s="1"/>
    </row>
    <row r="107" spans="1:28" ht="26.5" customHeight="1" x14ac:dyDescent="0.25">
      <c r="A107" s="825"/>
      <c r="B107" s="16"/>
      <c r="C107" s="1"/>
      <c r="D107" s="366"/>
      <c r="E107" s="366"/>
      <c r="F107" s="366"/>
      <c r="G107" s="366"/>
      <c r="H107" s="366"/>
      <c r="I107" s="366"/>
      <c r="J107" s="366"/>
      <c r="K107" s="366"/>
      <c r="L107" s="366"/>
      <c r="M107" s="264"/>
      <c r="N107" s="366"/>
      <c r="O107" s="366"/>
      <c r="P107" s="366"/>
      <c r="Q107" s="366"/>
      <c r="R107" s="366"/>
      <c r="S107" s="366"/>
      <c r="T107" s="366"/>
      <c r="U107" s="366"/>
      <c r="V107" s="366"/>
      <c r="W107" s="1"/>
      <c r="X107" s="1"/>
      <c r="Y107" s="1"/>
      <c r="Z107" s="1"/>
      <c r="AA107" s="1"/>
      <c r="AB107" s="1"/>
    </row>
    <row r="108" spans="1:28" ht="19.55" customHeight="1" x14ac:dyDescent="0.25">
      <c r="A108" s="825"/>
      <c r="B108" s="16"/>
      <c r="C108" s="1459" t="s">
        <v>1170</v>
      </c>
      <c r="D108" s="1405"/>
      <c r="E108" s="1406"/>
      <c r="F108" s="816" t="s">
        <v>133</v>
      </c>
      <c r="G108" s="817"/>
      <c r="H108" s="817"/>
      <c r="I108" s="817"/>
      <c r="J108" s="817"/>
      <c r="K108" s="817"/>
      <c r="L108" s="817"/>
      <c r="M108" s="943"/>
      <c r="N108" s="817"/>
      <c r="O108" s="817"/>
      <c r="P108" s="817"/>
      <c r="Q108" s="817"/>
      <c r="R108" s="817"/>
      <c r="S108" s="817"/>
      <c r="T108" s="817"/>
      <c r="U108" s="817"/>
      <c r="V108" s="817"/>
      <c r="W108" s="817"/>
      <c r="X108" s="817"/>
      <c r="Y108" s="817"/>
      <c r="Z108" s="817"/>
      <c r="AA108" s="817"/>
      <c r="AB108" s="818"/>
    </row>
    <row r="109" spans="1:28" ht="48.75" customHeight="1" x14ac:dyDescent="0.25">
      <c r="A109" s="825"/>
      <c r="B109" s="16"/>
      <c r="C109" s="1459" t="s">
        <v>1171</v>
      </c>
      <c r="D109" s="1405"/>
      <c r="E109" s="1406"/>
      <c r="F109" s="1445" t="s">
        <v>1704</v>
      </c>
      <c r="G109" s="1446"/>
      <c r="H109" s="1446"/>
      <c r="I109" s="1446"/>
      <c r="J109" s="1446"/>
      <c r="K109" s="1446"/>
      <c r="L109" s="1446"/>
      <c r="M109" s="1446"/>
      <c r="N109" s="1446"/>
      <c r="O109" s="1446"/>
      <c r="P109" s="1446"/>
      <c r="Q109" s="1446"/>
      <c r="R109" s="1446"/>
      <c r="S109" s="1446"/>
      <c r="T109" s="1446"/>
      <c r="U109" s="1446"/>
      <c r="V109" s="1446"/>
      <c r="W109" s="1446"/>
      <c r="X109" s="1446"/>
      <c r="Y109" s="1446"/>
      <c r="Z109" s="1446"/>
      <c r="AA109" s="1446"/>
      <c r="AB109" s="1447"/>
    </row>
    <row r="110" spans="1:28" ht="26.35" customHeight="1" x14ac:dyDescent="0.25">
      <c r="A110" s="825"/>
      <c r="B110" s="16"/>
      <c r="C110" s="1459" t="s">
        <v>1173</v>
      </c>
      <c r="D110" s="1405"/>
      <c r="E110" s="1406"/>
      <c r="F110" s="1445" t="s">
        <v>1705</v>
      </c>
      <c r="G110" s="1446"/>
      <c r="H110" s="1446"/>
      <c r="I110" s="1446"/>
      <c r="J110" s="1446"/>
      <c r="K110" s="1446"/>
      <c r="L110" s="1446"/>
      <c r="M110" s="1446"/>
      <c r="N110" s="1446"/>
      <c r="O110" s="1446"/>
      <c r="P110" s="1446"/>
      <c r="Q110" s="1446"/>
      <c r="R110" s="1446"/>
      <c r="S110" s="1446"/>
      <c r="T110" s="1446"/>
      <c r="U110" s="1446"/>
      <c r="V110" s="1446"/>
      <c r="W110" s="1446"/>
      <c r="X110" s="1446"/>
      <c r="Y110" s="1446"/>
      <c r="Z110" s="1446"/>
      <c r="AA110" s="1446"/>
      <c r="AB110" s="1447"/>
    </row>
    <row r="111" spans="1:28" ht="30.75" customHeight="1" x14ac:dyDescent="0.25">
      <c r="A111" s="825"/>
      <c r="B111" s="16"/>
      <c r="C111" s="1459" t="s">
        <v>1175</v>
      </c>
      <c r="D111" s="1405"/>
      <c r="E111" s="1406"/>
      <c r="F111" s="1445" t="s">
        <v>1383</v>
      </c>
      <c r="G111" s="1446"/>
      <c r="H111" s="1446"/>
      <c r="I111" s="1446"/>
      <c r="J111" s="1446"/>
      <c r="K111" s="1446"/>
      <c r="L111" s="1446"/>
      <c r="M111" s="1446"/>
      <c r="N111" s="1446"/>
      <c r="O111" s="1446"/>
      <c r="P111" s="1446"/>
      <c r="Q111" s="1446"/>
      <c r="R111" s="1446"/>
      <c r="S111" s="1446"/>
      <c r="T111" s="1446"/>
      <c r="U111" s="1446"/>
      <c r="V111" s="1446"/>
      <c r="W111" s="1446"/>
      <c r="X111" s="1446"/>
      <c r="Y111" s="1446"/>
      <c r="Z111" s="1446"/>
      <c r="AA111" s="1446"/>
      <c r="AB111" s="1447"/>
    </row>
    <row r="112" spans="1:28" ht="23.3" customHeight="1" x14ac:dyDescent="0.25">
      <c r="A112" s="825"/>
      <c r="B112" s="16"/>
      <c r="C112" s="1444" t="s">
        <v>142</v>
      </c>
      <c r="D112" s="1405"/>
      <c r="E112" s="1406"/>
      <c r="F112" s="1445" t="s">
        <v>1699</v>
      </c>
      <c r="G112" s="1446"/>
      <c r="H112" s="1446"/>
      <c r="I112" s="1446"/>
      <c r="J112" s="1446"/>
      <c r="K112" s="1446"/>
      <c r="L112" s="1446"/>
      <c r="M112" s="1446"/>
      <c r="N112" s="1446"/>
      <c r="O112" s="1446"/>
      <c r="P112" s="1446"/>
      <c r="Q112" s="1446"/>
      <c r="R112" s="1446"/>
      <c r="S112" s="1446"/>
      <c r="T112" s="1446"/>
      <c r="U112" s="1446"/>
      <c r="V112" s="1446"/>
      <c r="W112" s="1446"/>
      <c r="X112" s="1446"/>
      <c r="Y112" s="1446"/>
      <c r="Z112" s="1446"/>
      <c r="AA112" s="1446"/>
      <c r="AB112" s="1447"/>
    </row>
    <row r="113" spans="1:28" ht="39.1" customHeight="1" x14ac:dyDescent="0.25">
      <c r="A113" s="825"/>
      <c r="B113" s="16"/>
      <c r="C113" s="1444" t="s">
        <v>1178</v>
      </c>
      <c r="D113" s="1405"/>
      <c r="E113" s="1406"/>
      <c r="F113" s="1445" t="s">
        <v>1350</v>
      </c>
      <c r="G113" s="1446"/>
      <c r="H113" s="1446"/>
      <c r="I113" s="1446"/>
      <c r="J113" s="1446"/>
      <c r="K113" s="1446"/>
      <c r="L113" s="1446"/>
      <c r="M113" s="1446"/>
      <c r="N113" s="1446"/>
      <c r="O113" s="1446"/>
      <c r="P113" s="1446"/>
      <c r="Q113" s="1446"/>
      <c r="R113" s="1446"/>
      <c r="S113" s="1446"/>
      <c r="T113" s="1446"/>
      <c r="U113" s="1446"/>
      <c r="V113" s="1446"/>
      <c r="W113" s="1446"/>
      <c r="X113" s="1446"/>
      <c r="Y113" s="1446"/>
      <c r="Z113" s="1446"/>
      <c r="AA113" s="1446"/>
      <c r="AB113" s="1447"/>
    </row>
    <row r="114" spans="1:28" ht="23.3" customHeight="1" x14ac:dyDescent="0.25">
      <c r="A114" s="825"/>
      <c r="B114" s="16"/>
      <c r="C114" s="1418" t="s">
        <v>964</v>
      </c>
      <c r="D114" s="1418" t="s">
        <v>965</v>
      </c>
      <c r="E114" s="1418" t="s">
        <v>468</v>
      </c>
      <c r="F114" s="1452" t="s">
        <v>470</v>
      </c>
      <c r="G114" s="1452" t="s">
        <v>966</v>
      </c>
      <c r="H114" s="1452" t="s">
        <v>967</v>
      </c>
      <c r="I114" s="1452" t="s">
        <v>1180</v>
      </c>
      <c r="J114" s="1452" t="s">
        <v>968</v>
      </c>
      <c r="K114" s="1452" t="s">
        <v>969</v>
      </c>
      <c r="L114" s="1453" t="s">
        <v>970</v>
      </c>
      <c r="M114" s="1453" t="s">
        <v>971</v>
      </c>
      <c r="N114" s="1453" t="s">
        <v>972</v>
      </c>
      <c r="O114" s="1456" t="s">
        <v>973</v>
      </c>
      <c r="P114" s="1457"/>
      <c r="Q114" s="1456" t="s">
        <v>974</v>
      </c>
      <c r="R114" s="1458"/>
      <c r="S114" s="1458"/>
      <c r="T114" s="1458"/>
      <c r="U114" s="1457"/>
      <c r="V114" s="1452" t="s">
        <v>975</v>
      </c>
      <c r="W114" s="1465" t="s">
        <v>976</v>
      </c>
      <c r="X114" s="1405"/>
      <c r="Y114" s="1405"/>
      <c r="Z114" s="1406"/>
      <c r="AA114" s="808"/>
      <c r="AB114" s="1452" t="s">
        <v>977</v>
      </c>
    </row>
    <row r="115" spans="1:28" ht="54" customHeight="1" x14ac:dyDescent="0.25">
      <c r="A115" s="825"/>
      <c r="B115" s="16"/>
      <c r="C115" s="1420"/>
      <c r="D115" s="1420"/>
      <c r="E115" s="1420"/>
      <c r="F115" s="1449"/>
      <c r="G115" s="1449"/>
      <c r="H115" s="1449"/>
      <c r="I115" s="1449"/>
      <c r="J115" s="1449"/>
      <c r="K115" s="1449"/>
      <c r="L115" s="1454"/>
      <c r="M115" s="1455"/>
      <c r="N115" s="1454"/>
      <c r="O115" s="940" t="s">
        <v>978</v>
      </c>
      <c r="P115" s="940" t="s">
        <v>979</v>
      </c>
      <c r="Q115" s="940" t="s">
        <v>980</v>
      </c>
      <c r="R115" s="940" t="s">
        <v>981</v>
      </c>
      <c r="S115" s="940" t="s">
        <v>982</v>
      </c>
      <c r="T115" s="940" t="s">
        <v>983</v>
      </c>
      <c r="U115" s="940" t="s">
        <v>984</v>
      </c>
      <c r="V115" s="1449"/>
      <c r="W115" s="808" t="s">
        <v>985</v>
      </c>
      <c r="X115" s="808" t="s">
        <v>986</v>
      </c>
      <c r="Y115" s="808" t="s">
        <v>987</v>
      </c>
      <c r="Z115" s="808" t="s">
        <v>988</v>
      </c>
      <c r="AA115" s="808"/>
      <c r="AB115" s="1449"/>
    </row>
    <row r="116" spans="1:28" ht="39.1" customHeight="1" x14ac:dyDescent="0.25">
      <c r="A116" s="335" t="s">
        <v>256</v>
      </c>
      <c r="B116" s="286" t="s">
        <v>254</v>
      </c>
      <c r="C116" s="12" t="s">
        <v>1706</v>
      </c>
      <c r="D116" s="786" t="s">
        <v>268</v>
      </c>
      <c r="E116" s="266" t="s">
        <v>1390</v>
      </c>
      <c r="F116" s="183" t="s">
        <v>1391</v>
      </c>
      <c r="G116" s="183" t="str">
        <f>+'8. BASE  CONSOLIDADA'!O120</f>
        <v>CONTROL Y VIGILANCIA</v>
      </c>
      <c r="H116" s="183" t="str">
        <f>+'8. BASE  CONSOLIDADA'!P120</f>
        <v>C4</v>
      </c>
      <c r="I116" s="183"/>
      <c r="J116" s="13">
        <v>10</v>
      </c>
      <c r="K116" s="13">
        <v>10</v>
      </c>
      <c r="L116" s="26">
        <v>2000</v>
      </c>
      <c r="M116" s="788" t="s">
        <v>1392</v>
      </c>
      <c r="N116" s="13" t="s">
        <v>1575</v>
      </c>
      <c r="O116" s="14">
        <f>+J116*L116*60</f>
        <v>1200000</v>
      </c>
      <c r="P116" s="14">
        <f>+L116*K116*60</f>
        <v>1200000</v>
      </c>
      <c r="Q116" s="14">
        <f>+O116*0.2</f>
        <v>240000</v>
      </c>
      <c r="R116" s="14">
        <f>+Q116</f>
        <v>240000</v>
      </c>
      <c r="S116" s="14">
        <f t="shared" ref="S116:U116" si="63">+R116</f>
        <v>240000</v>
      </c>
      <c r="T116" s="14">
        <f t="shared" si="63"/>
        <v>240000</v>
      </c>
      <c r="U116" s="14">
        <f t="shared" si="63"/>
        <v>240000</v>
      </c>
      <c r="V116" s="33"/>
      <c r="W116" s="183"/>
      <c r="X116" s="183" t="s">
        <v>148</v>
      </c>
      <c r="Y116" s="183"/>
      <c r="Z116" s="183"/>
      <c r="AA116" s="183" t="str">
        <f t="shared" ref="AA116:AA117" si="64">+B116</f>
        <v>RE</v>
      </c>
      <c r="AB116" s="183">
        <v>3</v>
      </c>
    </row>
    <row r="117" spans="1:28" ht="58.6" customHeight="1" x14ac:dyDescent="0.25">
      <c r="A117" s="335" t="s">
        <v>256</v>
      </c>
      <c r="B117" s="286" t="s">
        <v>254</v>
      </c>
      <c r="C117" s="12" t="s">
        <v>1707</v>
      </c>
      <c r="D117" s="786" t="s">
        <v>270</v>
      </c>
      <c r="E117" s="786" t="s">
        <v>1708</v>
      </c>
      <c r="F117" s="13" t="s">
        <v>1386</v>
      </c>
      <c r="G117" s="183" t="str">
        <f>+'8. BASE  CONSOLIDADA'!O121</f>
        <v>CONTROL Y VIGILANCIA</v>
      </c>
      <c r="H117" s="183" t="str">
        <f>+'8. BASE  CONSOLIDADA'!P121</f>
        <v>C4</v>
      </c>
      <c r="I117" s="183"/>
      <c r="J117" s="13">
        <v>50</v>
      </c>
      <c r="K117" s="13">
        <v>50</v>
      </c>
      <c r="L117" s="26">
        <v>8000</v>
      </c>
      <c r="M117" s="788" t="s">
        <v>1387</v>
      </c>
      <c r="N117" s="13" t="s">
        <v>1575</v>
      </c>
      <c r="O117" s="14">
        <f>+J117*L117*5</f>
        <v>2000000</v>
      </c>
      <c r="P117" s="14">
        <f>+L117*K117*5</f>
        <v>2000000</v>
      </c>
      <c r="Q117" s="14">
        <f t="shared" ref="Q117:U117" si="65">+$O$117*0.2</f>
        <v>400000</v>
      </c>
      <c r="R117" s="14">
        <f t="shared" si="65"/>
        <v>400000</v>
      </c>
      <c r="S117" s="14">
        <f t="shared" si="65"/>
        <v>400000</v>
      </c>
      <c r="T117" s="14">
        <f t="shared" si="65"/>
        <v>400000</v>
      </c>
      <c r="U117" s="14">
        <f t="shared" si="65"/>
        <v>400000</v>
      </c>
      <c r="V117" s="30"/>
      <c r="W117" s="183"/>
      <c r="X117" s="183" t="s">
        <v>148</v>
      </c>
      <c r="Y117" s="183"/>
      <c r="Z117" s="183"/>
      <c r="AA117" s="183" t="str">
        <f t="shared" si="64"/>
        <v>RE</v>
      </c>
      <c r="AB117" s="183">
        <v>3</v>
      </c>
    </row>
    <row r="118" spans="1:28" ht="39.75" customHeight="1" x14ac:dyDescent="0.25">
      <c r="A118" s="337" t="s">
        <v>259</v>
      </c>
      <c r="B118" s="285"/>
      <c r="C118" s="12" t="s">
        <v>1709</v>
      </c>
      <c r="D118" s="786" t="s">
        <v>313</v>
      </c>
      <c r="E118" s="786" t="s">
        <v>280</v>
      </c>
      <c r="F118" s="13" t="s">
        <v>1394</v>
      </c>
      <c r="G118" s="183" t="str">
        <f>+'8. BASE  CONSOLIDADA'!O122</f>
        <v>PLANES DE VIDA</v>
      </c>
      <c r="H118" s="183" t="str">
        <f>+'8. BASE  CONSOLIDADA'!P122</f>
        <v>C10</v>
      </c>
      <c r="I118" s="183"/>
      <c r="J118" s="13">
        <f>8*3</f>
        <v>24</v>
      </c>
      <c r="K118" s="13">
        <f>8*5</f>
        <v>40</v>
      </c>
      <c r="L118" s="26">
        <v>10000</v>
      </c>
      <c r="M118" s="788" t="s">
        <v>1395</v>
      </c>
      <c r="N118" s="13" t="s">
        <v>1584</v>
      </c>
      <c r="O118" s="14">
        <f>+J118*L118</f>
        <v>240000</v>
      </c>
      <c r="P118" s="14">
        <f>+L118*K118</f>
        <v>400000</v>
      </c>
      <c r="Q118" s="14">
        <f t="shared" ref="Q118:U118" si="66">+$O$118*0.2</f>
        <v>48000</v>
      </c>
      <c r="R118" s="14">
        <f t="shared" si="66"/>
        <v>48000</v>
      </c>
      <c r="S118" s="14">
        <f t="shared" si="66"/>
        <v>48000</v>
      </c>
      <c r="T118" s="14">
        <f t="shared" si="66"/>
        <v>48000</v>
      </c>
      <c r="U118" s="14">
        <f t="shared" si="66"/>
        <v>48000</v>
      </c>
      <c r="V118" s="30"/>
      <c r="W118" s="183"/>
      <c r="X118" s="183" t="s">
        <v>148</v>
      </c>
      <c r="Y118" s="183"/>
      <c r="Z118" s="183"/>
      <c r="AA118" s="183"/>
      <c r="AB118" s="183">
        <v>3</v>
      </c>
    </row>
    <row r="119" spans="1:28" ht="50.95" customHeight="1" x14ac:dyDescent="0.25">
      <c r="A119" s="333" t="s">
        <v>260</v>
      </c>
      <c r="B119" s="284"/>
      <c r="C119" s="12" t="s">
        <v>1710</v>
      </c>
      <c r="D119" s="786" t="s">
        <v>337</v>
      </c>
      <c r="E119" s="786" t="s">
        <v>1711</v>
      </c>
      <c r="F119" s="13" t="s">
        <v>1398</v>
      </c>
      <c r="G119" s="183" t="str">
        <f>+'8. BASE  CONSOLIDADA'!O123</f>
        <v>PROMOCIÓN ACTIVIDADES ECONÓMICOS</v>
      </c>
      <c r="H119" s="183" t="str">
        <f>+'8. BASE  CONSOLIDADA'!P123</f>
        <v>C11</v>
      </c>
      <c r="I119" s="183"/>
      <c r="J119" s="13">
        <v>20</v>
      </c>
      <c r="K119" s="13">
        <v>20</v>
      </c>
      <c r="L119" s="26">
        <v>4000</v>
      </c>
      <c r="M119" s="788" t="s">
        <v>1399</v>
      </c>
      <c r="N119" s="13" t="s">
        <v>1584</v>
      </c>
      <c r="O119" s="14">
        <f t="shared" ref="O119:O120" si="67">+J119*L119*5</f>
        <v>400000</v>
      </c>
      <c r="P119" s="14">
        <f t="shared" ref="P119:P120" si="68">+L119*K119*5</f>
        <v>400000</v>
      </c>
      <c r="Q119" s="14">
        <f t="shared" ref="Q119:U119" si="69">+$O$119*0.2</f>
        <v>80000</v>
      </c>
      <c r="R119" s="14">
        <f t="shared" si="69"/>
        <v>80000</v>
      </c>
      <c r="S119" s="14">
        <f t="shared" si="69"/>
        <v>80000</v>
      </c>
      <c r="T119" s="14">
        <f t="shared" si="69"/>
        <v>80000</v>
      </c>
      <c r="U119" s="14">
        <f t="shared" si="69"/>
        <v>80000</v>
      </c>
      <c r="V119" s="30"/>
      <c r="W119" s="183"/>
      <c r="X119" s="183"/>
      <c r="Y119" s="183" t="s">
        <v>148</v>
      </c>
      <c r="Z119" s="183"/>
      <c r="AA119" s="183"/>
      <c r="AB119" s="183">
        <v>3</v>
      </c>
    </row>
    <row r="120" spans="1:28" ht="34.5" customHeight="1" x14ac:dyDescent="0.25">
      <c r="A120" s="333" t="s">
        <v>260</v>
      </c>
      <c r="B120" s="284"/>
      <c r="C120" s="12" t="s">
        <v>1712</v>
      </c>
      <c r="D120" s="786" t="s">
        <v>306</v>
      </c>
      <c r="E120" s="786" t="s">
        <v>1713</v>
      </c>
      <c r="F120" s="13" t="s">
        <v>1402</v>
      </c>
      <c r="G120" s="183" t="str">
        <f>+'8. BASE  CONSOLIDADA'!O124</f>
        <v>PROMOCIÓN ACTIVIDADES ECONÓMICOS</v>
      </c>
      <c r="H120" s="183" t="str">
        <f>+'8. BASE  CONSOLIDADA'!P124</f>
        <v>C11</v>
      </c>
      <c r="I120" s="183"/>
      <c r="J120" s="13">
        <f t="shared" ref="J120:K120" si="70">8*2</f>
        <v>16</v>
      </c>
      <c r="K120" s="13">
        <f t="shared" si="70"/>
        <v>16</v>
      </c>
      <c r="L120" s="26">
        <v>2500</v>
      </c>
      <c r="M120" s="788" t="s">
        <v>1403</v>
      </c>
      <c r="N120" s="13" t="s">
        <v>992</v>
      </c>
      <c r="O120" s="14">
        <f t="shared" si="67"/>
        <v>200000</v>
      </c>
      <c r="P120" s="14">
        <f t="shared" si="68"/>
        <v>200000</v>
      </c>
      <c r="Q120" s="14">
        <f t="shared" ref="Q120:U120" si="71">+$O$120*0.2</f>
        <v>40000</v>
      </c>
      <c r="R120" s="14">
        <f t="shared" si="71"/>
        <v>40000</v>
      </c>
      <c r="S120" s="14">
        <f t="shared" si="71"/>
        <v>40000</v>
      </c>
      <c r="T120" s="14">
        <f t="shared" si="71"/>
        <v>40000</v>
      </c>
      <c r="U120" s="14">
        <f t="shared" si="71"/>
        <v>40000</v>
      </c>
      <c r="V120" s="30"/>
      <c r="W120" s="183"/>
      <c r="X120" s="183"/>
      <c r="Y120" s="183" t="s">
        <v>148</v>
      </c>
      <c r="Z120" s="183"/>
      <c r="AA120" s="183"/>
      <c r="AB120" s="183">
        <v>2</v>
      </c>
    </row>
    <row r="121" spans="1:28" ht="72.7" customHeight="1" x14ac:dyDescent="0.25">
      <c r="A121" s="337" t="s">
        <v>259</v>
      </c>
      <c r="B121" s="285" t="s">
        <v>254</v>
      </c>
      <c r="C121" s="12" t="s">
        <v>1714</v>
      </c>
      <c r="D121" s="786" t="s">
        <v>315</v>
      </c>
      <c r="E121" s="786" t="s">
        <v>1715</v>
      </c>
      <c r="F121" s="183" t="s">
        <v>994</v>
      </c>
      <c r="G121" s="183" t="str">
        <f>+'8. BASE  CONSOLIDADA'!O125</f>
        <v>ASISTENCIA TÉCNICA</v>
      </c>
      <c r="H121" s="183" t="str">
        <f>+'8. BASE  CONSOLIDADA'!P125</f>
        <v>C1</v>
      </c>
      <c r="I121" s="183"/>
      <c r="J121" s="14">
        <v>3</v>
      </c>
      <c r="K121" s="14">
        <v>3</v>
      </c>
      <c r="L121" s="26">
        <v>3500</v>
      </c>
      <c r="M121" s="788" t="s">
        <v>1716</v>
      </c>
      <c r="N121" s="13" t="s">
        <v>992</v>
      </c>
      <c r="O121" s="14">
        <f>+J121*L121*60</f>
        <v>630000</v>
      </c>
      <c r="P121" s="14">
        <f>+L121*K121*60</f>
        <v>630000</v>
      </c>
      <c r="Q121" s="14">
        <f t="shared" ref="Q121:U121" si="72">+$O$121*0.2</f>
        <v>126000</v>
      </c>
      <c r="R121" s="14">
        <f t="shared" si="72"/>
        <v>126000</v>
      </c>
      <c r="S121" s="14">
        <f t="shared" si="72"/>
        <v>126000</v>
      </c>
      <c r="T121" s="14">
        <f t="shared" si="72"/>
        <v>126000</v>
      </c>
      <c r="U121" s="14">
        <f t="shared" si="72"/>
        <v>126000</v>
      </c>
      <c r="V121" s="30"/>
      <c r="W121" s="183"/>
      <c r="X121" s="183"/>
      <c r="Y121" s="183" t="s">
        <v>148</v>
      </c>
      <c r="Z121" s="183"/>
      <c r="AA121" s="183" t="str">
        <f t="shared" ref="AA121:AA122" si="73">+B121</f>
        <v>RE</v>
      </c>
      <c r="AB121" s="183">
        <v>3</v>
      </c>
    </row>
    <row r="122" spans="1:28" ht="99.7" customHeight="1" x14ac:dyDescent="0.25">
      <c r="A122" s="295" t="s">
        <v>257</v>
      </c>
      <c r="B122" s="290" t="s">
        <v>254</v>
      </c>
      <c r="C122" s="12" t="s">
        <v>1717</v>
      </c>
      <c r="D122" s="786" t="s">
        <v>264</v>
      </c>
      <c r="E122" s="786" t="s">
        <v>1352</v>
      </c>
      <c r="F122" s="183" t="s">
        <v>1022</v>
      </c>
      <c r="G122" s="183" t="str">
        <f>+'8. BASE  CONSOLIDADA'!O126</f>
        <v>FINANCIAMIENTO</v>
      </c>
      <c r="H122" s="183" t="str">
        <f>+'8. BASE  CONSOLIDADA'!P126</f>
        <v>C6</v>
      </c>
      <c r="I122" s="183"/>
      <c r="J122" s="13">
        <v>50</v>
      </c>
      <c r="K122" s="13">
        <v>50</v>
      </c>
      <c r="L122" s="28">
        <v>100000</v>
      </c>
      <c r="M122" s="788" t="s">
        <v>1353</v>
      </c>
      <c r="N122" s="13" t="s">
        <v>1584</v>
      </c>
      <c r="O122" s="14">
        <f>+J122*L122</f>
        <v>5000000</v>
      </c>
      <c r="P122" s="14">
        <f>+L122*K122</f>
        <v>5000000</v>
      </c>
      <c r="Q122" s="14">
        <f t="shared" ref="Q122:U122" si="74">+$O$122*0.2</f>
        <v>1000000</v>
      </c>
      <c r="R122" s="14">
        <f t="shared" si="74"/>
        <v>1000000</v>
      </c>
      <c r="S122" s="14">
        <f t="shared" si="74"/>
        <v>1000000</v>
      </c>
      <c r="T122" s="14">
        <f t="shared" si="74"/>
        <v>1000000</v>
      </c>
      <c r="U122" s="14">
        <f t="shared" si="74"/>
        <v>1000000</v>
      </c>
      <c r="V122" s="30"/>
      <c r="W122" s="183" t="s">
        <v>148</v>
      </c>
      <c r="X122" s="183"/>
      <c r="Y122" s="183"/>
      <c r="Z122" s="183"/>
      <c r="AA122" s="183" t="str">
        <f t="shared" si="73"/>
        <v>RE</v>
      </c>
      <c r="AB122" s="183">
        <v>3</v>
      </c>
    </row>
    <row r="123" spans="1:28" ht="16.5" customHeight="1" x14ac:dyDescent="0.25">
      <c r="A123" s="825"/>
      <c r="B123" s="16"/>
      <c r="C123" s="1"/>
      <c r="D123" s="366"/>
      <c r="E123" s="366"/>
      <c r="F123" s="366"/>
      <c r="G123" s="366"/>
      <c r="H123" s="366"/>
      <c r="I123" s="366"/>
      <c r="J123" s="366"/>
      <c r="K123" s="366"/>
      <c r="L123" s="366"/>
      <c r="M123" s="264"/>
      <c r="N123" s="366"/>
      <c r="O123" s="29">
        <f>SUM(O116:O122)</f>
        <v>9670000</v>
      </c>
      <c r="P123" s="29">
        <f t="shared" ref="P123:U123" si="75">SUM(P116:P122)</f>
        <v>9830000</v>
      </c>
      <c r="Q123" s="29">
        <f t="shared" si="75"/>
        <v>1934000</v>
      </c>
      <c r="R123" s="29">
        <f t="shared" si="75"/>
        <v>1934000</v>
      </c>
      <c r="S123" s="29">
        <f t="shared" si="75"/>
        <v>1934000</v>
      </c>
      <c r="T123" s="29">
        <f t="shared" si="75"/>
        <v>1934000</v>
      </c>
      <c r="U123" s="29">
        <f t="shared" si="75"/>
        <v>1934000</v>
      </c>
      <c r="V123" s="366"/>
      <c r="W123" s="1"/>
      <c r="X123" s="1"/>
      <c r="Y123" s="1"/>
      <c r="Z123" s="1"/>
      <c r="AA123" s="1"/>
      <c r="AB123" s="1"/>
    </row>
    <row r="124" spans="1:28" ht="16.5" customHeight="1" x14ac:dyDescent="0.25">
      <c r="A124" s="825"/>
      <c r="B124" s="16"/>
      <c r="C124" s="1"/>
      <c r="D124" s="366"/>
      <c r="E124" s="366"/>
      <c r="F124" s="366"/>
      <c r="G124" s="366"/>
      <c r="H124" s="366"/>
      <c r="I124" s="366"/>
      <c r="J124" s="366"/>
      <c r="K124" s="366"/>
      <c r="L124" s="366"/>
      <c r="M124" s="264"/>
      <c r="N124" s="366"/>
      <c r="O124" s="1"/>
      <c r="P124" s="1"/>
      <c r="Q124" s="1"/>
      <c r="R124" s="1"/>
      <c r="S124" s="1"/>
      <c r="T124" s="1"/>
      <c r="U124" s="1"/>
      <c r="V124" s="1"/>
      <c r="W124" s="1"/>
      <c r="X124" s="1"/>
      <c r="Y124" s="1"/>
      <c r="Z124" s="1"/>
      <c r="AA124" s="1"/>
      <c r="AB124" s="1"/>
    </row>
    <row r="125" spans="1:28" ht="11.25" customHeight="1" x14ac:dyDescent="0.25">
      <c r="A125" s="825"/>
      <c r="B125" s="16"/>
      <c r="C125" s="1"/>
      <c r="D125" s="366"/>
      <c r="E125" s="366"/>
      <c r="F125" s="366"/>
      <c r="G125" s="366"/>
      <c r="H125" s="366"/>
      <c r="I125" s="366"/>
      <c r="J125" s="366"/>
      <c r="K125" s="366"/>
      <c r="L125" s="366"/>
      <c r="M125" s="264"/>
      <c r="N125" s="366"/>
      <c r="O125" s="366"/>
      <c r="P125" s="366"/>
      <c r="Q125" s="366"/>
      <c r="R125" s="366"/>
      <c r="S125" s="366"/>
      <c r="T125" s="366"/>
      <c r="U125" s="366"/>
      <c r="V125" s="366"/>
      <c r="W125" s="1"/>
      <c r="X125" s="1"/>
      <c r="Y125" s="1"/>
      <c r="Z125" s="1"/>
      <c r="AA125" s="1"/>
      <c r="AB125" s="1"/>
    </row>
    <row r="126" spans="1:28" ht="21.75" customHeight="1" x14ac:dyDescent="0.25">
      <c r="A126" s="825"/>
      <c r="B126" s="16"/>
      <c r="C126" s="1459" t="s">
        <v>1170</v>
      </c>
      <c r="D126" s="1405"/>
      <c r="E126" s="1406"/>
      <c r="F126" s="816" t="s">
        <v>127</v>
      </c>
      <c r="G126" s="817"/>
      <c r="H126" s="817"/>
      <c r="I126" s="817"/>
      <c r="J126" s="817"/>
      <c r="K126" s="817"/>
      <c r="L126" s="817"/>
      <c r="M126" s="943"/>
      <c r="N126" s="817"/>
      <c r="O126" s="817"/>
      <c r="P126" s="817"/>
      <c r="Q126" s="817"/>
      <c r="R126" s="817"/>
      <c r="S126" s="817"/>
      <c r="T126" s="817"/>
      <c r="U126" s="817"/>
      <c r="V126" s="817"/>
      <c r="W126" s="817"/>
      <c r="X126" s="817"/>
      <c r="Y126" s="817"/>
      <c r="Z126" s="817"/>
      <c r="AA126" s="817"/>
      <c r="AB126" s="818"/>
    </row>
    <row r="127" spans="1:28" ht="27" customHeight="1" x14ac:dyDescent="0.25">
      <c r="A127" s="825"/>
      <c r="B127" s="16"/>
      <c r="C127" s="1459" t="s">
        <v>1171</v>
      </c>
      <c r="D127" s="1405"/>
      <c r="E127" s="1406"/>
      <c r="F127" s="1445" t="s">
        <v>1411</v>
      </c>
      <c r="G127" s="1446"/>
      <c r="H127" s="1446"/>
      <c r="I127" s="1446"/>
      <c r="J127" s="1446"/>
      <c r="K127" s="1446"/>
      <c r="L127" s="1446"/>
      <c r="M127" s="1446"/>
      <c r="N127" s="1446"/>
      <c r="O127" s="1446"/>
      <c r="P127" s="1446"/>
      <c r="Q127" s="1446"/>
      <c r="R127" s="1446"/>
      <c r="S127" s="1446"/>
      <c r="T127" s="1446"/>
      <c r="U127" s="1446"/>
      <c r="V127" s="1446"/>
      <c r="W127" s="1446"/>
      <c r="X127" s="1446"/>
      <c r="Y127" s="1446"/>
      <c r="Z127" s="1446"/>
      <c r="AA127" s="1446"/>
      <c r="AB127" s="1447"/>
    </row>
    <row r="128" spans="1:28" ht="18" customHeight="1" x14ac:dyDescent="0.25">
      <c r="A128" s="825"/>
      <c r="B128" s="16"/>
      <c r="C128" s="1459" t="s">
        <v>1173</v>
      </c>
      <c r="D128" s="1405"/>
      <c r="E128" s="1406"/>
      <c r="F128" s="1445" t="s">
        <v>1718</v>
      </c>
      <c r="G128" s="1446"/>
      <c r="H128" s="1446"/>
      <c r="I128" s="1446"/>
      <c r="J128" s="1446"/>
      <c r="K128" s="1446"/>
      <c r="L128" s="1446"/>
      <c r="M128" s="1446"/>
      <c r="N128" s="1446"/>
      <c r="O128" s="1446"/>
      <c r="P128" s="1446"/>
      <c r="Q128" s="1446"/>
      <c r="R128" s="1446"/>
      <c r="S128" s="1446"/>
      <c r="T128" s="1446"/>
      <c r="U128" s="1446"/>
      <c r="V128" s="1446"/>
      <c r="W128" s="1446"/>
      <c r="X128" s="1446"/>
      <c r="Y128" s="1446"/>
      <c r="Z128" s="1446"/>
      <c r="AA128" s="1446"/>
      <c r="AB128" s="1447"/>
    </row>
    <row r="129" spans="1:28" ht="27" customHeight="1" x14ac:dyDescent="0.25">
      <c r="A129" s="825"/>
      <c r="B129" s="16"/>
      <c r="C129" s="1459" t="s">
        <v>1175</v>
      </c>
      <c r="D129" s="1405"/>
      <c r="E129" s="1406"/>
      <c r="F129" s="1445" t="s">
        <v>1383</v>
      </c>
      <c r="G129" s="1446"/>
      <c r="H129" s="1446"/>
      <c r="I129" s="1446"/>
      <c r="J129" s="1446"/>
      <c r="K129" s="1446"/>
      <c r="L129" s="1446"/>
      <c r="M129" s="1446"/>
      <c r="N129" s="1446"/>
      <c r="O129" s="1446"/>
      <c r="P129" s="1446"/>
      <c r="Q129" s="1446"/>
      <c r="R129" s="1446"/>
      <c r="S129" s="1446"/>
      <c r="T129" s="1446"/>
      <c r="U129" s="1446"/>
      <c r="V129" s="1446"/>
      <c r="W129" s="1446"/>
      <c r="X129" s="1446"/>
      <c r="Y129" s="1446"/>
      <c r="Z129" s="1446"/>
      <c r="AA129" s="1446"/>
      <c r="AB129" s="1447"/>
    </row>
    <row r="130" spans="1:28" ht="18" customHeight="1" x14ac:dyDescent="0.25">
      <c r="A130" s="825"/>
      <c r="B130" s="16"/>
      <c r="C130" s="1444" t="s">
        <v>142</v>
      </c>
      <c r="D130" s="1405"/>
      <c r="E130" s="1406"/>
      <c r="F130" s="1445" t="s">
        <v>1719</v>
      </c>
      <c r="G130" s="1446"/>
      <c r="H130" s="1446"/>
      <c r="I130" s="1446"/>
      <c r="J130" s="1446"/>
      <c r="K130" s="1446"/>
      <c r="L130" s="1446"/>
      <c r="M130" s="1446"/>
      <c r="N130" s="1446"/>
      <c r="O130" s="1446"/>
      <c r="P130" s="1446"/>
      <c r="Q130" s="1446"/>
      <c r="R130" s="1446"/>
      <c r="S130" s="1446"/>
      <c r="T130" s="1446"/>
      <c r="U130" s="1446"/>
      <c r="V130" s="1446"/>
      <c r="W130" s="1446"/>
      <c r="X130" s="1446"/>
      <c r="Y130" s="1446"/>
      <c r="Z130" s="1446"/>
      <c r="AA130" s="1446"/>
      <c r="AB130" s="1447"/>
    </row>
    <row r="131" spans="1:28" ht="34.5" customHeight="1" x14ac:dyDescent="0.25">
      <c r="A131" s="825"/>
      <c r="B131" s="16"/>
      <c r="C131" s="1444" t="s">
        <v>1178</v>
      </c>
      <c r="D131" s="1405"/>
      <c r="E131" s="1406"/>
      <c r="F131" s="1445" t="s">
        <v>1350</v>
      </c>
      <c r="G131" s="1446"/>
      <c r="H131" s="1446"/>
      <c r="I131" s="1446"/>
      <c r="J131" s="1446"/>
      <c r="K131" s="1446"/>
      <c r="L131" s="1446"/>
      <c r="M131" s="1446"/>
      <c r="N131" s="1446"/>
      <c r="O131" s="1446"/>
      <c r="P131" s="1446"/>
      <c r="Q131" s="1446"/>
      <c r="R131" s="1446"/>
      <c r="S131" s="1446"/>
      <c r="T131" s="1446"/>
      <c r="U131" s="1446"/>
      <c r="V131" s="1446"/>
      <c r="W131" s="1446"/>
      <c r="X131" s="1446"/>
      <c r="Y131" s="1446"/>
      <c r="Z131" s="1446"/>
      <c r="AA131" s="1446"/>
      <c r="AB131" s="1447"/>
    </row>
    <row r="132" spans="1:28" ht="18" customHeight="1" x14ac:dyDescent="0.25">
      <c r="A132" s="825"/>
      <c r="B132" s="16"/>
      <c r="C132" s="1418" t="s">
        <v>964</v>
      </c>
      <c r="D132" s="1418" t="s">
        <v>965</v>
      </c>
      <c r="E132" s="1418" t="s">
        <v>468</v>
      </c>
      <c r="F132" s="1452" t="s">
        <v>470</v>
      </c>
      <c r="G132" s="1452" t="s">
        <v>966</v>
      </c>
      <c r="H132" s="1452" t="s">
        <v>967</v>
      </c>
      <c r="I132" s="1452" t="s">
        <v>1180</v>
      </c>
      <c r="J132" s="1452" t="s">
        <v>968</v>
      </c>
      <c r="K132" s="1452" t="s">
        <v>969</v>
      </c>
      <c r="L132" s="1453" t="s">
        <v>970</v>
      </c>
      <c r="M132" s="1453" t="s">
        <v>971</v>
      </c>
      <c r="N132" s="1453" t="s">
        <v>972</v>
      </c>
      <c r="O132" s="1456" t="s">
        <v>973</v>
      </c>
      <c r="P132" s="1457"/>
      <c r="Q132" s="1456" t="s">
        <v>974</v>
      </c>
      <c r="R132" s="1458"/>
      <c r="S132" s="1458"/>
      <c r="T132" s="1458"/>
      <c r="U132" s="1457"/>
      <c r="V132" s="1452" t="s">
        <v>975</v>
      </c>
      <c r="W132" s="1465" t="s">
        <v>976</v>
      </c>
      <c r="X132" s="1405"/>
      <c r="Y132" s="1405"/>
      <c r="Z132" s="1406"/>
      <c r="AA132" s="808"/>
      <c r="AB132" s="1452" t="s">
        <v>977</v>
      </c>
    </row>
    <row r="133" spans="1:28" ht="48.1" customHeight="1" x14ac:dyDescent="0.25">
      <c r="A133" s="825"/>
      <c r="B133" s="16"/>
      <c r="C133" s="1449"/>
      <c r="D133" s="1449"/>
      <c r="E133" s="1449"/>
      <c r="F133" s="1449"/>
      <c r="G133" s="1449"/>
      <c r="H133" s="1449"/>
      <c r="I133" s="1449"/>
      <c r="J133" s="1449"/>
      <c r="K133" s="1449"/>
      <c r="L133" s="1454"/>
      <c r="M133" s="1455"/>
      <c r="N133" s="1454"/>
      <c r="O133" s="940" t="s">
        <v>978</v>
      </c>
      <c r="P133" s="940" t="s">
        <v>979</v>
      </c>
      <c r="Q133" s="940" t="s">
        <v>980</v>
      </c>
      <c r="R133" s="940" t="s">
        <v>981</v>
      </c>
      <c r="S133" s="940" t="s">
        <v>982</v>
      </c>
      <c r="T133" s="940" t="s">
        <v>983</v>
      </c>
      <c r="U133" s="940" t="s">
        <v>984</v>
      </c>
      <c r="V133" s="1449"/>
      <c r="W133" s="808" t="s">
        <v>985</v>
      </c>
      <c r="X133" s="808" t="s">
        <v>986</v>
      </c>
      <c r="Y133" s="808" t="s">
        <v>987</v>
      </c>
      <c r="Z133" s="808" t="s">
        <v>988</v>
      </c>
      <c r="AA133" s="808"/>
      <c r="AB133" s="1449"/>
    </row>
    <row r="134" spans="1:28" ht="75.75" customHeight="1" x14ac:dyDescent="0.25">
      <c r="A134" s="1440" t="s">
        <v>258</v>
      </c>
      <c r="B134" s="1441"/>
      <c r="C134" s="12" t="s">
        <v>1720</v>
      </c>
      <c r="D134" s="375" t="s">
        <v>277</v>
      </c>
      <c r="E134" s="373" t="s">
        <v>1721</v>
      </c>
      <c r="F134" s="297" t="s">
        <v>1415</v>
      </c>
      <c r="G134" s="252" t="str">
        <f>+'8. BASE  CONSOLIDADA'!O127</f>
        <v>DERECHOS SOBRE LA TIERRA</v>
      </c>
      <c r="H134" s="252" t="str">
        <f>+'8. BASE  CONSOLIDADA'!P127</f>
        <v>C5</v>
      </c>
      <c r="I134" s="353">
        <v>140920.89160839622</v>
      </c>
      <c r="J134" s="372">
        <f>$I$134/2</f>
        <v>70460.445804198112</v>
      </c>
      <c r="K134" s="372">
        <f>$I$134/2</f>
        <v>70460.445804198112</v>
      </c>
      <c r="L134" s="26">
        <v>15</v>
      </c>
      <c r="M134" s="788" t="s">
        <v>1416</v>
      </c>
      <c r="N134" s="1366" t="s">
        <v>1417</v>
      </c>
      <c r="O134" s="14">
        <f>J134*$L$134</f>
        <v>1056906.6870629718</v>
      </c>
      <c r="P134" s="14">
        <f>K134*$L$134</f>
        <v>1056906.6870629718</v>
      </c>
      <c r="Q134" s="14">
        <f>$O$134*0.2</f>
        <v>211381.33741259435</v>
      </c>
      <c r="R134" s="14">
        <f t="shared" ref="R134:U134" si="76">$O$134*0.2</f>
        <v>211381.33741259435</v>
      </c>
      <c r="S134" s="14">
        <f t="shared" si="76"/>
        <v>211381.33741259435</v>
      </c>
      <c r="T134" s="14">
        <f t="shared" si="76"/>
        <v>211381.33741259435</v>
      </c>
      <c r="U134" s="14">
        <f t="shared" si="76"/>
        <v>211381.33741259435</v>
      </c>
      <c r="V134" s="13"/>
      <c r="W134" s="13"/>
      <c r="X134" s="13" t="s">
        <v>148</v>
      </c>
      <c r="Y134" s="13"/>
      <c r="Z134" s="13"/>
      <c r="AA134" s="13"/>
      <c r="AB134" s="13">
        <v>3</v>
      </c>
    </row>
    <row r="135" spans="1:28" ht="39.1" customHeight="1" x14ac:dyDescent="0.25">
      <c r="A135" s="1442" t="s">
        <v>256</v>
      </c>
      <c r="B135" s="1443"/>
      <c r="C135" s="12" t="s">
        <v>1722</v>
      </c>
      <c r="D135" s="375" t="s">
        <v>181</v>
      </c>
      <c r="E135" s="373" t="s">
        <v>1419</v>
      </c>
      <c r="F135" s="297" t="s">
        <v>1420</v>
      </c>
      <c r="G135" s="252" t="str">
        <f>+'8. BASE  CONSOLIDADA'!O128</f>
        <v>DERECHOS SOBRE LA TIERRA</v>
      </c>
      <c r="H135" s="252" t="str">
        <f>+'8. BASE  CONSOLIDADA'!P128</f>
        <v>C5</v>
      </c>
      <c r="I135" s="13"/>
      <c r="J135" s="13">
        <v>70</v>
      </c>
      <c r="K135" s="13">
        <v>70</v>
      </c>
      <c r="L135" s="26">
        <v>150</v>
      </c>
      <c r="M135" s="788" t="s">
        <v>1092</v>
      </c>
      <c r="N135" s="1366" t="s">
        <v>1417</v>
      </c>
      <c r="O135" s="14">
        <f>+J135*L135</f>
        <v>10500</v>
      </c>
      <c r="P135" s="14">
        <f>+K135*L135</f>
        <v>10500</v>
      </c>
      <c r="Q135" s="14">
        <f>+O135</f>
        <v>10500</v>
      </c>
      <c r="R135" s="14"/>
      <c r="S135" s="14"/>
      <c r="T135" s="14"/>
      <c r="U135" s="14"/>
      <c r="V135" s="13"/>
      <c r="W135" s="13"/>
      <c r="X135" s="13" t="s">
        <v>148</v>
      </c>
      <c r="Y135" s="13"/>
      <c r="Z135" s="13"/>
      <c r="AA135" s="13"/>
      <c r="AB135" s="13">
        <v>2</v>
      </c>
    </row>
    <row r="136" spans="1:28" ht="32.6" x14ac:dyDescent="0.25">
      <c r="A136" s="1442" t="s">
        <v>256</v>
      </c>
      <c r="B136" s="1443"/>
      <c r="C136" s="12" t="s">
        <v>1723</v>
      </c>
      <c r="D136" s="375" t="s">
        <v>182</v>
      </c>
      <c r="E136" s="373" t="s">
        <v>1422</v>
      </c>
      <c r="F136" s="297" t="s">
        <v>1423</v>
      </c>
      <c r="G136" s="252" t="str">
        <f>+'8. BASE  CONSOLIDADA'!O129</f>
        <v>DERECHOS SOBRE LA TIERRA</v>
      </c>
      <c r="H136" s="252" t="str">
        <f>+'8. BASE  CONSOLIDADA'!P129</f>
        <v>C5</v>
      </c>
      <c r="I136" s="13"/>
      <c r="J136" s="13">
        <v>15</v>
      </c>
      <c r="K136" s="13">
        <v>15</v>
      </c>
      <c r="L136" s="26">
        <v>10000</v>
      </c>
      <c r="M136" s="788" t="s">
        <v>1424</v>
      </c>
      <c r="N136" s="1366" t="s">
        <v>1417</v>
      </c>
      <c r="O136" s="14">
        <f>+J136*L136</f>
        <v>150000</v>
      </c>
      <c r="P136" s="14">
        <f>+K136*L136</f>
        <v>150000</v>
      </c>
      <c r="Q136" s="14">
        <f>+O136*0.3</f>
        <v>45000</v>
      </c>
      <c r="R136" s="14">
        <f>+O136*0.3</f>
        <v>45000</v>
      </c>
      <c r="S136" s="14">
        <f>+O136*0.4</f>
        <v>60000</v>
      </c>
      <c r="T136" s="14"/>
      <c r="U136" s="14"/>
      <c r="V136" s="13"/>
      <c r="W136" s="13"/>
      <c r="X136" s="13" t="s">
        <v>148</v>
      </c>
      <c r="Y136" s="13"/>
      <c r="Z136" s="13"/>
      <c r="AA136" s="13"/>
      <c r="AB136" s="13">
        <v>2</v>
      </c>
    </row>
    <row r="137" spans="1:28" s="365" customFormat="1" ht="32.6" x14ac:dyDescent="0.25">
      <c r="A137" s="1440" t="s">
        <v>258</v>
      </c>
      <c r="B137" s="1441"/>
      <c r="C137" s="12" t="s">
        <v>1724</v>
      </c>
      <c r="D137" s="375" t="s">
        <v>183</v>
      </c>
      <c r="E137" s="373" t="s">
        <v>1426</v>
      </c>
      <c r="F137" s="297" t="s">
        <v>1427</v>
      </c>
      <c r="G137" s="252" t="str">
        <f>+'8. BASE  CONSOLIDADA'!O130</f>
        <v>DERECHOS SOBRE LA TIERRA</v>
      </c>
      <c r="H137" s="252" t="str">
        <f>+'8. BASE  CONSOLIDADA'!P130</f>
        <v>C5</v>
      </c>
      <c r="I137" s="353">
        <v>140920.89160839622</v>
      </c>
      <c r="J137" s="372">
        <f>$I$137/2</f>
        <v>70460.445804198112</v>
      </c>
      <c r="K137" s="372">
        <f>$I$137/2</f>
        <v>70460.445804198112</v>
      </c>
      <c r="L137" s="26">
        <v>1</v>
      </c>
      <c r="M137" s="788" t="s">
        <v>1428</v>
      </c>
      <c r="N137" s="1366" t="s">
        <v>1417</v>
      </c>
      <c r="O137" s="14">
        <f>J137*$L$137</f>
        <v>70460.445804198112</v>
      </c>
      <c r="P137" s="14">
        <f>K137*$L$137</f>
        <v>70460.445804198112</v>
      </c>
      <c r="Q137" s="14">
        <f>$O$137*0.2</f>
        <v>14092.089160839623</v>
      </c>
      <c r="R137" s="14">
        <f t="shared" ref="R137:U137" si="77">$O$137*0.2</f>
        <v>14092.089160839623</v>
      </c>
      <c r="S137" s="14">
        <f t="shared" si="77"/>
        <v>14092.089160839623</v>
      </c>
      <c r="T137" s="14">
        <f t="shared" si="77"/>
        <v>14092.089160839623</v>
      </c>
      <c r="U137" s="14">
        <f t="shared" si="77"/>
        <v>14092.089160839623</v>
      </c>
      <c r="V137" s="13"/>
      <c r="W137" s="13"/>
      <c r="X137" s="13" t="s">
        <v>148</v>
      </c>
      <c r="Y137" s="13"/>
      <c r="Z137" s="13"/>
      <c r="AA137" s="13"/>
      <c r="AB137" s="13">
        <v>2</v>
      </c>
    </row>
    <row r="138" spans="1:28" ht="19.55" customHeight="1" x14ac:dyDescent="0.25">
      <c r="A138" s="825"/>
      <c r="B138" s="16"/>
      <c r="C138" s="1"/>
      <c r="D138" s="366"/>
      <c r="E138" s="366"/>
      <c r="F138" s="366"/>
      <c r="G138" s="366"/>
      <c r="H138" s="366"/>
      <c r="I138" s="366"/>
      <c r="J138" s="366"/>
      <c r="K138" s="366"/>
      <c r="L138" s="366"/>
      <c r="M138" s="264"/>
      <c r="N138" s="366"/>
      <c r="O138" s="29">
        <f>SUM(O134:O137)</f>
        <v>1287867.1328671698</v>
      </c>
      <c r="P138" s="29">
        <f t="shared" ref="P138:U138" si="78">SUM(P134:P137)</f>
        <v>1287867.1328671698</v>
      </c>
      <c r="Q138" s="29">
        <f t="shared" si="78"/>
        <v>280973.42657343397</v>
      </c>
      <c r="R138" s="29">
        <f t="shared" si="78"/>
        <v>270473.42657343397</v>
      </c>
      <c r="S138" s="29">
        <f t="shared" si="78"/>
        <v>285473.42657343397</v>
      </c>
      <c r="T138" s="29">
        <f t="shared" si="78"/>
        <v>225473.42657343397</v>
      </c>
      <c r="U138" s="29">
        <f t="shared" si="78"/>
        <v>225473.42657343397</v>
      </c>
      <c r="V138" s="366"/>
      <c r="W138" s="1"/>
      <c r="X138" s="1"/>
      <c r="Y138" s="1"/>
      <c r="Z138" s="1"/>
      <c r="AA138" s="1"/>
      <c r="AB138" s="1"/>
    </row>
    <row r="139" spans="1:28" s="347" customFormat="1" ht="19.55" customHeight="1" x14ac:dyDescent="0.25">
      <c r="A139" s="825"/>
      <c r="B139" s="16"/>
      <c r="C139" s="1"/>
      <c r="D139" s="366"/>
      <c r="E139" s="366"/>
      <c r="F139" s="366"/>
      <c r="G139" s="366"/>
      <c r="H139" s="366"/>
      <c r="I139" s="366"/>
      <c r="J139" s="366"/>
      <c r="K139" s="366"/>
      <c r="L139" s="366"/>
      <c r="M139" s="264"/>
      <c r="N139" s="366"/>
      <c r="O139" s="366"/>
      <c r="P139" s="366"/>
      <c r="Q139" s="366"/>
      <c r="R139" s="366"/>
      <c r="S139" s="366"/>
      <c r="T139" s="366"/>
      <c r="U139" s="366"/>
      <c r="V139" s="366"/>
      <c r="W139" s="1"/>
      <c r="X139" s="1"/>
      <c r="Y139" s="1"/>
      <c r="Z139" s="1"/>
      <c r="AA139" s="1"/>
      <c r="AB139" s="1"/>
    </row>
    <row r="140" spans="1:28" s="347" customFormat="1" ht="19.55" customHeight="1" x14ac:dyDescent="0.25">
      <c r="A140" s="825"/>
      <c r="B140" s="16"/>
      <c r="C140" s="1"/>
      <c r="D140" s="366"/>
      <c r="E140" s="366"/>
      <c r="F140" s="366"/>
      <c r="G140" s="366"/>
      <c r="H140" s="366"/>
      <c r="I140" s="366"/>
      <c r="J140" s="366"/>
      <c r="K140" s="366"/>
      <c r="L140" s="366"/>
      <c r="M140" s="264"/>
      <c r="N140" s="366"/>
      <c r="O140" s="366"/>
      <c r="P140" s="366"/>
      <c r="Q140" s="366"/>
      <c r="R140" s="366"/>
      <c r="S140" s="366"/>
      <c r="T140" s="366"/>
      <c r="U140" s="366"/>
      <c r="V140" s="366"/>
      <c r="W140" s="1"/>
      <c r="X140" s="1"/>
      <c r="Y140" s="1"/>
      <c r="Z140" s="1"/>
      <c r="AA140" s="1"/>
      <c r="AB140" s="1"/>
    </row>
    <row r="141" spans="1:28" s="347" customFormat="1" ht="15.65" customHeight="1" x14ac:dyDescent="0.25">
      <c r="A141" s="825"/>
      <c r="B141" s="16"/>
      <c r="C141" s="1459" t="s">
        <v>1170</v>
      </c>
      <c r="D141" s="1405"/>
      <c r="E141" s="1406"/>
      <c r="F141" s="816" t="s">
        <v>131</v>
      </c>
      <c r="G141" s="813"/>
      <c r="H141" s="813"/>
      <c r="I141" s="813"/>
      <c r="J141" s="813"/>
      <c r="K141" s="813"/>
      <c r="L141" s="813"/>
      <c r="M141" s="938"/>
      <c r="N141" s="813"/>
      <c r="O141" s="813"/>
      <c r="P141" s="813"/>
      <c r="Q141" s="813"/>
      <c r="R141" s="813"/>
      <c r="S141" s="813"/>
      <c r="T141" s="813"/>
      <c r="U141" s="813"/>
      <c r="V141" s="813"/>
      <c r="W141" s="813"/>
      <c r="X141" s="813"/>
      <c r="Y141" s="813"/>
      <c r="Z141" s="813"/>
      <c r="AA141" s="813"/>
      <c r="AB141" s="814"/>
    </row>
    <row r="142" spans="1:28" s="347" customFormat="1" ht="24.8" customHeight="1" x14ac:dyDescent="0.25">
      <c r="A142" s="825"/>
      <c r="B142" s="16"/>
      <c r="C142" s="1459" t="s">
        <v>1171</v>
      </c>
      <c r="D142" s="1405"/>
      <c r="E142" s="1406"/>
      <c r="F142" s="1445" t="s">
        <v>1725</v>
      </c>
      <c r="G142" s="1446"/>
      <c r="H142" s="1446"/>
      <c r="I142" s="1446"/>
      <c r="J142" s="1446"/>
      <c r="K142" s="1446"/>
      <c r="L142" s="1446"/>
      <c r="M142" s="1446"/>
      <c r="N142" s="1446"/>
      <c r="O142" s="1446"/>
      <c r="P142" s="1446"/>
      <c r="Q142" s="1446"/>
      <c r="R142" s="1446"/>
      <c r="S142" s="1446"/>
      <c r="T142" s="1446"/>
      <c r="U142" s="1446"/>
      <c r="V142" s="1446"/>
      <c r="W142" s="1446"/>
      <c r="X142" s="1446"/>
      <c r="Y142" s="1446"/>
      <c r="Z142" s="1446"/>
      <c r="AA142" s="1446"/>
      <c r="AB142" s="1447"/>
    </row>
    <row r="143" spans="1:28" s="347" customFormat="1" ht="23.3" customHeight="1" x14ac:dyDescent="0.25">
      <c r="A143" s="825"/>
      <c r="B143" s="16"/>
      <c r="C143" s="1459" t="s">
        <v>1173</v>
      </c>
      <c r="D143" s="1405"/>
      <c r="E143" s="1406"/>
      <c r="F143" s="1445" t="s">
        <v>1430</v>
      </c>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7"/>
    </row>
    <row r="144" spans="1:28" s="347" customFormat="1" ht="23.3" customHeight="1" x14ac:dyDescent="0.25">
      <c r="A144" s="825"/>
      <c r="B144" s="16"/>
      <c r="C144" s="1459" t="s">
        <v>1175</v>
      </c>
      <c r="D144" s="1405"/>
      <c r="E144" s="1406"/>
      <c r="F144" s="1445" t="s">
        <v>1431</v>
      </c>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7"/>
    </row>
    <row r="145" spans="1:28" s="347" customFormat="1" ht="36" customHeight="1" x14ac:dyDescent="0.25">
      <c r="A145" s="825"/>
      <c r="B145" s="16"/>
      <c r="C145" s="1444" t="s">
        <v>142</v>
      </c>
      <c r="D145" s="1405"/>
      <c r="E145" s="1406"/>
      <c r="F145" s="1445" t="s">
        <v>1699</v>
      </c>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7"/>
    </row>
    <row r="146" spans="1:28" s="347" customFormat="1" ht="26.35" customHeight="1" x14ac:dyDescent="0.25">
      <c r="A146" s="825"/>
      <c r="B146" s="16"/>
      <c r="C146" s="1444" t="s">
        <v>1178</v>
      </c>
      <c r="D146" s="1405"/>
      <c r="E146" s="1406"/>
      <c r="F146" s="1445" t="s">
        <v>1350</v>
      </c>
      <c r="G146" s="1446"/>
      <c r="H146" s="1446"/>
      <c r="I146" s="1446"/>
      <c r="J146" s="1446"/>
      <c r="K146" s="1446"/>
      <c r="L146" s="1446"/>
      <c r="M146" s="1446"/>
      <c r="N146" s="1446"/>
      <c r="O146" s="1446"/>
      <c r="P146" s="1446"/>
      <c r="Q146" s="1446"/>
      <c r="R146" s="1446"/>
      <c r="S146" s="1446"/>
      <c r="T146" s="1446"/>
      <c r="U146" s="1446"/>
      <c r="V146" s="1446"/>
      <c r="W146" s="1446"/>
      <c r="X146" s="1446"/>
      <c r="Y146" s="1446"/>
      <c r="Z146" s="1446"/>
      <c r="AA146" s="1446"/>
      <c r="AB146" s="1447"/>
    </row>
    <row r="147" spans="1:28" s="347" customFormat="1" ht="15.65" customHeight="1" x14ac:dyDescent="0.25">
      <c r="A147" s="825"/>
      <c r="B147" s="16"/>
      <c r="C147" s="1418" t="s">
        <v>964</v>
      </c>
      <c r="D147" s="1418" t="s">
        <v>965</v>
      </c>
      <c r="E147" s="1450" t="s">
        <v>468</v>
      </c>
      <c r="F147" s="1452" t="s">
        <v>470</v>
      </c>
      <c r="G147" s="1452" t="s">
        <v>966</v>
      </c>
      <c r="H147" s="1452" t="s">
        <v>967</v>
      </c>
      <c r="I147" s="1452" t="s">
        <v>1180</v>
      </c>
      <c r="J147" s="1452" t="s">
        <v>968</v>
      </c>
      <c r="K147" s="1452" t="s">
        <v>969</v>
      </c>
      <c r="L147" s="1453" t="s">
        <v>970</v>
      </c>
      <c r="M147" s="1453" t="s">
        <v>971</v>
      </c>
      <c r="N147" s="1453" t="s">
        <v>972</v>
      </c>
      <c r="O147" s="1456" t="s">
        <v>973</v>
      </c>
      <c r="P147" s="1457"/>
      <c r="Q147" s="1456" t="s">
        <v>974</v>
      </c>
      <c r="R147" s="1458"/>
      <c r="S147" s="1458"/>
      <c r="T147" s="1458"/>
      <c r="U147" s="1457"/>
      <c r="V147" s="1452" t="s">
        <v>975</v>
      </c>
      <c r="W147" s="1465" t="s">
        <v>976</v>
      </c>
      <c r="X147" s="1405"/>
      <c r="Y147" s="1405"/>
      <c r="Z147" s="1406"/>
      <c r="AA147" s="808" t="s">
        <v>253</v>
      </c>
      <c r="AB147" s="1452" t="s">
        <v>977</v>
      </c>
    </row>
    <row r="148" spans="1:28" s="347" customFormat="1" ht="65.25" x14ac:dyDescent="0.25">
      <c r="A148" s="825"/>
      <c r="B148" s="16"/>
      <c r="C148" s="1449"/>
      <c r="D148" s="1449"/>
      <c r="E148" s="1451"/>
      <c r="F148" s="1449"/>
      <c r="G148" s="1449"/>
      <c r="H148" s="1449"/>
      <c r="I148" s="1449"/>
      <c r="J148" s="1449"/>
      <c r="K148" s="1449"/>
      <c r="L148" s="1454"/>
      <c r="M148" s="1455"/>
      <c r="N148" s="1454"/>
      <c r="O148" s="940" t="s">
        <v>978</v>
      </c>
      <c r="P148" s="940" t="s">
        <v>979</v>
      </c>
      <c r="Q148" s="940" t="s">
        <v>980</v>
      </c>
      <c r="R148" s="940" t="s">
        <v>981</v>
      </c>
      <c r="S148" s="940" t="s">
        <v>982</v>
      </c>
      <c r="T148" s="940" t="s">
        <v>983</v>
      </c>
      <c r="U148" s="940" t="s">
        <v>984</v>
      </c>
      <c r="V148" s="1449"/>
      <c r="W148" s="808" t="s">
        <v>985</v>
      </c>
      <c r="X148" s="808" t="s">
        <v>986</v>
      </c>
      <c r="Y148" s="808" t="s">
        <v>987</v>
      </c>
      <c r="Z148" s="808" t="s">
        <v>988</v>
      </c>
      <c r="AA148" s="808"/>
      <c r="AB148" s="1449"/>
    </row>
    <row r="149" spans="1:28" s="347" customFormat="1" ht="68.3" customHeight="1" x14ac:dyDescent="0.25">
      <c r="A149" s="294" t="s">
        <v>258</v>
      </c>
      <c r="B149" s="294"/>
      <c r="C149" s="12" t="s">
        <v>1726</v>
      </c>
      <c r="D149" s="266" t="s">
        <v>184</v>
      </c>
      <c r="E149" s="373" t="s">
        <v>1433</v>
      </c>
      <c r="F149" s="13" t="s">
        <v>1415</v>
      </c>
      <c r="G149" s="13" t="str">
        <f>+'8. BASE  CONSOLIDADA'!O131</f>
        <v>DERECHOS SOBRE LA TIERRA</v>
      </c>
      <c r="H149" s="13" t="str">
        <f>+'8. BASE  CONSOLIDADA'!P131</f>
        <v>C5</v>
      </c>
      <c r="I149" s="353">
        <v>24905.186800862601</v>
      </c>
      <c r="J149" s="353">
        <f>24905.1868008626/2</f>
        <v>12452.5934004313</v>
      </c>
      <c r="K149" s="353">
        <f>24905.1868008626/2</f>
        <v>12452.5934004313</v>
      </c>
      <c r="L149" s="26">
        <v>15</v>
      </c>
      <c r="M149" s="788" t="s">
        <v>1416</v>
      </c>
      <c r="N149" s="13" t="s">
        <v>1417</v>
      </c>
      <c r="O149" s="14">
        <f>J149*$L$149</f>
        <v>186788.9010064695</v>
      </c>
      <c r="P149" s="14">
        <f>K149*$L$149</f>
        <v>186788.9010064695</v>
      </c>
      <c r="Q149" s="14">
        <f>$O$149*0.2</f>
        <v>37357.780201293899</v>
      </c>
      <c r="R149" s="14">
        <f>$O$149*0.2</f>
        <v>37357.780201293899</v>
      </c>
      <c r="S149" s="14">
        <f>$O$149*0.2</f>
        <v>37357.780201293899</v>
      </c>
      <c r="T149" s="14">
        <f>$O$149*0.2</f>
        <v>37357.780201293899</v>
      </c>
      <c r="U149" s="14">
        <f>$O$149*0.2</f>
        <v>37357.780201293899</v>
      </c>
      <c r="V149" s="13"/>
      <c r="W149" s="13"/>
      <c r="X149" s="13" t="s">
        <v>148</v>
      </c>
      <c r="Y149" s="13"/>
      <c r="Z149" s="13"/>
      <c r="AA149" s="13"/>
      <c r="AB149" s="13">
        <v>3</v>
      </c>
    </row>
    <row r="150" spans="1:28" s="347" customFormat="1" ht="32.6" x14ac:dyDescent="0.25">
      <c r="A150" s="293" t="s">
        <v>256</v>
      </c>
      <c r="B150" s="293"/>
      <c r="C150" s="12" t="s">
        <v>1727</v>
      </c>
      <c r="D150" s="266" t="s">
        <v>181</v>
      </c>
      <c r="E150" s="373" t="s">
        <v>1419</v>
      </c>
      <c r="F150" s="13" t="s">
        <v>1420</v>
      </c>
      <c r="G150" s="13" t="str">
        <f>+'8. BASE  CONSOLIDADA'!O132</f>
        <v>DERECHOS SOBRE LA TIERRA</v>
      </c>
      <c r="H150" s="13" t="str">
        <f>+'8. BASE  CONSOLIDADA'!P132</f>
        <v>C5</v>
      </c>
      <c r="I150" s="13"/>
      <c r="J150" s="13">
        <v>70</v>
      </c>
      <c r="K150" s="13">
        <v>70</v>
      </c>
      <c r="L150" s="26">
        <v>150</v>
      </c>
      <c r="M150" s="788" t="s">
        <v>1092</v>
      </c>
      <c r="N150" s="13" t="s">
        <v>1417</v>
      </c>
      <c r="O150" s="14">
        <f>+J150*L150</f>
        <v>10500</v>
      </c>
      <c r="P150" s="14">
        <f>+K150*L150</f>
        <v>10500</v>
      </c>
      <c r="Q150" s="14">
        <f>+O150</f>
        <v>10500</v>
      </c>
      <c r="R150" s="14"/>
      <c r="S150" s="14"/>
      <c r="T150" s="14"/>
      <c r="U150" s="14"/>
      <c r="V150" s="13"/>
      <c r="W150" s="13"/>
      <c r="X150" s="13" t="s">
        <v>148</v>
      </c>
      <c r="Y150" s="13"/>
      <c r="Z150" s="13"/>
      <c r="AA150" s="13"/>
      <c r="AB150" s="13">
        <v>2</v>
      </c>
    </row>
    <row r="151" spans="1:28" s="347" customFormat="1" ht="32.6" x14ac:dyDescent="0.25">
      <c r="A151" s="293" t="s">
        <v>256</v>
      </c>
      <c r="B151" s="293"/>
      <c r="C151" s="12" t="s">
        <v>1728</v>
      </c>
      <c r="D151" s="266" t="s">
        <v>182</v>
      </c>
      <c r="E151" s="375" t="s">
        <v>1436</v>
      </c>
      <c r="F151" s="252" t="s">
        <v>1423</v>
      </c>
      <c r="G151" s="13" t="str">
        <f>+'8. BASE  CONSOLIDADA'!O133</f>
        <v>DERECHOS SOBRE LA TIERRA</v>
      </c>
      <c r="H151" s="13" t="str">
        <f>+'8. BASE  CONSOLIDADA'!P133</f>
        <v>C5</v>
      </c>
      <c r="I151" s="252"/>
      <c r="J151" s="252">
        <v>5</v>
      </c>
      <c r="K151" s="252">
        <v>5</v>
      </c>
      <c r="L151" s="255">
        <v>10000</v>
      </c>
      <c r="M151" s="786" t="s">
        <v>1424</v>
      </c>
      <c r="N151" s="252" t="s">
        <v>1417</v>
      </c>
      <c r="O151" s="370">
        <f>+J151*L151</f>
        <v>50000</v>
      </c>
      <c r="P151" s="370">
        <f>+K151*L151</f>
        <v>50000</v>
      </c>
      <c r="Q151" s="370">
        <f>+O151*0.3</f>
        <v>15000</v>
      </c>
      <c r="R151" s="370">
        <f>+O151*0.3</f>
        <v>15000</v>
      </c>
      <c r="S151" s="370">
        <f>+O151*0.4</f>
        <v>20000</v>
      </c>
      <c r="T151" s="370"/>
      <c r="U151" s="370"/>
      <c r="V151" s="13"/>
      <c r="W151" s="13"/>
      <c r="X151" s="13" t="s">
        <v>148</v>
      </c>
      <c r="Y151" s="13"/>
      <c r="Z151" s="13"/>
      <c r="AA151" s="13"/>
      <c r="AB151" s="13">
        <v>2</v>
      </c>
    </row>
    <row r="152" spans="1:28" s="347" customFormat="1" ht="41.3" customHeight="1" x14ac:dyDescent="0.25">
      <c r="A152" s="294" t="s">
        <v>258</v>
      </c>
      <c r="B152" s="294"/>
      <c r="C152" s="12" t="s">
        <v>1729</v>
      </c>
      <c r="D152" s="266" t="s">
        <v>183</v>
      </c>
      <c r="E152" s="373" t="s">
        <v>1426</v>
      </c>
      <c r="F152" s="13" t="s">
        <v>1427</v>
      </c>
      <c r="G152" s="13" t="str">
        <f>+'8. BASE  CONSOLIDADA'!O134</f>
        <v>DERECHOS SOBRE LA TIERRA</v>
      </c>
      <c r="H152" s="13" t="str">
        <f>+'8. BASE  CONSOLIDADA'!P134</f>
        <v>C5</v>
      </c>
      <c r="I152" s="353">
        <v>24905.186800862601</v>
      </c>
      <c r="J152" s="353">
        <f>24905.1868008626/2</f>
        <v>12452.5934004313</v>
      </c>
      <c r="K152" s="353">
        <f>24905.1868008626/2</f>
        <v>12452.5934004313</v>
      </c>
      <c r="L152" s="26">
        <v>1</v>
      </c>
      <c r="M152" s="788" t="s">
        <v>1428</v>
      </c>
      <c r="N152" s="13" t="s">
        <v>1417</v>
      </c>
      <c r="O152" s="14">
        <f>+J152*L152</f>
        <v>12452.5934004313</v>
      </c>
      <c r="P152" s="14">
        <f>+K152*L152</f>
        <v>12452.5934004313</v>
      </c>
      <c r="Q152" s="14">
        <f>$O$152*0.2</f>
        <v>2490.5186800862602</v>
      </c>
      <c r="R152" s="14">
        <f t="shared" ref="R152:U152" si="79">$O$152*0.2</f>
        <v>2490.5186800862602</v>
      </c>
      <c r="S152" s="14">
        <f t="shared" si="79"/>
        <v>2490.5186800862602</v>
      </c>
      <c r="T152" s="14">
        <f t="shared" si="79"/>
        <v>2490.5186800862602</v>
      </c>
      <c r="U152" s="14">
        <f t="shared" si="79"/>
        <v>2490.5186800862602</v>
      </c>
      <c r="V152" s="13"/>
      <c r="W152" s="13"/>
      <c r="X152" s="13" t="s">
        <v>148</v>
      </c>
      <c r="Y152" s="13"/>
      <c r="Z152" s="13"/>
      <c r="AA152" s="13"/>
      <c r="AB152" s="13">
        <v>2</v>
      </c>
    </row>
    <row r="153" spans="1:28" s="347" customFormat="1" ht="54" customHeight="1" x14ac:dyDescent="0.25">
      <c r="A153" s="295" t="s">
        <v>257</v>
      </c>
      <c r="B153" s="295"/>
      <c r="C153" s="12" t="s">
        <v>1730</v>
      </c>
      <c r="D153" s="266" t="s">
        <v>185</v>
      </c>
      <c r="E153" s="373" t="s">
        <v>1439</v>
      </c>
      <c r="F153" s="13" t="s">
        <v>1440</v>
      </c>
      <c r="G153" s="13" t="str">
        <f>+'8. BASE  CONSOLIDADA'!O135</f>
        <v>DERECHOS SOBRE LA TIERRA</v>
      </c>
      <c r="H153" s="13" t="str">
        <f>+'8. BASE  CONSOLIDADA'!P135</f>
        <v>C5</v>
      </c>
      <c r="I153" s="13"/>
      <c r="J153" s="353">
        <v>5637.0492705921833</v>
      </c>
      <c r="K153" s="353"/>
      <c r="L153" s="26">
        <v>500</v>
      </c>
      <c r="M153" s="788" t="s">
        <v>1441</v>
      </c>
      <c r="N153" s="13" t="s">
        <v>996</v>
      </c>
      <c r="O153" s="14">
        <f t="shared" ref="O153" si="80">+J153*L153</f>
        <v>2818524.6352960919</v>
      </c>
      <c r="P153" s="14">
        <f t="shared" ref="P153" si="81">+K153*L153</f>
        <v>0</v>
      </c>
      <c r="Q153" s="14">
        <f>+O153</f>
        <v>2818524.6352960919</v>
      </c>
      <c r="R153" s="14"/>
      <c r="S153" s="14"/>
      <c r="T153" s="14"/>
      <c r="U153" s="14"/>
      <c r="V153" s="13"/>
      <c r="W153" s="13"/>
      <c r="X153" s="13" t="s">
        <v>148</v>
      </c>
      <c r="Y153" s="13"/>
      <c r="Z153" s="13"/>
      <c r="AA153" s="13"/>
      <c r="AB153" s="13">
        <v>3</v>
      </c>
    </row>
    <row r="154" spans="1:28" s="347" customFormat="1" ht="19.55" customHeight="1" x14ac:dyDescent="0.25">
      <c r="A154" s="825"/>
      <c r="B154" s="16"/>
      <c r="C154" s="1"/>
      <c r="D154" s="366"/>
      <c r="E154" s="366"/>
      <c r="F154" s="366"/>
      <c r="G154" s="366"/>
      <c r="H154" s="366"/>
      <c r="I154" s="366"/>
      <c r="J154" s="366"/>
      <c r="K154" s="366"/>
      <c r="L154" s="366"/>
      <c r="M154" s="264"/>
      <c r="N154" s="366"/>
      <c r="O154" s="29">
        <f>SUM(O149:O153)</f>
        <v>3078266.1297029927</v>
      </c>
      <c r="P154" s="29">
        <f t="shared" ref="P154:U154" si="82">SUM(P149:P153)</f>
        <v>259741.49440690081</v>
      </c>
      <c r="Q154" s="29">
        <f t="shared" si="82"/>
        <v>2883872.9341774723</v>
      </c>
      <c r="R154" s="29">
        <f t="shared" si="82"/>
        <v>54848.298881380157</v>
      </c>
      <c r="S154" s="29">
        <f t="shared" si="82"/>
        <v>59848.298881380157</v>
      </c>
      <c r="T154" s="29">
        <f t="shared" si="82"/>
        <v>39848.298881380157</v>
      </c>
      <c r="U154" s="29">
        <f t="shared" si="82"/>
        <v>39848.298881380157</v>
      </c>
      <c r="V154" s="366"/>
      <c r="W154" s="1"/>
      <c r="X154" s="1"/>
      <c r="Y154" s="1"/>
      <c r="Z154" s="1"/>
      <c r="AA154" s="1"/>
      <c r="AB154" s="1"/>
    </row>
    <row r="155" spans="1:28" s="347" customFormat="1" ht="19.55" customHeight="1" x14ac:dyDescent="0.25">
      <c r="A155" s="825"/>
      <c r="B155" s="16"/>
      <c r="C155" s="1"/>
      <c r="D155" s="366"/>
      <c r="E155" s="366"/>
      <c r="F155" s="366"/>
      <c r="G155" s="366"/>
      <c r="H155" s="366"/>
      <c r="I155" s="366"/>
      <c r="J155" s="366"/>
      <c r="K155" s="366"/>
      <c r="L155" s="366"/>
      <c r="M155" s="264"/>
      <c r="N155" s="366"/>
      <c r="O155" s="825"/>
      <c r="P155" s="825"/>
      <c r="Q155" s="825"/>
      <c r="R155" s="825"/>
      <c r="S155" s="825"/>
      <c r="T155" s="825"/>
      <c r="U155" s="825"/>
      <c r="V155" s="366"/>
      <c r="W155" s="1"/>
      <c r="X155" s="1"/>
      <c r="Y155" s="1"/>
      <c r="Z155" s="1"/>
      <c r="AA155" s="1"/>
      <c r="AB155" s="1"/>
    </row>
    <row r="156" spans="1:28" s="347" customFormat="1" ht="19.55" customHeight="1" x14ac:dyDescent="0.25">
      <c r="A156" s="825"/>
      <c r="B156" s="16"/>
      <c r="C156" s="1"/>
      <c r="D156" s="366"/>
      <c r="E156" s="366"/>
      <c r="F156" s="366"/>
      <c r="G156" s="366"/>
      <c r="H156" s="366"/>
      <c r="I156" s="366"/>
      <c r="J156" s="366"/>
      <c r="K156" s="366"/>
      <c r="L156" s="366"/>
      <c r="M156" s="264"/>
      <c r="N156" s="366"/>
      <c r="O156" s="825"/>
      <c r="P156" s="825"/>
      <c r="Q156" s="825"/>
      <c r="R156" s="825"/>
      <c r="S156" s="825"/>
      <c r="T156" s="825"/>
      <c r="U156" s="825"/>
      <c r="V156" s="366"/>
      <c r="W156" s="1"/>
      <c r="X156" s="1"/>
      <c r="Y156" s="1"/>
      <c r="Z156" s="1"/>
      <c r="AA156" s="1"/>
      <c r="AB156" s="1"/>
    </row>
    <row r="157" spans="1:28" ht="11.25" customHeight="1" x14ac:dyDescent="0.25">
      <c r="A157" s="825"/>
      <c r="B157" s="16"/>
      <c r="C157" s="1"/>
      <c r="D157" s="366"/>
      <c r="E157" s="366"/>
      <c r="F157" s="366"/>
      <c r="G157" s="366"/>
      <c r="H157" s="366"/>
      <c r="I157" s="366"/>
      <c r="J157" s="366"/>
      <c r="K157" s="366"/>
      <c r="L157" s="366"/>
      <c r="M157" s="264"/>
      <c r="N157" s="366"/>
      <c r="O157" s="366"/>
      <c r="P157" s="366"/>
      <c r="Q157" s="366"/>
      <c r="R157" s="366"/>
      <c r="S157" s="366"/>
      <c r="T157" s="366"/>
      <c r="U157" s="366"/>
      <c r="V157" s="366"/>
      <c r="W157" s="1"/>
      <c r="X157" s="1"/>
      <c r="Y157" s="1"/>
      <c r="Z157" s="1"/>
      <c r="AA157" s="1"/>
      <c r="AB157" s="1"/>
    </row>
    <row r="158" spans="1:28" ht="22.6" customHeight="1" x14ac:dyDescent="0.25">
      <c r="A158" s="825"/>
      <c r="B158" s="16"/>
      <c r="C158" s="1488" t="s">
        <v>1731</v>
      </c>
      <c r="D158" s="1393"/>
      <c r="E158" s="1393"/>
      <c r="F158" s="1393"/>
      <c r="G158" s="1393"/>
      <c r="H158" s="1393"/>
      <c r="I158" s="1393"/>
      <c r="J158" s="1393"/>
      <c r="K158" s="1393"/>
      <c r="L158" s="1393"/>
      <c r="M158" s="1393"/>
      <c r="N158" s="1393"/>
      <c r="O158" s="1393"/>
      <c r="P158" s="1393"/>
      <c r="Q158" s="1393"/>
      <c r="R158" s="1393"/>
      <c r="S158" s="1393"/>
      <c r="T158" s="1393"/>
      <c r="U158" s="1393"/>
      <c r="V158" s="1393"/>
      <c r="W158" s="1393"/>
      <c r="X158" s="1393"/>
      <c r="Y158" s="1393"/>
      <c r="Z158" s="1393"/>
      <c r="AA158" s="1393"/>
      <c r="AB158" s="1394"/>
    </row>
    <row r="159" spans="1:28" ht="26.35" customHeight="1" x14ac:dyDescent="0.25">
      <c r="A159" s="825"/>
      <c r="B159" s="16"/>
      <c r="C159" s="1466"/>
      <c r="D159" s="1452" t="s">
        <v>965</v>
      </c>
      <c r="E159" s="1452" t="s">
        <v>468</v>
      </c>
      <c r="F159" s="1452" t="s">
        <v>470</v>
      </c>
      <c r="G159" s="1452" t="s">
        <v>966</v>
      </c>
      <c r="H159" s="1452" t="s">
        <v>967</v>
      </c>
      <c r="I159" s="1452" t="s">
        <v>1180</v>
      </c>
      <c r="J159" s="1452" t="s">
        <v>968</v>
      </c>
      <c r="K159" s="1452" t="s">
        <v>969</v>
      </c>
      <c r="L159" s="1453" t="s">
        <v>970</v>
      </c>
      <c r="M159" s="1453" t="s">
        <v>971</v>
      </c>
      <c r="N159" s="1453" t="s">
        <v>972</v>
      </c>
      <c r="O159" s="1456" t="s">
        <v>973</v>
      </c>
      <c r="P159" s="1457"/>
      <c r="Q159" s="1456" t="s">
        <v>974</v>
      </c>
      <c r="R159" s="1458"/>
      <c r="S159" s="1458"/>
      <c r="T159" s="1458"/>
      <c r="U159" s="1457"/>
      <c r="V159" s="1452" t="s">
        <v>975</v>
      </c>
      <c r="W159" s="1465" t="s">
        <v>976</v>
      </c>
      <c r="X159" s="1405"/>
      <c r="Y159" s="1405"/>
      <c r="Z159" s="1406"/>
      <c r="AA159" s="808"/>
      <c r="AB159" s="1452" t="s">
        <v>977</v>
      </c>
    </row>
    <row r="160" spans="1:28" ht="36.700000000000003" customHeight="1" x14ac:dyDescent="0.25">
      <c r="A160" s="825"/>
      <c r="B160" s="16"/>
      <c r="C160" s="1480"/>
      <c r="D160" s="1420"/>
      <c r="E160" s="1420"/>
      <c r="F160" s="1449"/>
      <c r="G160" s="1449"/>
      <c r="H160" s="1449"/>
      <c r="I160" s="1449"/>
      <c r="J160" s="1449"/>
      <c r="K160" s="1449"/>
      <c r="L160" s="1454"/>
      <c r="M160" s="1455"/>
      <c r="N160" s="1454"/>
      <c r="O160" s="940" t="s">
        <v>978</v>
      </c>
      <c r="P160" s="940" t="s">
        <v>979</v>
      </c>
      <c r="Q160" s="940" t="s">
        <v>980</v>
      </c>
      <c r="R160" s="940" t="s">
        <v>981</v>
      </c>
      <c r="S160" s="940" t="s">
        <v>982</v>
      </c>
      <c r="T160" s="940" t="s">
        <v>983</v>
      </c>
      <c r="U160" s="940" t="s">
        <v>984</v>
      </c>
      <c r="V160" s="1449"/>
      <c r="W160" s="808" t="s">
        <v>985</v>
      </c>
      <c r="X160" s="808" t="s">
        <v>986</v>
      </c>
      <c r="Y160" s="808" t="s">
        <v>987</v>
      </c>
      <c r="Z160" s="808" t="s">
        <v>988</v>
      </c>
      <c r="AA160" s="808"/>
      <c r="AB160" s="1449"/>
    </row>
    <row r="161" spans="1:28" ht="102.1" customHeight="1" x14ac:dyDescent="0.25">
      <c r="A161" s="337" t="s">
        <v>259</v>
      </c>
      <c r="B161" s="285" t="s">
        <v>254</v>
      </c>
      <c r="C161" s="12" t="s">
        <v>1732</v>
      </c>
      <c r="D161" s="263" t="s">
        <v>278</v>
      </c>
      <c r="E161" s="786" t="s">
        <v>1600</v>
      </c>
      <c r="F161" s="183" t="s">
        <v>1444</v>
      </c>
      <c r="G161" s="183" t="str">
        <f>+'8. BASE  CONSOLIDADA'!O136</f>
        <v>TRANSVERSALES X UDT</v>
      </c>
      <c r="H161" s="183" t="str">
        <f>+'8. BASE  CONSOLIDADA'!P136</f>
        <v>C18</v>
      </c>
      <c r="I161" s="183"/>
      <c r="J161" s="12">
        <v>19</v>
      </c>
      <c r="K161" s="12">
        <v>19</v>
      </c>
      <c r="L161" s="28">
        <v>2500</v>
      </c>
      <c r="M161" s="788" t="s">
        <v>1445</v>
      </c>
      <c r="N161" s="13" t="s">
        <v>1601</v>
      </c>
      <c r="O161" s="14">
        <f>+J161*L161*5</f>
        <v>237500</v>
      </c>
      <c r="P161" s="14">
        <f>+L161*K161*5</f>
        <v>237500</v>
      </c>
      <c r="Q161" s="14">
        <f t="shared" ref="Q161:U161" si="83">+$O$161*0.2</f>
        <v>47500</v>
      </c>
      <c r="R161" s="14">
        <f t="shared" si="83"/>
        <v>47500</v>
      </c>
      <c r="S161" s="14">
        <f t="shared" si="83"/>
        <v>47500</v>
      </c>
      <c r="T161" s="14">
        <f t="shared" si="83"/>
        <v>47500</v>
      </c>
      <c r="U161" s="14">
        <f t="shared" si="83"/>
        <v>47500</v>
      </c>
      <c r="V161" s="10"/>
      <c r="W161" s="13"/>
      <c r="X161" s="13"/>
      <c r="Y161" s="13" t="s">
        <v>148</v>
      </c>
      <c r="Z161" s="13"/>
      <c r="AA161" s="13" t="str">
        <f t="shared" ref="AA161:AA162" si="84">+B161</f>
        <v>RE</v>
      </c>
      <c r="AB161" s="13">
        <v>3</v>
      </c>
    </row>
    <row r="162" spans="1:28" ht="64.55" customHeight="1" x14ac:dyDescent="0.25">
      <c r="A162" s="337" t="s">
        <v>259</v>
      </c>
      <c r="B162" s="285" t="s">
        <v>254</v>
      </c>
      <c r="C162" s="12" t="s">
        <v>1733</v>
      </c>
      <c r="D162" s="786" t="s">
        <v>290</v>
      </c>
      <c r="E162" s="786" t="s">
        <v>1734</v>
      </c>
      <c r="F162" s="183" t="s">
        <v>994</v>
      </c>
      <c r="G162" s="183" t="str">
        <f>+'8. BASE  CONSOLIDADA'!O137</f>
        <v>TRANSVERSALES X UDT</v>
      </c>
      <c r="H162" s="183" t="str">
        <f>+'8. BASE  CONSOLIDADA'!P137</f>
        <v>C18</v>
      </c>
      <c r="I162" s="183"/>
      <c r="J162" s="12">
        <v>3</v>
      </c>
      <c r="K162" s="12">
        <v>3</v>
      </c>
      <c r="L162" s="28">
        <v>5000</v>
      </c>
      <c r="M162" s="788" t="s">
        <v>1449</v>
      </c>
      <c r="N162" s="13" t="s">
        <v>996</v>
      </c>
      <c r="O162" s="14">
        <f>+J162*L162*60</f>
        <v>900000</v>
      </c>
      <c r="P162" s="14">
        <f>+L162*K162*60</f>
        <v>900000</v>
      </c>
      <c r="Q162" s="14">
        <f t="shared" ref="Q162:U162" si="85">+$O$162*0.2</f>
        <v>180000</v>
      </c>
      <c r="R162" s="14">
        <f t="shared" si="85"/>
        <v>180000</v>
      </c>
      <c r="S162" s="14">
        <f t="shared" si="85"/>
        <v>180000</v>
      </c>
      <c r="T162" s="14">
        <f t="shared" si="85"/>
        <v>180000</v>
      </c>
      <c r="U162" s="14">
        <f t="shared" si="85"/>
        <v>180000</v>
      </c>
      <c r="V162" s="10"/>
      <c r="W162" s="13"/>
      <c r="X162" s="13" t="s">
        <v>148</v>
      </c>
      <c r="Y162" s="13"/>
      <c r="Z162" s="13"/>
      <c r="AA162" s="13" t="str">
        <f t="shared" si="84"/>
        <v>RE</v>
      </c>
      <c r="AB162" s="13">
        <v>3</v>
      </c>
    </row>
    <row r="163" spans="1:28" ht="76.599999999999994" customHeight="1" x14ac:dyDescent="0.25">
      <c r="A163" s="337" t="s">
        <v>259</v>
      </c>
      <c r="B163" s="285"/>
      <c r="C163" s="12" t="s">
        <v>1735</v>
      </c>
      <c r="D163" s="786" t="s">
        <v>276</v>
      </c>
      <c r="E163" s="786" t="s">
        <v>1736</v>
      </c>
      <c r="F163" s="183" t="s">
        <v>1453</v>
      </c>
      <c r="G163" s="183" t="str">
        <f>+'8. BASE  CONSOLIDADA'!O138</f>
        <v>TRANSVERSALES X UDT</v>
      </c>
      <c r="H163" s="183" t="str">
        <f>+'8. BASE  CONSOLIDADA'!P138</f>
        <v>C18</v>
      </c>
      <c r="I163" s="13">
        <v>1706</v>
      </c>
      <c r="J163" s="39">
        <f>+I163*0.1</f>
        <v>170.60000000000002</v>
      </c>
      <c r="K163" s="39">
        <f>+I163*0.1</f>
        <v>170.60000000000002</v>
      </c>
      <c r="L163" s="28">
        <v>800000</v>
      </c>
      <c r="M163" s="788" t="s">
        <v>1608</v>
      </c>
      <c r="N163" s="13" t="s">
        <v>1455</v>
      </c>
      <c r="O163" s="14">
        <f t="shared" ref="O163:O165" si="86">+J163*L163</f>
        <v>136480000.00000003</v>
      </c>
      <c r="P163" s="14">
        <f>+L163*K163</f>
        <v>136480000.00000003</v>
      </c>
      <c r="Q163" s="14">
        <f t="shared" ref="Q163:U163" si="87">+$O$163*0.2</f>
        <v>27296000.000000007</v>
      </c>
      <c r="R163" s="14">
        <f t="shared" si="87"/>
        <v>27296000.000000007</v>
      </c>
      <c r="S163" s="14">
        <f t="shared" si="87"/>
        <v>27296000.000000007</v>
      </c>
      <c r="T163" s="14">
        <f t="shared" si="87"/>
        <v>27296000.000000007</v>
      </c>
      <c r="U163" s="14">
        <f t="shared" si="87"/>
        <v>27296000.000000007</v>
      </c>
      <c r="V163" s="10"/>
      <c r="W163" s="13" t="s">
        <v>148</v>
      </c>
      <c r="X163" s="13"/>
      <c r="Y163" s="13"/>
      <c r="Z163" s="13"/>
      <c r="AA163" s="13"/>
      <c r="AB163" s="13">
        <v>2</v>
      </c>
    </row>
    <row r="164" spans="1:28" ht="67.599999999999994" customHeight="1" x14ac:dyDescent="0.25">
      <c r="A164" s="337" t="s">
        <v>259</v>
      </c>
      <c r="B164" s="285" t="s">
        <v>254</v>
      </c>
      <c r="C164" s="12" t="s">
        <v>1737</v>
      </c>
      <c r="D164" s="786" t="s">
        <v>269</v>
      </c>
      <c r="E164" s="786" t="s">
        <v>1738</v>
      </c>
      <c r="F164" s="183" t="s">
        <v>1739</v>
      </c>
      <c r="G164" s="183" t="str">
        <f>+'8. BASE  CONSOLIDADA'!O139</f>
        <v>TRANSVERSALES X UDT</v>
      </c>
      <c r="H164" s="183" t="str">
        <f>+'8. BASE  CONSOLIDADA'!P139</f>
        <v>C18</v>
      </c>
      <c r="I164" s="14">
        <f>67768-5637.05</f>
        <v>62130.95</v>
      </c>
      <c r="J164" s="39">
        <f>+I164*0.25</f>
        <v>15532.737499999999</v>
      </c>
      <c r="K164" s="39">
        <f>+I164*0.2</f>
        <v>12426.19</v>
      </c>
      <c r="L164" s="76">
        <v>500</v>
      </c>
      <c r="M164" s="788" t="s">
        <v>1441</v>
      </c>
      <c r="N164" s="13" t="s">
        <v>996</v>
      </c>
      <c r="O164" s="14">
        <f t="shared" si="86"/>
        <v>7766368.75</v>
      </c>
      <c r="P164" s="14">
        <f>+L164*K164</f>
        <v>6213095</v>
      </c>
      <c r="Q164" s="14">
        <f t="shared" ref="Q164:U164" si="88">+$O$164*0.2</f>
        <v>1553273.75</v>
      </c>
      <c r="R164" s="14">
        <f t="shared" si="88"/>
        <v>1553273.75</v>
      </c>
      <c r="S164" s="14">
        <f t="shared" si="88"/>
        <v>1553273.75</v>
      </c>
      <c r="T164" s="14">
        <f t="shared" si="88"/>
        <v>1553273.75</v>
      </c>
      <c r="U164" s="14">
        <f t="shared" si="88"/>
        <v>1553273.75</v>
      </c>
      <c r="V164" s="10"/>
      <c r="W164" s="13"/>
      <c r="X164" s="13"/>
      <c r="Y164" s="13" t="s">
        <v>148</v>
      </c>
      <c r="Z164" s="13"/>
      <c r="AA164" s="13" t="str">
        <f t="shared" ref="AA164:AA166" si="89">+B164</f>
        <v>RE</v>
      </c>
      <c r="AB164" s="13">
        <v>3</v>
      </c>
    </row>
    <row r="165" spans="1:28" ht="97.5" customHeight="1" x14ac:dyDescent="0.25">
      <c r="A165" s="337" t="s">
        <v>259</v>
      </c>
      <c r="B165" s="285" t="s">
        <v>254</v>
      </c>
      <c r="C165" s="12" t="s">
        <v>1740</v>
      </c>
      <c r="D165" s="786" t="s">
        <v>273</v>
      </c>
      <c r="E165" s="786" t="s">
        <v>1741</v>
      </c>
      <c r="F165" s="69" t="s">
        <v>1742</v>
      </c>
      <c r="G165" s="183" t="str">
        <f>+'8. BASE  CONSOLIDADA'!O140</f>
        <v>TRANSVERSALES X UDT</v>
      </c>
      <c r="H165" s="183" t="str">
        <f>+'8. BASE  CONSOLIDADA'!P140</f>
        <v>C18</v>
      </c>
      <c r="I165" s="179"/>
      <c r="J165" s="75">
        <v>5</v>
      </c>
      <c r="K165" s="75">
        <v>5</v>
      </c>
      <c r="L165" s="76">
        <v>3500000</v>
      </c>
      <c r="M165" s="791" t="s">
        <v>1743</v>
      </c>
      <c r="N165" s="69" t="s">
        <v>1462</v>
      </c>
      <c r="O165" s="28">
        <f t="shared" si="86"/>
        <v>17500000</v>
      </c>
      <c r="P165" s="28">
        <f>+K165*L165</f>
        <v>17500000</v>
      </c>
      <c r="Q165" s="28">
        <f t="shared" ref="Q165:U165" si="90">+$O$165*0.2</f>
        <v>3500000</v>
      </c>
      <c r="R165" s="28">
        <f t="shared" si="90"/>
        <v>3500000</v>
      </c>
      <c r="S165" s="28">
        <f t="shared" si="90"/>
        <v>3500000</v>
      </c>
      <c r="T165" s="28">
        <f t="shared" si="90"/>
        <v>3500000</v>
      </c>
      <c r="U165" s="28">
        <f t="shared" si="90"/>
        <v>3500000</v>
      </c>
      <c r="V165" s="30"/>
      <c r="W165" s="10"/>
      <c r="X165" s="12" t="s">
        <v>148</v>
      </c>
      <c r="Y165" s="10"/>
      <c r="Z165" s="10"/>
      <c r="AA165" s="13" t="str">
        <f t="shared" si="89"/>
        <v>RE</v>
      </c>
      <c r="AB165" s="13">
        <v>3</v>
      </c>
    </row>
    <row r="166" spans="1:28" ht="76.599999999999994" customHeight="1" x14ac:dyDescent="0.25">
      <c r="A166" s="337" t="s">
        <v>259</v>
      </c>
      <c r="B166" s="285" t="s">
        <v>254</v>
      </c>
      <c r="C166" s="12" t="s">
        <v>1744</v>
      </c>
      <c r="D166" s="786" t="s">
        <v>272</v>
      </c>
      <c r="E166" s="786" t="s">
        <v>1617</v>
      </c>
      <c r="F166" s="183" t="s">
        <v>1465</v>
      </c>
      <c r="G166" s="183" t="str">
        <f>+'8. BASE  CONSOLIDADA'!O141</f>
        <v>TRANSVERSALES X UDT</v>
      </c>
      <c r="H166" s="183" t="str">
        <f>+'8. BASE  CONSOLIDADA'!P141</f>
        <v>C18</v>
      </c>
      <c r="I166" s="183"/>
      <c r="J166" s="31">
        <f t="shared" ref="J166:K166" si="91">+((33250*0.05)/150)*3*5</f>
        <v>166.25</v>
      </c>
      <c r="K166" s="31">
        <f t="shared" si="91"/>
        <v>166.25</v>
      </c>
      <c r="L166" s="76">
        <v>5000</v>
      </c>
      <c r="M166" s="788" t="s">
        <v>1466</v>
      </c>
      <c r="N166" s="13" t="s">
        <v>1619</v>
      </c>
      <c r="O166" s="28">
        <f t="shared" ref="O166:O167" si="92">+J166*L166*5</f>
        <v>4156250</v>
      </c>
      <c r="P166" s="28">
        <f>+K166*L166*5</f>
        <v>4156250</v>
      </c>
      <c r="Q166" s="28">
        <f t="shared" ref="Q166:U166" si="93">+$O$166*0.2</f>
        <v>831250</v>
      </c>
      <c r="R166" s="28">
        <f t="shared" si="93"/>
        <v>831250</v>
      </c>
      <c r="S166" s="28">
        <f t="shared" si="93"/>
        <v>831250</v>
      </c>
      <c r="T166" s="28">
        <f t="shared" si="93"/>
        <v>831250</v>
      </c>
      <c r="U166" s="28">
        <f t="shared" si="93"/>
        <v>831250</v>
      </c>
      <c r="V166" s="30"/>
      <c r="W166" s="10"/>
      <c r="X166" s="12" t="s">
        <v>148</v>
      </c>
      <c r="Y166" s="10"/>
      <c r="Z166" s="10"/>
      <c r="AA166" s="13" t="str">
        <f t="shared" si="89"/>
        <v>RE</v>
      </c>
      <c r="AB166" s="13">
        <v>3</v>
      </c>
    </row>
    <row r="167" spans="1:28" ht="43.5" customHeight="1" x14ac:dyDescent="0.25">
      <c r="A167" s="337" t="s">
        <v>259</v>
      </c>
      <c r="B167" s="285"/>
      <c r="C167" s="12" t="s">
        <v>1745</v>
      </c>
      <c r="D167" s="786" t="s">
        <v>266</v>
      </c>
      <c r="E167" s="373" t="s">
        <v>1468</v>
      </c>
      <c r="F167" s="183" t="s">
        <v>1621</v>
      </c>
      <c r="G167" s="183" t="str">
        <f>+'8. BASE  CONSOLIDADA'!O142</f>
        <v>TRANSVERSALES X UDT</v>
      </c>
      <c r="H167" s="183" t="str">
        <f>+'8. BASE  CONSOLIDADA'!P142</f>
        <v>C18</v>
      </c>
      <c r="I167" s="183"/>
      <c r="J167" s="13">
        <v>10</v>
      </c>
      <c r="K167" s="13">
        <v>15</v>
      </c>
      <c r="L167" s="26">
        <v>3000</v>
      </c>
      <c r="M167" s="788" t="s">
        <v>1470</v>
      </c>
      <c r="N167" s="13" t="s">
        <v>54</v>
      </c>
      <c r="O167" s="14">
        <f t="shared" si="92"/>
        <v>150000</v>
      </c>
      <c r="P167" s="14">
        <f>+L167*K167</f>
        <v>45000</v>
      </c>
      <c r="Q167" s="14">
        <f t="shared" ref="Q167:U167" si="94">+$O$167*0.2</f>
        <v>30000</v>
      </c>
      <c r="R167" s="14">
        <f t="shared" si="94"/>
        <v>30000</v>
      </c>
      <c r="S167" s="14">
        <f t="shared" si="94"/>
        <v>30000</v>
      </c>
      <c r="T167" s="14">
        <f t="shared" si="94"/>
        <v>30000</v>
      </c>
      <c r="U167" s="14">
        <f t="shared" si="94"/>
        <v>30000</v>
      </c>
      <c r="V167" s="30"/>
      <c r="W167" s="13"/>
      <c r="X167" s="13"/>
      <c r="Y167" s="13" t="s">
        <v>148</v>
      </c>
      <c r="Z167" s="13"/>
      <c r="AA167" s="13"/>
      <c r="AB167" s="13">
        <v>3</v>
      </c>
    </row>
    <row r="168" spans="1:28" ht="22.6" customHeight="1" x14ac:dyDescent="0.25">
      <c r="A168" s="825"/>
      <c r="B168" s="16"/>
      <c r="C168" s="1"/>
      <c r="D168" s="366"/>
      <c r="E168" s="366"/>
      <c r="F168" s="366"/>
      <c r="G168" s="366"/>
      <c r="H168" s="366"/>
      <c r="I168" s="366"/>
      <c r="J168" s="366"/>
      <c r="K168" s="366"/>
      <c r="L168" s="366"/>
      <c r="M168" s="264"/>
      <c r="N168" s="366"/>
      <c r="O168" s="29">
        <f>SUM(O161:O167)</f>
        <v>167190118.75000003</v>
      </c>
      <c r="P168" s="29">
        <f t="shared" ref="P168:U168" si="95">SUM(P161:P167)</f>
        <v>165531845.00000003</v>
      </c>
      <c r="Q168" s="29">
        <f t="shared" si="95"/>
        <v>33438023.750000007</v>
      </c>
      <c r="R168" s="29">
        <f t="shared" si="95"/>
        <v>33438023.750000007</v>
      </c>
      <c r="S168" s="29">
        <f t="shared" si="95"/>
        <v>33438023.750000007</v>
      </c>
      <c r="T168" s="29">
        <f t="shared" si="95"/>
        <v>33438023.750000007</v>
      </c>
      <c r="U168" s="29">
        <f t="shared" si="95"/>
        <v>33438023.750000007</v>
      </c>
      <c r="V168" s="366"/>
      <c r="W168" s="1"/>
      <c r="X168" s="1"/>
      <c r="Y168" s="1"/>
      <c r="Z168" s="1"/>
      <c r="AA168" s="1"/>
      <c r="AB168" s="1"/>
    </row>
    <row r="169" spans="1:28" ht="25.5" customHeight="1" x14ac:dyDescent="0.25">
      <c r="A169" s="825"/>
      <c r="B169" s="16"/>
      <c r="C169" s="1"/>
      <c r="D169" s="366"/>
      <c r="E169" s="366"/>
      <c r="F169" s="366"/>
      <c r="G169" s="366"/>
      <c r="H169" s="366"/>
      <c r="I169" s="366"/>
      <c r="J169" s="366"/>
      <c r="K169" s="366"/>
      <c r="L169" s="366"/>
      <c r="M169" s="1460" t="s">
        <v>1746</v>
      </c>
      <c r="N169" s="1394"/>
      <c r="O169" s="40">
        <f t="shared" ref="O169:U169" si="96">+O33+O52+O71+O90+O105+O123+O138+O168+O154</f>
        <v>563041194.04944217</v>
      </c>
      <c r="P169" s="40">
        <f t="shared" si="96"/>
        <v>583874521.66414618</v>
      </c>
      <c r="Q169" s="40">
        <f t="shared" si="96"/>
        <v>112900928.41443811</v>
      </c>
      <c r="R169" s="40">
        <f t="shared" si="96"/>
        <v>111001618.83098564</v>
      </c>
      <c r="S169" s="40">
        <f t="shared" si="96"/>
        <v>112096833.88282925</v>
      </c>
      <c r="T169" s="40">
        <f t="shared" si="96"/>
        <v>114084763.98651645</v>
      </c>
      <c r="U169" s="40">
        <f t="shared" si="96"/>
        <v>112957048.93467283</v>
      </c>
      <c r="V169" s="366"/>
      <c r="W169" s="1"/>
      <c r="X169" s="1"/>
      <c r="Y169" s="1"/>
      <c r="Z169" s="1"/>
      <c r="AA169" s="1"/>
      <c r="AB169" s="1"/>
    </row>
    <row r="170" spans="1:28" ht="11.25" customHeight="1" x14ac:dyDescent="0.25">
      <c r="A170" s="825"/>
      <c r="B170" s="16"/>
      <c r="C170" s="1"/>
      <c r="D170" s="366"/>
      <c r="E170" s="366"/>
      <c r="F170" s="366"/>
      <c r="G170" s="366"/>
      <c r="H170" s="366"/>
      <c r="I170" s="366"/>
      <c r="J170" s="366"/>
      <c r="K170" s="366"/>
      <c r="L170" s="366"/>
      <c r="M170" s="264"/>
      <c r="N170" s="366"/>
      <c r="O170" s="366"/>
      <c r="P170" s="366"/>
      <c r="Q170" s="366"/>
      <c r="R170" s="366"/>
      <c r="S170" s="366"/>
      <c r="T170" s="366"/>
      <c r="U170" s="366"/>
      <c r="V170" s="366"/>
      <c r="W170" s="1"/>
      <c r="X170" s="1"/>
      <c r="Y170" s="1"/>
      <c r="Z170" s="1"/>
      <c r="AA170" s="1"/>
      <c r="AB170" s="1"/>
    </row>
    <row r="171" spans="1:28" ht="11.25" customHeight="1" x14ac:dyDescent="0.25">
      <c r="A171" s="825"/>
      <c r="B171" s="16"/>
      <c r="C171" s="1"/>
      <c r="D171" s="366"/>
      <c r="E171" s="366"/>
      <c r="F171" s="366"/>
      <c r="G171" s="366"/>
      <c r="H171" s="366"/>
      <c r="I171" s="366"/>
      <c r="J171" s="366"/>
      <c r="K171" s="366"/>
      <c r="L171" s="366"/>
      <c r="M171" s="264"/>
      <c r="N171" s="366"/>
      <c r="O171" s="366"/>
      <c r="P171" s="366"/>
      <c r="Q171" s="366"/>
      <c r="R171" s="366"/>
      <c r="S171" s="366"/>
      <c r="T171" s="366"/>
      <c r="U171" s="366"/>
      <c r="V171" s="366"/>
      <c r="W171" s="1"/>
      <c r="X171" s="1"/>
      <c r="Y171" s="1"/>
      <c r="Z171" s="1"/>
      <c r="AA171" s="1"/>
      <c r="AB171" s="1"/>
    </row>
    <row r="172" spans="1:28" ht="11.25" customHeight="1" x14ac:dyDescent="0.25">
      <c r="A172" s="825"/>
      <c r="B172" s="16"/>
      <c r="C172" s="1"/>
      <c r="D172" s="366"/>
      <c r="E172" s="366"/>
      <c r="F172" s="366"/>
      <c r="G172" s="366"/>
      <c r="H172" s="366"/>
      <c r="I172" s="366"/>
      <c r="J172" s="366"/>
      <c r="K172" s="366"/>
      <c r="L172" s="366"/>
      <c r="M172" s="264"/>
      <c r="N172" s="366"/>
      <c r="O172" s="366"/>
      <c r="P172" s="366"/>
      <c r="Q172" s="366"/>
      <c r="R172" s="366"/>
      <c r="S172" s="366"/>
      <c r="T172" s="366"/>
      <c r="U172" s="366"/>
      <c r="V172" s="366"/>
      <c r="W172" s="1"/>
      <c r="X172" s="1"/>
      <c r="Y172" s="1"/>
      <c r="Z172" s="1"/>
      <c r="AA172" s="1"/>
      <c r="AB172" s="1"/>
    </row>
    <row r="173" spans="1:28" ht="11.25" customHeight="1" x14ac:dyDescent="0.25">
      <c r="A173" s="825"/>
      <c r="B173" s="16"/>
      <c r="C173" s="1"/>
      <c r="D173" s="366"/>
      <c r="E173" s="366"/>
      <c r="F173" s="366"/>
      <c r="G173" s="366"/>
      <c r="H173" s="366"/>
      <c r="I173" s="366"/>
      <c r="J173" s="366"/>
      <c r="K173" s="366"/>
      <c r="L173" s="366"/>
      <c r="M173" s="264"/>
      <c r="N173" s="366"/>
      <c r="O173" s="366"/>
      <c r="P173" s="366"/>
      <c r="Q173" s="366"/>
      <c r="R173" s="366"/>
      <c r="S173" s="366"/>
      <c r="T173" s="366"/>
      <c r="U173" s="366"/>
      <c r="V173" s="366"/>
      <c r="W173" s="1"/>
      <c r="X173" s="1"/>
      <c r="Y173" s="1"/>
      <c r="Z173" s="1"/>
      <c r="AA173" s="1"/>
      <c r="AB173" s="1"/>
    </row>
    <row r="174" spans="1:28" ht="11.25" customHeight="1" x14ac:dyDescent="0.25">
      <c r="A174" s="825"/>
      <c r="B174" s="16"/>
      <c r="C174" s="1"/>
      <c r="D174" s="366"/>
      <c r="E174" s="366"/>
      <c r="F174" s="366"/>
      <c r="G174" s="366"/>
      <c r="H174" s="366"/>
      <c r="I174" s="366"/>
      <c r="J174" s="366"/>
      <c r="K174" s="366"/>
      <c r="L174" s="366"/>
      <c r="M174" s="264"/>
      <c r="N174" s="366"/>
      <c r="O174" s="366"/>
      <c r="P174" s="366"/>
      <c r="Q174" s="366"/>
      <c r="R174" s="366"/>
      <c r="S174" s="366"/>
      <c r="T174" s="366"/>
      <c r="U174" s="366"/>
      <c r="V174" s="366"/>
      <c r="W174" s="1"/>
      <c r="X174" s="1"/>
      <c r="Y174" s="1"/>
      <c r="Z174" s="1"/>
      <c r="AA174" s="1"/>
      <c r="AB174" s="1"/>
    </row>
    <row r="175" spans="1:28" ht="11.25" customHeight="1" x14ac:dyDescent="0.25">
      <c r="A175" s="825"/>
      <c r="B175" s="16"/>
      <c r="C175" s="1"/>
      <c r="D175" s="366"/>
      <c r="E175" s="366"/>
      <c r="F175" s="366"/>
      <c r="G175" s="366"/>
      <c r="H175" s="366"/>
      <c r="I175" s="366"/>
      <c r="J175" s="366"/>
      <c r="K175" s="366"/>
      <c r="L175" s="366"/>
      <c r="M175" s="264"/>
      <c r="N175" s="366"/>
      <c r="O175" s="366"/>
      <c r="P175" s="366"/>
      <c r="Q175" s="366"/>
      <c r="R175" s="366"/>
      <c r="S175" s="366"/>
      <c r="T175" s="366"/>
      <c r="U175" s="366"/>
      <c r="V175" s="366"/>
      <c r="W175" s="1"/>
      <c r="X175" s="1"/>
      <c r="Y175" s="1"/>
      <c r="Z175" s="1"/>
      <c r="AA175" s="1"/>
      <c r="AB175" s="1"/>
    </row>
    <row r="176" spans="1:28" ht="11.25" customHeight="1" x14ac:dyDescent="0.25">
      <c r="A176" s="825"/>
      <c r="B176" s="16"/>
      <c r="C176" s="1"/>
      <c r="D176" s="366"/>
      <c r="E176" s="366"/>
      <c r="F176" s="366"/>
      <c r="G176" s="366"/>
      <c r="H176" s="366"/>
      <c r="I176" s="366"/>
      <c r="J176" s="366"/>
      <c r="K176" s="366"/>
      <c r="L176" s="366"/>
      <c r="M176" s="264"/>
      <c r="N176" s="366"/>
      <c r="O176" s="366"/>
      <c r="P176" s="366"/>
      <c r="Q176" s="366"/>
      <c r="R176" s="366"/>
      <c r="S176" s="366"/>
      <c r="T176" s="366"/>
      <c r="U176" s="366"/>
      <c r="V176" s="366"/>
      <c r="W176" s="1"/>
      <c r="X176" s="1"/>
      <c r="Y176" s="1"/>
      <c r="Z176" s="1"/>
      <c r="AA176" s="1"/>
      <c r="AB176" s="1"/>
    </row>
    <row r="177" spans="1:28" ht="11.25" customHeight="1" x14ac:dyDescent="0.25">
      <c r="A177" s="825"/>
      <c r="B177" s="16"/>
      <c r="C177" s="1"/>
      <c r="D177" s="366"/>
      <c r="E177" s="366"/>
      <c r="F177" s="366"/>
      <c r="G177" s="366"/>
      <c r="H177" s="366"/>
      <c r="I177" s="366"/>
      <c r="J177" s="366"/>
      <c r="K177" s="366"/>
      <c r="L177" s="366"/>
      <c r="M177" s="264"/>
      <c r="N177" s="366"/>
      <c r="O177" s="366"/>
      <c r="P177" s="366"/>
      <c r="Q177" s="366"/>
      <c r="R177" s="366"/>
      <c r="S177" s="366"/>
      <c r="T177" s="366"/>
      <c r="U177" s="366"/>
      <c r="V177" s="366"/>
      <c r="W177" s="1"/>
      <c r="X177" s="1"/>
      <c r="Y177" s="1"/>
      <c r="Z177" s="1"/>
      <c r="AA177" s="1"/>
      <c r="AB177" s="1"/>
    </row>
    <row r="178" spans="1:28" ht="11.25" customHeight="1" x14ac:dyDescent="0.25">
      <c r="A178" s="825"/>
      <c r="B178" s="16"/>
      <c r="C178" s="1"/>
      <c r="D178" s="366"/>
      <c r="E178" s="366"/>
      <c r="F178" s="366"/>
      <c r="G178" s="366"/>
      <c r="H178" s="366"/>
      <c r="I178" s="366"/>
      <c r="J178" s="366"/>
      <c r="K178" s="366"/>
      <c r="L178" s="366"/>
      <c r="M178" s="264"/>
      <c r="N178" s="366"/>
      <c r="O178" s="366"/>
      <c r="P178" s="366"/>
      <c r="Q178" s="366"/>
      <c r="R178" s="366"/>
      <c r="S178" s="366"/>
      <c r="T178" s="366"/>
      <c r="U178" s="366"/>
      <c r="V178" s="366"/>
      <c r="W178" s="1"/>
      <c r="X178" s="1"/>
      <c r="Y178" s="1"/>
      <c r="Z178" s="1"/>
      <c r="AA178" s="1"/>
      <c r="AB178" s="1"/>
    </row>
    <row r="179" spans="1:28" ht="11.25" customHeight="1" x14ac:dyDescent="0.25">
      <c r="A179" s="825"/>
      <c r="B179" s="16"/>
      <c r="C179" s="1"/>
      <c r="D179" s="366"/>
      <c r="E179" s="366"/>
      <c r="F179" s="366"/>
      <c r="G179" s="366"/>
      <c r="H179" s="366"/>
      <c r="I179" s="366"/>
      <c r="J179" s="366"/>
      <c r="K179" s="366"/>
      <c r="L179" s="366"/>
      <c r="M179" s="264"/>
      <c r="N179" s="366"/>
      <c r="O179" s="366"/>
      <c r="P179" s="366"/>
      <c r="Q179" s="366"/>
      <c r="R179" s="366"/>
      <c r="S179" s="366"/>
      <c r="T179" s="366"/>
      <c r="U179" s="366"/>
      <c r="V179" s="366"/>
      <c r="W179" s="1"/>
      <c r="X179" s="1"/>
      <c r="Y179" s="1"/>
      <c r="Z179" s="1"/>
      <c r="AA179" s="1"/>
      <c r="AB179" s="1"/>
    </row>
    <row r="180" spans="1:28" ht="11.25" customHeight="1" x14ac:dyDescent="0.25">
      <c r="A180" s="825"/>
      <c r="B180" s="16"/>
      <c r="C180" s="1"/>
      <c r="D180" s="366"/>
      <c r="E180" s="366"/>
      <c r="F180" s="366"/>
      <c r="G180" s="366"/>
      <c r="H180" s="366"/>
      <c r="I180" s="366"/>
      <c r="J180" s="366"/>
      <c r="K180" s="366"/>
      <c r="L180" s="366"/>
      <c r="M180" s="264"/>
      <c r="N180" s="366"/>
      <c r="O180" s="366"/>
      <c r="P180" s="366"/>
      <c r="Q180" s="366"/>
      <c r="R180" s="366"/>
      <c r="S180" s="366"/>
      <c r="T180" s="366"/>
      <c r="U180" s="366"/>
      <c r="V180" s="366"/>
      <c r="W180" s="1"/>
      <c r="X180" s="1"/>
      <c r="Y180" s="1"/>
      <c r="Z180" s="1"/>
      <c r="AA180" s="1"/>
      <c r="AB180" s="1"/>
    </row>
    <row r="181" spans="1:28" ht="11.25" customHeight="1" x14ac:dyDescent="0.25">
      <c r="A181" s="825"/>
      <c r="B181" s="16"/>
      <c r="C181" s="1"/>
      <c r="D181" s="366"/>
      <c r="E181" s="366"/>
      <c r="F181" s="366"/>
      <c r="G181" s="366"/>
      <c r="H181" s="366"/>
      <c r="I181" s="366"/>
      <c r="J181" s="366"/>
      <c r="K181" s="366"/>
      <c r="L181" s="366"/>
      <c r="M181" s="264"/>
      <c r="N181" s="366"/>
      <c r="O181" s="366"/>
      <c r="P181" s="366"/>
      <c r="Q181" s="366"/>
      <c r="R181" s="366"/>
      <c r="S181" s="366"/>
      <c r="T181" s="366"/>
      <c r="U181" s="366"/>
      <c r="V181" s="366"/>
      <c r="W181" s="1"/>
      <c r="X181" s="1"/>
      <c r="Y181" s="1"/>
      <c r="Z181" s="1"/>
      <c r="AA181" s="1"/>
      <c r="AB181" s="1"/>
    </row>
    <row r="182" spans="1:28" ht="11.25" customHeight="1" x14ac:dyDescent="0.25">
      <c r="A182" s="825"/>
      <c r="B182" s="16"/>
      <c r="C182" s="1"/>
      <c r="D182" s="366"/>
      <c r="E182" s="366"/>
      <c r="F182" s="366"/>
      <c r="G182" s="366"/>
      <c r="H182" s="366"/>
      <c r="I182" s="366"/>
      <c r="J182" s="366"/>
      <c r="K182" s="366"/>
      <c r="L182" s="366"/>
      <c r="M182" s="264"/>
      <c r="N182" s="366"/>
      <c r="O182" s="366"/>
      <c r="P182" s="366"/>
      <c r="Q182" s="366"/>
      <c r="R182" s="366"/>
      <c r="S182" s="366"/>
      <c r="T182" s="366"/>
      <c r="U182" s="366"/>
      <c r="V182" s="366"/>
      <c r="W182" s="1"/>
      <c r="X182" s="1"/>
      <c r="Y182" s="1"/>
      <c r="Z182" s="1"/>
      <c r="AA182" s="1"/>
      <c r="AB182" s="1"/>
    </row>
    <row r="183" spans="1:28" ht="11.25" customHeight="1" x14ac:dyDescent="0.25">
      <c r="A183" s="825"/>
      <c r="B183" s="16"/>
      <c r="C183" s="1"/>
      <c r="D183" s="366"/>
      <c r="E183" s="366"/>
      <c r="F183" s="366"/>
      <c r="G183" s="366"/>
      <c r="H183" s="366"/>
      <c r="I183" s="366"/>
      <c r="J183" s="366"/>
      <c r="K183" s="366"/>
      <c r="L183" s="366"/>
      <c r="M183" s="264"/>
      <c r="N183" s="366"/>
      <c r="O183" s="366"/>
      <c r="P183" s="366"/>
      <c r="Q183" s="366"/>
      <c r="R183" s="366"/>
      <c r="S183" s="366"/>
      <c r="T183" s="366"/>
      <c r="U183" s="366"/>
      <c r="V183" s="366"/>
      <c r="W183" s="1"/>
      <c r="X183" s="1"/>
      <c r="Y183" s="1"/>
      <c r="Z183" s="1"/>
      <c r="AA183" s="1"/>
      <c r="AB183" s="1"/>
    </row>
    <row r="184" spans="1:28" ht="11.25" customHeight="1" x14ac:dyDescent="0.25">
      <c r="A184" s="825"/>
      <c r="B184" s="16"/>
      <c r="C184" s="1"/>
      <c r="D184" s="366"/>
      <c r="E184" s="366"/>
      <c r="F184" s="366"/>
      <c r="G184" s="366"/>
      <c r="H184" s="366"/>
      <c r="I184" s="366"/>
      <c r="J184" s="366"/>
      <c r="K184" s="366"/>
      <c r="L184" s="366"/>
      <c r="M184" s="264"/>
      <c r="N184" s="366"/>
      <c r="O184" s="366"/>
      <c r="P184" s="366"/>
      <c r="Q184" s="366"/>
      <c r="R184" s="366"/>
      <c r="S184" s="366"/>
      <c r="T184" s="366"/>
      <c r="U184" s="366"/>
      <c r="V184" s="366"/>
      <c r="W184" s="1"/>
      <c r="X184" s="1"/>
      <c r="Y184" s="1"/>
      <c r="Z184" s="1"/>
      <c r="AA184" s="1"/>
      <c r="AB184" s="1"/>
    </row>
    <row r="185" spans="1:28" ht="11.25" customHeight="1" x14ac:dyDescent="0.25">
      <c r="A185" s="825"/>
      <c r="B185" s="16"/>
      <c r="C185" s="1"/>
      <c r="D185" s="366"/>
      <c r="E185" s="366"/>
      <c r="F185" s="366"/>
      <c r="G185" s="366"/>
      <c r="H185" s="366"/>
      <c r="I185" s="366"/>
      <c r="J185" s="366"/>
      <c r="K185" s="366"/>
      <c r="L185" s="366"/>
      <c r="M185" s="264"/>
      <c r="N185" s="366"/>
      <c r="O185" s="366"/>
      <c r="P185" s="366"/>
      <c r="Q185" s="366"/>
      <c r="R185" s="366"/>
      <c r="S185" s="366"/>
      <c r="T185" s="366"/>
      <c r="U185" s="366"/>
      <c r="V185" s="366"/>
      <c r="W185" s="1"/>
      <c r="X185" s="1"/>
      <c r="Y185" s="1"/>
      <c r="Z185" s="1"/>
      <c r="AA185" s="1"/>
      <c r="AB185" s="1"/>
    </row>
    <row r="186" spans="1:28" ht="11.25" customHeight="1" x14ac:dyDescent="0.25">
      <c r="A186" s="825"/>
      <c r="B186" s="16"/>
      <c r="C186" s="1"/>
      <c r="D186" s="1"/>
      <c r="E186" s="1"/>
      <c r="F186" s="1"/>
      <c r="G186" s="1"/>
      <c r="H186" s="1"/>
      <c r="I186" s="1"/>
      <c r="J186" s="1"/>
      <c r="K186" s="1"/>
      <c r="L186" s="22"/>
      <c r="M186" s="262"/>
      <c r="N186" s="1"/>
      <c r="O186" s="1"/>
      <c r="P186" s="1"/>
      <c r="Q186" s="1"/>
      <c r="R186" s="1"/>
      <c r="S186" s="1"/>
      <c r="T186" s="1"/>
      <c r="U186" s="1"/>
      <c r="V186" s="1"/>
      <c r="W186" s="1"/>
      <c r="X186" s="1"/>
      <c r="Y186" s="1"/>
      <c r="Z186" s="1"/>
      <c r="AA186" s="1"/>
      <c r="AB186" s="1"/>
    </row>
    <row r="187" spans="1:28" ht="11.25" customHeight="1" x14ac:dyDescent="0.25">
      <c r="A187" s="825"/>
      <c r="B187" s="16"/>
      <c r="C187" s="1"/>
      <c r="D187" s="1"/>
      <c r="E187" s="1"/>
      <c r="F187" s="1"/>
      <c r="G187" s="1"/>
      <c r="H187" s="1"/>
      <c r="I187" s="1"/>
      <c r="J187" s="1"/>
      <c r="K187" s="1"/>
      <c r="L187" s="22"/>
      <c r="M187" s="262"/>
      <c r="N187" s="1"/>
      <c r="O187" s="1"/>
      <c r="P187" s="1"/>
      <c r="Q187" s="1"/>
      <c r="R187" s="1"/>
      <c r="S187" s="1"/>
      <c r="T187" s="1"/>
      <c r="U187" s="1"/>
      <c r="V187" s="1"/>
      <c r="W187" s="1"/>
      <c r="X187" s="1"/>
      <c r="Y187" s="1"/>
      <c r="Z187" s="1"/>
      <c r="AA187" s="1"/>
      <c r="AB187" s="1"/>
    </row>
    <row r="188" spans="1:28" ht="11.25" customHeight="1" x14ac:dyDescent="0.25">
      <c r="A188" s="825"/>
      <c r="B188" s="16"/>
      <c r="C188" s="1"/>
      <c r="D188" s="1"/>
      <c r="E188" s="1"/>
      <c r="F188" s="1"/>
      <c r="G188" s="1"/>
      <c r="H188" s="1"/>
      <c r="I188" s="1"/>
      <c r="J188" s="1"/>
      <c r="K188" s="1"/>
      <c r="L188" s="22"/>
      <c r="M188" s="262"/>
      <c r="N188" s="1"/>
      <c r="O188" s="1"/>
      <c r="P188" s="1"/>
      <c r="Q188" s="1"/>
      <c r="R188" s="1"/>
      <c r="S188" s="1"/>
      <c r="T188" s="1"/>
      <c r="U188" s="1"/>
      <c r="V188" s="1"/>
      <c r="W188" s="1"/>
      <c r="X188" s="1"/>
      <c r="Y188" s="1"/>
      <c r="Z188" s="1"/>
      <c r="AA188" s="1"/>
      <c r="AB188" s="1"/>
    </row>
    <row r="189" spans="1:28" ht="11.25" customHeight="1" x14ac:dyDescent="0.25">
      <c r="A189" s="825"/>
      <c r="B189" s="16"/>
      <c r="C189" s="1"/>
      <c r="D189" s="1"/>
      <c r="E189" s="1"/>
      <c r="F189" s="1"/>
      <c r="G189" s="1"/>
      <c r="H189" s="1"/>
      <c r="I189" s="1"/>
      <c r="J189" s="1"/>
      <c r="K189" s="1"/>
      <c r="L189" s="22"/>
      <c r="M189" s="262"/>
      <c r="N189" s="1"/>
      <c r="O189" s="1"/>
      <c r="P189" s="1"/>
      <c r="Q189" s="1"/>
      <c r="R189" s="1"/>
      <c r="S189" s="1"/>
      <c r="T189" s="1"/>
      <c r="U189" s="1"/>
      <c r="V189" s="1"/>
      <c r="W189" s="1"/>
      <c r="X189" s="1"/>
      <c r="Y189" s="1"/>
      <c r="Z189" s="1"/>
      <c r="AA189" s="1"/>
      <c r="AB189" s="1"/>
    </row>
    <row r="190" spans="1:28" ht="11.25" customHeight="1" x14ac:dyDescent="0.25">
      <c r="A190" s="825"/>
      <c r="B190" s="16"/>
      <c r="C190" s="1"/>
      <c r="D190" s="1"/>
      <c r="E190" s="1"/>
      <c r="F190" s="1"/>
      <c r="G190" s="1"/>
      <c r="H190" s="1"/>
      <c r="I190" s="1"/>
      <c r="J190" s="1"/>
      <c r="K190" s="1"/>
      <c r="L190" s="22"/>
      <c r="M190" s="262"/>
      <c r="N190" s="1"/>
      <c r="O190" s="1"/>
      <c r="P190" s="1"/>
      <c r="Q190" s="1"/>
      <c r="R190" s="1"/>
      <c r="S190" s="1"/>
      <c r="T190" s="1"/>
      <c r="U190" s="1"/>
      <c r="V190" s="1"/>
      <c r="W190" s="1"/>
      <c r="X190" s="1"/>
      <c r="Y190" s="1"/>
      <c r="Z190" s="1"/>
      <c r="AA190" s="1"/>
      <c r="AB190" s="1"/>
    </row>
    <row r="191" spans="1:28" ht="11.25" customHeight="1" x14ac:dyDescent="0.25">
      <c r="A191" s="825"/>
      <c r="B191" s="16"/>
      <c r="C191" s="1"/>
      <c r="D191" s="1"/>
      <c r="E191" s="1"/>
      <c r="F191" s="1"/>
      <c r="G191" s="1"/>
      <c r="H191" s="1"/>
      <c r="I191" s="1"/>
      <c r="J191" s="1"/>
      <c r="K191" s="1"/>
      <c r="L191" s="22"/>
      <c r="M191" s="262"/>
      <c r="N191" s="1"/>
      <c r="O191" s="1"/>
      <c r="P191" s="1"/>
      <c r="Q191" s="1"/>
      <c r="R191" s="1"/>
      <c r="S191" s="1"/>
      <c r="T191" s="1"/>
      <c r="U191" s="1"/>
      <c r="V191" s="1"/>
      <c r="W191" s="1"/>
      <c r="X191" s="1"/>
      <c r="Y191" s="1"/>
      <c r="Z191" s="1"/>
      <c r="AA191" s="1"/>
      <c r="AB191" s="1"/>
    </row>
    <row r="192" spans="1:28" ht="11.25" customHeight="1" x14ac:dyDescent="0.25">
      <c r="A192" s="825"/>
      <c r="B192" s="16"/>
      <c r="C192" s="1"/>
      <c r="D192" s="1"/>
      <c r="E192" s="1"/>
      <c r="F192" s="1"/>
      <c r="G192" s="1"/>
      <c r="H192" s="1"/>
      <c r="I192" s="1"/>
      <c r="J192" s="1"/>
      <c r="K192" s="1"/>
      <c r="L192" s="22"/>
      <c r="M192" s="262"/>
      <c r="N192" s="1"/>
      <c r="O192" s="1"/>
      <c r="P192" s="1"/>
      <c r="Q192" s="1"/>
      <c r="R192" s="1"/>
      <c r="S192" s="1"/>
      <c r="T192" s="1"/>
      <c r="U192" s="1"/>
      <c r="V192" s="1"/>
      <c r="W192" s="1"/>
      <c r="X192" s="1"/>
      <c r="Y192" s="1"/>
      <c r="Z192" s="1"/>
      <c r="AA192" s="1"/>
      <c r="AB192" s="1"/>
    </row>
    <row r="193" spans="1:28" ht="11.25" customHeight="1" x14ac:dyDescent="0.25">
      <c r="A193" s="825"/>
      <c r="B193" s="16"/>
      <c r="C193" s="1"/>
      <c r="D193" s="1"/>
      <c r="E193" s="1"/>
      <c r="F193" s="1"/>
      <c r="G193" s="1"/>
      <c r="H193" s="1"/>
      <c r="I193" s="1"/>
      <c r="J193" s="1"/>
      <c r="K193" s="1"/>
      <c r="L193" s="22"/>
      <c r="M193" s="262"/>
      <c r="N193" s="1"/>
      <c r="O193" s="1"/>
      <c r="P193" s="1"/>
      <c r="Q193" s="1"/>
      <c r="R193" s="1"/>
      <c r="S193" s="1"/>
      <c r="T193" s="1"/>
      <c r="U193" s="1"/>
      <c r="V193" s="1"/>
      <c r="W193" s="1"/>
      <c r="X193" s="1"/>
      <c r="Y193" s="1"/>
      <c r="Z193" s="1"/>
      <c r="AA193" s="1"/>
      <c r="AB193" s="1"/>
    </row>
    <row r="194" spans="1:28" ht="11.25" customHeight="1" x14ac:dyDescent="0.25">
      <c r="A194" s="825"/>
      <c r="B194" s="16"/>
      <c r="C194" s="1"/>
      <c r="D194" s="1"/>
      <c r="E194" s="1"/>
      <c r="F194" s="1"/>
      <c r="G194" s="1"/>
      <c r="H194" s="1"/>
      <c r="I194" s="1"/>
      <c r="J194" s="1"/>
      <c r="K194" s="1"/>
      <c r="L194" s="22"/>
      <c r="M194" s="262"/>
      <c r="N194" s="1"/>
      <c r="O194" s="1"/>
      <c r="P194" s="1"/>
      <c r="Q194" s="1"/>
      <c r="R194" s="1"/>
      <c r="S194" s="1"/>
      <c r="T194" s="1"/>
      <c r="U194" s="1"/>
      <c r="V194" s="1"/>
      <c r="W194" s="1"/>
      <c r="X194" s="1"/>
      <c r="Y194" s="1"/>
      <c r="Z194" s="1"/>
      <c r="AA194" s="1"/>
      <c r="AB194" s="1"/>
    </row>
    <row r="195" spans="1:28" ht="11.25" customHeight="1" x14ac:dyDescent="0.25">
      <c r="A195" s="825"/>
      <c r="B195" s="16"/>
      <c r="C195" s="1"/>
      <c r="D195" s="1"/>
      <c r="E195" s="1"/>
      <c r="F195" s="1"/>
      <c r="G195" s="1"/>
      <c r="H195" s="1"/>
      <c r="I195" s="1"/>
      <c r="J195" s="1"/>
      <c r="K195" s="1"/>
      <c r="L195" s="22"/>
      <c r="M195" s="262"/>
      <c r="N195" s="1"/>
      <c r="O195" s="1"/>
      <c r="P195" s="1"/>
      <c r="Q195" s="1"/>
      <c r="R195" s="1"/>
      <c r="S195" s="1"/>
      <c r="T195" s="1"/>
      <c r="U195" s="1"/>
      <c r="V195" s="1"/>
      <c r="W195" s="1"/>
      <c r="X195" s="1"/>
      <c r="Y195" s="1"/>
      <c r="Z195" s="1"/>
      <c r="AA195" s="1"/>
      <c r="AB195" s="1"/>
    </row>
    <row r="196" spans="1:28" ht="11.25" customHeight="1" x14ac:dyDescent="0.25">
      <c r="A196" s="825"/>
      <c r="B196" s="16"/>
      <c r="C196" s="1"/>
      <c r="D196" s="1"/>
      <c r="E196" s="1"/>
      <c r="F196" s="1"/>
      <c r="G196" s="1"/>
      <c r="H196" s="1"/>
      <c r="I196" s="1"/>
      <c r="J196" s="1"/>
      <c r="K196" s="1"/>
      <c r="L196" s="22"/>
      <c r="M196" s="262"/>
      <c r="N196" s="1"/>
      <c r="O196" s="1"/>
      <c r="P196" s="1"/>
      <c r="Q196" s="1"/>
      <c r="R196" s="1"/>
      <c r="S196" s="1"/>
      <c r="T196" s="1"/>
      <c r="U196" s="1"/>
      <c r="V196" s="1"/>
      <c r="W196" s="1"/>
      <c r="X196" s="1"/>
      <c r="Y196" s="1"/>
      <c r="Z196" s="1"/>
      <c r="AA196" s="1"/>
      <c r="AB196" s="1"/>
    </row>
    <row r="197" spans="1:28" ht="11.25" customHeight="1" x14ac:dyDescent="0.25">
      <c r="A197" s="825"/>
      <c r="B197" s="16"/>
      <c r="C197" s="1"/>
      <c r="D197" s="1"/>
      <c r="E197" s="1"/>
      <c r="F197" s="1"/>
      <c r="G197" s="1"/>
      <c r="H197" s="1"/>
      <c r="I197" s="1"/>
      <c r="J197" s="1"/>
      <c r="K197" s="1"/>
      <c r="L197" s="22"/>
      <c r="M197" s="262"/>
      <c r="N197" s="1"/>
      <c r="O197" s="1"/>
      <c r="P197" s="1"/>
      <c r="Q197" s="1"/>
      <c r="R197" s="1"/>
      <c r="S197" s="1"/>
      <c r="T197" s="1"/>
      <c r="U197" s="1"/>
      <c r="V197" s="1"/>
      <c r="W197" s="1"/>
      <c r="X197" s="1"/>
      <c r="Y197" s="1"/>
      <c r="Z197" s="1"/>
      <c r="AA197" s="1"/>
      <c r="AB197" s="1"/>
    </row>
    <row r="198" spans="1:28" ht="11.25" customHeight="1" x14ac:dyDescent="0.25">
      <c r="A198" s="825"/>
      <c r="B198" s="16"/>
      <c r="C198" s="1"/>
      <c r="D198" s="1"/>
      <c r="E198" s="1"/>
      <c r="F198" s="1"/>
      <c r="G198" s="1"/>
      <c r="H198" s="1"/>
      <c r="I198" s="1"/>
      <c r="J198" s="1"/>
      <c r="K198" s="1"/>
      <c r="L198" s="22"/>
      <c r="M198" s="262"/>
      <c r="N198" s="1"/>
      <c r="O198" s="1"/>
      <c r="P198" s="1"/>
      <c r="Q198" s="1"/>
      <c r="R198" s="1"/>
      <c r="S198" s="1"/>
      <c r="T198" s="1"/>
      <c r="U198" s="1"/>
      <c r="V198" s="1"/>
      <c r="W198" s="1"/>
      <c r="X198" s="1"/>
      <c r="Y198" s="1"/>
      <c r="Z198" s="1"/>
      <c r="AA198" s="1"/>
      <c r="AB198" s="1"/>
    </row>
    <row r="199" spans="1:28" ht="11.25" customHeight="1" x14ac:dyDescent="0.25">
      <c r="A199" s="825"/>
      <c r="B199" s="16"/>
      <c r="C199" s="1"/>
      <c r="D199" s="1"/>
      <c r="E199" s="1"/>
      <c r="F199" s="1"/>
      <c r="G199" s="1"/>
      <c r="H199" s="1"/>
      <c r="I199" s="1"/>
      <c r="J199" s="1"/>
      <c r="K199" s="1"/>
      <c r="L199" s="22"/>
      <c r="M199" s="262"/>
      <c r="N199" s="1"/>
      <c r="O199" s="1"/>
      <c r="P199" s="1"/>
      <c r="Q199" s="1"/>
      <c r="R199" s="1"/>
      <c r="S199" s="1"/>
      <c r="T199" s="1"/>
      <c r="U199" s="1"/>
      <c r="V199" s="1"/>
      <c r="W199" s="1"/>
      <c r="X199" s="1"/>
      <c r="Y199" s="1"/>
      <c r="Z199" s="1"/>
      <c r="AA199" s="1"/>
      <c r="AB199" s="1"/>
    </row>
    <row r="200" spans="1:28" ht="11.25" customHeight="1" x14ac:dyDescent="0.25">
      <c r="A200" s="825"/>
      <c r="B200" s="16"/>
      <c r="C200" s="1"/>
      <c r="D200" s="1"/>
      <c r="E200" s="1"/>
      <c r="F200" s="1"/>
      <c r="G200" s="1"/>
      <c r="H200" s="1"/>
      <c r="I200" s="1"/>
      <c r="J200" s="1"/>
      <c r="K200" s="1"/>
      <c r="L200" s="22"/>
      <c r="M200" s="262"/>
      <c r="N200" s="1"/>
      <c r="O200" s="1"/>
      <c r="P200" s="1"/>
      <c r="Q200" s="1"/>
      <c r="R200" s="1"/>
      <c r="S200" s="1"/>
      <c r="T200" s="1"/>
      <c r="U200" s="1"/>
      <c r="V200" s="1"/>
      <c r="W200" s="1"/>
      <c r="X200" s="1"/>
      <c r="Y200" s="1"/>
      <c r="Z200" s="1"/>
      <c r="AA200" s="1"/>
      <c r="AB200" s="1"/>
    </row>
    <row r="201" spans="1:28" ht="11.25" customHeight="1" x14ac:dyDescent="0.25">
      <c r="A201" s="825"/>
      <c r="B201" s="16"/>
      <c r="C201" s="1"/>
      <c r="D201" s="1"/>
      <c r="E201" s="1"/>
      <c r="F201" s="1"/>
      <c r="G201" s="1"/>
      <c r="H201" s="1"/>
      <c r="I201" s="1"/>
      <c r="J201" s="1"/>
      <c r="K201" s="1"/>
      <c r="L201" s="22"/>
      <c r="M201" s="262"/>
      <c r="N201" s="1"/>
      <c r="O201" s="1"/>
      <c r="P201" s="1"/>
      <c r="Q201" s="1"/>
      <c r="R201" s="1"/>
      <c r="S201" s="1"/>
      <c r="T201" s="1"/>
      <c r="U201" s="1"/>
      <c r="V201" s="1"/>
      <c r="W201" s="1"/>
      <c r="X201" s="1"/>
      <c r="Y201" s="1"/>
      <c r="Z201" s="1"/>
      <c r="AA201" s="1"/>
      <c r="AB201" s="1"/>
    </row>
    <row r="202" spans="1:28" ht="11.25" customHeight="1" x14ac:dyDescent="0.25">
      <c r="A202" s="825"/>
      <c r="B202" s="16"/>
      <c r="C202" s="1"/>
      <c r="D202" s="1"/>
      <c r="E202" s="1"/>
      <c r="F202" s="1"/>
      <c r="G202" s="1"/>
      <c r="H202" s="1"/>
      <c r="I202" s="1"/>
      <c r="J202" s="1"/>
      <c r="K202" s="1"/>
      <c r="L202" s="22"/>
      <c r="M202" s="262"/>
      <c r="N202" s="1"/>
      <c r="O202" s="1"/>
      <c r="P202" s="1"/>
      <c r="Q202" s="1"/>
      <c r="R202" s="1"/>
      <c r="S202" s="1"/>
      <c r="T202" s="1"/>
      <c r="U202" s="1"/>
      <c r="V202" s="1"/>
      <c r="W202" s="1"/>
      <c r="X202" s="1"/>
      <c r="Y202" s="1"/>
      <c r="Z202" s="1"/>
      <c r="AA202" s="1"/>
      <c r="AB202" s="1"/>
    </row>
    <row r="203" spans="1:28" ht="11.25" customHeight="1" x14ac:dyDescent="0.25">
      <c r="A203" s="825"/>
      <c r="B203" s="16"/>
      <c r="C203" s="1"/>
      <c r="D203" s="1"/>
      <c r="E203" s="1"/>
      <c r="F203" s="1"/>
      <c r="G203" s="1"/>
      <c r="H203" s="1"/>
      <c r="I203" s="1"/>
      <c r="J203" s="1"/>
      <c r="K203" s="1"/>
      <c r="L203" s="22"/>
      <c r="M203" s="262"/>
      <c r="N203" s="1"/>
      <c r="O203" s="1"/>
      <c r="P203" s="1"/>
      <c r="Q203" s="1"/>
      <c r="R203" s="1"/>
      <c r="S203" s="1"/>
      <c r="T203" s="1"/>
      <c r="U203" s="1"/>
      <c r="V203" s="1"/>
      <c r="W203" s="1"/>
      <c r="X203" s="1"/>
      <c r="Y203" s="1"/>
      <c r="Z203" s="1"/>
      <c r="AA203" s="1"/>
      <c r="AB203" s="1"/>
    </row>
    <row r="204" spans="1:28" ht="11.25" customHeight="1" x14ac:dyDescent="0.25">
      <c r="A204" s="825"/>
      <c r="B204" s="16"/>
      <c r="C204" s="1"/>
      <c r="D204" s="1"/>
      <c r="E204" s="1"/>
      <c r="F204" s="1"/>
      <c r="G204" s="1"/>
      <c r="H204" s="1"/>
      <c r="I204" s="1"/>
      <c r="J204" s="1"/>
      <c r="K204" s="1"/>
      <c r="L204" s="22"/>
      <c r="M204" s="262"/>
      <c r="N204" s="1"/>
      <c r="O204" s="1"/>
      <c r="P204" s="1"/>
      <c r="Q204" s="1"/>
      <c r="R204" s="1"/>
      <c r="S204" s="1"/>
      <c r="T204" s="1"/>
      <c r="U204" s="1"/>
      <c r="V204" s="1"/>
      <c r="W204" s="1"/>
      <c r="X204" s="1"/>
      <c r="Y204" s="1"/>
      <c r="Z204" s="1"/>
      <c r="AA204" s="1"/>
      <c r="AB204" s="1"/>
    </row>
    <row r="205" spans="1:28" ht="11.25" customHeight="1" x14ac:dyDescent="0.25">
      <c r="A205" s="825"/>
      <c r="B205" s="16"/>
      <c r="C205" s="1"/>
      <c r="D205" s="1"/>
      <c r="E205" s="1"/>
      <c r="F205" s="1"/>
      <c r="G205" s="1"/>
      <c r="H205" s="1"/>
      <c r="I205" s="1"/>
      <c r="J205" s="1"/>
      <c r="K205" s="1"/>
      <c r="L205" s="22"/>
      <c r="M205" s="262"/>
      <c r="N205" s="1"/>
      <c r="O205" s="1"/>
      <c r="P205" s="1"/>
      <c r="Q205" s="1"/>
      <c r="R205" s="1"/>
      <c r="S205" s="1"/>
      <c r="T205" s="1"/>
      <c r="U205" s="1"/>
      <c r="V205" s="1"/>
      <c r="W205" s="1"/>
      <c r="X205" s="1"/>
      <c r="Y205" s="1"/>
      <c r="Z205" s="1"/>
      <c r="AA205" s="1"/>
      <c r="AB205" s="1"/>
    </row>
    <row r="206" spans="1:28" ht="11.25" customHeight="1" x14ac:dyDescent="0.25">
      <c r="A206" s="825"/>
      <c r="B206" s="16"/>
      <c r="C206" s="1"/>
      <c r="D206" s="1"/>
      <c r="E206" s="1"/>
      <c r="F206" s="1"/>
      <c r="G206" s="1"/>
      <c r="H206" s="1"/>
      <c r="I206" s="1"/>
      <c r="J206" s="1"/>
      <c r="K206" s="1"/>
      <c r="L206" s="22"/>
      <c r="M206" s="262"/>
      <c r="N206" s="1"/>
      <c r="O206" s="1"/>
      <c r="P206" s="1"/>
      <c r="Q206" s="1"/>
      <c r="R206" s="1"/>
      <c r="S206" s="1"/>
      <c r="T206" s="1"/>
      <c r="U206" s="1"/>
      <c r="V206" s="1"/>
      <c r="W206" s="1"/>
      <c r="X206" s="1"/>
      <c r="Y206" s="1"/>
      <c r="Z206" s="1"/>
      <c r="AA206" s="1"/>
      <c r="AB206" s="1"/>
    </row>
    <row r="207" spans="1:28" ht="11.25" customHeight="1" x14ac:dyDescent="0.25">
      <c r="A207" s="825"/>
      <c r="B207" s="16"/>
      <c r="C207" s="1"/>
      <c r="D207" s="1"/>
      <c r="E207" s="1"/>
      <c r="F207" s="1"/>
      <c r="G207" s="1"/>
      <c r="H207" s="1"/>
      <c r="I207" s="1"/>
      <c r="J207" s="1"/>
      <c r="K207" s="1"/>
      <c r="L207" s="22"/>
      <c r="M207" s="262"/>
      <c r="N207" s="1"/>
      <c r="O207" s="1"/>
      <c r="P207" s="1"/>
      <c r="Q207" s="1"/>
      <c r="R207" s="1"/>
      <c r="S207" s="1"/>
      <c r="T207" s="1"/>
      <c r="U207" s="1"/>
      <c r="V207" s="1"/>
      <c r="W207" s="1"/>
      <c r="X207" s="1"/>
      <c r="Y207" s="1"/>
      <c r="Z207" s="1"/>
      <c r="AA207" s="1"/>
      <c r="AB207" s="1"/>
    </row>
    <row r="208" spans="1:28" ht="11.25" customHeight="1" x14ac:dyDescent="0.25">
      <c r="A208" s="825"/>
      <c r="B208" s="16"/>
      <c r="C208" s="1"/>
      <c r="D208" s="1"/>
      <c r="E208" s="1"/>
      <c r="F208" s="1"/>
      <c r="G208" s="1"/>
      <c r="H208" s="1"/>
      <c r="I208" s="1"/>
      <c r="J208" s="1"/>
      <c r="K208" s="1"/>
      <c r="L208" s="22"/>
      <c r="M208" s="262"/>
      <c r="N208" s="1"/>
      <c r="O208" s="1"/>
      <c r="P208" s="1"/>
      <c r="Q208" s="1"/>
      <c r="R208" s="1"/>
      <c r="S208" s="1"/>
      <c r="T208" s="1"/>
      <c r="U208" s="1"/>
      <c r="V208" s="1"/>
      <c r="W208" s="1"/>
      <c r="X208" s="1"/>
      <c r="Y208" s="1"/>
      <c r="Z208" s="1"/>
      <c r="AA208" s="1"/>
      <c r="AB208" s="1"/>
    </row>
    <row r="209" spans="1:28" ht="11.25" customHeight="1" x14ac:dyDescent="0.25">
      <c r="A209" s="825"/>
      <c r="B209" s="16"/>
      <c r="C209" s="1"/>
      <c r="D209" s="1"/>
      <c r="E209" s="1"/>
      <c r="F209" s="1"/>
      <c r="G209" s="1"/>
      <c r="H209" s="1"/>
      <c r="I209" s="1"/>
      <c r="J209" s="1"/>
      <c r="K209" s="1"/>
      <c r="L209" s="22"/>
      <c r="M209" s="262"/>
      <c r="N209" s="1"/>
      <c r="O209" s="1"/>
      <c r="P209" s="1"/>
      <c r="Q209" s="1"/>
      <c r="R209" s="1"/>
      <c r="S209" s="1"/>
      <c r="T209" s="1"/>
      <c r="U209" s="1"/>
      <c r="V209" s="1"/>
      <c r="W209" s="1"/>
      <c r="X209" s="1"/>
      <c r="Y209" s="1"/>
      <c r="Z209" s="1"/>
      <c r="AA209" s="1"/>
      <c r="AB209" s="1"/>
    </row>
    <row r="210" spans="1:28" ht="11.25" customHeight="1" x14ac:dyDescent="0.25">
      <c r="A210" s="825"/>
      <c r="B210" s="16"/>
      <c r="C210" s="1"/>
      <c r="D210" s="1"/>
      <c r="E210" s="1"/>
      <c r="F210" s="1"/>
      <c r="G210" s="1"/>
      <c r="H210" s="1"/>
      <c r="I210" s="1"/>
      <c r="J210" s="1"/>
      <c r="K210" s="1"/>
      <c r="L210" s="22"/>
      <c r="M210" s="262"/>
      <c r="N210" s="1"/>
      <c r="O210" s="1"/>
      <c r="P210" s="1"/>
      <c r="Q210" s="1"/>
      <c r="R210" s="1"/>
      <c r="S210" s="1"/>
      <c r="T210" s="1"/>
      <c r="U210" s="1"/>
      <c r="V210" s="1"/>
      <c r="W210" s="1"/>
      <c r="X210" s="1"/>
      <c r="Y210" s="1"/>
      <c r="Z210" s="1"/>
      <c r="AA210" s="1"/>
      <c r="AB210" s="1"/>
    </row>
    <row r="211" spans="1:28" ht="11.25" customHeight="1" x14ac:dyDescent="0.25">
      <c r="A211" s="825"/>
      <c r="B211" s="16"/>
      <c r="C211" s="1"/>
      <c r="D211" s="1"/>
      <c r="E211" s="1"/>
      <c r="F211" s="1"/>
      <c r="G211" s="1"/>
      <c r="H211" s="1"/>
      <c r="I211" s="1"/>
      <c r="J211" s="1"/>
      <c r="K211" s="1"/>
      <c r="L211" s="22"/>
      <c r="M211" s="262"/>
      <c r="N211" s="1"/>
      <c r="O211" s="1"/>
      <c r="P211" s="1"/>
      <c r="Q211" s="1"/>
      <c r="R211" s="1"/>
      <c r="S211" s="1"/>
      <c r="T211" s="1"/>
      <c r="U211" s="1"/>
      <c r="V211" s="1"/>
      <c r="W211" s="1"/>
      <c r="X211" s="1"/>
      <c r="Y211" s="1"/>
      <c r="Z211" s="1"/>
      <c r="AA211" s="1"/>
      <c r="AB211" s="1"/>
    </row>
    <row r="212" spans="1:28" ht="11.25" customHeight="1" x14ac:dyDescent="0.25">
      <c r="A212" s="825"/>
      <c r="B212" s="16"/>
      <c r="C212" s="1"/>
      <c r="D212" s="1"/>
      <c r="E212" s="1"/>
      <c r="F212" s="1"/>
      <c r="G212" s="1"/>
      <c r="H212" s="1"/>
      <c r="I212" s="1"/>
      <c r="J212" s="1"/>
      <c r="K212" s="1"/>
      <c r="L212" s="22"/>
      <c r="M212" s="262"/>
      <c r="N212" s="1"/>
      <c r="O212" s="1"/>
      <c r="P212" s="1"/>
      <c r="Q212" s="1"/>
      <c r="R212" s="1"/>
      <c r="S212" s="1"/>
      <c r="T212" s="1"/>
      <c r="U212" s="1"/>
      <c r="V212" s="1"/>
      <c r="W212" s="1"/>
      <c r="X212" s="1"/>
      <c r="Y212" s="1"/>
      <c r="Z212" s="1"/>
      <c r="AA212" s="1"/>
      <c r="AB212" s="1"/>
    </row>
    <row r="213" spans="1:28" ht="11.25" customHeight="1" x14ac:dyDescent="0.25">
      <c r="A213" s="825"/>
      <c r="B213" s="16"/>
      <c r="C213" s="1"/>
      <c r="D213" s="1"/>
      <c r="E213" s="1"/>
      <c r="F213" s="1"/>
      <c r="G213" s="1"/>
      <c r="H213" s="1"/>
      <c r="I213" s="1"/>
      <c r="J213" s="1"/>
      <c r="K213" s="1"/>
      <c r="L213" s="22"/>
      <c r="M213" s="262"/>
      <c r="N213" s="1"/>
      <c r="O213" s="1"/>
      <c r="P213" s="1"/>
      <c r="Q213" s="1"/>
      <c r="R213" s="1"/>
      <c r="S213" s="1"/>
      <c r="T213" s="1"/>
      <c r="U213" s="1"/>
      <c r="V213" s="1"/>
      <c r="W213" s="1"/>
      <c r="X213" s="1"/>
      <c r="Y213" s="1"/>
      <c r="Z213" s="1"/>
      <c r="AA213" s="1"/>
      <c r="AB213" s="1"/>
    </row>
    <row r="214" spans="1:28" ht="11.25" customHeight="1" x14ac:dyDescent="0.25">
      <c r="A214" s="825"/>
      <c r="B214" s="16"/>
      <c r="C214" s="1"/>
      <c r="D214" s="1"/>
      <c r="E214" s="1"/>
      <c r="F214" s="1"/>
      <c r="G214" s="1"/>
      <c r="H214" s="1"/>
      <c r="I214" s="1"/>
      <c r="J214" s="1"/>
      <c r="K214" s="1"/>
      <c r="L214" s="22"/>
      <c r="M214" s="262"/>
      <c r="N214" s="1"/>
      <c r="O214" s="1"/>
      <c r="P214" s="1"/>
      <c r="Q214" s="1"/>
      <c r="R214" s="1"/>
      <c r="S214" s="1"/>
      <c r="T214" s="1"/>
      <c r="U214" s="1"/>
      <c r="V214" s="1"/>
      <c r="W214" s="1"/>
      <c r="X214" s="1"/>
      <c r="Y214" s="1"/>
      <c r="Z214" s="1"/>
      <c r="AA214" s="1"/>
      <c r="AB214" s="1"/>
    </row>
    <row r="215" spans="1:28" ht="11.25" customHeight="1" x14ac:dyDescent="0.25">
      <c r="A215" s="825"/>
      <c r="B215" s="16"/>
      <c r="C215" s="1"/>
      <c r="D215" s="1"/>
      <c r="E215" s="1"/>
      <c r="F215" s="1"/>
      <c r="G215" s="1"/>
      <c r="H215" s="1"/>
      <c r="I215" s="1"/>
      <c r="J215" s="1"/>
      <c r="K215" s="1"/>
      <c r="L215" s="22"/>
      <c r="M215" s="262"/>
      <c r="N215" s="1"/>
      <c r="O215" s="1"/>
      <c r="P215" s="1"/>
      <c r="Q215" s="1"/>
      <c r="R215" s="1"/>
      <c r="S215" s="1"/>
      <c r="T215" s="1"/>
      <c r="U215" s="1"/>
      <c r="V215" s="1"/>
      <c r="W215" s="1"/>
      <c r="X215" s="1"/>
      <c r="Y215" s="1"/>
      <c r="Z215" s="1"/>
      <c r="AA215" s="1"/>
      <c r="AB215" s="1"/>
    </row>
    <row r="216" spans="1:28" ht="11.25" customHeight="1" x14ac:dyDescent="0.25">
      <c r="A216" s="825"/>
      <c r="B216" s="16"/>
      <c r="C216" s="1"/>
      <c r="D216" s="1"/>
      <c r="E216" s="1"/>
      <c r="F216" s="1"/>
      <c r="G216" s="1"/>
      <c r="H216" s="1"/>
      <c r="I216" s="1"/>
      <c r="J216" s="1"/>
      <c r="K216" s="1"/>
      <c r="L216" s="22"/>
      <c r="M216" s="262"/>
      <c r="N216" s="1"/>
      <c r="O216" s="1"/>
      <c r="P216" s="1"/>
      <c r="Q216" s="1"/>
      <c r="R216" s="1"/>
      <c r="S216" s="1"/>
      <c r="T216" s="1"/>
      <c r="U216" s="1"/>
      <c r="V216" s="1"/>
      <c r="W216" s="1"/>
      <c r="X216" s="1"/>
      <c r="Y216" s="1"/>
      <c r="Z216" s="1"/>
      <c r="AA216" s="1"/>
      <c r="AB216" s="1"/>
    </row>
    <row r="217" spans="1:28" ht="11.25" customHeight="1" x14ac:dyDescent="0.25">
      <c r="A217" s="825"/>
      <c r="B217" s="16"/>
      <c r="C217" s="1"/>
      <c r="D217" s="1"/>
      <c r="E217" s="1"/>
      <c r="F217" s="1"/>
      <c r="G217" s="1"/>
      <c r="H217" s="1"/>
      <c r="I217" s="1"/>
      <c r="J217" s="1"/>
      <c r="K217" s="1"/>
      <c r="L217" s="22"/>
      <c r="M217" s="262"/>
      <c r="N217" s="1"/>
      <c r="O217" s="1"/>
      <c r="P217" s="1"/>
      <c r="Q217" s="1"/>
      <c r="R217" s="1"/>
      <c r="S217" s="1"/>
      <c r="T217" s="1"/>
      <c r="U217" s="1"/>
      <c r="V217" s="1"/>
      <c r="W217" s="1"/>
      <c r="X217" s="1"/>
      <c r="Y217" s="1"/>
      <c r="Z217" s="1"/>
      <c r="AA217" s="1"/>
      <c r="AB217" s="1"/>
    </row>
    <row r="218" spans="1:28" ht="11.25" customHeight="1" x14ac:dyDescent="0.25">
      <c r="A218" s="825"/>
      <c r="B218" s="16"/>
      <c r="C218" s="1"/>
      <c r="D218" s="1"/>
      <c r="E218" s="1"/>
      <c r="F218" s="1"/>
      <c r="G218" s="1"/>
      <c r="H218" s="1"/>
      <c r="I218" s="1"/>
      <c r="J218" s="1"/>
      <c r="K218" s="1"/>
      <c r="L218" s="22"/>
      <c r="M218" s="262"/>
      <c r="N218" s="1"/>
      <c r="O218" s="1"/>
      <c r="P218" s="1"/>
      <c r="Q218" s="1"/>
      <c r="R218" s="1"/>
      <c r="S218" s="1"/>
      <c r="T218" s="1"/>
      <c r="U218" s="1"/>
      <c r="V218" s="1"/>
      <c r="W218" s="1"/>
      <c r="X218" s="1"/>
      <c r="Y218" s="1"/>
      <c r="Z218" s="1"/>
      <c r="AA218" s="1"/>
      <c r="AB218" s="1"/>
    </row>
    <row r="219" spans="1:28" ht="11.25" customHeight="1" x14ac:dyDescent="0.25">
      <c r="A219" s="825"/>
      <c r="B219" s="16"/>
      <c r="C219" s="1"/>
      <c r="D219" s="1"/>
      <c r="E219" s="1"/>
      <c r="F219" s="1"/>
      <c r="G219" s="1"/>
      <c r="H219" s="1"/>
      <c r="I219" s="1"/>
      <c r="J219" s="1"/>
      <c r="K219" s="1"/>
      <c r="L219" s="22"/>
      <c r="M219" s="262"/>
      <c r="N219" s="1"/>
      <c r="O219" s="1"/>
      <c r="P219" s="1"/>
      <c r="Q219" s="1"/>
      <c r="R219" s="1"/>
      <c r="S219" s="1"/>
      <c r="T219" s="1"/>
      <c r="U219" s="1"/>
      <c r="V219" s="1"/>
      <c r="W219" s="1"/>
      <c r="X219" s="1"/>
      <c r="Y219" s="1"/>
      <c r="Z219" s="1"/>
      <c r="AA219" s="1"/>
      <c r="AB219" s="1"/>
    </row>
    <row r="220" spans="1:28" ht="11.25" customHeight="1" x14ac:dyDescent="0.25">
      <c r="A220" s="825"/>
      <c r="B220" s="16"/>
      <c r="C220" s="1"/>
      <c r="D220" s="1"/>
      <c r="E220" s="1"/>
      <c r="F220" s="1"/>
      <c r="G220" s="1"/>
      <c r="H220" s="1"/>
      <c r="I220" s="1"/>
      <c r="J220" s="1"/>
      <c r="K220" s="1"/>
      <c r="L220" s="22"/>
      <c r="M220" s="262"/>
      <c r="N220" s="1"/>
      <c r="O220" s="1"/>
      <c r="P220" s="1"/>
      <c r="Q220" s="1"/>
      <c r="R220" s="1"/>
      <c r="S220" s="1"/>
      <c r="T220" s="1"/>
      <c r="U220" s="1"/>
      <c r="V220" s="1"/>
      <c r="W220" s="1"/>
      <c r="X220" s="1"/>
      <c r="Y220" s="1"/>
      <c r="Z220" s="1"/>
      <c r="AA220" s="1"/>
      <c r="AB220" s="1"/>
    </row>
    <row r="221" spans="1:28" ht="11.25" customHeight="1" x14ac:dyDescent="0.25">
      <c r="A221" s="825"/>
      <c r="B221" s="16"/>
      <c r="C221" s="1"/>
      <c r="D221" s="1"/>
      <c r="E221" s="1"/>
      <c r="F221" s="1"/>
      <c r="G221" s="1"/>
      <c r="H221" s="1"/>
      <c r="I221" s="1"/>
      <c r="J221" s="1"/>
      <c r="K221" s="1"/>
      <c r="L221" s="22"/>
      <c r="M221" s="262"/>
      <c r="N221" s="1"/>
      <c r="O221" s="1"/>
      <c r="P221" s="1"/>
      <c r="Q221" s="1"/>
      <c r="R221" s="1"/>
      <c r="S221" s="1"/>
      <c r="T221" s="1"/>
      <c r="U221" s="1"/>
      <c r="V221" s="1"/>
      <c r="W221" s="1"/>
      <c r="X221" s="1"/>
      <c r="Y221" s="1"/>
      <c r="Z221" s="1"/>
      <c r="AA221" s="1"/>
      <c r="AB221" s="1"/>
    </row>
    <row r="222" spans="1:28" ht="11.25" customHeight="1" x14ac:dyDescent="0.25">
      <c r="A222" s="825"/>
      <c r="B222" s="16"/>
      <c r="C222" s="1"/>
      <c r="D222" s="1"/>
      <c r="E222" s="1"/>
      <c r="F222" s="1"/>
      <c r="G222" s="1"/>
      <c r="H222" s="1"/>
      <c r="I222" s="1"/>
      <c r="J222" s="1"/>
      <c r="K222" s="1"/>
      <c r="L222" s="22"/>
      <c r="M222" s="262"/>
      <c r="N222" s="1"/>
      <c r="O222" s="1"/>
      <c r="P222" s="1"/>
      <c r="Q222" s="1"/>
      <c r="R222" s="1"/>
      <c r="S222" s="1"/>
      <c r="T222" s="1"/>
      <c r="U222" s="1"/>
      <c r="V222" s="1"/>
      <c r="W222" s="1"/>
      <c r="X222" s="1"/>
      <c r="Y222" s="1"/>
      <c r="Z222" s="1"/>
      <c r="AA222" s="1"/>
      <c r="AB222" s="1"/>
    </row>
    <row r="223" spans="1:28" ht="11.25" customHeight="1" x14ac:dyDescent="0.25">
      <c r="A223" s="825"/>
      <c r="B223" s="16"/>
      <c r="C223" s="1"/>
      <c r="D223" s="1"/>
      <c r="E223" s="1"/>
      <c r="F223" s="1"/>
      <c r="G223" s="1"/>
      <c r="H223" s="1"/>
      <c r="I223" s="1"/>
      <c r="J223" s="1"/>
      <c r="K223" s="1"/>
      <c r="L223" s="22"/>
      <c r="M223" s="262"/>
      <c r="N223" s="1"/>
      <c r="O223" s="1"/>
      <c r="P223" s="1"/>
      <c r="Q223" s="1"/>
      <c r="R223" s="1"/>
      <c r="S223" s="1"/>
      <c r="T223" s="1"/>
      <c r="U223" s="1"/>
      <c r="V223" s="1"/>
      <c r="W223" s="1"/>
      <c r="X223" s="1"/>
      <c r="Y223" s="1"/>
      <c r="Z223" s="1"/>
      <c r="AA223" s="1"/>
      <c r="AB223" s="1"/>
    </row>
    <row r="224" spans="1:28" ht="11.25" customHeight="1" x14ac:dyDescent="0.25">
      <c r="A224" s="825"/>
      <c r="B224" s="16"/>
      <c r="C224" s="1"/>
      <c r="D224" s="1"/>
      <c r="E224" s="1"/>
      <c r="F224" s="1"/>
      <c r="G224" s="1"/>
      <c r="H224" s="1"/>
      <c r="I224" s="1"/>
      <c r="J224" s="1"/>
      <c r="K224" s="1"/>
      <c r="L224" s="22"/>
      <c r="M224" s="262"/>
      <c r="N224" s="1"/>
      <c r="O224" s="1"/>
      <c r="P224" s="1"/>
      <c r="Q224" s="1"/>
      <c r="R224" s="1"/>
      <c r="S224" s="1"/>
      <c r="T224" s="1"/>
      <c r="U224" s="1"/>
      <c r="V224" s="1"/>
      <c r="W224" s="1"/>
      <c r="X224" s="1"/>
      <c r="Y224" s="1"/>
      <c r="Z224" s="1"/>
      <c r="AA224" s="1"/>
      <c r="AB224" s="1"/>
    </row>
    <row r="225" spans="1:28" ht="11.25" customHeight="1" x14ac:dyDescent="0.25">
      <c r="A225" s="825"/>
      <c r="B225" s="16"/>
      <c r="C225" s="1"/>
      <c r="D225" s="1"/>
      <c r="E225" s="1"/>
      <c r="F225" s="1"/>
      <c r="G225" s="1"/>
      <c r="H225" s="1"/>
      <c r="I225" s="1"/>
      <c r="J225" s="1"/>
      <c r="K225" s="1"/>
      <c r="L225" s="22"/>
      <c r="M225" s="262"/>
      <c r="N225" s="1"/>
      <c r="O225" s="1"/>
      <c r="P225" s="1"/>
      <c r="Q225" s="1"/>
      <c r="R225" s="1"/>
      <c r="S225" s="1"/>
      <c r="T225" s="1"/>
      <c r="U225" s="1"/>
      <c r="V225" s="1"/>
      <c r="W225" s="1"/>
      <c r="X225" s="1"/>
      <c r="Y225" s="1"/>
      <c r="Z225" s="1"/>
      <c r="AA225" s="1"/>
      <c r="AB225" s="1"/>
    </row>
    <row r="226" spans="1:28" ht="11.25" customHeight="1" x14ac:dyDescent="0.25">
      <c r="A226" s="825"/>
      <c r="B226" s="16"/>
      <c r="C226" s="1"/>
      <c r="D226" s="1"/>
      <c r="E226" s="1"/>
      <c r="F226" s="1"/>
      <c r="G226" s="1"/>
      <c r="H226" s="1"/>
      <c r="I226" s="1"/>
      <c r="J226" s="1"/>
      <c r="K226" s="1"/>
      <c r="L226" s="22"/>
      <c r="M226" s="262"/>
      <c r="N226" s="1"/>
      <c r="O226" s="1"/>
      <c r="P226" s="1"/>
      <c r="Q226" s="1"/>
      <c r="R226" s="1"/>
      <c r="S226" s="1"/>
      <c r="T226" s="1"/>
      <c r="U226" s="1"/>
      <c r="V226" s="1"/>
      <c r="W226" s="1"/>
      <c r="X226" s="1"/>
      <c r="Y226" s="1"/>
      <c r="Z226" s="1"/>
      <c r="AA226" s="1"/>
      <c r="AB226" s="1"/>
    </row>
    <row r="227" spans="1:28" ht="11.25" customHeight="1" x14ac:dyDescent="0.25">
      <c r="A227" s="825"/>
      <c r="B227" s="16"/>
      <c r="C227" s="1"/>
      <c r="D227" s="1"/>
      <c r="E227" s="1"/>
      <c r="F227" s="1"/>
      <c r="G227" s="1"/>
      <c r="H227" s="1"/>
      <c r="I227" s="1"/>
      <c r="J227" s="1"/>
      <c r="K227" s="1"/>
      <c r="L227" s="22"/>
      <c r="M227" s="262"/>
      <c r="N227" s="1"/>
      <c r="O227" s="1"/>
      <c r="P227" s="1"/>
      <c r="Q227" s="1"/>
      <c r="R227" s="1"/>
      <c r="S227" s="1"/>
      <c r="T227" s="1"/>
      <c r="U227" s="1"/>
      <c r="V227" s="1"/>
      <c r="W227" s="1"/>
      <c r="X227" s="1"/>
      <c r="Y227" s="1"/>
      <c r="Z227" s="1"/>
      <c r="AA227" s="1"/>
      <c r="AB227" s="1"/>
    </row>
    <row r="228" spans="1:28" ht="11.25" customHeight="1" x14ac:dyDescent="0.25">
      <c r="A228" s="825"/>
      <c r="B228" s="16"/>
      <c r="C228" s="1"/>
      <c r="D228" s="1"/>
      <c r="E228" s="1"/>
      <c r="F228" s="1"/>
      <c r="G228" s="1"/>
      <c r="H228" s="1"/>
      <c r="I228" s="1"/>
      <c r="J228" s="1"/>
      <c r="K228" s="1"/>
      <c r="L228" s="22"/>
      <c r="M228" s="262"/>
      <c r="N228" s="1"/>
      <c r="O228" s="1"/>
      <c r="P228" s="1"/>
      <c r="Q228" s="1"/>
      <c r="R228" s="1"/>
      <c r="S228" s="1"/>
      <c r="T228" s="1"/>
      <c r="U228" s="1"/>
      <c r="V228" s="1"/>
      <c r="W228" s="1"/>
      <c r="X228" s="1"/>
      <c r="Y228" s="1"/>
      <c r="Z228" s="1"/>
      <c r="AA228" s="1"/>
      <c r="AB228" s="1"/>
    </row>
    <row r="229" spans="1:28" ht="11.25" customHeight="1" x14ac:dyDescent="0.25">
      <c r="A229" s="825"/>
      <c r="B229" s="16"/>
      <c r="C229" s="1"/>
      <c r="D229" s="1"/>
      <c r="E229" s="1"/>
      <c r="F229" s="1"/>
      <c r="G229" s="1"/>
      <c r="H229" s="1"/>
      <c r="I229" s="1"/>
      <c r="J229" s="1"/>
      <c r="K229" s="1"/>
      <c r="L229" s="22"/>
      <c r="M229" s="262"/>
      <c r="N229" s="1"/>
      <c r="O229" s="1"/>
      <c r="P229" s="1"/>
      <c r="Q229" s="1"/>
      <c r="R229" s="1"/>
      <c r="S229" s="1"/>
      <c r="T229" s="1"/>
      <c r="U229" s="1"/>
      <c r="V229" s="1"/>
      <c r="W229" s="1"/>
      <c r="X229" s="1"/>
      <c r="Y229" s="1"/>
      <c r="Z229" s="1"/>
      <c r="AA229" s="1"/>
      <c r="AB229" s="1"/>
    </row>
    <row r="230" spans="1:28" ht="11.25" customHeight="1" x14ac:dyDescent="0.25">
      <c r="A230" s="825"/>
      <c r="B230" s="16"/>
      <c r="C230" s="1"/>
      <c r="D230" s="1"/>
      <c r="E230" s="1"/>
      <c r="F230" s="1"/>
      <c r="G230" s="1"/>
      <c r="H230" s="1"/>
      <c r="I230" s="1"/>
      <c r="J230" s="1"/>
      <c r="K230" s="1"/>
      <c r="L230" s="22"/>
      <c r="M230" s="262"/>
      <c r="N230" s="1"/>
      <c r="O230" s="1"/>
      <c r="P230" s="1"/>
      <c r="Q230" s="1"/>
      <c r="R230" s="1"/>
      <c r="S230" s="1"/>
      <c r="T230" s="1"/>
      <c r="U230" s="1"/>
      <c r="V230" s="1"/>
      <c r="W230" s="1"/>
      <c r="X230" s="1"/>
      <c r="Y230" s="1"/>
      <c r="Z230" s="1"/>
      <c r="AA230" s="1"/>
      <c r="AB230" s="1"/>
    </row>
    <row r="231" spans="1:28" ht="11.25" customHeight="1" x14ac:dyDescent="0.25">
      <c r="A231" s="825"/>
      <c r="B231" s="16"/>
      <c r="C231" s="1"/>
      <c r="D231" s="1"/>
      <c r="E231" s="1"/>
      <c r="F231" s="1"/>
      <c r="G231" s="1"/>
      <c r="H231" s="1"/>
      <c r="I231" s="1"/>
      <c r="J231" s="1"/>
      <c r="K231" s="1"/>
      <c r="L231" s="22"/>
      <c r="M231" s="262"/>
      <c r="N231" s="1"/>
      <c r="O231" s="1"/>
      <c r="P231" s="1"/>
      <c r="Q231" s="1"/>
      <c r="R231" s="1"/>
      <c r="S231" s="1"/>
      <c r="T231" s="1"/>
      <c r="U231" s="1"/>
      <c r="V231" s="1"/>
      <c r="W231" s="1"/>
      <c r="X231" s="1"/>
      <c r="Y231" s="1"/>
      <c r="Z231" s="1"/>
      <c r="AA231" s="1"/>
      <c r="AB231" s="1"/>
    </row>
    <row r="232" spans="1:28" ht="11.25" customHeight="1" x14ac:dyDescent="0.25">
      <c r="A232" s="825"/>
      <c r="B232" s="16"/>
      <c r="C232" s="1"/>
      <c r="D232" s="1"/>
      <c r="E232" s="1"/>
      <c r="F232" s="1"/>
      <c r="G232" s="1"/>
      <c r="H232" s="1"/>
      <c r="I232" s="1"/>
      <c r="J232" s="1"/>
      <c r="K232" s="1"/>
      <c r="L232" s="22"/>
      <c r="M232" s="262"/>
      <c r="N232" s="1"/>
      <c r="O232" s="1"/>
      <c r="P232" s="1"/>
      <c r="Q232" s="1"/>
      <c r="R232" s="1"/>
      <c r="S232" s="1"/>
      <c r="T232" s="1"/>
      <c r="U232" s="1"/>
      <c r="V232" s="1"/>
      <c r="W232" s="1"/>
      <c r="X232" s="1"/>
      <c r="Y232" s="1"/>
      <c r="Z232" s="1"/>
      <c r="AA232" s="1"/>
      <c r="AB232" s="1"/>
    </row>
    <row r="233" spans="1:28" ht="11.25" customHeight="1" x14ac:dyDescent="0.25">
      <c r="A233" s="825"/>
      <c r="B233" s="16"/>
      <c r="C233" s="1"/>
      <c r="D233" s="1"/>
      <c r="E233" s="1"/>
      <c r="F233" s="1"/>
      <c r="G233" s="1"/>
      <c r="H233" s="1"/>
      <c r="I233" s="1"/>
      <c r="J233" s="1"/>
      <c r="K233" s="1"/>
      <c r="L233" s="22"/>
      <c r="M233" s="262"/>
      <c r="N233" s="1"/>
      <c r="O233" s="1"/>
      <c r="P233" s="1"/>
      <c r="Q233" s="1"/>
      <c r="R233" s="1"/>
      <c r="S233" s="1"/>
      <c r="T233" s="1"/>
      <c r="U233" s="1"/>
      <c r="V233" s="1"/>
      <c r="W233" s="1"/>
      <c r="X233" s="1"/>
      <c r="Y233" s="1"/>
      <c r="Z233" s="1"/>
      <c r="AA233" s="1"/>
      <c r="AB233" s="1"/>
    </row>
    <row r="234" spans="1:28" ht="11.25" customHeight="1" x14ac:dyDescent="0.25">
      <c r="A234" s="825"/>
      <c r="B234" s="16"/>
      <c r="C234" s="1"/>
      <c r="D234" s="1"/>
      <c r="E234" s="1"/>
      <c r="F234" s="1"/>
      <c r="G234" s="1"/>
      <c r="H234" s="1"/>
      <c r="I234" s="1"/>
      <c r="J234" s="1"/>
      <c r="K234" s="1"/>
      <c r="L234" s="22"/>
      <c r="M234" s="262"/>
      <c r="N234" s="1"/>
      <c r="O234" s="1"/>
      <c r="P234" s="1"/>
      <c r="Q234" s="1"/>
      <c r="R234" s="1"/>
      <c r="S234" s="1"/>
      <c r="T234" s="1"/>
      <c r="U234" s="1"/>
      <c r="V234" s="1"/>
      <c r="W234" s="1"/>
      <c r="X234" s="1"/>
      <c r="Y234" s="1"/>
      <c r="Z234" s="1"/>
      <c r="AA234" s="1"/>
      <c r="AB234" s="1"/>
    </row>
    <row r="235" spans="1:28" ht="11.25" customHeight="1" x14ac:dyDescent="0.25">
      <c r="A235" s="825"/>
      <c r="B235" s="16"/>
      <c r="C235" s="1"/>
      <c r="D235" s="1"/>
      <c r="E235" s="1"/>
      <c r="F235" s="1"/>
      <c r="G235" s="1"/>
      <c r="H235" s="1"/>
      <c r="I235" s="1"/>
      <c r="J235" s="1"/>
      <c r="K235" s="1"/>
      <c r="L235" s="22"/>
      <c r="M235" s="262"/>
      <c r="N235" s="1"/>
      <c r="O235" s="1"/>
      <c r="P235" s="1"/>
      <c r="Q235" s="1"/>
      <c r="R235" s="1"/>
      <c r="S235" s="1"/>
      <c r="T235" s="1"/>
      <c r="U235" s="1"/>
      <c r="V235" s="1"/>
      <c r="W235" s="1"/>
      <c r="X235" s="1"/>
      <c r="Y235" s="1"/>
      <c r="Z235" s="1"/>
      <c r="AA235" s="1"/>
      <c r="AB235" s="1"/>
    </row>
    <row r="236" spans="1:28" ht="11.25" customHeight="1" x14ac:dyDescent="0.25">
      <c r="A236" s="825"/>
      <c r="B236" s="16"/>
      <c r="C236" s="1"/>
      <c r="D236" s="1"/>
      <c r="E236" s="1"/>
      <c r="F236" s="1"/>
      <c r="G236" s="1"/>
      <c r="H236" s="1"/>
      <c r="I236" s="1"/>
      <c r="J236" s="1"/>
      <c r="K236" s="1"/>
      <c r="L236" s="22"/>
      <c r="M236" s="262"/>
      <c r="N236" s="1"/>
      <c r="O236" s="1"/>
      <c r="P236" s="1"/>
      <c r="Q236" s="1"/>
      <c r="R236" s="1"/>
      <c r="S236" s="1"/>
      <c r="T236" s="1"/>
      <c r="U236" s="1"/>
      <c r="V236" s="1"/>
      <c r="W236" s="1"/>
      <c r="X236" s="1"/>
      <c r="Y236" s="1"/>
      <c r="Z236" s="1"/>
      <c r="AA236" s="1"/>
      <c r="AB236" s="1"/>
    </row>
    <row r="237" spans="1:28" ht="11.25" customHeight="1" x14ac:dyDescent="0.25">
      <c r="A237" s="825"/>
      <c r="B237" s="16"/>
      <c r="C237" s="1"/>
      <c r="D237" s="1"/>
      <c r="E237" s="1"/>
      <c r="F237" s="1"/>
      <c r="G237" s="1"/>
      <c r="H237" s="1"/>
      <c r="I237" s="1"/>
      <c r="J237" s="1"/>
      <c r="K237" s="1"/>
      <c r="L237" s="22"/>
      <c r="M237" s="262"/>
      <c r="N237" s="1"/>
      <c r="O237" s="1"/>
      <c r="P237" s="1"/>
      <c r="Q237" s="1"/>
      <c r="R237" s="1"/>
      <c r="S237" s="1"/>
      <c r="T237" s="1"/>
      <c r="U237" s="1"/>
      <c r="V237" s="1"/>
      <c r="W237" s="1"/>
      <c r="X237" s="1"/>
      <c r="Y237" s="1"/>
      <c r="Z237" s="1"/>
      <c r="AA237" s="1"/>
      <c r="AB237" s="1"/>
    </row>
    <row r="238" spans="1:28" ht="11.25" customHeight="1" x14ac:dyDescent="0.25">
      <c r="A238" s="825"/>
      <c r="B238" s="16"/>
      <c r="C238" s="1"/>
      <c r="D238" s="1"/>
      <c r="E238" s="1"/>
      <c r="F238" s="1"/>
      <c r="G238" s="1"/>
      <c r="H238" s="1"/>
      <c r="I238" s="1"/>
      <c r="J238" s="1"/>
      <c r="K238" s="1"/>
      <c r="L238" s="22"/>
      <c r="M238" s="262"/>
      <c r="N238" s="1"/>
      <c r="O238" s="1"/>
      <c r="P238" s="1"/>
      <c r="Q238" s="1"/>
      <c r="R238" s="1"/>
      <c r="S238" s="1"/>
      <c r="T238" s="1"/>
      <c r="U238" s="1"/>
      <c r="V238" s="1"/>
      <c r="W238" s="1"/>
      <c r="X238" s="1"/>
      <c r="Y238" s="1"/>
      <c r="Z238" s="1"/>
      <c r="AA238" s="1"/>
      <c r="AB238" s="1"/>
    </row>
    <row r="239" spans="1:28" ht="11.25" customHeight="1" x14ac:dyDescent="0.25">
      <c r="A239" s="825"/>
      <c r="B239" s="16"/>
      <c r="C239" s="1"/>
      <c r="D239" s="1"/>
      <c r="E239" s="1"/>
      <c r="F239" s="1"/>
      <c r="G239" s="1"/>
      <c r="H239" s="1"/>
      <c r="I239" s="1"/>
      <c r="J239" s="1"/>
      <c r="K239" s="1"/>
      <c r="L239" s="22"/>
      <c r="M239" s="262"/>
      <c r="N239" s="1"/>
      <c r="O239" s="1"/>
      <c r="P239" s="1"/>
      <c r="Q239" s="1"/>
      <c r="R239" s="1"/>
      <c r="S239" s="1"/>
      <c r="T239" s="1"/>
      <c r="U239" s="1"/>
      <c r="V239" s="1"/>
      <c r="W239" s="1"/>
      <c r="X239" s="1"/>
      <c r="Y239" s="1"/>
      <c r="Z239" s="1"/>
      <c r="AA239" s="1"/>
      <c r="AB239" s="1"/>
    </row>
    <row r="240" spans="1:28" ht="11.25" customHeight="1" x14ac:dyDescent="0.25">
      <c r="A240" s="825"/>
      <c r="B240" s="16"/>
      <c r="C240" s="1"/>
      <c r="D240" s="1"/>
      <c r="E240" s="1"/>
      <c r="F240" s="1"/>
      <c r="G240" s="1"/>
      <c r="H240" s="1"/>
      <c r="I240" s="1"/>
      <c r="J240" s="1"/>
      <c r="K240" s="1"/>
      <c r="L240" s="22"/>
      <c r="M240" s="262"/>
      <c r="N240" s="1"/>
      <c r="O240" s="1"/>
      <c r="P240" s="1"/>
      <c r="Q240" s="1"/>
      <c r="R240" s="1"/>
      <c r="S240" s="1"/>
      <c r="T240" s="1"/>
      <c r="U240" s="1"/>
      <c r="V240" s="1"/>
      <c r="W240" s="1"/>
      <c r="X240" s="1"/>
      <c r="Y240" s="1"/>
      <c r="Z240" s="1"/>
      <c r="AA240" s="1"/>
      <c r="AB240" s="1"/>
    </row>
    <row r="241" spans="1:28" ht="11.25" customHeight="1" x14ac:dyDescent="0.25">
      <c r="A241" s="825"/>
      <c r="B241" s="16"/>
      <c r="C241" s="1"/>
      <c r="D241" s="1"/>
      <c r="E241" s="1"/>
      <c r="F241" s="1"/>
      <c r="G241" s="1"/>
      <c r="H241" s="1"/>
      <c r="I241" s="1"/>
      <c r="J241" s="1"/>
      <c r="K241" s="1"/>
      <c r="L241" s="22"/>
      <c r="M241" s="262"/>
      <c r="N241" s="1"/>
      <c r="O241" s="1"/>
      <c r="P241" s="1"/>
      <c r="Q241" s="1"/>
      <c r="R241" s="1"/>
      <c r="S241" s="1"/>
      <c r="T241" s="1"/>
      <c r="U241" s="1"/>
      <c r="V241" s="1"/>
      <c r="W241" s="1"/>
      <c r="X241" s="1"/>
      <c r="Y241" s="1"/>
      <c r="Z241" s="1"/>
      <c r="AA241" s="1"/>
      <c r="AB241" s="1"/>
    </row>
    <row r="242" spans="1:28" ht="11.25" customHeight="1" x14ac:dyDescent="0.25">
      <c r="A242" s="825"/>
      <c r="B242" s="16"/>
      <c r="C242" s="1"/>
      <c r="D242" s="1"/>
      <c r="E242" s="1"/>
      <c r="F242" s="1"/>
      <c r="G242" s="1"/>
      <c r="H242" s="1"/>
      <c r="I242" s="1"/>
      <c r="J242" s="1"/>
      <c r="K242" s="1"/>
      <c r="L242" s="22"/>
      <c r="M242" s="262"/>
      <c r="N242" s="1"/>
      <c r="O242" s="1"/>
      <c r="P242" s="1"/>
      <c r="Q242" s="1"/>
      <c r="R242" s="1"/>
      <c r="S242" s="1"/>
      <c r="T242" s="1"/>
      <c r="U242" s="1"/>
      <c r="V242" s="1"/>
      <c r="W242" s="1"/>
      <c r="X242" s="1"/>
      <c r="Y242" s="1"/>
      <c r="Z242" s="1"/>
      <c r="AA242" s="1"/>
      <c r="AB242" s="1"/>
    </row>
    <row r="243" spans="1:28" ht="11.25" customHeight="1" x14ac:dyDescent="0.25">
      <c r="A243" s="825"/>
      <c r="B243" s="16"/>
      <c r="C243" s="1"/>
      <c r="D243" s="1"/>
      <c r="E243" s="1"/>
      <c r="F243" s="1"/>
      <c r="G243" s="1"/>
      <c r="H243" s="1"/>
      <c r="I243" s="1"/>
      <c r="J243" s="1"/>
      <c r="K243" s="1"/>
      <c r="L243" s="22"/>
      <c r="M243" s="262"/>
      <c r="N243" s="1"/>
      <c r="O243" s="1"/>
      <c r="P243" s="1"/>
      <c r="Q243" s="1"/>
      <c r="R243" s="1"/>
      <c r="S243" s="1"/>
      <c r="T243" s="1"/>
      <c r="U243" s="1"/>
      <c r="V243" s="1"/>
      <c r="W243" s="1"/>
      <c r="X243" s="1"/>
      <c r="Y243" s="1"/>
      <c r="Z243" s="1"/>
      <c r="AA243" s="1"/>
      <c r="AB243" s="1"/>
    </row>
    <row r="244" spans="1:28" ht="11.25" customHeight="1" x14ac:dyDescent="0.25">
      <c r="A244" s="825"/>
      <c r="B244" s="16"/>
      <c r="C244" s="1"/>
      <c r="D244" s="1"/>
      <c r="E244" s="1"/>
      <c r="F244" s="1"/>
      <c r="G244" s="1"/>
      <c r="H244" s="1"/>
      <c r="I244" s="1"/>
      <c r="J244" s="1"/>
      <c r="K244" s="1"/>
      <c r="L244" s="22"/>
      <c r="M244" s="262"/>
      <c r="N244" s="1"/>
      <c r="O244" s="1"/>
      <c r="P244" s="1"/>
      <c r="Q244" s="1"/>
      <c r="R244" s="1"/>
      <c r="S244" s="1"/>
      <c r="T244" s="1"/>
      <c r="U244" s="1"/>
      <c r="V244" s="1"/>
      <c r="W244" s="1"/>
      <c r="X244" s="1"/>
      <c r="Y244" s="1"/>
      <c r="Z244" s="1"/>
      <c r="AA244" s="1"/>
      <c r="AB244" s="1"/>
    </row>
    <row r="245" spans="1:28" ht="11.25" customHeight="1" x14ac:dyDescent="0.25">
      <c r="A245" s="825"/>
      <c r="B245" s="16"/>
      <c r="C245" s="1"/>
      <c r="D245" s="1"/>
      <c r="E245" s="1"/>
      <c r="F245" s="1"/>
      <c r="G245" s="1"/>
      <c r="H245" s="1"/>
      <c r="I245" s="1"/>
      <c r="J245" s="1"/>
      <c r="K245" s="1"/>
      <c r="L245" s="22"/>
      <c r="M245" s="262"/>
      <c r="N245" s="1"/>
      <c r="O245" s="1"/>
      <c r="P245" s="1"/>
      <c r="Q245" s="1"/>
      <c r="R245" s="1"/>
      <c r="S245" s="1"/>
      <c r="T245" s="1"/>
      <c r="U245" s="1"/>
      <c r="V245" s="1"/>
      <c r="W245" s="1"/>
      <c r="X245" s="1"/>
      <c r="Y245" s="1"/>
      <c r="Z245" s="1"/>
      <c r="AA245" s="1"/>
      <c r="AB245" s="1"/>
    </row>
    <row r="246" spans="1:28" ht="11.25" customHeight="1" x14ac:dyDescent="0.25">
      <c r="A246" s="825"/>
      <c r="B246" s="16"/>
      <c r="C246" s="1"/>
      <c r="D246" s="1"/>
      <c r="E246" s="1"/>
      <c r="F246" s="1"/>
      <c r="G246" s="1"/>
      <c r="H246" s="1"/>
      <c r="I246" s="1"/>
      <c r="J246" s="1"/>
      <c r="K246" s="1"/>
      <c r="L246" s="22"/>
      <c r="M246" s="262"/>
      <c r="N246" s="1"/>
      <c r="O246" s="1"/>
      <c r="P246" s="1"/>
      <c r="Q246" s="1"/>
      <c r="R246" s="1"/>
      <c r="S246" s="1"/>
      <c r="T246" s="1"/>
      <c r="U246" s="1"/>
      <c r="V246" s="1"/>
      <c r="W246" s="1"/>
      <c r="X246" s="1"/>
      <c r="Y246" s="1"/>
      <c r="Z246" s="1"/>
      <c r="AA246" s="1"/>
      <c r="AB246" s="1"/>
    </row>
    <row r="247" spans="1:28" ht="11.25" customHeight="1" x14ac:dyDescent="0.25">
      <c r="A247" s="825"/>
      <c r="B247" s="16"/>
      <c r="C247" s="1"/>
      <c r="D247" s="1"/>
      <c r="E247" s="1"/>
      <c r="F247" s="1"/>
      <c r="G247" s="1"/>
      <c r="H247" s="1"/>
      <c r="I247" s="1"/>
      <c r="J247" s="1"/>
      <c r="K247" s="1"/>
      <c r="L247" s="22"/>
      <c r="M247" s="262"/>
      <c r="N247" s="1"/>
      <c r="O247" s="1"/>
      <c r="P247" s="1"/>
      <c r="Q247" s="1"/>
      <c r="R247" s="1"/>
      <c r="S247" s="1"/>
      <c r="T247" s="1"/>
      <c r="U247" s="1"/>
      <c r="V247" s="1"/>
      <c r="W247" s="1"/>
      <c r="X247" s="1"/>
      <c r="Y247" s="1"/>
      <c r="Z247" s="1"/>
      <c r="AA247" s="1"/>
      <c r="AB247" s="1"/>
    </row>
    <row r="248" spans="1:28" ht="11.25" customHeight="1" x14ac:dyDescent="0.25">
      <c r="A248" s="825"/>
      <c r="B248" s="16"/>
      <c r="C248" s="1"/>
      <c r="D248" s="1"/>
      <c r="E248" s="1"/>
      <c r="F248" s="1"/>
      <c r="G248" s="1"/>
      <c r="H248" s="1"/>
      <c r="I248" s="1"/>
      <c r="J248" s="1"/>
      <c r="K248" s="1"/>
      <c r="L248" s="22"/>
      <c r="M248" s="262"/>
      <c r="N248" s="1"/>
      <c r="O248" s="1"/>
      <c r="P248" s="1"/>
      <c r="Q248" s="1"/>
      <c r="R248" s="1"/>
      <c r="S248" s="1"/>
      <c r="T248" s="1"/>
      <c r="U248" s="1"/>
      <c r="V248" s="1"/>
      <c r="W248" s="1"/>
      <c r="X248" s="1"/>
      <c r="Y248" s="1"/>
      <c r="Z248" s="1"/>
      <c r="AA248" s="1"/>
      <c r="AB248" s="1"/>
    </row>
    <row r="249" spans="1:28" ht="11.25" customHeight="1" x14ac:dyDescent="0.25">
      <c r="A249" s="825"/>
      <c r="B249" s="16"/>
      <c r="C249" s="1"/>
      <c r="D249" s="1"/>
      <c r="E249" s="1"/>
      <c r="F249" s="1"/>
      <c r="G249" s="1"/>
      <c r="H249" s="1"/>
      <c r="I249" s="1"/>
      <c r="J249" s="1"/>
      <c r="K249" s="1"/>
      <c r="L249" s="22"/>
      <c r="M249" s="262"/>
      <c r="N249" s="1"/>
      <c r="O249" s="1"/>
      <c r="P249" s="1"/>
      <c r="Q249" s="1"/>
      <c r="R249" s="1"/>
      <c r="S249" s="1"/>
      <c r="T249" s="1"/>
      <c r="U249" s="1"/>
      <c r="V249" s="1"/>
      <c r="W249" s="1"/>
      <c r="X249" s="1"/>
      <c r="Y249" s="1"/>
      <c r="Z249" s="1"/>
      <c r="AA249" s="1"/>
      <c r="AB249" s="1"/>
    </row>
    <row r="250" spans="1:28" ht="11.25" customHeight="1" x14ac:dyDescent="0.25">
      <c r="A250" s="825"/>
      <c r="B250" s="16"/>
      <c r="C250" s="1"/>
      <c r="D250" s="1"/>
      <c r="E250" s="1"/>
      <c r="F250" s="1"/>
      <c r="G250" s="1"/>
      <c r="H250" s="1"/>
      <c r="I250" s="1"/>
      <c r="J250" s="1"/>
      <c r="K250" s="1"/>
      <c r="L250" s="22"/>
      <c r="M250" s="262"/>
      <c r="N250" s="1"/>
      <c r="O250" s="1"/>
      <c r="P250" s="1"/>
      <c r="Q250" s="1"/>
      <c r="R250" s="1"/>
      <c r="S250" s="1"/>
      <c r="T250" s="1"/>
      <c r="U250" s="1"/>
      <c r="V250" s="1"/>
      <c r="W250" s="1"/>
      <c r="X250" s="1"/>
      <c r="Y250" s="1"/>
      <c r="Z250" s="1"/>
      <c r="AA250" s="1"/>
      <c r="AB250" s="1"/>
    </row>
    <row r="251" spans="1:28" ht="11.25" customHeight="1" x14ac:dyDescent="0.25">
      <c r="A251" s="825"/>
      <c r="B251" s="16"/>
      <c r="C251" s="1"/>
      <c r="D251" s="1"/>
      <c r="E251" s="1"/>
      <c r="F251" s="1"/>
      <c r="G251" s="1"/>
      <c r="H251" s="1"/>
      <c r="I251" s="1"/>
      <c r="J251" s="1"/>
      <c r="K251" s="1"/>
      <c r="L251" s="22"/>
      <c r="M251" s="262"/>
      <c r="N251" s="1"/>
      <c r="O251" s="1"/>
      <c r="P251" s="1"/>
      <c r="Q251" s="1"/>
      <c r="R251" s="1"/>
      <c r="S251" s="1"/>
      <c r="T251" s="1"/>
      <c r="U251" s="1"/>
      <c r="V251" s="1"/>
      <c r="W251" s="1"/>
      <c r="X251" s="1"/>
      <c r="Y251" s="1"/>
      <c r="Z251" s="1"/>
      <c r="AA251" s="1"/>
      <c r="AB251" s="1"/>
    </row>
    <row r="252" spans="1:28" ht="11.25" customHeight="1" x14ac:dyDescent="0.25">
      <c r="A252" s="825"/>
      <c r="B252" s="16"/>
      <c r="C252" s="1"/>
      <c r="D252" s="1"/>
      <c r="E252" s="1"/>
      <c r="F252" s="1"/>
      <c r="G252" s="1"/>
      <c r="H252" s="1"/>
      <c r="I252" s="1"/>
      <c r="J252" s="1"/>
      <c r="K252" s="1"/>
      <c r="L252" s="22"/>
      <c r="M252" s="262"/>
      <c r="N252" s="1"/>
      <c r="O252" s="1"/>
      <c r="P252" s="1"/>
      <c r="Q252" s="1"/>
      <c r="R252" s="1"/>
      <c r="S252" s="1"/>
      <c r="T252" s="1"/>
      <c r="U252" s="1"/>
      <c r="V252" s="1"/>
      <c r="W252" s="1"/>
      <c r="X252" s="1"/>
      <c r="Y252" s="1"/>
      <c r="Z252" s="1"/>
      <c r="AA252" s="1"/>
      <c r="AB252" s="1"/>
    </row>
    <row r="253" spans="1:28" ht="11.25" customHeight="1" x14ac:dyDescent="0.25">
      <c r="A253" s="825"/>
      <c r="B253" s="16"/>
      <c r="C253" s="1"/>
      <c r="D253" s="1"/>
      <c r="E253" s="1"/>
      <c r="F253" s="1"/>
      <c r="G253" s="1"/>
      <c r="H253" s="1"/>
      <c r="I253" s="1"/>
      <c r="J253" s="1"/>
      <c r="K253" s="1"/>
      <c r="L253" s="22"/>
      <c r="M253" s="262"/>
      <c r="N253" s="1"/>
      <c r="O253" s="1"/>
      <c r="P253" s="1"/>
      <c r="Q253" s="1"/>
      <c r="R253" s="1"/>
      <c r="S253" s="1"/>
      <c r="T253" s="1"/>
      <c r="U253" s="1"/>
      <c r="V253" s="1"/>
      <c r="W253" s="1"/>
      <c r="X253" s="1"/>
      <c r="Y253" s="1"/>
      <c r="Z253" s="1"/>
      <c r="AA253" s="1"/>
      <c r="AB253" s="1"/>
    </row>
    <row r="254" spans="1:28" ht="11.25" customHeight="1" x14ac:dyDescent="0.25">
      <c r="A254" s="825"/>
      <c r="B254" s="16"/>
      <c r="C254" s="1"/>
      <c r="D254" s="1"/>
      <c r="E254" s="1"/>
      <c r="F254" s="1"/>
      <c r="G254" s="1"/>
      <c r="H254" s="1"/>
      <c r="I254" s="1"/>
      <c r="J254" s="1"/>
      <c r="K254" s="1"/>
      <c r="L254" s="22"/>
      <c r="M254" s="262"/>
      <c r="N254" s="1"/>
      <c r="O254" s="1"/>
      <c r="P254" s="1"/>
      <c r="Q254" s="1"/>
      <c r="R254" s="1"/>
      <c r="S254" s="1"/>
      <c r="T254" s="1"/>
      <c r="U254" s="1"/>
      <c r="V254" s="1"/>
      <c r="W254" s="1"/>
      <c r="X254" s="1"/>
      <c r="Y254" s="1"/>
      <c r="Z254" s="1"/>
      <c r="AA254" s="1"/>
      <c r="AB254" s="1"/>
    </row>
    <row r="255" spans="1:28" ht="11.25" customHeight="1" x14ac:dyDescent="0.25">
      <c r="A255" s="825"/>
      <c r="B255" s="16"/>
      <c r="C255" s="1"/>
      <c r="D255" s="1"/>
      <c r="E255" s="1"/>
      <c r="F255" s="1"/>
      <c r="G255" s="1"/>
      <c r="H255" s="1"/>
      <c r="I255" s="1"/>
      <c r="J255" s="1"/>
      <c r="K255" s="1"/>
      <c r="L255" s="22"/>
      <c r="M255" s="262"/>
      <c r="N255" s="1"/>
      <c r="O255" s="1"/>
      <c r="P255" s="1"/>
      <c r="Q255" s="1"/>
      <c r="R255" s="1"/>
      <c r="S255" s="1"/>
      <c r="T255" s="1"/>
      <c r="U255" s="1"/>
      <c r="V255" s="1"/>
      <c r="W255" s="1"/>
      <c r="X255" s="1"/>
      <c r="Y255" s="1"/>
      <c r="Z255" s="1"/>
      <c r="AA255" s="1"/>
      <c r="AB255" s="1"/>
    </row>
    <row r="256" spans="1:28" ht="11.25" customHeight="1" x14ac:dyDescent="0.25">
      <c r="A256" s="825"/>
      <c r="B256" s="16"/>
      <c r="C256" s="1"/>
      <c r="D256" s="1"/>
      <c r="E256" s="1"/>
      <c r="F256" s="1"/>
      <c r="G256" s="1"/>
      <c r="H256" s="1"/>
      <c r="I256" s="1"/>
      <c r="J256" s="1"/>
      <c r="K256" s="1"/>
      <c r="L256" s="22"/>
      <c r="M256" s="262"/>
      <c r="N256" s="1"/>
      <c r="O256" s="1"/>
      <c r="P256" s="1"/>
      <c r="Q256" s="1"/>
      <c r="R256" s="1"/>
      <c r="S256" s="1"/>
      <c r="T256" s="1"/>
      <c r="U256" s="1"/>
      <c r="V256" s="1"/>
      <c r="W256" s="1"/>
      <c r="X256" s="1"/>
      <c r="Y256" s="1"/>
      <c r="Z256" s="1"/>
      <c r="AA256" s="1"/>
      <c r="AB256" s="1"/>
    </row>
    <row r="257" spans="1:28" ht="11.25" customHeight="1" x14ac:dyDescent="0.25">
      <c r="A257" s="825"/>
      <c r="B257" s="16"/>
      <c r="C257" s="1"/>
      <c r="D257" s="1"/>
      <c r="E257" s="1"/>
      <c r="F257" s="1"/>
      <c r="G257" s="1"/>
      <c r="H257" s="1"/>
      <c r="I257" s="1"/>
      <c r="J257" s="1"/>
      <c r="K257" s="1"/>
      <c r="L257" s="22"/>
      <c r="M257" s="262"/>
      <c r="N257" s="1"/>
      <c r="O257" s="1"/>
      <c r="P257" s="1"/>
      <c r="Q257" s="1"/>
      <c r="R257" s="1"/>
      <c r="S257" s="1"/>
      <c r="T257" s="1"/>
      <c r="U257" s="1"/>
      <c r="V257" s="1"/>
      <c r="W257" s="1"/>
      <c r="X257" s="1"/>
      <c r="Y257" s="1"/>
      <c r="Z257" s="1"/>
      <c r="AA257" s="1"/>
      <c r="AB257" s="1"/>
    </row>
    <row r="258" spans="1:28" ht="11.25" customHeight="1" x14ac:dyDescent="0.25">
      <c r="A258" s="825"/>
      <c r="B258" s="16"/>
      <c r="C258" s="1"/>
      <c r="D258" s="1"/>
      <c r="E258" s="1"/>
      <c r="F258" s="1"/>
      <c r="G258" s="1"/>
      <c r="H258" s="1"/>
      <c r="I258" s="1"/>
      <c r="J258" s="1"/>
      <c r="K258" s="1"/>
      <c r="L258" s="22"/>
      <c r="M258" s="262"/>
      <c r="N258" s="1"/>
      <c r="O258" s="1"/>
      <c r="P258" s="1"/>
      <c r="Q258" s="1"/>
      <c r="R258" s="1"/>
      <c r="S258" s="1"/>
      <c r="T258" s="1"/>
      <c r="U258" s="1"/>
      <c r="V258" s="1"/>
      <c r="W258" s="1"/>
      <c r="X258" s="1"/>
      <c r="Y258" s="1"/>
      <c r="Z258" s="1"/>
      <c r="AA258" s="1"/>
      <c r="AB258" s="1"/>
    </row>
    <row r="259" spans="1:28" ht="11.25" customHeight="1" x14ac:dyDescent="0.25">
      <c r="A259" s="825"/>
      <c r="B259" s="16"/>
      <c r="C259" s="1"/>
      <c r="D259" s="1"/>
      <c r="E259" s="1"/>
      <c r="F259" s="1"/>
      <c r="G259" s="1"/>
      <c r="H259" s="1"/>
      <c r="I259" s="1"/>
      <c r="J259" s="1"/>
      <c r="K259" s="1"/>
      <c r="L259" s="22"/>
      <c r="M259" s="262"/>
      <c r="N259" s="1"/>
      <c r="O259" s="1"/>
      <c r="P259" s="1"/>
      <c r="Q259" s="1"/>
      <c r="R259" s="1"/>
      <c r="S259" s="1"/>
      <c r="T259" s="1"/>
      <c r="U259" s="1"/>
      <c r="V259" s="1"/>
      <c r="W259" s="1"/>
      <c r="X259" s="1"/>
      <c r="Y259" s="1"/>
      <c r="Z259" s="1"/>
      <c r="AA259" s="1"/>
      <c r="AB259" s="1"/>
    </row>
    <row r="260" spans="1:28" ht="11.25" customHeight="1" x14ac:dyDescent="0.25">
      <c r="A260" s="825"/>
      <c r="B260" s="16"/>
      <c r="C260" s="1"/>
      <c r="D260" s="1"/>
      <c r="E260" s="1"/>
      <c r="F260" s="1"/>
      <c r="G260" s="1"/>
      <c r="H260" s="1"/>
      <c r="I260" s="1"/>
      <c r="J260" s="1"/>
      <c r="K260" s="1"/>
      <c r="L260" s="22"/>
      <c r="M260" s="262"/>
      <c r="N260" s="1"/>
      <c r="O260" s="1"/>
      <c r="P260" s="1"/>
      <c r="Q260" s="1"/>
      <c r="R260" s="1"/>
      <c r="S260" s="1"/>
      <c r="T260" s="1"/>
      <c r="U260" s="1"/>
      <c r="V260" s="1"/>
      <c r="W260" s="1"/>
      <c r="X260" s="1"/>
      <c r="Y260" s="1"/>
      <c r="Z260" s="1"/>
      <c r="AA260" s="1"/>
      <c r="AB260" s="1"/>
    </row>
    <row r="261" spans="1:28" ht="11.25" customHeight="1" x14ac:dyDescent="0.25">
      <c r="A261" s="825"/>
      <c r="B261" s="16"/>
      <c r="C261" s="1"/>
      <c r="D261" s="1"/>
      <c r="E261" s="1"/>
      <c r="F261" s="1"/>
      <c r="G261" s="1"/>
      <c r="H261" s="1"/>
      <c r="I261" s="1"/>
      <c r="J261" s="1"/>
      <c r="K261" s="1"/>
      <c r="L261" s="22"/>
      <c r="M261" s="262"/>
      <c r="N261" s="1"/>
      <c r="O261" s="1"/>
      <c r="P261" s="1"/>
      <c r="Q261" s="1"/>
      <c r="R261" s="1"/>
      <c r="S261" s="1"/>
      <c r="T261" s="1"/>
      <c r="U261" s="1"/>
      <c r="V261" s="1"/>
      <c r="W261" s="1"/>
      <c r="X261" s="1"/>
      <c r="Y261" s="1"/>
      <c r="Z261" s="1"/>
      <c r="AA261" s="1"/>
      <c r="AB261" s="1"/>
    </row>
    <row r="262" spans="1:28" ht="11.25" customHeight="1" x14ac:dyDescent="0.25">
      <c r="A262" s="825"/>
      <c r="B262" s="16"/>
      <c r="C262" s="1"/>
      <c r="D262" s="1"/>
      <c r="E262" s="1"/>
      <c r="F262" s="1"/>
      <c r="G262" s="1"/>
      <c r="H262" s="1"/>
      <c r="I262" s="1"/>
      <c r="J262" s="1"/>
      <c r="K262" s="1"/>
      <c r="L262" s="22"/>
      <c r="M262" s="262"/>
      <c r="N262" s="1"/>
      <c r="O262" s="1"/>
      <c r="P262" s="1"/>
      <c r="Q262" s="1"/>
      <c r="R262" s="1"/>
      <c r="S262" s="1"/>
      <c r="T262" s="1"/>
      <c r="U262" s="1"/>
      <c r="V262" s="1"/>
      <c r="W262" s="1"/>
      <c r="X262" s="1"/>
      <c r="Y262" s="1"/>
      <c r="Z262" s="1"/>
      <c r="AA262" s="1"/>
      <c r="AB262" s="1"/>
    </row>
    <row r="263" spans="1:28" ht="11.25" customHeight="1" x14ac:dyDescent="0.25">
      <c r="A263" s="825"/>
      <c r="B263" s="16"/>
      <c r="C263" s="1"/>
      <c r="D263" s="1"/>
      <c r="E263" s="1"/>
      <c r="F263" s="1"/>
      <c r="G263" s="1"/>
      <c r="H263" s="1"/>
      <c r="I263" s="1"/>
      <c r="J263" s="1"/>
      <c r="K263" s="1"/>
      <c r="L263" s="22"/>
      <c r="M263" s="262"/>
      <c r="N263" s="1"/>
      <c r="O263" s="1"/>
      <c r="P263" s="1"/>
      <c r="Q263" s="1"/>
      <c r="R263" s="1"/>
      <c r="S263" s="1"/>
      <c r="T263" s="1"/>
      <c r="U263" s="1"/>
      <c r="V263" s="1"/>
      <c r="W263" s="1"/>
      <c r="X263" s="1"/>
      <c r="Y263" s="1"/>
      <c r="Z263" s="1"/>
      <c r="AA263" s="1"/>
      <c r="AB263" s="1"/>
    </row>
    <row r="264" spans="1:28" ht="11.25" customHeight="1" x14ac:dyDescent="0.25">
      <c r="A264" s="825"/>
      <c r="B264" s="16"/>
      <c r="C264" s="1"/>
      <c r="D264" s="1"/>
      <c r="E264" s="1"/>
      <c r="F264" s="1"/>
      <c r="G264" s="1"/>
      <c r="H264" s="1"/>
      <c r="I264" s="1"/>
      <c r="J264" s="1"/>
      <c r="K264" s="1"/>
      <c r="L264" s="22"/>
      <c r="M264" s="262"/>
      <c r="N264" s="1"/>
      <c r="O264" s="1"/>
      <c r="P264" s="1"/>
      <c r="Q264" s="1"/>
      <c r="R264" s="1"/>
      <c r="S264" s="1"/>
      <c r="T264" s="1"/>
      <c r="U264" s="1"/>
      <c r="V264" s="1"/>
      <c r="W264" s="1"/>
      <c r="X264" s="1"/>
      <c r="Y264" s="1"/>
      <c r="Z264" s="1"/>
      <c r="AA264" s="1"/>
      <c r="AB264" s="1"/>
    </row>
    <row r="265" spans="1:28" ht="11.25" customHeight="1" x14ac:dyDescent="0.25">
      <c r="A265" s="825"/>
      <c r="B265" s="16"/>
      <c r="C265" s="1"/>
      <c r="D265" s="1"/>
      <c r="E265" s="1"/>
      <c r="F265" s="1"/>
      <c r="G265" s="1"/>
      <c r="H265" s="1"/>
      <c r="I265" s="1"/>
      <c r="J265" s="1"/>
      <c r="K265" s="1"/>
      <c r="L265" s="22"/>
      <c r="M265" s="262"/>
      <c r="N265" s="1"/>
      <c r="O265" s="1"/>
      <c r="P265" s="1"/>
      <c r="Q265" s="1"/>
      <c r="R265" s="1"/>
      <c r="S265" s="1"/>
      <c r="T265" s="1"/>
      <c r="U265" s="1"/>
      <c r="V265" s="1"/>
      <c r="W265" s="1"/>
      <c r="X265" s="1"/>
      <c r="Y265" s="1"/>
      <c r="Z265" s="1"/>
      <c r="AA265" s="1"/>
      <c r="AB265" s="1"/>
    </row>
    <row r="266" spans="1:28" ht="11.25" customHeight="1" x14ac:dyDescent="0.25">
      <c r="A266" s="825"/>
      <c r="B266" s="16"/>
      <c r="C266" s="1"/>
      <c r="D266" s="1"/>
      <c r="E266" s="1"/>
      <c r="F266" s="1"/>
      <c r="G266" s="1"/>
      <c r="H266" s="1"/>
      <c r="I266" s="1"/>
      <c r="J266" s="1"/>
      <c r="K266" s="1"/>
      <c r="L266" s="22"/>
      <c r="M266" s="262"/>
      <c r="N266" s="1"/>
      <c r="O266" s="1"/>
      <c r="P266" s="1"/>
      <c r="Q266" s="1"/>
      <c r="R266" s="1"/>
      <c r="S266" s="1"/>
      <c r="T266" s="1"/>
      <c r="U266" s="1"/>
      <c r="V266" s="1"/>
      <c r="W266" s="1"/>
      <c r="X266" s="1"/>
      <c r="Y266" s="1"/>
      <c r="Z266" s="1"/>
      <c r="AA266" s="1"/>
      <c r="AB266" s="1"/>
    </row>
    <row r="267" spans="1:28" ht="11.25" customHeight="1" x14ac:dyDescent="0.25">
      <c r="A267" s="825"/>
      <c r="B267" s="16"/>
      <c r="C267" s="1"/>
      <c r="D267" s="1"/>
      <c r="E267" s="1"/>
      <c r="F267" s="1"/>
      <c r="G267" s="1"/>
      <c r="H267" s="1"/>
      <c r="I267" s="1"/>
      <c r="J267" s="1"/>
      <c r="K267" s="1"/>
      <c r="L267" s="22"/>
      <c r="M267" s="262"/>
      <c r="N267" s="1"/>
      <c r="O267" s="1"/>
      <c r="P267" s="1"/>
      <c r="Q267" s="1"/>
      <c r="R267" s="1"/>
      <c r="S267" s="1"/>
      <c r="T267" s="1"/>
      <c r="U267" s="1"/>
      <c r="V267" s="1"/>
      <c r="W267" s="1"/>
      <c r="X267" s="1"/>
      <c r="Y267" s="1"/>
      <c r="Z267" s="1"/>
      <c r="AA267" s="1"/>
      <c r="AB267" s="1"/>
    </row>
    <row r="268" spans="1:28" ht="11.25" customHeight="1" x14ac:dyDescent="0.25">
      <c r="A268" s="825"/>
      <c r="B268" s="16"/>
      <c r="C268" s="1"/>
      <c r="D268" s="1"/>
      <c r="E268" s="1"/>
      <c r="F268" s="1"/>
      <c r="G268" s="1"/>
      <c r="H268" s="1"/>
      <c r="I268" s="1"/>
      <c r="J268" s="1"/>
      <c r="K268" s="1"/>
      <c r="L268" s="22"/>
      <c r="M268" s="262"/>
      <c r="N268" s="1"/>
      <c r="O268" s="1"/>
      <c r="P268" s="1"/>
      <c r="Q268" s="1"/>
      <c r="R268" s="1"/>
      <c r="S268" s="1"/>
      <c r="T268" s="1"/>
      <c r="U268" s="1"/>
      <c r="V268" s="1"/>
      <c r="W268" s="1"/>
      <c r="X268" s="1"/>
      <c r="Y268" s="1"/>
      <c r="Z268" s="1"/>
      <c r="AA268" s="1"/>
      <c r="AB268" s="1"/>
    </row>
    <row r="269" spans="1:28" ht="11.25" customHeight="1" x14ac:dyDescent="0.25">
      <c r="A269" s="825"/>
      <c r="B269" s="16"/>
      <c r="C269" s="1"/>
      <c r="D269" s="1"/>
      <c r="E269" s="1"/>
      <c r="F269" s="1"/>
      <c r="G269" s="1"/>
      <c r="H269" s="1"/>
      <c r="I269" s="1"/>
      <c r="J269" s="1"/>
      <c r="K269" s="1"/>
      <c r="L269" s="22"/>
      <c r="M269" s="262"/>
      <c r="N269" s="1"/>
      <c r="O269" s="1"/>
      <c r="P269" s="1"/>
      <c r="Q269" s="1"/>
      <c r="R269" s="1"/>
      <c r="S269" s="1"/>
      <c r="T269" s="1"/>
      <c r="U269" s="1"/>
      <c r="V269" s="1"/>
      <c r="W269" s="1"/>
      <c r="X269" s="1"/>
      <c r="Y269" s="1"/>
      <c r="Z269" s="1"/>
      <c r="AA269" s="1"/>
      <c r="AB269" s="1"/>
    </row>
    <row r="270" spans="1:28" ht="11.25" customHeight="1" x14ac:dyDescent="0.25">
      <c r="A270" s="825"/>
      <c r="B270" s="16"/>
      <c r="C270" s="1"/>
      <c r="D270" s="1"/>
      <c r="E270" s="1"/>
      <c r="F270" s="1"/>
      <c r="G270" s="1"/>
      <c r="H270" s="1"/>
      <c r="I270" s="1"/>
      <c r="J270" s="1"/>
      <c r="K270" s="1"/>
      <c r="L270" s="22"/>
      <c r="M270" s="262"/>
      <c r="N270" s="1"/>
      <c r="O270" s="1"/>
      <c r="P270" s="1"/>
      <c r="Q270" s="1"/>
      <c r="R270" s="1"/>
      <c r="S270" s="1"/>
      <c r="T270" s="1"/>
      <c r="U270" s="1"/>
      <c r="V270" s="1"/>
      <c r="W270" s="1"/>
      <c r="X270" s="1"/>
      <c r="Y270" s="1"/>
      <c r="Z270" s="1"/>
      <c r="AA270" s="1"/>
      <c r="AB270" s="1"/>
    </row>
    <row r="271" spans="1:28" ht="11.25" customHeight="1" x14ac:dyDescent="0.25">
      <c r="A271" s="825"/>
      <c r="B271" s="16"/>
      <c r="C271" s="1"/>
      <c r="D271" s="1"/>
      <c r="E271" s="1"/>
      <c r="F271" s="1"/>
      <c r="G271" s="1"/>
      <c r="H271" s="1"/>
      <c r="I271" s="1"/>
      <c r="J271" s="1"/>
      <c r="K271" s="1"/>
      <c r="L271" s="22"/>
      <c r="M271" s="262"/>
      <c r="N271" s="1"/>
      <c r="O271" s="1"/>
      <c r="P271" s="1"/>
      <c r="Q271" s="1"/>
      <c r="R271" s="1"/>
      <c r="S271" s="1"/>
      <c r="T271" s="1"/>
      <c r="U271" s="1"/>
      <c r="V271" s="1"/>
      <c r="W271" s="1"/>
      <c r="X271" s="1"/>
      <c r="Y271" s="1"/>
      <c r="Z271" s="1"/>
      <c r="AA271" s="1"/>
      <c r="AB271" s="1"/>
    </row>
    <row r="272" spans="1:28" ht="11.25" customHeight="1" x14ac:dyDescent="0.25">
      <c r="A272" s="825"/>
      <c r="B272" s="16"/>
      <c r="C272" s="1"/>
      <c r="D272" s="1"/>
      <c r="E272" s="1"/>
      <c r="F272" s="1"/>
      <c r="G272" s="1"/>
      <c r="H272" s="1"/>
      <c r="I272" s="1"/>
      <c r="J272" s="1"/>
      <c r="K272" s="1"/>
      <c r="L272" s="22"/>
      <c r="M272" s="262"/>
      <c r="N272" s="1"/>
      <c r="O272" s="1"/>
      <c r="P272" s="1"/>
      <c r="Q272" s="1"/>
      <c r="R272" s="1"/>
      <c r="S272" s="1"/>
      <c r="T272" s="1"/>
      <c r="U272" s="1"/>
      <c r="V272" s="1"/>
      <c r="W272" s="1"/>
      <c r="X272" s="1"/>
      <c r="Y272" s="1"/>
      <c r="Z272" s="1"/>
      <c r="AA272" s="1"/>
      <c r="AB272" s="1"/>
    </row>
    <row r="273" spans="1:28" ht="11.25" customHeight="1" x14ac:dyDescent="0.25">
      <c r="A273" s="825"/>
      <c r="B273" s="16"/>
      <c r="C273" s="1"/>
      <c r="D273" s="1"/>
      <c r="E273" s="1"/>
      <c r="F273" s="1"/>
      <c r="G273" s="1"/>
      <c r="H273" s="1"/>
      <c r="I273" s="1"/>
      <c r="J273" s="1"/>
      <c r="K273" s="1"/>
      <c r="L273" s="22"/>
      <c r="M273" s="262"/>
      <c r="N273" s="1"/>
      <c r="O273" s="1"/>
      <c r="P273" s="1"/>
      <c r="Q273" s="1"/>
      <c r="R273" s="1"/>
      <c r="S273" s="1"/>
      <c r="T273" s="1"/>
      <c r="U273" s="1"/>
      <c r="V273" s="1"/>
      <c r="W273" s="1"/>
      <c r="X273" s="1"/>
      <c r="Y273" s="1"/>
      <c r="Z273" s="1"/>
      <c r="AA273" s="1"/>
      <c r="AB273" s="1"/>
    </row>
    <row r="274" spans="1:28" ht="11.25" customHeight="1" x14ac:dyDescent="0.25">
      <c r="A274" s="825"/>
      <c r="B274" s="16"/>
      <c r="C274" s="1"/>
      <c r="D274" s="1"/>
      <c r="E274" s="1"/>
      <c r="F274" s="1"/>
      <c r="G274" s="1"/>
      <c r="H274" s="1"/>
      <c r="I274" s="1"/>
      <c r="J274" s="1"/>
      <c r="K274" s="1"/>
      <c r="L274" s="22"/>
      <c r="M274" s="262"/>
      <c r="N274" s="1"/>
      <c r="O274" s="1"/>
      <c r="P274" s="1"/>
      <c r="Q274" s="1"/>
      <c r="R274" s="1"/>
      <c r="S274" s="1"/>
      <c r="T274" s="1"/>
      <c r="U274" s="1"/>
      <c r="V274" s="1"/>
      <c r="W274" s="1"/>
      <c r="X274" s="1"/>
      <c r="Y274" s="1"/>
      <c r="Z274" s="1"/>
      <c r="AA274" s="1"/>
      <c r="AB274" s="1"/>
    </row>
    <row r="275" spans="1:28" ht="11.25" customHeight="1" x14ac:dyDescent="0.25">
      <c r="A275" s="825"/>
      <c r="B275" s="16"/>
      <c r="C275" s="1"/>
      <c r="D275" s="1"/>
      <c r="E275" s="1"/>
      <c r="F275" s="1"/>
      <c r="G275" s="1"/>
      <c r="H275" s="1"/>
      <c r="I275" s="1"/>
      <c r="J275" s="1"/>
      <c r="K275" s="1"/>
      <c r="L275" s="22"/>
      <c r="M275" s="262"/>
      <c r="N275" s="1"/>
      <c r="O275" s="1"/>
      <c r="P275" s="1"/>
      <c r="Q275" s="1"/>
      <c r="R275" s="1"/>
      <c r="S275" s="1"/>
      <c r="T275" s="1"/>
      <c r="U275" s="1"/>
      <c r="V275" s="1"/>
      <c r="W275" s="1"/>
      <c r="X275" s="1"/>
      <c r="Y275" s="1"/>
      <c r="Z275" s="1"/>
      <c r="AA275" s="1"/>
      <c r="AB275" s="1"/>
    </row>
    <row r="276" spans="1:28" ht="11.25" customHeight="1" x14ac:dyDescent="0.25">
      <c r="A276" s="825"/>
      <c r="B276" s="16"/>
      <c r="C276" s="1"/>
      <c r="D276" s="1"/>
      <c r="E276" s="1"/>
      <c r="F276" s="1"/>
      <c r="G276" s="1"/>
      <c r="H276" s="1"/>
      <c r="I276" s="1"/>
      <c r="J276" s="1"/>
      <c r="K276" s="1"/>
      <c r="L276" s="22"/>
      <c r="M276" s="262"/>
      <c r="N276" s="1"/>
      <c r="O276" s="1"/>
      <c r="P276" s="1"/>
      <c r="Q276" s="1"/>
      <c r="R276" s="1"/>
      <c r="S276" s="1"/>
      <c r="T276" s="1"/>
      <c r="U276" s="1"/>
      <c r="V276" s="1"/>
      <c r="W276" s="1"/>
      <c r="X276" s="1"/>
      <c r="Y276" s="1"/>
      <c r="Z276" s="1"/>
      <c r="AA276" s="1"/>
      <c r="AB276" s="1"/>
    </row>
    <row r="277" spans="1:28" ht="11.25" customHeight="1" x14ac:dyDescent="0.25">
      <c r="A277" s="825"/>
      <c r="B277" s="16"/>
      <c r="C277" s="1"/>
      <c r="D277" s="1"/>
      <c r="E277" s="1"/>
      <c r="F277" s="1"/>
      <c r="G277" s="1"/>
      <c r="H277" s="1"/>
      <c r="I277" s="1"/>
      <c r="J277" s="1"/>
      <c r="K277" s="1"/>
      <c r="L277" s="22"/>
      <c r="M277" s="262"/>
      <c r="N277" s="1"/>
      <c r="O277" s="1"/>
      <c r="P277" s="1"/>
      <c r="Q277" s="1"/>
      <c r="R277" s="1"/>
      <c r="S277" s="1"/>
      <c r="T277" s="1"/>
      <c r="U277" s="1"/>
      <c r="V277" s="1"/>
      <c r="W277" s="1"/>
      <c r="X277" s="1"/>
      <c r="Y277" s="1"/>
      <c r="Z277" s="1"/>
      <c r="AA277" s="1"/>
      <c r="AB277" s="1"/>
    </row>
    <row r="278" spans="1:28" ht="11.25" customHeight="1" x14ac:dyDescent="0.25">
      <c r="A278" s="825"/>
      <c r="B278" s="16"/>
      <c r="C278" s="1"/>
      <c r="D278" s="1"/>
      <c r="E278" s="1"/>
      <c r="F278" s="1"/>
      <c r="G278" s="1"/>
      <c r="H278" s="1"/>
      <c r="I278" s="1"/>
      <c r="J278" s="1"/>
      <c r="K278" s="1"/>
      <c r="L278" s="22"/>
      <c r="M278" s="262"/>
      <c r="N278" s="1"/>
      <c r="O278" s="1"/>
      <c r="P278" s="1"/>
      <c r="Q278" s="1"/>
      <c r="R278" s="1"/>
      <c r="S278" s="1"/>
      <c r="T278" s="1"/>
      <c r="U278" s="1"/>
      <c r="V278" s="1"/>
      <c r="W278" s="1"/>
      <c r="X278" s="1"/>
      <c r="Y278" s="1"/>
      <c r="Z278" s="1"/>
      <c r="AA278" s="1"/>
      <c r="AB278" s="1"/>
    </row>
    <row r="279" spans="1:28" ht="11.25" customHeight="1" x14ac:dyDescent="0.25">
      <c r="A279" s="825"/>
      <c r="B279" s="16"/>
      <c r="C279" s="1"/>
      <c r="D279" s="1"/>
      <c r="E279" s="1"/>
      <c r="F279" s="1"/>
      <c r="G279" s="1"/>
      <c r="H279" s="1"/>
      <c r="I279" s="1"/>
      <c r="J279" s="1"/>
      <c r="K279" s="1"/>
      <c r="L279" s="22"/>
      <c r="M279" s="262"/>
      <c r="N279" s="1"/>
      <c r="O279" s="1"/>
      <c r="P279" s="1"/>
      <c r="Q279" s="1"/>
      <c r="R279" s="1"/>
      <c r="S279" s="1"/>
      <c r="T279" s="1"/>
      <c r="U279" s="1"/>
      <c r="V279" s="1"/>
      <c r="W279" s="1"/>
      <c r="X279" s="1"/>
      <c r="Y279" s="1"/>
      <c r="Z279" s="1"/>
      <c r="AA279" s="1"/>
      <c r="AB279" s="1"/>
    </row>
    <row r="280" spans="1:28" ht="11.25" customHeight="1" x14ac:dyDescent="0.25">
      <c r="A280" s="825"/>
      <c r="B280" s="16"/>
      <c r="C280" s="1"/>
      <c r="D280" s="1"/>
      <c r="E280" s="1"/>
      <c r="F280" s="1"/>
      <c r="G280" s="1"/>
      <c r="H280" s="1"/>
      <c r="I280" s="1"/>
      <c r="J280" s="1"/>
      <c r="K280" s="1"/>
      <c r="L280" s="22"/>
      <c r="M280" s="262"/>
      <c r="N280" s="1"/>
      <c r="O280" s="1"/>
      <c r="P280" s="1"/>
      <c r="Q280" s="1"/>
      <c r="R280" s="1"/>
      <c r="S280" s="1"/>
      <c r="T280" s="1"/>
      <c r="U280" s="1"/>
      <c r="V280" s="1"/>
      <c r="W280" s="1"/>
      <c r="X280" s="1"/>
      <c r="Y280" s="1"/>
      <c r="Z280" s="1"/>
      <c r="AA280" s="1"/>
      <c r="AB280" s="1"/>
    </row>
    <row r="281" spans="1:28" ht="11.25" customHeight="1" x14ac:dyDescent="0.25">
      <c r="A281" s="825"/>
      <c r="B281" s="16"/>
      <c r="C281" s="1"/>
      <c r="D281" s="1"/>
      <c r="E281" s="1"/>
      <c r="F281" s="1"/>
      <c r="G281" s="1"/>
      <c r="H281" s="1"/>
      <c r="I281" s="1"/>
      <c r="J281" s="1"/>
      <c r="K281" s="1"/>
      <c r="L281" s="22"/>
      <c r="M281" s="262"/>
      <c r="N281" s="1"/>
      <c r="O281" s="1"/>
      <c r="P281" s="1"/>
      <c r="Q281" s="1"/>
      <c r="R281" s="1"/>
      <c r="S281" s="1"/>
      <c r="T281" s="1"/>
      <c r="U281" s="1"/>
      <c r="V281" s="1"/>
      <c r="W281" s="1"/>
      <c r="X281" s="1"/>
      <c r="Y281" s="1"/>
      <c r="Z281" s="1"/>
      <c r="AA281" s="1"/>
      <c r="AB281" s="1"/>
    </row>
    <row r="282" spans="1:28" ht="11.25" customHeight="1" x14ac:dyDescent="0.25">
      <c r="A282" s="825"/>
      <c r="B282" s="16"/>
      <c r="C282" s="1"/>
      <c r="D282" s="1"/>
      <c r="E282" s="1"/>
      <c r="F282" s="1"/>
      <c r="G282" s="1"/>
      <c r="H282" s="1"/>
      <c r="I282" s="1"/>
      <c r="J282" s="1"/>
      <c r="K282" s="1"/>
      <c r="L282" s="22"/>
      <c r="M282" s="262"/>
      <c r="N282" s="1"/>
      <c r="O282" s="1"/>
      <c r="P282" s="1"/>
      <c r="Q282" s="1"/>
      <c r="R282" s="1"/>
      <c r="S282" s="1"/>
      <c r="T282" s="1"/>
      <c r="U282" s="1"/>
      <c r="V282" s="1"/>
      <c r="W282" s="1"/>
      <c r="X282" s="1"/>
      <c r="Y282" s="1"/>
      <c r="Z282" s="1"/>
      <c r="AA282" s="1"/>
      <c r="AB282" s="1"/>
    </row>
    <row r="283" spans="1:28" ht="11.25" customHeight="1" x14ac:dyDescent="0.25">
      <c r="A283" s="825"/>
      <c r="B283" s="16"/>
      <c r="C283" s="1"/>
      <c r="D283" s="1"/>
      <c r="E283" s="1"/>
      <c r="F283" s="1"/>
      <c r="G283" s="1"/>
      <c r="H283" s="1"/>
      <c r="I283" s="1"/>
      <c r="J283" s="1"/>
      <c r="K283" s="1"/>
      <c r="L283" s="22"/>
      <c r="M283" s="262"/>
      <c r="N283" s="1"/>
      <c r="O283" s="1"/>
      <c r="P283" s="1"/>
      <c r="Q283" s="1"/>
      <c r="R283" s="1"/>
      <c r="S283" s="1"/>
      <c r="T283" s="1"/>
      <c r="U283" s="1"/>
      <c r="V283" s="1"/>
      <c r="W283" s="1"/>
      <c r="X283" s="1"/>
      <c r="Y283" s="1"/>
      <c r="Z283" s="1"/>
      <c r="AA283" s="1"/>
      <c r="AB283" s="1"/>
    </row>
    <row r="284" spans="1:28" ht="11.25" customHeight="1" x14ac:dyDescent="0.25">
      <c r="A284" s="825"/>
      <c r="B284" s="16"/>
      <c r="C284" s="1"/>
      <c r="D284" s="1"/>
      <c r="E284" s="1"/>
      <c r="F284" s="1"/>
      <c r="G284" s="1"/>
      <c r="H284" s="1"/>
      <c r="I284" s="1"/>
      <c r="J284" s="1"/>
      <c r="K284" s="1"/>
      <c r="L284" s="22"/>
      <c r="M284" s="262"/>
      <c r="N284" s="1"/>
      <c r="O284" s="1"/>
      <c r="P284" s="1"/>
      <c r="Q284" s="1"/>
      <c r="R284" s="1"/>
      <c r="S284" s="1"/>
      <c r="T284" s="1"/>
      <c r="U284" s="1"/>
      <c r="V284" s="1"/>
      <c r="W284" s="1"/>
      <c r="X284" s="1"/>
      <c r="Y284" s="1"/>
      <c r="Z284" s="1"/>
      <c r="AA284" s="1"/>
      <c r="AB284" s="1"/>
    </row>
    <row r="285" spans="1:28" ht="11.25" customHeight="1" x14ac:dyDescent="0.25">
      <c r="A285" s="825"/>
      <c r="B285" s="16"/>
      <c r="C285" s="1"/>
      <c r="D285" s="1"/>
      <c r="E285" s="1"/>
      <c r="F285" s="1"/>
      <c r="G285" s="1"/>
      <c r="H285" s="1"/>
      <c r="I285" s="1"/>
      <c r="J285" s="1"/>
      <c r="K285" s="1"/>
      <c r="L285" s="22"/>
      <c r="M285" s="262"/>
      <c r="N285" s="1"/>
      <c r="O285" s="1"/>
      <c r="P285" s="1"/>
      <c r="Q285" s="1"/>
      <c r="R285" s="1"/>
      <c r="S285" s="1"/>
      <c r="T285" s="1"/>
      <c r="U285" s="1"/>
      <c r="V285" s="1"/>
      <c r="W285" s="1"/>
      <c r="X285" s="1"/>
      <c r="Y285" s="1"/>
      <c r="Z285" s="1"/>
      <c r="AA285" s="1"/>
      <c r="AB285" s="1"/>
    </row>
    <row r="286" spans="1:28" ht="11.25" customHeight="1" x14ac:dyDescent="0.25">
      <c r="A286" s="825"/>
      <c r="B286" s="16"/>
      <c r="C286" s="1"/>
      <c r="D286" s="1"/>
      <c r="E286" s="1"/>
      <c r="F286" s="1"/>
      <c r="G286" s="1"/>
      <c r="H286" s="1"/>
      <c r="I286" s="1"/>
      <c r="J286" s="1"/>
      <c r="K286" s="1"/>
      <c r="L286" s="22"/>
      <c r="M286" s="262"/>
      <c r="N286" s="1"/>
      <c r="O286" s="1"/>
      <c r="P286" s="1"/>
      <c r="Q286" s="1"/>
      <c r="R286" s="1"/>
      <c r="S286" s="1"/>
      <c r="T286" s="1"/>
      <c r="U286" s="1"/>
      <c r="V286" s="1"/>
      <c r="W286" s="1"/>
      <c r="X286" s="1"/>
      <c r="Y286" s="1"/>
      <c r="Z286" s="1"/>
      <c r="AA286" s="1"/>
      <c r="AB286" s="1"/>
    </row>
    <row r="287" spans="1:28" ht="11.25" customHeight="1" x14ac:dyDescent="0.25">
      <c r="A287" s="825"/>
      <c r="B287" s="16"/>
      <c r="C287" s="1"/>
      <c r="D287" s="1"/>
      <c r="E287" s="1"/>
      <c r="F287" s="1"/>
      <c r="G287" s="1"/>
      <c r="H287" s="1"/>
      <c r="I287" s="1"/>
      <c r="J287" s="1"/>
      <c r="K287" s="1"/>
      <c r="L287" s="22"/>
      <c r="M287" s="262"/>
      <c r="N287" s="1"/>
      <c r="O287" s="1"/>
      <c r="P287" s="1"/>
      <c r="Q287" s="1"/>
      <c r="R287" s="1"/>
      <c r="S287" s="1"/>
      <c r="T287" s="1"/>
      <c r="U287" s="1"/>
      <c r="V287" s="1"/>
      <c r="W287" s="1"/>
      <c r="X287" s="1"/>
      <c r="Y287" s="1"/>
      <c r="Z287" s="1"/>
      <c r="AA287" s="1"/>
      <c r="AB287" s="1"/>
    </row>
    <row r="288" spans="1:28" ht="11.25" customHeight="1" x14ac:dyDescent="0.25">
      <c r="A288" s="825"/>
      <c r="B288" s="16"/>
      <c r="C288" s="1"/>
      <c r="D288" s="1"/>
      <c r="E288" s="1"/>
      <c r="F288" s="1"/>
      <c r="G288" s="1"/>
      <c r="H288" s="1"/>
      <c r="I288" s="1"/>
      <c r="J288" s="1"/>
      <c r="K288" s="1"/>
      <c r="L288" s="22"/>
      <c r="M288" s="262"/>
      <c r="N288" s="1"/>
      <c r="O288" s="1"/>
      <c r="P288" s="1"/>
      <c r="Q288" s="1"/>
      <c r="R288" s="1"/>
      <c r="S288" s="1"/>
      <c r="T288" s="1"/>
      <c r="U288" s="1"/>
      <c r="V288" s="1"/>
      <c r="W288" s="1"/>
      <c r="X288" s="1"/>
      <c r="Y288" s="1"/>
      <c r="Z288" s="1"/>
      <c r="AA288" s="1"/>
      <c r="AB288" s="1"/>
    </row>
    <row r="289" spans="1:28" ht="11.25" customHeight="1" x14ac:dyDescent="0.25">
      <c r="A289" s="825"/>
      <c r="B289" s="16"/>
      <c r="C289" s="1"/>
      <c r="D289" s="1"/>
      <c r="E289" s="1"/>
      <c r="F289" s="1"/>
      <c r="G289" s="1"/>
      <c r="H289" s="1"/>
      <c r="I289" s="1"/>
      <c r="J289" s="1"/>
      <c r="K289" s="1"/>
      <c r="L289" s="22"/>
      <c r="M289" s="262"/>
      <c r="N289" s="1"/>
      <c r="O289" s="1"/>
      <c r="P289" s="1"/>
      <c r="Q289" s="1"/>
      <c r="R289" s="1"/>
      <c r="S289" s="1"/>
      <c r="T289" s="1"/>
      <c r="U289" s="1"/>
      <c r="V289" s="1"/>
      <c r="W289" s="1"/>
      <c r="X289" s="1"/>
      <c r="Y289" s="1"/>
      <c r="Z289" s="1"/>
      <c r="AA289" s="1"/>
      <c r="AB289" s="1"/>
    </row>
    <row r="290" spans="1:28" ht="11.25" customHeight="1" x14ac:dyDescent="0.25">
      <c r="A290" s="825"/>
      <c r="B290" s="16"/>
      <c r="C290" s="1"/>
      <c r="D290" s="1"/>
      <c r="E290" s="1"/>
      <c r="F290" s="1"/>
      <c r="G290" s="1"/>
      <c r="H290" s="1"/>
      <c r="I290" s="1"/>
      <c r="J290" s="1"/>
      <c r="K290" s="1"/>
      <c r="L290" s="22"/>
      <c r="M290" s="262"/>
      <c r="N290" s="1"/>
      <c r="O290" s="1"/>
      <c r="P290" s="1"/>
      <c r="Q290" s="1"/>
      <c r="R290" s="1"/>
      <c r="S290" s="1"/>
      <c r="T290" s="1"/>
      <c r="U290" s="1"/>
      <c r="V290" s="1"/>
      <c r="W290" s="1"/>
      <c r="X290" s="1"/>
      <c r="Y290" s="1"/>
      <c r="Z290" s="1"/>
      <c r="AA290" s="1"/>
      <c r="AB290" s="1"/>
    </row>
    <row r="291" spans="1:28" ht="11.25" customHeight="1" x14ac:dyDescent="0.25">
      <c r="A291" s="825"/>
      <c r="B291" s="16"/>
      <c r="C291" s="1"/>
      <c r="D291" s="1"/>
      <c r="E291" s="1"/>
      <c r="F291" s="1"/>
      <c r="G291" s="1"/>
      <c r="H291" s="1"/>
      <c r="I291" s="1"/>
      <c r="J291" s="1"/>
      <c r="K291" s="1"/>
      <c r="L291" s="22"/>
      <c r="M291" s="262"/>
      <c r="N291" s="1"/>
      <c r="O291" s="1"/>
      <c r="P291" s="1"/>
      <c r="Q291" s="1"/>
      <c r="R291" s="1"/>
      <c r="S291" s="1"/>
      <c r="T291" s="1"/>
      <c r="U291" s="1"/>
      <c r="V291" s="1"/>
      <c r="W291" s="1"/>
      <c r="X291" s="1"/>
      <c r="Y291" s="1"/>
      <c r="Z291" s="1"/>
      <c r="AA291" s="1"/>
      <c r="AB291" s="1"/>
    </row>
    <row r="292" spans="1:28" ht="11.25" customHeight="1" x14ac:dyDescent="0.25">
      <c r="A292" s="825"/>
      <c r="B292" s="16"/>
      <c r="C292" s="1"/>
      <c r="D292" s="1"/>
      <c r="E292" s="1"/>
      <c r="F292" s="1"/>
      <c r="G292" s="1"/>
      <c r="H292" s="1"/>
      <c r="I292" s="1"/>
      <c r="J292" s="1"/>
      <c r="K292" s="1"/>
      <c r="L292" s="22"/>
      <c r="M292" s="262"/>
      <c r="N292" s="1"/>
      <c r="O292" s="1"/>
      <c r="P292" s="1"/>
      <c r="Q292" s="1"/>
      <c r="R292" s="1"/>
      <c r="S292" s="1"/>
      <c r="T292" s="1"/>
      <c r="U292" s="1"/>
      <c r="V292" s="1"/>
      <c r="W292" s="1"/>
      <c r="X292" s="1"/>
      <c r="Y292" s="1"/>
      <c r="Z292" s="1"/>
      <c r="AA292" s="1"/>
      <c r="AB292" s="1"/>
    </row>
    <row r="293" spans="1:28" ht="11.25" customHeight="1" x14ac:dyDescent="0.25">
      <c r="A293" s="825"/>
      <c r="B293" s="16"/>
      <c r="C293" s="1"/>
      <c r="D293" s="1"/>
      <c r="E293" s="1"/>
      <c r="F293" s="1"/>
      <c r="G293" s="1"/>
      <c r="H293" s="1"/>
      <c r="I293" s="1"/>
      <c r="J293" s="1"/>
      <c r="K293" s="1"/>
      <c r="L293" s="22"/>
      <c r="M293" s="262"/>
      <c r="N293" s="1"/>
      <c r="O293" s="1"/>
      <c r="P293" s="1"/>
      <c r="Q293" s="1"/>
      <c r="R293" s="1"/>
      <c r="S293" s="1"/>
      <c r="T293" s="1"/>
      <c r="U293" s="1"/>
      <c r="V293" s="1"/>
      <c r="W293" s="1"/>
      <c r="X293" s="1"/>
      <c r="Y293" s="1"/>
      <c r="Z293" s="1"/>
      <c r="AA293" s="1"/>
      <c r="AB293" s="1"/>
    </row>
    <row r="294" spans="1:28" ht="11.25" customHeight="1" x14ac:dyDescent="0.25">
      <c r="A294" s="825"/>
      <c r="B294" s="16"/>
      <c r="C294" s="1"/>
      <c r="D294" s="1"/>
      <c r="E294" s="1"/>
      <c r="F294" s="1"/>
      <c r="G294" s="1"/>
      <c r="H294" s="1"/>
      <c r="I294" s="1"/>
      <c r="J294" s="1"/>
      <c r="K294" s="1"/>
      <c r="L294" s="22"/>
      <c r="M294" s="262"/>
      <c r="N294" s="1"/>
      <c r="O294" s="1"/>
      <c r="P294" s="1"/>
      <c r="Q294" s="1"/>
      <c r="R294" s="1"/>
      <c r="S294" s="1"/>
      <c r="T294" s="1"/>
      <c r="U294" s="1"/>
      <c r="V294" s="1"/>
      <c r="W294" s="1"/>
      <c r="X294" s="1"/>
      <c r="Y294" s="1"/>
      <c r="Z294" s="1"/>
      <c r="AA294" s="1"/>
      <c r="AB294" s="1"/>
    </row>
    <row r="295" spans="1:28" ht="11.25" customHeight="1" x14ac:dyDescent="0.25">
      <c r="A295" s="825"/>
      <c r="B295" s="16"/>
      <c r="C295" s="1"/>
      <c r="D295" s="1"/>
      <c r="E295" s="1"/>
      <c r="F295" s="1"/>
      <c r="G295" s="1"/>
      <c r="H295" s="1"/>
      <c r="I295" s="1"/>
      <c r="J295" s="1"/>
      <c r="K295" s="1"/>
      <c r="L295" s="22"/>
      <c r="M295" s="262"/>
      <c r="N295" s="1"/>
      <c r="O295" s="1"/>
      <c r="P295" s="1"/>
      <c r="Q295" s="1"/>
      <c r="R295" s="1"/>
      <c r="S295" s="1"/>
      <c r="T295" s="1"/>
      <c r="U295" s="1"/>
      <c r="V295" s="1"/>
      <c r="W295" s="1"/>
      <c r="X295" s="1"/>
      <c r="Y295" s="1"/>
      <c r="Z295" s="1"/>
      <c r="AA295" s="1"/>
      <c r="AB295" s="1"/>
    </row>
    <row r="296" spans="1:28" ht="11.25" customHeight="1" x14ac:dyDescent="0.25">
      <c r="A296" s="825"/>
      <c r="B296" s="16"/>
      <c r="C296" s="1"/>
      <c r="D296" s="1"/>
      <c r="E296" s="1"/>
      <c r="F296" s="1"/>
      <c r="G296" s="1"/>
      <c r="H296" s="1"/>
      <c r="I296" s="1"/>
      <c r="J296" s="1"/>
      <c r="K296" s="1"/>
      <c r="L296" s="22"/>
      <c r="M296" s="262"/>
      <c r="N296" s="1"/>
      <c r="O296" s="1"/>
      <c r="P296" s="1"/>
      <c r="Q296" s="1"/>
      <c r="R296" s="1"/>
      <c r="S296" s="1"/>
      <c r="T296" s="1"/>
      <c r="U296" s="1"/>
      <c r="V296" s="1"/>
      <c r="W296" s="1"/>
      <c r="X296" s="1"/>
      <c r="Y296" s="1"/>
      <c r="Z296" s="1"/>
      <c r="AA296" s="1"/>
      <c r="AB296" s="1"/>
    </row>
    <row r="297" spans="1:28" ht="11.25" customHeight="1" x14ac:dyDescent="0.25">
      <c r="A297" s="825"/>
      <c r="B297" s="16"/>
      <c r="C297" s="1"/>
      <c r="D297" s="1"/>
      <c r="E297" s="1"/>
      <c r="F297" s="1"/>
      <c r="G297" s="1"/>
      <c r="H297" s="1"/>
      <c r="I297" s="1"/>
      <c r="J297" s="1"/>
      <c r="K297" s="1"/>
      <c r="L297" s="22"/>
      <c r="M297" s="262"/>
      <c r="N297" s="1"/>
      <c r="O297" s="1"/>
      <c r="P297" s="1"/>
      <c r="Q297" s="1"/>
      <c r="R297" s="1"/>
      <c r="S297" s="1"/>
      <c r="T297" s="1"/>
      <c r="U297" s="1"/>
      <c r="V297" s="1"/>
      <c r="W297" s="1"/>
      <c r="X297" s="1"/>
      <c r="Y297" s="1"/>
      <c r="Z297" s="1"/>
      <c r="AA297" s="1"/>
      <c r="AB297" s="1"/>
    </row>
    <row r="298" spans="1:28" ht="11.25" customHeight="1" x14ac:dyDescent="0.25">
      <c r="A298" s="825"/>
      <c r="B298" s="16"/>
      <c r="C298" s="1"/>
      <c r="D298" s="1"/>
      <c r="E298" s="1"/>
      <c r="F298" s="1"/>
      <c r="G298" s="1"/>
      <c r="H298" s="1"/>
      <c r="I298" s="1"/>
      <c r="J298" s="1"/>
      <c r="K298" s="1"/>
      <c r="L298" s="22"/>
      <c r="M298" s="262"/>
      <c r="N298" s="1"/>
      <c r="O298" s="1"/>
      <c r="P298" s="1"/>
      <c r="Q298" s="1"/>
      <c r="R298" s="1"/>
      <c r="S298" s="1"/>
      <c r="T298" s="1"/>
      <c r="U298" s="1"/>
      <c r="V298" s="1"/>
      <c r="W298" s="1"/>
      <c r="X298" s="1"/>
      <c r="Y298" s="1"/>
      <c r="Z298" s="1"/>
      <c r="AA298" s="1"/>
      <c r="AB298" s="1"/>
    </row>
    <row r="299" spans="1:28" ht="11.25" customHeight="1" x14ac:dyDescent="0.25">
      <c r="A299" s="825"/>
      <c r="B299" s="16"/>
      <c r="C299" s="1"/>
      <c r="D299" s="1"/>
      <c r="E299" s="1"/>
      <c r="F299" s="1"/>
      <c r="G299" s="1"/>
      <c r="H299" s="1"/>
      <c r="I299" s="1"/>
      <c r="J299" s="1"/>
      <c r="K299" s="1"/>
      <c r="L299" s="22"/>
      <c r="M299" s="262"/>
      <c r="N299" s="1"/>
      <c r="O299" s="1"/>
      <c r="P299" s="1"/>
      <c r="Q299" s="1"/>
      <c r="R299" s="1"/>
      <c r="S299" s="1"/>
      <c r="T299" s="1"/>
      <c r="U299" s="1"/>
      <c r="V299" s="1"/>
      <c r="W299" s="1"/>
      <c r="X299" s="1"/>
      <c r="Y299" s="1"/>
      <c r="Z299" s="1"/>
      <c r="AA299" s="1"/>
      <c r="AB299" s="1"/>
    </row>
    <row r="300" spans="1:28" ht="11.25" customHeight="1" x14ac:dyDescent="0.25">
      <c r="A300" s="825"/>
      <c r="B300" s="16"/>
      <c r="C300" s="1"/>
      <c r="D300" s="1"/>
      <c r="E300" s="1"/>
      <c r="F300" s="1"/>
      <c r="G300" s="1"/>
      <c r="H300" s="1"/>
      <c r="I300" s="1"/>
      <c r="J300" s="1"/>
      <c r="K300" s="1"/>
      <c r="L300" s="22"/>
      <c r="M300" s="262"/>
      <c r="N300" s="1"/>
      <c r="O300" s="1"/>
      <c r="P300" s="1"/>
      <c r="Q300" s="1"/>
      <c r="R300" s="1"/>
      <c r="S300" s="1"/>
      <c r="T300" s="1"/>
      <c r="U300" s="1"/>
      <c r="V300" s="1"/>
      <c r="W300" s="1"/>
      <c r="X300" s="1"/>
      <c r="Y300" s="1"/>
      <c r="Z300" s="1"/>
      <c r="AA300" s="1"/>
      <c r="AB300" s="1"/>
    </row>
    <row r="301" spans="1:28" ht="11.25" customHeight="1" x14ac:dyDescent="0.25">
      <c r="A301" s="825"/>
      <c r="B301" s="16"/>
      <c r="C301" s="1"/>
      <c r="D301" s="1"/>
      <c r="E301" s="1"/>
      <c r="F301" s="1"/>
      <c r="G301" s="1"/>
      <c r="H301" s="1"/>
      <c r="I301" s="1"/>
      <c r="J301" s="1"/>
      <c r="K301" s="1"/>
      <c r="L301" s="22"/>
      <c r="M301" s="262"/>
      <c r="N301" s="1"/>
      <c r="O301" s="1"/>
      <c r="P301" s="1"/>
      <c r="Q301" s="1"/>
      <c r="R301" s="1"/>
      <c r="S301" s="1"/>
      <c r="T301" s="1"/>
      <c r="U301" s="1"/>
      <c r="V301" s="1"/>
      <c r="W301" s="1"/>
      <c r="X301" s="1"/>
      <c r="Y301" s="1"/>
      <c r="Z301" s="1"/>
      <c r="AA301" s="1"/>
      <c r="AB301" s="1"/>
    </row>
    <row r="302" spans="1:28" ht="11.25" customHeight="1" x14ac:dyDescent="0.25">
      <c r="A302" s="825"/>
      <c r="B302" s="16"/>
      <c r="C302" s="1"/>
      <c r="D302" s="1"/>
      <c r="E302" s="1"/>
      <c r="F302" s="1"/>
      <c r="G302" s="1"/>
      <c r="H302" s="1"/>
      <c r="I302" s="1"/>
      <c r="J302" s="1"/>
      <c r="K302" s="1"/>
      <c r="L302" s="22"/>
      <c r="M302" s="262"/>
      <c r="N302" s="1"/>
      <c r="O302" s="1"/>
      <c r="P302" s="1"/>
      <c r="Q302" s="1"/>
      <c r="R302" s="1"/>
      <c r="S302" s="1"/>
      <c r="T302" s="1"/>
      <c r="U302" s="1"/>
      <c r="V302" s="1"/>
      <c r="W302" s="1"/>
      <c r="X302" s="1"/>
      <c r="Y302" s="1"/>
      <c r="Z302" s="1"/>
      <c r="AA302" s="1"/>
      <c r="AB302" s="1"/>
    </row>
    <row r="303" spans="1:28" ht="11.25" customHeight="1" x14ac:dyDescent="0.25">
      <c r="A303" s="825"/>
      <c r="B303" s="16"/>
      <c r="C303" s="1"/>
      <c r="D303" s="1"/>
      <c r="E303" s="1"/>
      <c r="F303" s="1"/>
      <c r="G303" s="1"/>
      <c r="H303" s="1"/>
      <c r="I303" s="1"/>
      <c r="J303" s="1"/>
      <c r="K303" s="1"/>
      <c r="L303" s="22"/>
      <c r="M303" s="262"/>
      <c r="N303" s="1"/>
      <c r="O303" s="1"/>
      <c r="P303" s="1"/>
      <c r="Q303" s="1"/>
      <c r="R303" s="1"/>
      <c r="S303" s="1"/>
      <c r="T303" s="1"/>
      <c r="U303" s="1"/>
      <c r="V303" s="1"/>
      <c r="W303" s="1"/>
      <c r="X303" s="1"/>
      <c r="Y303" s="1"/>
      <c r="Z303" s="1"/>
      <c r="AA303" s="1"/>
      <c r="AB303" s="1"/>
    </row>
    <row r="304" spans="1:28" ht="11.25" customHeight="1" x14ac:dyDescent="0.25">
      <c r="A304" s="825"/>
      <c r="B304" s="16"/>
      <c r="C304" s="1"/>
      <c r="D304" s="1"/>
      <c r="E304" s="1"/>
      <c r="F304" s="1"/>
      <c r="G304" s="1"/>
      <c r="H304" s="1"/>
      <c r="I304" s="1"/>
      <c r="J304" s="1"/>
      <c r="K304" s="1"/>
      <c r="L304" s="22"/>
      <c r="M304" s="262"/>
      <c r="N304" s="1"/>
      <c r="O304" s="1"/>
      <c r="P304" s="1"/>
      <c r="Q304" s="1"/>
      <c r="R304" s="1"/>
      <c r="S304" s="1"/>
      <c r="T304" s="1"/>
      <c r="U304" s="1"/>
      <c r="V304" s="1"/>
      <c r="W304" s="1"/>
      <c r="X304" s="1"/>
      <c r="Y304" s="1"/>
      <c r="Z304" s="1"/>
      <c r="AA304" s="1"/>
      <c r="AB304" s="1"/>
    </row>
    <row r="305" spans="1:28" ht="11.25" customHeight="1" x14ac:dyDescent="0.25">
      <c r="A305" s="825"/>
      <c r="B305" s="16"/>
      <c r="C305" s="1"/>
      <c r="D305" s="1"/>
      <c r="E305" s="1"/>
      <c r="F305" s="1"/>
      <c r="G305" s="1"/>
      <c r="H305" s="1"/>
      <c r="I305" s="1"/>
      <c r="J305" s="1"/>
      <c r="K305" s="1"/>
      <c r="L305" s="22"/>
      <c r="M305" s="262"/>
      <c r="N305" s="1"/>
      <c r="O305" s="1"/>
      <c r="P305" s="1"/>
      <c r="Q305" s="1"/>
      <c r="R305" s="1"/>
      <c r="S305" s="1"/>
      <c r="T305" s="1"/>
      <c r="U305" s="1"/>
      <c r="V305" s="1"/>
      <c r="W305" s="1"/>
      <c r="X305" s="1"/>
      <c r="Y305" s="1"/>
      <c r="Z305" s="1"/>
      <c r="AA305" s="1"/>
      <c r="AB305" s="1"/>
    </row>
    <row r="306" spans="1:28" ht="11.25" customHeight="1" x14ac:dyDescent="0.25">
      <c r="A306" s="825"/>
      <c r="B306" s="16"/>
      <c r="C306" s="1"/>
      <c r="D306" s="1"/>
      <c r="E306" s="1"/>
      <c r="F306" s="1"/>
      <c r="G306" s="1"/>
      <c r="H306" s="1"/>
      <c r="I306" s="1"/>
      <c r="J306" s="1"/>
      <c r="K306" s="1"/>
      <c r="L306" s="22"/>
      <c r="M306" s="262"/>
      <c r="N306" s="1"/>
      <c r="O306" s="1"/>
      <c r="P306" s="1"/>
      <c r="Q306" s="1"/>
      <c r="R306" s="1"/>
      <c r="S306" s="1"/>
      <c r="T306" s="1"/>
      <c r="U306" s="1"/>
      <c r="V306" s="1"/>
      <c r="W306" s="1"/>
      <c r="X306" s="1"/>
      <c r="Y306" s="1"/>
      <c r="Z306" s="1"/>
      <c r="AA306" s="1"/>
      <c r="AB306" s="1"/>
    </row>
    <row r="307" spans="1:28" ht="11.25" customHeight="1" x14ac:dyDescent="0.25">
      <c r="A307" s="825"/>
      <c r="B307" s="16"/>
      <c r="C307" s="1"/>
      <c r="D307" s="1"/>
      <c r="E307" s="1"/>
      <c r="F307" s="1"/>
      <c r="G307" s="1"/>
      <c r="H307" s="1"/>
      <c r="I307" s="1"/>
      <c r="J307" s="1"/>
      <c r="K307" s="1"/>
      <c r="L307" s="22"/>
      <c r="M307" s="262"/>
      <c r="N307" s="1"/>
      <c r="O307" s="1"/>
      <c r="P307" s="1"/>
      <c r="Q307" s="1"/>
      <c r="R307" s="1"/>
      <c r="S307" s="1"/>
      <c r="T307" s="1"/>
      <c r="U307" s="1"/>
      <c r="V307" s="1"/>
      <c r="W307" s="1"/>
      <c r="X307" s="1"/>
      <c r="Y307" s="1"/>
      <c r="Z307" s="1"/>
      <c r="AA307" s="1"/>
      <c r="AB307" s="1"/>
    </row>
    <row r="308" spans="1:28" ht="11.25" customHeight="1" x14ac:dyDescent="0.25">
      <c r="A308" s="825"/>
      <c r="B308" s="16"/>
      <c r="C308" s="1"/>
      <c r="D308" s="1"/>
      <c r="E308" s="1"/>
      <c r="F308" s="1"/>
      <c r="G308" s="1"/>
      <c r="H308" s="1"/>
      <c r="I308" s="1"/>
      <c r="J308" s="1"/>
      <c r="K308" s="1"/>
      <c r="L308" s="22"/>
      <c r="M308" s="262"/>
      <c r="N308" s="1"/>
      <c r="O308" s="1"/>
      <c r="P308" s="1"/>
      <c r="Q308" s="1"/>
      <c r="R308" s="1"/>
      <c r="S308" s="1"/>
      <c r="T308" s="1"/>
      <c r="U308" s="1"/>
      <c r="V308" s="1"/>
      <c r="W308" s="1"/>
      <c r="X308" s="1"/>
      <c r="Y308" s="1"/>
      <c r="Z308" s="1"/>
      <c r="AA308" s="1"/>
      <c r="AB308" s="1"/>
    </row>
    <row r="309" spans="1:28" ht="11.25" customHeight="1" x14ac:dyDescent="0.25">
      <c r="A309" s="825"/>
      <c r="B309" s="16"/>
      <c r="C309" s="1"/>
      <c r="D309" s="1"/>
      <c r="E309" s="1"/>
      <c r="F309" s="1"/>
      <c r="G309" s="1"/>
      <c r="H309" s="1"/>
      <c r="I309" s="1"/>
      <c r="J309" s="1"/>
      <c r="K309" s="1"/>
      <c r="L309" s="22"/>
      <c r="M309" s="262"/>
      <c r="N309" s="1"/>
      <c r="O309" s="1"/>
      <c r="P309" s="1"/>
      <c r="Q309" s="1"/>
      <c r="R309" s="1"/>
      <c r="S309" s="1"/>
      <c r="T309" s="1"/>
      <c r="U309" s="1"/>
      <c r="V309" s="1"/>
      <c r="W309" s="1"/>
      <c r="X309" s="1"/>
      <c r="Y309" s="1"/>
      <c r="Z309" s="1"/>
      <c r="AA309" s="1"/>
      <c r="AB309" s="1"/>
    </row>
    <row r="310" spans="1:28" ht="11.25" customHeight="1" x14ac:dyDescent="0.25">
      <c r="A310" s="825"/>
      <c r="B310" s="16"/>
      <c r="C310" s="1"/>
      <c r="D310" s="1"/>
      <c r="E310" s="1"/>
      <c r="F310" s="1"/>
      <c r="G310" s="1"/>
      <c r="H310" s="1"/>
      <c r="I310" s="1"/>
      <c r="J310" s="1"/>
      <c r="K310" s="1"/>
      <c r="L310" s="22"/>
      <c r="M310" s="262"/>
      <c r="N310" s="1"/>
      <c r="O310" s="1"/>
      <c r="P310" s="1"/>
      <c r="Q310" s="1"/>
      <c r="R310" s="1"/>
      <c r="S310" s="1"/>
      <c r="T310" s="1"/>
      <c r="U310" s="1"/>
      <c r="V310" s="1"/>
      <c r="W310" s="1"/>
      <c r="X310" s="1"/>
      <c r="Y310" s="1"/>
      <c r="Z310" s="1"/>
      <c r="AA310" s="1"/>
      <c r="AB310" s="1"/>
    </row>
    <row r="311" spans="1:28" ht="11.25" customHeight="1" x14ac:dyDescent="0.25">
      <c r="A311" s="825"/>
      <c r="B311" s="16"/>
      <c r="C311" s="1"/>
      <c r="D311" s="1"/>
      <c r="E311" s="1"/>
      <c r="F311" s="1"/>
      <c r="G311" s="1"/>
      <c r="H311" s="1"/>
      <c r="I311" s="1"/>
      <c r="J311" s="1"/>
      <c r="K311" s="1"/>
      <c r="L311" s="22"/>
      <c r="M311" s="262"/>
      <c r="N311" s="1"/>
      <c r="O311" s="1"/>
      <c r="P311" s="1"/>
      <c r="Q311" s="1"/>
      <c r="R311" s="1"/>
      <c r="S311" s="1"/>
      <c r="T311" s="1"/>
      <c r="U311" s="1"/>
      <c r="V311" s="1"/>
      <c r="W311" s="1"/>
      <c r="X311" s="1"/>
      <c r="Y311" s="1"/>
      <c r="Z311" s="1"/>
      <c r="AA311" s="1"/>
      <c r="AB311" s="1"/>
    </row>
    <row r="312" spans="1:28" ht="11.25" customHeight="1" x14ac:dyDescent="0.25">
      <c r="A312" s="825"/>
      <c r="B312" s="16"/>
      <c r="C312" s="1"/>
      <c r="D312" s="1"/>
      <c r="E312" s="1"/>
      <c r="F312" s="1"/>
      <c r="G312" s="1"/>
      <c r="H312" s="1"/>
      <c r="I312" s="1"/>
      <c r="J312" s="1"/>
      <c r="K312" s="1"/>
      <c r="L312" s="22"/>
      <c r="M312" s="262"/>
      <c r="N312" s="1"/>
      <c r="O312" s="1"/>
      <c r="P312" s="1"/>
      <c r="Q312" s="1"/>
      <c r="R312" s="1"/>
      <c r="S312" s="1"/>
      <c r="T312" s="1"/>
      <c r="U312" s="1"/>
      <c r="V312" s="1"/>
      <c r="W312" s="1"/>
      <c r="X312" s="1"/>
      <c r="Y312" s="1"/>
      <c r="Z312" s="1"/>
      <c r="AA312" s="1"/>
      <c r="AB312" s="1"/>
    </row>
    <row r="313" spans="1:28" ht="11.25" customHeight="1" x14ac:dyDescent="0.25">
      <c r="A313" s="825"/>
      <c r="B313" s="16"/>
      <c r="C313" s="1"/>
      <c r="D313" s="1"/>
      <c r="E313" s="1"/>
      <c r="F313" s="1"/>
      <c r="G313" s="1"/>
      <c r="H313" s="1"/>
      <c r="I313" s="1"/>
      <c r="J313" s="1"/>
      <c r="K313" s="1"/>
      <c r="L313" s="22"/>
      <c r="M313" s="262"/>
      <c r="N313" s="1"/>
      <c r="O313" s="1"/>
      <c r="P313" s="1"/>
      <c r="Q313" s="1"/>
      <c r="R313" s="1"/>
      <c r="S313" s="1"/>
      <c r="T313" s="1"/>
      <c r="U313" s="1"/>
      <c r="V313" s="1"/>
      <c r="W313" s="1"/>
      <c r="X313" s="1"/>
      <c r="Y313" s="1"/>
      <c r="Z313" s="1"/>
      <c r="AA313" s="1"/>
      <c r="AB313" s="1"/>
    </row>
    <row r="314" spans="1:28" ht="11.25" customHeight="1" x14ac:dyDescent="0.25">
      <c r="A314" s="825"/>
      <c r="B314" s="16"/>
      <c r="C314" s="1"/>
      <c r="D314" s="1"/>
      <c r="E314" s="1"/>
      <c r="F314" s="1"/>
      <c r="G314" s="1"/>
      <c r="H314" s="1"/>
      <c r="I314" s="1"/>
      <c r="J314" s="1"/>
      <c r="K314" s="1"/>
      <c r="L314" s="22"/>
      <c r="M314" s="262"/>
      <c r="N314" s="1"/>
      <c r="O314" s="1"/>
      <c r="P314" s="1"/>
      <c r="Q314" s="1"/>
      <c r="R314" s="1"/>
      <c r="S314" s="1"/>
      <c r="T314" s="1"/>
      <c r="U314" s="1"/>
      <c r="V314" s="1"/>
      <c r="W314" s="1"/>
      <c r="X314" s="1"/>
      <c r="Y314" s="1"/>
      <c r="Z314" s="1"/>
      <c r="AA314" s="1"/>
      <c r="AB314" s="1"/>
    </row>
    <row r="315" spans="1:28" ht="11.25" customHeight="1" x14ac:dyDescent="0.25">
      <c r="A315" s="825"/>
      <c r="B315" s="16"/>
      <c r="C315" s="1"/>
      <c r="D315" s="1"/>
      <c r="E315" s="1"/>
      <c r="F315" s="1"/>
      <c r="G315" s="1"/>
      <c r="H315" s="1"/>
      <c r="I315" s="1"/>
      <c r="J315" s="1"/>
      <c r="K315" s="1"/>
      <c r="L315" s="22"/>
      <c r="M315" s="262"/>
      <c r="N315" s="1"/>
      <c r="O315" s="1"/>
      <c r="P315" s="1"/>
      <c r="Q315" s="1"/>
      <c r="R315" s="1"/>
      <c r="S315" s="1"/>
      <c r="T315" s="1"/>
      <c r="U315" s="1"/>
      <c r="V315" s="1"/>
      <c r="W315" s="1"/>
      <c r="X315" s="1"/>
      <c r="Y315" s="1"/>
      <c r="Z315" s="1"/>
      <c r="AA315" s="1"/>
      <c r="AB315" s="1"/>
    </row>
    <row r="316" spans="1:28" ht="11.25" customHeight="1" x14ac:dyDescent="0.25">
      <c r="A316" s="825"/>
      <c r="B316" s="16"/>
      <c r="C316" s="1"/>
      <c r="D316" s="1"/>
      <c r="E316" s="1"/>
      <c r="F316" s="1"/>
      <c r="G316" s="1"/>
      <c r="H316" s="1"/>
      <c r="I316" s="1"/>
      <c r="J316" s="1"/>
      <c r="K316" s="1"/>
      <c r="L316" s="22"/>
      <c r="M316" s="262"/>
      <c r="N316" s="1"/>
      <c r="O316" s="1"/>
      <c r="P316" s="1"/>
      <c r="Q316" s="1"/>
      <c r="R316" s="1"/>
      <c r="S316" s="1"/>
      <c r="T316" s="1"/>
      <c r="U316" s="1"/>
      <c r="V316" s="1"/>
      <c r="W316" s="1"/>
      <c r="X316" s="1"/>
      <c r="Y316" s="1"/>
      <c r="Z316" s="1"/>
      <c r="AA316" s="1"/>
      <c r="AB316" s="1"/>
    </row>
    <row r="317" spans="1:28" ht="11.25" customHeight="1" x14ac:dyDescent="0.25">
      <c r="A317" s="825"/>
      <c r="B317" s="16"/>
      <c r="C317" s="1"/>
      <c r="D317" s="1"/>
      <c r="E317" s="1"/>
      <c r="F317" s="1"/>
      <c r="G317" s="1"/>
      <c r="H317" s="1"/>
      <c r="I317" s="1"/>
      <c r="J317" s="1"/>
      <c r="K317" s="1"/>
      <c r="L317" s="22"/>
      <c r="M317" s="262"/>
      <c r="N317" s="1"/>
      <c r="O317" s="1"/>
      <c r="P317" s="1"/>
      <c r="Q317" s="1"/>
      <c r="R317" s="1"/>
      <c r="S317" s="1"/>
      <c r="T317" s="1"/>
      <c r="U317" s="1"/>
      <c r="V317" s="1"/>
      <c r="W317" s="1"/>
      <c r="X317" s="1"/>
      <c r="Y317" s="1"/>
      <c r="Z317" s="1"/>
      <c r="AA317" s="1"/>
      <c r="AB317" s="1"/>
    </row>
    <row r="318" spans="1:28" ht="11.25" customHeight="1" x14ac:dyDescent="0.25">
      <c r="A318" s="825"/>
      <c r="B318" s="16"/>
      <c r="C318" s="1"/>
      <c r="D318" s="1"/>
      <c r="E318" s="1"/>
      <c r="F318" s="1"/>
      <c r="G318" s="1"/>
      <c r="H318" s="1"/>
      <c r="I318" s="1"/>
      <c r="J318" s="1"/>
      <c r="K318" s="1"/>
      <c r="L318" s="22"/>
      <c r="M318" s="262"/>
      <c r="N318" s="1"/>
      <c r="O318" s="1"/>
      <c r="P318" s="1"/>
      <c r="Q318" s="1"/>
      <c r="R318" s="1"/>
      <c r="S318" s="1"/>
      <c r="T318" s="1"/>
      <c r="U318" s="1"/>
      <c r="V318" s="1"/>
      <c r="W318" s="1"/>
      <c r="X318" s="1"/>
      <c r="Y318" s="1"/>
      <c r="Z318" s="1"/>
      <c r="AA318" s="1"/>
      <c r="AB318" s="1"/>
    </row>
    <row r="319" spans="1:28" ht="11.25" customHeight="1" x14ac:dyDescent="0.25">
      <c r="A319" s="825"/>
      <c r="B319" s="16"/>
      <c r="C319" s="1"/>
      <c r="D319" s="1"/>
      <c r="E319" s="1"/>
      <c r="F319" s="1"/>
      <c r="G319" s="1"/>
      <c r="H319" s="1"/>
      <c r="I319" s="1"/>
      <c r="J319" s="1"/>
      <c r="K319" s="1"/>
      <c r="L319" s="22"/>
      <c r="M319" s="262"/>
      <c r="N319" s="1"/>
      <c r="O319" s="1"/>
      <c r="P319" s="1"/>
      <c r="Q319" s="1"/>
      <c r="R319" s="1"/>
      <c r="S319" s="1"/>
      <c r="T319" s="1"/>
      <c r="U319" s="1"/>
      <c r="V319" s="1"/>
      <c r="W319" s="1"/>
      <c r="X319" s="1"/>
      <c r="Y319" s="1"/>
      <c r="Z319" s="1"/>
      <c r="AA319" s="1"/>
      <c r="AB319" s="1"/>
    </row>
    <row r="320" spans="1:28" ht="11.25" customHeight="1" x14ac:dyDescent="0.25">
      <c r="A320" s="825"/>
      <c r="B320" s="16"/>
      <c r="C320" s="1"/>
      <c r="D320" s="1"/>
      <c r="E320" s="1"/>
      <c r="F320" s="1"/>
      <c r="G320" s="1"/>
      <c r="H320" s="1"/>
      <c r="I320" s="1"/>
      <c r="J320" s="1"/>
      <c r="K320" s="1"/>
      <c r="L320" s="22"/>
      <c r="M320" s="262"/>
      <c r="N320" s="1"/>
      <c r="O320" s="1"/>
      <c r="P320" s="1"/>
      <c r="Q320" s="1"/>
      <c r="R320" s="1"/>
      <c r="S320" s="1"/>
      <c r="T320" s="1"/>
      <c r="U320" s="1"/>
      <c r="V320" s="1"/>
      <c r="W320" s="1"/>
      <c r="X320" s="1"/>
      <c r="Y320" s="1"/>
      <c r="Z320" s="1"/>
      <c r="AA320" s="1"/>
      <c r="AB320" s="1"/>
    </row>
    <row r="321" spans="1:28" ht="11.25" customHeight="1" x14ac:dyDescent="0.25">
      <c r="A321" s="825"/>
      <c r="B321" s="16"/>
      <c r="C321" s="1"/>
      <c r="D321" s="1"/>
      <c r="E321" s="1"/>
      <c r="F321" s="1"/>
      <c r="G321" s="1"/>
      <c r="H321" s="1"/>
      <c r="I321" s="1"/>
      <c r="J321" s="1"/>
      <c r="K321" s="1"/>
      <c r="L321" s="22"/>
      <c r="M321" s="262"/>
      <c r="N321" s="1"/>
      <c r="O321" s="1"/>
      <c r="P321" s="1"/>
      <c r="Q321" s="1"/>
      <c r="R321" s="1"/>
      <c r="S321" s="1"/>
      <c r="T321" s="1"/>
      <c r="U321" s="1"/>
      <c r="V321" s="1"/>
      <c r="W321" s="1"/>
      <c r="X321" s="1"/>
      <c r="Y321" s="1"/>
      <c r="Z321" s="1"/>
      <c r="AA321" s="1"/>
      <c r="AB321" s="1"/>
    </row>
    <row r="322" spans="1:28" ht="11.25" customHeight="1" x14ac:dyDescent="0.25">
      <c r="A322" s="825"/>
      <c r="B322" s="16"/>
      <c r="C322" s="1"/>
      <c r="D322" s="1"/>
      <c r="E322" s="1"/>
      <c r="F322" s="1"/>
      <c r="G322" s="1"/>
      <c r="H322" s="1"/>
      <c r="I322" s="1"/>
      <c r="J322" s="1"/>
      <c r="K322" s="1"/>
      <c r="L322" s="22"/>
      <c r="M322" s="262"/>
      <c r="N322" s="1"/>
      <c r="O322" s="1"/>
      <c r="P322" s="1"/>
      <c r="Q322" s="1"/>
      <c r="R322" s="1"/>
      <c r="S322" s="1"/>
      <c r="T322" s="1"/>
      <c r="U322" s="1"/>
      <c r="V322" s="1"/>
      <c r="W322" s="1"/>
      <c r="X322" s="1"/>
      <c r="Y322" s="1"/>
      <c r="Z322" s="1"/>
      <c r="AA322" s="1"/>
      <c r="AB322" s="1"/>
    </row>
    <row r="323" spans="1:28" ht="11.25" customHeight="1" x14ac:dyDescent="0.25">
      <c r="A323" s="825"/>
      <c r="B323" s="16"/>
      <c r="C323" s="1"/>
      <c r="D323" s="1"/>
      <c r="E323" s="1"/>
      <c r="F323" s="1"/>
      <c r="G323" s="1"/>
      <c r="H323" s="1"/>
      <c r="I323" s="1"/>
      <c r="J323" s="1"/>
      <c r="K323" s="1"/>
      <c r="L323" s="22"/>
      <c r="M323" s="262"/>
      <c r="N323" s="1"/>
      <c r="O323" s="1"/>
      <c r="P323" s="1"/>
      <c r="Q323" s="1"/>
      <c r="R323" s="1"/>
      <c r="S323" s="1"/>
      <c r="T323" s="1"/>
      <c r="U323" s="1"/>
      <c r="V323" s="1"/>
      <c r="W323" s="1"/>
      <c r="X323" s="1"/>
      <c r="Y323" s="1"/>
      <c r="Z323" s="1"/>
      <c r="AA323" s="1"/>
      <c r="AB323" s="1"/>
    </row>
    <row r="324" spans="1:28" ht="11.25" customHeight="1" x14ac:dyDescent="0.25">
      <c r="A324" s="825"/>
      <c r="B324" s="16"/>
      <c r="C324" s="1"/>
      <c r="D324" s="1"/>
      <c r="E324" s="1"/>
      <c r="F324" s="1"/>
      <c r="G324" s="1"/>
      <c r="H324" s="1"/>
      <c r="I324" s="1"/>
      <c r="J324" s="1"/>
      <c r="K324" s="1"/>
      <c r="L324" s="22"/>
      <c r="M324" s="262"/>
      <c r="N324" s="1"/>
      <c r="O324" s="1"/>
      <c r="P324" s="1"/>
      <c r="Q324" s="1"/>
      <c r="R324" s="1"/>
      <c r="S324" s="1"/>
      <c r="T324" s="1"/>
      <c r="U324" s="1"/>
      <c r="V324" s="1"/>
      <c r="W324" s="1"/>
      <c r="X324" s="1"/>
      <c r="Y324" s="1"/>
      <c r="Z324" s="1"/>
      <c r="AA324" s="1"/>
      <c r="AB324" s="1"/>
    </row>
    <row r="325" spans="1:28" ht="11.25" customHeight="1" x14ac:dyDescent="0.25">
      <c r="A325" s="825"/>
      <c r="B325" s="16"/>
      <c r="C325" s="1"/>
      <c r="D325" s="1"/>
      <c r="E325" s="1"/>
      <c r="F325" s="1"/>
      <c r="G325" s="1"/>
      <c r="H325" s="1"/>
      <c r="I325" s="1"/>
      <c r="J325" s="1"/>
      <c r="K325" s="1"/>
      <c r="L325" s="22"/>
      <c r="M325" s="262"/>
      <c r="N325" s="1"/>
      <c r="O325" s="1"/>
      <c r="P325" s="1"/>
      <c r="Q325" s="1"/>
      <c r="R325" s="1"/>
      <c r="S325" s="1"/>
      <c r="T325" s="1"/>
      <c r="U325" s="1"/>
      <c r="V325" s="1"/>
      <c r="W325" s="1"/>
      <c r="X325" s="1"/>
      <c r="Y325" s="1"/>
      <c r="Z325" s="1"/>
      <c r="AA325" s="1"/>
      <c r="AB325" s="1"/>
    </row>
    <row r="326" spans="1:28" ht="11.25" customHeight="1" x14ac:dyDescent="0.25">
      <c r="A326" s="825"/>
      <c r="B326" s="16"/>
      <c r="C326" s="1"/>
      <c r="D326" s="1"/>
      <c r="E326" s="1"/>
      <c r="F326" s="1"/>
      <c r="G326" s="1"/>
      <c r="H326" s="1"/>
      <c r="I326" s="1"/>
      <c r="J326" s="1"/>
      <c r="K326" s="1"/>
      <c r="L326" s="22"/>
      <c r="M326" s="262"/>
      <c r="N326" s="1"/>
      <c r="O326" s="1"/>
      <c r="P326" s="1"/>
      <c r="Q326" s="1"/>
      <c r="R326" s="1"/>
      <c r="S326" s="1"/>
      <c r="T326" s="1"/>
      <c r="U326" s="1"/>
      <c r="V326" s="1"/>
      <c r="W326" s="1"/>
      <c r="X326" s="1"/>
      <c r="Y326" s="1"/>
      <c r="Z326" s="1"/>
      <c r="AA326" s="1"/>
      <c r="AB326" s="1"/>
    </row>
    <row r="327" spans="1:28" ht="11.25" customHeight="1" x14ac:dyDescent="0.25">
      <c r="A327" s="825"/>
      <c r="B327" s="16"/>
      <c r="C327" s="1"/>
      <c r="D327" s="1"/>
      <c r="E327" s="1"/>
      <c r="F327" s="1"/>
      <c r="G327" s="1"/>
      <c r="H327" s="1"/>
      <c r="I327" s="1"/>
      <c r="J327" s="1"/>
      <c r="K327" s="1"/>
      <c r="L327" s="22"/>
      <c r="M327" s="262"/>
      <c r="N327" s="1"/>
      <c r="O327" s="1"/>
      <c r="P327" s="1"/>
      <c r="Q327" s="1"/>
      <c r="R327" s="1"/>
      <c r="S327" s="1"/>
      <c r="T327" s="1"/>
      <c r="U327" s="1"/>
      <c r="V327" s="1"/>
      <c r="W327" s="1"/>
      <c r="X327" s="1"/>
      <c r="Y327" s="1"/>
      <c r="Z327" s="1"/>
      <c r="AA327" s="1"/>
      <c r="AB327" s="1"/>
    </row>
    <row r="328" spans="1:28" ht="11.25" customHeight="1" x14ac:dyDescent="0.25">
      <c r="A328" s="825"/>
      <c r="B328" s="16"/>
      <c r="C328" s="1"/>
      <c r="D328" s="1"/>
      <c r="E328" s="1"/>
      <c r="F328" s="1"/>
      <c r="G328" s="1"/>
      <c r="H328" s="1"/>
      <c r="I328" s="1"/>
      <c r="J328" s="1"/>
      <c r="K328" s="1"/>
      <c r="L328" s="22"/>
      <c r="M328" s="262"/>
      <c r="N328" s="1"/>
      <c r="O328" s="1"/>
      <c r="P328" s="1"/>
      <c r="Q328" s="1"/>
      <c r="R328" s="1"/>
      <c r="S328" s="1"/>
      <c r="T328" s="1"/>
      <c r="U328" s="1"/>
      <c r="V328" s="1"/>
      <c r="W328" s="1"/>
      <c r="X328" s="1"/>
      <c r="Y328" s="1"/>
      <c r="Z328" s="1"/>
      <c r="AA328" s="1"/>
      <c r="AB328" s="1"/>
    </row>
    <row r="329" spans="1:28" ht="11.25" customHeight="1" x14ac:dyDescent="0.25">
      <c r="A329" s="825"/>
      <c r="B329" s="16"/>
      <c r="C329" s="1"/>
      <c r="D329" s="1"/>
      <c r="E329" s="1"/>
      <c r="F329" s="1"/>
      <c r="G329" s="1"/>
      <c r="H329" s="1"/>
      <c r="I329" s="1"/>
      <c r="J329" s="1"/>
      <c r="K329" s="1"/>
      <c r="L329" s="22"/>
      <c r="M329" s="262"/>
      <c r="N329" s="1"/>
      <c r="O329" s="1"/>
      <c r="P329" s="1"/>
      <c r="Q329" s="1"/>
      <c r="R329" s="1"/>
      <c r="S329" s="1"/>
      <c r="T329" s="1"/>
      <c r="U329" s="1"/>
      <c r="V329" s="1"/>
      <c r="W329" s="1"/>
      <c r="X329" s="1"/>
      <c r="Y329" s="1"/>
      <c r="Z329" s="1"/>
      <c r="AA329" s="1"/>
      <c r="AB329" s="1"/>
    </row>
    <row r="330" spans="1:28" ht="11.25" customHeight="1" x14ac:dyDescent="0.25">
      <c r="A330" s="825"/>
      <c r="B330" s="16"/>
      <c r="C330" s="1"/>
      <c r="D330" s="1"/>
      <c r="E330" s="1"/>
      <c r="F330" s="1"/>
      <c r="G330" s="1"/>
      <c r="H330" s="1"/>
      <c r="I330" s="1"/>
      <c r="J330" s="1"/>
      <c r="K330" s="1"/>
      <c r="L330" s="22"/>
      <c r="M330" s="262"/>
      <c r="N330" s="1"/>
      <c r="O330" s="1"/>
      <c r="P330" s="1"/>
      <c r="Q330" s="1"/>
      <c r="R330" s="1"/>
      <c r="S330" s="1"/>
      <c r="T330" s="1"/>
      <c r="U330" s="1"/>
      <c r="V330" s="1"/>
      <c r="W330" s="1"/>
      <c r="X330" s="1"/>
      <c r="Y330" s="1"/>
      <c r="Z330" s="1"/>
      <c r="AA330" s="1"/>
      <c r="AB330" s="1"/>
    </row>
    <row r="331" spans="1:28" ht="11.25" customHeight="1" x14ac:dyDescent="0.25">
      <c r="A331" s="825"/>
      <c r="B331" s="16"/>
      <c r="C331" s="1"/>
      <c r="D331" s="1"/>
      <c r="E331" s="1"/>
      <c r="F331" s="1"/>
      <c r="G331" s="1"/>
      <c r="H331" s="1"/>
      <c r="I331" s="1"/>
      <c r="J331" s="1"/>
      <c r="K331" s="1"/>
      <c r="L331" s="22"/>
      <c r="M331" s="262"/>
      <c r="N331" s="1"/>
      <c r="O331" s="1"/>
      <c r="P331" s="1"/>
      <c r="Q331" s="1"/>
      <c r="R331" s="1"/>
      <c r="S331" s="1"/>
      <c r="T331" s="1"/>
      <c r="U331" s="1"/>
      <c r="V331" s="1"/>
      <c r="W331" s="1"/>
      <c r="X331" s="1"/>
      <c r="Y331" s="1"/>
      <c r="Z331" s="1"/>
      <c r="AA331" s="1"/>
      <c r="AB331" s="1"/>
    </row>
    <row r="332" spans="1:28" ht="11.25" customHeight="1" x14ac:dyDescent="0.25">
      <c r="A332" s="825"/>
      <c r="B332" s="16"/>
      <c r="C332" s="1"/>
      <c r="D332" s="1"/>
      <c r="E332" s="1"/>
      <c r="F332" s="1"/>
      <c r="G332" s="1"/>
      <c r="H332" s="1"/>
      <c r="I332" s="1"/>
      <c r="J332" s="1"/>
      <c r="K332" s="1"/>
      <c r="L332" s="22"/>
      <c r="M332" s="262"/>
      <c r="N332" s="1"/>
      <c r="O332" s="1"/>
      <c r="P332" s="1"/>
      <c r="Q332" s="1"/>
      <c r="R332" s="1"/>
      <c r="S332" s="1"/>
      <c r="T332" s="1"/>
      <c r="U332" s="1"/>
      <c r="V332" s="1"/>
      <c r="W332" s="1"/>
      <c r="X332" s="1"/>
      <c r="Y332" s="1"/>
      <c r="Z332" s="1"/>
      <c r="AA332" s="1"/>
      <c r="AB332" s="1"/>
    </row>
    <row r="333" spans="1:28" ht="11.25" customHeight="1" x14ac:dyDescent="0.25">
      <c r="A333" s="825"/>
      <c r="B333" s="16"/>
      <c r="C333" s="1"/>
      <c r="D333" s="1"/>
      <c r="E333" s="1"/>
      <c r="F333" s="1"/>
      <c r="G333" s="1"/>
      <c r="H333" s="1"/>
      <c r="I333" s="1"/>
      <c r="J333" s="1"/>
      <c r="K333" s="1"/>
      <c r="L333" s="22"/>
      <c r="M333" s="262"/>
      <c r="N333" s="1"/>
      <c r="O333" s="1"/>
      <c r="P333" s="1"/>
      <c r="Q333" s="1"/>
      <c r="R333" s="1"/>
      <c r="S333" s="1"/>
      <c r="T333" s="1"/>
      <c r="U333" s="1"/>
      <c r="V333" s="1"/>
      <c r="W333" s="1"/>
      <c r="X333" s="1"/>
      <c r="Y333" s="1"/>
      <c r="Z333" s="1"/>
      <c r="AA333" s="1"/>
      <c r="AB333" s="1"/>
    </row>
    <row r="334" spans="1:28" ht="11.25" customHeight="1" x14ac:dyDescent="0.25">
      <c r="A334" s="825"/>
      <c r="B334" s="16"/>
      <c r="C334" s="1"/>
      <c r="D334" s="1"/>
      <c r="E334" s="1"/>
      <c r="F334" s="1"/>
      <c r="G334" s="1"/>
      <c r="H334" s="1"/>
      <c r="I334" s="1"/>
      <c r="J334" s="1"/>
      <c r="K334" s="1"/>
      <c r="L334" s="22"/>
      <c r="M334" s="262"/>
      <c r="N334" s="1"/>
      <c r="O334" s="1"/>
      <c r="P334" s="1"/>
      <c r="Q334" s="1"/>
      <c r="R334" s="1"/>
      <c r="S334" s="1"/>
      <c r="T334" s="1"/>
      <c r="U334" s="1"/>
      <c r="V334" s="1"/>
      <c r="W334" s="1"/>
      <c r="X334" s="1"/>
      <c r="Y334" s="1"/>
      <c r="Z334" s="1"/>
      <c r="AA334" s="1"/>
      <c r="AB334" s="1"/>
    </row>
    <row r="335" spans="1:28" ht="11.25" customHeight="1" x14ac:dyDescent="0.25">
      <c r="A335" s="825"/>
      <c r="B335" s="16"/>
      <c r="C335" s="1"/>
      <c r="D335" s="1"/>
      <c r="E335" s="1"/>
      <c r="F335" s="1"/>
      <c r="G335" s="1"/>
      <c r="H335" s="1"/>
      <c r="I335" s="1"/>
      <c r="J335" s="1"/>
      <c r="K335" s="1"/>
      <c r="L335" s="22"/>
      <c r="M335" s="262"/>
      <c r="N335" s="1"/>
      <c r="O335" s="1"/>
      <c r="P335" s="1"/>
      <c r="Q335" s="1"/>
      <c r="R335" s="1"/>
      <c r="S335" s="1"/>
      <c r="T335" s="1"/>
      <c r="U335" s="1"/>
      <c r="V335" s="1"/>
      <c r="W335" s="1"/>
      <c r="X335" s="1"/>
      <c r="Y335" s="1"/>
      <c r="Z335" s="1"/>
      <c r="AA335" s="1"/>
      <c r="AB335" s="1"/>
    </row>
    <row r="336" spans="1:28" ht="11.25" customHeight="1" x14ac:dyDescent="0.25">
      <c r="A336" s="825"/>
      <c r="B336" s="16"/>
      <c r="C336" s="1"/>
      <c r="D336" s="1"/>
      <c r="E336" s="1"/>
      <c r="F336" s="1"/>
      <c r="G336" s="1"/>
      <c r="H336" s="1"/>
      <c r="I336" s="1"/>
      <c r="J336" s="1"/>
      <c r="K336" s="1"/>
      <c r="L336" s="22"/>
      <c r="M336" s="262"/>
      <c r="N336" s="1"/>
      <c r="O336" s="1"/>
      <c r="P336" s="1"/>
      <c r="Q336" s="1"/>
      <c r="R336" s="1"/>
      <c r="S336" s="1"/>
      <c r="T336" s="1"/>
      <c r="U336" s="1"/>
      <c r="V336" s="1"/>
      <c r="W336" s="1"/>
      <c r="X336" s="1"/>
      <c r="Y336" s="1"/>
      <c r="Z336" s="1"/>
      <c r="AA336" s="1"/>
      <c r="AB336" s="1"/>
    </row>
    <row r="337" spans="1:28" ht="11.25" customHeight="1" x14ac:dyDescent="0.25">
      <c r="A337" s="825"/>
      <c r="B337" s="16"/>
      <c r="C337" s="1"/>
      <c r="D337" s="1"/>
      <c r="E337" s="1"/>
      <c r="F337" s="1"/>
      <c r="G337" s="1"/>
      <c r="H337" s="1"/>
      <c r="I337" s="1"/>
      <c r="J337" s="1"/>
      <c r="K337" s="1"/>
      <c r="L337" s="22"/>
      <c r="M337" s="262"/>
      <c r="N337" s="1"/>
      <c r="O337" s="1"/>
      <c r="P337" s="1"/>
      <c r="Q337" s="1"/>
      <c r="R337" s="1"/>
      <c r="S337" s="1"/>
      <c r="T337" s="1"/>
      <c r="U337" s="1"/>
      <c r="V337" s="1"/>
      <c r="W337" s="1"/>
      <c r="X337" s="1"/>
      <c r="Y337" s="1"/>
      <c r="Z337" s="1"/>
      <c r="AA337" s="1"/>
      <c r="AB337" s="1"/>
    </row>
    <row r="338" spans="1:28" ht="11.25" customHeight="1" x14ac:dyDescent="0.25">
      <c r="A338" s="825"/>
      <c r="B338" s="16"/>
      <c r="C338" s="1"/>
      <c r="D338" s="1"/>
      <c r="E338" s="1"/>
      <c r="F338" s="1"/>
      <c r="G338" s="1"/>
      <c r="H338" s="1"/>
      <c r="I338" s="1"/>
      <c r="J338" s="1"/>
      <c r="K338" s="1"/>
      <c r="L338" s="22"/>
      <c r="M338" s="262"/>
      <c r="N338" s="1"/>
      <c r="O338" s="1"/>
      <c r="P338" s="1"/>
      <c r="Q338" s="1"/>
      <c r="R338" s="1"/>
      <c r="S338" s="1"/>
      <c r="T338" s="1"/>
      <c r="U338" s="1"/>
      <c r="V338" s="1"/>
      <c r="W338" s="1"/>
      <c r="X338" s="1"/>
      <c r="Y338" s="1"/>
      <c r="Z338" s="1"/>
      <c r="AA338" s="1"/>
      <c r="AB338" s="1"/>
    </row>
    <row r="339" spans="1:28" ht="11.25" customHeight="1" x14ac:dyDescent="0.25">
      <c r="A339" s="825"/>
      <c r="B339" s="16"/>
      <c r="C339" s="1"/>
      <c r="D339" s="1"/>
      <c r="E339" s="1"/>
      <c r="F339" s="1"/>
      <c r="G339" s="1"/>
      <c r="H339" s="1"/>
      <c r="I339" s="1"/>
      <c r="J339" s="1"/>
      <c r="K339" s="1"/>
      <c r="L339" s="22"/>
      <c r="M339" s="262"/>
      <c r="N339" s="1"/>
      <c r="O339" s="1"/>
      <c r="P339" s="1"/>
      <c r="Q339" s="1"/>
      <c r="R339" s="1"/>
      <c r="S339" s="1"/>
      <c r="T339" s="1"/>
      <c r="U339" s="1"/>
      <c r="V339" s="1"/>
      <c r="W339" s="1"/>
      <c r="X339" s="1"/>
      <c r="Y339" s="1"/>
      <c r="Z339" s="1"/>
      <c r="AA339" s="1"/>
      <c r="AB339" s="1"/>
    </row>
    <row r="340" spans="1:28" ht="11.25" customHeight="1" x14ac:dyDescent="0.25">
      <c r="A340" s="825"/>
      <c r="B340" s="16"/>
      <c r="C340" s="1"/>
      <c r="D340" s="1"/>
      <c r="E340" s="1"/>
      <c r="F340" s="1"/>
      <c r="G340" s="1"/>
      <c r="H340" s="1"/>
      <c r="I340" s="1"/>
      <c r="J340" s="1"/>
      <c r="K340" s="1"/>
      <c r="L340" s="22"/>
      <c r="M340" s="262"/>
      <c r="N340" s="1"/>
      <c r="O340" s="1"/>
      <c r="P340" s="1"/>
      <c r="Q340" s="1"/>
      <c r="R340" s="1"/>
      <c r="S340" s="1"/>
      <c r="T340" s="1"/>
      <c r="U340" s="1"/>
      <c r="V340" s="1"/>
      <c r="W340" s="1"/>
      <c r="X340" s="1"/>
      <c r="Y340" s="1"/>
      <c r="Z340" s="1"/>
      <c r="AA340" s="1"/>
      <c r="AB340" s="1"/>
    </row>
    <row r="341" spans="1:28" ht="11.25" customHeight="1" x14ac:dyDescent="0.25">
      <c r="A341" s="825"/>
      <c r="B341" s="16"/>
      <c r="C341" s="1"/>
      <c r="D341" s="1"/>
      <c r="E341" s="1"/>
      <c r="F341" s="1"/>
      <c r="G341" s="1"/>
      <c r="H341" s="1"/>
      <c r="I341" s="1"/>
      <c r="J341" s="1"/>
      <c r="K341" s="1"/>
      <c r="L341" s="22"/>
      <c r="M341" s="262"/>
      <c r="N341" s="1"/>
      <c r="O341" s="1"/>
      <c r="P341" s="1"/>
      <c r="Q341" s="1"/>
      <c r="R341" s="1"/>
      <c r="S341" s="1"/>
      <c r="T341" s="1"/>
      <c r="U341" s="1"/>
      <c r="V341" s="1"/>
      <c r="W341" s="1"/>
      <c r="X341" s="1"/>
      <c r="Y341" s="1"/>
      <c r="Z341" s="1"/>
      <c r="AA341" s="1"/>
      <c r="AB341" s="1"/>
    </row>
    <row r="342" spans="1:28" ht="11.25" customHeight="1" x14ac:dyDescent="0.25">
      <c r="A342" s="825"/>
      <c r="B342" s="16"/>
      <c r="C342" s="1"/>
      <c r="D342" s="1"/>
      <c r="E342" s="1"/>
      <c r="F342" s="1"/>
      <c r="G342" s="1"/>
      <c r="H342" s="1"/>
      <c r="I342" s="1"/>
      <c r="J342" s="1"/>
      <c r="K342" s="1"/>
      <c r="L342" s="22"/>
      <c r="M342" s="262"/>
      <c r="N342" s="1"/>
      <c r="O342" s="1"/>
      <c r="P342" s="1"/>
      <c r="Q342" s="1"/>
      <c r="R342" s="1"/>
      <c r="S342" s="1"/>
      <c r="T342" s="1"/>
      <c r="U342" s="1"/>
      <c r="V342" s="1"/>
      <c r="W342" s="1"/>
      <c r="X342" s="1"/>
      <c r="Y342" s="1"/>
      <c r="Z342" s="1"/>
      <c r="AA342" s="1"/>
      <c r="AB342" s="1"/>
    </row>
    <row r="343" spans="1:28" ht="11.25" customHeight="1" x14ac:dyDescent="0.25">
      <c r="A343" s="825"/>
      <c r="B343" s="16"/>
      <c r="C343" s="1"/>
      <c r="D343" s="1"/>
      <c r="E343" s="1"/>
      <c r="F343" s="1"/>
      <c r="G343" s="1"/>
      <c r="H343" s="1"/>
      <c r="I343" s="1"/>
      <c r="J343" s="1"/>
      <c r="K343" s="1"/>
      <c r="L343" s="22"/>
      <c r="M343" s="262"/>
      <c r="N343" s="1"/>
      <c r="O343" s="1"/>
      <c r="P343" s="1"/>
      <c r="Q343" s="1"/>
      <c r="R343" s="1"/>
      <c r="S343" s="1"/>
      <c r="T343" s="1"/>
      <c r="U343" s="1"/>
      <c r="V343" s="1"/>
      <c r="W343" s="1"/>
      <c r="X343" s="1"/>
      <c r="Y343" s="1"/>
      <c r="Z343" s="1"/>
      <c r="AA343" s="1"/>
      <c r="AB343" s="1"/>
    </row>
    <row r="344" spans="1:28" ht="11.25" customHeight="1" x14ac:dyDescent="0.25">
      <c r="A344" s="825"/>
      <c r="B344" s="16"/>
      <c r="C344" s="1"/>
      <c r="D344" s="1"/>
      <c r="E344" s="1"/>
      <c r="F344" s="1"/>
      <c r="G344" s="1"/>
      <c r="H344" s="1"/>
      <c r="I344" s="1"/>
      <c r="J344" s="1"/>
      <c r="K344" s="1"/>
      <c r="L344" s="22"/>
      <c r="M344" s="262"/>
      <c r="N344" s="1"/>
      <c r="O344" s="1"/>
      <c r="P344" s="1"/>
      <c r="Q344" s="1"/>
      <c r="R344" s="1"/>
      <c r="S344" s="1"/>
      <c r="T344" s="1"/>
      <c r="U344" s="1"/>
      <c r="V344" s="1"/>
      <c r="W344" s="1"/>
      <c r="X344" s="1"/>
      <c r="Y344" s="1"/>
      <c r="Z344" s="1"/>
      <c r="AA344" s="1"/>
      <c r="AB344" s="1"/>
    </row>
    <row r="345" spans="1:28" ht="11.25" customHeight="1" x14ac:dyDescent="0.25">
      <c r="A345" s="825"/>
      <c r="B345" s="16"/>
      <c r="C345" s="1"/>
      <c r="D345" s="1"/>
      <c r="E345" s="1"/>
      <c r="F345" s="1"/>
      <c r="G345" s="1"/>
      <c r="H345" s="1"/>
      <c r="I345" s="1"/>
      <c r="J345" s="1"/>
      <c r="K345" s="1"/>
      <c r="L345" s="22"/>
      <c r="M345" s="262"/>
      <c r="N345" s="1"/>
      <c r="O345" s="1"/>
      <c r="P345" s="1"/>
      <c r="Q345" s="1"/>
      <c r="R345" s="1"/>
      <c r="S345" s="1"/>
      <c r="T345" s="1"/>
      <c r="U345" s="1"/>
      <c r="V345" s="1"/>
      <c r="W345" s="1"/>
      <c r="X345" s="1"/>
      <c r="Y345" s="1"/>
      <c r="Z345" s="1"/>
      <c r="AA345" s="1"/>
      <c r="AB345" s="1"/>
    </row>
    <row r="346" spans="1:28" ht="11.25" customHeight="1" x14ac:dyDescent="0.25">
      <c r="A346" s="825"/>
      <c r="B346" s="16"/>
      <c r="C346" s="1"/>
      <c r="D346" s="1"/>
      <c r="E346" s="1"/>
      <c r="F346" s="1"/>
      <c r="G346" s="1"/>
      <c r="H346" s="1"/>
      <c r="I346" s="1"/>
      <c r="J346" s="1"/>
      <c r="K346" s="1"/>
      <c r="L346" s="22"/>
      <c r="M346" s="262"/>
      <c r="N346" s="1"/>
      <c r="O346" s="1"/>
      <c r="P346" s="1"/>
      <c r="Q346" s="1"/>
      <c r="R346" s="1"/>
      <c r="S346" s="1"/>
      <c r="T346" s="1"/>
      <c r="U346" s="1"/>
      <c r="V346" s="1"/>
      <c r="W346" s="1"/>
      <c r="X346" s="1"/>
      <c r="Y346" s="1"/>
      <c r="Z346" s="1"/>
      <c r="AA346" s="1"/>
      <c r="AB346" s="1"/>
    </row>
    <row r="347" spans="1:28" ht="11.25" customHeight="1" x14ac:dyDescent="0.25">
      <c r="A347" s="825"/>
      <c r="B347" s="16"/>
      <c r="C347" s="1"/>
      <c r="D347" s="1"/>
      <c r="E347" s="1"/>
      <c r="F347" s="1"/>
      <c r="G347" s="1"/>
      <c r="H347" s="1"/>
      <c r="I347" s="1"/>
      <c r="J347" s="1"/>
      <c r="K347" s="1"/>
      <c r="L347" s="22"/>
      <c r="M347" s="262"/>
      <c r="N347" s="1"/>
      <c r="O347" s="1"/>
      <c r="P347" s="1"/>
      <c r="Q347" s="1"/>
      <c r="R347" s="1"/>
      <c r="S347" s="1"/>
      <c r="T347" s="1"/>
      <c r="U347" s="1"/>
      <c r="V347" s="1"/>
      <c r="W347" s="1"/>
      <c r="X347" s="1"/>
      <c r="Y347" s="1"/>
      <c r="Z347" s="1"/>
      <c r="AA347" s="1"/>
      <c r="AB347" s="1"/>
    </row>
    <row r="348" spans="1:28" ht="11.25" customHeight="1" x14ac:dyDescent="0.25">
      <c r="A348" s="825"/>
      <c r="B348" s="16"/>
      <c r="C348" s="1"/>
      <c r="D348" s="1"/>
      <c r="E348" s="1"/>
      <c r="F348" s="1"/>
      <c r="G348" s="1"/>
      <c r="H348" s="1"/>
      <c r="I348" s="1"/>
      <c r="J348" s="1"/>
      <c r="K348" s="1"/>
      <c r="L348" s="22"/>
      <c r="M348" s="262"/>
      <c r="N348" s="1"/>
      <c r="O348" s="1"/>
      <c r="P348" s="1"/>
      <c r="Q348" s="1"/>
      <c r="R348" s="1"/>
      <c r="S348" s="1"/>
      <c r="T348" s="1"/>
      <c r="U348" s="1"/>
      <c r="V348" s="1"/>
      <c r="W348" s="1"/>
      <c r="X348" s="1"/>
      <c r="Y348" s="1"/>
      <c r="Z348" s="1"/>
      <c r="AA348" s="1"/>
      <c r="AB348" s="1"/>
    </row>
    <row r="349" spans="1:28" ht="11.25" customHeight="1" x14ac:dyDescent="0.25">
      <c r="A349" s="825"/>
      <c r="B349" s="16"/>
      <c r="C349" s="1"/>
      <c r="D349" s="1"/>
      <c r="E349" s="1"/>
      <c r="F349" s="1"/>
      <c r="G349" s="1"/>
      <c r="H349" s="1"/>
      <c r="I349" s="1"/>
      <c r="J349" s="1"/>
      <c r="K349" s="1"/>
      <c r="L349" s="22"/>
      <c r="M349" s="262"/>
      <c r="N349" s="1"/>
      <c r="O349" s="1"/>
      <c r="P349" s="1"/>
      <c r="Q349" s="1"/>
      <c r="R349" s="1"/>
      <c r="S349" s="1"/>
      <c r="T349" s="1"/>
      <c r="U349" s="1"/>
      <c r="V349" s="1"/>
      <c r="W349" s="1"/>
      <c r="X349" s="1"/>
      <c r="Y349" s="1"/>
      <c r="Z349" s="1"/>
      <c r="AA349" s="1"/>
      <c r="AB349" s="1"/>
    </row>
    <row r="350" spans="1:28" ht="11.25" customHeight="1" x14ac:dyDescent="0.25">
      <c r="A350" s="825"/>
      <c r="B350" s="16"/>
      <c r="C350" s="1"/>
      <c r="D350" s="1"/>
      <c r="E350" s="1"/>
      <c r="F350" s="1"/>
      <c r="G350" s="1"/>
      <c r="H350" s="1"/>
      <c r="I350" s="1"/>
      <c r="J350" s="1"/>
      <c r="K350" s="1"/>
      <c r="L350" s="22"/>
      <c r="M350" s="262"/>
      <c r="N350" s="1"/>
      <c r="O350" s="1"/>
      <c r="P350" s="1"/>
      <c r="Q350" s="1"/>
      <c r="R350" s="1"/>
      <c r="S350" s="1"/>
      <c r="T350" s="1"/>
      <c r="U350" s="1"/>
      <c r="V350" s="1"/>
      <c r="W350" s="1"/>
      <c r="X350" s="1"/>
      <c r="Y350" s="1"/>
      <c r="Z350" s="1"/>
      <c r="AA350" s="1"/>
      <c r="AB350" s="1"/>
    </row>
    <row r="351" spans="1:28" ht="11.25" customHeight="1" x14ac:dyDescent="0.25">
      <c r="A351" s="825"/>
      <c r="B351" s="16"/>
      <c r="C351" s="1"/>
      <c r="D351" s="1"/>
      <c r="E351" s="1"/>
      <c r="F351" s="1"/>
      <c r="G351" s="1"/>
      <c r="H351" s="1"/>
      <c r="I351" s="1"/>
      <c r="J351" s="1"/>
      <c r="K351" s="1"/>
      <c r="L351" s="22"/>
      <c r="M351" s="262"/>
      <c r="N351" s="1"/>
      <c r="O351" s="1"/>
      <c r="P351" s="1"/>
      <c r="Q351" s="1"/>
      <c r="R351" s="1"/>
      <c r="S351" s="1"/>
      <c r="T351" s="1"/>
      <c r="U351" s="1"/>
      <c r="V351" s="1"/>
      <c r="W351" s="1"/>
      <c r="X351" s="1"/>
      <c r="Y351" s="1"/>
      <c r="Z351" s="1"/>
      <c r="AA351" s="1"/>
      <c r="AB351" s="1"/>
    </row>
    <row r="352" spans="1:28" ht="11.25" customHeight="1" x14ac:dyDescent="0.25">
      <c r="A352" s="825"/>
      <c r="B352" s="16"/>
      <c r="C352" s="1"/>
      <c r="D352" s="1"/>
      <c r="E352" s="1"/>
      <c r="F352" s="1"/>
      <c r="G352" s="1"/>
      <c r="H352" s="1"/>
      <c r="I352" s="1"/>
      <c r="J352" s="1"/>
      <c r="K352" s="1"/>
      <c r="L352" s="22"/>
      <c r="M352" s="262"/>
      <c r="N352" s="1"/>
      <c r="O352" s="1"/>
      <c r="P352" s="1"/>
      <c r="Q352" s="1"/>
      <c r="R352" s="1"/>
      <c r="S352" s="1"/>
      <c r="T352" s="1"/>
      <c r="U352" s="1"/>
      <c r="V352" s="1"/>
      <c r="W352" s="1"/>
      <c r="X352" s="1"/>
      <c r="Y352" s="1"/>
      <c r="Z352" s="1"/>
      <c r="AA352" s="1"/>
      <c r="AB352" s="1"/>
    </row>
    <row r="353" spans="1:28" ht="11.25" customHeight="1" x14ac:dyDescent="0.25">
      <c r="A353" s="825"/>
      <c r="B353" s="16"/>
      <c r="C353" s="1"/>
      <c r="D353" s="1"/>
      <c r="E353" s="1"/>
      <c r="F353" s="1"/>
      <c r="G353" s="1"/>
      <c r="H353" s="1"/>
      <c r="I353" s="1"/>
      <c r="J353" s="1"/>
      <c r="K353" s="1"/>
      <c r="L353" s="22"/>
      <c r="M353" s="262"/>
      <c r="N353" s="1"/>
      <c r="O353" s="1"/>
      <c r="P353" s="1"/>
      <c r="Q353" s="1"/>
      <c r="R353" s="1"/>
      <c r="S353" s="1"/>
      <c r="T353" s="1"/>
      <c r="U353" s="1"/>
      <c r="V353" s="1"/>
      <c r="W353" s="1"/>
      <c r="X353" s="1"/>
      <c r="Y353" s="1"/>
      <c r="Z353" s="1"/>
      <c r="AA353" s="1"/>
      <c r="AB353" s="1"/>
    </row>
    <row r="354" spans="1:28" ht="11.25" customHeight="1" x14ac:dyDescent="0.25">
      <c r="A354" s="825"/>
      <c r="B354" s="16"/>
      <c r="C354" s="1"/>
      <c r="D354" s="1"/>
      <c r="E354" s="1"/>
      <c r="F354" s="1"/>
      <c r="G354" s="1"/>
      <c r="H354" s="1"/>
      <c r="I354" s="1"/>
      <c r="J354" s="1"/>
      <c r="K354" s="1"/>
      <c r="L354" s="22"/>
      <c r="M354" s="262"/>
      <c r="N354" s="1"/>
      <c r="O354" s="1"/>
      <c r="P354" s="1"/>
      <c r="Q354" s="1"/>
      <c r="R354" s="1"/>
      <c r="S354" s="1"/>
      <c r="T354" s="1"/>
      <c r="U354" s="1"/>
      <c r="V354" s="1"/>
      <c r="W354" s="1"/>
      <c r="X354" s="1"/>
      <c r="Y354" s="1"/>
      <c r="Z354" s="1"/>
      <c r="AA354" s="1"/>
      <c r="AB354" s="1"/>
    </row>
    <row r="355" spans="1:28" ht="11.25" customHeight="1" x14ac:dyDescent="0.25">
      <c r="A355" s="825"/>
      <c r="B355" s="16"/>
      <c r="C355" s="1"/>
      <c r="D355" s="1"/>
      <c r="E355" s="1"/>
      <c r="F355" s="1"/>
      <c r="G355" s="1"/>
      <c r="H355" s="1"/>
      <c r="I355" s="1"/>
      <c r="J355" s="1"/>
      <c r="K355" s="1"/>
      <c r="L355" s="22"/>
      <c r="M355" s="262"/>
      <c r="N355" s="1"/>
      <c r="O355" s="1"/>
      <c r="P355" s="1"/>
      <c r="Q355" s="1"/>
      <c r="R355" s="1"/>
      <c r="S355" s="1"/>
      <c r="T355" s="1"/>
      <c r="U355" s="1"/>
      <c r="V355" s="1"/>
      <c r="W355" s="1"/>
      <c r="X355" s="1"/>
      <c r="Y355" s="1"/>
      <c r="Z355" s="1"/>
      <c r="AA355" s="1"/>
      <c r="AB355" s="1"/>
    </row>
    <row r="356" spans="1:28" ht="11.25" customHeight="1" x14ac:dyDescent="0.25">
      <c r="A356" s="825"/>
      <c r="B356" s="16"/>
      <c r="C356" s="1"/>
      <c r="D356" s="1"/>
      <c r="E356" s="1"/>
      <c r="F356" s="1"/>
      <c r="G356" s="1"/>
      <c r="H356" s="1"/>
      <c r="I356" s="1"/>
      <c r="J356" s="1"/>
      <c r="K356" s="1"/>
      <c r="L356" s="22"/>
      <c r="M356" s="262"/>
      <c r="N356" s="1"/>
      <c r="O356" s="1"/>
      <c r="P356" s="1"/>
      <c r="Q356" s="1"/>
      <c r="R356" s="1"/>
      <c r="S356" s="1"/>
      <c r="T356" s="1"/>
      <c r="U356" s="1"/>
      <c r="V356" s="1"/>
      <c r="W356" s="1"/>
      <c r="X356" s="1"/>
      <c r="Y356" s="1"/>
      <c r="Z356" s="1"/>
      <c r="AA356" s="1"/>
      <c r="AB356" s="1"/>
    </row>
    <row r="357" spans="1:28" ht="11.25" customHeight="1" x14ac:dyDescent="0.25">
      <c r="A357" s="825"/>
      <c r="B357" s="16"/>
      <c r="C357" s="1"/>
      <c r="D357" s="1"/>
      <c r="E357" s="1"/>
      <c r="F357" s="1"/>
      <c r="G357" s="1"/>
      <c r="H357" s="1"/>
      <c r="I357" s="1"/>
      <c r="J357" s="1"/>
      <c r="K357" s="1"/>
      <c r="L357" s="22"/>
      <c r="M357" s="262"/>
      <c r="N357" s="1"/>
      <c r="O357" s="1"/>
      <c r="P357" s="1"/>
      <c r="Q357" s="1"/>
      <c r="R357" s="1"/>
      <c r="S357" s="1"/>
      <c r="T357" s="1"/>
      <c r="U357" s="1"/>
      <c r="V357" s="1"/>
      <c r="W357" s="1"/>
      <c r="X357" s="1"/>
      <c r="Y357" s="1"/>
      <c r="Z357" s="1"/>
      <c r="AA357" s="1"/>
      <c r="AB357" s="1"/>
    </row>
    <row r="358" spans="1:28" ht="11.25" customHeight="1" x14ac:dyDescent="0.25">
      <c r="A358" s="825"/>
      <c r="B358" s="16"/>
      <c r="C358" s="1"/>
      <c r="D358" s="1"/>
      <c r="E358" s="1"/>
      <c r="F358" s="1"/>
      <c r="G358" s="1"/>
      <c r="H358" s="1"/>
      <c r="I358" s="1"/>
      <c r="J358" s="1"/>
      <c r="K358" s="1"/>
      <c r="L358" s="22"/>
      <c r="M358" s="262"/>
      <c r="N358" s="1"/>
      <c r="O358" s="1"/>
      <c r="P358" s="1"/>
      <c r="Q358" s="1"/>
      <c r="R358" s="1"/>
      <c r="S358" s="1"/>
      <c r="T358" s="1"/>
      <c r="U358" s="1"/>
      <c r="V358" s="1"/>
      <c r="W358" s="1"/>
      <c r="X358" s="1"/>
      <c r="Y358" s="1"/>
      <c r="Z358" s="1"/>
      <c r="AA358" s="1"/>
      <c r="AB358" s="1"/>
    </row>
    <row r="359" spans="1:28" ht="11.25" customHeight="1" x14ac:dyDescent="0.25">
      <c r="A359" s="825"/>
      <c r="B359" s="16"/>
      <c r="C359" s="1"/>
      <c r="D359" s="1"/>
      <c r="E359" s="1"/>
      <c r="F359" s="1"/>
      <c r="G359" s="1"/>
      <c r="H359" s="1"/>
      <c r="I359" s="1"/>
      <c r="J359" s="1"/>
      <c r="K359" s="1"/>
      <c r="L359" s="22"/>
      <c r="M359" s="262"/>
      <c r="N359" s="1"/>
      <c r="O359" s="1"/>
      <c r="P359" s="1"/>
      <c r="Q359" s="1"/>
      <c r="R359" s="1"/>
      <c r="S359" s="1"/>
      <c r="T359" s="1"/>
      <c r="U359" s="1"/>
      <c r="V359" s="1"/>
      <c r="W359" s="1"/>
      <c r="X359" s="1"/>
      <c r="Y359" s="1"/>
      <c r="Z359" s="1"/>
      <c r="AA359" s="1"/>
      <c r="AB359" s="1"/>
    </row>
    <row r="360" spans="1:28" ht="11.25" customHeight="1" x14ac:dyDescent="0.25">
      <c r="A360" s="825"/>
      <c r="B360" s="16"/>
      <c r="C360" s="1"/>
      <c r="D360" s="1"/>
      <c r="E360" s="1"/>
      <c r="F360" s="1"/>
      <c r="G360" s="1"/>
      <c r="H360" s="1"/>
      <c r="I360" s="1"/>
      <c r="J360" s="1"/>
      <c r="K360" s="1"/>
      <c r="L360" s="22"/>
      <c r="M360" s="262"/>
      <c r="N360" s="1"/>
      <c r="O360" s="1"/>
      <c r="P360" s="1"/>
      <c r="Q360" s="1"/>
      <c r="R360" s="1"/>
      <c r="S360" s="1"/>
      <c r="T360" s="1"/>
      <c r="U360" s="1"/>
      <c r="V360" s="1"/>
      <c r="W360" s="1"/>
      <c r="X360" s="1"/>
      <c r="Y360" s="1"/>
      <c r="Z360" s="1"/>
      <c r="AA360" s="1"/>
      <c r="AB360" s="1"/>
    </row>
    <row r="361" spans="1:28" ht="11.25" customHeight="1" x14ac:dyDescent="0.25">
      <c r="A361" s="825"/>
      <c r="B361" s="16"/>
      <c r="C361" s="1"/>
      <c r="D361" s="1"/>
      <c r="E361" s="1"/>
      <c r="F361" s="1"/>
      <c r="G361" s="1"/>
      <c r="H361" s="1"/>
      <c r="I361" s="1"/>
      <c r="J361" s="1"/>
      <c r="K361" s="1"/>
      <c r="L361" s="22"/>
      <c r="M361" s="262"/>
      <c r="N361" s="1"/>
      <c r="O361" s="1"/>
      <c r="P361" s="1"/>
      <c r="Q361" s="1"/>
      <c r="R361" s="1"/>
      <c r="S361" s="1"/>
      <c r="T361" s="1"/>
      <c r="U361" s="1"/>
      <c r="V361" s="1"/>
      <c r="W361" s="1"/>
      <c r="X361" s="1"/>
      <c r="Y361" s="1"/>
      <c r="Z361" s="1"/>
      <c r="AA361" s="1"/>
      <c r="AB361" s="1"/>
    </row>
    <row r="362" spans="1:28" ht="11.25" customHeight="1" x14ac:dyDescent="0.25">
      <c r="A362" s="825"/>
      <c r="B362" s="16"/>
      <c r="C362" s="1"/>
      <c r="D362" s="1"/>
      <c r="E362" s="1"/>
      <c r="F362" s="1"/>
      <c r="G362" s="1"/>
      <c r="H362" s="1"/>
      <c r="I362" s="1"/>
      <c r="J362" s="1"/>
      <c r="K362" s="1"/>
      <c r="L362" s="22"/>
      <c r="M362" s="262"/>
      <c r="N362" s="1"/>
      <c r="O362" s="1"/>
      <c r="P362" s="1"/>
      <c r="Q362" s="1"/>
      <c r="R362" s="1"/>
      <c r="S362" s="1"/>
      <c r="T362" s="1"/>
      <c r="U362" s="1"/>
      <c r="V362" s="1"/>
      <c r="W362" s="1"/>
      <c r="X362" s="1"/>
      <c r="Y362" s="1"/>
      <c r="Z362" s="1"/>
      <c r="AA362" s="1"/>
      <c r="AB362" s="1"/>
    </row>
    <row r="363" spans="1:28" ht="11.25" customHeight="1" x14ac:dyDescent="0.25">
      <c r="A363" s="825"/>
      <c r="B363" s="16"/>
      <c r="C363" s="1"/>
      <c r="D363" s="1"/>
      <c r="E363" s="1"/>
      <c r="F363" s="1"/>
      <c r="G363" s="1"/>
      <c r="H363" s="1"/>
      <c r="I363" s="1"/>
      <c r="J363" s="1"/>
      <c r="K363" s="1"/>
      <c r="L363" s="22"/>
      <c r="M363" s="262"/>
      <c r="N363" s="1"/>
      <c r="O363" s="1"/>
      <c r="P363" s="1"/>
      <c r="Q363" s="1"/>
      <c r="R363" s="1"/>
      <c r="S363" s="1"/>
      <c r="T363" s="1"/>
      <c r="U363" s="1"/>
      <c r="V363" s="1"/>
      <c r="W363" s="1"/>
      <c r="X363" s="1"/>
      <c r="Y363" s="1"/>
      <c r="Z363" s="1"/>
      <c r="AA363" s="1"/>
      <c r="AB363" s="1"/>
    </row>
    <row r="364" spans="1:28" ht="11.25" customHeight="1" x14ac:dyDescent="0.25">
      <c r="A364" s="825"/>
      <c r="B364" s="16"/>
      <c r="C364" s="1"/>
      <c r="D364" s="1"/>
      <c r="E364" s="1"/>
      <c r="F364" s="1"/>
      <c r="G364" s="1"/>
      <c r="H364" s="1"/>
      <c r="I364" s="1"/>
      <c r="J364" s="1"/>
      <c r="K364" s="1"/>
      <c r="L364" s="22"/>
      <c r="M364" s="262"/>
      <c r="N364" s="1"/>
      <c r="O364" s="1"/>
      <c r="P364" s="1"/>
      <c r="Q364" s="1"/>
      <c r="R364" s="1"/>
      <c r="S364" s="1"/>
      <c r="T364" s="1"/>
      <c r="U364" s="1"/>
      <c r="V364" s="1"/>
      <c r="W364" s="1"/>
      <c r="X364" s="1"/>
      <c r="Y364" s="1"/>
      <c r="Z364" s="1"/>
      <c r="AA364" s="1"/>
      <c r="AB364" s="1"/>
    </row>
    <row r="365" spans="1:28" ht="11.25" customHeight="1" x14ac:dyDescent="0.25">
      <c r="A365" s="825"/>
      <c r="B365" s="16"/>
      <c r="C365" s="1"/>
      <c r="D365" s="1"/>
      <c r="E365" s="1"/>
      <c r="F365" s="1"/>
      <c r="G365" s="1"/>
      <c r="H365" s="1"/>
      <c r="I365" s="1"/>
      <c r="J365" s="1"/>
      <c r="K365" s="1"/>
      <c r="L365" s="22"/>
      <c r="M365" s="262"/>
      <c r="N365" s="1"/>
      <c r="O365" s="1"/>
      <c r="P365" s="1"/>
      <c r="Q365" s="1"/>
      <c r="R365" s="1"/>
      <c r="S365" s="1"/>
      <c r="T365" s="1"/>
      <c r="U365" s="1"/>
      <c r="V365" s="1"/>
      <c r="W365" s="1"/>
      <c r="X365" s="1"/>
      <c r="Y365" s="1"/>
      <c r="Z365" s="1"/>
      <c r="AA365" s="1"/>
      <c r="AB365" s="1"/>
    </row>
    <row r="366" spans="1:28" ht="11.25" customHeight="1" x14ac:dyDescent="0.25">
      <c r="A366" s="825"/>
      <c r="B366" s="16"/>
      <c r="C366" s="1"/>
      <c r="D366" s="1"/>
      <c r="E366" s="1"/>
      <c r="F366" s="1"/>
      <c r="G366" s="1"/>
      <c r="H366" s="1"/>
      <c r="I366" s="1"/>
      <c r="J366" s="1"/>
      <c r="K366" s="1"/>
      <c r="L366" s="22"/>
      <c r="M366" s="262"/>
      <c r="N366" s="1"/>
      <c r="O366" s="1"/>
      <c r="P366" s="1"/>
      <c r="Q366" s="1"/>
      <c r="R366" s="1"/>
      <c r="S366" s="1"/>
      <c r="T366" s="1"/>
      <c r="U366" s="1"/>
      <c r="V366" s="1"/>
      <c r="W366" s="1"/>
      <c r="X366" s="1"/>
      <c r="Y366" s="1"/>
      <c r="Z366" s="1"/>
      <c r="AA366" s="1"/>
      <c r="AB366" s="1"/>
    </row>
    <row r="367" spans="1:28" ht="11.25" customHeight="1" x14ac:dyDescent="0.25">
      <c r="A367" s="825"/>
      <c r="B367" s="16"/>
      <c r="C367" s="1"/>
      <c r="D367" s="1"/>
      <c r="E367" s="1"/>
      <c r="F367" s="1"/>
      <c r="G367" s="1"/>
      <c r="H367" s="1"/>
      <c r="I367" s="1"/>
      <c r="J367" s="1"/>
      <c r="K367" s="1"/>
      <c r="L367" s="22"/>
      <c r="M367" s="262"/>
      <c r="N367" s="1"/>
      <c r="O367" s="1"/>
      <c r="P367" s="1"/>
      <c r="Q367" s="1"/>
      <c r="R367" s="1"/>
      <c r="S367" s="1"/>
      <c r="T367" s="1"/>
      <c r="U367" s="1"/>
      <c r="V367" s="1"/>
      <c r="W367" s="1"/>
      <c r="X367" s="1"/>
      <c r="Y367" s="1"/>
      <c r="Z367" s="1"/>
      <c r="AA367" s="1"/>
      <c r="AB367" s="1"/>
    </row>
    <row r="368" spans="1:28" ht="11.25" customHeight="1" x14ac:dyDescent="0.25">
      <c r="A368" s="825"/>
      <c r="B368" s="16"/>
      <c r="C368" s="1"/>
      <c r="D368" s="1"/>
      <c r="E368" s="1"/>
      <c r="F368" s="1"/>
      <c r="G368" s="1"/>
      <c r="H368" s="1"/>
      <c r="I368" s="1"/>
      <c r="J368" s="1"/>
      <c r="K368" s="1"/>
      <c r="L368" s="22"/>
      <c r="M368" s="262"/>
      <c r="N368" s="1"/>
      <c r="O368" s="1"/>
      <c r="P368" s="1"/>
      <c r="Q368" s="1"/>
      <c r="R368" s="1"/>
      <c r="S368" s="1"/>
      <c r="T368" s="1"/>
      <c r="U368" s="1"/>
      <c r="V368" s="1"/>
      <c r="W368" s="1"/>
      <c r="X368" s="1"/>
      <c r="Y368" s="1"/>
      <c r="Z368" s="1"/>
      <c r="AA368" s="1"/>
      <c r="AB368" s="1"/>
    </row>
    <row r="369" spans="1:28" ht="11.25" customHeight="1" x14ac:dyDescent="0.25">
      <c r="A369" s="825"/>
      <c r="B369" s="16"/>
      <c r="C369" s="1"/>
      <c r="D369" s="1"/>
      <c r="E369" s="1"/>
      <c r="F369" s="1"/>
      <c r="G369" s="1"/>
      <c r="H369" s="1"/>
      <c r="I369" s="1"/>
      <c r="J369" s="1"/>
      <c r="K369" s="1"/>
      <c r="L369" s="22"/>
      <c r="M369" s="262"/>
      <c r="N369" s="1"/>
      <c r="O369" s="1"/>
      <c r="P369" s="1"/>
      <c r="Q369" s="1"/>
      <c r="R369" s="1"/>
      <c r="S369" s="1"/>
      <c r="T369" s="1"/>
      <c r="U369" s="1"/>
      <c r="V369" s="1"/>
      <c r="W369" s="1"/>
      <c r="X369" s="1"/>
      <c r="Y369" s="1"/>
      <c r="Z369" s="1"/>
      <c r="AA369" s="1"/>
      <c r="AB369" s="1"/>
    </row>
    <row r="370" spans="1:28" ht="11.25" customHeight="1" x14ac:dyDescent="0.25">
      <c r="A370" s="825"/>
      <c r="B370" s="16"/>
      <c r="C370" s="1"/>
      <c r="D370" s="1"/>
      <c r="E370" s="1"/>
      <c r="F370" s="1"/>
      <c r="G370" s="1"/>
      <c r="H370" s="1"/>
      <c r="I370" s="1"/>
      <c r="J370" s="1"/>
      <c r="K370" s="1"/>
      <c r="L370" s="22"/>
      <c r="M370" s="262"/>
      <c r="N370" s="1"/>
      <c r="O370" s="1"/>
      <c r="P370" s="1"/>
      <c r="Q370" s="1"/>
      <c r="R370" s="1"/>
      <c r="S370" s="1"/>
      <c r="T370" s="1"/>
      <c r="U370" s="1"/>
      <c r="V370" s="1"/>
      <c r="W370" s="1"/>
      <c r="X370" s="1"/>
      <c r="Y370" s="1"/>
      <c r="Z370" s="1"/>
      <c r="AA370" s="1"/>
      <c r="AB370" s="1"/>
    </row>
    <row r="371" spans="1:28" ht="11.25" customHeight="1" x14ac:dyDescent="0.25">
      <c r="A371" s="825"/>
      <c r="B371" s="16"/>
      <c r="C371" s="1"/>
      <c r="D371" s="1"/>
      <c r="E371" s="1"/>
      <c r="F371" s="1"/>
      <c r="G371" s="1"/>
      <c r="H371" s="1"/>
      <c r="I371" s="1"/>
      <c r="J371" s="1"/>
      <c r="K371" s="1"/>
      <c r="L371" s="22"/>
      <c r="M371" s="262"/>
      <c r="N371" s="1"/>
      <c r="O371" s="1"/>
      <c r="P371" s="1"/>
      <c r="Q371" s="1"/>
      <c r="R371" s="1"/>
      <c r="S371" s="1"/>
      <c r="T371" s="1"/>
      <c r="U371" s="1"/>
      <c r="V371" s="1"/>
      <c r="W371" s="1"/>
      <c r="X371" s="1"/>
      <c r="Y371" s="1"/>
      <c r="Z371" s="1"/>
      <c r="AA371" s="1"/>
      <c r="AB371" s="1"/>
    </row>
    <row r="372" spans="1:28" ht="11.25" customHeight="1" x14ac:dyDescent="0.25">
      <c r="A372" s="825"/>
      <c r="B372" s="16"/>
      <c r="C372" s="1"/>
      <c r="D372" s="1"/>
      <c r="E372" s="1"/>
      <c r="F372" s="1"/>
      <c r="G372" s="1"/>
      <c r="H372" s="1"/>
      <c r="I372" s="1"/>
      <c r="J372" s="1"/>
      <c r="K372" s="1"/>
      <c r="L372" s="22"/>
      <c r="M372" s="262"/>
      <c r="N372" s="1"/>
      <c r="O372" s="1"/>
      <c r="P372" s="1"/>
      <c r="Q372" s="1"/>
      <c r="R372" s="1"/>
      <c r="S372" s="1"/>
      <c r="T372" s="1"/>
      <c r="U372" s="1"/>
      <c r="V372" s="1"/>
      <c r="W372" s="1"/>
      <c r="X372" s="1"/>
      <c r="Y372" s="1"/>
      <c r="Z372" s="1"/>
      <c r="AA372" s="1"/>
      <c r="AB372" s="1"/>
    </row>
    <row r="373" spans="1:28" ht="11.25" customHeight="1" x14ac:dyDescent="0.25">
      <c r="A373" s="825"/>
      <c r="B373" s="16"/>
      <c r="C373" s="1"/>
      <c r="D373" s="1"/>
      <c r="E373" s="1"/>
      <c r="F373" s="1"/>
      <c r="G373" s="1"/>
      <c r="H373" s="1"/>
      <c r="I373" s="1"/>
      <c r="J373" s="1"/>
      <c r="K373" s="1"/>
      <c r="L373" s="22"/>
      <c r="M373" s="262"/>
      <c r="N373" s="1"/>
      <c r="O373" s="1"/>
      <c r="P373" s="1"/>
      <c r="Q373" s="1"/>
      <c r="R373" s="1"/>
      <c r="S373" s="1"/>
      <c r="T373" s="1"/>
      <c r="U373" s="1"/>
      <c r="V373" s="1"/>
      <c r="W373" s="1"/>
      <c r="X373" s="1"/>
      <c r="Y373" s="1"/>
      <c r="Z373" s="1"/>
      <c r="AA373" s="1"/>
      <c r="AB373" s="1"/>
    </row>
    <row r="374" spans="1:28" ht="11.25" customHeight="1" x14ac:dyDescent="0.25">
      <c r="A374" s="825"/>
      <c r="B374" s="16"/>
      <c r="C374" s="1"/>
      <c r="D374" s="1"/>
      <c r="E374" s="1"/>
      <c r="F374" s="1"/>
      <c r="G374" s="1"/>
      <c r="H374" s="1"/>
      <c r="I374" s="1"/>
      <c r="J374" s="1"/>
      <c r="K374" s="1"/>
      <c r="L374" s="22"/>
      <c r="M374" s="262"/>
      <c r="N374" s="1"/>
      <c r="O374" s="1"/>
      <c r="P374" s="1"/>
      <c r="Q374" s="1"/>
      <c r="R374" s="1"/>
      <c r="S374" s="1"/>
      <c r="T374" s="1"/>
      <c r="U374" s="1"/>
      <c r="V374" s="1"/>
      <c r="W374" s="1"/>
      <c r="X374" s="1"/>
      <c r="Y374" s="1"/>
      <c r="Z374" s="1"/>
      <c r="AA374" s="1"/>
      <c r="AB374" s="1"/>
    </row>
    <row r="375" spans="1:28" ht="11.25" customHeight="1" x14ac:dyDescent="0.25">
      <c r="A375" s="825"/>
      <c r="B375" s="16"/>
      <c r="C375" s="1"/>
      <c r="D375" s="1"/>
      <c r="E375" s="1"/>
      <c r="F375" s="1"/>
      <c r="G375" s="1"/>
      <c r="H375" s="1"/>
      <c r="I375" s="1"/>
      <c r="J375" s="1"/>
      <c r="K375" s="1"/>
      <c r="L375" s="22"/>
      <c r="M375" s="262"/>
      <c r="N375" s="1"/>
      <c r="O375" s="1"/>
      <c r="P375" s="1"/>
      <c r="Q375" s="1"/>
      <c r="R375" s="1"/>
      <c r="S375" s="1"/>
      <c r="T375" s="1"/>
      <c r="U375" s="1"/>
      <c r="V375" s="1"/>
      <c r="W375" s="1"/>
      <c r="X375" s="1"/>
      <c r="Y375" s="1"/>
      <c r="Z375" s="1"/>
      <c r="AA375" s="1"/>
      <c r="AB375" s="1"/>
    </row>
    <row r="376" spans="1:28" ht="11.25" customHeight="1" x14ac:dyDescent="0.25">
      <c r="A376" s="825"/>
      <c r="B376" s="16"/>
      <c r="C376" s="1"/>
      <c r="D376" s="1"/>
      <c r="E376" s="1"/>
      <c r="F376" s="1"/>
      <c r="G376" s="1"/>
      <c r="H376" s="1"/>
      <c r="I376" s="1"/>
      <c r="J376" s="1"/>
      <c r="K376" s="1"/>
      <c r="L376" s="22"/>
      <c r="M376" s="262"/>
      <c r="N376" s="1"/>
      <c r="O376" s="1"/>
      <c r="P376" s="1"/>
      <c r="Q376" s="1"/>
      <c r="R376" s="1"/>
      <c r="S376" s="1"/>
      <c r="T376" s="1"/>
      <c r="U376" s="1"/>
      <c r="V376" s="1"/>
      <c r="W376" s="1"/>
      <c r="X376" s="1"/>
      <c r="Y376" s="1"/>
      <c r="Z376" s="1"/>
      <c r="AA376" s="1"/>
      <c r="AB376" s="1"/>
    </row>
    <row r="377" spans="1:28" ht="11.25" customHeight="1" x14ac:dyDescent="0.25">
      <c r="A377" s="825"/>
      <c r="B377" s="16"/>
      <c r="C377" s="1"/>
      <c r="D377" s="1"/>
      <c r="E377" s="1"/>
      <c r="F377" s="1"/>
      <c r="G377" s="1"/>
      <c r="H377" s="1"/>
      <c r="I377" s="1"/>
      <c r="J377" s="1"/>
      <c r="K377" s="1"/>
      <c r="L377" s="22"/>
      <c r="M377" s="262"/>
      <c r="N377" s="1"/>
      <c r="O377" s="1"/>
      <c r="P377" s="1"/>
      <c r="Q377" s="1"/>
      <c r="R377" s="1"/>
      <c r="S377" s="1"/>
      <c r="T377" s="1"/>
      <c r="U377" s="1"/>
      <c r="V377" s="1"/>
      <c r="W377" s="1"/>
      <c r="X377" s="1"/>
      <c r="Y377" s="1"/>
      <c r="Z377" s="1"/>
      <c r="AA377" s="1"/>
      <c r="AB377" s="1"/>
    </row>
    <row r="378" spans="1:28" ht="11.25" customHeight="1" x14ac:dyDescent="0.25">
      <c r="A378" s="825"/>
      <c r="B378" s="16"/>
      <c r="C378" s="1"/>
      <c r="D378" s="1"/>
      <c r="E378" s="1"/>
      <c r="F378" s="1"/>
      <c r="G378" s="1"/>
      <c r="H378" s="1"/>
      <c r="I378" s="1"/>
      <c r="J378" s="1"/>
      <c r="K378" s="1"/>
      <c r="L378" s="22"/>
      <c r="M378" s="262"/>
      <c r="N378" s="1"/>
      <c r="O378" s="1"/>
      <c r="P378" s="1"/>
      <c r="Q378" s="1"/>
      <c r="R378" s="1"/>
      <c r="S378" s="1"/>
      <c r="T378" s="1"/>
      <c r="U378" s="1"/>
      <c r="V378" s="1"/>
      <c r="W378" s="1"/>
      <c r="X378" s="1"/>
      <c r="Y378" s="1"/>
      <c r="Z378" s="1"/>
      <c r="AA378" s="1"/>
      <c r="AB378" s="1"/>
    </row>
    <row r="379" spans="1:28" ht="11.25" customHeight="1" x14ac:dyDescent="0.25">
      <c r="A379" s="825"/>
      <c r="B379" s="16"/>
      <c r="C379" s="1"/>
      <c r="D379" s="1"/>
      <c r="E379" s="1"/>
      <c r="F379" s="1"/>
      <c r="G379" s="1"/>
      <c r="H379" s="1"/>
      <c r="I379" s="1"/>
      <c r="J379" s="1"/>
      <c r="K379" s="1"/>
      <c r="L379" s="22"/>
      <c r="M379" s="262"/>
      <c r="N379" s="1"/>
      <c r="O379" s="1"/>
      <c r="P379" s="1"/>
      <c r="Q379" s="1"/>
      <c r="R379" s="1"/>
      <c r="S379" s="1"/>
      <c r="T379" s="1"/>
      <c r="U379" s="1"/>
      <c r="V379" s="1"/>
      <c r="W379" s="1"/>
      <c r="X379" s="1"/>
      <c r="Y379" s="1"/>
      <c r="Z379" s="1"/>
      <c r="AA379" s="1"/>
      <c r="AB379" s="1"/>
    </row>
    <row r="380" spans="1:28" ht="11.25" customHeight="1" x14ac:dyDescent="0.25">
      <c r="A380" s="825"/>
      <c r="B380" s="16"/>
      <c r="C380" s="1"/>
      <c r="D380" s="1"/>
      <c r="E380" s="1"/>
      <c r="F380" s="1"/>
      <c r="G380" s="1"/>
      <c r="H380" s="1"/>
      <c r="I380" s="1"/>
      <c r="J380" s="1"/>
      <c r="K380" s="1"/>
      <c r="L380" s="22"/>
      <c r="M380" s="262"/>
      <c r="N380" s="1"/>
      <c r="O380" s="1"/>
      <c r="P380" s="1"/>
      <c r="Q380" s="1"/>
      <c r="R380" s="1"/>
      <c r="S380" s="1"/>
      <c r="T380" s="1"/>
      <c r="U380" s="1"/>
      <c r="V380" s="1"/>
      <c r="W380" s="1"/>
      <c r="X380" s="1"/>
      <c r="Y380" s="1"/>
      <c r="Z380" s="1"/>
      <c r="AA380" s="1"/>
      <c r="AB380" s="1"/>
    </row>
    <row r="381" spans="1:28" ht="11.25" customHeight="1" x14ac:dyDescent="0.25">
      <c r="A381" s="825"/>
      <c r="B381" s="16"/>
      <c r="C381" s="1"/>
      <c r="D381" s="1"/>
      <c r="E381" s="1"/>
      <c r="F381" s="1"/>
      <c r="G381" s="1"/>
      <c r="H381" s="1"/>
      <c r="I381" s="1"/>
      <c r="J381" s="1"/>
      <c r="K381" s="1"/>
      <c r="L381" s="22"/>
      <c r="M381" s="262"/>
      <c r="N381" s="1"/>
      <c r="O381" s="1"/>
      <c r="P381" s="1"/>
      <c r="Q381" s="1"/>
      <c r="R381" s="1"/>
      <c r="S381" s="1"/>
      <c r="T381" s="1"/>
      <c r="U381" s="1"/>
      <c r="V381" s="1"/>
      <c r="W381" s="1"/>
      <c r="X381" s="1"/>
      <c r="Y381" s="1"/>
      <c r="Z381" s="1"/>
      <c r="AA381" s="1"/>
      <c r="AB381" s="1"/>
    </row>
    <row r="382" spans="1:28" ht="11.25" customHeight="1" x14ac:dyDescent="0.25">
      <c r="A382" s="825"/>
      <c r="B382" s="16"/>
      <c r="C382" s="1"/>
      <c r="D382" s="1"/>
      <c r="E382" s="1"/>
      <c r="F382" s="1"/>
      <c r="G382" s="1"/>
      <c r="H382" s="1"/>
      <c r="I382" s="1"/>
      <c r="J382" s="1"/>
      <c r="K382" s="1"/>
      <c r="L382" s="22"/>
      <c r="M382" s="262"/>
      <c r="N382" s="1"/>
      <c r="O382" s="1"/>
      <c r="P382" s="1"/>
      <c r="Q382" s="1"/>
      <c r="R382" s="1"/>
      <c r="S382" s="1"/>
      <c r="T382" s="1"/>
      <c r="U382" s="1"/>
      <c r="V382" s="1"/>
      <c r="W382" s="1"/>
      <c r="X382" s="1"/>
      <c r="Y382" s="1"/>
      <c r="Z382" s="1"/>
      <c r="AA382" s="1"/>
      <c r="AB382" s="1"/>
    </row>
    <row r="383" spans="1:28" ht="11.25" customHeight="1" x14ac:dyDescent="0.25">
      <c r="A383" s="825"/>
      <c r="B383" s="16"/>
      <c r="C383" s="1"/>
      <c r="D383" s="1"/>
      <c r="E383" s="1"/>
      <c r="F383" s="1"/>
      <c r="G383" s="1"/>
      <c r="H383" s="1"/>
      <c r="I383" s="1"/>
      <c r="J383" s="1"/>
      <c r="K383" s="1"/>
      <c r="L383" s="22"/>
      <c r="M383" s="262"/>
      <c r="N383" s="1"/>
      <c r="O383" s="1"/>
      <c r="P383" s="1"/>
      <c r="Q383" s="1"/>
      <c r="R383" s="1"/>
      <c r="S383" s="1"/>
      <c r="T383" s="1"/>
      <c r="U383" s="1"/>
      <c r="V383" s="1"/>
      <c r="W383" s="1"/>
      <c r="X383" s="1"/>
      <c r="Y383" s="1"/>
      <c r="Z383" s="1"/>
      <c r="AA383" s="1"/>
      <c r="AB383" s="1"/>
    </row>
    <row r="384" spans="1:28" ht="11.25" customHeight="1" x14ac:dyDescent="0.25">
      <c r="A384" s="825"/>
      <c r="B384" s="16"/>
      <c r="C384" s="1"/>
      <c r="D384" s="1"/>
      <c r="E384" s="1"/>
      <c r="F384" s="1"/>
      <c r="G384" s="1"/>
      <c r="H384" s="1"/>
      <c r="I384" s="1"/>
      <c r="J384" s="1"/>
      <c r="K384" s="1"/>
      <c r="L384" s="22"/>
      <c r="M384" s="262"/>
      <c r="N384" s="1"/>
      <c r="O384" s="1"/>
      <c r="P384" s="1"/>
      <c r="Q384" s="1"/>
      <c r="R384" s="1"/>
      <c r="S384" s="1"/>
      <c r="T384" s="1"/>
      <c r="U384" s="1"/>
      <c r="V384" s="1"/>
      <c r="W384" s="1"/>
      <c r="X384" s="1"/>
      <c r="Y384" s="1"/>
      <c r="Z384" s="1"/>
      <c r="AA384" s="1"/>
      <c r="AB384" s="1"/>
    </row>
    <row r="385" spans="1:28" ht="11.25" customHeight="1" x14ac:dyDescent="0.25">
      <c r="A385" s="825"/>
      <c r="B385" s="16"/>
      <c r="C385" s="1"/>
      <c r="D385" s="1"/>
      <c r="E385" s="1"/>
      <c r="F385" s="1"/>
      <c r="G385" s="1"/>
      <c r="H385" s="1"/>
      <c r="I385" s="1"/>
      <c r="J385" s="1"/>
      <c r="K385" s="1"/>
      <c r="L385" s="22"/>
      <c r="M385" s="262"/>
      <c r="N385" s="1"/>
      <c r="O385" s="1"/>
      <c r="P385" s="1"/>
      <c r="Q385" s="1"/>
      <c r="R385" s="1"/>
      <c r="S385" s="1"/>
      <c r="T385" s="1"/>
      <c r="U385" s="1"/>
      <c r="V385" s="1"/>
      <c r="W385" s="1"/>
      <c r="X385" s="1"/>
      <c r="Y385" s="1"/>
      <c r="Z385" s="1"/>
      <c r="AA385" s="1"/>
      <c r="AB385" s="1"/>
    </row>
    <row r="386" spans="1:28" ht="11.25" customHeight="1" x14ac:dyDescent="0.25">
      <c r="A386" s="825"/>
      <c r="B386" s="16"/>
      <c r="C386" s="1"/>
      <c r="D386" s="1"/>
      <c r="E386" s="1"/>
      <c r="F386" s="1"/>
      <c r="G386" s="1"/>
      <c r="H386" s="1"/>
      <c r="I386" s="1"/>
      <c r="J386" s="1"/>
      <c r="K386" s="1"/>
      <c r="L386" s="22"/>
      <c r="M386" s="262"/>
      <c r="N386" s="1"/>
      <c r="O386" s="1"/>
      <c r="P386" s="1"/>
      <c r="Q386" s="1"/>
      <c r="R386" s="1"/>
      <c r="S386" s="1"/>
      <c r="T386" s="1"/>
      <c r="U386" s="1"/>
      <c r="V386" s="1"/>
      <c r="W386" s="1"/>
      <c r="X386" s="1"/>
      <c r="Y386" s="1"/>
      <c r="Z386" s="1"/>
      <c r="AA386" s="1"/>
      <c r="AB386" s="1"/>
    </row>
    <row r="387" spans="1:28" ht="11.25" customHeight="1" x14ac:dyDescent="0.25">
      <c r="A387" s="825"/>
      <c r="B387" s="16"/>
      <c r="C387" s="1"/>
      <c r="D387" s="1"/>
      <c r="E387" s="1"/>
      <c r="F387" s="1"/>
      <c r="G387" s="1"/>
      <c r="H387" s="1"/>
      <c r="I387" s="1"/>
      <c r="J387" s="1"/>
      <c r="K387" s="1"/>
      <c r="L387" s="22"/>
      <c r="M387" s="262"/>
      <c r="N387" s="1"/>
      <c r="O387" s="1"/>
      <c r="P387" s="1"/>
      <c r="Q387" s="1"/>
      <c r="R387" s="1"/>
      <c r="S387" s="1"/>
      <c r="T387" s="1"/>
      <c r="U387" s="1"/>
      <c r="V387" s="1"/>
      <c r="W387" s="1"/>
      <c r="X387" s="1"/>
      <c r="Y387" s="1"/>
      <c r="Z387" s="1"/>
      <c r="AA387" s="1"/>
      <c r="AB387" s="1"/>
    </row>
    <row r="388" spans="1:28" ht="11.25" customHeight="1" x14ac:dyDescent="0.25">
      <c r="A388" s="825"/>
      <c r="B388" s="16"/>
      <c r="C388" s="1"/>
      <c r="D388" s="1"/>
      <c r="E388" s="1"/>
      <c r="F388" s="1"/>
      <c r="G388" s="1"/>
      <c r="H388" s="1"/>
      <c r="I388" s="1"/>
      <c r="J388" s="1"/>
      <c r="K388" s="1"/>
      <c r="L388" s="22"/>
      <c r="M388" s="262"/>
      <c r="N388" s="1"/>
      <c r="O388" s="1"/>
      <c r="P388" s="1"/>
      <c r="Q388" s="1"/>
      <c r="R388" s="1"/>
      <c r="S388" s="1"/>
      <c r="T388" s="1"/>
      <c r="U388" s="1"/>
      <c r="V388" s="1"/>
      <c r="W388" s="1"/>
      <c r="X388" s="1"/>
      <c r="Y388" s="1"/>
      <c r="Z388" s="1"/>
      <c r="AA388" s="1"/>
      <c r="AB388" s="1"/>
    </row>
    <row r="389" spans="1:28" ht="11.25" customHeight="1" x14ac:dyDescent="0.25">
      <c r="A389" s="825"/>
      <c r="B389" s="16"/>
      <c r="C389" s="1"/>
      <c r="D389" s="1"/>
      <c r="E389" s="1"/>
      <c r="F389" s="1"/>
      <c r="G389" s="1"/>
      <c r="H389" s="1"/>
      <c r="I389" s="1"/>
      <c r="J389" s="1"/>
      <c r="K389" s="1"/>
      <c r="L389" s="22"/>
      <c r="M389" s="262"/>
      <c r="N389" s="1"/>
      <c r="O389" s="1"/>
      <c r="P389" s="1"/>
      <c r="Q389" s="1"/>
      <c r="R389" s="1"/>
      <c r="S389" s="1"/>
      <c r="T389" s="1"/>
      <c r="U389" s="1"/>
      <c r="V389" s="1"/>
      <c r="W389" s="1"/>
      <c r="X389" s="1"/>
      <c r="Y389" s="1"/>
      <c r="Z389" s="1"/>
      <c r="AA389" s="1"/>
      <c r="AB389" s="1"/>
    </row>
    <row r="390" spans="1:28" ht="11.25" customHeight="1" x14ac:dyDescent="0.25">
      <c r="A390" s="825"/>
      <c r="B390" s="16"/>
      <c r="C390" s="1"/>
      <c r="D390" s="1"/>
      <c r="E390" s="1"/>
      <c r="F390" s="1"/>
      <c r="G390" s="1"/>
      <c r="H390" s="1"/>
      <c r="I390" s="1"/>
      <c r="J390" s="1"/>
      <c r="K390" s="1"/>
      <c r="L390" s="22"/>
      <c r="M390" s="262"/>
      <c r="N390" s="1"/>
      <c r="O390" s="1"/>
      <c r="P390" s="1"/>
      <c r="Q390" s="1"/>
      <c r="R390" s="1"/>
      <c r="S390" s="1"/>
      <c r="T390" s="1"/>
      <c r="U390" s="1"/>
      <c r="V390" s="1"/>
      <c r="W390" s="1"/>
      <c r="X390" s="1"/>
      <c r="Y390" s="1"/>
      <c r="Z390" s="1"/>
      <c r="AA390" s="1"/>
      <c r="AB390" s="1"/>
    </row>
    <row r="391" spans="1:28" ht="11.25" customHeight="1" x14ac:dyDescent="0.25">
      <c r="A391" s="825"/>
      <c r="B391" s="16"/>
      <c r="C391" s="1"/>
      <c r="D391" s="1"/>
      <c r="E391" s="1"/>
      <c r="F391" s="1"/>
      <c r="G391" s="1"/>
      <c r="H391" s="1"/>
      <c r="I391" s="1"/>
      <c r="J391" s="1"/>
      <c r="K391" s="1"/>
      <c r="L391" s="22"/>
      <c r="M391" s="262"/>
      <c r="N391" s="1"/>
      <c r="O391" s="1"/>
      <c r="P391" s="1"/>
      <c r="Q391" s="1"/>
      <c r="R391" s="1"/>
      <c r="S391" s="1"/>
      <c r="T391" s="1"/>
      <c r="U391" s="1"/>
      <c r="V391" s="1"/>
      <c r="W391" s="1"/>
      <c r="X391" s="1"/>
      <c r="Y391" s="1"/>
      <c r="Z391" s="1"/>
      <c r="AA391" s="1"/>
      <c r="AB391" s="1"/>
    </row>
    <row r="392" spans="1:28" ht="11.25" customHeight="1" x14ac:dyDescent="0.25">
      <c r="A392" s="825"/>
      <c r="B392" s="16"/>
      <c r="C392" s="1"/>
      <c r="D392" s="1"/>
      <c r="E392" s="1"/>
      <c r="F392" s="1"/>
      <c r="G392" s="1"/>
      <c r="H392" s="1"/>
      <c r="I392" s="1"/>
      <c r="J392" s="1"/>
      <c r="K392" s="1"/>
      <c r="L392" s="22"/>
      <c r="M392" s="262"/>
      <c r="N392" s="1"/>
      <c r="O392" s="1"/>
      <c r="P392" s="1"/>
      <c r="Q392" s="1"/>
      <c r="R392" s="1"/>
      <c r="S392" s="1"/>
      <c r="T392" s="1"/>
      <c r="U392" s="1"/>
      <c r="V392" s="1"/>
      <c r="W392" s="1"/>
      <c r="X392" s="1"/>
      <c r="Y392" s="1"/>
      <c r="Z392" s="1"/>
      <c r="AA392" s="1"/>
      <c r="AB392" s="1"/>
    </row>
    <row r="393" spans="1:28" ht="11.25" customHeight="1" x14ac:dyDescent="0.25">
      <c r="A393" s="825"/>
      <c r="B393" s="16"/>
      <c r="C393" s="1"/>
      <c r="D393" s="1"/>
      <c r="E393" s="1"/>
      <c r="F393" s="1"/>
      <c r="G393" s="1"/>
      <c r="H393" s="1"/>
      <c r="I393" s="1"/>
      <c r="J393" s="1"/>
      <c r="K393" s="1"/>
      <c r="L393" s="22"/>
      <c r="M393" s="262"/>
      <c r="N393" s="1"/>
      <c r="O393" s="1"/>
      <c r="P393" s="1"/>
      <c r="Q393" s="1"/>
      <c r="R393" s="1"/>
      <c r="S393" s="1"/>
      <c r="T393" s="1"/>
      <c r="U393" s="1"/>
      <c r="V393" s="1"/>
      <c r="W393" s="1"/>
      <c r="X393" s="1"/>
      <c r="Y393" s="1"/>
      <c r="Z393" s="1"/>
      <c r="AA393" s="1"/>
      <c r="AB393" s="1"/>
    </row>
    <row r="394" spans="1:28" ht="11.25" customHeight="1" x14ac:dyDescent="0.25">
      <c r="A394" s="825"/>
      <c r="B394" s="16"/>
      <c r="C394" s="1"/>
      <c r="D394" s="1"/>
      <c r="E394" s="1"/>
      <c r="F394" s="1"/>
      <c r="G394" s="1"/>
      <c r="H394" s="1"/>
      <c r="I394" s="1"/>
      <c r="J394" s="1"/>
      <c r="K394" s="1"/>
      <c r="L394" s="22"/>
      <c r="M394" s="262"/>
      <c r="N394" s="1"/>
      <c r="O394" s="1"/>
      <c r="P394" s="1"/>
      <c r="Q394" s="1"/>
      <c r="R394" s="1"/>
      <c r="S394" s="1"/>
      <c r="T394" s="1"/>
      <c r="U394" s="1"/>
      <c r="V394" s="1"/>
      <c r="W394" s="1"/>
      <c r="X394" s="1"/>
      <c r="Y394" s="1"/>
      <c r="Z394" s="1"/>
      <c r="AA394" s="1"/>
      <c r="AB394" s="1"/>
    </row>
    <row r="395" spans="1:28" ht="11.25" customHeight="1" x14ac:dyDescent="0.25">
      <c r="A395" s="825"/>
      <c r="B395" s="16"/>
      <c r="C395" s="1"/>
      <c r="D395" s="1"/>
      <c r="E395" s="1"/>
      <c r="F395" s="1"/>
      <c r="G395" s="1"/>
      <c r="H395" s="1"/>
      <c r="I395" s="1"/>
      <c r="J395" s="1"/>
      <c r="K395" s="1"/>
      <c r="L395" s="22"/>
      <c r="M395" s="262"/>
      <c r="N395" s="1"/>
      <c r="O395" s="1"/>
      <c r="P395" s="1"/>
      <c r="Q395" s="1"/>
      <c r="R395" s="1"/>
      <c r="S395" s="1"/>
      <c r="T395" s="1"/>
      <c r="U395" s="1"/>
      <c r="V395" s="1"/>
      <c r="W395" s="1"/>
      <c r="X395" s="1"/>
      <c r="Y395" s="1"/>
      <c r="Z395" s="1"/>
      <c r="AA395" s="1"/>
      <c r="AB395" s="1"/>
    </row>
    <row r="396" spans="1:28" ht="11.25" customHeight="1" x14ac:dyDescent="0.25">
      <c r="A396" s="825"/>
      <c r="B396" s="16"/>
      <c r="C396" s="1"/>
      <c r="D396" s="1"/>
      <c r="E396" s="1"/>
      <c r="F396" s="1"/>
      <c r="G396" s="1"/>
      <c r="H396" s="1"/>
      <c r="I396" s="1"/>
      <c r="J396" s="1"/>
      <c r="K396" s="1"/>
      <c r="L396" s="22"/>
      <c r="M396" s="262"/>
      <c r="N396" s="1"/>
      <c r="O396" s="1"/>
      <c r="P396" s="1"/>
      <c r="Q396" s="1"/>
      <c r="R396" s="1"/>
      <c r="S396" s="1"/>
      <c r="T396" s="1"/>
      <c r="U396" s="1"/>
      <c r="V396" s="1"/>
      <c r="W396" s="1"/>
      <c r="X396" s="1"/>
      <c r="Y396" s="1"/>
      <c r="Z396" s="1"/>
      <c r="AA396" s="1"/>
      <c r="AB396" s="1"/>
    </row>
    <row r="397" spans="1:28" ht="11.25" customHeight="1" x14ac:dyDescent="0.25">
      <c r="A397" s="825"/>
      <c r="B397" s="16"/>
      <c r="C397" s="1"/>
      <c r="D397" s="1"/>
      <c r="E397" s="1"/>
      <c r="F397" s="1"/>
      <c r="G397" s="1"/>
      <c r="H397" s="1"/>
      <c r="I397" s="1"/>
      <c r="J397" s="1"/>
      <c r="K397" s="1"/>
      <c r="L397" s="22"/>
      <c r="M397" s="262"/>
      <c r="N397" s="1"/>
      <c r="O397" s="1"/>
      <c r="P397" s="1"/>
      <c r="Q397" s="1"/>
      <c r="R397" s="1"/>
      <c r="S397" s="1"/>
      <c r="T397" s="1"/>
      <c r="U397" s="1"/>
      <c r="V397" s="1"/>
      <c r="W397" s="1"/>
      <c r="X397" s="1"/>
      <c r="Y397" s="1"/>
      <c r="Z397" s="1"/>
      <c r="AA397" s="1"/>
      <c r="AB397" s="1"/>
    </row>
    <row r="398" spans="1:28" ht="11.25" customHeight="1" x14ac:dyDescent="0.25">
      <c r="A398" s="825"/>
      <c r="B398" s="16"/>
      <c r="C398" s="1"/>
      <c r="D398" s="1"/>
      <c r="E398" s="1"/>
      <c r="F398" s="1"/>
      <c r="G398" s="1"/>
      <c r="H398" s="1"/>
      <c r="I398" s="1"/>
      <c r="J398" s="1"/>
      <c r="K398" s="1"/>
      <c r="L398" s="22"/>
      <c r="M398" s="262"/>
      <c r="N398" s="1"/>
      <c r="O398" s="1"/>
      <c r="P398" s="1"/>
      <c r="Q398" s="1"/>
      <c r="R398" s="1"/>
      <c r="S398" s="1"/>
      <c r="T398" s="1"/>
      <c r="U398" s="1"/>
      <c r="V398" s="1"/>
      <c r="W398" s="1"/>
      <c r="X398" s="1"/>
      <c r="Y398" s="1"/>
      <c r="Z398" s="1"/>
      <c r="AA398" s="1"/>
      <c r="AB398" s="1"/>
    </row>
    <row r="399" spans="1:28" ht="11.25" customHeight="1" x14ac:dyDescent="0.25">
      <c r="A399" s="825"/>
      <c r="B399" s="16"/>
      <c r="C399" s="1"/>
      <c r="D399" s="1"/>
      <c r="E399" s="1"/>
      <c r="F399" s="1"/>
      <c r="G399" s="1"/>
      <c r="H399" s="1"/>
      <c r="I399" s="1"/>
      <c r="J399" s="1"/>
      <c r="K399" s="1"/>
      <c r="L399" s="22"/>
      <c r="M399" s="262"/>
      <c r="N399" s="1"/>
      <c r="O399" s="1"/>
      <c r="P399" s="1"/>
      <c r="Q399" s="1"/>
      <c r="R399" s="1"/>
      <c r="S399" s="1"/>
      <c r="T399" s="1"/>
      <c r="U399" s="1"/>
      <c r="V399" s="1"/>
      <c r="W399" s="1"/>
      <c r="X399" s="1"/>
      <c r="Y399" s="1"/>
      <c r="Z399" s="1"/>
      <c r="AA399" s="1"/>
      <c r="AB399" s="1"/>
    </row>
    <row r="400" spans="1:28" ht="11.25" customHeight="1" x14ac:dyDescent="0.25">
      <c r="A400" s="825"/>
      <c r="B400" s="16"/>
      <c r="C400" s="1"/>
      <c r="D400" s="1"/>
      <c r="E400" s="1"/>
      <c r="F400" s="1"/>
      <c r="G400" s="1"/>
      <c r="H400" s="1"/>
      <c r="I400" s="1"/>
      <c r="J400" s="1"/>
      <c r="K400" s="1"/>
      <c r="L400" s="22"/>
      <c r="M400" s="262"/>
      <c r="N400" s="1"/>
      <c r="O400" s="1"/>
      <c r="P400" s="1"/>
      <c r="Q400" s="1"/>
      <c r="R400" s="1"/>
      <c r="S400" s="1"/>
      <c r="T400" s="1"/>
      <c r="U400" s="1"/>
      <c r="V400" s="1"/>
      <c r="W400" s="1"/>
      <c r="X400" s="1"/>
      <c r="Y400" s="1"/>
      <c r="Z400" s="1"/>
      <c r="AA400" s="1"/>
      <c r="AB400" s="1"/>
    </row>
    <row r="401" spans="1:28" ht="11.25" customHeight="1" x14ac:dyDescent="0.25">
      <c r="A401" s="825"/>
      <c r="B401" s="16"/>
      <c r="C401" s="1"/>
      <c r="D401" s="1"/>
      <c r="E401" s="1"/>
      <c r="F401" s="1"/>
      <c r="G401" s="1"/>
      <c r="H401" s="1"/>
      <c r="I401" s="1"/>
      <c r="J401" s="1"/>
      <c r="K401" s="1"/>
      <c r="L401" s="22"/>
      <c r="M401" s="262"/>
      <c r="N401" s="1"/>
      <c r="O401" s="1"/>
      <c r="P401" s="1"/>
      <c r="Q401" s="1"/>
      <c r="R401" s="1"/>
      <c r="S401" s="1"/>
      <c r="T401" s="1"/>
      <c r="U401" s="1"/>
      <c r="V401" s="1"/>
      <c r="W401" s="1"/>
      <c r="X401" s="1"/>
      <c r="Y401" s="1"/>
      <c r="Z401" s="1"/>
      <c r="AA401" s="1"/>
      <c r="AB401" s="1"/>
    </row>
    <row r="402" spans="1:28" ht="11.25" customHeight="1" x14ac:dyDescent="0.25">
      <c r="A402" s="825"/>
      <c r="B402" s="16"/>
      <c r="C402" s="1"/>
      <c r="D402" s="1"/>
      <c r="E402" s="1"/>
      <c r="F402" s="1"/>
      <c r="G402" s="1"/>
      <c r="H402" s="1"/>
      <c r="I402" s="1"/>
      <c r="J402" s="1"/>
      <c r="K402" s="1"/>
      <c r="L402" s="22"/>
      <c r="M402" s="262"/>
      <c r="N402" s="1"/>
      <c r="O402" s="1"/>
      <c r="P402" s="1"/>
      <c r="Q402" s="1"/>
      <c r="R402" s="1"/>
      <c r="S402" s="1"/>
      <c r="T402" s="1"/>
      <c r="U402" s="1"/>
      <c r="V402" s="1"/>
      <c r="W402" s="1"/>
      <c r="X402" s="1"/>
      <c r="Y402" s="1"/>
      <c r="Z402" s="1"/>
      <c r="AA402" s="1"/>
      <c r="AB402" s="1"/>
    </row>
    <row r="403" spans="1:28" ht="11.25" customHeight="1" x14ac:dyDescent="0.25">
      <c r="A403" s="825"/>
      <c r="B403" s="16"/>
      <c r="C403" s="1"/>
      <c r="D403" s="1"/>
      <c r="E403" s="1"/>
      <c r="F403" s="1"/>
      <c r="G403" s="1"/>
      <c r="H403" s="1"/>
      <c r="I403" s="1"/>
      <c r="J403" s="1"/>
      <c r="K403" s="1"/>
      <c r="L403" s="22"/>
      <c r="M403" s="262"/>
      <c r="N403" s="1"/>
      <c r="O403" s="1"/>
      <c r="P403" s="1"/>
      <c r="Q403" s="1"/>
      <c r="R403" s="1"/>
      <c r="S403" s="1"/>
      <c r="T403" s="1"/>
      <c r="U403" s="1"/>
      <c r="V403" s="1"/>
      <c r="W403" s="1"/>
      <c r="X403" s="1"/>
      <c r="Y403" s="1"/>
      <c r="Z403" s="1"/>
      <c r="AA403" s="1"/>
      <c r="AB403" s="1"/>
    </row>
    <row r="404" spans="1:28" ht="11.25" customHeight="1" x14ac:dyDescent="0.25">
      <c r="A404" s="825"/>
      <c r="B404" s="16"/>
      <c r="C404" s="1"/>
      <c r="D404" s="1"/>
      <c r="E404" s="1"/>
      <c r="F404" s="1"/>
      <c r="G404" s="1"/>
      <c r="H404" s="1"/>
      <c r="I404" s="1"/>
      <c r="J404" s="1"/>
      <c r="K404" s="1"/>
      <c r="L404" s="22"/>
      <c r="M404" s="262"/>
      <c r="N404" s="1"/>
      <c r="O404" s="1"/>
      <c r="P404" s="1"/>
      <c r="Q404" s="1"/>
      <c r="R404" s="1"/>
      <c r="S404" s="1"/>
      <c r="T404" s="1"/>
      <c r="U404" s="1"/>
      <c r="V404" s="1"/>
      <c r="W404" s="1"/>
      <c r="X404" s="1"/>
      <c r="Y404" s="1"/>
      <c r="Z404" s="1"/>
      <c r="AA404" s="1"/>
      <c r="AB404" s="1"/>
    </row>
    <row r="405" spans="1:28" ht="11.25" customHeight="1" x14ac:dyDescent="0.25">
      <c r="A405" s="825"/>
      <c r="B405" s="16"/>
      <c r="C405" s="1"/>
      <c r="D405" s="1"/>
      <c r="E405" s="1"/>
      <c r="F405" s="1"/>
      <c r="G405" s="1"/>
      <c r="H405" s="1"/>
      <c r="I405" s="1"/>
      <c r="J405" s="1"/>
      <c r="K405" s="1"/>
      <c r="L405" s="22"/>
      <c r="M405" s="262"/>
      <c r="N405" s="1"/>
      <c r="O405" s="1"/>
      <c r="P405" s="1"/>
      <c r="Q405" s="1"/>
      <c r="R405" s="1"/>
      <c r="S405" s="1"/>
      <c r="T405" s="1"/>
      <c r="U405" s="1"/>
      <c r="V405" s="1"/>
      <c r="W405" s="1"/>
      <c r="X405" s="1"/>
      <c r="Y405" s="1"/>
      <c r="Z405" s="1"/>
      <c r="AA405" s="1"/>
      <c r="AB405" s="1"/>
    </row>
    <row r="406" spans="1:28" ht="11.25" customHeight="1" x14ac:dyDescent="0.25">
      <c r="A406" s="825"/>
      <c r="B406" s="16"/>
      <c r="C406" s="1"/>
      <c r="D406" s="1"/>
      <c r="E406" s="1"/>
      <c r="F406" s="1"/>
      <c r="G406" s="1"/>
      <c r="H406" s="1"/>
      <c r="I406" s="1"/>
      <c r="J406" s="1"/>
      <c r="K406" s="1"/>
      <c r="L406" s="22"/>
      <c r="M406" s="262"/>
      <c r="N406" s="1"/>
      <c r="O406" s="1"/>
      <c r="P406" s="1"/>
      <c r="Q406" s="1"/>
      <c r="R406" s="1"/>
      <c r="S406" s="1"/>
      <c r="T406" s="1"/>
      <c r="U406" s="1"/>
      <c r="V406" s="1"/>
      <c r="W406" s="1"/>
      <c r="X406" s="1"/>
      <c r="Y406" s="1"/>
      <c r="Z406" s="1"/>
      <c r="AA406" s="1"/>
      <c r="AB406" s="1"/>
    </row>
    <row r="407" spans="1:28" ht="11.25" customHeight="1" x14ac:dyDescent="0.25">
      <c r="A407" s="825"/>
      <c r="B407" s="16"/>
      <c r="C407" s="1"/>
      <c r="D407" s="1"/>
      <c r="E407" s="1"/>
      <c r="F407" s="1"/>
      <c r="G407" s="1"/>
      <c r="H407" s="1"/>
      <c r="I407" s="1"/>
      <c r="J407" s="1"/>
      <c r="K407" s="1"/>
      <c r="L407" s="22"/>
      <c r="M407" s="262"/>
      <c r="N407" s="1"/>
      <c r="O407" s="1"/>
      <c r="P407" s="1"/>
      <c r="Q407" s="1"/>
      <c r="R407" s="1"/>
      <c r="S407" s="1"/>
      <c r="T407" s="1"/>
      <c r="U407" s="1"/>
      <c r="V407" s="1"/>
      <c r="W407" s="1"/>
      <c r="X407" s="1"/>
      <c r="Y407" s="1"/>
      <c r="Z407" s="1"/>
      <c r="AA407" s="1"/>
      <c r="AB407" s="1"/>
    </row>
    <row r="408" spans="1:28" ht="11.25" customHeight="1" x14ac:dyDescent="0.25">
      <c r="A408" s="825"/>
      <c r="B408" s="16"/>
      <c r="C408" s="1"/>
      <c r="D408" s="1"/>
      <c r="E408" s="1"/>
      <c r="F408" s="1"/>
      <c r="G408" s="1"/>
      <c r="H408" s="1"/>
      <c r="I408" s="1"/>
      <c r="J408" s="1"/>
      <c r="K408" s="1"/>
      <c r="L408" s="22"/>
      <c r="M408" s="262"/>
      <c r="N408" s="1"/>
      <c r="O408" s="1"/>
      <c r="P408" s="1"/>
      <c r="Q408" s="1"/>
      <c r="R408" s="1"/>
      <c r="S408" s="1"/>
      <c r="T408" s="1"/>
      <c r="U408" s="1"/>
      <c r="V408" s="1"/>
      <c r="W408" s="1"/>
      <c r="X408" s="1"/>
      <c r="Y408" s="1"/>
      <c r="Z408" s="1"/>
      <c r="AA408" s="1"/>
      <c r="AB408" s="1"/>
    </row>
    <row r="409" spans="1:28" ht="11.25" customHeight="1" x14ac:dyDescent="0.25">
      <c r="A409" s="825"/>
      <c r="B409" s="16"/>
      <c r="C409" s="1"/>
      <c r="D409" s="1"/>
      <c r="E409" s="1"/>
      <c r="F409" s="1"/>
      <c r="G409" s="1"/>
      <c r="H409" s="1"/>
      <c r="I409" s="1"/>
      <c r="J409" s="1"/>
      <c r="K409" s="1"/>
      <c r="L409" s="22"/>
      <c r="M409" s="262"/>
      <c r="N409" s="1"/>
      <c r="O409" s="1"/>
      <c r="P409" s="1"/>
      <c r="Q409" s="1"/>
      <c r="R409" s="1"/>
      <c r="S409" s="1"/>
      <c r="T409" s="1"/>
      <c r="U409" s="1"/>
      <c r="V409" s="1"/>
      <c r="W409" s="1"/>
      <c r="X409" s="1"/>
      <c r="Y409" s="1"/>
      <c r="Z409" s="1"/>
      <c r="AA409" s="1"/>
      <c r="AB409" s="1"/>
    </row>
    <row r="410" spans="1:28" ht="11.25" customHeight="1" x14ac:dyDescent="0.25">
      <c r="A410" s="825"/>
      <c r="B410" s="16"/>
      <c r="C410" s="1"/>
      <c r="D410" s="1"/>
      <c r="E410" s="1"/>
      <c r="F410" s="1"/>
      <c r="G410" s="1"/>
      <c r="H410" s="1"/>
      <c r="I410" s="1"/>
      <c r="J410" s="1"/>
      <c r="K410" s="1"/>
      <c r="L410" s="22"/>
      <c r="M410" s="262"/>
      <c r="N410" s="1"/>
      <c r="O410" s="1"/>
      <c r="P410" s="1"/>
      <c r="Q410" s="1"/>
      <c r="R410" s="1"/>
      <c r="S410" s="1"/>
      <c r="T410" s="1"/>
      <c r="U410" s="1"/>
      <c r="V410" s="1"/>
      <c r="W410" s="1"/>
      <c r="X410" s="1"/>
      <c r="Y410" s="1"/>
      <c r="Z410" s="1"/>
      <c r="AA410" s="1"/>
      <c r="AB410" s="1"/>
    </row>
    <row r="411" spans="1:28" ht="11.25" customHeight="1" x14ac:dyDescent="0.25">
      <c r="A411" s="825"/>
      <c r="B411" s="16"/>
      <c r="C411" s="1"/>
      <c r="D411" s="1"/>
      <c r="E411" s="1"/>
      <c r="F411" s="1"/>
      <c r="G411" s="1"/>
      <c r="H411" s="1"/>
      <c r="I411" s="1"/>
      <c r="J411" s="1"/>
      <c r="K411" s="1"/>
      <c r="L411" s="22"/>
      <c r="M411" s="262"/>
      <c r="N411" s="1"/>
      <c r="O411" s="1"/>
      <c r="P411" s="1"/>
      <c r="Q411" s="1"/>
      <c r="R411" s="1"/>
      <c r="S411" s="1"/>
      <c r="T411" s="1"/>
      <c r="U411" s="1"/>
      <c r="V411" s="1"/>
      <c r="W411" s="1"/>
      <c r="X411" s="1"/>
      <c r="Y411" s="1"/>
      <c r="Z411" s="1"/>
      <c r="AA411" s="1"/>
      <c r="AB411" s="1"/>
    </row>
    <row r="412" spans="1:28" ht="11.25" customHeight="1" x14ac:dyDescent="0.25">
      <c r="A412" s="825"/>
      <c r="B412" s="16"/>
      <c r="C412" s="1"/>
      <c r="D412" s="1"/>
      <c r="E412" s="1"/>
      <c r="F412" s="1"/>
      <c r="G412" s="1"/>
      <c r="H412" s="1"/>
      <c r="I412" s="1"/>
      <c r="J412" s="1"/>
      <c r="K412" s="1"/>
      <c r="L412" s="22"/>
      <c r="M412" s="262"/>
      <c r="N412" s="1"/>
      <c r="O412" s="1"/>
      <c r="P412" s="1"/>
      <c r="Q412" s="1"/>
      <c r="R412" s="1"/>
      <c r="S412" s="1"/>
      <c r="T412" s="1"/>
      <c r="U412" s="1"/>
      <c r="V412" s="1"/>
      <c r="W412" s="1"/>
      <c r="X412" s="1"/>
      <c r="Y412" s="1"/>
      <c r="Z412" s="1"/>
      <c r="AA412" s="1"/>
      <c r="AB412" s="1"/>
    </row>
    <row r="413" spans="1:28" ht="11.25" customHeight="1" x14ac:dyDescent="0.25">
      <c r="A413" s="825"/>
      <c r="B413" s="16"/>
      <c r="C413" s="1"/>
      <c r="D413" s="1"/>
      <c r="E413" s="1"/>
      <c r="F413" s="1"/>
      <c r="G413" s="1"/>
      <c r="H413" s="1"/>
      <c r="I413" s="1"/>
      <c r="J413" s="1"/>
      <c r="K413" s="1"/>
      <c r="L413" s="22"/>
      <c r="M413" s="262"/>
      <c r="N413" s="1"/>
      <c r="O413" s="1"/>
      <c r="P413" s="1"/>
      <c r="Q413" s="1"/>
      <c r="R413" s="1"/>
      <c r="S413" s="1"/>
      <c r="T413" s="1"/>
      <c r="U413" s="1"/>
      <c r="V413" s="1"/>
      <c r="W413" s="1"/>
      <c r="X413" s="1"/>
      <c r="Y413" s="1"/>
      <c r="Z413" s="1"/>
      <c r="AA413" s="1"/>
      <c r="AB413" s="1"/>
    </row>
    <row r="414" spans="1:28" ht="11.25" customHeight="1" x14ac:dyDescent="0.25">
      <c r="A414" s="825"/>
      <c r="B414" s="16"/>
      <c r="C414" s="1"/>
      <c r="D414" s="1"/>
      <c r="E414" s="1"/>
      <c r="F414" s="1"/>
      <c r="G414" s="1"/>
      <c r="H414" s="1"/>
      <c r="I414" s="1"/>
      <c r="J414" s="1"/>
      <c r="K414" s="1"/>
      <c r="L414" s="22"/>
      <c r="M414" s="262"/>
      <c r="N414" s="1"/>
      <c r="O414" s="1"/>
      <c r="P414" s="1"/>
      <c r="Q414" s="1"/>
      <c r="R414" s="1"/>
      <c r="S414" s="1"/>
      <c r="T414" s="1"/>
      <c r="U414" s="1"/>
      <c r="V414" s="1"/>
      <c r="W414" s="1"/>
      <c r="X414" s="1"/>
      <c r="Y414" s="1"/>
      <c r="Z414" s="1"/>
      <c r="AA414" s="1"/>
      <c r="AB414" s="1"/>
    </row>
    <row r="415" spans="1:28" ht="11.25" customHeight="1" x14ac:dyDescent="0.25">
      <c r="A415" s="825"/>
      <c r="B415" s="16"/>
      <c r="C415" s="1"/>
      <c r="D415" s="1"/>
      <c r="E415" s="1"/>
      <c r="F415" s="1"/>
      <c r="G415" s="1"/>
      <c r="H415" s="1"/>
      <c r="I415" s="1"/>
      <c r="J415" s="1"/>
      <c r="K415" s="1"/>
      <c r="L415" s="22"/>
      <c r="M415" s="262"/>
      <c r="N415" s="1"/>
      <c r="O415" s="1"/>
      <c r="P415" s="1"/>
      <c r="Q415" s="1"/>
      <c r="R415" s="1"/>
      <c r="S415" s="1"/>
      <c r="T415" s="1"/>
      <c r="U415" s="1"/>
      <c r="V415" s="1"/>
      <c r="W415" s="1"/>
      <c r="X415" s="1"/>
      <c r="Y415" s="1"/>
      <c r="Z415" s="1"/>
      <c r="AA415" s="1"/>
      <c r="AB415" s="1"/>
    </row>
    <row r="416" spans="1:28" ht="11.25" customHeight="1" x14ac:dyDescent="0.25">
      <c r="A416" s="825"/>
      <c r="B416" s="16"/>
      <c r="C416" s="1"/>
      <c r="D416" s="1"/>
      <c r="E416" s="1"/>
      <c r="F416" s="1"/>
      <c r="G416" s="1"/>
      <c r="H416" s="1"/>
      <c r="I416" s="1"/>
      <c r="J416" s="1"/>
      <c r="K416" s="1"/>
      <c r="L416" s="22"/>
      <c r="M416" s="262"/>
      <c r="N416" s="1"/>
      <c r="O416" s="1"/>
      <c r="P416" s="1"/>
      <c r="Q416" s="1"/>
      <c r="R416" s="1"/>
      <c r="S416" s="1"/>
      <c r="T416" s="1"/>
      <c r="U416" s="1"/>
      <c r="V416" s="1"/>
      <c r="W416" s="1"/>
      <c r="X416" s="1"/>
      <c r="Y416" s="1"/>
      <c r="Z416" s="1"/>
      <c r="AA416" s="1"/>
      <c r="AB416" s="1"/>
    </row>
    <row r="417" spans="1:28" ht="11.25" customHeight="1" x14ac:dyDescent="0.25">
      <c r="A417" s="825"/>
      <c r="B417" s="16"/>
      <c r="C417" s="1"/>
      <c r="D417" s="1"/>
      <c r="E417" s="1"/>
      <c r="F417" s="1"/>
      <c r="G417" s="1"/>
      <c r="H417" s="1"/>
      <c r="I417" s="1"/>
      <c r="J417" s="1"/>
      <c r="K417" s="1"/>
      <c r="L417" s="22"/>
      <c r="M417" s="262"/>
      <c r="N417" s="1"/>
      <c r="O417" s="1"/>
      <c r="P417" s="1"/>
      <c r="Q417" s="1"/>
      <c r="R417" s="1"/>
      <c r="S417" s="1"/>
      <c r="T417" s="1"/>
      <c r="U417" s="1"/>
      <c r="V417" s="1"/>
      <c r="W417" s="1"/>
      <c r="X417" s="1"/>
      <c r="Y417" s="1"/>
      <c r="Z417" s="1"/>
      <c r="AA417" s="1"/>
      <c r="AB417" s="1"/>
    </row>
    <row r="418" spans="1:28" ht="11.25" customHeight="1" x14ac:dyDescent="0.25">
      <c r="A418" s="825"/>
      <c r="B418" s="16"/>
      <c r="C418" s="1"/>
      <c r="D418" s="1"/>
      <c r="E418" s="1"/>
      <c r="F418" s="1"/>
      <c r="G418" s="1"/>
      <c r="H418" s="1"/>
      <c r="I418" s="1"/>
      <c r="J418" s="1"/>
      <c r="K418" s="1"/>
      <c r="L418" s="22"/>
      <c r="M418" s="262"/>
      <c r="N418" s="1"/>
      <c r="O418" s="1"/>
      <c r="P418" s="1"/>
      <c r="Q418" s="1"/>
      <c r="R418" s="1"/>
      <c r="S418" s="1"/>
      <c r="T418" s="1"/>
      <c r="U418" s="1"/>
      <c r="V418" s="1"/>
      <c r="W418" s="1"/>
      <c r="X418" s="1"/>
      <c r="Y418" s="1"/>
      <c r="Z418" s="1"/>
      <c r="AA418" s="1"/>
      <c r="AB418" s="1"/>
    </row>
    <row r="419" spans="1:28" ht="11.25" customHeight="1" x14ac:dyDescent="0.25">
      <c r="A419" s="825"/>
      <c r="B419" s="16"/>
      <c r="C419" s="1"/>
      <c r="D419" s="1"/>
      <c r="E419" s="1"/>
      <c r="F419" s="1"/>
      <c r="G419" s="1"/>
      <c r="H419" s="1"/>
      <c r="I419" s="1"/>
      <c r="J419" s="1"/>
      <c r="K419" s="1"/>
      <c r="L419" s="22"/>
      <c r="M419" s="262"/>
      <c r="N419" s="1"/>
      <c r="O419" s="1"/>
      <c r="P419" s="1"/>
      <c r="Q419" s="1"/>
      <c r="R419" s="1"/>
      <c r="S419" s="1"/>
      <c r="T419" s="1"/>
      <c r="U419" s="1"/>
      <c r="V419" s="1"/>
      <c r="W419" s="1"/>
      <c r="X419" s="1"/>
      <c r="Y419" s="1"/>
      <c r="Z419" s="1"/>
      <c r="AA419" s="1"/>
      <c r="AB419" s="1"/>
    </row>
    <row r="420" spans="1:28" ht="11.25" customHeight="1" x14ac:dyDescent="0.25">
      <c r="A420" s="825"/>
      <c r="B420" s="16"/>
      <c r="C420" s="1"/>
      <c r="D420" s="1"/>
      <c r="E420" s="1"/>
      <c r="F420" s="1"/>
      <c r="G420" s="1"/>
      <c r="H420" s="1"/>
      <c r="I420" s="1"/>
      <c r="J420" s="1"/>
      <c r="K420" s="1"/>
      <c r="L420" s="22"/>
      <c r="M420" s="262"/>
      <c r="N420" s="1"/>
      <c r="O420" s="1"/>
      <c r="P420" s="1"/>
      <c r="Q420" s="1"/>
      <c r="R420" s="1"/>
      <c r="S420" s="1"/>
      <c r="T420" s="1"/>
      <c r="U420" s="1"/>
      <c r="V420" s="1"/>
      <c r="W420" s="1"/>
      <c r="X420" s="1"/>
      <c r="Y420" s="1"/>
      <c r="Z420" s="1"/>
      <c r="AA420" s="1"/>
      <c r="AB420" s="1"/>
    </row>
    <row r="421" spans="1:28" ht="11.25" customHeight="1" x14ac:dyDescent="0.25">
      <c r="A421" s="825"/>
      <c r="B421" s="16"/>
      <c r="C421" s="1"/>
      <c r="D421" s="1"/>
      <c r="E421" s="1"/>
      <c r="F421" s="1"/>
      <c r="G421" s="1"/>
      <c r="H421" s="1"/>
      <c r="I421" s="1"/>
      <c r="J421" s="1"/>
      <c r="K421" s="1"/>
      <c r="L421" s="22"/>
      <c r="M421" s="262"/>
      <c r="N421" s="1"/>
      <c r="O421" s="1"/>
      <c r="P421" s="1"/>
      <c r="Q421" s="1"/>
      <c r="R421" s="1"/>
      <c r="S421" s="1"/>
      <c r="T421" s="1"/>
      <c r="U421" s="1"/>
      <c r="V421" s="1"/>
      <c r="W421" s="1"/>
      <c r="X421" s="1"/>
      <c r="Y421" s="1"/>
      <c r="Z421" s="1"/>
      <c r="AA421" s="1"/>
      <c r="AB421" s="1"/>
    </row>
    <row r="422" spans="1:28" ht="11.25" customHeight="1" x14ac:dyDescent="0.25">
      <c r="A422" s="825"/>
      <c r="B422" s="16"/>
      <c r="C422" s="1"/>
      <c r="D422" s="1"/>
      <c r="E422" s="1"/>
      <c r="F422" s="1"/>
      <c r="G422" s="1"/>
      <c r="H422" s="1"/>
      <c r="I422" s="1"/>
      <c r="J422" s="1"/>
      <c r="K422" s="1"/>
      <c r="L422" s="22"/>
      <c r="M422" s="262"/>
      <c r="N422" s="1"/>
      <c r="O422" s="1"/>
      <c r="P422" s="1"/>
      <c r="Q422" s="1"/>
      <c r="R422" s="1"/>
      <c r="S422" s="1"/>
      <c r="T422" s="1"/>
      <c r="U422" s="1"/>
      <c r="V422" s="1"/>
      <c r="W422" s="1"/>
      <c r="X422" s="1"/>
      <c r="Y422" s="1"/>
      <c r="Z422" s="1"/>
      <c r="AA422" s="1"/>
      <c r="AB422" s="1"/>
    </row>
    <row r="423" spans="1:28" ht="11.25" customHeight="1" x14ac:dyDescent="0.25">
      <c r="A423" s="825"/>
      <c r="B423" s="16"/>
      <c r="C423" s="1"/>
      <c r="D423" s="1"/>
      <c r="E423" s="1"/>
      <c r="F423" s="1"/>
      <c r="G423" s="1"/>
      <c r="H423" s="1"/>
      <c r="I423" s="1"/>
      <c r="J423" s="1"/>
      <c r="K423" s="1"/>
      <c r="L423" s="22"/>
      <c r="M423" s="262"/>
      <c r="N423" s="1"/>
      <c r="O423" s="1"/>
      <c r="P423" s="1"/>
      <c r="Q423" s="1"/>
      <c r="R423" s="1"/>
      <c r="S423" s="1"/>
      <c r="T423" s="1"/>
      <c r="U423" s="1"/>
      <c r="V423" s="1"/>
      <c r="W423" s="1"/>
      <c r="X423" s="1"/>
      <c r="Y423" s="1"/>
      <c r="Z423" s="1"/>
      <c r="AA423" s="1"/>
      <c r="AB423" s="1"/>
    </row>
    <row r="424" spans="1:28" ht="11.25" customHeight="1" x14ac:dyDescent="0.25">
      <c r="A424" s="825"/>
      <c r="B424" s="16"/>
      <c r="C424" s="1"/>
      <c r="D424" s="1"/>
      <c r="E424" s="1"/>
      <c r="F424" s="1"/>
      <c r="G424" s="1"/>
      <c r="H424" s="1"/>
      <c r="I424" s="1"/>
      <c r="J424" s="1"/>
      <c r="K424" s="1"/>
      <c r="L424" s="22"/>
      <c r="M424" s="262"/>
      <c r="N424" s="1"/>
      <c r="O424" s="1"/>
      <c r="P424" s="1"/>
      <c r="Q424" s="1"/>
      <c r="R424" s="1"/>
      <c r="S424" s="1"/>
      <c r="T424" s="1"/>
      <c r="U424" s="1"/>
      <c r="V424" s="1"/>
      <c r="W424" s="1"/>
      <c r="X424" s="1"/>
      <c r="Y424" s="1"/>
      <c r="Z424" s="1"/>
      <c r="AA424" s="1"/>
      <c r="AB424" s="1"/>
    </row>
    <row r="425" spans="1:28" ht="11.25" customHeight="1" x14ac:dyDescent="0.25">
      <c r="A425" s="825"/>
      <c r="B425" s="16"/>
      <c r="C425" s="1"/>
      <c r="D425" s="1"/>
      <c r="E425" s="1"/>
      <c r="F425" s="1"/>
      <c r="G425" s="1"/>
      <c r="H425" s="1"/>
      <c r="I425" s="1"/>
      <c r="J425" s="1"/>
      <c r="K425" s="1"/>
      <c r="L425" s="22"/>
      <c r="M425" s="262"/>
      <c r="N425" s="1"/>
      <c r="O425" s="1"/>
      <c r="P425" s="1"/>
      <c r="Q425" s="1"/>
      <c r="R425" s="1"/>
      <c r="S425" s="1"/>
      <c r="T425" s="1"/>
      <c r="U425" s="1"/>
      <c r="V425" s="1"/>
      <c r="W425" s="1"/>
      <c r="X425" s="1"/>
      <c r="Y425" s="1"/>
      <c r="Z425" s="1"/>
      <c r="AA425" s="1"/>
      <c r="AB425" s="1"/>
    </row>
    <row r="426" spans="1:28" ht="11.25" customHeight="1" x14ac:dyDescent="0.25">
      <c r="A426" s="825"/>
      <c r="B426" s="16"/>
      <c r="C426" s="1"/>
      <c r="D426" s="1"/>
      <c r="E426" s="1"/>
      <c r="F426" s="1"/>
      <c r="G426" s="1"/>
      <c r="H426" s="1"/>
      <c r="I426" s="1"/>
      <c r="J426" s="1"/>
      <c r="K426" s="1"/>
      <c r="L426" s="22"/>
      <c r="M426" s="262"/>
      <c r="N426" s="1"/>
      <c r="O426" s="1"/>
      <c r="P426" s="1"/>
      <c r="Q426" s="1"/>
      <c r="R426" s="1"/>
      <c r="S426" s="1"/>
      <c r="T426" s="1"/>
      <c r="U426" s="1"/>
      <c r="V426" s="1"/>
      <c r="W426" s="1"/>
      <c r="X426" s="1"/>
      <c r="Y426" s="1"/>
      <c r="Z426" s="1"/>
      <c r="AA426" s="1"/>
      <c r="AB426" s="1"/>
    </row>
    <row r="427" spans="1:28" ht="11.25" customHeight="1" x14ac:dyDescent="0.25">
      <c r="A427" s="825"/>
      <c r="B427" s="16"/>
      <c r="C427" s="1"/>
      <c r="D427" s="1"/>
      <c r="E427" s="1"/>
      <c r="F427" s="1"/>
      <c r="G427" s="1"/>
      <c r="H427" s="1"/>
      <c r="I427" s="1"/>
      <c r="J427" s="1"/>
      <c r="K427" s="1"/>
      <c r="L427" s="22"/>
      <c r="M427" s="262"/>
      <c r="N427" s="1"/>
      <c r="O427" s="1"/>
      <c r="P427" s="1"/>
      <c r="Q427" s="1"/>
      <c r="R427" s="1"/>
      <c r="S427" s="1"/>
      <c r="T427" s="1"/>
      <c r="U427" s="1"/>
      <c r="V427" s="1"/>
      <c r="W427" s="1"/>
      <c r="X427" s="1"/>
      <c r="Y427" s="1"/>
      <c r="Z427" s="1"/>
      <c r="AA427" s="1"/>
      <c r="AB427" s="1"/>
    </row>
    <row r="428" spans="1:28" ht="11.25" customHeight="1" x14ac:dyDescent="0.25">
      <c r="A428" s="825"/>
      <c r="B428" s="16"/>
      <c r="C428" s="1"/>
      <c r="D428" s="1"/>
      <c r="E428" s="1"/>
      <c r="F428" s="1"/>
      <c r="G428" s="1"/>
      <c r="H428" s="1"/>
      <c r="I428" s="1"/>
      <c r="J428" s="1"/>
      <c r="K428" s="1"/>
      <c r="L428" s="22"/>
      <c r="M428" s="262"/>
      <c r="N428" s="1"/>
      <c r="O428" s="1"/>
      <c r="P428" s="1"/>
      <c r="Q428" s="1"/>
      <c r="R428" s="1"/>
      <c r="S428" s="1"/>
      <c r="T428" s="1"/>
      <c r="U428" s="1"/>
      <c r="V428" s="1"/>
      <c r="W428" s="1"/>
      <c r="X428" s="1"/>
      <c r="Y428" s="1"/>
      <c r="Z428" s="1"/>
      <c r="AA428" s="1"/>
      <c r="AB428" s="1"/>
    </row>
    <row r="429" spans="1:28" ht="11.25" customHeight="1" x14ac:dyDescent="0.25">
      <c r="A429" s="825"/>
      <c r="B429" s="16"/>
      <c r="C429" s="1"/>
      <c r="D429" s="1"/>
      <c r="E429" s="1"/>
      <c r="F429" s="1"/>
      <c r="G429" s="1"/>
      <c r="H429" s="1"/>
      <c r="I429" s="1"/>
      <c r="J429" s="1"/>
      <c r="K429" s="1"/>
      <c r="L429" s="22"/>
      <c r="M429" s="262"/>
      <c r="N429" s="1"/>
      <c r="O429" s="1"/>
      <c r="P429" s="1"/>
      <c r="Q429" s="1"/>
      <c r="R429" s="1"/>
      <c r="S429" s="1"/>
      <c r="T429" s="1"/>
      <c r="U429" s="1"/>
      <c r="V429" s="1"/>
      <c r="W429" s="1"/>
      <c r="X429" s="1"/>
      <c r="Y429" s="1"/>
      <c r="Z429" s="1"/>
      <c r="AA429" s="1"/>
      <c r="AB429" s="1"/>
    </row>
    <row r="430" spans="1:28" ht="11.25" customHeight="1" x14ac:dyDescent="0.25">
      <c r="A430" s="825"/>
      <c r="B430" s="16"/>
      <c r="C430" s="1"/>
      <c r="D430" s="1"/>
      <c r="E430" s="1"/>
      <c r="F430" s="1"/>
      <c r="G430" s="1"/>
      <c r="H430" s="1"/>
      <c r="I430" s="1"/>
      <c r="J430" s="1"/>
      <c r="K430" s="1"/>
      <c r="L430" s="22"/>
      <c r="M430" s="262"/>
      <c r="N430" s="1"/>
      <c r="O430" s="1"/>
      <c r="P430" s="1"/>
      <c r="Q430" s="1"/>
      <c r="R430" s="1"/>
      <c r="S430" s="1"/>
      <c r="T430" s="1"/>
      <c r="U430" s="1"/>
      <c r="V430" s="1"/>
      <c r="W430" s="1"/>
      <c r="X430" s="1"/>
      <c r="Y430" s="1"/>
      <c r="Z430" s="1"/>
      <c r="AA430" s="1"/>
      <c r="AB430" s="1"/>
    </row>
    <row r="431" spans="1:28" ht="11.25" customHeight="1" x14ac:dyDescent="0.25">
      <c r="A431" s="825"/>
      <c r="B431" s="16"/>
      <c r="C431" s="1"/>
      <c r="D431" s="1"/>
      <c r="E431" s="1"/>
      <c r="F431" s="1"/>
      <c r="G431" s="1"/>
      <c r="H431" s="1"/>
      <c r="I431" s="1"/>
      <c r="J431" s="1"/>
      <c r="K431" s="1"/>
      <c r="L431" s="22"/>
      <c r="M431" s="262"/>
      <c r="N431" s="1"/>
      <c r="O431" s="1"/>
      <c r="P431" s="1"/>
      <c r="Q431" s="1"/>
      <c r="R431" s="1"/>
      <c r="S431" s="1"/>
      <c r="T431" s="1"/>
      <c r="U431" s="1"/>
      <c r="V431" s="1"/>
      <c r="W431" s="1"/>
      <c r="X431" s="1"/>
      <c r="Y431" s="1"/>
      <c r="Z431" s="1"/>
      <c r="AA431" s="1"/>
      <c r="AB431" s="1"/>
    </row>
    <row r="432" spans="1:28" ht="11.25" customHeight="1" x14ac:dyDescent="0.25">
      <c r="A432" s="825"/>
      <c r="B432" s="16"/>
      <c r="C432" s="1"/>
      <c r="D432" s="1"/>
      <c r="E432" s="1"/>
      <c r="F432" s="1"/>
      <c r="G432" s="1"/>
      <c r="H432" s="1"/>
      <c r="I432" s="1"/>
      <c r="J432" s="1"/>
      <c r="K432" s="1"/>
      <c r="L432" s="22"/>
      <c r="M432" s="262"/>
      <c r="N432" s="1"/>
      <c r="O432" s="1"/>
      <c r="P432" s="1"/>
      <c r="Q432" s="1"/>
      <c r="R432" s="1"/>
      <c r="S432" s="1"/>
      <c r="T432" s="1"/>
      <c r="U432" s="1"/>
      <c r="V432" s="1"/>
      <c r="W432" s="1"/>
      <c r="X432" s="1"/>
      <c r="Y432" s="1"/>
      <c r="Z432" s="1"/>
      <c r="AA432" s="1"/>
      <c r="AB432" s="1"/>
    </row>
    <row r="433" spans="1:28" ht="11.25" customHeight="1" x14ac:dyDescent="0.25">
      <c r="A433" s="825"/>
      <c r="B433" s="16"/>
      <c r="C433" s="1"/>
      <c r="D433" s="1"/>
      <c r="E433" s="1"/>
      <c r="F433" s="1"/>
      <c r="G433" s="1"/>
      <c r="H433" s="1"/>
      <c r="I433" s="1"/>
      <c r="J433" s="1"/>
      <c r="K433" s="1"/>
      <c r="L433" s="22"/>
      <c r="M433" s="262"/>
      <c r="N433" s="1"/>
      <c r="O433" s="1"/>
      <c r="P433" s="1"/>
      <c r="Q433" s="1"/>
      <c r="R433" s="1"/>
      <c r="S433" s="1"/>
      <c r="T433" s="1"/>
      <c r="U433" s="1"/>
      <c r="V433" s="1"/>
      <c r="W433" s="1"/>
      <c r="X433" s="1"/>
      <c r="Y433" s="1"/>
      <c r="Z433" s="1"/>
      <c r="AA433" s="1"/>
      <c r="AB433" s="1"/>
    </row>
    <row r="434" spans="1:28" ht="11.25" customHeight="1" x14ac:dyDescent="0.25">
      <c r="A434" s="825"/>
      <c r="B434" s="16"/>
      <c r="C434" s="1"/>
      <c r="D434" s="1"/>
      <c r="E434" s="1"/>
      <c r="F434" s="1"/>
      <c r="G434" s="1"/>
      <c r="H434" s="1"/>
      <c r="I434" s="1"/>
      <c r="J434" s="1"/>
      <c r="K434" s="1"/>
      <c r="L434" s="22"/>
      <c r="M434" s="262"/>
      <c r="N434" s="1"/>
      <c r="O434" s="1"/>
      <c r="P434" s="1"/>
      <c r="Q434" s="1"/>
      <c r="R434" s="1"/>
      <c r="S434" s="1"/>
      <c r="T434" s="1"/>
      <c r="U434" s="1"/>
      <c r="V434" s="1"/>
      <c r="W434" s="1"/>
      <c r="X434" s="1"/>
      <c r="Y434" s="1"/>
      <c r="Z434" s="1"/>
      <c r="AA434" s="1"/>
      <c r="AB434" s="1"/>
    </row>
    <row r="435" spans="1:28" ht="11.25" customHeight="1" x14ac:dyDescent="0.25">
      <c r="A435" s="825"/>
      <c r="B435" s="16"/>
      <c r="C435" s="1"/>
      <c r="D435" s="1"/>
      <c r="E435" s="1"/>
      <c r="F435" s="1"/>
      <c r="G435" s="1"/>
      <c r="H435" s="1"/>
      <c r="I435" s="1"/>
      <c r="J435" s="1"/>
      <c r="K435" s="1"/>
      <c r="L435" s="22"/>
      <c r="M435" s="262"/>
      <c r="N435" s="1"/>
      <c r="O435" s="1"/>
      <c r="P435" s="1"/>
      <c r="Q435" s="1"/>
      <c r="R435" s="1"/>
      <c r="S435" s="1"/>
      <c r="T435" s="1"/>
      <c r="U435" s="1"/>
      <c r="V435" s="1"/>
      <c r="W435" s="1"/>
      <c r="X435" s="1"/>
      <c r="Y435" s="1"/>
      <c r="Z435" s="1"/>
      <c r="AA435" s="1"/>
      <c r="AB435" s="1"/>
    </row>
    <row r="436" spans="1:28" ht="11.25" customHeight="1" x14ac:dyDescent="0.25">
      <c r="A436" s="825"/>
      <c r="B436" s="16"/>
      <c r="C436" s="1"/>
      <c r="D436" s="1"/>
      <c r="E436" s="1"/>
      <c r="F436" s="1"/>
      <c r="G436" s="1"/>
      <c r="H436" s="1"/>
      <c r="I436" s="1"/>
      <c r="J436" s="1"/>
      <c r="K436" s="1"/>
      <c r="L436" s="22"/>
      <c r="M436" s="262"/>
      <c r="N436" s="1"/>
      <c r="O436" s="1"/>
      <c r="P436" s="1"/>
      <c r="Q436" s="1"/>
      <c r="R436" s="1"/>
      <c r="S436" s="1"/>
      <c r="T436" s="1"/>
      <c r="U436" s="1"/>
      <c r="V436" s="1"/>
      <c r="W436" s="1"/>
      <c r="X436" s="1"/>
      <c r="Y436" s="1"/>
      <c r="Z436" s="1"/>
      <c r="AA436" s="1"/>
      <c r="AB436" s="1"/>
    </row>
    <row r="437" spans="1:28" ht="11.25" customHeight="1" x14ac:dyDescent="0.25">
      <c r="A437" s="825"/>
      <c r="B437" s="16"/>
      <c r="C437" s="1"/>
      <c r="D437" s="1"/>
      <c r="E437" s="1"/>
      <c r="F437" s="1"/>
      <c r="G437" s="1"/>
      <c r="H437" s="1"/>
      <c r="I437" s="1"/>
      <c r="J437" s="1"/>
      <c r="K437" s="1"/>
      <c r="L437" s="22"/>
      <c r="M437" s="262"/>
      <c r="N437" s="1"/>
      <c r="O437" s="1"/>
      <c r="P437" s="1"/>
      <c r="Q437" s="1"/>
      <c r="R437" s="1"/>
      <c r="S437" s="1"/>
      <c r="T437" s="1"/>
      <c r="U437" s="1"/>
      <c r="V437" s="1"/>
      <c r="W437" s="1"/>
      <c r="X437" s="1"/>
      <c r="Y437" s="1"/>
      <c r="Z437" s="1"/>
      <c r="AA437" s="1"/>
      <c r="AB437" s="1"/>
    </row>
    <row r="438" spans="1:28" ht="11.25" customHeight="1" x14ac:dyDescent="0.25">
      <c r="A438" s="825"/>
      <c r="B438" s="16"/>
      <c r="C438" s="1"/>
      <c r="D438" s="1"/>
      <c r="E438" s="1"/>
      <c r="F438" s="1"/>
      <c r="G438" s="1"/>
      <c r="H438" s="1"/>
      <c r="I438" s="1"/>
      <c r="J438" s="1"/>
      <c r="K438" s="1"/>
      <c r="L438" s="22"/>
      <c r="M438" s="262"/>
      <c r="N438" s="1"/>
      <c r="O438" s="1"/>
      <c r="P438" s="1"/>
      <c r="Q438" s="1"/>
      <c r="R438" s="1"/>
      <c r="S438" s="1"/>
      <c r="T438" s="1"/>
      <c r="U438" s="1"/>
      <c r="V438" s="1"/>
      <c r="W438" s="1"/>
      <c r="X438" s="1"/>
      <c r="Y438" s="1"/>
      <c r="Z438" s="1"/>
      <c r="AA438" s="1"/>
      <c r="AB438" s="1"/>
    </row>
    <row r="439" spans="1:28" ht="11.25" customHeight="1" x14ac:dyDescent="0.25">
      <c r="A439" s="825"/>
      <c r="B439" s="16"/>
      <c r="C439" s="1"/>
      <c r="D439" s="1"/>
      <c r="E439" s="1"/>
      <c r="F439" s="1"/>
      <c r="G439" s="1"/>
      <c r="H439" s="1"/>
      <c r="I439" s="1"/>
      <c r="J439" s="1"/>
      <c r="K439" s="1"/>
      <c r="L439" s="22"/>
      <c r="M439" s="262"/>
      <c r="N439" s="1"/>
      <c r="O439" s="1"/>
      <c r="P439" s="1"/>
      <c r="Q439" s="1"/>
      <c r="R439" s="1"/>
      <c r="S439" s="1"/>
      <c r="T439" s="1"/>
      <c r="U439" s="1"/>
      <c r="V439" s="1"/>
      <c r="W439" s="1"/>
      <c r="X439" s="1"/>
      <c r="Y439" s="1"/>
      <c r="Z439" s="1"/>
      <c r="AA439" s="1"/>
      <c r="AB439" s="1"/>
    </row>
    <row r="440" spans="1:28" ht="11.25" customHeight="1" x14ac:dyDescent="0.25">
      <c r="A440" s="825"/>
      <c r="B440" s="16"/>
      <c r="C440" s="1"/>
      <c r="D440" s="1"/>
      <c r="E440" s="1"/>
      <c r="F440" s="1"/>
      <c r="G440" s="1"/>
      <c r="H440" s="1"/>
      <c r="I440" s="1"/>
      <c r="J440" s="1"/>
      <c r="K440" s="1"/>
      <c r="L440" s="22"/>
      <c r="M440" s="262"/>
      <c r="N440" s="1"/>
      <c r="O440" s="1"/>
      <c r="P440" s="1"/>
      <c r="Q440" s="1"/>
      <c r="R440" s="1"/>
      <c r="S440" s="1"/>
      <c r="T440" s="1"/>
      <c r="U440" s="1"/>
      <c r="V440" s="1"/>
      <c r="W440" s="1"/>
      <c r="X440" s="1"/>
      <c r="Y440" s="1"/>
      <c r="Z440" s="1"/>
      <c r="AA440" s="1"/>
      <c r="AB440" s="1"/>
    </row>
    <row r="441" spans="1:28" ht="11.25" customHeight="1" x14ac:dyDescent="0.25">
      <c r="A441" s="825"/>
      <c r="B441" s="16"/>
      <c r="C441" s="1"/>
      <c r="D441" s="1"/>
      <c r="E441" s="1"/>
      <c r="F441" s="1"/>
      <c r="G441" s="1"/>
      <c r="H441" s="1"/>
      <c r="I441" s="1"/>
      <c r="J441" s="1"/>
      <c r="K441" s="1"/>
      <c r="L441" s="22"/>
      <c r="M441" s="262"/>
      <c r="N441" s="1"/>
      <c r="O441" s="1"/>
      <c r="P441" s="1"/>
      <c r="Q441" s="1"/>
      <c r="R441" s="1"/>
      <c r="S441" s="1"/>
      <c r="T441" s="1"/>
      <c r="U441" s="1"/>
      <c r="V441" s="1"/>
      <c r="W441" s="1"/>
      <c r="X441" s="1"/>
      <c r="Y441" s="1"/>
      <c r="Z441" s="1"/>
      <c r="AA441" s="1"/>
      <c r="AB441" s="1"/>
    </row>
    <row r="442" spans="1:28" ht="11.25" customHeight="1" x14ac:dyDescent="0.25">
      <c r="A442" s="825"/>
      <c r="B442" s="16"/>
      <c r="C442" s="1"/>
      <c r="D442" s="1"/>
      <c r="E442" s="1"/>
      <c r="F442" s="1"/>
      <c r="G442" s="1"/>
      <c r="H442" s="1"/>
      <c r="I442" s="1"/>
      <c r="J442" s="1"/>
      <c r="K442" s="1"/>
      <c r="L442" s="22"/>
      <c r="M442" s="262"/>
      <c r="N442" s="1"/>
      <c r="O442" s="1"/>
      <c r="P442" s="1"/>
      <c r="Q442" s="1"/>
      <c r="R442" s="1"/>
      <c r="S442" s="1"/>
      <c r="T442" s="1"/>
      <c r="U442" s="1"/>
      <c r="V442" s="1"/>
      <c r="W442" s="1"/>
      <c r="X442" s="1"/>
      <c r="Y442" s="1"/>
      <c r="Z442" s="1"/>
      <c r="AA442" s="1"/>
      <c r="AB442" s="1"/>
    </row>
    <row r="443" spans="1:28" ht="11.25" customHeight="1" x14ac:dyDescent="0.25">
      <c r="A443" s="825"/>
      <c r="B443" s="16"/>
      <c r="C443" s="1"/>
      <c r="D443" s="1"/>
      <c r="E443" s="1"/>
      <c r="F443" s="1"/>
      <c r="G443" s="1"/>
      <c r="H443" s="1"/>
      <c r="I443" s="1"/>
      <c r="J443" s="1"/>
      <c r="K443" s="1"/>
      <c r="L443" s="22"/>
      <c r="M443" s="262"/>
      <c r="N443" s="1"/>
      <c r="O443" s="1"/>
      <c r="P443" s="1"/>
      <c r="Q443" s="1"/>
      <c r="R443" s="1"/>
      <c r="S443" s="1"/>
      <c r="T443" s="1"/>
      <c r="U443" s="1"/>
      <c r="V443" s="1"/>
      <c r="W443" s="1"/>
      <c r="X443" s="1"/>
      <c r="Y443" s="1"/>
      <c r="Z443" s="1"/>
      <c r="AA443" s="1"/>
      <c r="AB443" s="1"/>
    </row>
    <row r="444" spans="1:28" ht="11.25" customHeight="1" x14ac:dyDescent="0.25">
      <c r="A444" s="825"/>
      <c r="B444" s="16"/>
      <c r="C444" s="1"/>
      <c r="D444" s="1"/>
      <c r="E444" s="1"/>
      <c r="F444" s="1"/>
      <c r="G444" s="1"/>
      <c r="H444" s="1"/>
      <c r="I444" s="1"/>
      <c r="J444" s="1"/>
      <c r="K444" s="1"/>
      <c r="L444" s="22"/>
      <c r="M444" s="262"/>
      <c r="N444" s="1"/>
      <c r="O444" s="1"/>
      <c r="P444" s="1"/>
      <c r="Q444" s="1"/>
      <c r="R444" s="1"/>
      <c r="S444" s="1"/>
      <c r="T444" s="1"/>
      <c r="U444" s="1"/>
      <c r="V444" s="1"/>
      <c r="W444" s="1"/>
      <c r="X444" s="1"/>
      <c r="Y444" s="1"/>
      <c r="Z444" s="1"/>
      <c r="AA444" s="1"/>
      <c r="AB444" s="1"/>
    </row>
    <row r="445" spans="1:28" ht="11.25" customHeight="1" x14ac:dyDescent="0.25">
      <c r="A445" s="825"/>
      <c r="B445" s="16"/>
      <c r="C445" s="1"/>
      <c r="D445" s="1"/>
      <c r="E445" s="1"/>
      <c r="F445" s="1"/>
      <c r="G445" s="1"/>
      <c r="H445" s="1"/>
      <c r="I445" s="1"/>
      <c r="J445" s="1"/>
      <c r="K445" s="1"/>
      <c r="L445" s="22"/>
      <c r="M445" s="262"/>
      <c r="N445" s="1"/>
      <c r="O445" s="1"/>
      <c r="P445" s="1"/>
      <c r="Q445" s="1"/>
      <c r="R445" s="1"/>
      <c r="S445" s="1"/>
      <c r="T445" s="1"/>
      <c r="U445" s="1"/>
      <c r="V445" s="1"/>
      <c r="W445" s="1"/>
      <c r="X445" s="1"/>
      <c r="Y445" s="1"/>
      <c r="Z445" s="1"/>
      <c r="AA445" s="1"/>
      <c r="AB445" s="1"/>
    </row>
    <row r="446" spans="1:28" ht="11.25" customHeight="1" x14ac:dyDescent="0.25">
      <c r="A446" s="825"/>
      <c r="B446" s="16"/>
      <c r="C446" s="1"/>
      <c r="D446" s="1"/>
      <c r="E446" s="1"/>
      <c r="F446" s="1"/>
      <c r="G446" s="1"/>
      <c r="H446" s="1"/>
      <c r="I446" s="1"/>
      <c r="J446" s="1"/>
      <c r="K446" s="1"/>
      <c r="L446" s="22"/>
      <c r="M446" s="262"/>
      <c r="N446" s="1"/>
      <c r="O446" s="1"/>
      <c r="P446" s="1"/>
      <c r="Q446" s="1"/>
      <c r="R446" s="1"/>
      <c r="S446" s="1"/>
      <c r="T446" s="1"/>
      <c r="U446" s="1"/>
      <c r="V446" s="1"/>
      <c r="W446" s="1"/>
      <c r="X446" s="1"/>
      <c r="Y446" s="1"/>
      <c r="Z446" s="1"/>
      <c r="AA446" s="1"/>
      <c r="AB446" s="1"/>
    </row>
    <row r="447" spans="1:28" ht="11.25" customHeight="1" x14ac:dyDescent="0.25">
      <c r="A447" s="825"/>
      <c r="B447" s="16"/>
      <c r="C447" s="1"/>
      <c r="D447" s="1"/>
      <c r="E447" s="1"/>
      <c r="F447" s="1"/>
      <c r="G447" s="1"/>
      <c r="H447" s="1"/>
      <c r="I447" s="1"/>
      <c r="J447" s="1"/>
      <c r="K447" s="1"/>
      <c r="L447" s="22"/>
      <c r="M447" s="262"/>
      <c r="N447" s="1"/>
      <c r="O447" s="1"/>
      <c r="P447" s="1"/>
      <c r="Q447" s="1"/>
      <c r="R447" s="1"/>
      <c r="S447" s="1"/>
      <c r="T447" s="1"/>
      <c r="U447" s="1"/>
      <c r="V447" s="1"/>
      <c r="W447" s="1"/>
      <c r="X447" s="1"/>
      <c r="Y447" s="1"/>
      <c r="Z447" s="1"/>
      <c r="AA447" s="1"/>
      <c r="AB447" s="1"/>
    </row>
    <row r="448" spans="1:28" ht="11.25" customHeight="1" x14ac:dyDescent="0.25">
      <c r="A448" s="825"/>
      <c r="B448" s="16"/>
      <c r="C448" s="1"/>
      <c r="D448" s="1"/>
      <c r="E448" s="1"/>
      <c r="F448" s="1"/>
      <c r="G448" s="1"/>
      <c r="H448" s="1"/>
      <c r="I448" s="1"/>
      <c r="J448" s="1"/>
      <c r="K448" s="1"/>
      <c r="L448" s="22"/>
      <c r="M448" s="262"/>
      <c r="N448" s="1"/>
      <c r="O448" s="1"/>
      <c r="P448" s="1"/>
      <c r="Q448" s="1"/>
      <c r="R448" s="1"/>
      <c r="S448" s="1"/>
      <c r="T448" s="1"/>
      <c r="U448" s="1"/>
      <c r="V448" s="1"/>
      <c r="W448" s="1"/>
      <c r="X448" s="1"/>
      <c r="Y448" s="1"/>
      <c r="Z448" s="1"/>
      <c r="AA448" s="1"/>
      <c r="AB448" s="1"/>
    </row>
    <row r="449" spans="1:28" ht="11.25" customHeight="1" x14ac:dyDescent="0.25">
      <c r="A449" s="825"/>
      <c r="B449" s="16"/>
      <c r="C449" s="1"/>
      <c r="D449" s="1"/>
      <c r="E449" s="1"/>
      <c r="F449" s="1"/>
      <c r="G449" s="1"/>
      <c r="H449" s="1"/>
      <c r="I449" s="1"/>
      <c r="J449" s="1"/>
      <c r="K449" s="1"/>
      <c r="L449" s="22"/>
      <c r="M449" s="262"/>
      <c r="N449" s="1"/>
      <c r="O449" s="1"/>
      <c r="P449" s="1"/>
      <c r="Q449" s="1"/>
      <c r="R449" s="1"/>
      <c r="S449" s="1"/>
      <c r="T449" s="1"/>
      <c r="U449" s="1"/>
      <c r="V449" s="1"/>
      <c r="W449" s="1"/>
      <c r="X449" s="1"/>
      <c r="Y449" s="1"/>
      <c r="Z449" s="1"/>
      <c r="AA449" s="1"/>
      <c r="AB449" s="1"/>
    </row>
    <row r="450" spans="1:28" ht="11.25" customHeight="1" x14ac:dyDescent="0.25">
      <c r="A450" s="825"/>
      <c r="B450" s="16"/>
      <c r="C450" s="1"/>
      <c r="D450" s="1"/>
      <c r="E450" s="1"/>
      <c r="F450" s="1"/>
      <c r="G450" s="1"/>
      <c r="H450" s="1"/>
      <c r="I450" s="1"/>
      <c r="J450" s="1"/>
      <c r="K450" s="1"/>
      <c r="L450" s="22"/>
      <c r="M450" s="262"/>
      <c r="N450" s="1"/>
      <c r="O450" s="1"/>
      <c r="P450" s="1"/>
      <c r="Q450" s="1"/>
      <c r="R450" s="1"/>
      <c r="S450" s="1"/>
      <c r="T450" s="1"/>
      <c r="U450" s="1"/>
      <c r="V450" s="1"/>
      <c r="W450" s="1"/>
      <c r="X450" s="1"/>
      <c r="Y450" s="1"/>
      <c r="Z450" s="1"/>
      <c r="AA450" s="1"/>
      <c r="AB450" s="1"/>
    </row>
    <row r="451" spans="1:28" ht="11.25" customHeight="1" x14ac:dyDescent="0.25">
      <c r="A451" s="825"/>
      <c r="B451" s="16"/>
      <c r="C451" s="1"/>
      <c r="D451" s="1"/>
      <c r="E451" s="1"/>
      <c r="F451" s="1"/>
      <c r="G451" s="1"/>
      <c r="H451" s="1"/>
      <c r="I451" s="1"/>
      <c r="J451" s="1"/>
      <c r="K451" s="1"/>
      <c r="L451" s="22"/>
      <c r="M451" s="262"/>
      <c r="N451" s="1"/>
      <c r="O451" s="1"/>
      <c r="P451" s="1"/>
      <c r="Q451" s="1"/>
      <c r="R451" s="1"/>
      <c r="S451" s="1"/>
      <c r="T451" s="1"/>
      <c r="U451" s="1"/>
      <c r="V451" s="1"/>
      <c r="W451" s="1"/>
      <c r="X451" s="1"/>
      <c r="Y451" s="1"/>
      <c r="Z451" s="1"/>
      <c r="AA451" s="1"/>
      <c r="AB451" s="1"/>
    </row>
    <row r="452" spans="1:28" ht="11.25" customHeight="1" x14ac:dyDescent="0.25">
      <c r="A452" s="825"/>
      <c r="B452" s="16"/>
      <c r="C452" s="1"/>
      <c r="D452" s="1"/>
      <c r="E452" s="1"/>
      <c r="F452" s="1"/>
      <c r="G452" s="1"/>
      <c r="H452" s="1"/>
      <c r="I452" s="1"/>
      <c r="J452" s="1"/>
      <c r="K452" s="1"/>
      <c r="L452" s="22"/>
      <c r="M452" s="262"/>
      <c r="N452" s="1"/>
      <c r="O452" s="1"/>
      <c r="P452" s="1"/>
      <c r="Q452" s="1"/>
      <c r="R452" s="1"/>
      <c r="S452" s="1"/>
      <c r="T452" s="1"/>
      <c r="U452" s="1"/>
      <c r="V452" s="1"/>
      <c r="W452" s="1"/>
      <c r="X452" s="1"/>
      <c r="Y452" s="1"/>
      <c r="Z452" s="1"/>
      <c r="AA452" s="1"/>
      <c r="AB452" s="1"/>
    </row>
    <row r="453" spans="1:28" ht="11.25" customHeight="1" x14ac:dyDescent="0.25">
      <c r="A453" s="825"/>
      <c r="B453" s="16"/>
      <c r="C453" s="1"/>
      <c r="D453" s="1"/>
      <c r="E453" s="1"/>
      <c r="F453" s="1"/>
      <c r="G453" s="1"/>
      <c r="H453" s="1"/>
      <c r="I453" s="1"/>
      <c r="J453" s="1"/>
      <c r="K453" s="1"/>
      <c r="L453" s="22"/>
      <c r="M453" s="262"/>
      <c r="N453" s="1"/>
      <c r="O453" s="1"/>
      <c r="P453" s="1"/>
      <c r="Q453" s="1"/>
      <c r="R453" s="1"/>
      <c r="S453" s="1"/>
      <c r="T453" s="1"/>
      <c r="U453" s="1"/>
      <c r="V453" s="1"/>
      <c r="W453" s="1"/>
      <c r="X453" s="1"/>
      <c r="Y453" s="1"/>
      <c r="Z453" s="1"/>
      <c r="AA453" s="1"/>
      <c r="AB453" s="1"/>
    </row>
    <row r="454" spans="1:28" ht="11.25" customHeight="1" x14ac:dyDescent="0.25">
      <c r="A454" s="825"/>
      <c r="B454" s="16"/>
      <c r="C454" s="1"/>
      <c r="D454" s="1"/>
      <c r="E454" s="1"/>
      <c r="F454" s="1"/>
      <c r="G454" s="1"/>
      <c r="H454" s="1"/>
      <c r="I454" s="1"/>
      <c r="J454" s="1"/>
      <c r="K454" s="1"/>
      <c r="L454" s="22"/>
      <c r="M454" s="262"/>
      <c r="N454" s="1"/>
      <c r="O454" s="1"/>
      <c r="P454" s="1"/>
      <c r="Q454" s="1"/>
      <c r="R454" s="1"/>
      <c r="S454" s="1"/>
      <c r="T454" s="1"/>
      <c r="U454" s="1"/>
      <c r="V454" s="1"/>
      <c r="W454" s="1"/>
      <c r="X454" s="1"/>
      <c r="Y454" s="1"/>
      <c r="Z454" s="1"/>
      <c r="AA454" s="1"/>
      <c r="AB454" s="1"/>
    </row>
    <row r="455" spans="1:28" ht="11.25" customHeight="1" x14ac:dyDescent="0.25">
      <c r="A455" s="825"/>
      <c r="B455" s="16"/>
      <c r="C455" s="1"/>
      <c r="D455" s="1"/>
      <c r="E455" s="1"/>
      <c r="F455" s="1"/>
      <c r="G455" s="1"/>
      <c r="H455" s="1"/>
      <c r="I455" s="1"/>
      <c r="J455" s="1"/>
      <c r="K455" s="1"/>
      <c r="L455" s="22"/>
      <c r="M455" s="262"/>
      <c r="N455" s="1"/>
      <c r="O455" s="1"/>
      <c r="P455" s="1"/>
      <c r="Q455" s="1"/>
      <c r="R455" s="1"/>
      <c r="S455" s="1"/>
      <c r="T455" s="1"/>
      <c r="U455" s="1"/>
      <c r="V455" s="1"/>
      <c r="W455" s="1"/>
      <c r="X455" s="1"/>
      <c r="Y455" s="1"/>
      <c r="Z455" s="1"/>
      <c r="AA455" s="1"/>
      <c r="AB455" s="1"/>
    </row>
    <row r="456" spans="1:28" ht="11.25" customHeight="1" x14ac:dyDescent="0.25">
      <c r="A456" s="825"/>
      <c r="B456" s="16"/>
      <c r="C456" s="1"/>
      <c r="D456" s="1"/>
      <c r="E456" s="1"/>
      <c r="F456" s="1"/>
      <c r="G456" s="1"/>
      <c r="H456" s="1"/>
      <c r="I456" s="1"/>
      <c r="J456" s="1"/>
      <c r="K456" s="1"/>
      <c r="L456" s="22"/>
      <c r="M456" s="262"/>
      <c r="N456" s="1"/>
      <c r="O456" s="1"/>
      <c r="P456" s="1"/>
      <c r="Q456" s="1"/>
      <c r="R456" s="1"/>
      <c r="S456" s="1"/>
      <c r="T456" s="1"/>
      <c r="U456" s="1"/>
      <c r="V456" s="1"/>
      <c r="W456" s="1"/>
      <c r="X456" s="1"/>
      <c r="Y456" s="1"/>
      <c r="Z456" s="1"/>
      <c r="AA456" s="1"/>
      <c r="AB456" s="1"/>
    </row>
    <row r="457" spans="1:28" ht="11.25" customHeight="1" x14ac:dyDescent="0.25">
      <c r="A457" s="825"/>
      <c r="B457" s="16"/>
      <c r="C457" s="1"/>
      <c r="D457" s="1"/>
      <c r="E457" s="1"/>
      <c r="F457" s="1"/>
      <c r="G457" s="1"/>
      <c r="H457" s="1"/>
      <c r="I457" s="1"/>
      <c r="J457" s="1"/>
      <c r="K457" s="1"/>
      <c r="L457" s="22"/>
      <c r="M457" s="262"/>
      <c r="N457" s="1"/>
      <c r="O457" s="1"/>
      <c r="P457" s="1"/>
      <c r="Q457" s="1"/>
      <c r="R457" s="1"/>
      <c r="S457" s="1"/>
      <c r="T457" s="1"/>
      <c r="U457" s="1"/>
      <c r="V457" s="1"/>
      <c r="W457" s="1"/>
      <c r="X457" s="1"/>
      <c r="Y457" s="1"/>
      <c r="Z457" s="1"/>
      <c r="AA457" s="1"/>
      <c r="AB457" s="1"/>
    </row>
    <row r="458" spans="1:28" ht="11.25" customHeight="1" x14ac:dyDescent="0.25">
      <c r="A458" s="825"/>
      <c r="B458" s="16"/>
      <c r="C458" s="1"/>
      <c r="D458" s="1"/>
      <c r="E458" s="1"/>
      <c r="F458" s="1"/>
      <c r="G458" s="1"/>
      <c r="H458" s="1"/>
      <c r="I458" s="1"/>
      <c r="J458" s="1"/>
      <c r="K458" s="1"/>
      <c r="L458" s="22"/>
      <c r="M458" s="262"/>
      <c r="N458" s="1"/>
      <c r="O458" s="1"/>
      <c r="P458" s="1"/>
      <c r="Q458" s="1"/>
      <c r="R458" s="1"/>
      <c r="S458" s="1"/>
      <c r="T458" s="1"/>
      <c r="U458" s="1"/>
      <c r="V458" s="1"/>
      <c r="W458" s="1"/>
      <c r="X458" s="1"/>
      <c r="Y458" s="1"/>
      <c r="Z458" s="1"/>
      <c r="AA458" s="1"/>
      <c r="AB458" s="1"/>
    </row>
    <row r="459" spans="1:28" ht="11.25" customHeight="1" x14ac:dyDescent="0.25">
      <c r="A459" s="825"/>
      <c r="B459" s="16"/>
      <c r="C459" s="1"/>
      <c r="D459" s="1"/>
      <c r="E459" s="1"/>
      <c r="F459" s="1"/>
      <c r="G459" s="1"/>
      <c r="H459" s="1"/>
      <c r="I459" s="1"/>
      <c r="J459" s="1"/>
      <c r="K459" s="1"/>
      <c r="L459" s="22"/>
      <c r="M459" s="262"/>
      <c r="N459" s="1"/>
      <c r="O459" s="1"/>
      <c r="P459" s="1"/>
      <c r="Q459" s="1"/>
      <c r="R459" s="1"/>
      <c r="S459" s="1"/>
      <c r="T459" s="1"/>
      <c r="U459" s="1"/>
      <c r="V459" s="1"/>
      <c r="W459" s="1"/>
      <c r="X459" s="1"/>
      <c r="Y459" s="1"/>
      <c r="Z459" s="1"/>
      <c r="AA459" s="1"/>
      <c r="AB459" s="1"/>
    </row>
    <row r="460" spans="1:28" ht="11.25" customHeight="1" x14ac:dyDescent="0.25">
      <c r="A460" s="825"/>
      <c r="B460" s="16"/>
      <c r="C460" s="1"/>
      <c r="D460" s="1"/>
      <c r="E460" s="1"/>
      <c r="F460" s="1"/>
      <c r="G460" s="1"/>
      <c r="H460" s="1"/>
      <c r="I460" s="1"/>
      <c r="J460" s="1"/>
      <c r="K460" s="1"/>
      <c r="L460" s="22"/>
      <c r="M460" s="262"/>
      <c r="N460" s="1"/>
      <c r="O460" s="1"/>
      <c r="P460" s="1"/>
      <c r="Q460" s="1"/>
      <c r="R460" s="1"/>
      <c r="S460" s="1"/>
      <c r="T460" s="1"/>
      <c r="U460" s="1"/>
      <c r="V460" s="1"/>
      <c r="W460" s="1"/>
      <c r="X460" s="1"/>
      <c r="Y460" s="1"/>
      <c r="Z460" s="1"/>
      <c r="AA460" s="1"/>
      <c r="AB460" s="1"/>
    </row>
    <row r="461" spans="1:28" ht="11.25" customHeight="1" x14ac:dyDescent="0.25">
      <c r="A461" s="825"/>
      <c r="B461" s="16"/>
      <c r="C461" s="1"/>
      <c r="D461" s="1"/>
      <c r="E461" s="1"/>
      <c r="F461" s="1"/>
      <c r="G461" s="1"/>
      <c r="H461" s="1"/>
      <c r="I461" s="1"/>
      <c r="J461" s="1"/>
      <c r="K461" s="1"/>
      <c r="L461" s="22"/>
      <c r="M461" s="262"/>
      <c r="N461" s="1"/>
      <c r="O461" s="1"/>
      <c r="P461" s="1"/>
      <c r="Q461" s="1"/>
      <c r="R461" s="1"/>
      <c r="S461" s="1"/>
      <c r="T461" s="1"/>
      <c r="U461" s="1"/>
      <c r="V461" s="1"/>
      <c r="W461" s="1"/>
      <c r="X461" s="1"/>
      <c r="Y461" s="1"/>
      <c r="Z461" s="1"/>
      <c r="AA461" s="1"/>
      <c r="AB461" s="1"/>
    </row>
    <row r="462" spans="1:28" ht="11.25" customHeight="1" x14ac:dyDescent="0.25">
      <c r="A462" s="825"/>
      <c r="B462" s="16"/>
      <c r="C462" s="1"/>
      <c r="D462" s="1"/>
      <c r="E462" s="1"/>
      <c r="F462" s="1"/>
      <c r="G462" s="1"/>
      <c r="H462" s="1"/>
      <c r="I462" s="1"/>
      <c r="J462" s="1"/>
      <c r="K462" s="1"/>
      <c r="L462" s="22"/>
      <c r="M462" s="262"/>
      <c r="N462" s="1"/>
      <c r="O462" s="1"/>
      <c r="P462" s="1"/>
      <c r="Q462" s="1"/>
      <c r="R462" s="1"/>
      <c r="S462" s="1"/>
      <c r="T462" s="1"/>
      <c r="U462" s="1"/>
      <c r="V462" s="1"/>
      <c r="W462" s="1"/>
      <c r="X462" s="1"/>
      <c r="Y462" s="1"/>
      <c r="Z462" s="1"/>
      <c r="AA462" s="1"/>
      <c r="AB462" s="1"/>
    </row>
    <row r="463" spans="1:28" ht="11.25" customHeight="1" x14ac:dyDescent="0.25">
      <c r="A463" s="825"/>
      <c r="B463" s="16"/>
      <c r="C463" s="1"/>
      <c r="D463" s="1"/>
      <c r="E463" s="1"/>
      <c r="F463" s="1"/>
      <c r="G463" s="1"/>
      <c r="H463" s="1"/>
      <c r="I463" s="1"/>
      <c r="J463" s="1"/>
      <c r="K463" s="1"/>
      <c r="L463" s="22"/>
      <c r="M463" s="262"/>
      <c r="N463" s="1"/>
      <c r="O463" s="1"/>
      <c r="P463" s="1"/>
      <c r="Q463" s="1"/>
      <c r="R463" s="1"/>
      <c r="S463" s="1"/>
      <c r="T463" s="1"/>
      <c r="U463" s="1"/>
      <c r="V463" s="1"/>
      <c r="W463" s="1"/>
      <c r="X463" s="1"/>
      <c r="Y463" s="1"/>
      <c r="Z463" s="1"/>
      <c r="AA463" s="1"/>
      <c r="AB463" s="1"/>
    </row>
    <row r="464" spans="1:28" ht="11.25" customHeight="1" x14ac:dyDescent="0.25">
      <c r="A464" s="825"/>
      <c r="B464" s="16"/>
      <c r="C464" s="1"/>
      <c r="D464" s="1"/>
      <c r="E464" s="1"/>
      <c r="F464" s="1"/>
      <c r="G464" s="1"/>
      <c r="H464" s="1"/>
      <c r="I464" s="1"/>
      <c r="J464" s="1"/>
      <c r="K464" s="1"/>
      <c r="L464" s="22"/>
      <c r="M464" s="262"/>
      <c r="N464" s="1"/>
      <c r="O464" s="1"/>
      <c r="P464" s="1"/>
      <c r="Q464" s="1"/>
      <c r="R464" s="1"/>
      <c r="S464" s="1"/>
      <c r="T464" s="1"/>
      <c r="U464" s="1"/>
      <c r="V464" s="1"/>
      <c r="W464" s="1"/>
      <c r="X464" s="1"/>
      <c r="Y464" s="1"/>
      <c r="Z464" s="1"/>
      <c r="AA464" s="1"/>
      <c r="AB464" s="1"/>
    </row>
    <row r="465" spans="1:28" ht="11.25" customHeight="1" x14ac:dyDescent="0.25">
      <c r="A465" s="825"/>
      <c r="B465" s="16"/>
      <c r="C465" s="1"/>
      <c r="D465" s="1"/>
      <c r="E465" s="1"/>
      <c r="F465" s="1"/>
      <c r="G465" s="1"/>
      <c r="H465" s="1"/>
      <c r="I465" s="1"/>
      <c r="J465" s="1"/>
      <c r="K465" s="1"/>
      <c r="L465" s="22"/>
      <c r="M465" s="262"/>
      <c r="N465" s="1"/>
      <c r="O465" s="1"/>
      <c r="P465" s="1"/>
      <c r="Q465" s="1"/>
      <c r="R465" s="1"/>
      <c r="S465" s="1"/>
      <c r="T465" s="1"/>
      <c r="U465" s="1"/>
      <c r="V465" s="1"/>
      <c r="W465" s="1"/>
      <c r="X465" s="1"/>
      <c r="Y465" s="1"/>
      <c r="Z465" s="1"/>
      <c r="AA465" s="1"/>
      <c r="AB465" s="1"/>
    </row>
    <row r="466" spans="1:28" ht="11.25" customHeight="1" x14ac:dyDescent="0.25">
      <c r="A466" s="825"/>
      <c r="B466" s="16"/>
      <c r="C466" s="1"/>
      <c r="D466" s="1"/>
      <c r="E466" s="1"/>
      <c r="F466" s="1"/>
      <c r="G466" s="1"/>
      <c r="H466" s="1"/>
      <c r="I466" s="1"/>
      <c r="J466" s="1"/>
      <c r="K466" s="1"/>
      <c r="L466" s="22"/>
      <c r="M466" s="262"/>
      <c r="N466" s="1"/>
      <c r="O466" s="1"/>
      <c r="P466" s="1"/>
      <c r="Q466" s="1"/>
      <c r="R466" s="1"/>
      <c r="S466" s="1"/>
      <c r="T466" s="1"/>
      <c r="U466" s="1"/>
      <c r="V466" s="1"/>
      <c r="W466" s="1"/>
      <c r="X466" s="1"/>
      <c r="Y466" s="1"/>
      <c r="Z466" s="1"/>
      <c r="AA466" s="1"/>
      <c r="AB466" s="1"/>
    </row>
    <row r="467" spans="1:28" ht="11.25" customHeight="1" x14ac:dyDescent="0.25">
      <c r="A467" s="825"/>
      <c r="B467" s="16"/>
      <c r="C467" s="1"/>
      <c r="D467" s="1"/>
      <c r="E467" s="1"/>
      <c r="F467" s="1"/>
      <c r="G467" s="1"/>
      <c r="H467" s="1"/>
      <c r="I467" s="1"/>
      <c r="J467" s="1"/>
      <c r="K467" s="1"/>
      <c r="L467" s="22"/>
      <c r="M467" s="262"/>
      <c r="N467" s="1"/>
      <c r="O467" s="1"/>
      <c r="P467" s="1"/>
      <c r="Q467" s="1"/>
      <c r="R467" s="1"/>
      <c r="S467" s="1"/>
      <c r="T467" s="1"/>
      <c r="U467" s="1"/>
      <c r="V467" s="1"/>
      <c r="W467" s="1"/>
      <c r="X467" s="1"/>
      <c r="Y467" s="1"/>
      <c r="Z467" s="1"/>
      <c r="AA467" s="1"/>
      <c r="AB467" s="1"/>
    </row>
    <row r="468" spans="1:28" ht="11.25" customHeight="1" x14ac:dyDescent="0.25">
      <c r="A468" s="825"/>
      <c r="B468" s="16"/>
      <c r="C468" s="1"/>
      <c r="D468" s="1"/>
      <c r="E468" s="1"/>
      <c r="F468" s="1"/>
      <c r="G468" s="1"/>
      <c r="H468" s="1"/>
      <c r="I468" s="1"/>
      <c r="J468" s="1"/>
      <c r="K468" s="1"/>
      <c r="L468" s="22"/>
      <c r="M468" s="262"/>
      <c r="N468" s="1"/>
      <c r="O468" s="1"/>
      <c r="P468" s="1"/>
      <c r="Q468" s="1"/>
      <c r="R468" s="1"/>
      <c r="S468" s="1"/>
      <c r="T468" s="1"/>
      <c r="U468" s="1"/>
      <c r="V468" s="1"/>
      <c r="W468" s="1"/>
      <c r="X468" s="1"/>
      <c r="Y468" s="1"/>
      <c r="Z468" s="1"/>
      <c r="AA468" s="1"/>
      <c r="AB468" s="1"/>
    </row>
    <row r="469" spans="1:28" ht="11.25" customHeight="1" x14ac:dyDescent="0.25">
      <c r="A469" s="825"/>
      <c r="B469" s="16"/>
      <c r="C469" s="1"/>
      <c r="D469" s="1"/>
      <c r="E469" s="1"/>
      <c r="F469" s="1"/>
      <c r="G469" s="1"/>
      <c r="H469" s="1"/>
      <c r="I469" s="1"/>
      <c r="J469" s="1"/>
      <c r="K469" s="1"/>
      <c r="L469" s="22"/>
      <c r="M469" s="262"/>
      <c r="N469" s="1"/>
      <c r="O469" s="1"/>
      <c r="P469" s="1"/>
      <c r="Q469" s="1"/>
      <c r="R469" s="1"/>
      <c r="S469" s="1"/>
      <c r="T469" s="1"/>
      <c r="U469" s="1"/>
      <c r="V469" s="1"/>
      <c r="W469" s="1"/>
      <c r="X469" s="1"/>
      <c r="Y469" s="1"/>
      <c r="Z469" s="1"/>
      <c r="AA469" s="1"/>
      <c r="AB469" s="1"/>
    </row>
    <row r="470" spans="1:28" ht="11.25" customHeight="1" x14ac:dyDescent="0.25">
      <c r="A470" s="825"/>
      <c r="B470" s="16"/>
      <c r="C470" s="1"/>
      <c r="D470" s="1"/>
      <c r="E470" s="1"/>
      <c r="F470" s="1"/>
      <c r="G470" s="1"/>
      <c r="H470" s="1"/>
      <c r="I470" s="1"/>
      <c r="J470" s="1"/>
      <c r="K470" s="1"/>
      <c r="L470" s="22"/>
      <c r="M470" s="262"/>
      <c r="N470" s="1"/>
      <c r="O470" s="1"/>
      <c r="P470" s="1"/>
      <c r="Q470" s="1"/>
      <c r="R470" s="1"/>
      <c r="S470" s="1"/>
      <c r="T470" s="1"/>
      <c r="U470" s="1"/>
      <c r="V470" s="1"/>
      <c r="W470" s="1"/>
      <c r="X470" s="1"/>
      <c r="Y470" s="1"/>
      <c r="Z470" s="1"/>
      <c r="AA470" s="1"/>
      <c r="AB470" s="1"/>
    </row>
    <row r="471" spans="1:28" ht="11.25" customHeight="1" x14ac:dyDescent="0.25">
      <c r="A471" s="825"/>
      <c r="B471" s="16"/>
      <c r="C471" s="1"/>
      <c r="D471" s="1"/>
      <c r="E471" s="1"/>
      <c r="F471" s="1"/>
      <c r="G471" s="1"/>
      <c r="H471" s="1"/>
      <c r="I471" s="1"/>
      <c r="J471" s="1"/>
      <c r="K471" s="1"/>
      <c r="L471" s="22"/>
      <c r="M471" s="262"/>
      <c r="N471" s="1"/>
      <c r="O471" s="1"/>
      <c r="P471" s="1"/>
      <c r="Q471" s="1"/>
      <c r="R471" s="1"/>
      <c r="S471" s="1"/>
      <c r="T471" s="1"/>
      <c r="U471" s="1"/>
      <c r="V471" s="1"/>
      <c r="W471" s="1"/>
      <c r="X471" s="1"/>
      <c r="Y471" s="1"/>
      <c r="Z471" s="1"/>
      <c r="AA471" s="1"/>
      <c r="AB471" s="1"/>
    </row>
    <row r="472" spans="1:28" ht="11.25" customHeight="1" x14ac:dyDescent="0.25">
      <c r="A472" s="825"/>
      <c r="B472" s="16"/>
      <c r="C472" s="1"/>
      <c r="D472" s="1"/>
      <c r="E472" s="1"/>
      <c r="F472" s="1"/>
      <c r="G472" s="1"/>
      <c r="H472" s="1"/>
      <c r="I472" s="1"/>
      <c r="J472" s="1"/>
      <c r="K472" s="1"/>
      <c r="L472" s="22"/>
      <c r="M472" s="262"/>
      <c r="N472" s="1"/>
      <c r="O472" s="1"/>
      <c r="P472" s="1"/>
      <c r="Q472" s="1"/>
      <c r="R472" s="1"/>
      <c r="S472" s="1"/>
      <c r="T472" s="1"/>
      <c r="U472" s="1"/>
      <c r="V472" s="1"/>
      <c r="W472" s="1"/>
      <c r="X472" s="1"/>
      <c r="Y472" s="1"/>
      <c r="Z472" s="1"/>
      <c r="AA472" s="1"/>
      <c r="AB472" s="1"/>
    </row>
    <row r="473" spans="1:28" ht="11.25" customHeight="1" x14ac:dyDescent="0.25">
      <c r="A473" s="825"/>
      <c r="B473" s="16"/>
      <c r="C473" s="1"/>
      <c r="D473" s="1"/>
      <c r="E473" s="1"/>
      <c r="F473" s="1"/>
      <c r="G473" s="1"/>
      <c r="H473" s="1"/>
      <c r="I473" s="1"/>
      <c r="J473" s="1"/>
      <c r="K473" s="1"/>
      <c r="L473" s="22"/>
      <c r="M473" s="262"/>
      <c r="N473" s="1"/>
      <c r="O473" s="1"/>
      <c r="P473" s="1"/>
      <c r="Q473" s="1"/>
      <c r="R473" s="1"/>
      <c r="S473" s="1"/>
      <c r="T473" s="1"/>
      <c r="U473" s="1"/>
      <c r="V473" s="1"/>
      <c r="W473" s="1"/>
      <c r="X473" s="1"/>
      <c r="Y473" s="1"/>
      <c r="Z473" s="1"/>
      <c r="AA473" s="1"/>
      <c r="AB473" s="1"/>
    </row>
    <row r="474" spans="1:28" ht="11.25" customHeight="1" x14ac:dyDescent="0.25">
      <c r="A474" s="825"/>
      <c r="B474" s="16"/>
      <c r="C474" s="1"/>
      <c r="D474" s="1"/>
      <c r="E474" s="1"/>
      <c r="F474" s="1"/>
      <c r="G474" s="1"/>
      <c r="H474" s="1"/>
      <c r="I474" s="1"/>
      <c r="J474" s="1"/>
      <c r="K474" s="1"/>
      <c r="L474" s="22"/>
      <c r="M474" s="262"/>
      <c r="N474" s="1"/>
      <c r="O474" s="1"/>
      <c r="P474" s="1"/>
      <c r="Q474" s="1"/>
      <c r="R474" s="1"/>
      <c r="S474" s="1"/>
      <c r="T474" s="1"/>
      <c r="U474" s="1"/>
      <c r="V474" s="1"/>
      <c r="W474" s="1"/>
      <c r="X474" s="1"/>
      <c r="Y474" s="1"/>
      <c r="Z474" s="1"/>
      <c r="AA474" s="1"/>
      <c r="AB474" s="1"/>
    </row>
    <row r="475" spans="1:28" ht="11.25" customHeight="1" x14ac:dyDescent="0.25">
      <c r="A475" s="825"/>
      <c r="B475" s="16"/>
      <c r="C475" s="1"/>
      <c r="D475" s="1"/>
      <c r="E475" s="1"/>
      <c r="F475" s="1"/>
      <c r="G475" s="1"/>
      <c r="H475" s="1"/>
      <c r="I475" s="1"/>
      <c r="J475" s="1"/>
      <c r="K475" s="1"/>
      <c r="L475" s="22"/>
      <c r="M475" s="262"/>
      <c r="N475" s="1"/>
      <c r="O475" s="1"/>
      <c r="P475" s="1"/>
      <c r="Q475" s="1"/>
      <c r="R475" s="1"/>
      <c r="S475" s="1"/>
      <c r="T475" s="1"/>
      <c r="U475" s="1"/>
      <c r="V475" s="1"/>
      <c r="W475" s="1"/>
      <c r="X475" s="1"/>
      <c r="Y475" s="1"/>
      <c r="Z475" s="1"/>
      <c r="AA475" s="1"/>
      <c r="AB475" s="1"/>
    </row>
    <row r="476" spans="1:28" ht="11.25" customHeight="1" x14ac:dyDescent="0.25">
      <c r="A476" s="825"/>
      <c r="B476" s="16"/>
      <c r="C476" s="1"/>
      <c r="D476" s="1"/>
      <c r="E476" s="1"/>
      <c r="F476" s="1"/>
      <c r="G476" s="1"/>
      <c r="H476" s="1"/>
      <c r="I476" s="1"/>
      <c r="J476" s="1"/>
      <c r="K476" s="1"/>
      <c r="L476" s="22"/>
      <c r="M476" s="262"/>
      <c r="N476" s="1"/>
      <c r="O476" s="1"/>
      <c r="P476" s="1"/>
      <c r="Q476" s="1"/>
      <c r="R476" s="1"/>
      <c r="S476" s="1"/>
      <c r="T476" s="1"/>
      <c r="U476" s="1"/>
      <c r="V476" s="1"/>
      <c r="W476" s="1"/>
      <c r="X476" s="1"/>
      <c r="Y476" s="1"/>
      <c r="Z476" s="1"/>
      <c r="AA476" s="1"/>
      <c r="AB476" s="1"/>
    </row>
    <row r="477" spans="1:28" ht="11.25" customHeight="1" x14ac:dyDescent="0.25">
      <c r="A477" s="825"/>
      <c r="B477" s="16"/>
      <c r="C477" s="1"/>
      <c r="D477" s="1"/>
      <c r="E477" s="1"/>
      <c r="F477" s="1"/>
      <c r="G477" s="1"/>
      <c r="H477" s="1"/>
      <c r="I477" s="1"/>
      <c r="J477" s="1"/>
      <c r="K477" s="1"/>
      <c r="L477" s="22"/>
      <c r="M477" s="262"/>
      <c r="N477" s="1"/>
      <c r="O477" s="1"/>
      <c r="P477" s="1"/>
      <c r="Q477" s="1"/>
      <c r="R477" s="1"/>
      <c r="S477" s="1"/>
      <c r="T477" s="1"/>
      <c r="U477" s="1"/>
      <c r="V477" s="1"/>
      <c r="W477" s="1"/>
      <c r="X477" s="1"/>
      <c r="Y477" s="1"/>
      <c r="Z477" s="1"/>
      <c r="AA477" s="1"/>
      <c r="AB477" s="1"/>
    </row>
    <row r="478" spans="1:28" ht="11.25" customHeight="1" x14ac:dyDescent="0.25">
      <c r="A478" s="825"/>
      <c r="B478" s="16"/>
      <c r="C478" s="1"/>
      <c r="D478" s="1"/>
      <c r="E478" s="1"/>
      <c r="F478" s="1"/>
      <c r="G478" s="1"/>
      <c r="H478" s="1"/>
      <c r="I478" s="1"/>
      <c r="J478" s="1"/>
      <c r="K478" s="1"/>
      <c r="L478" s="22"/>
      <c r="M478" s="262"/>
      <c r="N478" s="1"/>
      <c r="O478" s="1"/>
      <c r="P478" s="1"/>
      <c r="Q478" s="1"/>
      <c r="R478" s="1"/>
      <c r="S478" s="1"/>
      <c r="T478" s="1"/>
      <c r="U478" s="1"/>
      <c r="V478" s="1"/>
      <c r="W478" s="1"/>
      <c r="X478" s="1"/>
      <c r="Y478" s="1"/>
      <c r="Z478" s="1"/>
      <c r="AA478" s="1"/>
      <c r="AB478" s="1"/>
    </row>
    <row r="479" spans="1:28" ht="11.25" customHeight="1" x14ac:dyDescent="0.25">
      <c r="A479" s="825"/>
      <c r="B479" s="16"/>
      <c r="C479" s="1"/>
      <c r="D479" s="1"/>
      <c r="E479" s="1"/>
      <c r="F479" s="1"/>
      <c r="G479" s="1"/>
      <c r="H479" s="1"/>
      <c r="I479" s="1"/>
      <c r="J479" s="1"/>
      <c r="K479" s="1"/>
      <c r="L479" s="22"/>
      <c r="M479" s="262"/>
      <c r="N479" s="1"/>
      <c r="O479" s="1"/>
      <c r="P479" s="1"/>
      <c r="Q479" s="1"/>
      <c r="R479" s="1"/>
      <c r="S479" s="1"/>
      <c r="T479" s="1"/>
      <c r="U479" s="1"/>
      <c r="V479" s="1"/>
      <c r="W479" s="1"/>
      <c r="X479" s="1"/>
      <c r="Y479" s="1"/>
      <c r="Z479" s="1"/>
      <c r="AA479" s="1"/>
      <c r="AB479" s="1"/>
    </row>
    <row r="480" spans="1:28" ht="11.25" customHeight="1" x14ac:dyDescent="0.25">
      <c r="A480" s="825"/>
      <c r="B480" s="16"/>
      <c r="C480" s="1"/>
      <c r="D480" s="1"/>
      <c r="E480" s="1"/>
      <c r="F480" s="1"/>
      <c r="G480" s="1"/>
      <c r="H480" s="1"/>
      <c r="I480" s="1"/>
      <c r="J480" s="1"/>
      <c r="K480" s="1"/>
      <c r="L480" s="22"/>
      <c r="M480" s="262"/>
      <c r="N480" s="1"/>
      <c r="O480" s="1"/>
      <c r="P480" s="1"/>
      <c r="Q480" s="1"/>
      <c r="R480" s="1"/>
      <c r="S480" s="1"/>
      <c r="T480" s="1"/>
      <c r="U480" s="1"/>
      <c r="V480" s="1"/>
      <c r="W480" s="1"/>
      <c r="X480" s="1"/>
      <c r="Y480" s="1"/>
      <c r="Z480" s="1"/>
      <c r="AA480" s="1"/>
      <c r="AB480" s="1"/>
    </row>
    <row r="481" spans="1:28" ht="11.25" customHeight="1" x14ac:dyDescent="0.25">
      <c r="A481" s="825"/>
      <c r="B481" s="16"/>
      <c r="C481" s="1"/>
      <c r="D481" s="1"/>
      <c r="E481" s="1"/>
      <c r="F481" s="1"/>
      <c r="G481" s="1"/>
      <c r="H481" s="1"/>
      <c r="I481" s="1"/>
      <c r="J481" s="1"/>
      <c r="K481" s="1"/>
      <c r="L481" s="22"/>
      <c r="M481" s="262"/>
      <c r="N481" s="1"/>
      <c r="O481" s="1"/>
      <c r="P481" s="1"/>
      <c r="Q481" s="1"/>
      <c r="R481" s="1"/>
      <c r="S481" s="1"/>
      <c r="T481" s="1"/>
      <c r="U481" s="1"/>
      <c r="V481" s="1"/>
      <c r="W481" s="1"/>
      <c r="X481" s="1"/>
      <c r="Y481" s="1"/>
      <c r="Z481" s="1"/>
      <c r="AA481" s="1"/>
      <c r="AB481" s="1"/>
    </row>
    <row r="482" spans="1:28" ht="11.25" customHeight="1" x14ac:dyDescent="0.25">
      <c r="A482" s="825"/>
      <c r="B482" s="16"/>
      <c r="C482" s="1"/>
      <c r="D482" s="1"/>
      <c r="E482" s="1"/>
      <c r="F482" s="1"/>
      <c r="G482" s="1"/>
      <c r="H482" s="1"/>
      <c r="I482" s="1"/>
      <c r="J482" s="1"/>
      <c r="K482" s="1"/>
      <c r="L482" s="22"/>
      <c r="M482" s="262"/>
      <c r="N482" s="1"/>
      <c r="O482" s="1"/>
      <c r="P482" s="1"/>
      <c r="Q482" s="1"/>
      <c r="R482" s="1"/>
      <c r="S482" s="1"/>
      <c r="T482" s="1"/>
      <c r="U482" s="1"/>
      <c r="V482" s="1"/>
      <c r="W482" s="1"/>
      <c r="X482" s="1"/>
      <c r="Y482" s="1"/>
      <c r="Z482" s="1"/>
      <c r="AA482" s="1"/>
      <c r="AB482" s="1"/>
    </row>
    <row r="483" spans="1:28" ht="11.25" customHeight="1" x14ac:dyDescent="0.25">
      <c r="A483" s="825"/>
      <c r="B483" s="16"/>
      <c r="C483" s="1"/>
      <c r="D483" s="1"/>
      <c r="E483" s="1"/>
      <c r="F483" s="1"/>
      <c r="G483" s="1"/>
      <c r="H483" s="1"/>
      <c r="I483" s="1"/>
      <c r="J483" s="1"/>
      <c r="K483" s="1"/>
      <c r="L483" s="22"/>
      <c r="M483" s="262"/>
      <c r="N483" s="1"/>
      <c r="O483" s="1"/>
      <c r="P483" s="1"/>
      <c r="Q483" s="1"/>
      <c r="R483" s="1"/>
      <c r="S483" s="1"/>
      <c r="T483" s="1"/>
      <c r="U483" s="1"/>
      <c r="V483" s="1"/>
      <c r="W483" s="1"/>
      <c r="X483" s="1"/>
      <c r="Y483" s="1"/>
      <c r="Z483" s="1"/>
      <c r="AA483" s="1"/>
      <c r="AB483" s="1"/>
    </row>
    <row r="484" spans="1:28" ht="11.25" customHeight="1" x14ac:dyDescent="0.25">
      <c r="A484" s="825"/>
      <c r="B484" s="16"/>
      <c r="C484" s="1"/>
      <c r="D484" s="1"/>
      <c r="E484" s="1"/>
      <c r="F484" s="1"/>
      <c r="G484" s="1"/>
      <c r="H484" s="1"/>
      <c r="I484" s="1"/>
      <c r="J484" s="1"/>
      <c r="K484" s="1"/>
      <c r="L484" s="22"/>
      <c r="M484" s="262"/>
      <c r="N484" s="1"/>
      <c r="O484" s="1"/>
      <c r="P484" s="1"/>
      <c r="Q484" s="1"/>
      <c r="R484" s="1"/>
      <c r="S484" s="1"/>
      <c r="T484" s="1"/>
      <c r="U484" s="1"/>
      <c r="V484" s="1"/>
      <c r="W484" s="1"/>
      <c r="X484" s="1"/>
      <c r="Y484" s="1"/>
      <c r="Z484" s="1"/>
      <c r="AA484" s="1"/>
      <c r="AB484" s="1"/>
    </row>
    <row r="485" spans="1:28" ht="11.25" customHeight="1" x14ac:dyDescent="0.25">
      <c r="A485" s="825"/>
      <c r="B485" s="16"/>
      <c r="C485" s="1"/>
      <c r="D485" s="1"/>
      <c r="E485" s="1"/>
      <c r="F485" s="1"/>
      <c r="G485" s="1"/>
      <c r="H485" s="1"/>
      <c r="I485" s="1"/>
      <c r="J485" s="1"/>
      <c r="K485" s="1"/>
      <c r="L485" s="22"/>
      <c r="M485" s="262"/>
      <c r="N485" s="1"/>
      <c r="O485" s="1"/>
      <c r="P485" s="1"/>
      <c r="Q485" s="1"/>
      <c r="R485" s="1"/>
      <c r="S485" s="1"/>
      <c r="T485" s="1"/>
      <c r="U485" s="1"/>
      <c r="V485" s="1"/>
      <c r="W485" s="1"/>
      <c r="X485" s="1"/>
      <c r="Y485" s="1"/>
      <c r="Z485" s="1"/>
      <c r="AA485" s="1"/>
      <c r="AB485" s="1"/>
    </row>
    <row r="486" spans="1:28" ht="11.25" customHeight="1" x14ac:dyDescent="0.25">
      <c r="A486" s="825"/>
      <c r="B486" s="16"/>
      <c r="C486" s="1"/>
      <c r="D486" s="1"/>
      <c r="E486" s="1"/>
      <c r="F486" s="1"/>
      <c r="G486" s="1"/>
      <c r="H486" s="1"/>
      <c r="I486" s="1"/>
      <c r="J486" s="1"/>
      <c r="K486" s="1"/>
      <c r="L486" s="22"/>
      <c r="M486" s="262"/>
      <c r="N486" s="1"/>
      <c r="O486" s="1"/>
      <c r="P486" s="1"/>
      <c r="Q486" s="1"/>
      <c r="R486" s="1"/>
      <c r="S486" s="1"/>
      <c r="T486" s="1"/>
      <c r="U486" s="1"/>
      <c r="V486" s="1"/>
      <c r="W486" s="1"/>
      <c r="X486" s="1"/>
      <c r="Y486" s="1"/>
      <c r="Z486" s="1"/>
      <c r="AA486" s="1"/>
      <c r="AB486" s="1"/>
    </row>
    <row r="487" spans="1:28" ht="11.25" customHeight="1" x14ac:dyDescent="0.25">
      <c r="A487" s="825"/>
      <c r="B487" s="16"/>
      <c r="C487" s="1"/>
      <c r="D487" s="1"/>
      <c r="E487" s="1"/>
      <c r="F487" s="1"/>
      <c r="G487" s="1"/>
      <c r="H487" s="1"/>
      <c r="I487" s="1"/>
      <c r="J487" s="1"/>
      <c r="K487" s="1"/>
      <c r="L487" s="22"/>
      <c r="M487" s="262"/>
      <c r="N487" s="1"/>
      <c r="O487" s="1"/>
      <c r="P487" s="1"/>
      <c r="Q487" s="1"/>
      <c r="R487" s="1"/>
      <c r="S487" s="1"/>
      <c r="T487" s="1"/>
      <c r="U487" s="1"/>
      <c r="V487" s="1"/>
      <c r="W487" s="1"/>
      <c r="X487" s="1"/>
      <c r="Y487" s="1"/>
      <c r="Z487" s="1"/>
      <c r="AA487" s="1"/>
      <c r="AB487" s="1"/>
    </row>
    <row r="488" spans="1:28" ht="11.25" customHeight="1" x14ac:dyDescent="0.25">
      <c r="A488" s="825"/>
      <c r="B488" s="16"/>
      <c r="C488" s="1"/>
      <c r="D488" s="1"/>
      <c r="E488" s="1"/>
      <c r="F488" s="1"/>
      <c r="G488" s="1"/>
      <c r="H488" s="1"/>
      <c r="I488" s="1"/>
      <c r="J488" s="1"/>
      <c r="K488" s="1"/>
      <c r="L488" s="22"/>
      <c r="M488" s="262"/>
      <c r="N488" s="1"/>
      <c r="O488" s="1"/>
      <c r="P488" s="1"/>
      <c r="Q488" s="1"/>
      <c r="R488" s="1"/>
      <c r="S488" s="1"/>
      <c r="T488" s="1"/>
      <c r="U488" s="1"/>
      <c r="V488" s="1"/>
      <c r="W488" s="1"/>
      <c r="X488" s="1"/>
      <c r="Y488" s="1"/>
      <c r="Z488" s="1"/>
      <c r="AA488" s="1"/>
      <c r="AB488" s="1"/>
    </row>
    <row r="489" spans="1:28" ht="11.25" customHeight="1" x14ac:dyDescent="0.25">
      <c r="A489" s="825"/>
      <c r="B489" s="16"/>
      <c r="C489" s="1"/>
      <c r="D489" s="1"/>
      <c r="E489" s="1"/>
      <c r="F489" s="1"/>
      <c r="G489" s="1"/>
      <c r="H489" s="1"/>
      <c r="I489" s="1"/>
      <c r="J489" s="1"/>
      <c r="K489" s="1"/>
      <c r="L489" s="22"/>
      <c r="M489" s="262"/>
      <c r="N489" s="1"/>
      <c r="O489" s="1"/>
      <c r="P489" s="1"/>
      <c r="Q489" s="1"/>
      <c r="R489" s="1"/>
      <c r="S489" s="1"/>
      <c r="T489" s="1"/>
      <c r="U489" s="1"/>
      <c r="V489" s="1"/>
      <c r="W489" s="1"/>
      <c r="X489" s="1"/>
      <c r="Y489" s="1"/>
      <c r="Z489" s="1"/>
      <c r="AA489" s="1"/>
      <c r="AB489" s="1"/>
    </row>
    <row r="490" spans="1:28" ht="11.25" customHeight="1" x14ac:dyDescent="0.25">
      <c r="A490" s="825"/>
      <c r="B490" s="16"/>
      <c r="C490" s="1"/>
      <c r="D490" s="1"/>
      <c r="E490" s="1"/>
      <c r="F490" s="1"/>
      <c r="G490" s="1"/>
      <c r="H490" s="1"/>
      <c r="I490" s="1"/>
      <c r="J490" s="1"/>
      <c r="K490" s="1"/>
      <c r="L490" s="22"/>
      <c r="M490" s="262"/>
      <c r="N490" s="1"/>
      <c r="O490" s="1"/>
      <c r="P490" s="1"/>
      <c r="Q490" s="1"/>
      <c r="R490" s="1"/>
      <c r="S490" s="1"/>
      <c r="T490" s="1"/>
      <c r="U490" s="1"/>
      <c r="V490" s="1"/>
      <c r="W490" s="1"/>
      <c r="X490" s="1"/>
      <c r="Y490" s="1"/>
      <c r="Z490" s="1"/>
      <c r="AA490" s="1"/>
      <c r="AB490" s="1"/>
    </row>
    <row r="491" spans="1:28" ht="11.25" customHeight="1" x14ac:dyDescent="0.25">
      <c r="A491" s="825"/>
      <c r="B491" s="16"/>
      <c r="C491" s="1"/>
      <c r="D491" s="1"/>
      <c r="E491" s="1"/>
      <c r="F491" s="1"/>
      <c r="G491" s="1"/>
      <c r="H491" s="1"/>
      <c r="I491" s="1"/>
      <c r="J491" s="1"/>
      <c r="K491" s="1"/>
      <c r="L491" s="22"/>
      <c r="M491" s="262"/>
      <c r="N491" s="1"/>
      <c r="O491" s="1"/>
      <c r="P491" s="1"/>
      <c r="Q491" s="1"/>
      <c r="R491" s="1"/>
      <c r="S491" s="1"/>
      <c r="T491" s="1"/>
      <c r="U491" s="1"/>
      <c r="V491" s="1"/>
      <c r="W491" s="1"/>
      <c r="X491" s="1"/>
      <c r="Y491" s="1"/>
      <c r="Z491" s="1"/>
      <c r="AA491" s="1"/>
      <c r="AB491" s="1"/>
    </row>
    <row r="492" spans="1:28" ht="11.25" customHeight="1" x14ac:dyDescent="0.25">
      <c r="A492" s="825"/>
      <c r="B492" s="16"/>
      <c r="C492" s="1"/>
      <c r="D492" s="1"/>
      <c r="E492" s="1"/>
      <c r="F492" s="1"/>
      <c r="G492" s="1"/>
      <c r="H492" s="1"/>
      <c r="I492" s="1"/>
      <c r="J492" s="1"/>
      <c r="K492" s="1"/>
      <c r="L492" s="22"/>
      <c r="M492" s="262"/>
      <c r="N492" s="1"/>
      <c r="O492" s="1"/>
      <c r="P492" s="1"/>
      <c r="Q492" s="1"/>
      <c r="R492" s="1"/>
      <c r="S492" s="1"/>
      <c r="T492" s="1"/>
      <c r="U492" s="1"/>
      <c r="V492" s="1"/>
      <c r="W492" s="1"/>
      <c r="X492" s="1"/>
      <c r="Y492" s="1"/>
      <c r="Z492" s="1"/>
      <c r="AA492" s="1"/>
      <c r="AB492" s="1"/>
    </row>
    <row r="493" spans="1:28" ht="11.25" customHeight="1" x14ac:dyDescent="0.25">
      <c r="A493" s="825"/>
      <c r="B493" s="16"/>
      <c r="C493" s="1"/>
      <c r="D493" s="1"/>
      <c r="E493" s="1"/>
      <c r="F493" s="1"/>
      <c r="G493" s="1"/>
      <c r="H493" s="1"/>
      <c r="I493" s="1"/>
      <c r="J493" s="1"/>
      <c r="K493" s="1"/>
      <c r="L493" s="22"/>
      <c r="M493" s="262"/>
      <c r="N493" s="1"/>
      <c r="O493" s="1"/>
      <c r="P493" s="1"/>
      <c r="Q493" s="1"/>
      <c r="R493" s="1"/>
      <c r="S493" s="1"/>
      <c r="T493" s="1"/>
      <c r="U493" s="1"/>
      <c r="V493" s="1"/>
      <c r="W493" s="1"/>
      <c r="X493" s="1"/>
      <c r="Y493" s="1"/>
      <c r="Z493" s="1"/>
      <c r="AA493" s="1"/>
      <c r="AB493" s="1"/>
    </row>
    <row r="494" spans="1:28" ht="11.25" customHeight="1" x14ac:dyDescent="0.25">
      <c r="A494" s="825"/>
      <c r="B494" s="16"/>
      <c r="C494" s="1"/>
      <c r="D494" s="1"/>
      <c r="E494" s="1"/>
      <c r="F494" s="1"/>
      <c r="G494" s="1"/>
      <c r="H494" s="1"/>
      <c r="I494" s="1"/>
      <c r="J494" s="1"/>
      <c r="K494" s="1"/>
      <c r="L494" s="22"/>
      <c r="M494" s="262"/>
      <c r="N494" s="1"/>
      <c r="O494" s="1"/>
      <c r="P494" s="1"/>
      <c r="Q494" s="1"/>
      <c r="R494" s="1"/>
      <c r="S494" s="1"/>
      <c r="T494" s="1"/>
      <c r="U494" s="1"/>
      <c r="V494" s="1"/>
      <c r="W494" s="1"/>
      <c r="X494" s="1"/>
      <c r="Y494" s="1"/>
      <c r="Z494" s="1"/>
      <c r="AA494" s="1"/>
      <c r="AB494" s="1"/>
    </row>
    <row r="495" spans="1:28" ht="11.25" customHeight="1" x14ac:dyDescent="0.25">
      <c r="A495" s="825"/>
      <c r="B495" s="16"/>
      <c r="C495" s="1"/>
      <c r="D495" s="1"/>
      <c r="E495" s="1"/>
      <c r="F495" s="1"/>
      <c r="G495" s="1"/>
      <c r="H495" s="1"/>
      <c r="I495" s="1"/>
      <c r="J495" s="1"/>
      <c r="K495" s="1"/>
      <c r="L495" s="22"/>
      <c r="M495" s="262"/>
      <c r="N495" s="1"/>
      <c r="O495" s="1"/>
      <c r="P495" s="1"/>
      <c r="Q495" s="1"/>
      <c r="R495" s="1"/>
      <c r="S495" s="1"/>
      <c r="T495" s="1"/>
      <c r="U495" s="1"/>
      <c r="V495" s="1"/>
      <c r="W495" s="1"/>
      <c r="X495" s="1"/>
      <c r="Y495" s="1"/>
      <c r="Z495" s="1"/>
      <c r="AA495" s="1"/>
      <c r="AB495" s="1"/>
    </row>
    <row r="496" spans="1:28" ht="11.25" customHeight="1" x14ac:dyDescent="0.25">
      <c r="A496" s="825"/>
      <c r="B496" s="16"/>
      <c r="C496" s="1"/>
      <c r="D496" s="1"/>
      <c r="E496" s="1"/>
      <c r="F496" s="1"/>
      <c r="G496" s="1"/>
      <c r="H496" s="1"/>
      <c r="I496" s="1"/>
      <c r="J496" s="1"/>
      <c r="K496" s="1"/>
      <c r="L496" s="22"/>
      <c r="M496" s="262"/>
      <c r="N496" s="1"/>
      <c r="O496" s="1"/>
      <c r="P496" s="1"/>
      <c r="Q496" s="1"/>
      <c r="R496" s="1"/>
      <c r="S496" s="1"/>
      <c r="T496" s="1"/>
      <c r="U496" s="1"/>
      <c r="V496" s="1"/>
      <c r="W496" s="1"/>
      <c r="X496" s="1"/>
      <c r="Y496" s="1"/>
      <c r="Z496" s="1"/>
      <c r="AA496" s="1"/>
      <c r="AB496" s="1"/>
    </row>
    <row r="497" spans="1:28" ht="11.25" customHeight="1" x14ac:dyDescent="0.25">
      <c r="A497" s="825"/>
      <c r="B497" s="16"/>
      <c r="C497" s="1"/>
      <c r="D497" s="1"/>
      <c r="E497" s="1"/>
      <c r="F497" s="1"/>
      <c r="G497" s="1"/>
      <c r="H497" s="1"/>
      <c r="I497" s="1"/>
      <c r="J497" s="1"/>
      <c r="K497" s="1"/>
      <c r="L497" s="22"/>
      <c r="M497" s="262"/>
      <c r="N497" s="1"/>
      <c r="O497" s="1"/>
      <c r="P497" s="1"/>
      <c r="Q497" s="1"/>
      <c r="R497" s="1"/>
      <c r="S497" s="1"/>
      <c r="T497" s="1"/>
      <c r="U497" s="1"/>
      <c r="V497" s="1"/>
      <c r="W497" s="1"/>
      <c r="X497" s="1"/>
      <c r="Y497" s="1"/>
      <c r="Z497" s="1"/>
      <c r="AA497" s="1"/>
      <c r="AB497" s="1"/>
    </row>
    <row r="498" spans="1:28" ht="11.25" customHeight="1" x14ac:dyDescent="0.25">
      <c r="A498" s="825"/>
      <c r="B498" s="16"/>
      <c r="C498" s="1"/>
      <c r="D498" s="1"/>
      <c r="E498" s="1"/>
      <c r="F498" s="1"/>
      <c r="G498" s="1"/>
      <c r="H498" s="1"/>
      <c r="I498" s="1"/>
      <c r="J498" s="1"/>
      <c r="K498" s="1"/>
      <c r="L498" s="22"/>
      <c r="M498" s="262"/>
      <c r="N498" s="1"/>
      <c r="O498" s="1"/>
      <c r="P498" s="1"/>
      <c r="Q498" s="1"/>
      <c r="R498" s="1"/>
      <c r="S498" s="1"/>
      <c r="T498" s="1"/>
      <c r="U498" s="1"/>
      <c r="V498" s="1"/>
      <c r="W498" s="1"/>
      <c r="X498" s="1"/>
      <c r="Y498" s="1"/>
      <c r="Z498" s="1"/>
      <c r="AA498" s="1"/>
      <c r="AB498" s="1"/>
    </row>
    <row r="499" spans="1:28" ht="11.25" customHeight="1" x14ac:dyDescent="0.25">
      <c r="A499" s="825"/>
      <c r="B499" s="16"/>
      <c r="C499" s="1"/>
      <c r="D499" s="1"/>
      <c r="E499" s="1"/>
      <c r="F499" s="1"/>
      <c r="G499" s="1"/>
      <c r="H499" s="1"/>
      <c r="I499" s="1"/>
      <c r="J499" s="1"/>
      <c r="K499" s="1"/>
      <c r="L499" s="22"/>
      <c r="M499" s="262"/>
      <c r="N499" s="1"/>
      <c r="O499" s="1"/>
      <c r="P499" s="1"/>
      <c r="Q499" s="1"/>
      <c r="R499" s="1"/>
      <c r="S499" s="1"/>
      <c r="T499" s="1"/>
      <c r="U499" s="1"/>
      <c r="V499" s="1"/>
      <c r="W499" s="1"/>
      <c r="X499" s="1"/>
      <c r="Y499" s="1"/>
      <c r="Z499" s="1"/>
      <c r="AA499" s="1"/>
      <c r="AB499" s="1"/>
    </row>
    <row r="500" spans="1:28" ht="11.25" customHeight="1" x14ac:dyDescent="0.25">
      <c r="A500" s="825"/>
      <c r="B500" s="16"/>
      <c r="C500" s="1"/>
      <c r="D500" s="1"/>
      <c r="E500" s="1"/>
      <c r="F500" s="1"/>
      <c r="G500" s="1"/>
      <c r="H500" s="1"/>
      <c r="I500" s="1"/>
      <c r="J500" s="1"/>
      <c r="K500" s="1"/>
      <c r="L500" s="22"/>
      <c r="M500" s="262"/>
      <c r="N500" s="1"/>
      <c r="O500" s="1"/>
      <c r="P500" s="1"/>
      <c r="Q500" s="1"/>
      <c r="R500" s="1"/>
      <c r="S500" s="1"/>
      <c r="T500" s="1"/>
      <c r="U500" s="1"/>
      <c r="V500" s="1"/>
      <c r="W500" s="1"/>
      <c r="X500" s="1"/>
      <c r="Y500" s="1"/>
      <c r="Z500" s="1"/>
      <c r="AA500" s="1"/>
      <c r="AB500" s="1"/>
    </row>
    <row r="501" spans="1:28" ht="11.25" customHeight="1" x14ac:dyDescent="0.25">
      <c r="A501" s="825"/>
      <c r="B501" s="16"/>
      <c r="C501" s="1"/>
      <c r="D501" s="1"/>
      <c r="E501" s="1"/>
      <c r="F501" s="1"/>
      <c r="G501" s="1"/>
      <c r="H501" s="1"/>
      <c r="I501" s="1"/>
      <c r="J501" s="1"/>
      <c r="K501" s="1"/>
      <c r="L501" s="22"/>
      <c r="M501" s="262"/>
      <c r="N501" s="1"/>
      <c r="O501" s="1"/>
      <c r="P501" s="1"/>
      <c r="Q501" s="1"/>
      <c r="R501" s="1"/>
      <c r="S501" s="1"/>
      <c r="T501" s="1"/>
      <c r="U501" s="1"/>
      <c r="V501" s="1"/>
      <c r="W501" s="1"/>
      <c r="X501" s="1"/>
      <c r="Y501" s="1"/>
      <c r="Z501" s="1"/>
      <c r="AA501" s="1"/>
      <c r="AB501" s="1"/>
    </row>
    <row r="502" spans="1:28" ht="11.25" customHeight="1" x14ac:dyDescent="0.25">
      <c r="A502" s="825"/>
      <c r="B502" s="16"/>
      <c r="C502" s="1"/>
      <c r="D502" s="1"/>
      <c r="E502" s="1"/>
      <c r="F502" s="1"/>
      <c r="G502" s="1"/>
      <c r="H502" s="1"/>
      <c r="I502" s="1"/>
      <c r="J502" s="1"/>
      <c r="K502" s="1"/>
      <c r="L502" s="22"/>
      <c r="M502" s="262"/>
      <c r="N502" s="1"/>
      <c r="O502" s="1"/>
      <c r="P502" s="1"/>
      <c r="Q502" s="1"/>
      <c r="R502" s="1"/>
      <c r="S502" s="1"/>
      <c r="T502" s="1"/>
      <c r="U502" s="1"/>
      <c r="V502" s="1"/>
      <c r="W502" s="1"/>
      <c r="X502" s="1"/>
      <c r="Y502" s="1"/>
      <c r="Z502" s="1"/>
      <c r="AA502" s="1"/>
      <c r="AB502" s="1"/>
    </row>
    <row r="503" spans="1:28" ht="11.25" customHeight="1" x14ac:dyDescent="0.25">
      <c r="A503" s="825"/>
      <c r="B503" s="16"/>
      <c r="C503" s="1"/>
      <c r="D503" s="1"/>
      <c r="E503" s="1"/>
      <c r="F503" s="1"/>
      <c r="G503" s="1"/>
      <c r="H503" s="1"/>
      <c r="I503" s="1"/>
      <c r="J503" s="1"/>
      <c r="K503" s="1"/>
      <c r="L503" s="22"/>
      <c r="M503" s="262"/>
      <c r="N503" s="1"/>
      <c r="O503" s="1"/>
      <c r="P503" s="1"/>
      <c r="Q503" s="1"/>
      <c r="R503" s="1"/>
      <c r="S503" s="1"/>
      <c r="T503" s="1"/>
      <c r="U503" s="1"/>
      <c r="V503" s="1"/>
      <c r="W503" s="1"/>
      <c r="X503" s="1"/>
      <c r="Y503" s="1"/>
      <c r="Z503" s="1"/>
      <c r="AA503" s="1"/>
      <c r="AB503" s="1"/>
    </row>
    <row r="504" spans="1:28" ht="11.25" customHeight="1" x14ac:dyDescent="0.25">
      <c r="A504" s="825"/>
      <c r="B504" s="16"/>
      <c r="C504" s="1"/>
      <c r="D504" s="1"/>
      <c r="E504" s="1"/>
      <c r="F504" s="1"/>
      <c r="G504" s="1"/>
      <c r="H504" s="1"/>
      <c r="I504" s="1"/>
      <c r="J504" s="1"/>
      <c r="K504" s="1"/>
      <c r="L504" s="22"/>
      <c r="M504" s="262"/>
      <c r="N504" s="1"/>
      <c r="O504" s="1"/>
      <c r="P504" s="1"/>
      <c r="Q504" s="1"/>
      <c r="R504" s="1"/>
      <c r="S504" s="1"/>
      <c r="T504" s="1"/>
      <c r="U504" s="1"/>
      <c r="V504" s="1"/>
      <c r="W504" s="1"/>
      <c r="X504" s="1"/>
      <c r="Y504" s="1"/>
      <c r="Z504" s="1"/>
      <c r="AA504" s="1"/>
      <c r="AB504" s="1"/>
    </row>
    <row r="505" spans="1:28" ht="11.25" customHeight="1" x14ac:dyDescent="0.25">
      <c r="A505" s="825"/>
      <c r="B505" s="16"/>
      <c r="C505" s="1"/>
      <c r="D505" s="1"/>
      <c r="E505" s="1"/>
      <c r="F505" s="1"/>
      <c r="G505" s="1"/>
      <c r="H505" s="1"/>
      <c r="I505" s="1"/>
      <c r="J505" s="1"/>
      <c r="K505" s="1"/>
      <c r="L505" s="22"/>
      <c r="M505" s="262"/>
      <c r="N505" s="1"/>
      <c r="O505" s="1"/>
      <c r="P505" s="1"/>
      <c r="Q505" s="1"/>
      <c r="R505" s="1"/>
      <c r="S505" s="1"/>
      <c r="T505" s="1"/>
      <c r="U505" s="1"/>
      <c r="V505" s="1"/>
      <c r="W505" s="1"/>
      <c r="X505" s="1"/>
      <c r="Y505" s="1"/>
      <c r="Z505" s="1"/>
      <c r="AA505" s="1"/>
      <c r="AB505" s="1"/>
    </row>
    <row r="506" spans="1:28" ht="11.25" customHeight="1" x14ac:dyDescent="0.25">
      <c r="A506" s="825"/>
      <c r="B506" s="16"/>
      <c r="C506" s="1"/>
      <c r="D506" s="1"/>
      <c r="E506" s="1"/>
      <c r="F506" s="1"/>
      <c r="G506" s="1"/>
      <c r="H506" s="1"/>
      <c r="I506" s="1"/>
      <c r="J506" s="1"/>
      <c r="K506" s="1"/>
      <c r="L506" s="22"/>
      <c r="M506" s="262"/>
      <c r="N506" s="1"/>
      <c r="O506" s="1"/>
      <c r="P506" s="1"/>
      <c r="Q506" s="1"/>
      <c r="R506" s="1"/>
      <c r="S506" s="1"/>
      <c r="T506" s="1"/>
      <c r="U506" s="1"/>
      <c r="V506" s="1"/>
      <c r="W506" s="1"/>
      <c r="X506" s="1"/>
      <c r="Y506" s="1"/>
      <c r="Z506" s="1"/>
      <c r="AA506" s="1"/>
      <c r="AB506" s="1"/>
    </row>
    <row r="507" spans="1:28" ht="11.25" customHeight="1" x14ac:dyDescent="0.25">
      <c r="A507" s="825"/>
      <c r="B507" s="16"/>
      <c r="C507" s="1"/>
      <c r="D507" s="1"/>
      <c r="E507" s="1"/>
      <c r="F507" s="1"/>
      <c r="G507" s="1"/>
      <c r="H507" s="1"/>
      <c r="I507" s="1"/>
      <c r="J507" s="1"/>
      <c r="K507" s="1"/>
      <c r="L507" s="22"/>
      <c r="M507" s="262"/>
      <c r="N507" s="1"/>
      <c r="O507" s="1"/>
      <c r="P507" s="1"/>
      <c r="Q507" s="1"/>
      <c r="R507" s="1"/>
      <c r="S507" s="1"/>
      <c r="T507" s="1"/>
      <c r="U507" s="1"/>
      <c r="V507" s="1"/>
      <c r="W507" s="1"/>
      <c r="X507" s="1"/>
      <c r="Y507" s="1"/>
      <c r="Z507" s="1"/>
      <c r="AA507" s="1"/>
      <c r="AB507" s="1"/>
    </row>
    <row r="508" spans="1:28" ht="11.25" customHeight="1" x14ac:dyDescent="0.25">
      <c r="A508" s="825"/>
      <c r="B508" s="16"/>
      <c r="C508" s="1"/>
      <c r="D508" s="1"/>
      <c r="E508" s="1"/>
      <c r="F508" s="1"/>
      <c r="G508" s="1"/>
      <c r="H508" s="1"/>
      <c r="I508" s="1"/>
      <c r="J508" s="1"/>
      <c r="K508" s="1"/>
      <c r="L508" s="22"/>
      <c r="M508" s="262"/>
      <c r="N508" s="1"/>
      <c r="O508" s="1"/>
      <c r="P508" s="1"/>
      <c r="Q508" s="1"/>
      <c r="R508" s="1"/>
      <c r="S508" s="1"/>
      <c r="T508" s="1"/>
      <c r="U508" s="1"/>
      <c r="V508" s="1"/>
      <c r="W508" s="1"/>
      <c r="X508" s="1"/>
      <c r="Y508" s="1"/>
      <c r="Z508" s="1"/>
      <c r="AA508" s="1"/>
      <c r="AB508" s="1"/>
    </row>
    <row r="509" spans="1:28" ht="11.25" customHeight="1" x14ac:dyDescent="0.25">
      <c r="A509" s="825"/>
      <c r="B509" s="16"/>
      <c r="C509" s="1"/>
      <c r="D509" s="1"/>
      <c r="E509" s="1"/>
      <c r="F509" s="1"/>
      <c r="G509" s="1"/>
      <c r="H509" s="1"/>
      <c r="I509" s="1"/>
      <c r="J509" s="1"/>
      <c r="K509" s="1"/>
      <c r="L509" s="22"/>
      <c r="M509" s="262"/>
      <c r="N509" s="1"/>
      <c r="O509" s="1"/>
      <c r="P509" s="1"/>
      <c r="Q509" s="1"/>
      <c r="R509" s="1"/>
      <c r="S509" s="1"/>
      <c r="T509" s="1"/>
      <c r="U509" s="1"/>
      <c r="V509" s="1"/>
      <c r="W509" s="1"/>
      <c r="X509" s="1"/>
      <c r="Y509" s="1"/>
      <c r="Z509" s="1"/>
      <c r="AA509" s="1"/>
      <c r="AB509" s="1"/>
    </row>
    <row r="510" spans="1:28" ht="11.25" customHeight="1" x14ac:dyDescent="0.25">
      <c r="A510" s="825"/>
      <c r="B510" s="16"/>
      <c r="C510" s="1"/>
      <c r="D510" s="1"/>
      <c r="E510" s="1"/>
      <c r="F510" s="1"/>
      <c r="G510" s="1"/>
      <c r="H510" s="1"/>
      <c r="I510" s="1"/>
      <c r="J510" s="1"/>
      <c r="K510" s="1"/>
      <c r="L510" s="22"/>
      <c r="M510" s="262"/>
      <c r="N510" s="1"/>
      <c r="O510" s="1"/>
      <c r="P510" s="1"/>
      <c r="Q510" s="1"/>
      <c r="R510" s="1"/>
      <c r="S510" s="1"/>
      <c r="T510" s="1"/>
      <c r="U510" s="1"/>
      <c r="V510" s="1"/>
      <c r="W510" s="1"/>
      <c r="X510" s="1"/>
      <c r="Y510" s="1"/>
      <c r="Z510" s="1"/>
      <c r="AA510" s="1"/>
      <c r="AB510" s="1"/>
    </row>
    <row r="511" spans="1:28" ht="11.25" customHeight="1" x14ac:dyDescent="0.25">
      <c r="A511" s="825"/>
      <c r="B511" s="16"/>
      <c r="C511" s="1"/>
      <c r="D511" s="1"/>
      <c r="E511" s="1"/>
      <c r="F511" s="1"/>
      <c r="G511" s="1"/>
      <c r="H511" s="1"/>
      <c r="I511" s="1"/>
      <c r="J511" s="1"/>
      <c r="K511" s="1"/>
      <c r="L511" s="22"/>
      <c r="M511" s="262"/>
      <c r="N511" s="1"/>
      <c r="O511" s="1"/>
      <c r="P511" s="1"/>
      <c r="Q511" s="1"/>
      <c r="R511" s="1"/>
      <c r="S511" s="1"/>
      <c r="T511" s="1"/>
      <c r="U511" s="1"/>
      <c r="V511" s="1"/>
      <c r="W511" s="1"/>
      <c r="X511" s="1"/>
      <c r="Y511" s="1"/>
      <c r="Z511" s="1"/>
      <c r="AA511" s="1"/>
      <c r="AB511" s="1"/>
    </row>
    <row r="512" spans="1:28" ht="11.25" customHeight="1" x14ac:dyDescent="0.25">
      <c r="A512" s="825"/>
      <c r="B512" s="16"/>
      <c r="C512" s="1"/>
      <c r="D512" s="1"/>
      <c r="E512" s="1"/>
      <c r="F512" s="1"/>
      <c r="G512" s="1"/>
      <c r="H512" s="1"/>
      <c r="I512" s="1"/>
      <c r="J512" s="1"/>
      <c r="K512" s="1"/>
      <c r="L512" s="22"/>
      <c r="M512" s="262"/>
      <c r="N512" s="1"/>
      <c r="O512" s="1"/>
      <c r="P512" s="1"/>
      <c r="Q512" s="1"/>
      <c r="R512" s="1"/>
      <c r="S512" s="1"/>
      <c r="T512" s="1"/>
      <c r="U512" s="1"/>
      <c r="V512" s="1"/>
      <c r="W512" s="1"/>
      <c r="X512" s="1"/>
      <c r="Y512" s="1"/>
      <c r="Z512" s="1"/>
      <c r="AA512" s="1"/>
      <c r="AB512" s="1"/>
    </row>
    <row r="513" spans="1:28" ht="11.25" customHeight="1" x14ac:dyDescent="0.25">
      <c r="A513" s="825"/>
      <c r="B513" s="16"/>
      <c r="C513" s="1"/>
      <c r="D513" s="1"/>
      <c r="E513" s="1"/>
      <c r="F513" s="1"/>
      <c r="G513" s="1"/>
      <c r="H513" s="1"/>
      <c r="I513" s="1"/>
      <c r="J513" s="1"/>
      <c r="K513" s="1"/>
      <c r="L513" s="22"/>
      <c r="M513" s="262"/>
      <c r="N513" s="1"/>
      <c r="O513" s="1"/>
      <c r="P513" s="1"/>
      <c r="Q513" s="1"/>
      <c r="R513" s="1"/>
      <c r="S513" s="1"/>
      <c r="T513" s="1"/>
      <c r="U513" s="1"/>
      <c r="V513" s="1"/>
      <c r="W513" s="1"/>
      <c r="X513" s="1"/>
      <c r="Y513" s="1"/>
      <c r="Z513" s="1"/>
      <c r="AA513" s="1"/>
      <c r="AB513" s="1"/>
    </row>
    <row r="514" spans="1:28" ht="11.25" customHeight="1" x14ac:dyDescent="0.25">
      <c r="A514" s="825"/>
      <c r="B514" s="16"/>
      <c r="C514" s="1"/>
      <c r="D514" s="1"/>
      <c r="E514" s="1"/>
      <c r="F514" s="1"/>
      <c r="G514" s="1"/>
      <c r="H514" s="1"/>
      <c r="I514" s="1"/>
      <c r="J514" s="1"/>
      <c r="K514" s="1"/>
      <c r="L514" s="22"/>
      <c r="M514" s="262"/>
      <c r="N514" s="1"/>
      <c r="O514" s="1"/>
      <c r="P514" s="1"/>
      <c r="Q514" s="1"/>
      <c r="R514" s="1"/>
      <c r="S514" s="1"/>
      <c r="T514" s="1"/>
      <c r="U514" s="1"/>
      <c r="V514" s="1"/>
      <c r="W514" s="1"/>
      <c r="X514" s="1"/>
      <c r="Y514" s="1"/>
      <c r="Z514" s="1"/>
      <c r="AA514" s="1"/>
      <c r="AB514" s="1"/>
    </row>
    <row r="515" spans="1:28" ht="11.25" customHeight="1" x14ac:dyDescent="0.25">
      <c r="A515" s="825"/>
      <c r="B515" s="16"/>
      <c r="C515" s="1"/>
      <c r="D515" s="1"/>
      <c r="E515" s="1"/>
      <c r="F515" s="1"/>
      <c r="G515" s="1"/>
      <c r="H515" s="1"/>
      <c r="I515" s="1"/>
      <c r="J515" s="1"/>
      <c r="K515" s="1"/>
      <c r="L515" s="22"/>
      <c r="M515" s="262"/>
      <c r="N515" s="1"/>
      <c r="O515" s="1"/>
      <c r="P515" s="1"/>
      <c r="Q515" s="1"/>
      <c r="R515" s="1"/>
      <c r="S515" s="1"/>
      <c r="T515" s="1"/>
      <c r="U515" s="1"/>
      <c r="V515" s="1"/>
      <c r="W515" s="1"/>
      <c r="X515" s="1"/>
      <c r="Y515" s="1"/>
      <c r="Z515" s="1"/>
      <c r="AA515" s="1"/>
      <c r="AB515" s="1"/>
    </row>
    <row r="516" spans="1:28" ht="11.25" customHeight="1" x14ac:dyDescent="0.25">
      <c r="A516" s="825"/>
      <c r="B516" s="16"/>
      <c r="C516" s="1"/>
      <c r="D516" s="1"/>
      <c r="E516" s="1"/>
      <c r="F516" s="1"/>
      <c r="G516" s="1"/>
      <c r="H516" s="1"/>
      <c r="I516" s="1"/>
      <c r="J516" s="1"/>
      <c r="K516" s="1"/>
      <c r="L516" s="22"/>
      <c r="M516" s="262"/>
      <c r="N516" s="1"/>
      <c r="O516" s="1"/>
      <c r="P516" s="1"/>
      <c r="Q516" s="1"/>
      <c r="R516" s="1"/>
      <c r="S516" s="1"/>
      <c r="T516" s="1"/>
      <c r="U516" s="1"/>
      <c r="V516" s="1"/>
      <c r="W516" s="1"/>
      <c r="X516" s="1"/>
      <c r="Y516" s="1"/>
      <c r="Z516" s="1"/>
      <c r="AA516" s="1"/>
      <c r="AB516" s="1"/>
    </row>
    <row r="517" spans="1:28" ht="11.25" customHeight="1" x14ac:dyDescent="0.25">
      <c r="A517" s="825"/>
      <c r="B517" s="16"/>
      <c r="C517" s="1"/>
      <c r="D517" s="1"/>
      <c r="E517" s="1"/>
      <c r="F517" s="1"/>
      <c r="G517" s="1"/>
      <c r="H517" s="1"/>
      <c r="I517" s="1"/>
      <c r="J517" s="1"/>
      <c r="K517" s="1"/>
      <c r="L517" s="22"/>
      <c r="M517" s="262"/>
      <c r="N517" s="1"/>
      <c r="O517" s="1"/>
      <c r="P517" s="1"/>
      <c r="Q517" s="1"/>
      <c r="R517" s="1"/>
      <c r="S517" s="1"/>
      <c r="T517" s="1"/>
      <c r="U517" s="1"/>
      <c r="V517" s="1"/>
      <c r="W517" s="1"/>
      <c r="X517" s="1"/>
      <c r="Y517" s="1"/>
      <c r="Z517" s="1"/>
      <c r="AA517" s="1"/>
      <c r="AB517" s="1"/>
    </row>
    <row r="518" spans="1:28" ht="11.25" customHeight="1" x14ac:dyDescent="0.25">
      <c r="A518" s="825"/>
      <c r="B518" s="16"/>
      <c r="C518" s="1"/>
      <c r="D518" s="1"/>
      <c r="E518" s="1"/>
      <c r="F518" s="1"/>
      <c r="G518" s="1"/>
      <c r="H518" s="1"/>
      <c r="I518" s="1"/>
      <c r="J518" s="1"/>
      <c r="K518" s="1"/>
      <c r="L518" s="22"/>
      <c r="M518" s="262"/>
      <c r="N518" s="1"/>
      <c r="O518" s="1"/>
      <c r="P518" s="1"/>
      <c r="Q518" s="1"/>
      <c r="R518" s="1"/>
      <c r="S518" s="1"/>
      <c r="T518" s="1"/>
      <c r="U518" s="1"/>
      <c r="V518" s="1"/>
      <c r="W518" s="1"/>
      <c r="X518" s="1"/>
      <c r="Y518" s="1"/>
      <c r="Z518" s="1"/>
      <c r="AA518" s="1"/>
      <c r="AB518" s="1"/>
    </row>
    <row r="519" spans="1:28" ht="11.25" customHeight="1" x14ac:dyDescent="0.25">
      <c r="A519" s="825"/>
      <c r="B519" s="16"/>
      <c r="C519" s="1"/>
      <c r="D519" s="1"/>
      <c r="E519" s="1"/>
      <c r="F519" s="1"/>
      <c r="G519" s="1"/>
      <c r="H519" s="1"/>
      <c r="I519" s="1"/>
      <c r="J519" s="1"/>
      <c r="K519" s="1"/>
      <c r="L519" s="22"/>
      <c r="M519" s="262"/>
      <c r="N519" s="1"/>
      <c r="O519" s="1"/>
      <c r="P519" s="1"/>
      <c r="Q519" s="1"/>
      <c r="R519" s="1"/>
      <c r="S519" s="1"/>
      <c r="T519" s="1"/>
      <c r="U519" s="1"/>
      <c r="V519" s="1"/>
      <c r="W519" s="1"/>
      <c r="X519" s="1"/>
      <c r="Y519" s="1"/>
      <c r="Z519" s="1"/>
      <c r="AA519" s="1"/>
      <c r="AB519" s="1"/>
    </row>
    <row r="520" spans="1:28" ht="11.25" customHeight="1" x14ac:dyDescent="0.25">
      <c r="A520" s="825"/>
      <c r="B520" s="16"/>
      <c r="C520" s="1"/>
      <c r="D520" s="1"/>
      <c r="E520" s="1"/>
      <c r="F520" s="1"/>
      <c r="G520" s="1"/>
      <c r="H520" s="1"/>
      <c r="I520" s="1"/>
      <c r="J520" s="1"/>
      <c r="K520" s="1"/>
      <c r="L520" s="22"/>
      <c r="M520" s="262"/>
      <c r="N520" s="1"/>
      <c r="O520" s="1"/>
      <c r="P520" s="1"/>
      <c r="Q520" s="1"/>
      <c r="R520" s="1"/>
      <c r="S520" s="1"/>
      <c r="T520" s="1"/>
      <c r="U520" s="1"/>
      <c r="V520" s="1"/>
      <c r="W520" s="1"/>
      <c r="X520" s="1"/>
      <c r="Y520" s="1"/>
      <c r="Z520" s="1"/>
      <c r="AA520" s="1"/>
      <c r="AB520" s="1"/>
    </row>
    <row r="521" spans="1:28" ht="11.25" customHeight="1" x14ac:dyDescent="0.25">
      <c r="A521" s="825"/>
      <c r="B521" s="16"/>
      <c r="C521" s="1"/>
      <c r="D521" s="1"/>
      <c r="E521" s="1"/>
      <c r="F521" s="1"/>
      <c r="G521" s="1"/>
      <c r="H521" s="1"/>
      <c r="I521" s="1"/>
      <c r="J521" s="1"/>
      <c r="K521" s="1"/>
      <c r="L521" s="22"/>
      <c r="M521" s="262"/>
      <c r="N521" s="1"/>
      <c r="O521" s="1"/>
      <c r="P521" s="1"/>
      <c r="Q521" s="1"/>
      <c r="R521" s="1"/>
      <c r="S521" s="1"/>
      <c r="T521" s="1"/>
      <c r="U521" s="1"/>
      <c r="V521" s="1"/>
      <c r="W521" s="1"/>
      <c r="X521" s="1"/>
      <c r="Y521" s="1"/>
      <c r="Z521" s="1"/>
      <c r="AA521" s="1"/>
      <c r="AB521" s="1"/>
    </row>
    <row r="522" spans="1:28" ht="11.25" customHeight="1" x14ac:dyDescent="0.25">
      <c r="A522" s="825"/>
      <c r="B522" s="16"/>
      <c r="C522" s="1"/>
      <c r="D522" s="1"/>
      <c r="E522" s="1"/>
      <c r="F522" s="1"/>
      <c r="G522" s="1"/>
      <c r="H522" s="1"/>
      <c r="I522" s="1"/>
      <c r="J522" s="1"/>
      <c r="K522" s="1"/>
      <c r="L522" s="22"/>
      <c r="M522" s="262"/>
      <c r="N522" s="1"/>
      <c r="O522" s="1"/>
      <c r="P522" s="1"/>
      <c r="Q522" s="1"/>
      <c r="R522" s="1"/>
      <c r="S522" s="1"/>
      <c r="T522" s="1"/>
      <c r="U522" s="1"/>
      <c r="V522" s="1"/>
      <c r="W522" s="1"/>
      <c r="X522" s="1"/>
      <c r="Y522" s="1"/>
      <c r="Z522" s="1"/>
      <c r="AA522" s="1"/>
      <c r="AB522" s="1"/>
    </row>
    <row r="523" spans="1:28" ht="11.25" customHeight="1" x14ac:dyDescent="0.25">
      <c r="A523" s="825"/>
      <c r="B523" s="16"/>
      <c r="C523" s="1"/>
      <c r="D523" s="1"/>
      <c r="E523" s="1"/>
      <c r="F523" s="1"/>
      <c r="G523" s="1"/>
      <c r="H523" s="1"/>
      <c r="I523" s="1"/>
      <c r="J523" s="1"/>
      <c r="K523" s="1"/>
      <c r="L523" s="22"/>
      <c r="M523" s="262"/>
      <c r="N523" s="1"/>
      <c r="O523" s="1"/>
      <c r="P523" s="1"/>
      <c r="Q523" s="1"/>
      <c r="R523" s="1"/>
      <c r="S523" s="1"/>
      <c r="T523" s="1"/>
      <c r="U523" s="1"/>
      <c r="V523" s="1"/>
      <c r="W523" s="1"/>
      <c r="X523" s="1"/>
      <c r="Y523" s="1"/>
      <c r="Z523" s="1"/>
      <c r="AA523" s="1"/>
      <c r="AB523" s="1"/>
    </row>
    <row r="524" spans="1:28" ht="11.25" customHeight="1" x14ac:dyDescent="0.25">
      <c r="A524" s="825"/>
      <c r="B524" s="16"/>
      <c r="C524" s="1"/>
      <c r="D524" s="1"/>
      <c r="E524" s="1"/>
      <c r="F524" s="1"/>
      <c r="G524" s="1"/>
      <c r="H524" s="1"/>
      <c r="I524" s="1"/>
      <c r="J524" s="1"/>
      <c r="K524" s="1"/>
      <c r="L524" s="22"/>
      <c r="M524" s="262"/>
      <c r="N524" s="1"/>
      <c r="O524" s="1"/>
      <c r="P524" s="1"/>
      <c r="Q524" s="1"/>
      <c r="R524" s="1"/>
      <c r="S524" s="1"/>
      <c r="T524" s="1"/>
      <c r="U524" s="1"/>
      <c r="V524" s="1"/>
      <c r="W524" s="1"/>
      <c r="X524" s="1"/>
      <c r="Y524" s="1"/>
      <c r="Z524" s="1"/>
      <c r="AA524" s="1"/>
      <c r="AB524" s="1"/>
    </row>
    <row r="525" spans="1:28" ht="11.25" customHeight="1" x14ac:dyDescent="0.25">
      <c r="A525" s="825"/>
      <c r="B525" s="16"/>
      <c r="C525" s="1"/>
      <c r="D525" s="1"/>
      <c r="E525" s="1"/>
      <c r="F525" s="1"/>
      <c r="G525" s="1"/>
      <c r="H525" s="1"/>
      <c r="I525" s="1"/>
      <c r="J525" s="1"/>
      <c r="K525" s="1"/>
      <c r="L525" s="22"/>
      <c r="M525" s="262"/>
      <c r="N525" s="1"/>
      <c r="O525" s="1"/>
      <c r="P525" s="1"/>
      <c r="Q525" s="1"/>
      <c r="R525" s="1"/>
      <c r="S525" s="1"/>
      <c r="T525" s="1"/>
      <c r="U525" s="1"/>
      <c r="V525" s="1"/>
      <c r="W525" s="1"/>
      <c r="X525" s="1"/>
      <c r="Y525" s="1"/>
      <c r="Z525" s="1"/>
      <c r="AA525" s="1"/>
      <c r="AB525" s="1"/>
    </row>
    <row r="526" spans="1:28" ht="11.25" customHeight="1" x14ac:dyDescent="0.25">
      <c r="A526" s="825"/>
      <c r="B526" s="16"/>
      <c r="C526" s="1"/>
      <c r="D526" s="1"/>
      <c r="E526" s="1"/>
      <c r="F526" s="1"/>
      <c r="G526" s="1"/>
      <c r="H526" s="1"/>
      <c r="I526" s="1"/>
      <c r="J526" s="1"/>
      <c r="K526" s="1"/>
      <c r="L526" s="22"/>
      <c r="M526" s="262"/>
      <c r="N526" s="1"/>
      <c r="O526" s="1"/>
      <c r="P526" s="1"/>
      <c r="Q526" s="1"/>
      <c r="R526" s="1"/>
      <c r="S526" s="1"/>
      <c r="T526" s="1"/>
      <c r="U526" s="1"/>
      <c r="V526" s="1"/>
      <c r="W526" s="1"/>
      <c r="X526" s="1"/>
      <c r="Y526" s="1"/>
      <c r="Z526" s="1"/>
      <c r="AA526" s="1"/>
      <c r="AB526" s="1"/>
    </row>
    <row r="527" spans="1:28" ht="11.25" customHeight="1" x14ac:dyDescent="0.25">
      <c r="A527" s="825"/>
      <c r="B527" s="16"/>
      <c r="C527" s="1"/>
      <c r="D527" s="1"/>
      <c r="E527" s="1"/>
      <c r="F527" s="1"/>
      <c r="G527" s="1"/>
      <c r="H527" s="1"/>
      <c r="I527" s="1"/>
      <c r="J527" s="1"/>
      <c r="K527" s="1"/>
      <c r="L527" s="22"/>
      <c r="M527" s="262"/>
      <c r="N527" s="1"/>
      <c r="O527" s="1"/>
      <c r="P527" s="1"/>
      <c r="Q527" s="1"/>
      <c r="R527" s="1"/>
      <c r="S527" s="1"/>
      <c r="T527" s="1"/>
      <c r="U527" s="1"/>
      <c r="V527" s="1"/>
      <c r="W527" s="1"/>
      <c r="X527" s="1"/>
      <c r="Y527" s="1"/>
      <c r="Z527" s="1"/>
      <c r="AA527" s="1"/>
      <c r="AB527" s="1"/>
    </row>
    <row r="528" spans="1:28" ht="11.25" customHeight="1" x14ac:dyDescent="0.25">
      <c r="A528" s="825"/>
      <c r="B528" s="16"/>
      <c r="C528" s="1"/>
      <c r="D528" s="1"/>
      <c r="E528" s="1"/>
      <c r="F528" s="1"/>
      <c r="G528" s="1"/>
      <c r="H528" s="1"/>
      <c r="I528" s="1"/>
      <c r="J528" s="1"/>
      <c r="K528" s="1"/>
      <c r="L528" s="22"/>
      <c r="M528" s="262"/>
      <c r="N528" s="1"/>
      <c r="O528" s="1"/>
      <c r="P528" s="1"/>
      <c r="Q528" s="1"/>
      <c r="R528" s="1"/>
      <c r="S528" s="1"/>
      <c r="T528" s="1"/>
      <c r="U528" s="1"/>
      <c r="V528" s="1"/>
      <c r="W528" s="1"/>
      <c r="X528" s="1"/>
      <c r="Y528" s="1"/>
      <c r="Z528" s="1"/>
      <c r="AA528" s="1"/>
      <c r="AB528" s="1"/>
    </row>
    <row r="529" spans="1:28" ht="11.25" customHeight="1" x14ac:dyDescent="0.25">
      <c r="A529" s="825"/>
      <c r="B529" s="16"/>
      <c r="C529" s="1"/>
      <c r="D529" s="1"/>
      <c r="E529" s="1"/>
      <c r="F529" s="1"/>
      <c r="G529" s="1"/>
      <c r="H529" s="1"/>
      <c r="I529" s="1"/>
      <c r="J529" s="1"/>
      <c r="K529" s="1"/>
      <c r="L529" s="22"/>
      <c r="M529" s="262"/>
      <c r="N529" s="1"/>
      <c r="O529" s="1"/>
      <c r="P529" s="1"/>
      <c r="Q529" s="1"/>
      <c r="R529" s="1"/>
      <c r="S529" s="1"/>
      <c r="T529" s="1"/>
      <c r="U529" s="1"/>
      <c r="V529" s="1"/>
      <c r="W529" s="1"/>
      <c r="X529" s="1"/>
      <c r="Y529" s="1"/>
      <c r="Z529" s="1"/>
      <c r="AA529" s="1"/>
      <c r="AB529" s="1"/>
    </row>
    <row r="530" spans="1:28" ht="11.25" customHeight="1" x14ac:dyDescent="0.25">
      <c r="A530" s="825"/>
      <c r="B530" s="16"/>
      <c r="C530" s="1"/>
      <c r="D530" s="1"/>
      <c r="E530" s="1"/>
      <c r="F530" s="1"/>
      <c r="G530" s="1"/>
      <c r="H530" s="1"/>
      <c r="I530" s="1"/>
      <c r="J530" s="1"/>
      <c r="K530" s="1"/>
      <c r="L530" s="22"/>
      <c r="M530" s="262"/>
      <c r="N530" s="1"/>
      <c r="O530" s="1"/>
      <c r="P530" s="1"/>
      <c r="Q530" s="1"/>
      <c r="R530" s="1"/>
      <c r="S530" s="1"/>
      <c r="T530" s="1"/>
      <c r="U530" s="1"/>
      <c r="V530" s="1"/>
      <c r="W530" s="1"/>
      <c r="X530" s="1"/>
      <c r="Y530" s="1"/>
      <c r="Z530" s="1"/>
      <c r="AA530" s="1"/>
      <c r="AB530" s="1"/>
    </row>
    <row r="531" spans="1:28" ht="11.25" customHeight="1" x14ac:dyDescent="0.25">
      <c r="A531" s="825"/>
      <c r="B531" s="16"/>
      <c r="C531" s="1"/>
      <c r="D531" s="1"/>
      <c r="E531" s="1"/>
      <c r="F531" s="1"/>
      <c r="G531" s="1"/>
      <c r="H531" s="1"/>
      <c r="I531" s="1"/>
      <c r="J531" s="1"/>
      <c r="K531" s="1"/>
      <c r="L531" s="22"/>
      <c r="M531" s="262"/>
      <c r="N531" s="1"/>
      <c r="O531" s="1"/>
      <c r="P531" s="1"/>
      <c r="Q531" s="1"/>
      <c r="R531" s="1"/>
      <c r="S531" s="1"/>
      <c r="T531" s="1"/>
      <c r="U531" s="1"/>
      <c r="V531" s="1"/>
      <c r="W531" s="1"/>
      <c r="X531" s="1"/>
      <c r="Y531" s="1"/>
      <c r="Z531" s="1"/>
      <c r="AA531" s="1"/>
      <c r="AB531" s="1"/>
    </row>
    <row r="532" spans="1:28" ht="11.25" customHeight="1" x14ac:dyDescent="0.25">
      <c r="A532" s="825"/>
      <c r="B532" s="16"/>
      <c r="C532" s="1"/>
      <c r="D532" s="1"/>
      <c r="E532" s="1"/>
      <c r="F532" s="1"/>
      <c r="G532" s="1"/>
      <c r="H532" s="1"/>
      <c r="I532" s="1"/>
      <c r="J532" s="1"/>
      <c r="K532" s="1"/>
      <c r="L532" s="22"/>
      <c r="M532" s="262"/>
      <c r="N532" s="1"/>
      <c r="O532" s="1"/>
      <c r="P532" s="1"/>
      <c r="Q532" s="1"/>
      <c r="R532" s="1"/>
      <c r="S532" s="1"/>
      <c r="T532" s="1"/>
      <c r="U532" s="1"/>
      <c r="V532" s="1"/>
      <c r="W532" s="1"/>
      <c r="X532" s="1"/>
      <c r="Y532" s="1"/>
      <c r="Z532" s="1"/>
      <c r="AA532" s="1"/>
      <c r="AB532" s="1"/>
    </row>
    <row r="533" spans="1:28" ht="11.25" customHeight="1" x14ac:dyDescent="0.25">
      <c r="A533" s="825"/>
      <c r="B533" s="16"/>
      <c r="C533" s="1"/>
      <c r="D533" s="1"/>
      <c r="E533" s="1"/>
      <c r="F533" s="1"/>
      <c r="G533" s="1"/>
      <c r="H533" s="1"/>
      <c r="I533" s="1"/>
      <c r="J533" s="1"/>
      <c r="K533" s="1"/>
      <c r="L533" s="22"/>
      <c r="M533" s="262"/>
      <c r="N533" s="1"/>
      <c r="O533" s="1"/>
      <c r="P533" s="1"/>
      <c r="Q533" s="1"/>
      <c r="R533" s="1"/>
      <c r="S533" s="1"/>
      <c r="T533" s="1"/>
      <c r="U533" s="1"/>
      <c r="V533" s="1"/>
      <c r="W533" s="1"/>
      <c r="X533" s="1"/>
      <c r="Y533" s="1"/>
      <c r="Z533" s="1"/>
      <c r="AA533" s="1"/>
      <c r="AB533" s="1"/>
    </row>
    <row r="534" spans="1:28" ht="11.25" customHeight="1" x14ac:dyDescent="0.25">
      <c r="A534" s="825"/>
      <c r="B534" s="16"/>
      <c r="C534" s="1"/>
      <c r="D534" s="1"/>
      <c r="E534" s="1"/>
      <c r="F534" s="1"/>
      <c r="G534" s="1"/>
      <c r="H534" s="1"/>
      <c r="I534" s="1"/>
      <c r="J534" s="1"/>
      <c r="K534" s="1"/>
      <c r="L534" s="22"/>
      <c r="M534" s="262"/>
      <c r="N534" s="1"/>
      <c r="O534" s="1"/>
      <c r="P534" s="1"/>
      <c r="Q534" s="1"/>
      <c r="R534" s="1"/>
      <c r="S534" s="1"/>
      <c r="T534" s="1"/>
      <c r="U534" s="1"/>
      <c r="V534" s="1"/>
      <c r="W534" s="1"/>
      <c r="X534" s="1"/>
      <c r="Y534" s="1"/>
      <c r="Z534" s="1"/>
      <c r="AA534" s="1"/>
      <c r="AB534" s="1"/>
    </row>
    <row r="535" spans="1:28" ht="11.25" customHeight="1" x14ac:dyDescent="0.25">
      <c r="A535" s="825"/>
      <c r="B535" s="16"/>
      <c r="C535" s="1"/>
      <c r="D535" s="1"/>
      <c r="E535" s="1"/>
      <c r="F535" s="1"/>
      <c r="G535" s="1"/>
      <c r="H535" s="1"/>
      <c r="I535" s="1"/>
      <c r="J535" s="1"/>
      <c r="K535" s="1"/>
      <c r="L535" s="22"/>
      <c r="M535" s="262"/>
      <c r="N535" s="1"/>
      <c r="O535" s="1"/>
      <c r="P535" s="1"/>
      <c r="Q535" s="1"/>
      <c r="R535" s="1"/>
      <c r="S535" s="1"/>
      <c r="T535" s="1"/>
      <c r="U535" s="1"/>
      <c r="V535" s="1"/>
      <c r="W535" s="1"/>
      <c r="X535" s="1"/>
      <c r="Y535" s="1"/>
      <c r="Z535" s="1"/>
      <c r="AA535" s="1"/>
      <c r="AB535" s="1"/>
    </row>
    <row r="536" spans="1:28" ht="11.25" customHeight="1" x14ac:dyDescent="0.25">
      <c r="A536" s="825"/>
      <c r="B536" s="16"/>
      <c r="C536" s="1"/>
      <c r="D536" s="1"/>
      <c r="E536" s="1"/>
      <c r="F536" s="1"/>
      <c r="G536" s="1"/>
      <c r="H536" s="1"/>
      <c r="I536" s="1"/>
      <c r="J536" s="1"/>
      <c r="K536" s="1"/>
      <c r="L536" s="22"/>
      <c r="M536" s="262"/>
      <c r="N536" s="1"/>
      <c r="O536" s="1"/>
      <c r="P536" s="1"/>
      <c r="Q536" s="1"/>
      <c r="R536" s="1"/>
      <c r="S536" s="1"/>
      <c r="T536" s="1"/>
      <c r="U536" s="1"/>
      <c r="V536" s="1"/>
      <c r="W536" s="1"/>
      <c r="X536" s="1"/>
      <c r="Y536" s="1"/>
      <c r="Z536" s="1"/>
      <c r="AA536" s="1"/>
      <c r="AB536" s="1"/>
    </row>
    <row r="537" spans="1:28" ht="11.25" customHeight="1" x14ac:dyDescent="0.25">
      <c r="A537" s="825"/>
      <c r="B537" s="16"/>
      <c r="C537" s="1"/>
      <c r="D537" s="1"/>
      <c r="E537" s="1"/>
      <c r="F537" s="1"/>
      <c r="G537" s="1"/>
      <c r="H537" s="1"/>
      <c r="I537" s="1"/>
      <c r="J537" s="1"/>
      <c r="K537" s="1"/>
      <c r="L537" s="22"/>
      <c r="M537" s="262"/>
      <c r="N537" s="1"/>
      <c r="O537" s="1"/>
      <c r="P537" s="1"/>
      <c r="Q537" s="1"/>
      <c r="R537" s="1"/>
      <c r="S537" s="1"/>
      <c r="T537" s="1"/>
      <c r="U537" s="1"/>
      <c r="V537" s="1"/>
      <c r="W537" s="1"/>
      <c r="X537" s="1"/>
      <c r="Y537" s="1"/>
      <c r="Z537" s="1"/>
      <c r="AA537" s="1"/>
      <c r="AB537" s="1"/>
    </row>
    <row r="538" spans="1:28" ht="11.25" customHeight="1" x14ac:dyDescent="0.25">
      <c r="A538" s="825"/>
      <c r="B538" s="16"/>
      <c r="C538" s="1"/>
      <c r="D538" s="1"/>
      <c r="E538" s="1"/>
      <c r="F538" s="1"/>
      <c r="G538" s="1"/>
      <c r="H538" s="1"/>
      <c r="I538" s="1"/>
      <c r="J538" s="1"/>
      <c r="K538" s="1"/>
      <c r="L538" s="22"/>
      <c r="M538" s="262"/>
      <c r="N538" s="1"/>
      <c r="O538" s="1"/>
      <c r="P538" s="1"/>
      <c r="Q538" s="1"/>
      <c r="R538" s="1"/>
      <c r="S538" s="1"/>
      <c r="T538" s="1"/>
      <c r="U538" s="1"/>
      <c r="V538" s="1"/>
      <c r="W538" s="1"/>
      <c r="X538" s="1"/>
      <c r="Y538" s="1"/>
      <c r="Z538" s="1"/>
      <c r="AA538" s="1"/>
      <c r="AB538" s="1"/>
    </row>
    <row r="539" spans="1:28" ht="11.25" customHeight="1" x14ac:dyDescent="0.25">
      <c r="A539" s="825"/>
      <c r="B539" s="16"/>
      <c r="C539" s="1"/>
      <c r="D539" s="1"/>
      <c r="E539" s="1"/>
      <c r="F539" s="1"/>
      <c r="G539" s="1"/>
      <c r="H539" s="1"/>
      <c r="I539" s="1"/>
      <c r="J539" s="1"/>
      <c r="K539" s="1"/>
      <c r="L539" s="22"/>
      <c r="M539" s="262"/>
      <c r="N539" s="1"/>
      <c r="O539" s="1"/>
      <c r="P539" s="1"/>
      <c r="Q539" s="1"/>
      <c r="R539" s="1"/>
      <c r="S539" s="1"/>
      <c r="T539" s="1"/>
      <c r="U539" s="1"/>
      <c r="V539" s="1"/>
      <c r="W539" s="1"/>
      <c r="X539" s="1"/>
      <c r="Y539" s="1"/>
      <c r="Z539" s="1"/>
      <c r="AA539" s="1"/>
      <c r="AB539" s="1"/>
    </row>
    <row r="540" spans="1:28" ht="11.25" customHeight="1" x14ac:dyDescent="0.25">
      <c r="A540" s="825"/>
      <c r="B540" s="16"/>
      <c r="C540" s="1"/>
      <c r="D540" s="1"/>
      <c r="E540" s="1"/>
      <c r="F540" s="1"/>
      <c r="G540" s="1"/>
      <c r="H540" s="1"/>
      <c r="I540" s="1"/>
      <c r="J540" s="1"/>
      <c r="K540" s="1"/>
      <c r="L540" s="22"/>
      <c r="M540" s="262"/>
      <c r="N540" s="1"/>
      <c r="O540" s="1"/>
      <c r="P540" s="1"/>
      <c r="Q540" s="1"/>
      <c r="R540" s="1"/>
      <c r="S540" s="1"/>
      <c r="T540" s="1"/>
      <c r="U540" s="1"/>
      <c r="V540" s="1"/>
      <c r="W540" s="1"/>
      <c r="X540" s="1"/>
      <c r="Y540" s="1"/>
      <c r="Z540" s="1"/>
      <c r="AA540" s="1"/>
      <c r="AB540" s="1"/>
    </row>
    <row r="541" spans="1:28" ht="11.25" customHeight="1" x14ac:dyDescent="0.25">
      <c r="A541" s="825"/>
      <c r="B541" s="16"/>
      <c r="C541" s="1"/>
      <c r="D541" s="1"/>
      <c r="E541" s="1"/>
      <c r="F541" s="1"/>
      <c r="G541" s="1"/>
      <c r="H541" s="1"/>
      <c r="I541" s="1"/>
      <c r="J541" s="1"/>
      <c r="K541" s="1"/>
      <c r="L541" s="22"/>
      <c r="M541" s="262"/>
      <c r="N541" s="1"/>
      <c r="O541" s="1"/>
      <c r="P541" s="1"/>
      <c r="Q541" s="1"/>
      <c r="R541" s="1"/>
      <c r="S541" s="1"/>
      <c r="T541" s="1"/>
      <c r="U541" s="1"/>
      <c r="V541" s="1"/>
      <c r="W541" s="1"/>
      <c r="X541" s="1"/>
      <c r="Y541" s="1"/>
      <c r="Z541" s="1"/>
      <c r="AA541" s="1"/>
      <c r="AB541" s="1"/>
    </row>
    <row r="542" spans="1:28" ht="11.25" customHeight="1" x14ac:dyDescent="0.25">
      <c r="A542" s="825"/>
      <c r="B542" s="16"/>
      <c r="C542" s="1"/>
      <c r="D542" s="1"/>
      <c r="E542" s="1"/>
      <c r="F542" s="1"/>
      <c r="G542" s="1"/>
      <c r="H542" s="1"/>
      <c r="I542" s="1"/>
      <c r="J542" s="1"/>
      <c r="K542" s="1"/>
      <c r="L542" s="22"/>
      <c r="M542" s="262"/>
      <c r="N542" s="1"/>
      <c r="O542" s="1"/>
      <c r="P542" s="1"/>
      <c r="Q542" s="1"/>
      <c r="R542" s="1"/>
      <c r="S542" s="1"/>
      <c r="T542" s="1"/>
      <c r="U542" s="1"/>
      <c r="V542" s="1"/>
      <c r="W542" s="1"/>
      <c r="X542" s="1"/>
      <c r="Y542" s="1"/>
      <c r="Z542" s="1"/>
      <c r="AA542" s="1"/>
      <c r="AB542" s="1"/>
    </row>
    <row r="543" spans="1:28" ht="11.25" customHeight="1" x14ac:dyDescent="0.25">
      <c r="A543" s="825"/>
      <c r="B543" s="16"/>
      <c r="C543" s="1"/>
      <c r="D543" s="1"/>
      <c r="E543" s="1"/>
      <c r="F543" s="1"/>
      <c r="G543" s="1"/>
      <c r="H543" s="1"/>
      <c r="I543" s="1"/>
      <c r="J543" s="1"/>
      <c r="K543" s="1"/>
      <c r="L543" s="22"/>
      <c r="M543" s="262"/>
      <c r="N543" s="1"/>
      <c r="O543" s="1"/>
      <c r="P543" s="1"/>
      <c r="Q543" s="1"/>
      <c r="R543" s="1"/>
      <c r="S543" s="1"/>
      <c r="T543" s="1"/>
      <c r="U543" s="1"/>
      <c r="V543" s="1"/>
      <c r="W543" s="1"/>
      <c r="X543" s="1"/>
      <c r="Y543" s="1"/>
      <c r="Z543" s="1"/>
      <c r="AA543" s="1"/>
      <c r="AB543" s="1"/>
    </row>
    <row r="544" spans="1:28" ht="11.25" customHeight="1" x14ac:dyDescent="0.25">
      <c r="A544" s="825"/>
      <c r="B544" s="16"/>
      <c r="C544" s="1"/>
      <c r="D544" s="1"/>
      <c r="E544" s="1"/>
      <c r="F544" s="1"/>
      <c r="G544" s="1"/>
      <c r="H544" s="1"/>
      <c r="I544" s="1"/>
      <c r="J544" s="1"/>
      <c r="K544" s="1"/>
      <c r="L544" s="22"/>
      <c r="M544" s="262"/>
      <c r="N544" s="1"/>
      <c r="O544" s="1"/>
      <c r="P544" s="1"/>
      <c r="Q544" s="1"/>
      <c r="R544" s="1"/>
      <c r="S544" s="1"/>
      <c r="T544" s="1"/>
      <c r="U544" s="1"/>
      <c r="V544" s="1"/>
      <c r="W544" s="1"/>
      <c r="X544" s="1"/>
      <c r="Y544" s="1"/>
      <c r="Z544" s="1"/>
      <c r="AA544" s="1"/>
      <c r="AB544" s="1"/>
    </row>
    <row r="545" spans="1:28" ht="11.25" customHeight="1" x14ac:dyDescent="0.25">
      <c r="A545" s="825"/>
      <c r="B545" s="16"/>
      <c r="C545" s="1"/>
      <c r="D545" s="1"/>
      <c r="E545" s="1"/>
      <c r="F545" s="1"/>
      <c r="G545" s="1"/>
      <c r="H545" s="1"/>
      <c r="I545" s="1"/>
      <c r="J545" s="1"/>
      <c r="K545" s="1"/>
      <c r="L545" s="22"/>
      <c r="M545" s="262"/>
      <c r="N545" s="1"/>
      <c r="O545" s="1"/>
      <c r="P545" s="1"/>
      <c r="Q545" s="1"/>
      <c r="R545" s="1"/>
      <c r="S545" s="1"/>
      <c r="T545" s="1"/>
      <c r="U545" s="1"/>
      <c r="V545" s="1"/>
      <c r="W545" s="1"/>
      <c r="X545" s="1"/>
      <c r="Y545" s="1"/>
      <c r="Z545" s="1"/>
      <c r="AA545" s="1"/>
      <c r="AB545" s="1"/>
    </row>
    <row r="546" spans="1:28" ht="11.25" customHeight="1" x14ac:dyDescent="0.25">
      <c r="A546" s="825"/>
      <c r="B546" s="16"/>
      <c r="C546" s="1"/>
      <c r="D546" s="1"/>
      <c r="E546" s="1"/>
      <c r="F546" s="1"/>
      <c r="G546" s="1"/>
      <c r="H546" s="1"/>
      <c r="I546" s="1"/>
      <c r="J546" s="1"/>
      <c r="K546" s="1"/>
      <c r="L546" s="22"/>
      <c r="M546" s="262"/>
      <c r="N546" s="1"/>
      <c r="O546" s="1"/>
      <c r="P546" s="1"/>
      <c r="Q546" s="1"/>
      <c r="R546" s="1"/>
      <c r="S546" s="1"/>
      <c r="T546" s="1"/>
      <c r="U546" s="1"/>
      <c r="V546" s="1"/>
      <c r="W546" s="1"/>
      <c r="X546" s="1"/>
      <c r="Y546" s="1"/>
      <c r="Z546" s="1"/>
      <c r="AA546" s="1"/>
      <c r="AB546" s="1"/>
    </row>
    <row r="547" spans="1:28" ht="11.25" customHeight="1" x14ac:dyDescent="0.25">
      <c r="A547" s="825"/>
      <c r="B547" s="16"/>
      <c r="C547" s="1"/>
      <c r="D547" s="1"/>
      <c r="E547" s="1"/>
      <c r="F547" s="1"/>
      <c r="G547" s="1"/>
      <c r="H547" s="1"/>
      <c r="I547" s="1"/>
      <c r="J547" s="1"/>
      <c r="K547" s="1"/>
      <c r="L547" s="22"/>
      <c r="M547" s="262"/>
      <c r="N547" s="1"/>
      <c r="O547" s="1"/>
      <c r="P547" s="1"/>
      <c r="Q547" s="1"/>
      <c r="R547" s="1"/>
      <c r="S547" s="1"/>
      <c r="T547" s="1"/>
      <c r="U547" s="1"/>
      <c r="V547" s="1"/>
      <c r="W547" s="1"/>
      <c r="X547" s="1"/>
      <c r="Y547" s="1"/>
      <c r="Z547" s="1"/>
      <c r="AA547" s="1"/>
      <c r="AB547" s="1"/>
    </row>
    <row r="548" spans="1:28" ht="11.25" customHeight="1" x14ac:dyDescent="0.25">
      <c r="A548" s="825"/>
      <c r="B548" s="16"/>
      <c r="C548" s="1"/>
      <c r="D548" s="1"/>
      <c r="E548" s="1"/>
      <c r="F548" s="1"/>
      <c r="G548" s="1"/>
      <c r="H548" s="1"/>
      <c r="I548" s="1"/>
      <c r="J548" s="1"/>
      <c r="K548" s="1"/>
      <c r="L548" s="22"/>
      <c r="M548" s="262"/>
      <c r="N548" s="1"/>
      <c r="O548" s="1"/>
      <c r="P548" s="1"/>
      <c r="Q548" s="1"/>
      <c r="R548" s="1"/>
      <c r="S548" s="1"/>
      <c r="T548" s="1"/>
      <c r="U548" s="1"/>
      <c r="V548" s="1"/>
      <c r="W548" s="1"/>
      <c r="X548" s="1"/>
      <c r="Y548" s="1"/>
      <c r="Z548" s="1"/>
      <c r="AA548" s="1"/>
      <c r="AB548" s="1"/>
    </row>
    <row r="549" spans="1:28" ht="11.25" customHeight="1" x14ac:dyDescent="0.25">
      <c r="A549" s="825"/>
      <c r="B549" s="16"/>
      <c r="C549" s="1"/>
      <c r="D549" s="1"/>
      <c r="E549" s="1"/>
      <c r="F549" s="1"/>
      <c r="G549" s="1"/>
      <c r="H549" s="1"/>
      <c r="I549" s="1"/>
      <c r="J549" s="1"/>
      <c r="K549" s="1"/>
      <c r="L549" s="22"/>
      <c r="M549" s="262"/>
      <c r="N549" s="1"/>
      <c r="O549" s="1"/>
      <c r="P549" s="1"/>
      <c r="Q549" s="1"/>
      <c r="R549" s="1"/>
      <c r="S549" s="1"/>
      <c r="T549" s="1"/>
      <c r="U549" s="1"/>
      <c r="V549" s="1"/>
      <c r="W549" s="1"/>
      <c r="X549" s="1"/>
      <c r="Y549" s="1"/>
      <c r="Z549" s="1"/>
      <c r="AA549" s="1"/>
      <c r="AB549" s="1"/>
    </row>
    <row r="550" spans="1:28" ht="11.25" customHeight="1" x14ac:dyDescent="0.25">
      <c r="A550" s="825"/>
      <c r="B550" s="16"/>
      <c r="C550" s="1"/>
      <c r="D550" s="1"/>
      <c r="E550" s="1"/>
      <c r="F550" s="1"/>
      <c r="G550" s="1"/>
      <c r="H550" s="1"/>
      <c r="I550" s="1"/>
      <c r="J550" s="1"/>
      <c r="K550" s="1"/>
      <c r="L550" s="22"/>
      <c r="M550" s="262"/>
      <c r="N550" s="1"/>
      <c r="O550" s="1"/>
      <c r="P550" s="1"/>
      <c r="Q550" s="1"/>
      <c r="R550" s="1"/>
      <c r="S550" s="1"/>
      <c r="T550" s="1"/>
      <c r="U550" s="1"/>
      <c r="V550" s="1"/>
      <c r="W550" s="1"/>
      <c r="X550" s="1"/>
      <c r="Y550" s="1"/>
      <c r="Z550" s="1"/>
      <c r="AA550" s="1"/>
      <c r="AB550" s="1"/>
    </row>
    <row r="551" spans="1:28" ht="11.25" customHeight="1" x14ac:dyDescent="0.25">
      <c r="A551" s="825"/>
      <c r="B551" s="16"/>
      <c r="C551" s="1"/>
      <c r="D551" s="1"/>
      <c r="E551" s="1"/>
      <c r="F551" s="1"/>
      <c r="G551" s="1"/>
      <c r="H551" s="1"/>
      <c r="I551" s="1"/>
      <c r="J551" s="1"/>
      <c r="K551" s="1"/>
      <c r="L551" s="22"/>
      <c r="M551" s="262"/>
      <c r="N551" s="1"/>
      <c r="O551" s="1"/>
      <c r="P551" s="1"/>
      <c r="Q551" s="1"/>
      <c r="R551" s="1"/>
      <c r="S551" s="1"/>
      <c r="T551" s="1"/>
      <c r="U551" s="1"/>
      <c r="V551" s="1"/>
      <c r="W551" s="1"/>
      <c r="X551" s="1"/>
      <c r="Y551" s="1"/>
      <c r="Z551" s="1"/>
      <c r="AA551" s="1"/>
      <c r="AB551" s="1"/>
    </row>
    <row r="552" spans="1:28" ht="11.25" customHeight="1" x14ac:dyDescent="0.25">
      <c r="A552" s="825"/>
      <c r="B552" s="16"/>
      <c r="C552" s="1"/>
      <c r="D552" s="1"/>
      <c r="E552" s="1"/>
      <c r="F552" s="1"/>
      <c r="G552" s="1"/>
      <c r="H552" s="1"/>
      <c r="I552" s="1"/>
      <c r="J552" s="1"/>
      <c r="K552" s="1"/>
      <c r="L552" s="22"/>
      <c r="M552" s="262"/>
      <c r="N552" s="1"/>
      <c r="O552" s="1"/>
      <c r="P552" s="1"/>
      <c r="Q552" s="1"/>
      <c r="R552" s="1"/>
      <c r="S552" s="1"/>
      <c r="T552" s="1"/>
      <c r="U552" s="1"/>
      <c r="V552" s="1"/>
      <c r="W552" s="1"/>
      <c r="X552" s="1"/>
      <c r="Y552" s="1"/>
      <c r="Z552" s="1"/>
      <c r="AA552" s="1"/>
      <c r="AB552" s="1"/>
    </row>
    <row r="553" spans="1:28" ht="11.25" customHeight="1" x14ac:dyDescent="0.25">
      <c r="A553" s="825"/>
      <c r="B553" s="16"/>
      <c r="C553" s="1"/>
      <c r="D553" s="1"/>
      <c r="E553" s="1"/>
      <c r="F553" s="1"/>
      <c r="G553" s="1"/>
      <c r="H553" s="1"/>
      <c r="I553" s="1"/>
      <c r="J553" s="1"/>
      <c r="K553" s="1"/>
      <c r="L553" s="22"/>
      <c r="M553" s="262"/>
      <c r="N553" s="1"/>
      <c r="O553" s="1"/>
      <c r="P553" s="1"/>
      <c r="Q553" s="1"/>
      <c r="R553" s="1"/>
      <c r="S553" s="1"/>
      <c r="T553" s="1"/>
      <c r="U553" s="1"/>
      <c r="V553" s="1"/>
      <c r="W553" s="1"/>
      <c r="X553" s="1"/>
      <c r="Y553" s="1"/>
      <c r="Z553" s="1"/>
      <c r="AA553" s="1"/>
      <c r="AB553" s="1"/>
    </row>
    <row r="554" spans="1:28" ht="11.25" customHeight="1" x14ac:dyDescent="0.25">
      <c r="A554" s="825"/>
      <c r="B554" s="16"/>
      <c r="C554" s="1"/>
      <c r="D554" s="1"/>
      <c r="E554" s="1"/>
      <c r="F554" s="1"/>
      <c r="G554" s="1"/>
      <c r="H554" s="1"/>
      <c r="I554" s="1"/>
      <c r="J554" s="1"/>
      <c r="K554" s="1"/>
      <c r="L554" s="22"/>
      <c r="M554" s="262"/>
      <c r="N554" s="1"/>
      <c r="O554" s="1"/>
      <c r="P554" s="1"/>
      <c r="Q554" s="1"/>
      <c r="R554" s="1"/>
      <c r="S554" s="1"/>
      <c r="T554" s="1"/>
      <c r="U554" s="1"/>
      <c r="V554" s="1"/>
      <c r="W554" s="1"/>
      <c r="X554" s="1"/>
      <c r="Y554" s="1"/>
      <c r="Z554" s="1"/>
      <c r="AA554" s="1"/>
      <c r="AB554" s="1"/>
    </row>
    <row r="555" spans="1:28" ht="11.25" customHeight="1" x14ac:dyDescent="0.25">
      <c r="A555" s="825"/>
      <c r="B555" s="16"/>
      <c r="C555" s="1"/>
      <c r="D555" s="1"/>
      <c r="E555" s="1"/>
      <c r="F555" s="1"/>
      <c r="G555" s="1"/>
      <c r="H555" s="1"/>
      <c r="I555" s="1"/>
      <c r="J555" s="1"/>
      <c r="K555" s="1"/>
      <c r="L555" s="22"/>
      <c r="M555" s="262"/>
      <c r="N555" s="1"/>
      <c r="O555" s="1"/>
      <c r="P555" s="1"/>
      <c r="Q555" s="1"/>
      <c r="R555" s="1"/>
      <c r="S555" s="1"/>
      <c r="T555" s="1"/>
      <c r="U555" s="1"/>
      <c r="V555" s="1"/>
      <c r="W555" s="1"/>
      <c r="X555" s="1"/>
      <c r="Y555" s="1"/>
      <c r="Z555" s="1"/>
      <c r="AA555" s="1"/>
      <c r="AB555" s="1"/>
    </row>
    <row r="556" spans="1:28" ht="11.25" customHeight="1" x14ac:dyDescent="0.25">
      <c r="A556" s="825"/>
      <c r="B556" s="16"/>
      <c r="C556" s="1"/>
      <c r="D556" s="1"/>
      <c r="E556" s="1"/>
      <c r="F556" s="1"/>
      <c r="G556" s="1"/>
      <c r="H556" s="1"/>
      <c r="I556" s="1"/>
      <c r="J556" s="1"/>
      <c r="K556" s="1"/>
      <c r="L556" s="22"/>
      <c r="M556" s="262"/>
      <c r="N556" s="1"/>
      <c r="O556" s="1"/>
      <c r="P556" s="1"/>
      <c r="Q556" s="1"/>
      <c r="R556" s="1"/>
      <c r="S556" s="1"/>
      <c r="T556" s="1"/>
      <c r="U556" s="1"/>
      <c r="V556" s="1"/>
      <c r="W556" s="1"/>
      <c r="X556" s="1"/>
      <c r="Y556" s="1"/>
      <c r="Z556" s="1"/>
      <c r="AA556" s="1"/>
      <c r="AB556" s="1"/>
    </row>
    <row r="557" spans="1:28" ht="11.25" customHeight="1" x14ac:dyDescent="0.25">
      <c r="A557" s="825"/>
      <c r="B557" s="16"/>
      <c r="C557" s="1"/>
      <c r="D557" s="1"/>
      <c r="E557" s="1"/>
      <c r="F557" s="1"/>
      <c r="G557" s="1"/>
      <c r="H557" s="1"/>
      <c r="I557" s="1"/>
      <c r="J557" s="1"/>
      <c r="K557" s="1"/>
      <c r="L557" s="22"/>
      <c r="M557" s="262"/>
      <c r="N557" s="1"/>
      <c r="O557" s="1"/>
      <c r="P557" s="1"/>
      <c r="Q557" s="1"/>
      <c r="R557" s="1"/>
      <c r="S557" s="1"/>
      <c r="T557" s="1"/>
      <c r="U557" s="1"/>
      <c r="V557" s="1"/>
      <c r="W557" s="1"/>
      <c r="X557" s="1"/>
      <c r="Y557" s="1"/>
      <c r="Z557" s="1"/>
      <c r="AA557" s="1"/>
      <c r="AB557" s="1"/>
    </row>
    <row r="558" spans="1:28" ht="11.25" customHeight="1" x14ac:dyDescent="0.25">
      <c r="A558" s="825"/>
      <c r="B558" s="16"/>
      <c r="C558" s="1"/>
      <c r="D558" s="1"/>
      <c r="E558" s="1"/>
      <c r="F558" s="1"/>
      <c r="G558" s="1"/>
      <c r="H558" s="1"/>
      <c r="I558" s="1"/>
      <c r="J558" s="1"/>
      <c r="K558" s="1"/>
      <c r="L558" s="22"/>
      <c r="M558" s="262"/>
      <c r="N558" s="1"/>
      <c r="O558" s="1"/>
      <c r="P558" s="1"/>
      <c r="Q558" s="1"/>
      <c r="R558" s="1"/>
      <c r="S558" s="1"/>
      <c r="T558" s="1"/>
      <c r="U558" s="1"/>
      <c r="V558" s="1"/>
      <c r="W558" s="1"/>
      <c r="X558" s="1"/>
      <c r="Y558" s="1"/>
      <c r="Z558" s="1"/>
      <c r="AA558" s="1"/>
      <c r="AB558" s="1"/>
    </row>
    <row r="559" spans="1:28" ht="11.25" customHeight="1" x14ac:dyDescent="0.25">
      <c r="A559" s="825"/>
      <c r="B559" s="16"/>
      <c r="C559" s="1"/>
      <c r="D559" s="1"/>
      <c r="E559" s="1"/>
      <c r="F559" s="1"/>
      <c r="G559" s="1"/>
      <c r="H559" s="1"/>
      <c r="I559" s="1"/>
      <c r="J559" s="1"/>
      <c r="K559" s="1"/>
      <c r="L559" s="22"/>
      <c r="M559" s="262"/>
      <c r="N559" s="1"/>
      <c r="O559" s="1"/>
      <c r="P559" s="1"/>
      <c r="Q559" s="1"/>
      <c r="R559" s="1"/>
      <c r="S559" s="1"/>
      <c r="T559" s="1"/>
      <c r="U559" s="1"/>
      <c r="V559" s="1"/>
      <c r="W559" s="1"/>
      <c r="X559" s="1"/>
      <c r="Y559" s="1"/>
      <c r="Z559" s="1"/>
      <c r="AA559" s="1"/>
      <c r="AB559" s="1"/>
    </row>
    <row r="560" spans="1:28" ht="11.25" customHeight="1" x14ac:dyDescent="0.25">
      <c r="A560" s="825"/>
      <c r="B560" s="16"/>
      <c r="C560" s="1"/>
      <c r="D560" s="1"/>
      <c r="E560" s="1"/>
      <c r="F560" s="1"/>
      <c r="G560" s="1"/>
      <c r="H560" s="1"/>
      <c r="I560" s="1"/>
      <c r="J560" s="1"/>
      <c r="K560" s="1"/>
      <c r="L560" s="22"/>
      <c r="M560" s="262"/>
      <c r="N560" s="1"/>
      <c r="O560" s="1"/>
      <c r="P560" s="1"/>
      <c r="Q560" s="1"/>
      <c r="R560" s="1"/>
      <c r="S560" s="1"/>
      <c r="T560" s="1"/>
      <c r="U560" s="1"/>
      <c r="V560" s="1"/>
      <c r="W560" s="1"/>
      <c r="X560" s="1"/>
      <c r="Y560" s="1"/>
      <c r="Z560" s="1"/>
      <c r="AA560" s="1"/>
      <c r="AB560" s="1"/>
    </row>
    <row r="561" spans="1:28" ht="11.25" customHeight="1" x14ac:dyDescent="0.25">
      <c r="A561" s="825"/>
      <c r="B561" s="16"/>
      <c r="C561" s="1"/>
      <c r="D561" s="1"/>
      <c r="E561" s="1"/>
      <c r="F561" s="1"/>
      <c r="G561" s="1"/>
      <c r="H561" s="1"/>
      <c r="I561" s="1"/>
      <c r="J561" s="1"/>
      <c r="K561" s="1"/>
      <c r="L561" s="22"/>
      <c r="M561" s="262"/>
      <c r="N561" s="1"/>
      <c r="O561" s="1"/>
      <c r="P561" s="1"/>
      <c r="Q561" s="1"/>
      <c r="R561" s="1"/>
      <c r="S561" s="1"/>
      <c r="T561" s="1"/>
      <c r="U561" s="1"/>
      <c r="V561" s="1"/>
      <c r="W561" s="1"/>
      <c r="X561" s="1"/>
      <c r="Y561" s="1"/>
      <c r="Z561" s="1"/>
      <c r="AA561" s="1"/>
      <c r="AB561" s="1"/>
    </row>
    <row r="562" spans="1:28" ht="11.25" customHeight="1" x14ac:dyDescent="0.25">
      <c r="A562" s="825"/>
      <c r="B562" s="16"/>
      <c r="C562" s="1"/>
      <c r="D562" s="1"/>
      <c r="E562" s="1"/>
      <c r="F562" s="1"/>
      <c r="G562" s="1"/>
      <c r="H562" s="1"/>
      <c r="I562" s="1"/>
      <c r="J562" s="1"/>
      <c r="K562" s="1"/>
      <c r="L562" s="22"/>
      <c r="M562" s="262"/>
      <c r="N562" s="1"/>
      <c r="O562" s="1"/>
      <c r="P562" s="1"/>
      <c r="Q562" s="1"/>
      <c r="R562" s="1"/>
      <c r="S562" s="1"/>
      <c r="T562" s="1"/>
      <c r="U562" s="1"/>
      <c r="V562" s="1"/>
      <c r="W562" s="1"/>
      <c r="X562" s="1"/>
      <c r="Y562" s="1"/>
      <c r="Z562" s="1"/>
      <c r="AA562" s="1"/>
      <c r="AB562" s="1"/>
    </row>
    <row r="563" spans="1:28" ht="11.25" customHeight="1" x14ac:dyDescent="0.25">
      <c r="A563" s="825"/>
      <c r="B563" s="16"/>
      <c r="C563" s="1"/>
      <c r="D563" s="1"/>
      <c r="E563" s="1"/>
      <c r="F563" s="1"/>
      <c r="G563" s="1"/>
      <c r="H563" s="1"/>
      <c r="I563" s="1"/>
      <c r="J563" s="1"/>
      <c r="K563" s="1"/>
      <c r="L563" s="22"/>
      <c r="M563" s="262"/>
      <c r="N563" s="1"/>
      <c r="O563" s="1"/>
      <c r="P563" s="1"/>
      <c r="Q563" s="1"/>
      <c r="R563" s="1"/>
      <c r="S563" s="1"/>
      <c r="T563" s="1"/>
      <c r="U563" s="1"/>
      <c r="V563" s="1"/>
      <c r="W563" s="1"/>
      <c r="X563" s="1"/>
      <c r="Y563" s="1"/>
      <c r="Z563" s="1"/>
      <c r="AA563" s="1"/>
      <c r="AB563" s="1"/>
    </row>
    <row r="564" spans="1:28" ht="11.25" customHeight="1" x14ac:dyDescent="0.25">
      <c r="A564" s="825"/>
      <c r="B564" s="16"/>
      <c r="C564" s="1"/>
      <c r="D564" s="1"/>
      <c r="E564" s="1"/>
      <c r="F564" s="1"/>
      <c r="G564" s="1"/>
      <c r="H564" s="1"/>
      <c r="I564" s="1"/>
      <c r="J564" s="1"/>
      <c r="K564" s="1"/>
      <c r="L564" s="22"/>
      <c r="M564" s="262"/>
      <c r="N564" s="1"/>
      <c r="O564" s="1"/>
      <c r="P564" s="1"/>
      <c r="Q564" s="1"/>
      <c r="R564" s="1"/>
      <c r="S564" s="1"/>
      <c r="T564" s="1"/>
      <c r="U564" s="1"/>
      <c r="V564" s="1"/>
      <c r="W564" s="1"/>
      <c r="X564" s="1"/>
      <c r="Y564" s="1"/>
      <c r="Z564" s="1"/>
      <c r="AA564" s="1"/>
      <c r="AB564" s="1"/>
    </row>
    <row r="565" spans="1:28" ht="11.25" customHeight="1" x14ac:dyDescent="0.25">
      <c r="A565" s="825"/>
      <c r="B565" s="16"/>
      <c r="C565" s="1"/>
      <c r="D565" s="1"/>
      <c r="E565" s="1"/>
      <c r="F565" s="1"/>
      <c r="G565" s="1"/>
      <c r="H565" s="1"/>
      <c r="I565" s="1"/>
      <c r="J565" s="1"/>
      <c r="K565" s="1"/>
      <c r="L565" s="22"/>
      <c r="M565" s="262"/>
      <c r="N565" s="1"/>
      <c r="O565" s="1"/>
      <c r="P565" s="1"/>
      <c r="Q565" s="1"/>
      <c r="R565" s="1"/>
      <c r="S565" s="1"/>
      <c r="T565" s="1"/>
      <c r="U565" s="1"/>
      <c r="V565" s="1"/>
      <c r="W565" s="1"/>
      <c r="X565" s="1"/>
      <c r="Y565" s="1"/>
      <c r="Z565" s="1"/>
      <c r="AA565" s="1"/>
      <c r="AB565" s="1"/>
    </row>
    <row r="566" spans="1:28" ht="11.25" customHeight="1" x14ac:dyDescent="0.25">
      <c r="A566" s="825"/>
      <c r="B566" s="16"/>
      <c r="C566" s="1"/>
      <c r="D566" s="1"/>
      <c r="E566" s="1"/>
      <c r="F566" s="1"/>
      <c r="G566" s="1"/>
      <c r="H566" s="1"/>
      <c r="I566" s="1"/>
      <c r="J566" s="1"/>
      <c r="K566" s="1"/>
      <c r="L566" s="22"/>
      <c r="M566" s="262"/>
      <c r="N566" s="1"/>
      <c r="O566" s="1"/>
      <c r="P566" s="1"/>
      <c r="Q566" s="1"/>
      <c r="R566" s="1"/>
      <c r="S566" s="1"/>
      <c r="T566" s="1"/>
      <c r="U566" s="1"/>
      <c r="V566" s="1"/>
      <c r="W566" s="1"/>
      <c r="X566" s="1"/>
      <c r="Y566" s="1"/>
      <c r="Z566" s="1"/>
      <c r="AA566" s="1"/>
      <c r="AB566" s="1"/>
    </row>
    <row r="567" spans="1:28" ht="11.25" customHeight="1" x14ac:dyDescent="0.25">
      <c r="A567" s="825"/>
      <c r="B567" s="16"/>
      <c r="C567" s="1"/>
      <c r="D567" s="1"/>
      <c r="E567" s="1"/>
      <c r="F567" s="1"/>
      <c r="G567" s="1"/>
      <c r="H567" s="1"/>
      <c r="I567" s="1"/>
      <c r="J567" s="1"/>
      <c r="K567" s="1"/>
      <c r="L567" s="22"/>
      <c r="M567" s="262"/>
      <c r="N567" s="1"/>
      <c r="O567" s="1"/>
      <c r="P567" s="1"/>
      <c r="Q567" s="1"/>
      <c r="R567" s="1"/>
      <c r="S567" s="1"/>
      <c r="T567" s="1"/>
      <c r="U567" s="1"/>
      <c r="V567" s="1"/>
      <c r="W567" s="1"/>
      <c r="X567" s="1"/>
      <c r="Y567" s="1"/>
      <c r="Z567" s="1"/>
      <c r="AA567" s="1"/>
      <c r="AB567" s="1"/>
    </row>
    <row r="568" spans="1:28" ht="11.25" customHeight="1" x14ac:dyDescent="0.25">
      <c r="A568" s="825"/>
      <c r="B568" s="16"/>
      <c r="C568" s="1"/>
      <c r="D568" s="1"/>
      <c r="E568" s="1"/>
      <c r="F568" s="1"/>
      <c r="G568" s="1"/>
      <c r="H568" s="1"/>
      <c r="I568" s="1"/>
      <c r="J568" s="1"/>
      <c r="K568" s="1"/>
      <c r="L568" s="22"/>
      <c r="M568" s="262"/>
      <c r="N568" s="1"/>
      <c r="O568" s="1"/>
      <c r="P568" s="1"/>
      <c r="Q568" s="1"/>
      <c r="R568" s="1"/>
      <c r="S568" s="1"/>
      <c r="T568" s="1"/>
      <c r="U568" s="1"/>
      <c r="V568" s="1"/>
      <c r="W568" s="1"/>
      <c r="X568" s="1"/>
      <c r="Y568" s="1"/>
      <c r="Z568" s="1"/>
      <c r="AA568" s="1"/>
      <c r="AB568" s="1"/>
    </row>
    <row r="569" spans="1:28" ht="11.25" customHeight="1" x14ac:dyDescent="0.25">
      <c r="A569" s="825"/>
      <c r="B569" s="16"/>
      <c r="C569" s="1"/>
      <c r="D569" s="1"/>
      <c r="E569" s="1"/>
      <c r="F569" s="1"/>
      <c r="G569" s="1"/>
      <c r="H569" s="1"/>
      <c r="I569" s="1"/>
      <c r="J569" s="1"/>
      <c r="K569" s="1"/>
      <c r="L569" s="22"/>
      <c r="M569" s="262"/>
      <c r="N569" s="1"/>
      <c r="O569" s="1"/>
      <c r="P569" s="1"/>
      <c r="Q569" s="1"/>
      <c r="R569" s="1"/>
      <c r="S569" s="1"/>
      <c r="T569" s="1"/>
      <c r="U569" s="1"/>
      <c r="V569" s="1"/>
      <c r="W569" s="1"/>
      <c r="X569" s="1"/>
      <c r="Y569" s="1"/>
      <c r="Z569" s="1"/>
      <c r="AA569" s="1"/>
      <c r="AB569" s="1"/>
    </row>
    <row r="570" spans="1:28" ht="11.25" customHeight="1" x14ac:dyDescent="0.25">
      <c r="A570" s="825"/>
      <c r="B570" s="16"/>
      <c r="C570" s="1"/>
      <c r="D570" s="1"/>
      <c r="E570" s="1"/>
      <c r="F570" s="1"/>
      <c r="G570" s="1"/>
      <c r="H570" s="1"/>
      <c r="I570" s="1"/>
      <c r="J570" s="1"/>
      <c r="K570" s="1"/>
      <c r="L570" s="22"/>
      <c r="M570" s="262"/>
      <c r="N570" s="1"/>
      <c r="O570" s="1"/>
      <c r="P570" s="1"/>
      <c r="Q570" s="1"/>
      <c r="R570" s="1"/>
      <c r="S570" s="1"/>
      <c r="T570" s="1"/>
      <c r="U570" s="1"/>
      <c r="V570" s="1"/>
      <c r="W570" s="1"/>
      <c r="X570" s="1"/>
      <c r="Y570" s="1"/>
      <c r="Z570" s="1"/>
      <c r="AA570" s="1"/>
      <c r="AB570" s="1"/>
    </row>
    <row r="571" spans="1:28" ht="11.25" customHeight="1" x14ac:dyDescent="0.25">
      <c r="A571" s="825"/>
      <c r="B571" s="16"/>
      <c r="C571" s="1"/>
      <c r="D571" s="1"/>
      <c r="E571" s="1"/>
      <c r="F571" s="1"/>
      <c r="G571" s="1"/>
      <c r="H571" s="1"/>
      <c r="I571" s="1"/>
      <c r="J571" s="1"/>
      <c r="K571" s="1"/>
      <c r="L571" s="22"/>
      <c r="M571" s="262"/>
      <c r="N571" s="1"/>
      <c r="O571" s="1"/>
      <c r="P571" s="1"/>
      <c r="Q571" s="1"/>
      <c r="R571" s="1"/>
      <c r="S571" s="1"/>
      <c r="T571" s="1"/>
      <c r="U571" s="1"/>
      <c r="V571" s="1"/>
      <c r="W571" s="1"/>
      <c r="X571" s="1"/>
      <c r="Y571" s="1"/>
      <c r="Z571" s="1"/>
      <c r="AA571" s="1"/>
      <c r="AB571" s="1"/>
    </row>
    <row r="572" spans="1:28" ht="11.25" customHeight="1" x14ac:dyDescent="0.25">
      <c r="A572" s="825"/>
      <c r="B572" s="16"/>
      <c r="C572" s="1"/>
      <c r="D572" s="1"/>
      <c r="E572" s="1"/>
      <c r="F572" s="1"/>
      <c r="G572" s="1"/>
      <c r="H572" s="1"/>
      <c r="I572" s="1"/>
      <c r="J572" s="1"/>
      <c r="K572" s="1"/>
      <c r="L572" s="22"/>
      <c r="M572" s="262"/>
      <c r="N572" s="1"/>
      <c r="O572" s="1"/>
      <c r="P572" s="1"/>
      <c r="Q572" s="1"/>
      <c r="R572" s="1"/>
      <c r="S572" s="1"/>
      <c r="T572" s="1"/>
      <c r="U572" s="1"/>
      <c r="V572" s="1"/>
      <c r="W572" s="1"/>
      <c r="X572" s="1"/>
      <c r="Y572" s="1"/>
      <c r="Z572" s="1"/>
      <c r="AA572" s="1"/>
      <c r="AB572" s="1"/>
    </row>
    <row r="573" spans="1:28" ht="11.25" customHeight="1" x14ac:dyDescent="0.25">
      <c r="A573" s="825"/>
      <c r="B573" s="16"/>
      <c r="C573" s="1"/>
      <c r="D573" s="1"/>
      <c r="E573" s="1"/>
      <c r="F573" s="1"/>
      <c r="G573" s="1"/>
      <c r="H573" s="1"/>
      <c r="I573" s="1"/>
      <c r="J573" s="1"/>
      <c r="K573" s="1"/>
      <c r="L573" s="22"/>
      <c r="M573" s="262"/>
      <c r="N573" s="1"/>
      <c r="O573" s="1"/>
      <c r="P573" s="1"/>
      <c r="Q573" s="1"/>
      <c r="R573" s="1"/>
      <c r="S573" s="1"/>
      <c r="T573" s="1"/>
      <c r="U573" s="1"/>
      <c r="V573" s="1"/>
      <c r="W573" s="1"/>
      <c r="X573" s="1"/>
      <c r="Y573" s="1"/>
      <c r="Z573" s="1"/>
      <c r="AA573" s="1"/>
      <c r="AB573" s="1"/>
    </row>
    <row r="574" spans="1:28" ht="11.25" customHeight="1" x14ac:dyDescent="0.25">
      <c r="A574" s="825"/>
      <c r="B574" s="16"/>
      <c r="C574" s="1"/>
      <c r="D574" s="1"/>
      <c r="E574" s="1"/>
      <c r="F574" s="1"/>
      <c r="G574" s="1"/>
      <c r="H574" s="1"/>
      <c r="I574" s="1"/>
      <c r="J574" s="1"/>
      <c r="K574" s="1"/>
      <c r="L574" s="22"/>
      <c r="M574" s="262"/>
      <c r="N574" s="1"/>
      <c r="O574" s="1"/>
      <c r="P574" s="1"/>
      <c r="Q574" s="1"/>
      <c r="R574" s="1"/>
      <c r="S574" s="1"/>
      <c r="T574" s="1"/>
      <c r="U574" s="1"/>
      <c r="V574" s="1"/>
      <c r="W574" s="1"/>
      <c r="X574" s="1"/>
      <c r="Y574" s="1"/>
      <c r="Z574" s="1"/>
      <c r="AA574" s="1"/>
      <c r="AB574" s="1"/>
    </row>
    <row r="575" spans="1:28" ht="11.25" customHeight="1" x14ac:dyDescent="0.25">
      <c r="A575" s="825"/>
      <c r="B575" s="16"/>
      <c r="C575" s="1"/>
      <c r="D575" s="1"/>
      <c r="E575" s="1"/>
      <c r="F575" s="1"/>
      <c r="G575" s="1"/>
      <c r="H575" s="1"/>
      <c r="I575" s="1"/>
      <c r="J575" s="1"/>
      <c r="K575" s="1"/>
      <c r="L575" s="22"/>
      <c r="M575" s="262"/>
      <c r="N575" s="1"/>
      <c r="O575" s="1"/>
      <c r="P575" s="1"/>
      <c r="Q575" s="1"/>
      <c r="R575" s="1"/>
      <c r="S575" s="1"/>
      <c r="T575" s="1"/>
      <c r="U575" s="1"/>
      <c r="V575" s="1"/>
      <c r="W575" s="1"/>
      <c r="X575" s="1"/>
      <c r="Y575" s="1"/>
      <c r="Z575" s="1"/>
      <c r="AA575" s="1"/>
      <c r="AB575" s="1"/>
    </row>
    <row r="576" spans="1:28" ht="11.25" customHeight="1" x14ac:dyDescent="0.25">
      <c r="A576" s="825"/>
      <c r="B576" s="16"/>
      <c r="C576" s="1"/>
      <c r="D576" s="1"/>
      <c r="E576" s="1"/>
      <c r="F576" s="1"/>
      <c r="G576" s="1"/>
      <c r="H576" s="1"/>
      <c r="I576" s="1"/>
      <c r="J576" s="1"/>
      <c r="K576" s="1"/>
      <c r="L576" s="22"/>
      <c r="M576" s="262"/>
      <c r="N576" s="1"/>
      <c r="O576" s="1"/>
      <c r="P576" s="1"/>
      <c r="Q576" s="1"/>
      <c r="R576" s="1"/>
      <c r="S576" s="1"/>
      <c r="T576" s="1"/>
      <c r="U576" s="1"/>
      <c r="V576" s="1"/>
      <c r="W576" s="1"/>
      <c r="X576" s="1"/>
      <c r="Y576" s="1"/>
      <c r="Z576" s="1"/>
      <c r="AA576" s="1"/>
      <c r="AB576" s="1"/>
    </row>
    <row r="577" spans="1:28" ht="11.25" customHeight="1" x14ac:dyDescent="0.25">
      <c r="A577" s="825"/>
      <c r="B577" s="16"/>
      <c r="C577" s="1"/>
      <c r="D577" s="1"/>
      <c r="E577" s="1"/>
      <c r="F577" s="1"/>
      <c r="G577" s="1"/>
      <c r="H577" s="1"/>
      <c r="I577" s="1"/>
      <c r="J577" s="1"/>
      <c r="K577" s="1"/>
      <c r="L577" s="22"/>
      <c r="M577" s="262"/>
      <c r="N577" s="1"/>
      <c r="O577" s="1"/>
      <c r="P577" s="1"/>
      <c r="Q577" s="1"/>
      <c r="R577" s="1"/>
      <c r="S577" s="1"/>
      <c r="T577" s="1"/>
      <c r="U577" s="1"/>
      <c r="V577" s="1"/>
      <c r="W577" s="1"/>
      <c r="X577" s="1"/>
      <c r="Y577" s="1"/>
      <c r="Z577" s="1"/>
      <c r="AA577" s="1"/>
      <c r="AB577" s="1"/>
    </row>
    <row r="578" spans="1:28" ht="11.25" customHeight="1" x14ac:dyDescent="0.25">
      <c r="A578" s="825"/>
      <c r="B578" s="16"/>
      <c r="C578" s="1"/>
      <c r="D578" s="1"/>
      <c r="E578" s="1"/>
      <c r="F578" s="1"/>
      <c r="G578" s="1"/>
      <c r="H578" s="1"/>
      <c r="I578" s="1"/>
      <c r="J578" s="1"/>
      <c r="K578" s="1"/>
      <c r="L578" s="22"/>
      <c r="M578" s="262"/>
      <c r="N578" s="1"/>
      <c r="O578" s="1"/>
      <c r="P578" s="1"/>
      <c r="Q578" s="1"/>
      <c r="R578" s="1"/>
      <c r="S578" s="1"/>
      <c r="T578" s="1"/>
      <c r="U578" s="1"/>
      <c r="V578" s="1"/>
      <c r="W578" s="1"/>
      <c r="X578" s="1"/>
      <c r="Y578" s="1"/>
      <c r="Z578" s="1"/>
      <c r="AA578" s="1"/>
      <c r="AB578" s="1"/>
    </row>
    <row r="579" spans="1:28" ht="11.25" customHeight="1" x14ac:dyDescent="0.25">
      <c r="A579" s="825"/>
      <c r="B579" s="16"/>
      <c r="C579" s="1"/>
      <c r="D579" s="1"/>
      <c r="E579" s="1"/>
      <c r="F579" s="1"/>
      <c r="G579" s="1"/>
      <c r="H579" s="1"/>
      <c r="I579" s="1"/>
      <c r="J579" s="1"/>
      <c r="K579" s="1"/>
      <c r="L579" s="22"/>
      <c r="M579" s="262"/>
      <c r="N579" s="1"/>
      <c r="O579" s="1"/>
      <c r="P579" s="1"/>
      <c r="Q579" s="1"/>
      <c r="R579" s="1"/>
      <c r="S579" s="1"/>
      <c r="T579" s="1"/>
      <c r="U579" s="1"/>
      <c r="V579" s="1"/>
      <c r="W579" s="1"/>
      <c r="X579" s="1"/>
      <c r="Y579" s="1"/>
      <c r="Z579" s="1"/>
      <c r="AA579" s="1"/>
      <c r="AB579" s="1"/>
    </row>
    <row r="580" spans="1:28" ht="11.25" customHeight="1" x14ac:dyDescent="0.25">
      <c r="A580" s="825"/>
      <c r="B580" s="16"/>
      <c r="C580" s="1"/>
      <c r="D580" s="1"/>
      <c r="E580" s="1"/>
      <c r="F580" s="1"/>
      <c r="G580" s="1"/>
      <c r="H580" s="1"/>
      <c r="I580" s="1"/>
      <c r="J580" s="1"/>
      <c r="K580" s="1"/>
      <c r="L580" s="22"/>
      <c r="M580" s="262"/>
      <c r="N580" s="1"/>
      <c r="O580" s="1"/>
      <c r="P580" s="1"/>
      <c r="Q580" s="1"/>
      <c r="R580" s="1"/>
      <c r="S580" s="1"/>
      <c r="T580" s="1"/>
      <c r="U580" s="1"/>
      <c r="V580" s="1"/>
      <c r="W580" s="1"/>
      <c r="X580" s="1"/>
      <c r="Y580" s="1"/>
      <c r="Z580" s="1"/>
      <c r="AA580" s="1"/>
      <c r="AB580" s="1"/>
    </row>
    <row r="581" spans="1:28" ht="11.25" customHeight="1" x14ac:dyDescent="0.25">
      <c r="A581" s="825"/>
      <c r="B581" s="16"/>
      <c r="C581" s="1"/>
      <c r="D581" s="1"/>
      <c r="E581" s="1"/>
      <c r="F581" s="1"/>
      <c r="G581" s="1"/>
      <c r="H581" s="1"/>
      <c r="I581" s="1"/>
      <c r="J581" s="1"/>
      <c r="K581" s="1"/>
      <c r="L581" s="22"/>
      <c r="M581" s="262"/>
      <c r="N581" s="1"/>
      <c r="O581" s="1"/>
      <c r="P581" s="1"/>
      <c r="Q581" s="1"/>
      <c r="R581" s="1"/>
      <c r="S581" s="1"/>
      <c r="T581" s="1"/>
      <c r="U581" s="1"/>
      <c r="V581" s="1"/>
      <c r="W581" s="1"/>
      <c r="X581" s="1"/>
      <c r="Y581" s="1"/>
      <c r="Z581" s="1"/>
      <c r="AA581" s="1"/>
      <c r="AB581" s="1"/>
    </row>
    <row r="582" spans="1:28" ht="11.25" customHeight="1" x14ac:dyDescent="0.25">
      <c r="A582" s="825"/>
      <c r="B582" s="16"/>
      <c r="C582" s="1"/>
      <c r="D582" s="1"/>
      <c r="E582" s="1"/>
      <c r="F582" s="1"/>
      <c r="G582" s="1"/>
      <c r="H582" s="1"/>
      <c r="I582" s="1"/>
      <c r="J582" s="1"/>
      <c r="K582" s="1"/>
      <c r="L582" s="22"/>
      <c r="M582" s="262"/>
      <c r="N582" s="1"/>
      <c r="O582" s="1"/>
      <c r="P582" s="1"/>
      <c r="Q582" s="1"/>
      <c r="R582" s="1"/>
      <c r="S582" s="1"/>
      <c r="T582" s="1"/>
      <c r="U582" s="1"/>
      <c r="V582" s="1"/>
      <c r="W582" s="1"/>
      <c r="X582" s="1"/>
      <c r="Y582" s="1"/>
      <c r="Z582" s="1"/>
      <c r="AA582" s="1"/>
      <c r="AB582" s="1"/>
    </row>
    <row r="583" spans="1:28" ht="11.25" customHeight="1" x14ac:dyDescent="0.25">
      <c r="A583" s="825"/>
      <c r="B583" s="16"/>
      <c r="C583" s="1"/>
      <c r="D583" s="1"/>
      <c r="E583" s="1"/>
      <c r="F583" s="1"/>
      <c r="G583" s="1"/>
      <c r="H583" s="1"/>
      <c r="I583" s="1"/>
      <c r="J583" s="1"/>
      <c r="K583" s="1"/>
      <c r="L583" s="22"/>
      <c r="M583" s="262"/>
      <c r="N583" s="1"/>
      <c r="O583" s="1"/>
      <c r="P583" s="1"/>
      <c r="Q583" s="1"/>
      <c r="R583" s="1"/>
      <c r="S583" s="1"/>
      <c r="T583" s="1"/>
      <c r="U583" s="1"/>
      <c r="V583" s="1"/>
      <c r="W583" s="1"/>
      <c r="X583" s="1"/>
      <c r="Y583" s="1"/>
      <c r="Z583" s="1"/>
      <c r="AA583" s="1"/>
      <c r="AB583" s="1"/>
    </row>
    <row r="584" spans="1:28" ht="11.25" customHeight="1" x14ac:dyDescent="0.25">
      <c r="A584" s="825"/>
      <c r="B584" s="16"/>
      <c r="C584" s="1"/>
      <c r="D584" s="1"/>
      <c r="E584" s="1"/>
      <c r="F584" s="1"/>
      <c r="G584" s="1"/>
      <c r="H584" s="1"/>
      <c r="I584" s="1"/>
      <c r="J584" s="1"/>
      <c r="K584" s="1"/>
      <c r="L584" s="22"/>
      <c r="M584" s="262"/>
      <c r="N584" s="1"/>
      <c r="O584" s="1"/>
      <c r="P584" s="1"/>
      <c r="Q584" s="1"/>
      <c r="R584" s="1"/>
      <c r="S584" s="1"/>
      <c r="T584" s="1"/>
      <c r="U584" s="1"/>
      <c r="V584" s="1"/>
      <c r="W584" s="1"/>
      <c r="X584" s="1"/>
      <c r="Y584" s="1"/>
      <c r="Z584" s="1"/>
      <c r="AA584" s="1"/>
      <c r="AB584" s="1"/>
    </row>
    <row r="585" spans="1:28" ht="11.25" customHeight="1" x14ac:dyDescent="0.25">
      <c r="A585" s="825"/>
      <c r="B585" s="16"/>
      <c r="C585" s="1"/>
      <c r="D585" s="1"/>
      <c r="E585" s="1"/>
      <c r="F585" s="1"/>
      <c r="G585" s="1"/>
      <c r="H585" s="1"/>
      <c r="I585" s="1"/>
      <c r="J585" s="1"/>
      <c r="K585" s="1"/>
      <c r="L585" s="22"/>
      <c r="M585" s="262"/>
      <c r="N585" s="1"/>
      <c r="O585" s="1"/>
      <c r="P585" s="1"/>
      <c r="Q585" s="1"/>
      <c r="R585" s="1"/>
      <c r="S585" s="1"/>
      <c r="T585" s="1"/>
      <c r="U585" s="1"/>
      <c r="V585" s="1"/>
      <c r="W585" s="1"/>
      <c r="X585" s="1"/>
      <c r="Y585" s="1"/>
      <c r="Z585" s="1"/>
      <c r="AA585" s="1"/>
      <c r="AB585" s="1"/>
    </row>
    <row r="586" spans="1:28" ht="11.25" customHeight="1" x14ac:dyDescent="0.25">
      <c r="A586" s="825"/>
      <c r="B586" s="16"/>
      <c r="C586" s="1"/>
      <c r="D586" s="1"/>
      <c r="E586" s="1"/>
      <c r="F586" s="1"/>
      <c r="G586" s="1"/>
      <c r="H586" s="1"/>
      <c r="I586" s="1"/>
      <c r="J586" s="1"/>
      <c r="K586" s="1"/>
      <c r="L586" s="22"/>
      <c r="M586" s="262"/>
      <c r="N586" s="1"/>
      <c r="O586" s="1"/>
      <c r="P586" s="1"/>
      <c r="Q586" s="1"/>
      <c r="R586" s="1"/>
      <c r="S586" s="1"/>
      <c r="T586" s="1"/>
      <c r="U586" s="1"/>
      <c r="V586" s="1"/>
      <c r="W586" s="1"/>
      <c r="X586" s="1"/>
      <c r="Y586" s="1"/>
      <c r="Z586" s="1"/>
      <c r="AA586" s="1"/>
      <c r="AB586" s="1"/>
    </row>
    <row r="587" spans="1:28" ht="11.25" customHeight="1" x14ac:dyDescent="0.25">
      <c r="A587" s="825"/>
      <c r="B587" s="16"/>
      <c r="C587" s="1"/>
      <c r="D587" s="1"/>
      <c r="E587" s="1"/>
      <c r="F587" s="1"/>
      <c r="G587" s="1"/>
      <c r="H587" s="1"/>
      <c r="I587" s="1"/>
      <c r="J587" s="1"/>
      <c r="K587" s="1"/>
      <c r="L587" s="22"/>
      <c r="M587" s="262"/>
      <c r="N587" s="1"/>
      <c r="O587" s="1"/>
      <c r="P587" s="1"/>
      <c r="Q587" s="1"/>
      <c r="R587" s="1"/>
      <c r="S587" s="1"/>
      <c r="T587" s="1"/>
      <c r="U587" s="1"/>
      <c r="V587" s="1"/>
      <c r="W587" s="1"/>
      <c r="X587" s="1"/>
      <c r="Y587" s="1"/>
      <c r="Z587" s="1"/>
      <c r="AA587" s="1"/>
      <c r="AB587" s="1"/>
    </row>
    <row r="588" spans="1:28" ht="11.25" customHeight="1" x14ac:dyDescent="0.25">
      <c r="A588" s="825"/>
      <c r="B588" s="16"/>
      <c r="C588" s="1"/>
      <c r="D588" s="1"/>
      <c r="E588" s="1"/>
      <c r="F588" s="1"/>
      <c r="G588" s="1"/>
      <c r="H588" s="1"/>
      <c r="I588" s="1"/>
      <c r="J588" s="1"/>
      <c r="K588" s="1"/>
      <c r="L588" s="22"/>
      <c r="M588" s="262"/>
      <c r="N588" s="1"/>
      <c r="O588" s="1"/>
      <c r="P588" s="1"/>
      <c r="Q588" s="1"/>
      <c r="R588" s="1"/>
      <c r="S588" s="1"/>
      <c r="T588" s="1"/>
      <c r="U588" s="1"/>
      <c r="V588" s="1"/>
      <c r="W588" s="1"/>
      <c r="X588" s="1"/>
      <c r="Y588" s="1"/>
      <c r="Z588" s="1"/>
      <c r="AA588" s="1"/>
      <c r="AB588" s="1"/>
    </row>
    <row r="589" spans="1:28" ht="11.25" customHeight="1" x14ac:dyDescent="0.25">
      <c r="A589" s="825"/>
      <c r="B589" s="16"/>
      <c r="C589" s="1"/>
      <c r="D589" s="1"/>
      <c r="E589" s="1"/>
      <c r="F589" s="1"/>
      <c r="G589" s="1"/>
      <c r="H589" s="1"/>
      <c r="I589" s="1"/>
      <c r="J589" s="1"/>
      <c r="K589" s="1"/>
      <c r="L589" s="22"/>
      <c r="M589" s="262"/>
      <c r="N589" s="1"/>
      <c r="O589" s="1"/>
      <c r="P589" s="1"/>
      <c r="Q589" s="1"/>
      <c r="R589" s="1"/>
      <c r="S589" s="1"/>
      <c r="T589" s="1"/>
      <c r="U589" s="1"/>
      <c r="V589" s="1"/>
      <c r="W589" s="1"/>
      <c r="X589" s="1"/>
      <c r="Y589" s="1"/>
      <c r="Z589" s="1"/>
      <c r="AA589" s="1"/>
      <c r="AB589" s="1"/>
    </row>
    <row r="590" spans="1:28" ht="11.25" customHeight="1" x14ac:dyDescent="0.25">
      <c r="A590" s="825"/>
      <c r="B590" s="16"/>
      <c r="C590" s="1"/>
      <c r="D590" s="1"/>
      <c r="E590" s="1"/>
      <c r="F590" s="1"/>
      <c r="G590" s="1"/>
      <c r="H590" s="1"/>
      <c r="I590" s="1"/>
      <c r="J590" s="1"/>
      <c r="K590" s="1"/>
      <c r="L590" s="22"/>
      <c r="M590" s="262"/>
      <c r="N590" s="1"/>
      <c r="O590" s="1"/>
      <c r="P590" s="1"/>
      <c r="Q590" s="1"/>
      <c r="R590" s="1"/>
      <c r="S590" s="1"/>
      <c r="T590" s="1"/>
      <c r="U590" s="1"/>
      <c r="V590" s="1"/>
      <c r="W590" s="1"/>
      <c r="X590" s="1"/>
      <c r="Y590" s="1"/>
      <c r="Z590" s="1"/>
      <c r="AA590" s="1"/>
      <c r="AB590" s="1"/>
    </row>
    <row r="591" spans="1:28" ht="11.25" customHeight="1" x14ac:dyDescent="0.25">
      <c r="A591" s="825"/>
      <c r="B591" s="16"/>
      <c r="C591" s="1"/>
      <c r="D591" s="1"/>
      <c r="E591" s="1"/>
      <c r="F591" s="1"/>
      <c r="G591" s="1"/>
      <c r="H591" s="1"/>
      <c r="I591" s="1"/>
      <c r="J591" s="1"/>
      <c r="K591" s="1"/>
      <c r="L591" s="22"/>
      <c r="M591" s="262"/>
      <c r="N591" s="1"/>
      <c r="O591" s="1"/>
      <c r="P591" s="1"/>
      <c r="Q591" s="1"/>
      <c r="R591" s="1"/>
      <c r="S591" s="1"/>
      <c r="T591" s="1"/>
      <c r="U591" s="1"/>
      <c r="V591" s="1"/>
      <c r="W591" s="1"/>
      <c r="X591" s="1"/>
      <c r="Y591" s="1"/>
      <c r="Z591" s="1"/>
      <c r="AA591" s="1"/>
      <c r="AB591" s="1"/>
    </row>
    <row r="592" spans="1:28" ht="11.25" customHeight="1" x14ac:dyDescent="0.25">
      <c r="A592" s="825"/>
      <c r="B592" s="16"/>
      <c r="C592" s="1"/>
      <c r="D592" s="1"/>
      <c r="E592" s="1"/>
      <c r="F592" s="1"/>
      <c r="G592" s="1"/>
      <c r="H592" s="1"/>
      <c r="I592" s="1"/>
      <c r="J592" s="1"/>
      <c r="K592" s="1"/>
      <c r="L592" s="22"/>
      <c r="M592" s="262"/>
      <c r="N592" s="1"/>
      <c r="O592" s="1"/>
      <c r="P592" s="1"/>
      <c r="Q592" s="1"/>
      <c r="R592" s="1"/>
      <c r="S592" s="1"/>
      <c r="T592" s="1"/>
      <c r="U592" s="1"/>
      <c r="V592" s="1"/>
      <c r="W592" s="1"/>
      <c r="X592" s="1"/>
      <c r="Y592" s="1"/>
      <c r="Z592" s="1"/>
      <c r="AA592" s="1"/>
      <c r="AB592" s="1"/>
    </row>
    <row r="593" spans="1:28" ht="11.25" customHeight="1" x14ac:dyDescent="0.25">
      <c r="A593" s="825"/>
      <c r="B593" s="16"/>
      <c r="C593" s="1"/>
      <c r="D593" s="1"/>
      <c r="E593" s="1"/>
      <c r="F593" s="1"/>
      <c r="G593" s="1"/>
      <c r="H593" s="1"/>
      <c r="I593" s="1"/>
      <c r="J593" s="1"/>
      <c r="K593" s="1"/>
      <c r="L593" s="22"/>
      <c r="M593" s="262"/>
      <c r="N593" s="1"/>
      <c r="O593" s="1"/>
      <c r="P593" s="1"/>
      <c r="Q593" s="1"/>
      <c r="R593" s="1"/>
      <c r="S593" s="1"/>
      <c r="T593" s="1"/>
      <c r="U593" s="1"/>
      <c r="V593" s="1"/>
      <c r="W593" s="1"/>
      <c r="X593" s="1"/>
      <c r="Y593" s="1"/>
      <c r="Z593" s="1"/>
      <c r="AA593" s="1"/>
      <c r="AB593" s="1"/>
    </row>
    <row r="594" spans="1:28" ht="11.25" customHeight="1" x14ac:dyDescent="0.25">
      <c r="A594" s="825"/>
      <c r="B594" s="16"/>
      <c r="C594" s="1"/>
      <c r="D594" s="1"/>
      <c r="E594" s="1"/>
      <c r="F594" s="1"/>
      <c r="G594" s="1"/>
      <c r="H594" s="1"/>
      <c r="I594" s="1"/>
      <c r="J594" s="1"/>
      <c r="K594" s="1"/>
      <c r="L594" s="22"/>
      <c r="M594" s="262"/>
      <c r="N594" s="1"/>
      <c r="O594" s="1"/>
      <c r="P594" s="1"/>
      <c r="Q594" s="1"/>
      <c r="R594" s="1"/>
      <c r="S594" s="1"/>
      <c r="T594" s="1"/>
      <c r="U594" s="1"/>
      <c r="V594" s="1"/>
      <c r="W594" s="1"/>
      <c r="X594" s="1"/>
      <c r="Y594" s="1"/>
      <c r="Z594" s="1"/>
      <c r="AA594" s="1"/>
      <c r="AB594" s="1"/>
    </row>
    <row r="595" spans="1:28" ht="11.25" customHeight="1" x14ac:dyDescent="0.25">
      <c r="A595" s="825"/>
      <c r="B595" s="16"/>
      <c r="C595" s="1"/>
      <c r="D595" s="1"/>
      <c r="E595" s="1"/>
      <c r="F595" s="1"/>
      <c r="G595" s="1"/>
      <c r="H595" s="1"/>
      <c r="I595" s="1"/>
      <c r="J595" s="1"/>
      <c r="K595" s="1"/>
      <c r="L595" s="22"/>
      <c r="M595" s="262"/>
      <c r="N595" s="1"/>
      <c r="O595" s="1"/>
      <c r="P595" s="1"/>
      <c r="Q595" s="1"/>
      <c r="R595" s="1"/>
      <c r="S595" s="1"/>
      <c r="T595" s="1"/>
      <c r="U595" s="1"/>
      <c r="V595" s="1"/>
      <c r="W595" s="1"/>
      <c r="X595" s="1"/>
      <c r="Y595" s="1"/>
      <c r="Z595" s="1"/>
      <c r="AA595" s="1"/>
      <c r="AB595" s="1"/>
    </row>
    <row r="596" spans="1:28" ht="11.25" customHeight="1" x14ac:dyDescent="0.25">
      <c r="A596" s="825"/>
      <c r="B596" s="16"/>
      <c r="C596" s="1"/>
      <c r="D596" s="1"/>
      <c r="E596" s="1"/>
      <c r="F596" s="1"/>
      <c r="G596" s="1"/>
      <c r="H596" s="1"/>
      <c r="I596" s="1"/>
      <c r="J596" s="1"/>
      <c r="K596" s="1"/>
      <c r="L596" s="22"/>
      <c r="M596" s="262"/>
      <c r="N596" s="1"/>
      <c r="O596" s="1"/>
      <c r="P596" s="1"/>
      <c r="Q596" s="1"/>
      <c r="R596" s="1"/>
      <c r="S596" s="1"/>
      <c r="T596" s="1"/>
      <c r="U596" s="1"/>
      <c r="V596" s="1"/>
      <c r="W596" s="1"/>
      <c r="X596" s="1"/>
      <c r="Y596" s="1"/>
      <c r="Z596" s="1"/>
      <c r="AA596" s="1"/>
      <c r="AB596" s="1"/>
    </row>
    <row r="597" spans="1:28" ht="11.25" customHeight="1" x14ac:dyDescent="0.25">
      <c r="A597" s="825"/>
      <c r="B597" s="16"/>
      <c r="C597" s="1"/>
      <c r="D597" s="1"/>
      <c r="E597" s="1"/>
      <c r="F597" s="1"/>
      <c r="G597" s="1"/>
      <c r="H597" s="1"/>
      <c r="I597" s="1"/>
      <c r="J597" s="1"/>
      <c r="K597" s="1"/>
      <c r="L597" s="22"/>
      <c r="M597" s="262"/>
      <c r="N597" s="1"/>
      <c r="O597" s="1"/>
      <c r="P597" s="1"/>
      <c r="Q597" s="1"/>
      <c r="R597" s="1"/>
      <c r="S597" s="1"/>
      <c r="T597" s="1"/>
      <c r="U597" s="1"/>
      <c r="V597" s="1"/>
      <c r="W597" s="1"/>
      <c r="X597" s="1"/>
      <c r="Y597" s="1"/>
      <c r="Z597" s="1"/>
      <c r="AA597" s="1"/>
      <c r="AB597" s="1"/>
    </row>
    <row r="598" spans="1:28" ht="11.25" customHeight="1" x14ac:dyDescent="0.25">
      <c r="A598" s="825"/>
      <c r="B598" s="16"/>
      <c r="C598" s="1"/>
      <c r="D598" s="1"/>
      <c r="E598" s="1"/>
      <c r="F598" s="1"/>
      <c r="G598" s="1"/>
      <c r="H598" s="1"/>
      <c r="I598" s="1"/>
      <c r="J598" s="1"/>
      <c r="K598" s="1"/>
      <c r="L598" s="22"/>
      <c r="M598" s="262"/>
      <c r="N598" s="1"/>
      <c r="O598" s="1"/>
      <c r="P598" s="1"/>
      <c r="Q598" s="1"/>
      <c r="R598" s="1"/>
      <c r="S598" s="1"/>
      <c r="T598" s="1"/>
      <c r="U598" s="1"/>
      <c r="V598" s="1"/>
      <c r="W598" s="1"/>
      <c r="X598" s="1"/>
      <c r="Y598" s="1"/>
      <c r="Z598" s="1"/>
      <c r="AA598" s="1"/>
      <c r="AB598" s="1"/>
    </row>
    <row r="599" spans="1:28" ht="11.25" customHeight="1" x14ac:dyDescent="0.25">
      <c r="A599" s="825"/>
      <c r="B599" s="16"/>
      <c r="C599" s="1"/>
      <c r="D599" s="1"/>
      <c r="E599" s="1"/>
      <c r="F599" s="1"/>
      <c r="G599" s="1"/>
      <c r="H599" s="1"/>
      <c r="I599" s="1"/>
      <c r="J599" s="1"/>
      <c r="K599" s="1"/>
      <c r="L599" s="22"/>
      <c r="M599" s="262"/>
      <c r="N599" s="1"/>
      <c r="O599" s="1"/>
      <c r="P599" s="1"/>
      <c r="Q599" s="1"/>
      <c r="R599" s="1"/>
      <c r="S599" s="1"/>
      <c r="T599" s="1"/>
      <c r="U599" s="1"/>
      <c r="V599" s="1"/>
      <c r="W599" s="1"/>
      <c r="X599" s="1"/>
      <c r="Y599" s="1"/>
      <c r="Z599" s="1"/>
      <c r="AA599" s="1"/>
      <c r="AB599" s="1"/>
    </row>
    <row r="600" spans="1:28" ht="11.25" customHeight="1" x14ac:dyDescent="0.25">
      <c r="A600" s="825"/>
      <c r="B600" s="16"/>
      <c r="C600" s="1"/>
      <c r="D600" s="1"/>
      <c r="E600" s="1"/>
      <c r="F600" s="1"/>
      <c r="G600" s="1"/>
      <c r="H600" s="1"/>
      <c r="I600" s="1"/>
      <c r="J600" s="1"/>
      <c r="K600" s="1"/>
      <c r="L600" s="22"/>
      <c r="M600" s="262"/>
      <c r="N600" s="1"/>
      <c r="O600" s="1"/>
      <c r="P600" s="1"/>
      <c r="Q600" s="1"/>
      <c r="R600" s="1"/>
      <c r="S600" s="1"/>
      <c r="T600" s="1"/>
      <c r="U600" s="1"/>
      <c r="V600" s="1"/>
      <c r="W600" s="1"/>
      <c r="X600" s="1"/>
      <c r="Y600" s="1"/>
      <c r="Z600" s="1"/>
      <c r="AA600" s="1"/>
      <c r="AB600" s="1"/>
    </row>
    <row r="601" spans="1:28" ht="11.25" customHeight="1" x14ac:dyDescent="0.25">
      <c r="A601" s="825"/>
      <c r="B601" s="16"/>
      <c r="C601" s="1"/>
      <c r="D601" s="1"/>
      <c r="E601" s="1"/>
      <c r="F601" s="1"/>
      <c r="G601" s="1"/>
      <c r="H601" s="1"/>
      <c r="I601" s="1"/>
      <c r="J601" s="1"/>
      <c r="K601" s="1"/>
      <c r="L601" s="22"/>
      <c r="M601" s="262"/>
      <c r="N601" s="1"/>
      <c r="O601" s="1"/>
      <c r="P601" s="1"/>
      <c r="Q601" s="1"/>
      <c r="R601" s="1"/>
      <c r="S601" s="1"/>
      <c r="T601" s="1"/>
      <c r="U601" s="1"/>
      <c r="V601" s="1"/>
      <c r="W601" s="1"/>
      <c r="X601" s="1"/>
      <c r="Y601" s="1"/>
      <c r="Z601" s="1"/>
      <c r="AA601" s="1"/>
      <c r="AB601" s="1"/>
    </row>
    <row r="602" spans="1:28" ht="11.25" customHeight="1" x14ac:dyDescent="0.25">
      <c r="A602" s="825"/>
      <c r="B602" s="16"/>
      <c r="C602" s="1"/>
      <c r="D602" s="1"/>
      <c r="E602" s="1"/>
      <c r="F602" s="1"/>
      <c r="G602" s="1"/>
      <c r="H602" s="1"/>
      <c r="I602" s="1"/>
      <c r="J602" s="1"/>
      <c r="K602" s="1"/>
      <c r="L602" s="22"/>
      <c r="M602" s="262"/>
      <c r="N602" s="1"/>
      <c r="O602" s="1"/>
      <c r="P602" s="1"/>
      <c r="Q602" s="1"/>
      <c r="R602" s="1"/>
      <c r="S602" s="1"/>
      <c r="T602" s="1"/>
      <c r="U602" s="1"/>
      <c r="V602" s="1"/>
      <c r="W602" s="1"/>
      <c r="X602" s="1"/>
      <c r="Y602" s="1"/>
      <c r="Z602" s="1"/>
      <c r="AA602" s="1"/>
      <c r="AB602" s="1"/>
    </row>
    <row r="603" spans="1:28" ht="11.25" customHeight="1" x14ac:dyDescent="0.25">
      <c r="A603" s="825"/>
      <c r="B603" s="16"/>
      <c r="C603" s="1"/>
      <c r="D603" s="1"/>
      <c r="E603" s="1"/>
      <c r="F603" s="1"/>
      <c r="G603" s="1"/>
      <c r="H603" s="1"/>
      <c r="I603" s="1"/>
      <c r="J603" s="1"/>
      <c r="K603" s="1"/>
      <c r="L603" s="22"/>
      <c r="M603" s="262"/>
      <c r="N603" s="1"/>
      <c r="O603" s="1"/>
      <c r="P603" s="1"/>
      <c r="Q603" s="1"/>
      <c r="R603" s="1"/>
      <c r="S603" s="1"/>
      <c r="T603" s="1"/>
      <c r="U603" s="1"/>
      <c r="V603" s="1"/>
      <c r="W603" s="1"/>
      <c r="X603" s="1"/>
      <c r="Y603" s="1"/>
      <c r="Z603" s="1"/>
      <c r="AA603" s="1"/>
      <c r="AB603" s="1"/>
    </row>
    <row r="604" spans="1:28" ht="11.25" customHeight="1" x14ac:dyDescent="0.25">
      <c r="A604" s="825"/>
      <c r="B604" s="16"/>
      <c r="C604" s="1"/>
      <c r="D604" s="1"/>
      <c r="E604" s="1"/>
      <c r="F604" s="1"/>
      <c r="G604" s="1"/>
      <c r="H604" s="1"/>
      <c r="I604" s="1"/>
      <c r="J604" s="1"/>
      <c r="K604" s="1"/>
      <c r="L604" s="22"/>
      <c r="M604" s="262"/>
      <c r="N604" s="1"/>
      <c r="O604" s="1"/>
      <c r="P604" s="1"/>
      <c r="Q604" s="1"/>
      <c r="R604" s="1"/>
      <c r="S604" s="1"/>
      <c r="T604" s="1"/>
      <c r="U604" s="1"/>
      <c r="V604" s="1"/>
      <c r="W604" s="1"/>
      <c r="X604" s="1"/>
      <c r="Y604" s="1"/>
      <c r="Z604" s="1"/>
      <c r="AA604" s="1"/>
      <c r="AB604" s="1"/>
    </row>
    <row r="605" spans="1:28" ht="11.25" customHeight="1" x14ac:dyDescent="0.25">
      <c r="A605" s="825"/>
      <c r="B605" s="16"/>
      <c r="C605" s="1"/>
      <c r="D605" s="1"/>
      <c r="E605" s="1"/>
      <c r="F605" s="1"/>
      <c r="G605" s="1"/>
      <c r="H605" s="1"/>
      <c r="I605" s="1"/>
      <c r="J605" s="1"/>
      <c r="K605" s="1"/>
      <c r="L605" s="22"/>
      <c r="M605" s="262"/>
      <c r="N605" s="1"/>
      <c r="O605" s="1"/>
      <c r="P605" s="1"/>
      <c r="Q605" s="1"/>
      <c r="R605" s="1"/>
      <c r="S605" s="1"/>
      <c r="T605" s="1"/>
      <c r="U605" s="1"/>
      <c r="V605" s="1"/>
      <c r="W605" s="1"/>
      <c r="X605" s="1"/>
      <c r="Y605" s="1"/>
      <c r="Z605" s="1"/>
      <c r="AA605" s="1"/>
      <c r="AB605" s="1"/>
    </row>
    <row r="606" spans="1:28" ht="11.25" customHeight="1" x14ac:dyDescent="0.25">
      <c r="A606" s="825"/>
      <c r="B606" s="16"/>
      <c r="C606" s="1"/>
      <c r="D606" s="1"/>
      <c r="E606" s="1"/>
      <c r="F606" s="1"/>
      <c r="G606" s="1"/>
      <c r="H606" s="1"/>
      <c r="I606" s="1"/>
      <c r="J606" s="1"/>
      <c r="K606" s="1"/>
      <c r="L606" s="22"/>
      <c r="M606" s="262"/>
      <c r="N606" s="1"/>
      <c r="O606" s="1"/>
      <c r="P606" s="1"/>
      <c r="Q606" s="1"/>
      <c r="R606" s="1"/>
      <c r="S606" s="1"/>
      <c r="T606" s="1"/>
      <c r="U606" s="1"/>
      <c r="V606" s="1"/>
      <c r="W606" s="1"/>
      <c r="X606" s="1"/>
      <c r="Y606" s="1"/>
      <c r="Z606" s="1"/>
      <c r="AA606" s="1"/>
      <c r="AB606" s="1"/>
    </row>
    <row r="607" spans="1:28" ht="11.25" customHeight="1" x14ac:dyDescent="0.25">
      <c r="A607" s="825"/>
      <c r="B607" s="16"/>
      <c r="C607" s="1"/>
      <c r="D607" s="1"/>
      <c r="E607" s="1"/>
      <c r="F607" s="1"/>
      <c r="G607" s="1"/>
      <c r="H607" s="1"/>
      <c r="I607" s="1"/>
      <c r="J607" s="1"/>
      <c r="K607" s="1"/>
      <c r="L607" s="22"/>
      <c r="M607" s="262"/>
      <c r="N607" s="1"/>
      <c r="O607" s="1"/>
      <c r="P607" s="1"/>
      <c r="Q607" s="1"/>
      <c r="R607" s="1"/>
      <c r="S607" s="1"/>
      <c r="T607" s="1"/>
      <c r="U607" s="1"/>
      <c r="V607" s="1"/>
      <c r="W607" s="1"/>
      <c r="X607" s="1"/>
      <c r="Y607" s="1"/>
      <c r="Z607" s="1"/>
      <c r="AA607" s="1"/>
      <c r="AB607" s="1"/>
    </row>
    <row r="608" spans="1:28" ht="11.25" customHeight="1" x14ac:dyDescent="0.25">
      <c r="A608" s="825"/>
      <c r="B608" s="16"/>
      <c r="C608" s="1"/>
      <c r="D608" s="1"/>
      <c r="E608" s="1"/>
      <c r="F608" s="1"/>
      <c r="G608" s="1"/>
      <c r="H608" s="1"/>
      <c r="I608" s="1"/>
      <c r="J608" s="1"/>
      <c r="K608" s="1"/>
      <c r="L608" s="22"/>
      <c r="M608" s="262"/>
      <c r="N608" s="1"/>
      <c r="O608" s="1"/>
      <c r="P608" s="1"/>
      <c r="Q608" s="1"/>
      <c r="R608" s="1"/>
      <c r="S608" s="1"/>
      <c r="T608" s="1"/>
      <c r="U608" s="1"/>
      <c r="V608" s="1"/>
      <c r="W608" s="1"/>
      <c r="X608" s="1"/>
      <c r="Y608" s="1"/>
      <c r="Z608" s="1"/>
      <c r="AA608" s="1"/>
      <c r="AB608" s="1"/>
    </row>
    <row r="609" spans="1:28" ht="11.25" customHeight="1" x14ac:dyDescent="0.25">
      <c r="A609" s="825"/>
      <c r="B609" s="16"/>
      <c r="C609" s="1"/>
      <c r="D609" s="1"/>
      <c r="E609" s="1"/>
      <c r="F609" s="1"/>
      <c r="G609" s="1"/>
      <c r="H609" s="1"/>
      <c r="I609" s="1"/>
      <c r="J609" s="1"/>
      <c r="K609" s="1"/>
      <c r="L609" s="22"/>
      <c r="M609" s="262"/>
      <c r="N609" s="1"/>
      <c r="O609" s="1"/>
      <c r="P609" s="1"/>
      <c r="Q609" s="1"/>
      <c r="R609" s="1"/>
      <c r="S609" s="1"/>
      <c r="T609" s="1"/>
      <c r="U609" s="1"/>
      <c r="V609" s="1"/>
      <c r="W609" s="1"/>
      <c r="X609" s="1"/>
      <c r="Y609" s="1"/>
      <c r="Z609" s="1"/>
      <c r="AA609" s="1"/>
      <c r="AB609" s="1"/>
    </row>
    <row r="610" spans="1:28" ht="11.25" customHeight="1" x14ac:dyDescent="0.25">
      <c r="A610" s="825"/>
      <c r="B610" s="16"/>
      <c r="C610" s="1"/>
      <c r="D610" s="1"/>
      <c r="E610" s="1"/>
      <c r="F610" s="1"/>
      <c r="G610" s="1"/>
      <c r="H610" s="1"/>
      <c r="I610" s="1"/>
      <c r="J610" s="1"/>
      <c r="K610" s="1"/>
      <c r="L610" s="22"/>
      <c r="M610" s="262"/>
      <c r="N610" s="1"/>
      <c r="O610" s="1"/>
      <c r="P610" s="1"/>
      <c r="Q610" s="1"/>
      <c r="R610" s="1"/>
      <c r="S610" s="1"/>
      <c r="T610" s="1"/>
      <c r="U610" s="1"/>
      <c r="V610" s="1"/>
      <c r="W610" s="1"/>
      <c r="X610" s="1"/>
      <c r="Y610" s="1"/>
      <c r="Z610" s="1"/>
      <c r="AA610" s="1"/>
      <c r="AB610" s="1"/>
    </row>
    <row r="611" spans="1:28" ht="11.25" customHeight="1" x14ac:dyDescent="0.25">
      <c r="A611" s="825"/>
      <c r="B611" s="16"/>
      <c r="C611" s="1"/>
      <c r="D611" s="1"/>
      <c r="E611" s="1"/>
      <c r="F611" s="1"/>
      <c r="G611" s="1"/>
      <c r="H611" s="1"/>
      <c r="I611" s="1"/>
      <c r="J611" s="1"/>
      <c r="K611" s="1"/>
      <c r="L611" s="22"/>
      <c r="M611" s="262"/>
      <c r="N611" s="1"/>
      <c r="O611" s="1"/>
      <c r="P611" s="1"/>
      <c r="Q611" s="1"/>
      <c r="R611" s="1"/>
      <c r="S611" s="1"/>
      <c r="T611" s="1"/>
      <c r="U611" s="1"/>
      <c r="V611" s="1"/>
      <c r="W611" s="1"/>
      <c r="X611" s="1"/>
      <c r="Y611" s="1"/>
      <c r="Z611" s="1"/>
      <c r="AA611" s="1"/>
      <c r="AB611" s="1"/>
    </row>
    <row r="612" spans="1:28" ht="11.25" customHeight="1" x14ac:dyDescent="0.25">
      <c r="A612" s="825"/>
      <c r="B612" s="16"/>
      <c r="C612" s="1"/>
      <c r="D612" s="1"/>
      <c r="E612" s="1"/>
      <c r="F612" s="1"/>
      <c r="G612" s="1"/>
      <c r="H612" s="1"/>
      <c r="I612" s="1"/>
      <c r="J612" s="1"/>
      <c r="K612" s="1"/>
      <c r="L612" s="22"/>
      <c r="M612" s="262"/>
      <c r="N612" s="1"/>
      <c r="O612" s="1"/>
      <c r="P612" s="1"/>
      <c r="Q612" s="1"/>
      <c r="R612" s="1"/>
      <c r="S612" s="1"/>
      <c r="T612" s="1"/>
      <c r="U612" s="1"/>
      <c r="V612" s="1"/>
      <c r="W612" s="1"/>
      <c r="X612" s="1"/>
      <c r="Y612" s="1"/>
      <c r="Z612" s="1"/>
      <c r="AA612" s="1"/>
      <c r="AB612" s="1"/>
    </row>
    <row r="613" spans="1:28" ht="11.25" customHeight="1" x14ac:dyDescent="0.25">
      <c r="A613" s="825"/>
      <c r="B613" s="16"/>
      <c r="C613" s="1"/>
      <c r="D613" s="1"/>
      <c r="E613" s="1"/>
      <c r="F613" s="1"/>
      <c r="G613" s="1"/>
      <c r="H613" s="1"/>
      <c r="I613" s="1"/>
      <c r="J613" s="1"/>
      <c r="K613" s="1"/>
      <c r="L613" s="22"/>
      <c r="M613" s="262"/>
      <c r="N613" s="1"/>
      <c r="O613" s="1"/>
      <c r="P613" s="1"/>
      <c r="Q613" s="1"/>
      <c r="R613" s="1"/>
      <c r="S613" s="1"/>
      <c r="T613" s="1"/>
      <c r="U613" s="1"/>
      <c r="V613" s="1"/>
      <c r="W613" s="1"/>
      <c r="X613" s="1"/>
      <c r="Y613" s="1"/>
      <c r="Z613" s="1"/>
      <c r="AA613" s="1"/>
      <c r="AB613" s="1"/>
    </row>
    <row r="614" spans="1:28" ht="11.25" customHeight="1" x14ac:dyDescent="0.25">
      <c r="A614" s="825"/>
      <c r="B614" s="16"/>
      <c r="C614" s="1"/>
      <c r="D614" s="1"/>
      <c r="E614" s="1"/>
      <c r="F614" s="1"/>
      <c r="G614" s="1"/>
      <c r="H614" s="1"/>
      <c r="I614" s="1"/>
      <c r="J614" s="1"/>
      <c r="K614" s="1"/>
      <c r="L614" s="22"/>
      <c r="M614" s="262"/>
      <c r="N614" s="1"/>
      <c r="O614" s="1"/>
      <c r="P614" s="1"/>
      <c r="Q614" s="1"/>
      <c r="R614" s="1"/>
      <c r="S614" s="1"/>
      <c r="T614" s="1"/>
      <c r="U614" s="1"/>
      <c r="V614" s="1"/>
      <c r="W614" s="1"/>
      <c r="X614" s="1"/>
      <c r="Y614" s="1"/>
      <c r="Z614" s="1"/>
      <c r="AA614" s="1"/>
      <c r="AB614" s="1"/>
    </row>
    <row r="615" spans="1:28" ht="11.25" customHeight="1" x14ac:dyDescent="0.25">
      <c r="A615" s="825"/>
      <c r="B615" s="16"/>
      <c r="C615" s="1"/>
      <c r="D615" s="1"/>
      <c r="E615" s="1"/>
      <c r="F615" s="1"/>
      <c r="G615" s="1"/>
      <c r="H615" s="1"/>
      <c r="I615" s="1"/>
      <c r="J615" s="1"/>
      <c r="K615" s="1"/>
      <c r="L615" s="22"/>
      <c r="M615" s="262"/>
      <c r="N615" s="1"/>
      <c r="O615" s="1"/>
      <c r="P615" s="1"/>
      <c r="Q615" s="1"/>
      <c r="R615" s="1"/>
      <c r="S615" s="1"/>
      <c r="T615" s="1"/>
      <c r="U615" s="1"/>
      <c r="V615" s="1"/>
      <c r="W615" s="1"/>
      <c r="X615" s="1"/>
      <c r="Y615" s="1"/>
      <c r="Z615" s="1"/>
      <c r="AA615" s="1"/>
      <c r="AB615" s="1"/>
    </row>
    <row r="616" spans="1:28" ht="11.25" customHeight="1" x14ac:dyDescent="0.25">
      <c r="A616" s="825"/>
      <c r="B616" s="16"/>
      <c r="C616" s="1"/>
      <c r="D616" s="1"/>
      <c r="E616" s="1"/>
      <c r="F616" s="1"/>
      <c r="G616" s="1"/>
      <c r="H616" s="1"/>
      <c r="I616" s="1"/>
      <c r="J616" s="1"/>
      <c r="K616" s="1"/>
      <c r="L616" s="22"/>
      <c r="M616" s="262"/>
      <c r="N616" s="1"/>
      <c r="O616" s="1"/>
      <c r="P616" s="1"/>
      <c r="Q616" s="1"/>
      <c r="R616" s="1"/>
      <c r="S616" s="1"/>
      <c r="T616" s="1"/>
      <c r="U616" s="1"/>
      <c r="V616" s="1"/>
      <c r="W616" s="1"/>
      <c r="X616" s="1"/>
      <c r="Y616" s="1"/>
      <c r="Z616" s="1"/>
      <c r="AA616" s="1"/>
      <c r="AB616" s="1"/>
    </row>
    <row r="617" spans="1:28" ht="11.25" customHeight="1" x14ac:dyDescent="0.25">
      <c r="A617" s="825"/>
      <c r="B617" s="16"/>
      <c r="C617" s="1"/>
      <c r="D617" s="1"/>
      <c r="E617" s="1"/>
      <c r="F617" s="1"/>
      <c r="G617" s="1"/>
      <c r="H617" s="1"/>
      <c r="I617" s="1"/>
      <c r="J617" s="1"/>
      <c r="K617" s="1"/>
      <c r="L617" s="22"/>
      <c r="M617" s="262"/>
      <c r="N617" s="1"/>
      <c r="O617" s="1"/>
      <c r="P617" s="1"/>
      <c r="Q617" s="1"/>
      <c r="R617" s="1"/>
      <c r="S617" s="1"/>
      <c r="T617" s="1"/>
      <c r="U617" s="1"/>
      <c r="V617" s="1"/>
      <c r="W617" s="1"/>
      <c r="X617" s="1"/>
      <c r="Y617" s="1"/>
      <c r="Z617" s="1"/>
      <c r="AA617" s="1"/>
      <c r="AB617" s="1"/>
    </row>
    <row r="618" spans="1:28" ht="11.25" customHeight="1" x14ac:dyDescent="0.25">
      <c r="A618" s="825"/>
      <c r="B618" s="16"/>
      <c r="C618" s="1"/>
      <c r="D618" s="1"/>
      <c r="E618" s="1"/>
      <c r="F618" s="1"/>
      <c r="G618" s="1"/>
      <c r="H618" s="1"/>
      <c r="I618" s="1"/>
      <c r="J618" s="1"/>
      <c r="K618" s="1"/>
      <c r="L618" s="22"/>
      <c r="M618" s="262"/>
      <c r="N618" s="1"/>
      <c r="O618" s="1"/>
      <c r="P618" s="1"/>
      <c r="Q618" s="1"/>
      <c r="R618" s="1"/>
      <c r="S618" s="1"/>
      <c r="T618" s="1"/>
      <c r="U618" s="1"/>
      <c r="V618" s="1"/>
      <c r="W618" s="1"/>
      <c r="X618" s="1"/>
      <c r="Y618" s="1"/>
      <c r="Z618" s="1"/>
      <c r="AA618" s="1"/>
      <c r="AB618" s="1"/>
    </row>
    <row r="619" spans="1:28" ht="11.25" customHeight="1" x14ac:dyDescent="0.25">
      <c r="A619" s="825"/>
      <c r="B619" s="16"/>
      <c r="C619" s="1"/>
      <c r="D619" s="1"/>
      <c r="E619" s="1"/>
      <c r="F619" s="1"/>
      <c r="G619" s="1"/>
      <c r="H619" s="1"/>
      <c r="I619" s="1"/>
      <c r="J619" s="1"/>
      <c r="K619" s="1"/>
      <c r="L619" s="22"/>
      <c r="M619" s="262"/>
      <c r="N619" s="1"/>
      <c r="O619" s="1"/>
      <c r="P619" s="1"/>
      <c r="Q619" s="1"/>
      <c r="R619" s="1"/>
      <c r="S619" s="1"/>
      <c r="T619" s="1"/>
      <c r="U619" s="1"/>
      <c r="V619" s="1"/>
      <c r="W619" s="1"/>
      <c r="X619" s="1"/>
      <c r="Y619" s="1"/>
      <c r="Z619" s="1"/>
      <c r="AA619" s="1"/>
      <c r="AB619" s="1"/>
    </row>
    <row r="620" spans="1:28" ht="11.25" customHeight="1" x14ac:dyDescent="0.25">
      <c r="A620" s="825"/>
      <c r="B620" s="16"/>
      <c r="C620" s="1"/>
      <c r="D620" s="1"/>
      <c r="E620" s="1"/>
      <c r="F620" s="1"/>
      <c r="G620" s="1"/>
      <c r="H620" s="1"/>
      <c r="I620" s="1"/>
      <c r="J620" s="1"/>
      <c r="K620" s="1"/>
      <c r="L620" s="22"/>
      <c r="M620" s="262"/>
      <c r="N620" s="1"/>
      <c r="O620" s="1"/>
      <c r="P620" s="1"/>
      <c r="Q620" s="1"/>
      <c r="R620" s="1"/>
      <c r="S620" s="1"/>
      <c r="T620" s="1"/>
      <c r="U620" s="1"/>
      <c r="V620" s="1"/>
      <c r="W620" s="1"/>
      <c r="X620" s="1"/>
      <c r="Y620" s="1"/>
      <c r="Z620" s="1"/>
      <c r="AA620" s="1"/>
      <c r="AB620" s="1"/>
    </row>
    <row r="621" spans="1:28" ht="11.25" customHeight="1" x14ac:dyDescent="0.25">
      <c r="A621" s="825"/>
      <c r="B621" s="16"/>
      <c r="C621" s="1"/>
      <c r="D621" s="1"/>
      <c r="E621" s="1"/>
      <c r="F621" s="1"/>
      <c r="G621" s="1"/>
      <c r="H621" s="1"/>
      <c r="I621" s="1"/>
      <c r="J621" s="1"/>
      <c r="K621" s="1"/>
      <c r="L621" s="22"/>
      <c r="M621" s="262"/>
      <c r="N621" s="1"/>
      <c r="O621" s="1"/>
      <c r="P621" s="1"/>
      <c r="Q621" s="1"/>
      <c r="R621" s="1"/>
      <c r="S621" s="1"/>
      <c r="T621" s="1"/>
      <c r="U621" s="1"/>
      <c r="V621" s="1"/>
      <c r="W621" s="1"/>
      <c r="X621" s="1"/>
      <c r="Y621" s="1"/>
      <c r="Z621" s="1"/>
      <c r="AA621" s="1"/>
      <c r="AB621" s="1"/>
    </row>
    <row r="622" spans="1:28" ht="11.25" customHeight="1" x14ac:dyDescent="0.25">
      <c r="A622" s="825"/>
      <c r="B622" s="16"/>
      <c r="C622" s="1"/>
      <c r="D622" s="1"/>
      <c r="E622" s="1"/>
      <c r="F622" s="1"/>
      <c r="G622" s="1"/>
      <c r="H622" s="1"/>
      <c r="I622" s="1"/>
      <c r="J622" s="1"/>
      <c r="K622" s="1"/>
      <c r="L622" s="22"/>
      <c r="M622" s="262"/>
      <c r="N622" s="1"/>
      <c r="O622" s="1"/>
      <c r="P622" s="1"/>
      <c r="Q622" s="1"/>
      <c r="R622" s="1"/>
      <c r="S622" s="1"/>
      <c r="T622" s="1"/>
      <c r="U622" s="1"/>
      <c r="V622" s="1"/>
      <c r="W622" s="1"/>
      <c r="X622" s="1"/>
      <c r="Y622" s="1"/>
      <c r="Z622" s="1"/>
      <c r="AA622" s="1"/>
      <c r="AB622" s="1"/>
    </row>
    <row r="623" spans="1:28" ht="11.25" customHeight="1" x14ac:dyDescent="0.25">
      <c r="A623" s="825"/>
      <c r="B623" s="16"/>
      <c r="C623" s="1"/>
      <c r="D623" s="1"/>
      <c r="E623" s="1"/>
      <c r="F623" s="1"/>
      <c r="G623" s="1"/>
      <c r="H623" s="1"/>
      <c r="I623" s="1"/>
      <c r="J623" s="1"/>
      <c r="K623" s="1"/>
      <c r="L623" s="22"/>
      <c r="M623" s="262"/>
      <c r="N623" s="1"/>
      <c r="O623" s="1"/>
      <c r="P623" s="1"/>
      <c r="Q623" s="1"/>
      <c r="R623" s="1"/>
      <c r="S623" s="1"/>
      <c r="T623" s="1"/>
      <c r="U623" s="1"/>
      <c r="V623" s="1"/>
      <c r="W623" s="1"/>
      <c r="X623" s="1"/>
      <c r="Y623" s="1"/>
      <c r="Z623" s="1"/>
      <c r="AA623" s="1"/>
      <c r="AB623" s="1"/>
    </row>
    <row r="624" spans="1:28" ht="11.25" customHeight="1" x14ac:dyDescent="0.25">
      <c r="A624" s="825"/>
      <c r="B624" s="16"/>
      <c r="C624" s="1"/>
      <c r="D624" s="1"/>
      <c r="E624" s="1"/>
      <c r="F624" s="1"/>
      <c r="G624" s="1"/>
      <c r="H624" s="1"/>
      <c r="I624" s="1"/>
      <c r="J624" s="1"/>
      <c r="K624" s="1"/>
      <c r="L624" s="22"/>
      <c r="M624" s="262"/>
      <c r="N624" s="1"/>
      <c r="O624" s="1"/>
      <c r="P624" s="1"/>
      <c r="Q624" s="1"/>
      <c r="R624" s="1"/>
      <c r="S624" s="1"/>
      <c r="T624" s="1"/>
      <c r="U624" s="1"/>
      <c r="V624" s="1"/>
      <c r="W624" s="1"/>
      <c r="X624" s="1"/>
      <c r="Y624" s="1"/>
      <c r="Z624" s="1"/>
      <c r="AA624" s="1"/>
      <c r="AB624" s="1"/>
    </row>
    <row r="625" spans="1:28" ht="11.25" customHeight="1" x14ac:dyDescent="0.25">
      <c r="A625" s="825"/>
      <c r="B625" s="16"/>
      <c r="C625" s="1"/>
      <c r="D625" s="1"/>
      <c r="E625" s="1"/>
      <c r="F625" s="1"/>
      <c r="G625" s="1"/>
      <c r="H625" s="1"/>
      <c r="I625" s="1"/>
      <c r="J625" s="1"/>
      <c r="K625" s="1"/>
      <c r="L625" s="22"/>
      <c r="M625" s="262"/>
      <c r="N625" s="1"/>
      <c r="O625" s="1"/>
      <c r="P625" s="1"/>
      <c r="Q625" s="1"/>
      <c r="R625" s="1"/>
      <c r="S625" s="1"/>
      <c r="T625" s="1"/>
      <c r="U625" s="1"/>
      <c r="V625" s="1"/>
      <c r="W625" s="1"/>
      <c r="X625" s="1"/>
      <c r="Y625" s="1"/>
      <c r="Z625" s="1"/>
      <c r="AA625" s="1"/>
      <c r="AB625" s="1"/>
    </row>
    <row r="626" spans="1:28" ht="11.25" customHeight="1" x14ac:dyDescent="0.25">
      <c r="A626" s="825"/>
      <c r="B626" s="16"/>
      <c r="C626" s="1"/>
      <c r="D626" s="1"/>
      <c r="E626" s="1"/>
      <c r="F626" s="1"/>
      <c r="G626" s="1"/>
      <c r="H626" s="1"/>
      <c r="I626" s="1"/>
      <c r="J626" s="1"/>
      <c r="K626" s="1"/>
      <c r="L626" s="22"/>
      <c r="M626" s="262"/>
      <c r="N626" s="1"/>
      <c r="O626" s="1"/>
      <c r="P626" s="1"/>
      <c r="Q626" s="1"/>
      <c r="R626" s="1"/>
      <c r="S626" s="1"/>
      <c r="T626" s="1"/>
      <c r="U626" s="1"/>
      <c r="V626" s="1"/>
      <c r="W626" s="1"/>
      <c r="X626" s="1"/>
      <c r="Y626" s="1"/>
      <c r="Z626" s="1"/>
      <c r="AA626" s="1"/>
      <c r="AB626" s="1"/>
    </row>
    <row r="627" spans="1:28" ht="11.25" customHeight="1" x14ac:dyDescent="0.25">
      <c r="A627" s="825"/>
      <c r="B627" s="16"/>
      <c r="C627" s="1"/>
      <c r="D627" s="1"/>
      <c r="E627" s="1"/>
      <c r="F627" s="1"/>
      <c r="G627" s="1"/>
      <c r="H627" s="1"/>
      <c r="I627" s="1"/>
      <c r="J627" s="1"/>
      <c r="K627" s="1"/>
      <c r="L627" s="22"/>
      <c r="M627" s="262"/>
      <c r="N627" s="1"/>
      <c r="O627" s="1"/>
      <c r="P627" s="1"/>
      <c r="Q627" s="1"/>
      <c r="R627" s="1"/>
      <c r="S627" s="1"/>
      <c r="T627" s="1"/>
      <c r="U627" s="1"/>
      <c r="V627" s="1"/>
      <c r="W627" s="1"/>
      <c r="X627" s="1"/>
      <c r="Y627" s="1"/>
      <c r="Z627" s="1"/>
      <c r="AA627" s="1"/>
      <c r="AB627" s="1"/>
    </row>
    <row r="628" spans="1:28" ht="11.25" customHeight="1" x14ac:dyDescent="0.25">
      <c r="A628" s="825"/>
      <c r="B628" s="16"/>
      <c r="C628" s="1"/>
      <c r="D628" s="1"/>
      <c r="E628" s="1"/>
      <c r="F628" s="1"/>
      <c r="G628" s="1"/>
      <c r="H628" s="1"/>
      <c r="I628" s="1"/>
      <c r="J628" s="1"/>
      <c r="K628" s="1"/>
      <c r="L628" s="22"/>
      <c r="M628" s="262"/>
      <c r="N628" s="1"/>
      <c r="O628" s="1"/>
      <c r="P628" s="1"/>
      <c r="Q628" s="1"/>
      <c r="R628" s="1"/>
      <c r="S628" s="1"/>
      <c r="T628" s="1"/>
      <c r="U628" s="1"/>
      <c r="V628" s="1"/>
      <c r="W628" s="1"/>
      <c r="X628" s="1"/>
      <c r="Y628" s="1"/>
      <c r="Z628" s="1"/>
      <c r="AA628" s="1"/>
      <c r="AB628" s="1"/>
    </row>
    <row r="629" spans="1:28" ht="11.25" customHeight="1" x14ac:dyDescent="0.25">
      <c r="A629" s="825"/>
      <c r="B629" s="16"/>
      <c r="C629" s="1"/>
      <c r="D629" s="1"/>
      <c r="E629" s="1"/>
      <c r="F629" s="1"/>
      <c r="G629" s="1"/>
      <c r="H629" s="1"/>
      <c r="I629" s="1"/>
      <c r="J629" s="1"/>
      <c r="K629" s="1"/>
      <c r="L629" s="22"/>
      <c r="M629" s="262"/>
      <c r="N629" s="1"/>
      <c r="O629" s="1"/>
      <c r="P629" s="1"/>
      <c r="Q629" s="1"/>
      <c r="R629" s="1"/>
      <c r="S629" s="1"/>
      <c r="T629" s="1"/>
      <c r="U629" s="1"/>
      <c r="V629" s="1"/>
      <c r="W629" s="1"/>
      <c r="X629" s="1"/>
      <c r="Y629" s="1"/>
      <c r="Z629" s="1"/>
      <c r="AA629" s="1"/>
      <c r="AB629" s="1"/>
    </row>
    <row r="630" spans="1:28" ht="11.25" customHeight="1" x14ac:dyDescent="0.25">
      <c r="A630" s="825"/>
      <c r="B630" s="16"/>
      <c r="C630" s="1"/>
      <c r="D630" s="1"/>
      <c r="E630" s="1"/>
      <c r="F630" s="1"/>
      <c r="G630" s="1"/>
      <c r="H630" s="1"/>
      <c r="I630" s="1"/>
      <c r="J630" s="1"/>
      <c r="K630" s="1"/>
      <c r="L630" s="22"/>
      <c r="M630" s="262"/>
      <c r="N630" s="1"/>
      <c r="O630" s="1"/>
      <c r="P630" s="1"/>
      <c r="Q630" s="1"/>
      <c r="R630" s="1"/>
      <c r="S630" s="1"/>
      <c r="T630" s="1"/>
      <c r="U630" s="1"/>
      <c r="V630" s="1"/>
      <c r="W630" s="1"/>
      <c r="X630" s="1"/>
      <c r="Y630" s="1"/>
      <c r="Z630" s="1"/>
      <c r="AA630" s="1"/>
      <c r="AB630" s="1"/>
    </row>
    <row r="631" spans="1:28" ht="11.25" customHeight="1" x14ac:dyDescent="0.25">
      <c r="A631" s="825"/>
      <c r="B631" s="16"/>
      <c r="C631" s="1"/>
      <c r="D631" s="1"/>
      <c r="E631" s="1"/>
      <c r="F631" s="1"/>
      <c r="G631" s="1"/>
      <c r="H631" s="1"/>
      <c r="I631" s="1"/>
      <c r="J631" s="1"/>
      <c r="K631" s="1"/>
      <c r="L631" s="22"/>
      <c r="M631" s="262"/>
      <c r="N631" s="1"/>
      <c r="O631" s="1"/>
      <c r="P631" s="1"/>
      <c r="Q631" s="1"/>
      <c r="R631" s="1"/>
      <c r="S631" s="1"/>
      <c r="T631" s="1"/>
      <c r="U631" s="1"/>
      <c r="V631" s="1"/>
      <c r="W631" s="1"/>
      <c r="X631" s="1"/>
      <c r="Y631" s="1"/>
      <c r="Z631" s="1"/>
      <c r="AA631" s="1"/>
      <c r="AB631" s="1"/>
    </row>
    <row r="632" spans="1:28" ht="11.25" customHeight="1" x14ac:dyDescent="0.25">
      <c r="A632" s="825"/>
      <c r="B632" s="16"/>
      <c r="C632" s="1"/>
      <c r="D632" s="1"/>
      <c r="E632" s="1"/>
      <c r="F632" s="1"/>
      <c r="G632" s="1"/>
      <c r="H632" s="1"/>
      <c r="I632" s="1"/>
      <c r="J632" s="1"/>
      <c r="K632" s="1"/>
      <c r="L632" s="22"/>
      <c r="M632" s="262"/>
      <c r="N632" s="1"/>
      <c r="O632" s="1"/>
      <c r="P632" s="1"/>
      <c r="Q632" s="1"/>
      <c r="R632" s="1"/>
      <c r="S632" s="1"/>
      <c r="T632" s="1"/>
      <c r="U632" s="1"/>
      <c r="V632" s="1"/>
      <c r="W632" s="1"/>
      <c r="X632" s="1"/>
      <c r="Y632" s="1"/>
      <c r="Z632" s="1"/>
      <c r="AA632" s="1"/>
      <c r="AB632" s="1"/>
    </row>
    <row r="633" spans="1:28" ht="11.25" customHeight="1" x14ac:dyDescent="0.25">
      <c r="A633" s="825"/>
      <c r="B633" s="16"/>
      <c r="C633" s="1"/>
      <c r="D633" s="1"/>
      <c r="E633" s="1"/>
      <c r="F633" s="1"/>
      <c r="G633" s="1"/>
      <c r="H633" s="1"/>
      <c r="I633" s="1"/>
      <c r="J633" s="1"/>
      <c r="K633" s="1"/>
      <c r="L633" s="22"/>
      <c r="M633" s="262"/>
      <c r="N633" s="1"/>
      <c r="O633" s="1"/>
      <c r="P633" s="1"/>
      <c r="Q633" s="1"/>
      <c r="R633" s="1"/>
      <c r="S633" s="1"/>
      <c r="T633" s="1"/>
      <c r="U633" s="1"/>
      <c r="V633" s="1"/>
      <c r="W633" s="1"/>
      <c r="X633" s="1"/>
      <c r="Y633" s="1"/>
      <c r="Z633" s="1"/>
      <c r="AA633" s="1"/>
      <c r="AB633" s="1"/>
    </row>
    <row r="634" spans="1:28" ht="11.25" customHeight="1" x14ac:dyDescent="0.25">
      <c r="A634" s="825"/>
      <c r="B634" s="16"/>
      <c r="C634" s="1"/>
      <c r="D634" s="1"/>
      <c r="E634" s="1"/>
      <c r="F634" s="1"/>
      <c r="G634" s="1"/>
      <c r="H634" s="1"/>
      <c r="I634" s="1"/>
      <c r="J634" s="1"/>
      <c r="K634" s="1"/>
      <c r="L634" s="22"/>
      <c r="M634" s="262"/>
      <c r="N634" s="1"/>
      <c r="O634" s="1"/>
      <c r="P634" s="1"/>
      <c r="Q634" s="1"/>
      <c r="R634" s="1"/>
      <c r="S634" s="1"/>
      <c r="T634" s="1"/>
      <c r="U634" s="1"/>
      <c r="V634" s="1"/>
      <c r="W634" s="1"/>
      <c r="X634" s="1"/>
      <c r="Y634" s="1"/>
      <c r="Z634" s="1"/>
      <c r="AA634" s="1"/>
      <c r="AB634" s="1"/>
    </row>
    <row r="635" spans="1:28" ht="11.25" customHeight="1" x14ac:dyDescent="0.25">
      <c r="A635" s="825"/>
      <c r="B635" s="16"/>
      <c r="C635" s="1"/>
      <c r="D635" s="1"/>
      <c r="E635" s="1"/>
      <c r="F635" s="1"/>
      <c r="G635" s="1"/>
      <c r="H635" s="1"/>
      <c r="I635" s="1"/>
      <c r="J635" s="1"/>
      <c r="K635" s="1"/>
      <c r="L635" s="22"/>
      <c r="M635" s="262"/>
      <c r="N635" s="1"/>
      <c r="O635" s="1"/>
      <c r="P635" s="1"/>
      <c r="Q635" s="1"/>
      <c r="R635" s="1"/>
      <c r="S635" s="1"/>
      <c r="T635" s="1"/>
      <c r="U635" s="1"/>
      <c r="V635" s="1"/>
      <c r="W635" s="1"/>
      <c r="X635" s="1"/>
      <c r="Y635" s="1"/>
      <c r="Z635" s="1"/>
      <c r="AA635" s="1"/>
      <c r="AB635" s="1"/>
    </row>
    <row r="636" spans="1:28" ht="11.25" customHeight="1" x14ac:dyDescent="0.25">
      <c r="A636" s="825"/>
      <c r="B636" s="16"/>
      <c r="C636" s="1"/>
      <c r="D636" s="1"/>
      <c r="E636" s="1"/>
      <c r="F636" s="1"/>
      <c r="G636" s="1"/>
      <c r="H636" s="1"/>
      <c r="I636" s="1"/>
      <c r="J636" s="1"/>
      <c r="K636" s="1"/>
      <c r="L636" s="22"/>
      <c r="M636" s="262"/>
      <c r="N636" s="1"/>
      <c r="O636" s="1"/>
      <c r="P636" s="1"/>
      <c r="Q636" s="1"/>
      <c r="R636" s="1"/>
      <c r="S636" s="1"/>
      <c r="T636" s="1"/>
      <c r="U636" s="1"/>
      <c r="V636" s="1"/>
      <c r="W636" s="1"/>
      <c r="X636" s="1"/>
      <c r="Y636" s="1"/>
      <c r="Z636" s="1"/>
      <c r="AA636" s="1"/>
      <c r="AB636" s="1"/>
    </row>
    <row r="637" spans="1:28" ht="11.25" customHeight="1" x14ac:dyDescent="0.25">
      <c r="A637" s="825"/>
      <c r="B637" s="16"/>
      <c r="C637" s="1"/>
      <c r="D637" s="1"/>
      <c r="E637" s="1"/>
      <c r="F637" s="1"/>
      <c r="G637" s="1"/>
      <c r="H637" s="1"/>
      <c r="I637" s="1"/>
      <c r="J637" s="1"/>
      <c r="K637" s="1"/>
      <c r="L637" s="22"/>
      <c r="M637" s="262"/>
      <c r="N637" s="1"/>
      <c r="O637" s="1"/>
      <c r="P637" s="1"/>
      <c r="Q637" s="1"/>
      <c r="R637" s="1"/>
      <c r="S637" s="1"/>
      <c r="T637" s="1"/>
      <c r="U637" s="1"/>
      <c r="V637" s="1"/>
      <c r="W637" s="1"/>
      <c r="X637" s="1"/>
      <c r="Y637" s="1"/>
      <c r="Z637" s="1"/>
      <c r="AA637" s="1"/>
      <c r="AB637" s="1"/>
    </row>
    <row r="638" spans="1:28" ht="11.25" customHeight="1" x14ac:dyDescent="0.25">
      <c r="A638" s="825"/>
      <c r="B638" s="16"/>
      <c r="C638" s="1"/>
      <c r="D638" s="1"/>
      <c r="E638" s="1"/>
      <c r="F638" s="1"/>
      <c r="G638" s="1"/>
      <c r="H638" s="1"/>
      <c r="I638" s="1"/>
      <c r="J638" s="1"/>
      <c r="K638" s="1"/>
      <c r="L638" s="22"/>
      <c r="M638" s="262"/>
      <c r="N638" s="1"/>
      <c r="O638" s="1"/>
      <c r="P638" s="1"/>
      <c r="Q638" s="1"/>
      <c r="R638" s="1"/>
      <c r="S638" s="1"/>
      <c r="T638" s="1"/>
      <c r="U638" s="1"/>
      <c r="V638" s="1"/>
      <c r="W638" s="1"/>
      <c r="X638" s="1"/>
      <c r="Y638" s="1"/>
      <c r="Z638" s="1"/>
      <c r="AA638" s="1"/>
      <c r="AB638" s="1"/>
    </row>
    <row r="639" spans="1:28" ht="11.25" customHeight="1" x14ac:dyDescent="0.25">
      <c r="A639" s="825"/>
      <c r="B639" s="16"/>
      <c r="C639" s="1"/>
      <c r="D639" s="1"/>
      <c r="E639" s="1"/>
      <c r="F639" s="1"/>
      <c r="G639" s="1"/>
      <c r="H639" s="1"/>
      <c r="I639" s="1"/>
      <c r="J639" s="1"/>
      <c r="K639" s="1"/>
      <c r="L639" s="22"/>
      <c r="M639" s="262"/>
      <c r="N639" s="1"/>
      <c r="O639" s="1"/>
      <c r="P639" s="1"/>
      <c r="Q639" s="1"/>
      <c r="R639" s="1"/>
      <c r="S639" s="1"/>
      <c r="T639" s="1"/>
      <c r="U639" s="1"/>
      <c r="V639" s="1"/>
      <c r="W639" s="1"/>
      <c r="X639" s="1"/>
      <c r="Y639" s="1"/>
      <c r="Z639" s="1"/>
      <c r="AA639" s="1"/>
      <c r="AB639" s="1"/>
    </row>
    <row r="640" spans="1:28" ht="11.25" customHeight="1" x14ac:dyDescent="0.25">
      <c r="A640" s="825"/>
      <c r="B640" s="16"/>
      <c r="C640" s="1"/>
      <c r="D640" s="1"/>
      <c r="E640" s="1"/>
      <c r="F640" s="1"/>
      <c r="G640" s="1"/>
      <c r="H640" s="1"/>
      <c r="I640" s="1"/>
      <c r="J640" s="1"/>
      <c r="K640" s="1"/>
      <c r="L640" s="22"/>
      <c r="M640" s="262"/>
      <c r="N640" s="1"/>
      <c r="O640" s="1"/>
      <c r="P640" s="1"/>
      <c r="Q640" s="1"/>
      <c r="R640" s="1"/>
      <c r="S640" s="1"/>
      <c r="T640" s="1"/>
      <c r="U640" s="1"/>
      <c r="V640" s="1"/>
      <c r="W640" s="1"/>
      <c r="X640" s="1"/>
      <c r="Y640" s="1"/>
      <c r="Z640" s="1"/>
      <c r="AA640" s="1"/>
      <c r="AB640" s="1"/>
    </row>
    <row r="641" spans="1:28" ht="11.25" customHeight="1" x14ac:dyDescent="0.25">
      <c r="A641" s="825"/>
      <c r="B641" s="16"/>
      <c r="C641" s="1"/>
      <c r="D641" s="1"/>
      <c r="E641" s="1"/>
      <c r="F641" s="1"/>
      <c r="G641" s="1"/>
      <c r="H641" s="1"/>
      <c r="I641" s="1"/>
      <c r="J641" s="1"/>
      <c r="K641" s="1"/>
      <c r="L641" s="22"/>
      <c r="M641" s="262"/>
      <c r="N641" s="1"/>
      <c r="O641" s="1"/>
      <c r="P641" s="1"/>
      <c r="Q641" s="1"/>
      <c r="R641" s="1"/>
      <c r="S641" s="1"/>
      <c r="T641" s="1"/>
      <c r="U641" s="1"/>
      <c r="V641" s="1"/>
      <c r="W641" s="1"/>
      <c r="X641" s="1"/>
      <c r="Y641" s="1"/>
      <c r="Z641" s="1"/>
      <c r="AA641" s="1"/>
      <c r="AB641" s="1"/>
    </row>
    <row r="642" spans="1:28" ht="11.25" customHeight="1" x14ac:dyDescent="0.25">
      <c r="A642" s="825"/>
      <c r="B642" s="16"/>
      <c r="C642" s="1"/>
      <c r="D642" s="1"/>
      <c r="E642" s="1"/>
      <c r="F642" s="1"/>
      <c r="G642" s="1"/>
      <c r="H642" s="1"/>
      <c r="I642" s="1"/>
      <c r="J642" s="1"/>
      <c r="K642" s="1"/>
      <c r="L642" s="22"/>
      <c r="M642" s="262"/>
      <c r="N642" s="1"/>
      <c r="O642" s="1"/>
      <c r="P642" s="1"/>
      <c r="Q642" s="1"/>
      <c r="R642" s="1"/>
      <c r="S642" s="1"/>
      <c r="T642" s="1"/>
      <c r="U642" s="1"/>
      <c r="V642" s="1"/>
      <c r="W642" s="1"/>
      <c r="X642" s="1"/>
      <c r="Y642" s="1"/>
      <c r="Z642" s="1"/>
      <c r="AA642" s="1"/>
      <c r="AB642" s="1"/>
    </row>
    <row r="643" spans="1:28" ht="11.25" customHeight="1" x14ac:dyDescent="0.25">
      <c r="A643" s="825"/>
      <c r="B643" s="16"/>
      <c r="C643" s="1"/>
      <c r="D643" s="1"/>
      <c r="E643" s="1"/>
      <c r="F643" s="1"/>
      <c r="G643" s="1"/>
      <c r="H643" s="1"/>
      <c r="I643" s="1"/>
      <c r="J643" s="1"/>
      <c r="K643" s="1"/>
      <c r="L643" s="22"/>
      <c r="M643" s="262"/>
      <c r="N643" s="1"/>
      <c r="O643" s="1"/>
      <c r="P643" s="1"/>
      <c r="Q643" s="1"/>
      <c r="R643" s="1"/>
      <c r="S643" s="1"/>
      <c r="T643" s="1"/>
      <c r="U643" s="1"/>
      <c r="V643" s="1"/>
      <c r="W643" s="1"/>
      <c r="X643" s="1"/>
      <c r="Y643" s="1"/>
      <c r="Z643" s="1"/>
      <c r="AA643" s="1"/>
      <c r="AB643" s="1"/>
    </row>
    <row r="644" spans="1:28" ht="11.25" customHeight="1" x14ac:dyDescent="0.25">
      <c r="A644" s="825"/>
      <c r="B644" s="16"/>
      <c r="C644" s="1"/>
      <c r="D644" s="1"/>
      <c r="E644" s="1"/>
      <c r="F644" s="1"/>
      <c r="G644" s="1"/>
      <c r="H644" s="1"/>
      <c r="I644" s="1"/>
      <c r="J644" s="1"/>
      <c r="K644" s="1"/>
      <c r="L644" s="22"/>
      <c r="M644" s="262"/>
      <c r="N644" s="1"/>
      <c r="O644" s="1"/>
      <c r="P644" s="1"/>
      <c r="Q644" s="1"/>
      <c r="R644" s="1"/>
      <c r="S644" s="1"/>
      <c r="T644" s="1"/>
      <c r="U644" s="1"/>
      <c r="V644" s="1"/>
      <c r="W644" s="1"/>
      <c r="X644" s="1"/>
      <c r="Y644" s="1"/>
      <c r="Z644" s="1"/>
      <c r="AA644" s="1"/>
      <c r="AB644" s="1"/>
    </row>
    <row r="645" spans="1:28" ht="11.25" customHeight="1" x14ac:dyDescent="0.25">
      <c r="A645" s="825"/>
      <c r="B645" s="16"/>
      <c r="C645" s="1"/>
      <c r="D645" s="1"/>
      <c r="E645" s="1"/>
      <c r="F645" s="1"/>
      <c r="G645" s="1"/>
      <c r="H645" s="1"/>
      <c r="I645" s="1"/>
      <c r="J645" s="1"/>
      <c r="K645" s="1"/>
      <c r="L645" s="22"/>
      <c r="M645" s="262"/>
      <c r="N645" s="1"/>
      <c r="O645" s="1"/>
      <c r="P645" s="1"/>
      <c r="Q645" s="1"/>
      <c r="R645" s="1"/>
      <c r="S645" s="1"/>
      <c r="T645" s="1"/>
      <c r="U645" s="1"/>
      <c r="V645" s="1"/>
      <c r="W645" s="1"/>
      <c r="X645" s="1"/>
      <c r="Y645" s="1"/>
      <c r="Z645" s="1"/>
      <c r="AA645" s="1"/>
      <c r="AB645" s="1"/>
    </row>
    <row r="646" spans="1:28" ht="11.25" customHeight="1" x14ac:dyDescent="0.25">
      <c r="A646" s="825"/>
      <c r="B646" s="16"/>
      <c r="C646" s="1"/>
      <c r="D646" s="1"/>
      <c r="E646" s="1"/>
      <c r="F646" s="1"/>
      <c r="G646" s="1"/>
      <c r="H646" s="1"/>
      <c r="I646" s="1"/>
      <c r="J646" s="1"/>
      <c r="K646" s="1"/>
      <c r="L646" s="22"/>
      <c r="M646" s="262"/>
      <c r="N646" s="1"/>
      <c r="O646" s="1"/>
      <c r="P646" s="1"/>
      <c r="Q646" s="1"/>
      <c r="R646" s="1"/>
      <c r="S646" s="1"/>
      <c r="T646" s="1"/>
      <c r="U646" s="1"/>
      <c r="V646" s="1"/>
      <c r="W646" s="1"/>
      <c r="X646" s="1"/>
      <c r="Y646" s="1"/>
      <c r="Z646" s="1"/>
      <c r="AA646" s="1"/>
      <c r="AB646" s="1"/>
    </row>
    <row r="647" spans="1:28" ht="11.25" customHeight="1" x14ac:dyDescent="0.25">
      <c r="A647" s="825"/>
      <c r="B647" s="16"/>
      <c r="C647" s="1"/>
      <c r="D647" s="1"/>
      <c r="E647" s="1"/>
      <c r="F647" s="1"/>
      <c r="G647" s="1"/>
      <c r="H647" s="1"/>
      <c r="I647" s="1"/>
      <c r="J647" s="1"/>
      <c r="K647" s="1"/>
      <c r="L647" s="22"/>
      <c r="M647" s="262"/>
      <c r="N647" s="1"/>
      <c r="O647" s="1"/>
      <c r="P647" s="1"/>
      <c r="Q647" s="1"/>
      <c r="R647" s="1"/>
      <c r="S647" s="1"/>
      <c r="T647" s="1"/>
      <c r="U647" s="1"/>
      <c r="V647" s="1"/>
      <c r="W647" s="1"/>
      <c r="X647" s="1"/>
      <c r="Y647" s="1"/>
      <c r="Z647" s="1"/>
      <c r="AA647" s="1"/>
      <c r="AB647" s="1"/>
    </row>
    <row r="648" spans="1:28" ht="11.25" customHeight="1" x14ac:dyDescent="0.25">
      <c r="A648" s="825"/>
      <c r="B648" s="16"/>
      <c r="C648" s="1"/>
      <c r="D648" s="1"/>
      <c r="E648" s="1"/>
      <c r="F648" s="1"/>
      <c r="G648" s="1"/>
      <c r="H648" s="1"/>
      <c r="I648" s="1"/>
      <c r="J648" s="1"/>
      <c r="K648" s="1"/>
      <c r="L648" s="22"/>
      <c r="M648" s="262"/>
      <c r="N648" s="1"/>
      <c r="O648" s="1"/>
      <c r="P648" s="1"/>
      <c r="Q648" s="1"/>
      <c r="R648" s="1"/>
      <c r="S648" s="1"/>
      <c r="T648" s="1"/>
      <c r="U648" s="1"/>
      <c r="V648" s="1"/>
      <c r="W648" s="1"/>
      <c r="X648" s="1"/>
      <c r="Y648" s="1"/>
      <c r="Z648" s="1"/>
      <c r="AA648" s="1"/>
      <c r="AB648" s="1"/>
    </row>
    <row r="649" spans="1:28" ht="11.25" customHeight="1" x14ac:dyDescent="0.25">
      <c r="A649" s="825"/>
      <c r="B649" s="16"/>
      <c r="C649" s="1"/>
      <c r="D649" s="1"/>
      <c r="E649" s="1"/>
      <c r="F649" s="1"/>
      <c r="G649" s="1"/>
      <c r="H649" s="1"/>
      <c r="I649" s="1"/>
      <c r="J649" s="1"/>
      <c r="K649" s="1"/>
      <c r="L649" s="22"/>
      <c r="M649" s="262"/>
      <c r="N649" s="1"/>
      <c r="O649" s="1"/>
      <c r="P649" s="1"/>
      <c r="Q649" s="1"/>
      <c r="R649" s="1"/>
      <c r="S649" s="1"/>
      <c r="T649" s="1"/>
      <c r="U649" s="1"/>
      <c r="V649" s="1"/>
      <c r="W649" s="1"/>
      <c r="X649" s="1"/>
      <c r="Y649" s="1"/>
      <c r="Z649" s="1"/>
      <c r="AA649" s="1"/>
      <c r="AB649" s="1"/>
    </row>
    <row r="650" spans="1:28" ht="11.25" customHeight="1" x14ac:dyDescent="0.25">
      <c r="A650" s="825"/>
      <c r="B650" s="16"/>
      <c r="C650" s="1"/>
      <c r="D650" s="1"/>
      <c r="E650" s="1"/>
      <c r="F650" s="1"/>
      <c r="G650" s="1"/>
      <c r="H650" s="1"/>
      <c r="I650" s="1"/>
      <c r="J650" s="1"/>
      <c r="K650" s="1"/>
      <c r="L650" s="22"/>
      <c r="M650" s="262"/>
      <c r="N650" s="1"/>
      <c r="O650" s="1"/>
      <c r="P650" s="1"/>
      <c r="Q650" s="1"/>
      <c r="R650" s="1"/>
      <c r="S650" s="1"/>
      <c r="T650" s="1"/>
      <c r="U650" s="1"/>
      <c r="V650" s="1"/>
      <c r="W650" s="1"/>
      <c r="X650" s="1"/>
      <c r="Y650" s="1"/>
      <c r="Z650" s="1"/>
      <c r="AA650" s="1"/>
      <c r="AB650" s="1"/>
    </row>
    <row r="651" spans="1:28" ht="11.25" customHeight="1" x14ac:dyDescent="0.25">
      <c r="A651" s="825"/>
      <c r="B651" s="16"/>
      <c r="C651" s="1"/>
      <c r="D651" s="1"/>
      <c r="E651" s="1"/>
      <c r="F651" s="1"/>
      <c r="G651" s="1"/>
      <c r="H651" s="1"/>
      <c r="I651" s="1"/>
      <c r="J651" s="1"/>
      <c r="K651" s="1"/>
      <c r="L651" s="22"/>
      <c r="M651" s="262"/>
      <c r="N651" s="1"/>
      <c r="O651" s="1"/>
      <c r="P651" s="1"/>
      <c r="Q651" s="1"/>
      <c r="R651" s="1"/>
      <c r="S651" s="1"/>
      <c r="T651" s="1"/>
      <c r="U651" s="1"/>
      <c r="V651" s="1"/>
      <c r="W651" s="1"/>
      <c r="X651" s="1"/>
      <c r="Y651" s="1"/>
      <c r="Z651" s="1"/>
      <c r="AA651" s="1"/>
      <c r="AB651" s="1"/>
    </row>
    <row r="652" spans="1:28" ht="11.25" customHeight="1" x14ac:dyDescent="0.25">
      <c r="A652" s="825"/>
      <c r="B652" s="16"/>
      <c r="C652" s="1"/>
      <c r="D652" s="1"/>
      <c r="E652" s="1"/>
      <c r="F652" s="1"/>
      <c r="G652" s="1"/>
      <c r="H652" s="1"/>
      <c r="I652" s="1"/>
      <c r="J652" s="1"/>
      <c r="K652" s="1"/>
      <c r="L652" s="22"/>
      <c r="M652" s="262"/>
      <c r="N652" s="1"/>
      <c r="O652" s="1"/>
      <c r="P652" s="1"/>
      <c r="Q652" s="1"/>
      <c r="R652" s="1"/>
      <c r="S652" s="1"/>
      <c r="T652" s="1"/>
      <c r="U652" s="1"/>
      <c r="V652" s="1"/>
      <c r="W652" s="1"/>
      <c r="X652" s="1"/>
      <c r="Y652" s="1"/>
      <c r="Z652" s="1"/>
      <c r="AA652" s="1"/>
      <c r="AB652" s="1"/>
    </row>
    <row r="653" spans="1:28" ht="11.25" customHeight="1" x14ac:dyDescent="0.25">
      <c r="A653" s="825"/>
      <c r="B653" s="16"/>
      <c r="C653" s="1"/>
      <c r="D653" s="1"/>
      <c r="E653" s="1"/>
      <c r="F653" s="1"/>
      <c r="G653" s="1"/>
      <c r="H653" s="1"/>
      <c r="I653" s="1"/>
      <c r="J653" s="1"/>
      <c r="K653" s="1"/>
      <c r="L653" s="22"/>
      <c r="M653" s="262"/>
      <c r="N653" s="1"/>
      <c r="O653" s="1"/>
      <c r="P653" s="1"/>
      <c r="Q653" s="1"/>
      <c r="R653" s="1"/>
      <c r="S653" s="1"/>
      <c r="T653" s="1"/>
      <c r="U653" s="1"/>
      <c r="V653" s="1"/>
      <c r="W653" s="1"/>
      <c r="X653" s="1"/>
      <c r="Y653" s="1"/>
      <c r="Z653" s="1"/>
      <c r="AA653" s="1"/>
      <c r="AB653" s="1"/>
    </row>
    <row r="654" spans="1:28" ht="11.25" customHeight="1" x14ac:dyDescent="0.25">
      <c r="A654" s="825"/>
      <c r="B654" s="16"/>
      <c r="C654" s="1"/>
      <c r="D654" s="1"/>
      <c r="E654" s="1"/>
      <c r="F654" s="1"/>
      <c r="G654" s="1"/>
      <c r="H654" s="1"/>
      <c r="I654" s="1"/>
      <c r="J654" s="1"/>
      <c r="K654" s="1"/>
      <c r="L654" s="22"/>
      <c r="M654" s="262"/>
      <c r="N654" s="1"/>
      <c r="O654" s="1"/>
      <c r="P654" s="1"/>
      <c r="Q654" s="1"/>
      <c r="R654" s="1"/>
      <c r="S654" s="1"/>
      <c r="T654" s="1"/>
      <c r="U654" s="1"/>
      <c r="V654" s="1"/>
      <c r="W654" s="1"/>
      <c r="X654" s="1"/>
      <c r="Y654" s="1"/>
      <c r="Z654" s="1"/>
      <c r="AA654" s="1"/>
      <c r="AB654" s="1"/>
    </row>
    <row r="655" spans="1:28" ht="11.25" customHeight="1" x14ac:dyDescent="0.25">
      <c r="A655" s="825"/>
      <c r="B655" s="16"/>
      <c r="C655" s="1"/>
      <c r="D655" s="1"/>
      <c r="E655" s="1"/>
      <c r="F655" s="1"/>
      <c r="G655" s="1"/>
      <c r="H655" s="1"/>
      <c r="I655" s="1"/>
      <c r="J655" s="1"/>
      <c r="K655" s="1"/>
      <c r="L655" s="22"/>
      <c r="M655" s="262"/>
      <c r="N655" s="1"/>
      <c r="O655" s="1"/>
      <c r="P655" s="1"/>
      <c r="Q655" s="1"/>
      <c r="R655" s="1"/>
      <c r="S655" s="1"/>
      <c r="T655" s="1"/>
      <c r="U655" s="1"/>
      <c r="V655" s="1"/>
      <c r="W655" s="1"/>
      <c r="X655" s="1"/>
      <c r="Y655" s="1"/>
      <c r="Z655" s="1"/>
      <c r="AA655" s="1"/>
      <c r="AB655" s="1"/>
    </row>
    <row r="656" spans="1:28" ht="11.25" customHeight="1" x14ac:dyDescent="0.25">
      <c r="A656" s="825"/>
      <c r="B656" s="16"/>
      <c r="C656" s="1"/>
      <c r="D656" s="1"/>
      <c r="E656" s="1"/>
      <c r="F656" s="1"/>
      <c r="G656" s="1"/>
      <c r="H656" s="1"/>
      <c r="I656" s="1"/>
      <c r="J656" s="1"/>
      <c r="K656" s="1"/>
      <c r="L656" s="22"/>
      <c r="M656" s="262"/>
      <c r="N656" s="1"/>
      <c r="O656" s="1"/>
      <c r="P656" s="1"/>
      <c r="Q656" s="1"/>
      <c r="R656" s="1"/>
      <c r="S656" s="1"/>
      <c r="T656" s="1"/>
      <c r="U656" s="1"/>
      <c r="V656" s="1"/>
      <c r="W656" s="1"/>
      <c r="X656" s="1"/>
      <c r="Y656" s="1"/>
      <c r="Z656" s="1"/>
      <c r="AA656" s="1"/>
      <c r="AB656" s="1"/>
    </row>
    <row r="657" spans="1:28" ht="11.25" customHeight="1" x14ac:dyDescent="0.25">
      <c r="A657" s="825"/>
      <c r="B657" s="16"/>
      <c r="C657" s="1"/>
      <c r="D657" s="1"/>
      <c r="E657" s="1"/>
      <c r="F657" s="1"/>
      <c r="G657" s="1"/>
      <c r="H657" s="1"/>
      <c r="I657" s="1"/>
      <c r="J657" s="1"/>
      <c r="K657" s="1"/>
      <c r="L657" s="22"/>
      <c r="M657" s="262"/>
      <c r="N657" s="1"/>
      <c r="O657" s="1"/>
      <c r="P657" s="1"/>
      <c r="Q657" s="1"/>
      <c r="R657" s="1"/>
      <c r="S657" s="1"/>
      <c r="T657" s="1"/>
      <c r="U657" s="1"/>
      <c r="V657" s="1"/>
      <c r="W657" s="1"/>
      <c r="X657" s="1"/>
      <c r="Y657" s="1"/>
      <c r="Z657" s="1"/>
      <c r="AA657" s="1"/>
      <c r="AB657" s="1"/>
    </row>
    <row r="658" spans="1:28" ht="11.25" customHeight="1" x14ac:dyDescent="0.25">
      <c r="A658" s="825"/>
      <c r="B658" s="16"/>
      <c r="C658" s="1"/>
      <c r="D658" s="1"/>
      <c r="E658" s="1"/>
      <c r="F658" s="1"/>
      <c r="G658" s="1"/>
      <c r="H658" s="1"/>
      <c r="I658" s="1"/>
      <c r="J658" s="1"/>
      <c r="K658" s="1"/>
      <c r="L658" s="22"/>
      <c r="M658" s="262"/>
      <c r="N658" s="1"/>
      <c r="O658" s="1"/>
      <c r="P658" s="1"/>
      <c r="Q658" s="1"/>
      <c r="R658" s="1"/>
      <c r="S658" s="1"/>
      <c r="T658" s="1"/>
      <c r="U658" s="1"/>
      <c r="V658" s="1"/>
      <c r="W658" s="1"/>
      <c r="X658" s="1"/>
      <c r="Y658" s="1"/>
      <c r="Z658" s="1"/>
      <c r="AA658" s="1"/>
      <c r="AB658" s="1"/>
    </row>
    <row r="659" spans="1:28" ht="11.25" customHeight="1" x14ac:dyDescent="0.25">
      <c r="A659" s="825"/>
      <c r="B659" s="16"/>
      <c r="C659" s="1"/>
      <c r="D659" s="1"/>
      <c r="E659" s="1"/>
      <c r="F659" s="1"/>
      <c r="G659" s="1"/>
      <c r="H659" s="1"/>
      <c r="I659" s="1"/>
      <c r="J659" s="1"/>
      <c r="K659" s="1"/>
      <c r="L659" s="22"/>
      <c r="M659" s="262"/>
      <c r="N659" s="1"/>
      <c r="O659" s="1"/>
      <c r="P659" s="1"/>
      <c r="Q659" s="1"/>
      <c r="R659" s="1"/>
      <c r="S659" s="1"/>
      <c r="T659" s="1"/>
      <c r="U659" s="1"/>
      <c r="V659" s="1"/>
      <c r="W659" s="1"/>
      <c r="X659" s="1"/>
      <c r="Y659" s="1"/>
      <c r="Z659" s="1"/>
      <c r="AA659" s="1"/>
      <c r="AB659" s="1"/>
    </row>
    <row r="660" spans="1:28" ht="11.25" customHeight="1" x14ac:dyDescent="0.25">
      <c r="A660" s="825"/>
      <c r="B660" s="16"/>
      <c r="C660" s="1"/>
      <c r="D660" s="1"/>
      <c r="E660" s="1"/>
      <c r="F660" s="1"/>
      <c r="G660" s="1"/>
      <c r="H660" s="1"/>
      <c r="I660" s="1"/>
      <c r="J660" s="1"/>
      <c r="K660" s="1"/>
      <c r="L660" s="22"/>
      <c r="M660" s="262"/>
      <c r="N660" s="1"/>
      <c r="O660" s="1"/>
      <c r="P660" s="1"/>
      <c r="Q660" s="1"/>
      <c r="R660" s="1"/>
      <c r="S660" s="1"/>
      <c r="T660" s="1"/>
      <c r="U660" s="1"/>
      <c r="V660" s="1"/>
      <c r="W660" s="1"/>
      <c r="X660" s="1"/>
      <c r="Y660" s="1"/>
      <c r="Z660" s="1"/>
      <c r="AA660" s="1"/>
      <c r="AB660" s="1"/>
    </row>
    <row r="661" spans="1:28" ht="11.25" customHeight="1" x14ac:dyDescent="0.25">
      <c r="A661" s="825"/>
      <c r="B661" s="16"/>
      <c r="C661" s="1"/>
      <c r="D661" s="1"/>
      <c r="E661" s="1"/>
      <c r="F661" s="1"/>
      <c r="G661" s="1"/>
      <c r="H661" s="1"/>
      <c r="I661" s="1"/>
      <c r="J661" s="1"/>
      <c r="K661" s="1"/>
      <c r="L661" s="22"/>
      <c r="M661" s="262"/>
      <c r="N661" s="1"/>
      <c r="O661" s="1"/>
      <c r="P661" s="1"/>
      <c r="Q661" s="1"/>
      <c r="R661" s="1"/>
      <c r="S661" s="1"/>
      <c r="T661" s="1"/>
      <c r="U661" s="1"/>
      <c r="V661" s="1"/>
      <c r="W661" s="1"/>
      <c r="X661" s="1"/>
      <c r="Y661" s="1"/>
      <c r="Z661" s="1"/>
      <c r="AA661" s="1"/>
      <c r="AB661" s="1"/>
    </row>
    <row r="662" spans="1:28" ht="11.25" customHeight="1" x14ac:dyDescent="0.25">
      <c r="A662" s="825"/>
      <c r="B662" s="16"/>
      <c r="C662" s="1"/>
      <c r="D662" s="1"/>
      <c r="E662" s="1"/>
      <c r="F662" s="1"/>
      <c r="G662" s="1"/>
      <c r="H662" s="1"/>
      <c r="I662" s="1"/>
      <c r="J662" s="1"/>
      <c r="K662" s="1"/>
      <c r="L662" s="22"/>
      <c r="M662" s="262"/>
      <c r="N662" s="1"/>
      <c r="O662" s="1"/>
      <c r="P662" s="1"/>
      <c r="Q662" s="1"/>
      <c r="R662" s="1"/>
      <c r="S662" s="1"/>
      <c r="T662" s="1"/>
      <c r="U662" s="1"/>
      <c r="V662" s="1"/>
      <c r="W662" s="1"/>
      <c r="X662" s="1"/>
      <c r="Y662" s="1"/>
      <c r="Z662" s="1"/>
      <c r="AA662" s="1"/>
      <c r="AB662" s="1"/>
    </row>
    <row r="663" spans="1:28" ht="11.25" customHeight="1" x14ac:dyDescent="0.25">
      <c r="A663" s="825"/>
      <c r="B663" s="16"/>
      <c r="C663" s="1"/>
      <c r="D663" s="1"/>
      <c r="E663" s="1"/>
      <c r="F663" s="1"/>
      <c r="G663" s="1"/>
      <c r="H663" s="1"/>
      <c r="I663" s="1"/>
      <c r="J663" s="1"/>
      <c r="K663" s="1"/>
      <c r="L663" s="22"/>
      <c r="M663" s="262"/>
      <c r="N663" s="1"/>
      <c r="O663" s="1"/>
      <c r="P663" s="1"/>
      <c r="Q663" s="1"/>
      <c r="R663" s="1"/>
      <c r="S663" s="1"/>
      <c r="T663" s="1"/>
      <c r="U663" s="1"/>
      <c r="V663" s="1"/>
      <c r="W663" s="1"/>
      <c r="X663" s="1"/>
      <c r="Y663" s="1"/>
      <c r="Z663" s="1"/>
      <c r="AA663" s="1"/>
      <c r="AB663" s="1"/>
    </row>
    <row r="664" spans="1:28" ht="11.25" customHeight="1" x14ac:dyDescent="0.25">
      <c r="A664" s="825"/>
      <c r="B664" s="16"/>
      <c r="C664" s="1"/>
      <c r="D664" s="1"/>
      <c r="E664" s="1"/>
      <c r="F664" s="1"/>
      <c r="G664" s="1"/>
      <c r="H664" s="1"/>
      <c r="I664" s="1"/>
      <c r="J664" s="1"/>
      <c r="K664" s="1"/>
      <c r="L664" s="22"/>
      <c r="M664" s="262"/>
      <c r="N664" s="1"/>
      <c r="O664" s="1"/>
      <c r="P664" s="1"/>
      <c r="Q664" s="1"/>
      <c r="R664" s="1"/>
      <c r="S664" s="1"/>
      <c r="T664" s="1"/>
      <c r="U664" s="1"/>
      <c r="V664" s="1"/>
      <c r="W664" s="1"/>
      <c r="X664" s="1"/>
      <c r="Y664" s="1"/>
      <c r="Z664" s="1"/>
      <c r="AA664" s="1"/>
      <c r="AB664" s="1"/>
    </row>
    <row r="665" spans="1:28" ht="11.25" customHeight="1" x14ac:dyDescent="0.25">
      <c r="A665" s="825"/>
      <c r="B665" s="16"/>
      <c r="C665" s="1"/>
      <c r="D665" s="1"/>
      <c r="E665" s="1"/>
      <c r="F665" s="1"/>
      <c r="G665" s="1"/>
      <c r="H665" s="1"/>
      <c r="I665" s="1"/>
      <c r="J665" s="1"/>
      <c r="K665" s="1"/>
      <c r="L665" s="22"/>
      <c r="M665" s="262"/>
      <c r="N665" s="1"/>
      <c r="O665" s="1"/>
      <c r="P665" s="1"/>
      <c r="Q665" s="1"/>
      <c r="R665" s="1"/>
      <c r="S665" s="1"/>
      <c r="T665" s="1"/>
      <c r="U665" s="1"/>
      <c r="V665" s="1"/>
      <c r="W665" s="1"/>
      <c r="X665" s="1"/>
      <c r="Y665" s="1"/>
      <c r="Z665" s="1"/>
      <c r="AA665" s="1"/>
      <c r="AB665" s="1"/>
    </row>
    <row r="666" spans="1:28" ht="11.25" customHeight="1" x14ac:dyDescent="0.25">
      <c r="A666" s="825"/>
      <c r="B666" s="16"/>
      <c r="C666" s="1"/>
      <c r="D666" s="1"/>
      <c r="E666" s="1"/>
      <c r="F666" s="1"/>
      <c r="G666" s="1"/>
      <c r="H666" s="1"/>
      <c r="I666" s="1"/>
      <c r="J666" s="1"/>
      <c r="K666" s="1"/>
      <c r="L666" s="22"/>
      <c r="M666" s="262"/>
      <c r="N666" s="1"/>
      <c r="O666" s="1"/>
      <c r="P666" s="1"/>
      <c r="Q666" s="1"/>
      <c r="R666" s="1"/>
      <c r="S666" s="1"/>
      <c r="T666" s="1"/>
      <c r="U666" s="1"/>
      <c r="V666" s="1"/>
      <c r="W666" s="1"/>
      <c r="X666" s="1"/>
      <c r="Y666" s="1"/>
      <c r="Z666" s="1"/>
      <c r="AA666" s="1"/>
      <c r="AB666" s="1"/>
    </row>
    <row r="667" spans="1:28" ht="11.25" customHeight="1" x14ac:dyDescent="0.25">
      <c r="A667" s="825"/>
      <c r="B667" s="16"/>
      <c r="C667" s="1"/>
      <c r="D667" s="1"/>
      <c r="E667" s="1"/>
      <c r="F667" s="1"/>
      <c r="G667" s="1"/>
      <c r="H667" s="1"/>
      <c r="I667" s="1"/>
      <c r="J667" s="1"/>
      <c r="K667" s="1"/>
      <c r="L667" s="22"/>
      <c r="M667" s="262"/>
      <c r="N667" s="1"/>
      <c r="O667" s="1"/>
      <c r="P667" s="1"/>
      <c r="Q667" s="1"/>
      <c r="R667" s="1"/>
      <c r="S667" s="1"/>
      <c r="T667" s="1"/>
      <c r="U667" s="1"/>
      <c r="V667" s="1"/>
      <c r="W667" s="1"/>
      <c r="X667" s="1"/>
      <c r="Y667" s="1"/>
      <c r="Z667" s="1"/>
      <c r="AA667" s="1"/>
      <c r="AB667" s="1"/>
    </row>
    <row r="668" spans="1:28" ht="11.25" customHeight="1" x14ac:dyDescent="0.25">
      <c r="A668" s="825"/>
      <c r="B668" s="16"/>
      <c r="C668" s="1"/>
      <c r="D668" s="1"/>
      <c r="E668" s="1"/>
      <c r="F668" s="1"/>
      <c r="G668" s="1"/>
      <c r="H668" s="1"/>
      <c r="I668" s="1"/>
      <c r="J668" s="1"/>
      <c r="K668" s="1"/>
      <c r="L668" s="22"/>
      <c r="M668" s="262"/>
      <c r="N668" s="1"/>
      <c r="O668" s="1"/>
      <c r="P668" s="1"/>
      <c r="Q668" s="1"/>
      <c r="R668" s="1"/>
      <c r="S668" s="1"/>
      <c r="T668" s="1"/>
      <c r="U668" s="1"/>
      <c r="V668" s="1"/>
      <c r="W668" s="1"/>
      <c r="X668" s="1"/>
      <c r="Y668" s="1"/>
      <c r="Z668" s="1"/>
      <c r="AA668" s="1"/>
      <c r="AB668" s="1"/>
    </row>
    <row r="669" spans="1:28" ht="11.25" customHeight="1" x14ac:dyDescent="0.25">
      <c r="A669" s="825"/>
      <c r="B669" s="16"/>
      <c r="C669" s="1"/>
      <c r="D669" s="1"/>
      <c r="E669" s="1"/>
      <c r="F669" s="1"/>
      <c r="G669" s="1"/>
      <c r="H669" s="1"/>
      <c r="I669" s="1"/>
      <c r="J669" s="1"/>
      <c r="K669" s="1"/>
      <c r="L669" s="22"/>
      <c r="M669" s="262"/>
      <c r="N669" s="1"/>
      <c r="O669" s="1"/>
      <c r="P669" s="1"/>
      <c r="Q669" s="1"/>
      <c r="R669" s="1"/>
      <c r="S669" s="1"/>
      <c r="T669" s="1"/>
      <c r="U669" s="1"/>
      <c r="V669" s="1"/>
      <c r="W669" s="1"/>
      <c r="X669" s="1"/>
      <c r="Y669" s="1"/>
      <c r="Z669" s="1"/>
      <c r="AA669" s="1"/>
      <c r="AB669" s="1"/>
    </row>
    <row r="670" spans="1:28" ht="11.25" customHeight="1" x14ac:dyDescent="0.25">
      <c r="A670" s="825"/>
      <c r="B670" s="16"/>
      <c r="C670" s="1"/>
      <c r="D670" s="1"/>
      <c r="E670" s="1"/>
      <c r="F670" s="1"/>
      <c r="G670" s="1"/>
      <c r="H670" s="1"/>
      <c r="I670" s="1"/>
      <c r="J670" s="1"/>
      <c r="K670" s="1"/>
      <c r="L670" s="22"/>
      <c r="M670" s="262"/>
      <c r="N670" s="1"/>
      <c r="O670" s="1"/>
      <c r="P670" s="1"/>
      <c r="Q670" s="1"/>
      <c r="R670" s="1"/>
      <c r="S670" s="1"/>
      <c r="T670" s="1"/>
      <c r="U670" s="1"/>
      <c r="V670" s="1"/>
      <c r="W670" s="1"/>
      <c r="X670" s="1"/>
      <c r="Y670" s="1"/>
      <c r="Z670" s="1"/>
      <c r="AA670" s="1"/>
      <c r="AB670" s="1"/>
    </row>
    <row r="671" spans="1:28" ht="11.25" customHeight="1" x14ac:dyDescent="0.25">
      <c r="A671" s="825"/>
      <c r="B671" s="16"/>
      <c r="C671" s="1"/>
      <c r="D671" s="1"/>
      <c r="E671" s="1"/>
      <c r="F671" s="1"/>
      <c r="G671" s="1"/>
      <c r="H671" s="1"/>
      <c r="I671" s="1"/>
      <c r="J671" s="1"/>
      <c r="K671" s="1"/>
      <c r="L671" s="22"/>
      <c r="M671" s="262"/>
      <c r="N671" s="1"/>
      <c r="O671" s="1"/>
      <c r="P671" s="1"/>
      <c r="Q671" s="1"/>
      <c r="R671" s="1"/>
      <c r="S671" s="1"/>
      <c r="T671" s="1"/>
      <c r="U671" s="1"/>
      <c r="V671" s="1"/>
      <c r="W671" s="1"/>
      <c r="X671" s="1"/>
      <c r="Y671" s="1"/>
      <c r="Z671" s="1"/>
      <c r="AA671" s="1"/>
      <c r="AB671" s="1"/>
    </row>
    <row r="672" spans="1:28" ht="11.25" customHeight="1" x14ac:dyDescent="0.25">
      <c r="A672" s="825"/>
      <c r="B672" s="16"/>
      <c r="C672" s="1"/>
      <c r="D672" s="1"/>
      <c r="E672" s="1"/>
      <c r="F672" s="1"/>
      <c r="G672" s="1"/>
      <c r="H672" s="1"/>
      <c r="I672" s="1"/>
      <c r="J672" s="1"/>
      <c r="K672" s="1"/>
      <c r="L672" s="22"/>
      <c r="M672" s="262"/>
      <c r="N672" s="1"/>
      <c r="O672" s="1"/>
      <c r="P672" s="1"/>
      <c r="Q672" s="1"/>
      <c r="R672" s="1"/>
      <c r="S672" s="1"/>
      <c r="T672" s="1"/>
      <c r="U672" s="1"/>
      <c r="V672" s="1"/>
      <c r="W672" s="1"/>
      <c r="X672" s="1"/>
      <c r="Y672" s="1"/>
      <c r="Z672" s="1"/>
      <c r="AA672" s="1"/>
      <c r="AB672" s="1"/>
    </row>
    <row r="673" spans="1:28" ht="11.25" customHeight="1" x14ac:dyDescent="0.25">
      <c r="A673" s="825"/>
      <c r="B673" s="16"/>
      <c r="C673" s="1"/>
      <c r="D673" s="1"/>
      <c r="E673" s="1"/>
      <c r="F673" s="1"/>
      <c r="G673" s="1"/>
      <c r="H673" s="1"/>
      <c r="I673" s="1"/>
      <c r="J673" s="1"/>
      <c r="K673" s="1"/>
      <c r="L673" s="22"/>
      <c r="M673" s="262"/>
      <c r="N673" s="1"/>
      <c r="O673" s="1"/>
      <c r="P673" s="1"/>
      <c r="Q673" s="1"/>
      <c r="R673" s="1"/>
      <c r="S673" s="1"/>
      <c r="T673" s="1"/>
      <c r="U673" s="1"/>
      <c r="V673" s="1"/>
      <c r="W673" s="1"/>
      <c r="X673" s="1"/>
      <c r="Y673" s="1"/>
      <c r="Z673" s="1"/>
      <c r="AA673" s="1"/>
      <c r="AB673" s="1"/>
    </row>
    <row r="674" spans="1:28" ht="11.25" customHeight="1" x14ac:dyDescent="0.25">
      <c r="A674" s="825"/>
      <c r="B674" s="16"/>
      <c r="C674" s="1"/>
      <c r="D674" s="1"/>
      <c r="E674" s="1"/>
      <c r="F674" s="1"/>
      <c r="G674" s="1"/>
      <c r="H674" s="1"/>
      <c r="I674" s="1"/>
      <c r="J674" s="1"/>
      <c r="K674" s="1"/>
      <c r="L674" s="22"/>
      <c r="M674" s="262"/>
      <c r="N674" s="1"/>
      <c r="O674" s="1"/>
      <c r="P674" s="1"/>
      <c r="Q674" s="1"/>
      <c r="R674" s="1"/>
      <c r="S674" s="1"/>
      <c r="T674" s="1"/>
      <c r="U674" s="1"/>
      <c r="V674" s="1"/>
      <c r="W674" s="1"/>
      <c r="X674" s="1"/>
      <c r="Y674" s="1"/>
      <c r="Z674" s="1"/>
      <c r="AA674" s="1"/>
      <c r="AB674" s="1"/>
    </row>
    <row r="675" spans="1:28" ht="11.25" customHeight="1" x14ac:dyDescent="0.25">
      <c r="A675" s="825"/>
      <c r="B675" s="16"/>
      <c r="C675" s="1"/>
      <c r="D675" s="1"/>
      <c r="E675" s="1"/>
      <c r="F675" s="1"/>
      <c r="G675" s="1"/>
      <c r="H675" s="1"/>
      <c r="I675" s="1"/>
      <c r="J675" s="1"/>
      <c r="K675" s="1"/>
      <c r="L675" s="22"/>
      <c r="M675" s="262"/>
      <c r="N675" s="1"/>
      <c r="O675" s="1"/>
      <c r="P675" s="1"/>
      <c r="Q675" s="1"/>
      <c r="R675" s="1"/>
      <c r="S675" s="1"/>
      <c r="T675" s="1"/>
      <c r="U675" s="1"/>
      <c r="V675" s="1"/>
      <c r="W675" s="1"/>
      <c r="X675" s="1"/>
      <c r="Y675" s="1"/>
      <c r="Z675" s="1"/>
      <c r="AA675" s="1"/>
      <c r="AB675" s="1"/>
    </row>
    <row r="676" spans="1:28" ht="11.25" customHeight="1" x14ac:dyDescent="0.25">
      <c r="A676" s="825"/>
      <c r="B676" s="16"/>
      <c r="C676" s="1"/>
      <c r="D676" s="1"/>
      <c r="E676" s="1"/>
      <c r="F676" s="1"/>
      <c r="G676" s="1"/>
      <c r="H676" s="1"/>
      <c r="I676" s="1"/>
      <c r="J676" s="1"/>
      <c r="K676" s="1"/>
      <c r="L676" s="22"/>
      <c r="M676" s="262"/>
      <c r="N676" s="1"/>
      <c r="O676" s="1"/>
      <c r="P676" s="1"/>
      <c r="Q676" s="1"/>
      <c r="R676" s="1"/>
      <c r="S676" s="1"/>
      <c r="T676" s="1"/>
      <c r="U676" s="1"/>
      <c r="V676" s="1"/>
      <c r="W676" s="1"/>
      <c r="X676" s="1"/>
      <c r="Y676" s="1"/>
      <c r="Z676" s="1"/>
      <c r="AA676" s="1"/>
      <c r="AB676" s="1"/>
    </row>
    <row r="677" spans="1:28" ht="11.25" customHeight="1" x14ac:dyDescent="0.25">
      <c r="A677" s="825"/>
      <c r="B677" s="16"/>
      <c r="C677" s="1"/>
      <c r="D677" s="1"/>
      <c r="E677" s="1"/>
      <c r="F677" s="1"/>
      <c r="G677" s="1"/>
      <c r="H677" s="1"/>
      <c r="I677" s="1"/>
      <c r="J677" s="1"/>
      <c r="K677" s="1"/>
      <c r="L677" s="22"/>
      <c r="M677" s="262"/>
      <c r="N677" s="1"/>
      <c r="O677" s="1"/>
      <c r="P677" s="1"/>
      <c r="Q677" s="1"/>
      <c r="R677" s="1"/>
      <c r="S677" s="1"/>
      <c r="T677" s="1"/>
      <c r="U677" s="1"/>
      <c r="V677" s="1"/>
      <c r="W677" s="1"/>
      <c r="X677" s="1"/>
      <c r="Y677" s="1"/>
      <c r="Z677" s="1"/>
      <c r="AA677" s="1"/>
      <c r="AB677" s="1"/>
    </row>
    <row r="678" spans="1:28" ht="11.25" customHeight="1" x14ac:dyDescent="0.25">
      <c r="A678" s="825"/>
      <c r="B678" s="16"/>
      <c r="C678" s="1"/>
      <c r="D678" s="1"/>
      <c r="E678" s="1"/>
      <c r="F678" s="1"/>
      <c r="G678" s="1"/>
      <c r="H678" s="1"/>
      <c r="I678" s="1"/>
      <c r="J678" s="1"/>
      <c r="K678" s="1"/>
      <c r="L678" s="22"/>
      <c r="M678" s="262"/>
      <c r="N678" s="1"/>
      <c r="O678" s="1"/>
      <c r="P678" s="1"/>
      <c r="Q678" s="1"/>
      <c r="R678" s="1"/>
      <c r="S678" s="1"/>
      <c r="T678" s="1"/>
      <c r="U678" s="1"/>
      <c r="V678" s="1"/>
      <c r="W678" s="1"/>
      <c r="X678" s="1"/>
      <c r="Y678" s="1"/>
      <c r="Z678" s="1"/>
      <c r="AA678" s="1"/>
      <c r="AB678" s="1"/>
    </row>
    <row r="679" spans="1:28" ht="11.25" customHeight="1" x14ac:dyDescent="0.25">
      <c r="A679" s="825"/>
      <c r="B679" s="16"/>
      <c r="C679" s="1"/>
      <c r="D679" s="1"/>
      <c r="E679" s="1"/>
      <c r="F679" s="1"/>
      <c r="G679" s="1"/>
      <c r="H679" s="1"/>
      <c r="I679" s="1"/>
      <c r="J679" s="1"/>
      <c r="K679" s="1"/>
      <c r="L679" s="22"/>
      <c r="M679" s="262"/>
      <c r="N679" s="1"/>
      <c r="O679" s="1"/>
      <c r="P679" s="1"/>
      <c r="Q679" s="1"/>
      <c r="R679" s="1"/>
      <c r="S679" s="1"/>
      <c r="T679" s="1"/>
      <c r="U679" s="1"/>
      <c r="V679" s="1"/>
      <c r="W679" s="1"/>
      <c r="X679" s="1"/>
      <c r="Y679" s="1"/>
      <c r="Z679" s="1"/>
      <c r="AA679" s="1"/>
      <c r="AB679" s="1"/>
    </row>
    <row r="680" spans="1:28" ht="11.25" customHeight="1" x14ac:dyDescent="0.25">
      <c r="A680" s="825"/>
      <c r="B680" s="16"/>
      <c r="C680" s="1"/>
      <c r="D680" s="1"/>
      <c r="E680" s="1"/>
      <c r="F680" s="1"/>
      <c r="G680" s="1"/>
      <c r="H680" s="1"/>
      <c r="I680" s="1"/>
      <c r="J680" s="1"/>
      <c r="K680" s="1"/>
      <c r="L680" s="22"/>
      <c r="M680" s="262"/>
      <c r="N680" s="1"/>
      <c r="O680" s="1"/>
      <c r="P680" s="1"/>
      <c r="Q680" s="1"/>
      <c r="R680" s="1"/>
      <c r="S680" s="1"/>
      <c r="T680" s="1"/>
      <c r="U680" s="1"/>
      <c r="V680" s="1"/>
      <c r="W680" s="1"/>
      <c r="X680" s="1"/>
      <c r="Y680" s="1"/>
      <c r="Z680" s="1"/>
      <c r="AA680" s="1"/>
      <c r="AB680" s="1"/>
    </row>
    <row r="681" spans="1:28" ht="11.25" customHeight="1" x14ac:dyDescent="0.25">
      <c r="A681" s="825"/>
      <c r="B681" s="16"/>
      <c r="C681" s="1"/>
      <c r="D681" s="1"/>
      <c r="E681" s="1"/>
      <c r="F681" s="1"/>
      <c r="G681" s="1"/>
      <c r="H681" s="1"/>
      <c r="I681" s="1"/>
      <c r="J681" s="1"/>
      <c r="K681" s="1"/>
      <c r="L681" s="22"/>
      <c r="M681" s="262"/>
      <c r="N681" s="1"/>
      <c r="O681" s="1"/>
      <c r="P681" s="1"/>
      <c r="Q681" s="1"/>
      <c r="R681" s="1"/>
      <c r="S681" s="1"/>
      <c r="T681" s="1"/>
      <c r="U681" s="1"/>
      <c r="V681" s="1"/>
      <c r="W681" s="1"/>
      <c r="X681" s="1"/>
      <c r="Y681" s="1"/>
      <c r="Z681" s="1"/>
      <c r="AA681" s="1"/>
      <c r="AB681" s="1"/>
    </row>
    <row r="682" spans="1:28" ht="11.25" customHeight="1" x14ac:dyDescent="0.25">
      <c r="A682" s="825"/>
      <c r="B682" s="16"/>
      <c r="C682" s="1"/>
      <c r="D682" s="1"/>
      <c r="E682" s="1"/>
      <c r="F682" s="1"/>
      <c r="G682" s="1"/>
      <c r="H682" s="1"/>
      <c r="I682" s="1"/>
      <c r="J682" s="1"/>
      <c r="K682" s="1"/>
      <c r="L682" s="22"/>
      <c r="M682" s="262"/>
      <c r="N682" s="1"/>
      <c r="O682" s="1"/>
      <c r="P682" s="1"/>
      <c r="Q682" s="1"/>
      <c r="R682" s="1"/>
      <c r="S682" s="1"/>
      <c r="T682" s="1"/>
      <c r="U682" s="1"/>
      <c r="V682" s="1"/>
      <c r="W682" s="1"/>
      <c r="X682" s="1"/>
      <c r="Y682" s="1"/>
      <c r="Z682" s="1"/>
      <c r="AA682" s="1"/>
      <c r="AB682" s="1"/>
    </row>
    <row r="683" spans="1:28" ht="11.25" customHeight="1" x14ac:dyDescent="0.25">
      <c r="A683" s="825"/>
      <c r="B683" s="16"/>
      <c r="C683" s="1"/>
      <c r="D683" s="1"/>
      <c r="E683" s="1"/>
      <c r="F683" s="1"/>
      <c r="G683" s="1"/>
      <c r="H683" s="1"/>
      <c r="I683" s="1"/>
      <c r="J683" s="1"/>
      <c r="K683" s="1"/>
      <c r="L683" s="22"/>
      <c r="M683" s="262"/>
      <c r="N683" s="1"/>
      <c r="O683" s="1"/>
      <c r="P683" s="1"/>
      <c r="Q683" s="1"/>
      <c r="R683" s="1"/>
      <c r="S683" s="1"/>
      <c r="T683" s="1"/>
      <c r="U683" s="1"/>
      <c r="V683" s="1"/>
      <c r="W683" s="1"/>
      <c r="X683" s="1"/>
      <c r="Y683" s="1"/>
      <c r="Z683" s="1"/>
      <c r="AA683" s="1"/>
      <c r="AB683" s="1"/>
    </row>
    <row r="684" spans="1:28" ht="11.25" customHeight="1" x14ac:dyDescent="0.25">
      <c r="A684" s="825"/>
      <c r="B684" s="16"/>
      <c r="C684" s="1"/>
      <c r="D684" s="1"/>
      <c r="E684" s="1"/>
      <c r="F684" s="1"/>
      <c r="G684" s="1"/>
      <c r="H684" s="1"/>
      <c r="I684" s="1"/>
      <c r="J684" s="1"/>
      <c r="K684" s="1"/>
      <c r="L684" s="22"/>
      <c r="M684" s="262"/>
      <c r="N684" s="1"/>
      <c r="O684" s="1"/>
      <c r="P684" s="1"/>
      <c r="Q684" s="1"/>
      <c r="R684" s="1"/>
      <c r="S684" s="1"/>
      <c r="T684" s="1"/>
      <c r="U684" s="1"/>
      <c r="V684" s="1"/>
      <c r="W684" s="1"/>
      <c r="X684" s="1"/>
      <c r="Y684" s="1"/>
      <c r="Z684" s="1"/>
      <c r="AA684" s="1"/>
      <c r="AB684" s="1"/>
    </row>
    <row r="685" spans="1:28" ht="11.25" customHeight="1" x14ac:dyDescent="0.25">
      <c r="A685" s="825"/>
      <c r="B685" s="16"/>
      <c r="C685" s="1"/>
      <c r="D685" s="1"/>
      <c r="E685" s="1"/>
      <c r="F685" s="1"/>
      <c r="G685" s="1"/>
      <c r="H685" s="1"/>
      <c r="I685" s="1"/>
      <c r="J685" s="1"/>
      <c r="K685" s="1"/>
      <c r="L685" s="22"/>
      <c r="M685" s="262"/>
      <c r="N685" s="1"/>
      <c r="O685" s="1"/>
      <c r="P685" s="1"/>
      <c r="Q685" s="1"/>
      <c r="R685" s="1"/>
      <c r="S685" s="1"/>
      <c r="T685" s="1"/>
      <c r="U685" s="1"/>
      <c r="V685" s="1"/>
      <c r="W685" s="1"/>
      <c r="X685" s="1"/>
      <c r="Y685" s="1"/>
      <c r="Z685" s="1"/>
      <c r="AA685" s="1"/>
      <c r="AB685" s="1"/>
    </row>
    <row r="686" spans="1:28" ht="11.25" customHeight="1" x14ac:dyDescent="0.25">
      <c r="A686" s="825"/>
      <c r="B686" s="16"/>
      <c r="C686" s="1"/>
      <c r="D686" s="1"/>
      <c r="E686" s="1"/>
      <c r="F686" s="1"/>
      <c r="G686" s="1"/>
      <c r="H686" s="1"/>
      <c r="I686" s="1"/>
      <c r="J686" s="1"/>
      <c r="K686" s="1"/>
      <c r="L686" s="22"/>
      <c r="M686" s="262"/>
      <c r="N686" s="1"/>
      <c r="O686" s="1"/>
      <c r="P686" s="1"/>
      <c r="Q686" s="1"/>
      <c r="R686" s="1"/>
      <c r="S686" s="1"/>
      <c r="T686" s="1"/>
      <c r="U686" s="1"/>
      <c r="V686" s="1"/>
      <c r="W686" s="1"/>
      <c r="X686" s="1"/>
      <c r="Y686" s="1"/>
      <c r="Z686" s="1"/>
      <c r="AA686" s="1"/>
      <c r="AB686" s="1"/>
    </row>
    <row r="687" spans="1:28" ht="11.25" customHeight="1" x14ac:dyDescent="0.25">
      <c r="A687" s="825"/>
      <c r="B687" s="16"/>
      <c r="C687" s="1"/>
      <c r="D687" s="1"/>
      <c r="E687" s="1"/>
      <c r="F687" s="1"/>
      <c r="G687" s="1"/>
      <c r="H687" s="1"/>
      <c r="I687" s="1"/>
      <c r="J687" s="1"/>
      <c r="K687" s="1"/>
      <c r="L687" s="22"/>
      <c r="M687" s="262"/>
      <c r="N687" s="1"/>
      <c r="O687" s="1"/>
      <c r="P687" s="1"/>
      <c r="Q687" s="1"/>
      <c r="R687" s="1"/>
      <c r="S687" s="1"/>
      <c r="T687" s="1"/>
      <c r="U687" s="1"/>
      <c r="V687" s="1"/>
      <c r="W687" s="1"/>
      <c r="X687" s="1"/>
      <c r="Y687" s="1"/>
      <c r="Z687" s="1"/>
      <c r="AA687" s="1"/>
      <c r="AB687" s="1"/>
    </row>
    <row r="688" spans="1:28" ht="11.25" customHeight="1" x14ac:dyDescent="0.25">
      <c r="A688" s="825"/>
      <c r="B688" s="16"/>
      <c r="C688" s="1"/>
      <c r="D688" s="1"/>
      <c r="E688" s="1"/>
      <c r="F688" s="1"/>
      <c r="G688" s="1"/>
      <c r="H688" s="1"/>
      <c r="I688" s="1"/>
      <c r="J688" s="1"/>
      <c r="K688" s="1"/>
      <c r="L688" s="22"/>
      <c r="M688" s="262"/>
      <c r="N688" s="1"/>
      <c r="O688" s="1"/>
      <c r="P688" s="1"/>
      <c r="Q688" s="1"/>
      <c r="R688" s="1"/>
      <c r="S688" s="1"/>
      <c r="T688" s="1"/>
      <c r="U688" s="1"/>
      <c r="V688" s="1"/>
      <c r="W688" s="1"/>
      <c r="X688" s="1"/>
      <c r="Y688" s="1"/>
      <c r="Z688" s="1"/>
      <c r="AA688" s="1"/>
      <c r="AB688" s="1"/>
    </row>
    <row r="689" spans="1:28" ht="11.25" customHeight="1" x14ac:dyDescent="0.25">
      <c r="A689" s="825"/>
      <c r="B689" s="16"/>
      <c r="C689" s="1"/>
      <c r="D689" s="1"/>
      <c r="E689" s="1"/>
      <c r="F689" s="1"/>
      <c r="G689" s="1"/>
      <c r="H689" s="1"/>
      <c r="I689" s="1"/>
      <c r="J689" s="1"/>
      <c r="K689" s="1"/>
      <c r="L689" s="22"/>
      <c r="M689" s="262"/>
      <c r="N689" s="1"/>
      <c r="O689" s="1"/>
      <c r="P689" s="1"/>
      <c r="Q689" s="1"/>
      <c r="R689" s="1"/>
      <c r="S689" s="1"/>
      <c r="T689" s="1"/>
      <c r="U689" s="1"/>
      <c r="V689" s="1"/>
      <c r="W689" s="1"/>
      <c r="X689" s="1"/>
      <c r="Y689" s="1"/>
      <c r="Z689" s="1"/>
      <c r="AA689" s="1"/>
      <c r="AB689" s="1"/>
    </row>
    <row r="690" spans="1:28" ht="11.25" customHeight="1" x14ac:dyDescent="0.25">
      <c r="A690" s="825"/>
      <c r="B690" s="16"/>
      <c r="C690" s="1"/>
      <c r="D690" s="1"/>
      <c r="E690" s="1"/>
      <c r="F690" s="1"/>
      <c r="G690" s="1"/>
      <c r="H690" s="1"/>
      <c r="I690" s="1"/>
      <c r="J690" s="1"/>
      <c r="K690" s="1"/>
      <c r="L690" s="22"/>
      <c r="M690" s="262"/>
      <c r="N690" s="1"/>
      <c r="O690" s="1"/>
      <c r="P690" s="1"/>
      <c r="Q690" s="1"/>
      <c r="R690" s="1"/>
      <c r="S690" s="1"/>
      <c r="T690" s="1"/>
      <c r="U690" s="1"/>
      <c r="V690" s="1"/>
      <c r="W690" s="1"/>
      <c r="X690" s="1"/>
      <c r="Y690" s="1"/>
      <c r="Z690" s="1"/>
      <c r="AA690" s="1"/>
      <c r="AB690" s="1"/>
    </row>
    <row r="691" spans="1:28" ht="11.25" customHeight="1" x14ac:dyDescent="0.25">
      <c r="A691" s="825"/>
      <c r="B691" s="16"/>
      <c r="C691" s="1"/>
      <c r="D691" s="1"/>
      <c r="E691" s="1"/>
      <c r="F691" s="1"/>
      <c r="G691" s="1"/>
      <c r="H691" s="1"/>
      <c r="I691" s="1"/>
      <c r="J691" s="1"/>
      <c r="K691" s="1"/>
      <c r="L691" s="22"/>
      <c r="M691" s="262"/>
      <c r="N691" s="1"/>
      <c r="O691" s="1"/>
      <c r="P691" s="1"/>
      <c r="Q691" s="1"/>
      <c r="R691" s="1"/>
      <c r="S691" s="1"/>
      <c r="T691" s="1"/>
      <c r="U691" s="1"/>
      <c r="V691" s="1"/>
      <c r="W691" s="1"/>
      <c r="X691" s="1"/>
      <c r="Y691" s="1"/>
      <c r="Z691" s="1"/>
      <c r="AA691" s="1"/>
      <c r="AB691" s="1"/>
    </row>
    <row r="692" spans="1:28" ht="11.25" customHeight="1" x14ac:dyDescent="0.25">
      <c r="A692" s="825"/>
      <c r="B692" s="16"/>
      <c r="C692" s="1"/>
      <c r="D692" s="1"/>
      <c r="E692" s="1"/>
      <c r="F692" s="1"/>
      <c r="G692" s="1"/>
      <c r="H692" s="1"/>
      <c r="I692" s="1"/>
      <c r="J692" s="1"/>
      <c r="K692" s="1"/>
      <c r="L692" s="22"/>
      <c r="M692" s="262"/>
      <c r="N692" s="1"/>
      <c r="O692" s="1"/>
      <c r="P692" s="1"/>
      <c r="Q692" s="1"/>
      <c r="R692" s="1"/>
      <c r="S692" s="1"/>
      <c r="T692" s="1"/>
      <c r="U692" s="1"/>
      <c r="V692" s="1"/>
      <c r="W692" s="1"/>
      <c r="X692" s="1"/>
      <c r="Y692" s="1"/>
      <c r="Z692" s="1"/>
      <c r="AA692" s="1"/>
      <c r="AB692" s="1"/>
    </row>
    <row r="693" spans="1:28" ht="11.25" customHeight="1" x14ac:dyDescent="0.25">
      <c r="A693" s="825"/>
      <c r="B693" s="16"/>
      <c r="C693" s="1"/>
      <c r="D693" s="1"/>
      <c r="E693" s="1"/>
      <c r="F693" s="1"/>
      <c r="G693" s="1"/>
      <c r="H693" s="1"/>
      <c r="I693" s="1"/>
      <c r="J693" s="1"/>
      <c r="K693" s="1"/>
      <c r="L693" s="22"/>
      <c r="M693" s="262"/>
      <c r="N693" s="1"/>
      <c r="O693" s="1"/>
      <c r="P693" s="1"/>
      <c r="Q693" s="1"/>
      <c r="R693" s="1"/>
      <c r="S693" s="1"/>
      <c r="T693" s="1"/>
      <c r="U693" s="1"/>
      <c r="V693" s="1"/>
      <c r="W693" s="1"/>
      <c r="X693" s="1"/>
      <c r="Y693" s="1"/>
      <c r="Z693" s="1"/>
      <c r="AA693" s="1"/>
      <c r="AB693" s="1"/>
    </row>
    <row r="694" spans="1:28" ht="11.25" customHeight="1" x14ac:dyDescent="0.25">
      <c r="A694" s="825"/>
      <c r="B694" s="16"/>
      <c r="C694" s="1"/>
      <c r="D694" s="1"/>
      <c r="E694" s="1"/>
      <c r="F694" s="1"/>
      <c r="G694" s="1"/>
      <c r="H694" s="1"/>
      <c r="I694" s="1"/>
      <c r="J694" s="1"/>
      <c r="K694" s="1"/>
      <c r="L694" s="22"/>
      <c r="M694" s="262"/>
      <c r="N694" s="1"/>
      <c r="O694" s="1"/>
      <c r="P694" s="1"/>
      <c r="Q694" s="1"/>
      <c r="R694" s="1"/>
      <c r="S694" s="1"/>
      <c r="T694" s="1"/>
      <c r="U694" s="1"/>
      <c r="V694" s="1"/>
      <c r="W694" s="1"/>
      <c r="X694" s="1"/>
      <c r="Y694" s="1"/>
      <c r="Z694" s="1"/>
      <c r="AA694" s="1"/>
      <c r="AB694" s="1"/>
    </row>
    <row r="695" spans="1:28" ht="11.25" customHeight="1" x14ac:dyDescent="0.25">
      <c r="A695" s="825"/>
      <c r="B695" s="16"/>
      <c r="C695" s="1"/>
      <c r="D695" s="1"/>
      <c r="E695" s="1"/>
      <c r="F695" s="1"/>
      <c r="G695" s="1"/>
      <c r="H695" s="1"/>
      <c r="I695" s="1"/>
      <c r="J695" s="1"/>
      <c r="K695" s="1"/>
      <c r="L695" s="22"/>
      <c r="M695" s="262"/>
      <c r="N695" s="1"/>
      <c r="O695" s="1"/>
      <c r="P695" s="1"/>
      <c r="Q695" s="1"/>
      <c r="R695" s="1"/>
      <c r="S695" s="1"/>
      <c r="T695" s="1"/>
      <c r="U695" s="1"/>
      <c r="V695" s="1"/>
      <c r="W695" s="1"/>
      <c r="X695" s="1"/>
      <c r="Y695" s="1"/>
      <c r="Z695" s="1"/>
      <c r="AA695" s="1"/>
      <c r="AB695" s="1"/>
    </row>
    <row r="696" spans="1:28" ht="11.25" customHeight="1" x14ac:dyDescent="0.25">
      <c r="A696" s="825"/>
      <c r="B696" s="16"/>
      <c r="C696" s="1"/>
      <c r="D696" s="1"/>
      <c r="E696" s="1"/>
      <c r="F696" s="1"/>
      <c r="G696" s="1"/>
      <c r="H696" s="1"/>
      <c r="I696" s="1"/>
      <c r="J696" s="1"/>
      <c r="K696" s="1"/>
      <c r="L696" s="22"/>
      <c r="M696" s="262"/>
      <c r="N696" s="1"/>
      <c r="O696" s="1"/>
      <c r="P696" s="1"/>
      <c r="Q696" s="1"/>
      <c r="R696" s="1"/>
      <c r="S696" s="1"/>
      <c r="T696" s="1"/>
      <c r="U696" s="1"/>
      <c r="V696" s="1"/>
      <c r="W696" s="1"/>
      <c r="X696" s="1"/>
      <c r="Y696" s="1"/>
      <c r="Z696" s="1"/>
      <c r="AA696" s="1"/>
      <c r="AB696" s="1"/>
    </row>
    <row r="697" spans="1:28" ht="11.25" customHeight="1" x14ac:dyDescent="0.25">
      <c r="A697" s="825"/>
      <c r="B697" s="16"/>
      <c r="C697" s="1"/>
      <c r="D697" s="1"/>
      <c r="E697" s="1"/>
      <c r="F697" s="1"/>
      <c r="G697" s="1"/>
      <c r="H697" s="1"/>
      <c r="I697" s="1"/>
      <c r="J697" s="1"/>
      <c r="K697" s="1"/>
      <c r="L697" s="22"/>
      <c r="M697" s="262"/>
      <c r="N697" s="1"/>
      <c r="O697" s="1"/>
      <c r="P697" s="1"/>
      <c r="Q697" s="1"/>
      <c r="R697" s="1"/>
      <c r="S697" s="1"/>
      <c r="T697" s="1"/>
      <c r="U697" s="1"/>
      <c r="V697" s="1"/>
      <c r="W697" s="1"/>
      <c r="X697" s="1"/>
      <c r="Y697" s="1"/>
      <c r="Z697" s="1"/>
      <c r="AA697" s="1"/>
      <c r="AB697" s="1"/>
    </row>
    <row r="698" spans="1:28" ht="11.25" customHeight="1" x14ac:dyDescent="0.25">
      <c r="A698" s="825"/>
      <c r="B698" s="16"/>
      <c r="C698" s="1"/>
      <c r="D698" s="1"/>
      <c r="E698" s="1"/>
      <c r="F698" s="1"/>
      <c r="G698" s="1"/>
      <c r="H698" s="1"/>
      <c r="I698" s="1"/>
      <c r="J698" s="1"/>
      <c r="K698" s="1"/>
      <c r="L698" s="22"/>
      <c r="M698" s="262"/>
      <c r="N698" s="1"/>
      <c r="O698" s="1"/>
      <c r="P698" s="1"/>
      <c r="Q698" s="1"/>
      <c r="R698" s="1"/>
      <c r="S698" s="1"/>
      <c r="T698" s="1"/>
      <c r="U698" s="1"/>
      <c r="V698" s="1"/>
      <c r="W698" s="1"/>
      <c r="X698" s="1"/>
      <c r="Y698" s="1"/>
      <c r="Z698" s="1"/>
      <c r="AA698" s="1"/>
      <c r="AB698" s="1"/>
    </row>
    <row r="699" spans="1:28" ht="11.25" customHeight="1" x14ac:dyDescent="0.25">
      <c r="A699" s="825"/>
      <c r="B699" s="16"/>
      <c r="C699" s="1"/>
      <c r="D699" s="1"/>
      <c r="E699" s="1"/>
      <c r="F699" s="1"/>
      <c r="G699" s="1"/>
      <c r="H699" s="1"/>
      <c r="I699" s="1"/>
      <c r="J699" s="1"/>
      <c r="K699" s="1"/>
      <c r="L699" s="22"/>
      <c r="M699" s="262"/>
      <c r="N699" s="1"/>
      <c r="O699" s="1"/>
      <c r="P699" s="1"/>
      <c r="Q699" s="1"/>
      <c r="R699" s="1"/>
      <c r="S699" s="1"/>
      <c r="T699" s="1"/>
      <c r="U699" s="1"/>
      <c r="V699" s="1"/>
      <c r="W699" s="1"/>
      <c r="X699" s="1"/>
      <c r="Y699" s="1"/>
      <c r="Z699" s="1"/>
      <c r="AA699" s="1"/>
      <c r="AB699" s="1"/>
    </row>
    <row r="700" spans="1:28" ht="11.25" customHeight="1" x14ac:dyDescent="0.25">
      <c r="A700" s="825"/>
      <c r="B700" s="16"/>
      <c r="C700" s="1"/>
      <c r="D700" s="1"/>
      <c r="E700" s="1"/>
      <c r="F700" s="1"/>
      <c r="G700" s="1"/>
      <c r="H700" s="1"/>
      <c r="I700" s="1"/>
      <c r="J700" s="1"/>
      <c r="K700" s="1"/>
      <c r="L700" s="22"/>
      <c r="M700" s="262"/>
      <c r="N700" s="1"/>
      <c r="O700" s="1"/>
      <c r="P700" s="1"/>
      <c r="Q700" s="1"/>
      <c r="R700" s="1"/>
      <c r="S700" s="1"/>
      <c r="T700" s="1"/>
      <c r="U700" s="1"/>
      <c r="V700" s="1"/>
      <c r="W700" s="1"/>
      <c r="X700" s="1"/>
      <c r="Y700" s="1"/>
      <c r="Z700" s="1"/>
      <c r="AA700" s="1"/>
      <c r="AB700" s="1"/>
    </row>
    <row r="701" spans="1:28" ht="11.25" customHeight="1" x14ac:dyDescent="0.25">
      <c r="A701" s="825"/>
      <c r="B701" s="16"/>
      <c r="C701" s="1"/>
      <c r="D701" s="1"/>
      <c r="E701" s="1"/>
      <c r="F701" s="1"/>
      <c r="G701" s="1"/>
      <c r="H701" s="1"/>
      <c r="I701" s="1"/>
      <c r="J701" s="1"/>
      <c r="K701" s="1"/>
      <c r="L701" s="22"/>
      <c r="M701" s="262"/>
      <c r="N701" s="1"/>
      <c r="O701" s="1"/>
      <c r="P701" s="1"/>
      <c r="Q701" s="1"/>
      <c r="R701" s="1"/>
      <c r="S701" s="1"/>
      <c r="T701" s="1"/>
      <c r="U701" s="1"/>
      <c r="V701" s="1"/>
      <c r="W701" s="1"/>
      <c r="X701" s="1"/>
      <c r="Y701" s="1"/>
      <c r="Z701" s="1"/>
      <c r="AA701" s="1"/>
      <c r="AB701" s="1"/>
    </row>
    <row r="702" spans="1:28" ht="11.25" customHeight="1" x14ac:dyDescent="0.25">
      <c r="A702" s="825"/>
      <c r="B702" s="16"/>
      <c r="C702" s="1"/>
      <c r="D702" s="1"/>
      <c r="E702" s="1"/>
      <c r="F702" s="1"/>
      <c r="G702" s="1"/>
      <c r="H702" s="1"/>
      <c r="I702" s="1"/>
      <c r="J702" s="1"/>
      <c r="K702" s="1"/>
      <c r="L702" s="22"/>
      <c r="M702" s="262"/>
      <c r="N702" s="1"/>
      <c r="O702" s="1"/>
      <c r="P702" s="1"/>
      <c r="Q702" s="1"/>
      <c r="R702" s="1"/>
      <c r="S702" s="1"/>
      <c r="T702" s="1"/>
      <c r="U702" s="1"/>
      <c r="V702" s="1"/>
      <c r="W702" s="1"/>
      <c r="X702" s="1"/>
      <c r="Y702" s="1"/>
      <c r="Z702" s="1"/>
      <c r="AA702" s="1"/>
      <c r="AB702" s="1"/>
    </row>
    <row r="703" spans="1:28" ht="11.25" customHeight="1" x14ac:dyDescent="0.25">
      <c r="A703" s="825"/>
      <c r="B703" s="16"/>
      <c r="C703" s="1"/>
      <c r="D703" s="1"/>
      <c r="E703" s="1"/>
      <c r="F703" s="1"/>
      <c r="G703" s="1"/>
      <c r="H703" s="1"/>
      <c r="I703" s="1"/>
      <c r="J703" s="1"/>
      <c r="K703" s="1"/>
      <c r="L703" s="22"/>
      <c r="M703" s="262"/>
      <c r="N703" s="1"/>
      <c r="O703" s="1"/>
      <c r="P703" s="1"/>
      <c r="Q703" s="1"/>
      <c r="R703" s="1"/>
      <c r="S703" s="1"/>
      <c r="T703" s="1"/>
      <c r="U703" s="1"/>
      <c r="V703" s="1"/>
      <c r="W703" s="1"/>
      <c r="X703" s="1"/>
      <c r="Y703" s="1"/>
      <c r="Z703" s="1"/>
      <c r="AA703" s="1"/>
      <c r="AB703" s="1"/>
    </row>
    <row r="704" spans="1:28" ht="11.25" customHeight="1" x14ac:dyDescent="0.25">
      <c r="A704" s="825"/>
      <c r="B704" s="16"/>
      <c r="C704" s="1"/>
      <c r="D704" s="1"/>
      <c r="E704" s="1"/>
      <c r="F704" s="1"/>
      <c r="G704" s="1"/>
      <c r="H704" s="1"/>
      <c r="I704" s="1"/>
      <c r="J704" s="1"/>
      <c r="K704" s="1"/>
      <c r="L704" s="22"/>
      <c r="M704" s="262"/>
      <c r="N704" s="1"/>
      <c r="O704" s="1"/>
      <c r="P704" s="1"/>
      <c r="Q704" s="1"/>
      <c r="R704" s="1"/>
      <c r="S704" s="1"/>
      <c r="T704" s="1"/>
      <c r="U704" s="1"/>
      <c r="V704" s="1"/>
      <c r="W704" s="1"/>
      <c r="X704" s="1"/>
      <c r="Y704" s="1"/>
      <c r="Z704" s="1"/>
      <c r="AA704" s="1"/>
      <c r="AB704" s="1"/>
    </row>
    <row r="705" spans="1:28" ht="11.25" customHeight="1" x14ac:dyDescent="0.25">
      <c r="A705" s="825"/>
      <c r="B705" s="16"/>
      <c r="C705" s="1"/>
      <c r="D705" s="1"/>
      <c r="E705" s="1"/>
      <c r="F705" s="1"/>
      <c r="G705" s="1"/>
      <c r="H705" s="1"/>
      <c r="I705" s="1"/>
      <c r="J705" s="1"/>
      <c r="K705" s="1"/>
      <c r="L705" s="22"/>
      <c r="M705" s="262"/>
      <c r="N705" s="1"/>
      <c r="O705" s="1"/>
      <c r="P705" s="1"/>
      <c r="Q705" s="1"/>
      <c r="R705" s="1"/>
      <c r="S705" s="1"/>
      <c r="T705" s="1"/>
      <c r="U705" s="1"/>
      <c r="V705" s="1"/>
      <c r="W705" s="1"/>
      <c r="X705" s="1"/>
      <c r="Y705" s="1"/>
      <c r="Z705" s="1"/>
      <c r="AA705" s="1"/>
      <c r="AB705" s="1"/>
    </row>
    <row r="706" spans="1:28" ht="11.25" customHeight="1" x14ac:dyDescent="0.25">
      <c r="A706" s="825"/>
      <c r="B706" s="16"/>
      <c r="C706" s="1"/>
      <c r="D706" s="1"/>
      <c r="E706" s="1"/>
      <c r="F706" s="1"/>
      <c r="G706" s="1"/>
      <c r="H706" s="1"/>
      <c r="I706" s="1"/>
      <c r="J706" s="1"/>
      <c r="K706" s="1"/>
      <c r="L706" s="22"/>
      <c r="M706" s="262"/>
      <c r="N706" s="1"/>
      <c r="O706" s="1"/>
      <c r="P706" s="1"/>
      <c r="Q706" s="1"/>
      <c r="R706" s="1"/>
      <c r="S706" s="1"/>
      <c r="T706" s="1"/>
      <c r="U706" s="1"/>
      <c r="V706" s="1"/>
      <c r="W706" s="1"/>
      <c r="X706" s="1"/>
      <c r="Y706" s="1"/>
      <c r="Z706" s="1"/>
      <c r="AA706" s="1"/>
      <c r="AB706" s="1"/>
    </row>
    <row r="707" spans="1:28" ht="11.25" customHeight="1" x14ac:dyDescent="0.25">
      <c r="A707" s="825"/>
      <c r="B707" s="16"/>
      <c r="C707" s="1"/>
      <c r="D707" s="1"/>
      <c r="E707" s="1"/>
      <c r="F707" s="1"/>
      <c r="G707" s="1"/>
      <c r="H707" s="1"/>
      <c r="I707" s="1"/>
      <c r="J707" s="1"/>
      <c r="K707" s="1"/>
      <c r="L707" s="22"/>
      <c r="M707" s="262"/>
      <c r="N707" s="1"/>
      <c r="O707" s="1"/>
      <c r="P707" s="1"/>
      <c r="Q707" s="1"/>
      <c r="R707" s="1"/>
      <c r="S707" s="1"/>
      <c r="T707" s="1"/>
      <c r="U707" s="1"/>
      <c r="V707" s="1"/>
      <c r="W707" s="1"/>
      <c r="X707" s="1"/>
      <c r="Y707" s="1"/>
      <c r="Z707" s="1"/>
      <c r="AA707" s="1"/>
      <c r="AB707" s="1"/>
    </row>
    <row r="708" spans="1:28" ht="11.25" customHeight="1" x14ac:dyDescent="0.25">
      <c r="A708" s="825"/>
      <c r="B708" s="16"/>
      <c r="C708" s="1"/>
      <c r="D708" s="1"/>
      <c r="E708" s="1"/>
      <c r="F708" s="1"/>
      <c r="G708" s="1"/>
      <c r="H708" s="1"/>
      <c r="I708" s="1"/>
      <c r="J708" s="1"/>
      <c r="K708" s="1"/>
      <c r="L708" s="22"/>
      <c r="M708" s="262"/>
      <c r="N708" s="1"/>
      <c r="O708" s="1"/>
      <c r="P708" s="1"/>
      <c r="Q708" s="1"/>
      <c r="R708" s="1"/>
      <c r="S708" s="1"/>
      <c r="T708" s="1"/>
      <c r="U708" s="1"/>
      <c r="V708" s="1"/>
      <c r="W708" s="1"/>
      <c r="X708" s="1"/>
      <c r="Y708" s="1"/>
      <c r="Z708" s="1"/>
      <c r="AA708" s="1"/>
      <c r="AB708" s="1"/>
    </row>
    <row r="709" spans="1:28" ht="11.25" customHeight="1" x14ac:dyDescent="0.25">
      <c r="A709" s="825"/>
      <c r="B709" s="16"/>
      <c r="C709" s="1"/>
      <c r="D709" s="1"/>
      <c r="E709" s="1"/>
      <c r="F709" s="1"/>
      <c r="G709" s="1"/>
      <c r="H709" s="1"/>
      <c r="I709" s="1"/>
      <c r="J709" s="1"/>
      <c r="K709" s="1"/>
      <c r="L709" s="22"/>
      <c r="M709" s="262"/>
      <c r="N709" s="1"/>
      <c r="O709" s="1"/>
      <c r="P709" s="1"/>
      <c r="Q709" s="1"/>
      <c r="R709" s="1"/>
      <c r="S709" s="1"/>
      <c r="T709" s="1"/>
      <c r="U709" s="1"/>
      <c r="V709" s="1"/>
      <c r="W709" s="1"/>
      <c r="X709" s="1"/>
      <c r="Y709" s="1"/>
      <c r="Z709" s="1"/>
      <c r="AA709" s="1"/>
      <c r="AB709" s="1"/>
    </row>
    <row r="710" spans="1:28" ht="11.25" customHeight="1" x14ac:dyDescent="0.25">
      <c r="A710" s="825"/>
      <c r="B710" s="16"/>
      <c r="C710" s="1"/>
      <c r="D710" s="1"/>
      <c r="E710" s="1"/>
      <c r="F710" s="1"/>
      <c r="G710" s="1"/>
      <c r="H710" s="1"/>
      <c r="I710" s="1"/>
      <c r="J710" s="1"/>
      <c r="K710" s="1"/>
      <c r="L710" s="22"/>
      <c r="M710" s="262"/>
      <c r="N710" s="1"/>
      <c r="O710" s="1"/>
      <c r="P710" s="1"/>
      <c r="Q710" s="1"/>
      <c r="R710" s="1"/>
      <c r="S710" s="1"/>
      <c r="T710" s="1"/>
      <c r="U710" s="1"/>
      <c r="V710" s="1"/>
      <c r="W710" s="1"/>
      <c r="X710" s="1"/>
      <c r="Y710" s="1"/>
      <c r="Z710" s="1"/>
      <c r="AA710" s="1"/>
      <c r="AB710" s="1"/>
    </row>
    <row r="711" spans="1:28" ht="11.25" customHeight="1" x14ac:dyDescent="0.25">
      <c r="A711" s="825"/>
      <c r="B711" s="16"/>
      <c r="C711" s="1"/>
      <c r="D711" s="1"/>
      <c r="E711" s="1"/>
      <c r="F711" s="1"/>
      <c r="G711" s="1"/>
      <c r="H711" s="1"/>
      <c r="I711" s="1"/>
      <c r="J711" s="1"/>
      <c r="K711" s="1"/>
      <c r="L711" s="22"/>
      <c r="M711" s="262"/>
      <c r="N711" s="1"/>
      <c r="O711" s="1"/>
      <c r="P711" s="1"/>
      <c r="Q711" s="1"/>
      <c r="R711" s="1"/>
      <c r="S711" s="1"/>
      <c r="T711" s="1"/>
      <c r="U711" s="1"/>
      <c r="V711" s="1"/>
      <c r="W711" s="1"/>
      <c r="X711" s="1"/>
      <c r="Y711" s="1"/>
      <c r="Z711" s="1"/>
      <c r="AA711" s="1"/>
      <c r="AB711" s="1"/>
    </row>
    <row r="712" spans="1:28" ht="11.25" customHeight="1" x14ac:dyDescent="0.25">
      <c r="A712" s="825"/>
      <c r="B712" s="16"/>
      <c r="C712" s="1"/>
      <c r="D712" s="1"/>
      <c r="E712" s="1"/>
      <c r="F712" s="1"/>
      <c r="G712" s="1"/>
      <c r="H712" s="1"/>
      <c r="I712" s="1"/>
      <c r="J712" s="1"/>
      <c r="K712" s="1"/>
      <c r="L712" s="22"/>
      <c r="M712" s="262"/>
      <c r="N712" s="1"/>
      <c r="O712" s="1"/>
      <c r="P712" s="1"/>
      <c r="Q712" s="1"/>
      <c r="R712" s="1"/>
      <c r="S712" s="1"/>
      <c r="T712" s="1"/>
      <c r="U712" s="1"/>
      <c r="V712" s="1"/>
      <c r="W712" s="1"/>
      <c r="X712" s="1"/>
      <c r="Y712" s="1"/>
      <c r="Z712" s="1"/>
      <c r="AA712" s="1"/>
      <c r="AB712" s="1"/>
    </row>
    <row r="713" spans="1:28" ht="11.25" customHeight="1" x14ac:dyDescent="0.25">
      <c r="A713" s="825"/>
      <c r="B713" s="16"/>
      <c r="C713" s="1"/>
      <c r="D713" s="1"/>
      <c r="E713" s="1"/>
      <c r="F713" s="1"/>
      <c r="G713" s="1"/>
      <c r="H713" s="1"/>
      <c r="I713" s="1"/>
      <c r="J713" s="1"/>
      <c r="K713" s="1"/>
      <c r="L713" s="22"/>
      <c r="M713" s="262"/>
      <c r="N713" s="1"/>
      <c r="O713" s="1"/>
      <c r="P713" s="1"/>
      <c r="Q713" s="1"/>
      <c r="R713" s="1"/>
      <c r="S713" s="1"/>
      <c r="T713" s="1"/>
      <c r="U713" s="1"/>
      <c r="V713" s="1"/>
      <c r="W713" s="1"/>
      <c r="X713" s="1"/>
      <c r="Y713" s="1"/>
      <c r="Z713" s="1"/>
      <c r="AA713" s="1"/>
      <c r="AB713" s="1"/>
    </row>
    <row r="714" spans="1:28" ht="11.25" customHeight="1" x14ac:dyDescent="0.25">
      <c r="A714" s="825"/>
      <c r="B714" s="16"/>
      <c r="C714" s="1"/>
      <c r="D714" s="1"/>
      <c r="E714" s="1"/>
      <c r="F714" s="1"/>
      <c r="G714" s="1"/>
      <c r="H714" s="1"/>
      <c r="I714" s="1"/>
      <c r="J714" s="1"/>
      <c r="K714" s="1"/>
      <c r="L714" s="22"/>
      <c r="M714" s="262"/>
      <c r="N714" s="1"/>
      <c r="O714" s="1"/>
      <c r="P714" s="1"/>
      <c r="Q714" s="1"/>
      <c r="R714" s="1"/>
      <c r="S714" s="1"/>
      <c r="T714" s="1"/>
      <c r="U714" s="1"/>
      <c r="V714" s="1"/>
      <c r="W714" s="1"/>
      <c r="X714" s="1"/>
      <c r="Y714" s="1"/>
      <c r="Z714" s="1"/>
      <c r="AA714" s="1"/>
      <c r="AB714" s="1"/>
    </row>
    <row r="715" spans="1:28" ht="11.25" customHeight="1" x14ac:dyDescent="0.25">
      <c r="A715" s="825"/>
      <c r="B715" s="16"/>
      <c r="C715" s="1"/>
      <c r="D715" s="1"/>
      <c r="E715" s="1"/>
      <c r="F715" s="1"/>
      <c r="G715" s="1"/>
      <c r="H715" s="1"/>
      <c r="I715" s="1"/>
      <c r="J715" s="1"/>
      <c r="K715" s="1"/>
      <c r="L715" s="22"/>
      <c r="M715" s="262"/>
      <c r="N715" s="1"/>
      <c r="O715" s="1"/>
      <c r="P715" s="1"/>
      <c r="Q715" s="1"/>
      <c r="R715" s="1"/>
      <c r="S715" s="1"/>
      <c r="T715" s="1"/>
      <c r="U715" s="1"/>
      <c r="V715" s="1"/>
      <c r="W715" s="1"/>
      <c r="X715" s="1"/>
      <c r="Y715" s="1"/>
      <c r="Z715" s="1"/>
      <c r="AA715" s="1"/>
      <c r="AB715" s="1"/>
    </row>
    <row r="716" spans="1:28" ht="11.25" customHeight="1" x14ac:dyDescent="0.25">
      <c r="A716" s="825"/>
      <c r="B716" s="16"/>
      <c r="C716" s="1"/>
      <c r="D716" s="1"/>
      <c r="E716" s="1"/>
      <c r="F716" s="1"/>
      <c r="G716" s="1"/>
      <c r="H716" s="1"/>
      <c r="I716" s="1"/>
      <c r="J716" s="1"/>
      <c r="K716" s="1"/>
      <c r="L716" s="22"/>
      <c r="M716" s="262"/>
      <c r="N716" s="1"/>
      <c r="O716" s="1"/>
      <c r="P716" s="1"/>
      <c r="Q716" s="1"/>
      <c r="R716" s="1"/>
      <c r="S716" s="1"/>
      <c r="T716" s="1"/>
      <c r="U716" s="1"/>
      <c r="V716" s="1"/>
      <c r="W716" s="1"/>
      <c r="X716" s="1"/>
      <c r="Y716" s="1"/>
      <c r="Z716" s="1"/>
      <c r="AA716" s="1"/>
      <c r="AB716" s="1"/>
    </row>
    <row r="717" spans="1:28" ht="11.25" customHeight="1" x14ac:dyDescent="0.25">
      <c r="A717" s="825"/>
      <c r="B717" s="16"/>
      <c r="C717" s="1"/>
      <c r="D717" s="1"/>
      <c r="E717" s="1"/>
      <c r="F717" s="1"/>
      <c r="G717" s="1"/>
      <c r="H717" s="1"/>
      <c r="I717" s="1"/>
      <c r="J717" s="1"/>
      <c r="K717" s="1"/>
      <c r="L717" s="22"/>
      <c r="M717" s="262"/>
      <c r="N717" s="1"/>
      <c r="O717" s="1"/>
      <c r="P717" s="1"/>
      <c r="Q717" s="1"/>
      <c r="R717" s="1"/>
      <c r="S717" s="1"/>
      <c r="T717" s="1"/>
      <c r="U717" s="1"/>
      <c r="V717" s="1"/>
      <c r="W717" s="1"/>
      <c r="X717" s="1"/>
      <c r="Y717" s="1"/>
      <c r="Z717" s="1"/>
      <c r="AA717" s="1"/>
      <c r="AB717" s="1"/>
    </row>
    <row r="718" spans="1:28" ht="11.25" customHeight="1" x14ac:dyDescent="0.25">
      <c r="A718" s="825"/>
      <c r="B718" s="16"/>
      <c r="C718" s="1"/>
      <c r="D718" s="1"/>
      <c r="E718" s="1"/>
      <c r="F718" s="1"/>
      <c r="G718" s="1"/>
      <c r="H718" s="1"/>
      <c r="I718" s="1"/>
      <c r="J718" s="1"/>
      <c r="K718" s="1"/>
      <c r="L718" s="22"/>
      <c r="M718" s="262"/>
      <c r="N718" s="1"/>
      <c r="O718" s="1"/>
      <c r="P718" s="1"/>
      <c r="Q718" s="1"/>
      <c r="R718" s="1"/>
      <c r="S718" s="1"/>
      <c r="T718" s="1"/>
      <c r="U718" s="1"/>
      <c r="V718" s="1"/>
      <c r="W718" s="1"/>
      <c r="X718" s="1"/>
      <c r="Y718" s="1"/>
      <c r="Z718" s="1"/>
      <c r="AA718" s="1"/>
      <c r="AB718" s="1"/>
    </row>
    <row r="719" spans="1:28" ht="11.25" customHeight="1" x14ac:dyDescent="0.25">
      <c r="A719" s="825"/>
      <c r="B719" s="16"/>
      <c r="C719" s="1"/>
      <c r="D719" s="1"/>
      <c r="E719" s="1"/>
      <c r="F719" s="1"/>
      <c r="G719" s="1"/>
      <c r="H719" s="1"/>
      <c r="I719" s="1"/>
      <c r="J719" s="1"/>
      <c r="K719" s="1"/>
      <c r="L719" s="22"/>
      <c r="M719" s="262"/>
      <c r="N719" s="1"/>
      <c r="O719" s="1"/>
      <c r="P719" s="1"/>
      <c r="Q719" s="1"/>
      <c r="R719" s="1"/>
      <c r="S719" s="1"/>
      <c r="T719" s="1"/>
      <c r="U719" s="1"/>
      <c r="V719" s="1"/>
      <c r="W719" s="1"/>
      <c r="X719" s="1"/>
      <c r="Y719" s="1"/>
      <c r="Z719" s="1"/>
      <c r="AA719" s="1"/>
      <c r="AB719" s="1"/>
    </row>
    <row r="720" spans="1:28" ht="11.25" customHeight="1" x14ac:dyDescent="0.25">
      <c r="A720" s="825"/>
      <c r="B720" s="16"/>
      <c r="C720" s="1"/>
      <c r="D720" s="1"/>
      <c r="E720" s="1"/>
      <c r="F720" s="1"/>
      <c r="G720" s="1"/>
      <c r="H720" s="1"/>
      <c r="I720" s="1"/>
      <c r="J720" s="1"/>
      <c r="K720" s="1"/>
      <c r="L720" s="22"/>
      <c r="M720" s="262"/>
      <c r="N720" s="1"/>
      <c r="O720" s="1"/>
      <c r="P720" s="1"/>
      <c r="Q720" s="1"/>
      <c r="R720" s="1"/>
      <c r="S720" s="1"/>
      <c r="T720" s="1"/>
      <c r="U720" s="1"/>
      <c r="V720" s="1"/>
      <c r="W720" s="1"/>
      <c r="X720" s="1"/>
      <c r="Y720" s="1"/>
      <c r="Z720" s="1"/>
      <c r="AA720" s="1"/>
      <c r="AB720" s="1"/>
    </row>
    <row r="721" spans="1:28" ht="11.25" customHeight="1" x14ac:dyDescent="0.25">
      <c r="A721" s="825"/>
      <c r="B721" s="16"/>
      <c r="C721" s="1"/>
      <c r="D721" s="1"/>
      <c r="E721" s="1"/>
      <c r="F721" s="1"/>
      <c r="G721" s="1"/>
      <c r="H721" s="1"/>
      <c r="I721" s="1"/>
      <c r="J721" s="1"/>
      <c r="K721" s="1"/>
      <c r="L721" s="22"/>
      <c r="M721" s="262"/>
      <c r="N721" s="1"/>
      <c r="O721" s="1"/>
      <c r="P721" s="1"/>
      <c r="Q721" s="1"/>
      <c r="R721" s="1"/>
      <c r="S721" s="1"/>
      <c r="T721" s="1"/>
      <c r="U721" s="1"/>
      <c r="V721" s="1"/>
      <c r="W721" s="1"/>
      <c r="X721" s="1"/>
      <c r="Y721" s="1"/>
      <c r="Z721" s="1"/>
      <c r="AA721" s="1"/>
      <c r="AB721" s="1"/>
    </row>
    <row r="722" spans="1:28" ht="11.25" customHeight="1" x14ac:dyDescent="0.25">
      <c r="A722" s="825"/>
      <c r="B722" s="16"/>
      <c r="C722" s="1"/>
      <c r="D722" s="1"/>
      <c r="E722" s="1"/>
      <c r="F722" s="1"/>
      <c r="G722" s="1"/>
      <c r="H722" s="1"/>
      <c r="I722" s="1"/>
      <c r="J722" s="1"/>
      <c r="K722" s="1"/>
      <c r="L722" s="22"/>
      <c r="M722" s="262"/>
      <c r="N722" s="1"/>
      <c r="O722" s="1"/>
      <c r="P722" s="1"/>
      <c r="Q722" s="1"/>
      <c r="R722" s="1"/>
      <c r="S722" s="1"/>
      <c r="T722" s="1"/>
      <c r="U722" s="1"/>
      <c r="V722" s="1"/>
      <c r="W722" s="1"/>
      <c r="X722" s="1"/>
      <c r="Y722" s="1"/>
      <c r="Z722" s="1"/>
      <c r="AA722" s="1"/>
      <c r="AB722" s="1"/>
    </row>
    <row r="723" spans="1:28" ht="11.25" customHeight="1" x14ac:dyDescent="0.25">
      <c r="A723" s="825"/>
      <c r="B723" s="16"/>
      <c r="C723" s="1"/>
      <c r="D723" s="1"/>
      <c r="E723" s="1"/>
      <c r="F723" s="1"/>
      <c r="G723" s="1"/>
      <c r="H723" s="1"/>
      <c r="I723" s="1"/>
      <c r="J723" s="1"/>
      <c r="K723" s="1"/>
      <c r="L723" s="22"/>
      <c r="M723" s="262"/>
      <c r="N723" s="1"/>
      <c r="O723" s="1"/>
      <c r="P723" s="1"/>
      <c r="Q723" s="1"/>
      <c r="R723" s="1"/>
      <c r="S723" s="1"/>
      <c r="T723" s="1"/>
      <c r="U723" s="1"/>
      <c r="V723" s="1"/>
      <c r="W723" s="1"/>
      <c r="X723" s="1"/>
      <c r="Y723" s="1"/>
      <c r="Z723" s="1"/>
      <c r="AA723" s="1"/>
      <c r="AB723" s="1"/>
    </row>
    <row r="724" spans="1:28" ht="11.25" customHeight="1" x14ac:dyDescent="0.25">
      <c r="A724" s="825"/>
      <c r="B724" s="16"/>
      <c r="C724" s="1"/>
      <c r="D724" s="1"/>
      <c r="E724" s="1"/>
      <c r="F724" s="1"/>
      <c r="G724" s="1"/>
      <c r="H724" s="1"/>
      <c r="I724" s="1"/>
      <c r="J724" s="1"/>
      <c r="K724" s="1"/>
      <c r="L724" s="22"/>
      <c r="M724" s="262"/>
      <c r="N724" s="1"/>
      <c r="O724" s="1"/>
      <c r="P724" s="1"/>
      <c r="Q724" s="1"/>
      <c r="R724" s="1"/>
      <c r="S724" s="1"/>
      <c r="T724" s="1"/>
      <c r="U724" s="1"/>
      <c r="V724" s="1"/>
      <c r="W724" s="1"/>
      <c r="X724" s="1"/>
      <c r="Y724" s="1"/>
      <c r="Z724" s="1"/>
      <c r="AA724" s="1"/>
      <c r="AB724" s="1"/>
    </row>
    <row r="725" spans="1:28" ht="11.25" customHeight="1" x14ac:dyDescent="0.25">
      <c r="A725" s="825"/>
      <c r="B725" s="16"/>
      <c r="C725" s="1"/>
      <c r="D725" s="1"/>
      <c r="E725" s="1"/>
      <c r="F725" s="1"/>
      <c r="G725" s="1"/>
      <c r="H725" s="1"/>
      <c r="I725" s="1"/>
      <c r="J725" s="1"/>
      <c r="K725" s="1"/>
      <c r="L725" s="22"/>
      <c r="M725" s="262"/>
      <c r="N725" s="1"/>
      <c r="O725" s="1"/>
      <c r="P725" s="1"/>
      <c r="Q725" s="1"/>
      <c r="R725" s="1"/>
      <c r="S725" s="1"/>
      <c r="T725" s="1"/>
      <c r="U725" s="1"/>
      <c r="V725" s="1"/>
      <c r="W725" s="1"/>
      <c r="X725" s="1"/>
      <c r="Y725" s="1"/>
      <c r="Z725" s="1"/>
      <c r="AA725" s="1"/>
      <c r="AB725" s="1"/>
    </row>
    <row r="726" spans="1:28" ht="11.25" customHeight="1" x14ac:dyDescent="0.25">
      <c r="A726" s="825"/>
      <c r="B726" s="16"/>
      <c r="C726" s="1"/>
      <c r="D726" s="1"/>
      <c r="E726" s="1"/>
      <c r="F726" s="1"/>
      <c r="G726" s="1"/>
      <c r="H726" s="1"/>
      <c r="I726" s="1"/>
      <c r="J726" s="1"/>
      <c r="K726" s="1"/>
      <c r="L726" s="22"/>
      <c r="M726" s="262"/>
      <c r="N726" s="1"/>
      <c r="O726" s="1"/>
      <c r="P726" s="1"/>
      <c r="Q726" s="1"/>
      <c r="R726" s="1"/>
      <c r="S726" s="1"/>
      <c r="T726" s="1"/>
      <c r="U726" s="1"/>
      <c r="V726" s="1"/>
      <c r="W726" s="1"/>
      <c r="X726" s="1"/>
      <c r="Y726" s="1"/>
      <c r="Z726" s="1"/>
      <c r="AA726" s="1"/>
      <c r="AB726" s="1"/>
    </row>
    <row r="727" spans="1:28" ht="11.25" customHeight="1" x14ac:dyDescent="0.25">
      <c r="A727" s="825"/>
      <c r="B727" s="16"/>
      <c r="C727" s="1"/>
      <c r="D727" s="1"/>
      <c r="E727" s="1"/>
      <c r="F727" s="1"/>
      <c r="G727" s="1"/>
      <c r="H727" s="1"/>
      <c r="I727" s="1"/>
      <c r="J727" s="1"/>
      <c r="K727" s="1"/>
      <c r="L727" s="22"/>
      <c r="M727" s="262"/>
      <c r="N727" s="1"/>
      <c r="O727" s="1"/>
      <c r="P727" s="1"/>
      <c r="Q727" s="1"/>
      <c r="R727" s="1"/>
      <c r="S727" s="1"/>
      <c r="T727" s="1"/>
      <c r="U727" s="1"/>
      <c r="V727" s="1"/>
      <c r="W727" s="1"/>
      <c r="X727" s="1"/>
      <c r="Y727" s="1"/>
      <c r="Z727" s="1"/>
      <c r="AA727" s="1"/>
      <c r="AB727" s="1"/>
    </row>
    <row r="728" spans="1:28" ht="11.25" customHeight="1" x14ac:dyDescent="0.25">
      <c r="A728" s="825"/>
      <c r="B728" s="16"/>
      <c r="C728" s="1"/>
      <c r="D728" s="1"/>
      <c r="E728" s="1"/>
      <c r="F728" s="1"/>
      <c r="G728" s="1"/>
      <c r="H728" s="1"/>
      <c r="I728" s="1"/>
      <c r="J728" s="1"/>
      <c r="K728" s="1"/>
      <c r="L728" s="22"/>
      <c r="M728" s="262"/>
      <c r="N728" s="1"/>
      <c r="O728" s="1"/>
      <c r="P728" s="1"/>
      <c r="Q728" s="1"/>
      <c r="R728" s="1"/>
      <c r="S728" s="1"/>
      <c r="T728" s="1"/>
      <c r="U728" s="1"/>
      <c r="V728" s="1"/>
      <c r="W728" s="1"/>
      <c r="X728" s="1"/>
      <c r="Y728" s="1"/>
      <c r="Z728" s="1"/>
      <c r="AA728" s="1"/>
      <c r="AB728" s="1"/>
    </row>
    <row r="729" spans="1:28" ht="11.25" customHeight="1" x14ac:dyDescent="0.25">
      <c r="A729" s="825"/>
      <c r="B729" s="16"/>
      <c r="C729" s="1"/>
      <c r="D729" s="1"/>
      <c r="E729" s="1"/>
      <c r="F729" s="1"/>
      <c r="G729" s="1"/>
      <c r="H729" s="1"/>
      <c r="I729" s="1"/>
      <c r="J729" s="1"/>
      <c r="K729" s="1"/>
      <c r="L729" s="22"/>
      <c r="M729" s="262"/>
      <c r="N729" s="1"/>
      <c r="O729" s="1"/>
      <c r="P729" s="1"/>
      <c r="Q729" s="1"/>
      <c r="R729" s="1"/>
      <c r="S729" s="1"/>
      <c r="T729" s="1"/>
      <c r="U729" s="1"/>
      <c r="V729" s="1"/>
      <c r="W729" s="1"/>
      <c r="X729" s="1"/>
      <c r="Y729" s="1"/>
      <c r="Z729" s="1"/>
      <c r="AA729" s="1"/>
      <c r="AB729" s="1"/>
    </row>
    <row r="730" spans="1:28" ht="11.25" customHeight="1" x14ac:dyDescent="0.25">
      <c r="A730" s="825"/>
      <c r="B730" s="16"/>
      <c r="C730" s="1"/>
      <c r="D730" s="1"/>
      <c r="E730" s="1"/>
      <c r="F730" s="1"/>
      <c r="G730" s="1"/>
      <c r="H730" s="1"/>
      <c r="I730" s="1"/>
      <c r="J730" s="1"/>
      <c r="K730" s="1"/>
      <c r="L730" s="22"/>
      <c r="M730" s="262"/>
      <c r="N730" s="1"/>
      <c r="O730" s="1"/>
      <c r="P730" s="1"/>
      <c r="Q730" s="1"/>
      <c r="R730" s="1"/>
      <c r="S730" s="1"/>
      <c r="T730" s="1"/>
      <c r="U730" s="1"/>
      <c r="V730" s="1"/>
      <c r="W730" s="1"/>
      <c r="X730" s="1"/>
      <c r="Y730" s="1"/>
      <c r="Z730" s="1"/>
      <c r="AA730" s="1"/>
      <c r="AB730" s="1"/>
    </row>
    <row r="731" spans="1:28" ht="11.25" customHeight="1" x14ac:dyDescent="0.25">
      <c r="A731" s="825"/>
      <c r="B731" s="16"/>
      <c r="C731" s="1"/>
      <c r="D731" s="1"/>
      <c r="E731" s="1"/>
      <c r="F731" s="1"/>
      <c r="G731" s="1"/>
      <c r="H731" s="1"/>
      <c r="I731" s="1"/>
      <c r="J731" s="1"/>
      <c r="K731" s="1"/>
      <c r="L731" s="22"/>
      <c r="M731" s="262"/>
      <c r="N731" s="1"/>
      <c r="O731" s="1"/>
      <c r="P731" s="1"/>
      <c r="Q731" s="1"/>
      <c r="R731" s="1"/>
      <c r="S731" s="1"/>
      <c r="T731" s="1"/>
      <c r="U731" s="1"/>
      <c r="V731" s="1"/>
      <c r="W731" s="1"/>
      <c r="X731" s="1"/>
      <c r="Y731" s="1"/>
      <c r="Z731" s="1"/>
      <c r="AA731" s="1"/>
      <c r="AB731" s="1"/>
    </row>
    <row r="732" spans="1:28" ht="11.25" customHeight="1" x14ac:dyDescent="0.25">
      <c r="A732" s="825"/>
      <c r="B732" s="16"/>
      <c r="C732" s="1"/>
      <c r="D732" s="1"/>
      <c r="E732" s="1"/>
      <c r="F732" s="1"/>
      <c r="G732" s="1"/>
      <c r="H732" s="1"/>
      <c r="I732" s="1"/>
      <c r="J732" s="1"/>
      <c r="K732" s="1"/>
      <c r="L732" s="22"/>
      <c r="M732" s="262"/>
      <c r="N732" s="1"/>
      <c r="O732" s="1"/>
      <c r="P732" s="1"/>
      <c r="Q732" s="1"/>
      <c r="R732" s="1"/>
      <c r="S732" s="1"/>
      <c r="T732" s="1"/>
      <c r="U732" s="1"/>
      <c r="V732" s="1"/>
      <c r="W732" s="1"/>
      <c r="X732" s="1"/>
      <c r="Y732" s="1"/>
      <c r="Z732" s="1"/>
      <c r="AA732" s="1"/>
      <c r="AB732" s="1"/>
    </row>
    <row r="733" spans="1:28" ht="11.25" customHeight="1" x14ac:dyDescent="0.25">
      <c r="A733" s="825"/>
      <c r="B733" s="16"/>
      <c r="C733" s="1"/>
      <c r="D733" s="1"/>
      <c r="E733" s="1"/>
      <c r="F733" s="1"/>
      <c r="G733" s="1"/>
      <c r="H733" s="1"/>
      <c r="I733" s="1"/>
      <c r="J733" s="1"/>
      <c r="K733" s="1"/>
      <c r="L733" s="22"/>
      <c r="M733" s="262"/>
      <c r="N733" s="1"/>
      <c r="O733" s="1"/>
      <c r="P733" s="1"/>
      <c r="Q733" s="1"/>
      <c r="R733" s="1"/>
      <c r="S733" s="1"/>
      <c r="T733" s="1"/>
      <c r="U733" s="1"/>
      <c r="V733" s="1"/>
      <c r="W733" s="1"/>
      <c r="X733" s="1"/>
      <c r="Y733" s="1"/>
      <c r="Z733" s="1"/>
      <c r="AA733" s="1"/>
      <c r="AB733" s="1"/>
    </row>
    <row r="734" spans="1:28" ht="11.25" customHeight="1" x14ac:dyDescent="0.25">
      <c r="A734" s="825"/>
      <c r="B734" s="16"/>
      <c r="C734" s="1"/>
      <c r="D734" s="1"/>
      <c r="E734" s="1"/>
      <c r="F734" s="1"/>
      <c r="G734" s="1"/>
      <c r="H734" s="1"/>
      <c r="I734" s="1"/>
      <c r="J734" s="1"/>
      <c r="K734" s="1"/>
      <c r="L734" s="22"/>
      <c r="M734" s="262"/>
      <c r="N734" s="1"/>
      <c r="O734" s="1"/>
      <c r="P734" s="1"/>
      <c r="Q734" s="1"/>
      <c r="R734" s="1"/>
      <c r="S734" s="1"/>
      <c r="T734" s="1"/>
      <c r="U734" s="1"/>
      <c r="V734" s="1"/>
      <c r="W734" s="1"/>
      <c r="X734" s="1"/>
      <c r="Y734" s="1"/>
      <c r="Z734" s="1"/>
      <c r="AA734" s="1"/>
      <c r="AB734" s="1"/>
    </row>
    <row r="735" spans="1:28" ht="11.25" customHeight="1" x14ac:dyDescent="0.25">
      <c r="A735" s="825"/>
      <c r="B735" s="16"/>
      <c r="C735" s="1"/>
      <c r="D735" s="1"/>
      <c r="E735" s="1"/>
      <c r="F735" s="1"/>
      <c r="G735" s="1"/>
      <c r="H735" s="1"/>
      <c r="I735" s="1"/>
      <c r="J735" s="1"/>
      <c r="K735" s="1"/>
      <c r="L735" s="22"/>
      <c r="M735" s="262"/>
      <c r="N735" s="1"/>
      <c r="O735" s="1"/>
      <c r="P735" s="1"/>
      <c r="Q735" s="1"/>
      <c r="R735" s="1"/>
      <c r="S735" s="1"/>
      <c r="T735" s="1"/>
      <c r="U735" s="1"/>
      <c r="V735" s="1"/>
      <c r="W735" s="1"/>
      <c r="X735" s="1"/>
      <c r="Y735" s="1"/>
      <c r="Z735" s="1"/>
      <c r="AA735" s="1"/>
      <c r="AB735" s="1"/>
    </row>
    <row r="736" spans="1:28" ht="11.25" customHeight="1" x14ac:dyDescent="0.25">
      <c r="A736" s="825"/>
      <c r="B736" s="16"/>
      <c r="C736" s="1"/>
      <c r="D736" s="1"/>
      <c r="E736" s="1"/>
      <c r="F736" s="1"/>
      <c r="G736" s="1"/>
      <c r="H736" s="1"/>
      <c r="I736" s="1"/>
      <c r="J736" s="1"/>
      <c r="K736" s="1"/>
      <c r="L736" s="22"/>
      <c r="M736" s="262"/>
      <c r="N736" s="1"/>
      <c r="O736" s="1"/>
      <c r="P736" s="1"/>
      <c r="Q736" s="1"/>
      <c r="R736" s="1"/>
      <c r="S736" s="1"/>
      <c r="T736" s="1"/>
      <c r="U736" s="1"/>
      <c r="V736" s="1"/>
      <c r="W736" s="1"/>
      <c r="X736" s="1"/>
      <c r="Y736" s="1"/>
      <c r="Z736" s="1"/>
      <c r="AA736" s="1"/>
      <c r="AB736" s="1"/>
    </row>
    <row r="737" spans="1:28" ht="11.25" customHeight="1" x14ac:dyDescent="0.25">
      <c r="A737" s="825"/>
      <c r="B737" s="16"/>
      <c r="C737" s="1"/>
      <c r="D737" s="1"/>
      <c r="E737" s="1"/>
      <c r="F737" s="1"/>
      <c r="G737" s="1"/>
      <c r="H737" s="1"/>
      <c r="I737" s="1"/>
      <c r="J737" s="1"/>
      <c r="K737" s="1"/>
      <c r="L737" s="22"/>
      <c r="M737" s="262"/>
      <c r="N737" s="1"/>
      <c r="O737" s="1"/>
      <c r="P737" s="1"/>
      <c r="Q737" s="1"/>
      <c r="R737" s="1"/>
      <c r="S737" s="1"/>
      <c r="T737" s="1"/>
      <c r="U737" s="1"/>
      <c r="V737" s="1"/>
      <c r="W737" s="1"/>
      <c r="X737" s="1"/>
      <c r="Y737" s="1"/>
      <c r="Z737" s="1"/>
      <c r="AA737" s="1"/>
      <c r="AB737" s="1"/>
    </row>
    <row r="738" spans="1:28" ht="11.25" customHeight="1" x14ac:dyDescent="0.25">
      <c r="A738" s="825"/>
      <c r="B738" s="16"/>
      <c r="C738" s="1"/>
      <c r="D738" s="1"/>
      <c r="E738" s="1"/>
      <c r="F738" s="1"/>
      <c r="G738" s="1"/>
      <c r="H738" s="1"/>
      <c r="I738" s="1"/>
      <c r="J738" s="1"/>
      <c r="K738" s="1"/>
      <c r="L738" s="22"/>
      <c r="M738" s="262"/>
      <c r="N738" s="1"/>
      <c r="O738" s="1"/>
      <c r="P738" s="1"/>
      <c r="Q738" s="1"/>
      <c r="R738" s="1"/>
      <c r="S738" s="1"/>
      <c r="T738" s="1"/>
      <c r="U738" s="1"/>
      <c r="V738" s="1"/>
      <c r="W738" s="1"/>
      <c r="X738" s="1"/>
      <c r="Y738" s="1"/>
      <c r="Z738" s="1"/>
      <c r="AA738" s="1"/>
      <c r="AB738" s="1"/>
    </row>
    <row r="739" spans="1:28" ht="11.25" customHeight="1" x14ac:dyDescent="0.25">
      <c r="A739" s="825"/>
      <c r="B739" s="16"/>
      <c r="C739" s="1"/>
      <c r="D739" s="1"/>
      <c r="E739" s="1"/>
      <c r="F739" s="1"/>
      <c r="G739" s="1"/>
      <c r="H739" s="1"/>
      <c r="I739" s="1"/>
      <c r="J739" s="1"/>
      <c r="K739" s="1"/>
      <c r="L739" s="22"/>
      <c r="M739" s="262"/>
      <c r="N739" s="1"/>
      <c r="O739" s="1"/>
      <c r="P739" s="1"/>
      <c r="Q739" s="1"/>
      <c r="R739" s="1"/>
      <c r="S739" s="1"/>
      <c r="T739" s="1"/>
      <c r="U739" s="1"/>
      <c r="V739" s="1"/>
      <c r="W739" s="1"/>
      <c r="X739" s="1"/>
      <c r="Y739" s="1"/>
      <c r="Z739" s="1"/>
      <c r="AA739" s="1"/>
      <c r="AB739" s="1"/>
    </row>
    <row r="740" spans="1:28" ht="11.25" customHeight="1" x14ac:dyDescent="0.25">
      <c r="A740" s="825"/>
      <c r="B740" s="16"/>
      <c r="C740" s="1"/>
      <c r="D740" s="1"/>
      <c r="E740" s="1"/>
      <c r="F740" s="1"/>
      <c r="G740" s="1"/>
      <c r="H740" s="1"/>
      <c r="I740" s="1"/>
      <c r="J740" s="1"/>
      <c r="K740" s="1"/>
      <c r="L740" s="22"/>
      <c r="M740" s="262"/>
      <c r="N740" s="1"/>
      <c r="O740" s="1"/>
      <c r="P740" s="1"/>
      <c r="Q740" s="1"/>
      <c r="R740" s="1"/>
      <c r="S740" s="1"/>
      <c r="T740" s="1"/>
      <c r="U740" s="1"/>
      <c r="V740" s="1"/>
      <c r="W740" s="1"/>
      <c r="X740" s="1"/>
      <c r="Y740" s="1"/>
      <c r="Z740" s="1"/>
      <c r="AA740" s="1"/>
      <c r="AB740" s="1"/>
    </row>
    <row r="741" spans="1:28" ht="11.25" customHeight="1" x14ac:dyDescent="0.25">
      <c r="A741" s="825"/>
      <c r="B741" s="16"/>
      <c r="C741" s="1"/>
      <c r="D741" s="1"/>
      <c r="E741" s="1"/>
      <c r="F741" s="1"/>
      <c r="G741" s="1"/>
      <c r="H741" s="1"/>
      <c r="I741" s="1"/>
      <c r="J741" s="1"/>
      <c r="K741" s="1"/>
      <c r="L741" s="22"/>
      <c r="M741" s="262"/>
      <c r="N741" s="1"/>
      <c r="O741" s="1"/>
      <c r="P741" s="1"/>
      <c r="Q741" s="1"/>
      <c r="R741" s="1"/>
      <c r="S741" s="1"/>
      <c r="T741" s="1"/>
      <c r="U741" s="1"/>
      <c r="V741" s="1"/>
      <c r="W741" s="1"/>
      <c r="X741" s="1"/>
      <c r="Y741" s="1"/>
      <c r="Z741" s="1"/>
      <c r="AA741" s="1"/>
      <c r="AB741" s="1"/>
    </row>
    <row r="742" spans="1:28" ht="11.25" customHeight="1" x14ac:dyDescent="0.25">
      <c r="A742" s="825"/>
      <c r="B742" s="16"/>
      <c r="C742" s="1"/>
      <c r="D742" s="1"/>
      <c r="E742" s="1"/>
      <c r="F742" s="1"/>
      <c r="G742" s="1"/>
      <c r="H742" s="1"/>
      <c r="I742" s="1"/>
      <c r="J742" s="1"/>
      <c r="K742" s="1"/>
      <c r="L742" s="22"/>
      <c r="M742" s="262"/>
      <c r="N742" s="1"/>
      <c r="O742" s="1"/>
      <c r="P742" s="1"/>
      <c r="Q742" s="1"/>
      <c r="R742" s="1"/>
      <c r="S742" s="1"/>
      <c r="T742" s="1"/>
      <c r="U742" s="1"/>
      <c r="V742" s="1"/>
      <c r="W742" s="1"/>
      <c r="X742" s="1"/>
      <c r="Y742" s="1"/>
      <c r="Z742" s="1"/>
      <c r="AA742" s="1"/>
      <c r="AB742" s="1"/>
    </row>
    <row r="743" spans="1:28" ht="11.25" customHeight="1" x14ac:dyDescent="0.25">
      <c r="A743" s="825"/>
      <c r="B743" s="16"/>
      <c r="C743" s="1"/>
      <c r="D743" s="1"/>
      <c r="E743" s="1"/>
      <c r="F743" s="1"/>
      <c r="G743" s="1"/>
      <c r="H743" s="1"/>
      <c r="I743" s="1"/>
      <c r="J743" s="1"/>
      <c r="K743" s="1"/>
      <c r="L743" s="22"/>
      <c r="M743" s="262"/>
      <c r="N743" s="1"/>
      <c r="O743" s="1"/>
      <c r="P743" s="1"/>
      <c r="Q743" s="1"/>
      <c r="R743" s="1"/>
      <c r="S743" s="1"/>
      <c r="T743" s="1"/>
      <c r="U743" s="1"/>
      <c r="V743" s="1"/>
      <c r="W743" s="1"/>
      <c r="X743" s="1"/>
      <c r="Y743" s="1"/>
      <c r="Z743" s="1"/>
      <c r="AA743" s="1"/>
      <c r="AB743" s="1"/>
    </row>
    <row r="744" spans="1:28" ht="11.25" customHeight="1" x14ac:dyDescent="0.25">
      <c r="A744" s="825"/>
      <c r="B744" s="16"/>
      <c r="C744" s="1"/>
      <c r="D744" s="1"/>
      <c r="E744" s="1"/>
      <c r="F744" s="1"/>
      <c r="G744" s="1"/>
      <c r="H744" s="1"/>
      <c r="I744" s="1"/>
      <c r="J744" s="1"/>
      <c r="K744" s="1"/>
      <c r="L744" s="22"/>
      <c r="M744" s="262"/>
      <c r="N744" s="1"/>
      <c r="O744" s="1"/>
      <c r="P744" s="1"/>
      <c r="Q744" s="1"/>
      <c r="R744" s="1"/>
      <c r="S744" s="1"/>
      <c r="T744" s="1"/>
      <c r="U744" s="1"/>
      <c r="V744" s="1"/>
      <c r="W744" s="1"/>
      <c r="X744" s="1"/>
      <c r="Y744" s="1"/>
      <c r="Z744" s="1"/>
      <c r="AA744" s="1"/>
      <c r="AB744" s="1"/>
    </row>
    <row r="745" spans="1:28" ht="11.25" customHeight="1" x14ac:dyDescent="0.25">
      <c r="A745" s="825"/>
      <c r="B745" s="16"/>
      <c r="C745" s="1"/>
      <c r="D745" s="1"/>
      <c r="E745" s="1"/>
      <c r="F745" s="1"/>
      <c r="G745" s="1"/>
      <c r="H745" s="1"/>
      <c r="I745" s="1"/>
      <c r="J745" s="1"/>
      <c r="K745" s="1"/>
      <c r="L745" s="22"/>
      <c r="M745" s="262"/>
      <c r="N745" s="1"/>
      <c r="O745" s="1"/>
      <c r="P745" s="1"/>
      <c r="Q745" s="1"/>
      <c r="R745" s="1"/>
      <c r="S745" s="1"/>
      <c r="T745" s="1"/>
      <c r="U745" s="1"/>
      <c r="V745" s="1"/>
      <c r="W745" s="1"/>
      <c r="X745" s="1"/>
      <c r="Y745" s="1"/>
      <c r="Z745" s="1"/>
      <c r="AA745" s="1"/>
      <c r="AB745" s="1"/>
    </row>
    <row r="746" spans="1:28" ht="11.25" customHeight="1" x14ac:dyDescent="0.25">
      <c r="A746" s="825"/>
      <c r="B746" s="16"/>
      <c r="C746" s="1"/>
      <c r="D746" s="1"/>
      <c r="E746" s="1"/>
      <c r="F746" s="1"/>
      <c r="G746" s="1"/>
      <c r="H746" s="1"/>
      <c r="I746" s="1"/>
      <c r="J746" s="1"/>
      <c r="K746" s="1"/>
      <c r="L746" s="22"/>
      <c r="M746" s="262"/>
      <c r="N746" s="1"/>
      <c r="O746" s="1"/>
      <c r="P746" s="1"/>
      <c r="Q746" s="1"/>
      <c r="R746" s="1"/>
      <c r="S746" s="1"/>
      <c r="T746" s="1"/>
      <c r="U746" s="1"/>
      <c r="V746" s="1"/>
      <c r="W746" s="1"/>
      <c r="X746" s="1"/>
      <c r="Y746" s="1"/>
      <c r="Z746" s="1"/>
      <c r="AA746" s="1"/>
      <c r="AB746" s="1"/>
    </row>
    <row r="747" spans="1:28" ht="11.25" customHeight="1" x14ac:dyDescent="0.25">
      <c r="A747" s="825"/>
      <c r="B747" s="16"/>
      <c r="C747" s="1"/>
      <c r="D747" s="1"/>
      <c r="E747" s="1"/>
      <c r="F747" s="1"/>
      <c r="G747" s="1"/>
      <c r="H747" s="1"/>
      <c r="I747" s="1"/>
      <c r="J747" s="1"/>
      <c r="K747" s="1"/>
      <c r="L747" s="22"/>
      <c r="M747" s="262"/>
      <c r="N747" s="1"/>
      <c r="O747" s="1"/>
      <c r="P747" s="1"/>
      <c r="Q747" s="1"/>
      <c r="R747" s="1"/>
      <c r="S747" s="1"/>
      <c r="T747" s="1"/>
      <c r="U747" s="1"/>
      <c r="V747" s="1"/>
      <c r="W747" s="1"/>
      <c r="X747" s="1"/>
      <c r="Y747" s="1"/>
      <c r="Z747" s="1"/>
      <c r="AA747" s="1"/>
      <c r="AB747" s="1"/>
    </row>
    <row r="748" spans="1:28" ht="11.25" customHeight="1" x14ac:dyDescent="0.25">
      <c r="A748" s="825"/>
      <c r="B748" s="16"/>
      <c r="C748" s="1"/>
      <c r="D748" s="1"/>
      <c r="E748" s="1"/>
      <c r="F748" s="1"/>
      <c r="G748" s="1"/>
      <c r="H748" s="1"/>
      <c r="I748" s="1"/>
      <c r="J748" s="1"/>
      <c r="K748" s="1"/>
      <c r="L748" s="22"/>
      <c r="M748" s="262"/>
      <c r="N748" s="1"/>
      <c r="O748" s="1"/>
      <c r="P748" s="1"/>
      <c r="Q748" s="1"/>
      <c r="R748" s="1"/>
      <c r="S748" s="1"/>
      <c r="T748" s="1"/>
      <c r="U748" s="1"/>
      <c r="V748" s="1"/>
      <c r="W748" s="1"/>
      <c r="X748" s="1"/>
      <c r="Y748" s="1"/>
      <c r="Z748" s="1"/>
      <c r="AA748" s="1"/>
      <c r="AB748" s="1"/>
    </row>
    <row r="749" spans="1:28" ht="11.25" customHeight="1" x14ac:dyDescent="0.25">
      <c r="A749" s="825"/>
      <c r="B749" s="16"/>
      <c r="C749" s="1"/>
      <c r="D749" s="1"/>
      <c r="E749" s="1"/>
      <c r="F749" s="1"/>
      <c r="G749" s="1"/>
      <c r="H749" s="1"/>
      <c r="I749" s="1"/>
      <c r="J749" s="1"/>
      <c r="K749" s="1"/>
      <c r="L749" s="22"/>
      <c r="M749" s="262"/>
      <c r="N749" s="1"/>
      <c r="O749" s="1"/>
      <c r="P749" s="1"/>
      <c r="Q749" s="1"/>
      <c r="R749" s="1"/>
      <c r="S749" s="1"/>
      <c r="T749" s="1"/>
      <c r="U749" s="1"/>
      <c r="V749" s="1"/>
      <c r="W749" s="1"/>
      <c r="X749" s="1"/>
      <c r="Y749" s="1"/>
      <c r="Z749" s="1"/>
      <c r="AA749" s="1"/>
      <c r="AB749" s="1"/>
    </row>
    <row r="750" spans="1:28" ht="11.25" customHeight="1" x14ac:dyDescent="0.25">
      <c r="A750" s="825"/>
      <c r="B750" s="16"/>
      <c r="C750" s="1"/>
      <c r="D750" s="1"/>
      <c r="E750" s="1"/>
      <c r="F750" s="1"/>
      <c r="G750" s="1"/>
      <c r="H750" s="1"/>
      <c r="I750" s="1"/>
      <c r="J750" s="1"/>
      <c r="K750" s="1"/>
      <c r="L750" s="22"/>
      <c r="M750" s="262"/>
      <c r="N750" s="1"/>
      <c r="O750" s="1"/>
      <c r="P750" s="1"/>
      <c r="Q750" s="1"/>
      <c r="R750" s="1"/>
      <c r="S750" s="1"/>
      <c r="T750" s="1"/>
      <c r="U750" s="1"/>
      <c r="V750" s="1"/>
      <c r="W750" s="1"/>
      <c r="X750" s="1"/>
      <c r="Y750" s="1"/>
      <c r="Z750" s="1"/>
      <c r="AA750" s="1"/>
      <c r="AB750" s="1"/>
    </row>
    <row r="751" spans="1:28" ht="11.25" customHeight="1" x14ac:dyDescent="0.25">
      <c r="A751" s="825"/>
      <c r="B751" s="16"/>
      <c r="C751" s="1"/>
      <c r="D751" s="1"/>
      <c r="E751" s="1"/>
      <c r="F751" s="1"/>
      <c r="G751" s="1"/>
      <c r="H751" s="1"/>
      <c r="I751" s="1"/>
      <c r="J751" s="1"/>
      <c r="K751" s="1"/>
      <c r="L751" s="22"/>
      <c r="M751" s="262"/>
      <c r="N751" s="1"/>
      <c r="O751" s="1"/>
      <c r="P751" s="1"/>
      <c r="Q751" s="1"/>
      <c r="R751" s="1"/>
      <c r="S751" s="1"/>
      <c r="T751" s="1"/>
      <c r="U751" s="1"/>
      <c r="V751" s="1"/>
      <c r="W751" s="1"/>
      <c r="X751" s="1"/>
      <c r="Y751" s="1"/>
      <c r="Z751" s="1"/>
      <c r="AA751" s="1"/>
      <c r="AB751" s="1"/>
    </row>
    <row r="752" spans="1:28" ht="11.25" customHeight="1" x14ac:dyDescent="0.25">
      <c r="A752" s="825"/>
      <c r="B752" s="16"/>
      <c r="C752" s="1"/>
      <c r="D752" s="1"/>
      <c r="E752" s="1"/>
      <c r="F752" s="1"/>
      <c r="G752" s="1"/>
      <c r="H752" s="1"/>
      <c r="I752" s="1"/>
      <c r="J752" s="1"/>
      <c r="K752" s="1"/>
      <c r="L752" s="22"/>
      <c r="M752" s="262"/>
      <c r="N752" s="1"/>
      <c r="O752" s="1"/>
      <c r="P752" s="1"/>
      <c r="Q752" s="1"/>
      <c r="R752" s="1"/>
      <c r="S752" s="1"/>
      <c r="T752" s="1"/>
      <c r="U752" s="1"/>
      <c r="V752" s="1"/>
      <c r="W752" s="1"/>
      <c r="X752" s="1"/>
      <c r="Y752" s="1"/>
      <c r="Z752" s="1"/>
      <c r="AA752" s="1"/>
      <c r="AB752" s="1"/>
    </row>
    <row r="753" spans="1:28" ht="11.25" customHeight="1" x14ac:dyDescent="0.25">
      <c r="A753" s="825"/>
      <c r="B753" s="16"/>
      <c r="C753" s="1"/>
      <c r="D753" s="1"/>
      <c r="E753" s="1"/>
      <c r="F753" s="1"/>
      <c r="G753" s="1"/>
      <c r="H753" s="1"/>
      <c r="I753" s="1"/>
      <c r="J753" s="1"/>
      <c r="K753" s="1"/>
      <c r="L753" s="22"/>
      <c r="M753" s="262"/>
      <c r="N753" s="1"/>
      <c r="O753" s="1"/>
      <c r="P753" s="1"/>
      <c r="Q753" s="1"/>
      <c r="R753" s="1"/>
      <c r="S753" s="1"/>
      <c r="T753" s="1"/>
      <c r="U753" s="1"/>
      <c r="V753" s="1"/>
      <c r="W753" s="1"/>
      <c r="X753" s="1"/>
      <c r="Y753" s="1"/>
      <c r="Z753" s="1"/>
      <c r="AA753" s="1"/>
      <c r="AB753" s="1"/>
    </row>
    <row r="754" spans="1:28" ht="11.25" customHeight="1" x14ac:dyDescent="0.25">
      <c r="A754" s="825"/>
      <c r="B754" s="16"/>
      <c r="C754" s="1"/>
      <c r="D754" s="1"/>
      <c r="E754" s="1"/>
      <c r="F754" s="1"/>
      <c r="G754" s="1"/>
      <c r="H754" s="1"/>
      <c r="I754" s="1"/>
      <c r="J754" s="1"/>
      <c r="K754" s="1"/>
      <c r="L754" s="22"/>
      <c r="M754" s="262"/>
      <c r="N754" s="1"/>
      <c r="O754" s="1"/>
      <c r="P754" s="1"/>
      <c r="Q754" s="1"/>
      <c r="R754" s="1"/>
      <c r="S754" s="1"/>
      <c r="T754" s="1"/>
      <c r="U754" s="1"/>
      <c r="V754" s="1"/>
      <c r="W754" s="1"/>
      <c r="X754" s="1"/>
      <c r="Y754" s="1"/>
      <c r="Z754" s="1"/>
      <c r="AA754" s="1"/>
      <c r="AB754" s="1"/>
    </row>
    <row r="755" spans="1:28" ht="11.25" customHeight="1" x14ac:dyDescent="0.25">
      <c r="A755" s="825"/>
      <c r="B755" s="16"/>
      <c r="C755" s="1"/>
      <c r="D755" s="1"/>
      <c r="E755" s="1"/>
      <c r="F755" s="1"/>
      <c r="G755" s="1"/>
      <c r="H755" s="1"/>
      <c r="I755" s="1"/>
      <c r="J755" s="1"/>
      <c r="K755" s="1"/>
      <c r="L755" s="22"/>
      <c r="M755" s="262"/>
      <c r="N755" s="1"/>
      <c r="O755" s="1"/>
      <c r="P755" s="1"/>
      <c r="Q755" s="1"/>
      <c r="R755" s="1"/>
      <c r="S755" s="1"/>
      <c r="T755" s="1"/>
      <c r="U755" s="1"/>
      <c r="V755" s="1"/>
      <c r="W755" s="1"/>
      <c r="X755" s="1"/>
      <c r="Y755" s="1"/>
      <c r="Z755" s="1"/>
      <c r="AA755" s="1"/>
      <c r="AB755" s="1"/>
    </row>
    <row r="756" spans="1:28" ht="11.25" customHeight="1" x14ac:dyDescent="0.25">
      <c r="A756" s="825"/>
      <c r="B756" s="16"/>
      <c r="C756" s="1"/>
      <c r="D756" s="1"/>
      <c r="E756" s="1"/>
      <c r="F756" s="1"/>
      <c r="G756" s="1"/>
      <c r="H756" s="1"/>
      <c r="I756" s="1"/>
      <c r="J756" s="1"/>
      <c r="K756" s="1"/>
      <c r="L756" s="22"/>
      <c r="M756" s="262"/>
      <c r="N756" s="1"/>
      <c r="O756" s="1"/>
      <c r="P756" s="1"/>
      <c r="Q756" s="1"/>
      <c r="R756" s="1"/>
      <c r="S756" s="1"/>
      <c r="T756" s="1"/>
      <c r="U756" s="1"/>
      <c r="V756" s="1"/>
      <c r="W756" s="1"/>
      <c r="X756" s="1"/>
      <c r="Y756" s="1"/>
      <c r="Z756" s="1"/>
      <c r="AA756" s="1"/>
      <c r="AB756" s="1"/>
    </row>
    <row r="757" spans="1:28" ht="11.25" customHeight="1" x14ac:dyDescent="0.25">
      <c r="A757" s="825"/>
      <c r="B757" s="16"/>
      <c r="C757" s="1"/>
      <c r="D757" s="1"/>
      <c r="E757" s="1"/>
      <c r="F757" s="1"/>
      <c r="G757" s="1"/>
      <c r="H757" s="1"/>
      <c r="I757" s="1"/>
      <c r="J757" s="1"/>
      <c r="K757" s="1"/>
      <c r="L757" s="22"/>
      <c r="M757" s="262"/>
      <c r="N757" s="1"/>
      <c r="O757" s="1"/>
      <c r="P757" s="1"/>
      <c r="Q757" s="1"/>
      <c r="R757" s="1"/>
      <c r="S757" s="1"/>
      <c r="T757" s="1"/>
      <c r="U757" s="1"/>
      <c r="V757" s="1"/>
      <c r="W757" s="1"/>
      <c r="X757" s="1"/>
      <c r="Y757" s="1"/>
      <c r="Z757" s="1"/>
      <c r="AA757" s="1"/>
      <c r="AB757" s="1"/>
    </row>
    <row r="758" spans="1:28" ht="11.25" customHeight="1" x14ac:dyDescent="0.25">
      <c r="A758" s="825"/>
      <c r="B758" s="16"/>
      <c r="C758" s="1"/>
      <c r="D758" s="1"/>
      <c r="E758" s="1"/>
      <c r="F758" s="1"/>
      <c r="G758" s="1"/>
      <c r="H758" s="1"/>
      <c r="I758" s="1"/>
      <c r="J758" s="1"/>
      <c r="K758" s="1"/>
      <c r="L758" s="22"/>
      <c r="M758" s="262"/>
      <c r="N758" s="1"/>
      <c r="O758" s="1"/>
      <c r="P758" s="1"/>
      <c r="Q758" s="1"/>
      <c r="R758" s="1"/>
      <c r="S758" s="1"/>
      <c r="T758" s="1"/>
      <c r="U758" s="1"/>
      <c r="V758" s="1"/>
      <c r="W758" s="1"/>
      <c r="X758" s="1"/>
      <c r="Y758" s="1"/>
      <c r="Z758" s="1"/>
      <c r="AA758" s="1"/>
      <c r="AB758" s="1"/>
    </row>
    <row r="759" spans="1:28" ht="11.25" customHeight="1" x14ac:dyDescent="0.25">
      <c r="A759" s="825"/>
      <c r="B759" s="16"/>
      <c r="C759" s="1"/>
      <c r="D759" s="1"/>
      <c r="E759" s="1"/>
      <c r="F759" s="1"/>
      <c r="G759" s="1"/>
      <c r="H759" s="1"/>
      <c r="I759" s="1"/>
      <c r="J759" s="1"/>
      <c r="K759" s="1"/>
      <c r="L759" s="22"/>
      <c r="M759" s="262"/>
      <c r="N759" s="1"/>
      <c r="O759" s="1"/>
      <c r="P759" s="1"/>
      <c r="Q759" s="1"/>
      <c r="R759" s="1"/>
      <c r="S759" s="1"/>
      <c r="T759" s="1"/>
      <c r="U759" s="1"/>
      <c r="V759" s="1"/>
      <c r="W759" s="1"/>
      <c r="X759" s="1"/>
      <c r="Y759" s="1"/>
      <c r="Z759" s="1"/>
      <c r="AA759" s="1"/>
      <c r="AB759" s="1"/>
    </row>
    <row r="760" spans="1:28" ht="11.25" customHeight="1" x14ac:dyDescent="0.25">
      <c r="A760" s="825"/>
      <c r="B760" s="16"/>
      <c r="C760" s="1"/>
      <c r="D760" s="1"/>
      <c r="E760" s="1"/>
      <c r="F760" s="1"/>
      <c r="G760" s="1"/>
      <c r="H760" s="1"/>
      <c r="I760" s="1"/>
      <c r="J760" s="1"/>
      <c r="K760" s="1"/>
      <c r="L760" s="22"/>
      <c r="M760" s="262"/>
      <c r="N760" s="1"/>
      <c r="O760" s="1"/>
      <c r="P760" s="1"/>
      <c r="Q760" s="1"/>
      <c r="R760" s="1"/>
      <c r="S760" s="1"/>
      <c r="T760" s="1"/>
      <c r="U760" s="1"/>
      <c r="V760" s="1"/>
      <c r="W760" s="1"/>
      <c r="X760" s="1"/>
      <c r="Y760" s="1"/>
      <c r="Z760" s="1"/>
      <c r="AA760" s="1"/>
      <c r="AB760" s="1"/>
    </row>
    <row r="761" spans="1:28" ht="11.25" customHeight="1" x14ac:dyDescent="0.25">
      <c r="A761" s="825"/>
      <c r="B761" s="16"/>
      <c r="C761" s="1"/>
      <c r="D761" s="1"/>
      <c r="E761" s="1"/>
      <c r="F761" s="1"/>
      <c r="G761" s="1"/>
      <c r="H761" s="1"/>
      <c r="I761" s="1"/>
      <c r="J761" s="1"/>
      <c r="K761" s="1"/>
      <c r="L761" s="22"/>
      <c r="M761" s="262"/>
      <c r="N761" s="1"/>
      <c r="O761" s="1"/>
      <c r="P761" s="1"/>
      <c r="Q761" s="1"/>
      <c r="R761" s="1"/>
      <c r="S761" s="1"/>
      <c r="T761" s="1"/>
      <c r="U761" s="1"/>
      <c r="V761" s="1"/>
      <c r="W761" s="1"/>
      <c r="X761" s="1"/>
      <c r="Y761" s="1"/>
      <c r="Z761" s="1"/>
      <c r="AA761" s="1"/>
      <c r="AB761" s="1"/>
    </row>
    <row r="762" spans="1:28" ht="11.25" customHeight="1" x14ac:dyDescent="0.25">
      <c r="A762" s="825"/>
      <c r="B762" s="16"/>
      <c r="C762" s="1"/>
      <c r="D762" s="1"/>
      <c r="E762" s="1"/>
      <c r="F762" s="1"/>
      <c r="G762" s="1"/>
      <c r="H762" s="1"/>
      <c r="I762" s="1"/>
      <c r="J762" s="1"/>
      <c r="K762" s="1"/>
      <c r="L762" s="22"/>
      <c r="M762" s="262"/>
      <c r="N762" s="1"/>
      <c r="O762" s="1"/>
      <c r="P762" s="1"/>
      <c r="Q762" s="1"/>
      <c r="R762" s="1"/>
      <c r="S762" s="1"/>
      <c r="T762" s="1"/>
      <c r="U762" s="1"/>
      <c r="V762" s="1"/>
      <c r="W762" s="1"/>
      <c r="X762" s="1"/>
      <c r="Y762" s="1"/>
      <c r="Z762" s="1"/>
      <c r="AA762" s="1"/>
      <c r="AB762" s="1"/>
    </row>
    <row r="763" spans="1:28" ht="11.25" customHeight="1" x14ac:dyDescent="0.25">
      <c r="A763" s="825"/>
      <c r="B763" s="16"/>
      <c r="C763" s="1"/>
      <c r="D763" s="1"/>
      <c r="E763" s="1"/>
      <c r="F763" s="1"/>
      <c r="G763" s="1"/>
      <c r="H763" s="1"/>
      <c r="I763" s="1"/>
      <c r="J763" s="1"/>
      <c r="K763" s="1"/>
      <c r="L763" s="22"/>
      <c r="M763" s="262"/>
      <c r="N763" s="1"/>
      <c r="O763" s="1"/>
      <c r="P763" s="1"/>
      <c r="Q763" s="1"/>
      <c r="R763" s="1"/>
      <c r="S763" s="1"/>
      <c r="T763" s="1"/>
      <c r="U763" s="1"/>
      <c r="V763" s="1"/>
      <c r="W763" s="1"/>
      <c r="X763" s="1"/>
      <c r="Y763" s="1"/>
      <c r="Z763" s="1"/>
      <c r="AA763" s="1"/>
      <c r="AB763" s="1"/>
    </row>
    <row r="764" spans="1:28" ht="11.25" customHeight="1" x14ac:dyDescent="0.25">
      <c r="A764" s="825"/>
      <c r="B764" s="16"/>
      <c r="C764" s="1"/>
      <c r="D764" s="1"/>
      <c r="E764" s="1"/>
      <c r="F764" s="1"/>
      <c r="G764" s="1"/>
      <c r="H764" s="1"/>
      <c r="I764" s="1"/>
      <c r="J764" s="1"/>
      <c r="K764" s="1"/>
      <c r="L764" s="22"/>
      <c r="M764" s="262"/>
      <c r="N764" s="1"/>
      <c r="O764" s="1"/>
      <c r="P764" s="1"/>
      <c r="Q764" s="1"/>
      <c r="R764" s="1"/>
      <c r="S764" s="1"/>
      <c r="T764" s="1"/>
      <c r="U764" s="1"/>
      <c r="V764" s="1"/>
      <c r="W764" s="1"/>
      <c r="X764" s="1"/>
      <c r="Y764" s="1"/>
      <c r="Z764" s="1"/>
      <c r="AA764" s="1"/>
      <c r="AB764" s="1"/>
    </row>
    <row r="765" spans="1:28" ht="11.25" customHeight="1" x14ac:dyDescent="0.25">
      <c r="A765" s="825"/>
      <c r="B765" s="16"/>
      <c r="C765" s="1"/>
      <c r="D765" s="1"/>
      <c r="E765" s="1"/>
      <c r="F765" s="1"/>
      <c r="G765" s="1"/>
      <c r="H765" s="1"/>
      <c r="I765" s="1"/>
      <c r="J765" s="1"/>
      <c r="K765" s="1"/>
      <c r="L765" s="22"/>
      <c r="M765" s="262"/>
      <c r="N765" s="1"/>
      <c r="O765" s="1"/>
      <c r="P765" s="1"/>
      <c r="Q765" s="1"/>
      <c r="R765" s="1"/>
      <c r="S765" s="1"/>
      <c r="T765" s="1"/>
      <c r="U765" s="1"/>
      <c r="V765" s="1"/>
      <c r="W765" s="1"/>
      <c r="X765" s="1"/>
      <c r="Y765" s="1"/>
      <c r="Z765" s="1"/>
      <c r="AA765" s="1"/>
      <c r="AB765" s="1"/>
    </row>
    <row r="766" spans="1:28" ht="11.25" customHeight="1" x14ac:dyDescent="0.25">
      <c r="A766" s="825"/>
      <c r="B766" s="16"/>
      <c r="C766" s="1"/>
      <c r="D766" s="1"/>
      <c r="E766" s="1"/>
      <c r="F766" s="1"/>
      <c r="G766" s="1"/>
      <c r="H766" s="1"/>
      <c r="I766" s="1"/>
      <c r="J766" s="1"/>
      <c r="K766" s="1"/>
      <c r="L766" s="22"/>
      <c r="M766" s="262"/>
      <c r="N766" s="1"/>
      <c r="O766" s="1"/>
      <c r="P766" s="1"/>
      <c r="Q766" s="1"/>
      <c r="R766" s="1"/>
      <c r="S766" s="1"/>
      <c r="T766" s="1"/>
      <c r="U766" s="1"/>
      <c r="V766" s="1"/>
      <c r="W766" s="1"/>
      <c r="X766" s="1"/>
      <c r="Y766" s="1"/>
      <c r="Z766" s="1"/>
      <c r="AA766" s="1"/>
      <c r="AB766" s="1"/>
    </row>
    <row r="767" spans="1:28" ht="11.25" customHeight="1" x14ac:dyDescent="0.25">
      <c r="A767" s="825"/>
      <c r="B767" s="16"/>
      <c r="C767" s="1"/>
      <c r="D767" s="1"/>
      <c r="E767" s="1"/>
      <c r="F767" s="1"/>
      <c r="G767" s="1"/>
      <c r="H767" s="1"/>
      <c r="I767" s="1"/>
      <c r="J767" s="1"/>
      <c r="K767" s="1"/>
      <c r="L767" s="22"/>
      <c r="M767" s="262"/>
      <c r="N767" s="1"/>
      <c r="O767" s="1"/>
      <c r="P767" s="1"/>
      <c r="Q767" s="1"/>
      <c r="R767" s="1"/>
      <c r="S767" s="1"/>
      <c r="T767" s="1"/>
      <c r="U767" s="1"/>
      <c r="V767" s="1"/>
      <c r="W767" s="1"/>
      <c r="X767" s="1"/>
      <c r="Y767" s="1"/>
      <c r="Z767" s="1"/>
      <c r="AA767" s="1"/>
      <c r="AB767" s="1"/>
    </row>
    <row r="768" spans="1:28" ht="11.25" customHeight="1" x14ac:dyDescent="0.25">
      <c r="A768" s="825"/>
      <c r="B768" s="16"/>
      <c r="C768" s="1"/>
      <c r="D768" s="1"/>
      <c r="E768" s="1"/>
      <c r="F768" s="1"/>
      <c r="G768" s="1"/>
      <c r="H768" s="1"/>
      <c r="I768" s="1"/>
      <c r="J768" s="1"/>
      <c r="K768" s="1"/>
      <c r="L768" s="22"/>
      <c r="M768" s="262"/>
      <c r="N768" s="1"/>
      <c r="O768" s="1"/>
      <c r="P768" s="1"/>
      <c r="Q768" s="1"/>
      <c r="R768" s="1"/>
      <c r="S768" s="1"/>
      <c r="T768" s="1"/>
      <c r="U768" s="1"/>
      <c r="V768" s="1"/>
      <c r="W768" s="1"/>
      <c r="X768" s="1"/>
      <c r="Y768" s="1"/>
      <c r="Z768" s="1"/>
      <c r="AA768" s="1"/>
      <c r="AB768" s="1"/>
    </row>
    <row r="769" spans="1:28" ht="11.25" customHeight="1" x14ac:dyDescent="0.25">
      <c r="A769" s="825"/>
      <c r="B769" s="16"/>
      <c r="C769" s="1"/>
      <c r="D769" s="1"/>
      <c r="E769" s="1"/>
      <c r="F769" s="1"/>
      <c r="G769" s="1"/>
      <c r="H769" s="1"/>
      <c r="I769" s="1"/>
      <c r="J769" s="1"/>
      <c r="K769" s="1"/>
      <c r="L769" s="22"/>
      <c r="M769" s="262"/>
      <c r="N769" s="1"/>
      <c r="O769" s="1"/>
      <c r="P769" s="1"/>
      <c r="Q769" s="1"/>
      <c r="R769" s="1"/>
      <c r="S769" s="1"/>
      <c r="T769" s="1"/>
      <c r="U769" s="1"/>
      <c r="V769" s="1"/>
      <c r="W769" s="1"/>
      <c r="X769" s="1"/>
      <c r="Y769" s="1"/>
      <c r="Z769" s="1"/>
      <c r="AA769" s="1"/>
      <c r="AB769" s="1"/>
    </row>
    <row r="770" spans="1:28" ht="11.25" customHeight="1" x14ac:dyDescent="0.25">
      <c r="A770" s="825"/>
      <c r="B770" s="16"/>
      <c r="C770" s="1"/>
      <c r="D770" s="1"/>
      <c r="E770" s="1"/>
      <c r="F770" s="1"/>
      <c r="G770" s="1"/>
      <c r="H770" s="1"/>
      <c r="I770" s="1"/>
      <c r="J770" s="1"/>
      <c r="K770" s="1"/>
      <c r="L770" s="22"/>
      <c r="M770" s="262"/>
      <c r="N770" s="1"/>
      <c r="O770" s="1"/>
      <c r="P770" s="1"/>
      <c r="Q770" s="1"/>
      <c r="R770" s="1"/>
      <c r="S770" s="1"/>
      <c r="T770" s="1"/>
      <c r="U770" s="1"/>
      <c r="V770" s="1"/>
      <c r="W770" s="1"/>
      <c r="X770" s="1"/>
      <c r="Y770" s="1"/>
      <c r="Z770" s="1"/>
      <c r="AA770" s="1"/>
      <c r="AB770" s="1"/>
    </row>
    <row r="771" spans="1:28" ht="11.25" customHeight="1" x14ac:dyDescent="0.25">
      <c r="A771" s="825"/>
      <c r="B771" s="16"/>
      <c r="C771" s="1"/>
      <c r="D771" s="1"/>
      <c r="E771" s="1"/>
      <c r="F771" s="1"/>
      <c r="G771" s="1"/>
      <c r="H771" s="1"/>
      <c r="I771" s="1"/>
      <c r="J771" s="1"/>
      <c r="K771" s="1"/>
      <c r="L771" s="22"/>
      <c r="M771" s="262"/>
      <c r="N771" s="1"/>
      <c r="O771" s="1"/>
      <c r="P771" s="1"/>
      <c r="Q771" s="1"/>
      <c r="R771" s="1"/>
      <c r="S771" s="1"/>
      <c r="T771" s="1"/>
      <c r="U771" s="1"/>
      <c r="V771" s="1"/>
      <c r="W771" s="1"/>
      <c r="X771" s="1"/>
      <c r="Y771" s="1"/>
      <c r="Z771" s="1"/>
      <c r="AA771" s="1"/>
      <c r="AB771" s="1"/>
    </row>
    <row r="772" spans="1:28" ht="11.25" customHeight="1" x14ac:dyDescent="0.25">
      <c r="A772" s="825"/>
      <c r="B772" s="16"/>
      <c r="C772" s="1"/>
      <c r="D772" s="1"/>
      <c r="E772" s="1"/>
      <c r="F772" s="1"/>
      <c r="G772" s="1"/>
      <c r="H772" s="1"/>
      <c r="I772" s="1"/>
      <c r="J772" s="1"/>
      <c r="K772" s="1"/>
      <c r="L772" s="22"/>
      <c r="M772" s="262"/>
      <c r="N772" s="1"/>
      <c r="O772" s="1"/>
      <c r="P772" s="1"/>
      <c r="Q772" s="1"/>
      <c r="R772" s="1"/>
      <c r="S772" s="1"/>
      <c r="T772" s="1"/>
      <c r="U772" s="1"/>
      <c r="V772" s="1"/>
      <c r="W772" s="1"/>
      <c r="X772" s="1"/>
      <c r="Y772" s="1"/>
      <c r="Z772" s="1"/>
      <c r="AA772" s="1"/>
      <c r="AB772" s="1"/>
    </row>
    <row r="773" spans="1:28" ht="11.25" customHeight="1" x14ac:dyDescent="0.25">
      <c r="A773" s="825"/>
      <c r="B773" s="16"/>
      <c r="C773" s="1"/>
      <c r="D773" s="1"/>
      <c r="E773" s="1"/>
      <c r="F773" s="1"/>
      <c r="G773" s="1"/>
      <c r="H773" s="1"/>
      <c r="I773" s="1"/>
      <c r="J773" s="1"/>
      <c r="K773" s="1"/>
      <c r="L773" s="22"/>
      <c r="M773" s="262"/>
      <c r="N773" s="1"/>
      <c r="O773" s="1"/>
      <c r="P773" s="1"/>
      <c r="Q773" s="1"/>
      <c r="R773" s="1"/>
      <c r="S773" s="1"/>
      <c r="T773" s="1"/>
      <c r="U773" s="1"/>
      <c r="V773" s="1"/>
      <c r="W773" s="1"/>
      <c r="X773" s="1"/>
      <c r="Y773" s="1"/>
      <c r="Z773" s="1"/>
      <c r="AA773" s="1"/>
      <c r="AB773" s="1"/>
    </row>
    <row r="774" spans="1:28" ht="11.25" customHeight="1" x14ac:dyDescent="0.25">
      <c r="A774" s="825"/>
      <c r="B774" s="16"/>
      <c r="C774" s="1"/>
      <c r="D774" s="1"/>
      <c r="E774" s="1"/>
      <c r="F774" s="1"/>
      <c r="G774" s="1"/>
      <c r="H774" s="1"/>
      <c r="I774" s="1"/>
      <c r="J774" s="1"/>
      <c r="K774" s="1"/>
      <c r="L774" s="22"/>
      <c r="M774" s="262"/>
      <c r="N774" s="1"/>
      <c r="O774" s="1"/>
      <c r="P774" s="1"/>
      <c r="Q774" s="1"/>
      <c r="R774" s="1"/>
      <c r="S774" s="1"/>
      <c r="T774" s="1"/>
      <c r="U774" s="1"/>
      <c r="V774" s="1"/>
      <c r="W774" s="1"/>
      <c r="X774" s="1"/>
      <c r="Y774" s="1"/>
      <c r="Z774" s="1"/>
      <c r="AA774" s="1"/>
      <c r="AB774" s="1"/>
    </row>
    <row r="775" spans="1:28" ht="11.25" customHeight="1" x14ac:dyDescent="0.25">
      <c r="A775" s="825"/>
      <c r="B775" s="16"/>
      <c r="C775" s="1"/>
      <c r="D775" s="1"/>
      <c r="E775" s="1"/>
      <c r="F775" s="1"/>
      <c r="G775" s="1"/>
      <c r="H775" s="1"/>
      <c r="I775" s="1"/>
      <c r="J775" s="1"/>
      <c r="K775" s="1"/>
      <c r="L775" s="22"/>
      <c r="M775" s="262"/>
      <c r="N775" s="1"/>
      <c r="O775" s="1"/>
      <c r="P775" s="1"/>
      <c r="Q775" s="1"/>
      <c r="R775" s="1"/>
      <c r="S775" s="1"/>
      <c r="T775" s="1"/>
      <c r="U775" s="1"/>
      <c r="V775" s="1"/>
      <c r="W775" s="1"/>
      <c r="X775" s="1"/>
      <c r="Y775" s="1"/>
      <c r="Z775" s="1"/>
      <c r="AA775" s="1"/>
      <c r="AB775" s="1"/>
    </row>
    <row r="776" spans="1:28" ht="11.25" customHeight="1" x14ac:dyDescent="0.25">
      <c r="A776" s="825"/>
      <c r="B776" s="16"/>
      <c r="C776" s="1"/>
      <c r="D776" s="1"/>
      <c r="E776" s="1"/>
      <c r="F776" s="1"/>
      <c r="G776" s="1"/>
      <c r="H776" s="1"/>
      <c r="I776" s="1"/>
      <c r="J776" s="1"/>
      <c r="K776" s="1"/>
      <c r="L776" s="22"/>
      <c r="M776" s="262"/>
      <c r="N776" s="1"/>
      <c r="O776" s="1"/>
      <c r="P776" s="1"/>
      <c r="Q776" s="1"/>
      <c r="R776" s="1"/>
      <c r="S776" s="1"/>
      <c r="T776" s="1"/>
      <c r="U776" s="1"/>
      <c r="V776" s="1"/>
      <c r="W776" s="1"/>
      <c r="X776" s="1"/>
      <c r="Y776" s="1"/>
      <c r="Z776" s="1"/>
      <c r="AA776" s="1"/>
      <c r="AB776" s="1"/>
    </row>
    <row r="777" spans="1:28" ht="11.25" customHeight="1" x14ac:dyDescent="0.25">
      <c r="A777" s="825"/>
      <c r="B777" s="16"/>
      <c r="C777" s="1"/>
      <c r="D777" s="1"/>
      <c r="E777" s="1"/>
      <c r="F777" s="1"/>
      <c r="G777" s="1"/>
      <c r="H777" s="1"/>
      <c r="I777" s="1"/>
      <c r="J777" s="1"/>
      <c r="K777" s="1"/>
      <c r="L777" s="22"/>
      <c r="M777" s="262"/>
      <c r="N777" s="1"/>
      <c r="O777" s="1"/>
      <c r="P777" s="1"/>
      <c r="Q777" s="1"/>
      <c r="R777" s="1"/>
      <c r="S777" s="1"/>
      <c r="T777" s="1"/>
      <c r="U777" s="1"/>
      <c r="V777" s="1"/>
      <c r="W777" s="1"/>
      <c r="X777" s="1"/>
      <c r="Y777" s="1"/>
      <c r="Z777" s="1"/>
      <c r="AA777" s="1"/>
      <c r="AB777" s="1"/>
    </row>
    <row r="778" spans="1:28" ht="11.25" customHeight="1" x14ac:dyDescent="0.25">
      <c r="A778" s="825"/>
      <c r="B778" s="16"/>
      <c r="C778" s="1"/>
      <c r="D778" s="1"/>
      <c r="E778" s="1"/>
      <c r="F778" s="1"/>
      <c r="G778" s="1"/>
      <c r="H778" s="1"/>
      <c r="I778" s="1"/>
      <c r="J778" s="1"/>
      <c r="K778" s="1"/>
      <c r="L778" s="22"/>
      <c r="M778" s="262"/>
      <c r="N778" s="1"/>
      <c r="O778" s="1"/>
      <c r="P778" s="1"/>
      <c r="Q778" s="1"/>
      <c r="R778" s="1"/>
      <c r="S778" s="1"/>
      <c r="T778" s="1"/>
      <c r="U778" s="1"/>
      <c r="V778" s="1"/>
      <c r="W778" s="1"/>
      <c r="X778" s="1"/>
      <c r="Y778" s="1"/>
      <c r="Z778" s="1"/>
      <c r="AA778" s="1"/>
      <c r="AB778" s="1"/>
    </row>
    <row r="779" spans="1:28" ht="11.25" customHeight="1" x14ac:dyDescent="0.25">
      <c r="A779" s="825"/>
      <c r="B779" s="16"/>
      <c r="C779" s="1"/>
      <c r="D779" s="1"/>
      <c r="E779" s="1"/>
      <c r="F779" s="1"/>
      <c r="G779" s="1"/>
      <c r="H779" s="1"/>
      <c r="I779" s="1"/>
      <c r="J779" s="1"/>
      <c r="K779" s="1"/>
      <c r="L779" s="22"/>
      <c r="M779" s="262"/>
      <c r="N779" s="1"/>
      <c r="O779" s="1"/>
      <c r="P779" s="1"/>
      <c r="Q779" s="1"/>
      <c r="R779" s="1"/>
      <c r="S779" s="1"/>
      <c r="T779" s="1"/>
      <c r="U779" s="1"/>
      <c r="V779" s="1"/>
      <c r="W779" s="1"/>
      <c r="X779" s="1"/>
      <c r="Y779" s="1"/>
      <c r="Z779" s="1"/>
      <c r="AA779" s="1"/>
      <c r="AB779" s="1"/>
    </row>
    <row r="780" spans="1:28" ht="11.25" customHeight="1" x14ac:dyDescent="0.25">
      <c r="A780" s="825"/>
      <c r="B780" s="16"/>
      <c r="C780" s="1"/>
      <c r="D780" s="1"/>
      <c r="E780" s="1"/>
      <c r="F780" s="1"/>
      <c r="G780" s="1"/>
      <c r="H780" s="1"/>
      <c r="I780" s="1"/>
      <c r="J780" s="1"/>
      <c r="K780" s="1"/>
      <c r="L780" s="22"/>
      <c r="M780" s="262"/>
      <c r="N780" s="1"/>
      <c r="O780" s="1"/>
      <c r="P780" s="1"/>
      <c r="Q780" s="1"/>
      <c r="R780" s="1"/>
      <c r="S780" s="1"/>
      <c r="T780" s="1"/>
      <c r="U780" s="1"/>
      <c r="V780" s="1"/>
      <c r="W780" s="1"/>
      <c r="X780" s="1"/>
      <c r="Y780" s="1"/>
      <c r="Z780" s="1"/>
      <c r="AA780" s="1"/>
      <c r="AB780" s="1"/>
    </row>
    <row r="781" spans="1:28" ht="11.25" customHeight="1" x14ac:dyDescent="0.25">
      <c r="A781" s="825"/>
      <c r="B781" s="16"/>
      <c r="C781" s="1"/>
      <c r="D781" s="1"/>
      <c r="E781" s="1"/>
      <c r="F781" s="1"/>
      <c r="G781" s="1"/>
      <c r="H781" s="1"/>
      <c r="I781" s="1"/>
      <c r="J781" s="1"/>
      <c r="K781" s="1"/>
      <c r="L781" s="22"/>
      <c r="M781" s="262"/>
      <c r="N781" s="1"/>
      <c r="O781" s="1"/>
      <c r="P781" s="1"/>
      <c r="Q781" s="1"/>
      <c r="R781" s="1"/>
      <c r="S781" s="1"/>
      <c r="T781" s="1"/>
      <c r="U781" s="1"/>
      <c r="V781" s="1"/>
      <c r="W781" s="1"/>
      <c r="X781" s="1"/>
      <c r="Y781" s="1"/>
      <c r="Z781" s="1"/>
      <c r="AA781" s="1"/>
      <c r="AB781" s="1"/>
    </row>
    <row r="782" spans="1:28" ht="11.25" customHeight="1" x14ac:dyDescent="0.25">
      <c r="A782" s="825"/>
      <c r="B782" s="16"/>
      <c r="C782" s="1"/>
      <c r="D782" s="1"/>
      <c r="E782" s="1"/>
      <c r="F782" s="1"/>
      <c r="G782" s="1"/>
      <c r="H782" s="1"/>
      <c r="I782" s="1"/>
      <c r="J782" s="1"/>
      <c r="K782" s="1"/>
      <c r="L782" s="22"/>
      <c r="M782" s="262"/>
      <c r="N782" s="1"/>
      <c r="O782" s="1"/>
      <c r="P782" s="1"/>
      <c r="Q782" s="1"/>
      <c r="R782" s="1"/>
      <c r="S782" s="1"/>
      <c r="T782" s="1"/>
      <c r="U782" s="1"/>
      <c r="V782" s="1"/>
      <c r="W782" s="1"/>
      <c r="X782" s="1"/>
      <c r="Y782" s="1"/>
      <c r="Z782" s="1"/>
      <c r="AA782" s="1"/>
      <c r="AB782" s="1"/>
    </row>
    <row r="783" spans="1:28" ht="11.25" customHeight="1" x14ac:dyDescent="0.25">
      <c r="A783" s="825"/>
      <c r="B783" s="16"/>
      <c r="C783" s="1"/>
      <c r="D783" s="1"/>
      <c r="E783" s="1"/>
      <c r="F783" s="1"/>
      <c r="G783" s="1"/>
      <c r="H783" s="1"/>
      <c r="I783" s="1"/>
      <c r="J783" s="1"/>
      <c r="K783" s="1"/>
      <c r="L783" s="22"/>
      <c r="M783" s="262"/>
      <c r="N783" s="1"/>
      <c r="O783" s="1"/>
      <c r="P783" s="1"/>
      <c r="Q783" s="1"/>
      <c r="R783" s="1"/>
      <c r="S783" s="1"/>
      <c r="T783" s="1"/>
      <c r="U783" s="1"/>
      <c r="V783" s="1"/>
      <c r="W783" s="1"/>
      <c r="X783" s="1"/>
      <c r="Y783" s="1"/>
      <c r="Z783" s="1"/>
      <c r="AA783" s="1"/>
      <c r="AB783" s="1"/>
    </row>
    <row r="784" spans="1:28" ht="11.25" customHeight="1" x14ac:dyDescent="0.25">
      <c r="A784" s="825"/>
      <c r="B784" s="16"/>
      <c r="C784" s="1"/>
      <c r="D784" s="1"/>
      <c r="E784" s="1"/>
      <c r="F784" s="1"/>
      <c r="G784" s="1"/>
      <c r="H784" s="1"/>
      <c r="I784" s="1"/>
      <c r="J784" s="1"/>
      <c r="K784" s="1"/>
      <c r="L784" s="22"/>
      <c r="M784" s="262"/>
      <c r="N784" s="1"/>
      <c r="O784" s="1"/>
      <c r="P784" s="1"/>
      <c r="Q784" s="1"/>
      <c r="R784" s="1"/>
      <c r="S784" s="1"/>
      <c r="T784" s="1"/>
      <c r="U784" s="1"/>
      <c r="V784" s="1"/>
      <c r="W784" s="1"/>
      <c r="X784" s="1"/>
      <c r="Y784" s="1"/>
      <c r="Z784" s="1"/>
      <c r="AA784" s="1"/>
      <c r="AB784" s="1"/>
    </row>
    <row r="785" spans="1:28" ht="11.25" customHeight="1" x14ac:dyDescent="0.25">
      <c r="A785" s="825"/>
      <c r="B785" s="16"/>
      <c r="C785" s="1"/>
      <c r="D785" s="1"/>
      <c r="E785" s="1"/>
      <c r="F785" s="1"/>
      <c r="G785" s="1"/>
      <c r="H785" s="1"/>
      <c r="I785" s="1"/>
      <c r="J785" s="1"/>
      <c r="K785" s="1"/>
      <c r="L785" s="22"/>
      <c r="M785" s="262"/>
      <c r="N785" s="1"/>
      <c r="O785" s="1"/>
      <c r="P785" s="1"/>
      <c r="Q785" s="1"/>
      <c r="R785" s="1"/>
      <c r="S785" s="1"/>
      <c r="T785" s="1"/>
      <c r="U785" s="1"/>
      <c r="V785" s="1"/>
      <c r="W785" s="1"/>
      <c r="X785" s="1"/>
      <c r="Y785" s="1"/>
      <c r="Z785" s="1"/>
      <c r="AA785" s="1"/>
      <c r="AB785" s="1"/>
    </row>
    <row r="786" spans="1:28" ht="11.25" customHeight="1" x14ac:dyDescent="0.25">
      <c r="A786" s="825"/>
      <c r="B786" s="16"/>
      <c r="C786" s="1"/>
      <c r="D786" s="1"/>
      <c r="E786" s="1"/>
      <c r="F786" s="1"/>
      <c r="G786" s="1"/>
      <c r="H786" s="1"/>
      <c r="I786" s="1"/>
      <c r="J786" s="1"/>
      <c r="K786" s="1"/>
      <c r="L786" s="22"/>
      <c r="M786" s="262"/>
      <c r="N786" s="1"/>
      <c r="O786" s="1"/>
      <c r="P786" s="1"/>
      <c r="Q786" s="1"/>
      <c r="R786" s="1"/>
      <c r="S786" s="1"/>
      <c r="T786" s="1"/>
      <c r="U786" s="1"/>
      <c r="V786" s="1"/>
      <c r="W786" s="1"/>
      <c r="X786" s="1"/>
      <c r="Y786" s="1"/>
      <c r="Z786" s="1"/>
      <c r="AA786" s="1"/>
      <c r="AB786" s="1"/>
    </row>
    <row r="787" spans="1:28" ht="11.25" customHeight="1" x14ac:dyDescent="0.25">
      <c r="A787" s="825"/>
      <c r="B787" s="16"/>
      <c r="C787" s="1"/>
      <c r="D787" s="1"/>
      <c r="E787" s="1"/>
      <c r="F787" s="1"/>
      <c r="G787" s="1"/>
      <c r="H787" s="1"/>
      <c r="I787" s="1"/>
      <c r="J787" s="1"/>
      <c r="K787" s="1"/>
      <c r="L787" s="22"/>
      <c r="M787" s="262"/>
      <c r="N787" s="1"/>
      <c r="O787" s="1"/>
      <c r="P787" s="1"/>
      <c r="Q787" s="1"/>
      <c r="R787" s="1"/>
      <c r="S787" s="1"/>
      <c r="T787" s="1"/>
      <c r="U787" s="1"/>
      <c r="V787" s="1"/>
      <c r="W787" s="1"/>
      <c r="X787" s="1"/>
      <c r="Y787" s="1"/>
      <c r="Z787" s="1"/>
      <c r="AA787" s="1"/>
      <c r="AB787" s="1"/>
    </row>
    <row r="788" spans="1:28" ht="11.25" customHeight="1" x14ac:dyDescent="0.25">
      <c r="A788" s="825"/>
      <c r="B788" s="16"/>
      <c r="C788" s="1"/>
      <c r="D788" s="1"/>
      <c r="E788" s="1"/>
      <c r="F788" s="1"/>
      <c r="G788" s="1"/>
      <c r="H788" s="1"/>
      <c r="I788" s="1"/>
      <c r="J788" s="1"/>
      <c r="K788" s="1"/>
      <c r="L788" s="22"/>
      <c r="M788" s="262"/>
      <c r="N788" s="1"/>
      <c r="O788" s="1"/>
      <c r="P788" s="1"/>
      <c r="Q788" s="1"/>
      <c r="R788" s="1"/>
      <c r="S788" s="1"/>
      <c r="T788" s="1"/>
      <c r="U788" s="1"/>
      <c r="V788" s="1"/>
      <c r="W788" s="1"/>
      <c r="X788" s="1"/>
      <c r="Y788" s="1"/>
      <c r="Z788" s="1"/>
      <c r="AA788" s="1"/>
      <c r="AB788" s="1"/>
    </row>
    <row r="789" spans="1:28" ht="11.25" customHeight="1" x14ac:dyDescent="0.25">
      <c r="A789" s="825"/>
      <c r="B789" s="16"/>
      <c r="C789" s="1"/>
      <c r="D789" s="1"/>
      <c r="E789" s="1"/>
      <c r="F789" s="1"/>
      <c r="G789" s="1"/>
      <c r="H789" s="1"/>
      <c r="I789" s="1"/>
      <c r="J789" s="1"/>
      <c r="K789" s="1"/>
      <c r="L789" s="22"/>
      <c r="M789" s="262"/>
      <c r="N789" s="1"/>
      <c r="O789" s="1"/>
      <c r="P789" s="1"/>
      <c r="Q789" s="1"/>
      <c r="R789" s="1"/>
      <c r="S789" s="1"/>
      <c r="T789" s="1"/>
      <c r="U789" s="1"/>
      <c r="V789" s="1"/>
      <c r="W789" s="1"/>
      <c r="X789" s="1"/>
      <c r="Y789" s="1"/>
      <c r="Z789" s="1"/>
      <c r="AA789" s="1"/>
      <c r="AB789" s="1"/>
    </row>
    <row r="790" spans="1:28" ht="11.25" customHeight="1" x14ac:dyDescent="0.25">
      <c r="A790" s="825"/>
      <c r="B790" s="16"/>
      <c r="C790" s="1"/>
      <c r="D790" s="1"/>
      <c r="E790" s="1"/>
      <c r="F790" s="1"/>
      <c r="G790" s="1"/>
      <c r="H790" s="1"/>
      <c r="I790" s="1"/>
      <c r="J790" s="1"/>
      <c r="K790" s="1"/>
      <c r="L790" s="22"/>
      <c r="M790" s="262"/>
      <c r="N790" s="1"/>
      <c r="O790" s="1"/>
      <c r="P790" s="1"/>
      <c r="Q790" s="1"/>
      <c r="R790" s="1"/>
      <c r="S790" s="1"/>
      <c r="T790" s="1"/>
      <c r="U790" s="1"/>
      <c r="V790" s="1"/>
      <c r="W790" s="1"/>
      <c r="X790" s="1"/>
      <c r="Y790" s="1"/>
      <c r="Z790" s="1"/>
      <c r="AA790" s="1"/>
      <c r="AB790" s="1"/>
    </row>
    <row r="791" spans="1:28" ht="11.25" customHeight="1" x14ac:dyDescent="0.25">
      <c r="A791" s="825"/>
      <c r="B791" s="16"/>
      <c r="C791" s="1"/>
      <c r="D791" s="1"/>
      <c r="E791" s="1"/>
      <c r="F791" s="1"/>
      <c r="G791" s="1"/>
      <c r="H791" s="1"/>
      <c r="I791" s="1"/>
      <c r="J791" s="1"/>
      <c r="K791" s="1"/>
      <c r="L791" s="22"/>
      <c r="M791" s="262"/>
      <c r="N791" s="1"/>
      <c r="O791" s="1"/>
      <c r="P791" s="1"/>
      <c r="Q791" s="1"/>
      <c r="R791" s="1"/>
      <c r="S791" s="1"/>
      <c r="T791" s="1"/>
      <c r="U791" s="1"/>
      <c r="V791" s="1"/>
      <c r="W791" s="1"/>
      <c r="X791" s="1"/>
      <c r="Y791" s="1"/>
      <c r="Z791" s="1"/>
      <c r="AA791" s="1"/>
      <c r="AB791" s="1"/>
    </row>
    <row r="792" spans="1:28" ht="11.25" customHeight="1" x14ac:dyDescent="0.25">
      <c r="A792" s="825"/>
      <c r="B792" s="16"/>
      <c r="C792" s="1"/>
      <c r="D792" s="1"/>
      <c r="E792" s="1"/>
      <c r="F792" s="1"/>
      <c r="G792" s="1"/>
      <c r="H792" s="1"/>
      <c r="I792" s="1"/>
      <c r="J792" s="1"/>
      <c r="K792" s="1"/>
      <c r="L792" s="22"/>
      <c r="M792" s="262"/>
      <c r="N792" s="1"/>
      <c r="O792" s="1"/>
      <c r="P792" s="1"/>
      <c r="Q792" s="1"/>
      <c r="R792" s="1"/>
      <c r="S792" s="1"/>
      <c r="T792" s="1"/>
      <c r="U792" s="1"/>
      <c r="V792" s="1"/>
      <c r="W792" s="1"/>
      <c r="X792" s="1"/>
      <c r="Y792" s="1"/>
      <c r="Z792" s="1"/>
      <c r="AA792" s="1"/>
      <c r="AB792" s="1"/>
    </row>
    <row r="793" spans="1:28" ht="11.25" customHeight="1" x14ac:dyDescent="0.25">
      <c r="A793" s="825"/>
      <c r="B793" s="16"/>
      <c r="C793" s="1"/>
      <c r="D793" s="1"/>
      <c r="E793" s="1"/>
      <c r="F793" s="1"/>
      <c r="G793" s="1"/>
      <c r="H793" s="1"/>
      <c r="I793" s="1"/>
      <c r="J793" s="1"/>
      <c r="K793" s="1"/>
      <c r="L793" s="22"/>
      <c r="M793" s="262"/>
      <c r="N793" s="1"/>
      <c r="O793" s="1"/>
      <c r="P793" s="1"/>
      <c r="Q793" s="1"/>
      <c r="R793" s="1"/>
      <c r="S793" s="1"/>
      <c r="T793" s="1"/>
      <c r="U793" s="1"/>
      <c r="V793" s="1"/>
      <c r="W793" s="1"/>
      <c r="X793" s="1"/>
      <c r="Y793" s="1"/>
      <c r="Z793" s="1"/>
      <c r="AA793" s="1"/>
      <c r="AB793" s="1"/>
    </row>
    <row r="794" spans="1:28" ht="11.25" customHeight="1" x14ac:dyDescent="0.25">
      <c r="A794" s="825"/>
      <c r="B794" s="16"/>
      <c r="C794" s="1"/>
      <c r="D794" s="1"/>
      <c r="E794" s="1"/>
      <c r="F794" s="1"/>
      <c r="G794" s="1"/>
      <c r="H794" s="1"/>
      <c r="I794" s="1"/>
      <c r="J794" s="1"/>
      <c r="K794" s="1"/>
      <c r="L794" s="22"/>
      <c r="M794" s="262"/>
      <c r="N794" s="1"/>
      <c r="O794" s="1"/>
      <c r="P794" s="1"/>
      <c r="Q794" s="1"/>
      <c r="R794" s="1"/>
      <c r="S794" s="1"/>
      <c r="T794" s="1"/>
      <c r="U794" s="1"/>
      <c r="V794" s="1"/>
      <c r="W794" s="1"/>
      <c r="X794" s="1"/>
      <c r="Y794" s="1"/>
      <c r="Z794" s="1"/>
      <c r="AA794" s="1"/>
      <c r="AB794" s="1"/>
    </row>
    <row r="795" spans="1:28" ht="11.25" customHeight="1" x14ac:dyDescent="0.25">
      <c r="A795" s="825"/>
      <c r="B795" s="16"/>
      <c r="C795" s="1"/>
      <c r="D795" s="1"/>
      <c r="E795" s="1"/>
      <c r="F795" s="1"/>
      <c r="G795" s="1"/>
      <c r="H795" s="1"/>
      <c r="I795" s="1"/>
      <c r="J795" s="1"/>
      <c r="K795" s="1"/>
      <c r="L795" s="22"/>
      <c r="M795" s="262"/>
      <c r="N795" s="1"/>
      <c r="O795" s="1"/>
      <c r="P795" s="1"/>
      <c r="Q795" s="1"/>
      <c r="R795" s="1"/>
      <c r="S795" s="1"/>
      <c r="T795" s="1"/>
      <c r="U795" s="1"/>
      <c r="V795" s="1"/>
      <c r="W795" s="1"/>
      <c r="X795" s="1"/>
      <c r="Y795" s="1"/>
      <c r="Z795" s="1"/>
      <c r="AA795" s="1"/>
      <c r="AB795" s="1"/>
    </row>
    <row r="796" spans="1:28" ht="11.25" customHeight="1" x14ac:dyDescent="0.25">
      <c r="A796" s="825"/>
      <c r="B796" s="16"/>
      <c r="C796" s="1"/>
      <c r="D796" s="1"/>
      <c r="E796" s="1"/>
      <c r="F796" s="1"/>
      <c r="G796" s="1"/>
      <c r="H796" s="1"/>
      <c r="I796" s="1"/>
      <c r="J796" s="1"/>
      <c r="K796" s="1"/>
      <c r="L796" s="22"/>
      <c r="M796" s="262"/>
      <c r="N796" s="1"/>
      <c r="O796" s="1"/>
      <c r="P796" s="1"/>
      <c r="Q796" s="1"/>
      <c r="R796" s="1"/>
      <c r="S796" s="1"/>
      <c r="T796" s="1"/>
      <c r="U796" s="1"/>
      <c r="V796" s="1"/>
      <c r="W796" s="1"/>
      <c r="X796" s="1"/>
      <c r="Y796" s="1"/>
      <c r="Z796" s="1"/>
      <c r="AA796" s="1"/>
      <c r="AB796" s="1"/>
    </row>
    <row r="797" spans="1:28" ht="11.25" customHeight="1" x14ac:dyDescent="0.25">
      <c r="A797" s="825"/>
      <c r="B797" s="16"/>
      <c r="C797" s="1"/>
      <c r="D797" s="1"/>
      <c r="E797" s="1"/>
      <c r="F797" s="1"/>
      <c r="G797" s="1"/>
      <c r="H797" s="1"/>
      <c r="I797" s="1"/>
      <c r="J797" s="1"/>
      <c r="K797" s="1"/>
      <c r="L797" s="22"/>
      <c r="M797" s="262"/>
      <c r="N797" s="1"/>
      <c r="O797" s="1"/>
      <c r="P797" s="1"/>
      <c r="Q797" s="1"/>
      <c r="R797" s="1"/>
      <c r="S797" s="1"/>
      <c r="T797" s="1"/>
      <c r="U797" s="1"/>
      <c r="V797" s="1"/>
      <c r="W797" s="1"/>
      <c r="X797" s="1"/>
      <c r="Y797" s="1"/>
      <c r="Z797" s="1"/>
      <c r="AA797" s="1"/>
      <c r="AB797" s="1"/>
    </row>
    <row r="798" spans="1:28" ht="11.25" customHeight="1" x14ac:dyDescent="0.25">
      <c r="A798" s="825"/>
      <c r="B798" s="16"/>
      <c r="C798" s="1"/>
      <c r="D798" s="1"/>
      <c r="E798" s="1"/>
      <c r="F798" s="1"/>
      <c r="G798" s="1"/>
      <c r="H798" s="1"/>
      <c r="I798" s="1"/>
      <c r="J798" s="1"/>
      <c r="K798" s="1"/>
      <c r="L798" s="22"/>
      <c r="M798" s="262"/>
      <c r="N798" s="1"/>
      <c r="O798" s="1"/>
      <c r="P798" s="1"/>
      <c r="Q798" s="1"/>
      <c r="R798" s="1"/>
      <c r="S798" s="1"/>
      <c r="T798" s="1"/>
      <c r="U798" s="1"/>
      <c r="V798" s="1"/>
      <c r="W798" s="1"/>
      <c r="X798" s="1"/>
      <c r="Y798" s="1"/>
      <c r="Z798" s="1"/>
      <c r="AA798" s="1"/>
      <c r="AB798" s="1"/>
    </row>
    <row r="799" spans="1:28" ht="11.25" customHeight="1" x14ac:dyDescent="0.25">
      <c r="A799" s="825"/>
      <c r="B799" s="16"/>
      <c r="C799" s="1"/>
      <c r="D799" s="1"/>
      <c r="E799" s="1"/>
      <c r="F799" s="1"/>
      <c r="G799" s="1"/>
      <c r="H799" s="1"/>
      <c r="I799" s="1"/>
      <c r="J799" s="1"/>
      <c r="K799" s="1"/>
      <c r="L799" s="22"/>
      <c r="M799" s="262"/>
      <c r="N799" s="1"/>
      <c r="O799" s="1"/>
      <c r="P799" s="1"/>
      <c r="Q799" s="1"/>
      <c r="R799" s="1"/>
      <c r="S799" s="1"/>
      <c r="T799" s="1"/>
      <c r="U799" s="1"/>
      <c r="V799" s="1"/>
      <c r="W799" s="1"/>
      <c r="X799" s="1"/>
      <c r="Y799" s="1"/>
      <c r="Z799" s="1"/>
      <c r="AA799" s="1"/>
      <c r="AB799" s="1"/>
    </row>
    <row r="800" spans="1:28" ht="11.25" customHeight="1" x14ac:dyDescent="0.25">
      <c r="A800" s="825"/>
      <c r="B800" s="16"/>
      <c r="C800" s="1"/>
      <c r="D800" s="1"/>
      <c r="E800" s="1"/>
      <c r="F800" s="1"/>
      <c r="G800" s="1"/>
      <c r="H800" s="1"/>
      <c r="I800" s="1"/>
      <c r="J800" s="1"/>
      <c r="K800" s="1"/>
      <c r="L800" s="22"/>
      <c r="M800" s="262"/>
      <c r="N800" s="1"/>
      <c r="O800" s="1"/>
      <c r="P800" s="1"/>
      <c r="Q800" s="1"/>
      <c r="R800" s="1"/>
      <c r="S800" s="1"/>
      <c r="T800" s="1"/>
      <c r="U800" s="1"/>
      <c r="V800" s="1"/>
      <c r="W800" s="1"/>
      <c r="X800" s="1"/>
      <c r="Y800" s="1"/>
      <c r="Z800" s="1"/>
      <c r="AA800" s="1"/>
      <c r="AB800" s="1"/>
    </row>
    <row r="801" spans="1:28" ht="11.25" customHeight="1" x14ac:dyDescent="0.25">
      <c r="A801" s="825"/>
      <c r="B801" s="16"/>
      <c r="C801" s="1"/>
      <c r="D801" s="1"/>
      <c r="E801" s="1"/>
      <c r="F801" s="1"/>
      <c r="G801" s="1"/>
      <c r="H801" s="1"/>
      <c r="I801" s="1"/>
      <c r="J801" s="1"/>
      <c r="K801" s="1"/>
      <c r="L801" s="22"/>
      <c r="M801" s="262"/>
      <c r="N801" s="1"/>
      <c r="O801" s="1"/>
      <c r="P801" s="1"/>
      <c r="Q801" s="1"/>
      <c r="R801" s="1"/>
      <c r="S801" s="1"/>
      <c r="T801" s="1"/>
      <c r="U801" s="1"/>
      <c r="V801" s="1"/>
      <c r="W801" s="1"/>
      <c r="X801" s="1"/>
      <c r="Y801" s="1"/>
      <c r="Z801" s="1"/>
      <c r="AA801" s="1"/>
      <c r="AB801" s="1"/>
    </row>
    <row r="802" spans="1:28" ht="11.25" customHeight="1" x14ac:dyDescent="0.25">
      <c r="A802" s="825"/>
      <c r="B802" s="16"/>
      <c r="C802" s="1"/>
      <c r="D802" s="1"/>
      <c r="E802" s="1"/>
      <c r="F802" s="1"/>
      <c r="G802" s="1"/>
      <c r="H802" s="1"/>
      <c r="I802" s="1"/>
      <c r="J802" s="1"/>
      <c r="K802" s="1"/>
      <c r="L802" s="22"/>
      <c r="M802" s="262"/>
      <c r="N802" s="1"/>
      <c r="O802" s="1"/>
      <c r="P802" s="1"/>
      <c r="Q802" s="1"/>
      <c r="R802" s="1"/>
      <c r="S802" s="1"/>
      <c r="T802" s="1"/>
      <c r="U802" s="1"/>
      <c r="V802" s="1"/>
      <c r="W802" s="1"/>
      <c r="X802" s="1"/>
      <c r="Y802" s="1"/>
      <c r="Z802" s="1"/>
      <c r="AA802" s="1"/>
      <c r="AB802" s="1"/>
    </row>
    <row r="803" spans="1:28" ht="11.25" customHeight="1" x14ac:dyDescent="0.25">
      <c r="A803" s="825"/>
      <c r="B803" s="16"/>
      <c r="C803" s="1"/>
      <c r="D803" s="1"/>
      <c r="E803" s="1"/>
      <c r="F803" s="1"/>
      <c r="G803" s="1"/>
      <c r="H803" s="1"/>
      <c r="I803" s="1"/>
      <c r="J803" s="1"/>
      <c r="K803" s="1"/>
      <c r="L803" s="22"/>
      <c r="M803" s="262"/>
      <c r="N803" s="1"/>
      <c r="O803" s="1"/>
      <c r="P803" s="1"/>
      <c r="Q803" s="1"/>
      <c r="R803" s="1"/>
      <c r="S803" s="1"/>
      <c r="T803" s="1"/>
      <c r="U803" s="1"/>
      <c r="V803" s="1"/>
      <c r="W803" s="1"/>
      <c r="X803" s="1"/>
      <c r="Y803" s="1"/>
      <c r="Z803" s="1"/>
      <c r="AA803" s="1"/>
      <c r="AB803" s="1"/>
    </row>
    <row r="804" spans="1:28" ht="11.25" customHeight="1" x14ac:dyDescent="0.25">
      <c r="A804" s="825"/>
      <c r="B804" s="16"/>
      <c r="C804" s="1"/>
      <c r="D804" s="1"/>
      <c r="E804" s="1"/>
      <c r="F804" s="1"/>
      <c r="G804" s="1"/>
      <c r="H804" s="1"/>
      <c r="I804" s="1"/>
      <c r="J804" s="1"/>
      <c r="K804" s="1"/>
      <c r="L804" s="22"/>
      <c r="M804" s="262"/>
      <c r="N804" s="1"/>
      <c r="O804" s="1"/>
      <c r="P804" s="1"/>
      <c r="Q804" s="1"/>
      <c r="R804" s="1"/>
      <c r="S804" s="1"/>
      <c r="T804" s="1"/>
      <c r="U804" s="1"/>
      <c r="V804" s="1"/>
      <c r="W804" s="1"/>
      <c r="X804" s="1"/>
      <c r="Y804" s="1"/>
      <c r="Z804" s="1"/>
      <c r="AA804" s="1"/>
      <c r="AB804" s="1"/>
    </row>
    <row r="805" spans="1:28" ht="11.25" customHeight="1" x14ac:dyDescent="0.25">
      <c r="A805" s="825"/>
      <c r="B805" s="16"/>
      <c r="C805" s="1"/>
      <c r="D805" s="1"/>
      <c r="E805" s="1"/>
      <c r="F805" s="1"/>
      <c r="G805" s="1"/>
      <c r="H805" s="1"/>
      <c r="I805" s="1"/>
      <c r="J805" s="1"/>
      <c r="K805" s="1"/>
      <c r="L805" s="22"/>
      <c r="M805" s="262"/>
      <c r="N805" s="1"/>
      <c r="O805" s="1"/>
      <c r="P805" s="1"/>
      <c r="Q805" s="1"/>
      <c r="R805" s="1"/>
      <c r="S805" s="1"/>
      <c r="T805" s="1"/>
      <c r="U805" s="1"/>
      <c r="V805" s="1"/>
      <c r="W805" s="1"/>
      <c r="X805" s="1"/>
      <c r="Y805" s="1"/>
      <c r="Z805" s="1"/>
      <c r="AA805" s="1"/>
      <c r="AB805" s="1"/>
    </row>
    <row r="806" spans="1:28" ht="11.25" customHeight="1" x14ac:dyDescent="0.25">
      <c r="A806" s="825"/>
      <c r="B806" s="16"/>
      <c r="C806" s="1"/>
      <c r="D806" s="1"/>
      <c r="E806" s="1"/>
      <c r="F806" s="1"/>
      <c r="G806" s="1"/>
      <c r="H806" s="1"/>
      <c r="I806" s="1"/>
      <c r="J806" s="1"/>
      <c r="K806" s="1"/>
      <c r="L806" s="22"/>
      <c r="M806" s="262"/>
      <c r="N806" s="1"/>
      <c r="O806" s="1"/>
      <c r="P806" s="1"/>
      <c r="Q806" s="1"/>
      <c r="R806" s="1"/>
      <c r="S806" s="1"/>
      <c r="T806" s="1"/>
      <c r="U806" s="1"/>
      <c r="V806" s="1"/>
      <c r="W806" s="1"/>
      <c r="X806" s="1"/>
      <c r="Y806" s="1"/>
      <c r="Z806" s="1"/>
      <c r="AA806" s="1"/>
      <c r="AB806" s="1"/>
    </row>
    <row r="807" spans="1:28" ht="11.25" customHeight="1" x14ac:dyDescent="0.25">
      <c r="A807" s="825"/>
      <c r="B807" s="16"/>
      <c r="C807" s="1"/>
      <c r="D807" s="1"/>
      <c r="E807" s="1"/>
      <c r="F807" s="1"/>
      <c r="G807" s="1"/>
      <c r="H807" s="1"/>
      <c r="I807" s="1"/>
      <c r="J807" s="1"/>
      <c r="K807" s="1"/>
      <c r="L807" s="22"/>
      <c r="M807" s="262"/>
      <c r="N807" s="1"/>
      <c r="O807" s="1"/>
      <c r="P807" s="1"/>
      <c r="Q807" s="1"/>
      <c r="R807" s="1"/>
      <c r="S807" s="1"/>
      <c r="T807" s="1"/>
      <c r="U807" s="1"/>
      <c r="V807" s="1"/>
      <c r="W807" s="1"/>
      <c r="X807" s="1"/>
      <c r="Y807" s="1"/>
      <c r="Z807" s="1"/>
      <c r="AA807" s="1"/>
      <c r="AB807" s="1"/>
    </row>
    <row r="808" spans="1:28" ht="11.25" customHeight="1" x14ac:dyDescent="0.25">
      <c r="A808" s="825"/>
      <c r="B808" s="16"/>
      <c r="C808" s="1"/>
      <c r="D808" s="1"/>
      <c r="E808" s="1"/>
      <c r="F808" s="1"/>
      <c r="G808" s="1"/>
      <c r="H808" s="1"/>
      <c r="I808" s="1"/>
      <c r="J808" s="1"/>
      <c r="K808" s="1"/>
      <c r="L808" s="22"/>
      <c r="M808" s="262"/>
      <c r="N808" s="1"/>
      <c r="O808" s="1"/>
      <c r="P808" s="1"/>
      <c r="Q808" s="1"/>
      <c r="R808" s="1"/>
      <c r="S808" s="1"/>
      <c r="T808" s="1"/>
      <c r="U808" s="1"/>
      <c r="V808" s="1"/>
      <c r="W808" s="1"/>
      <c r="X808" s="1"/>
      <c r="Y808" s="1"/>
      <c r="Z808" s="1"/>
      <c r="AA808" s="1"/>
      <c r="AB808" s="1"/>
    </row>
    <row r="809" spans="1:28" ht="11.25" customHeight="1" x14ac:dyDescent="0.25">
      <c r="A809" s="825"/>
      <c r="B809" s="16"/>
      <c r="C809" s="1"/>
      <c r="D809" s="1"/>
      <c r="E809" s="1"/>
      <c r="F809" s="1"/>
      <c r="G809" s="1"/>
      <c r="H809" s="1"/>
      <c r="I809" s="1"/>
      <c r="J809" s="1"/>
      <c r="K809" s="1"/>
      <c r="L809" s="22"/>
      <c r="M809" s="262"/>
      <c r="N809" s="1"/>
      <c r="O809" s="1"/>
      <c r="P809" s="1"/>
      <c r="Q809" s="1"/>
      <c r="R809" s="1"/>
      <c r="S809" s="1"/>
      <c r="T809" s="1"/>
      <c r="U809" s="1"/>
      <c r="V809" s="1"/>
      <c r="W809" s="1"/>
      <c r="X809" s="1"/>
      <c r="Y809" s="1"/>
      <c r="Z809" s="1"/>
      <c r="AA809" s="1"/>
      <c r="AB809" s="1"/>
    </row>
    <row r="810" spans="1:28" ht="11.25" customHeight="1" x14ac:dyDescent="0.25">
      <c r="A810" s="825"/>
      <c r="B810" s="16"/>
      <c r="C810" s="1"/>
      <c r="D810" s="1"/>
      <c r="E810" s="1"/>
      <c r="F810" s="1"/>
      <c r="G810" s="1"/>
      <c r="H810" s="1"/>
      <c r="I810" s="1"/>
      <c r="J810" s="1"/>
      <c r="K810" s="1"/>
      <c r="L810" s="22"/>
      <c r="M810" s="262"/>
      <c r="N810" s="1"/>
      <c r="O810" s="1"/>
      <c r="P810" s="1"/>
      <c r="Q810" s="1"/>
      <c r="R810" s="1"/>
      <c r="S810" s="1"/>
      <c r="T810" s="1"/>
      <c r="U810" s="1"/>
      <c r="V810" s="1"/>
      <c r="W810" s="1"/>
      <c r="X810" s="1"/>
      <c r="Y810" s="1"/>
      <c r="Z810" s="1"/>
      <c r="AA810" s="1"/>
      <c r="AB810" s="1"/>
    </row>
    <row r="811" spans="1:28" ht="11.25" customHeight="1" x14ac:dyDescent="0.25">
      <c r="A811" s="825"/>
      <c r="B811" s="16"/>
      <c r="C811" s="1"/>
      <c r="D811" s="1"/>
      <c r="E811" s="1"/>
      <c r="F811" s="1"/>
      <c r="G811" s="1"/>
      <c r="H811" s="1"/>
      <c r="I811" s="1"/>
      <c r="J811" s="1"/>
      <c r="K811" s="1"/>
      <c r="L811" s="22"/>
      <c r="M811" s="262"/>
      <c r="N811" s="1"/>
      <c r="O811" s="1"/>
      <c r="P811" s="1"/>
      <c r="Q811" s="1"/>
      <c r="R811" s="1"/>
      <c r="S811" s="1"/>
      <c r="T811" s="1"/>
      <c r="U811" s="1"/>
      <c r="V811" s="1"/>
      <c r="W811" s="1"/>
      <c r="X811" s="1"/>
      <c r="Y811" s="1"/>
      <c r="Z811" s="1"/>
      <c r="AA811" s="1"/>
      <c r="AB811" s="1"/>
    </row>
    <row r="812" spans="1:28" ht="11.25" customHeight="1" x14ac:dyDescent="0.25">
      <c r="A812" s="825"/>
      <c r="B812" s="16"/>
      <c r="C812" s="1"/>
      <c r="D812" s="1"/>
      <c r="E812" s="1"/>
      <c r="F812" s="1"/>
      <c r="G812" s="1"/>
      <c r="H812" s="1"/>
      <c r="I812" s="1"/>
      <c r="J812" s="1"/>
      <c r="K812" s="1"/>
      <c r="L812" s="22"/>
      <c r="M812" s="262"/>
      <c r="N812" s="1"/>
      <c r="O812" s="1"/>
      <c r="P812" s="1"/>
      <c r="Q812" s="1"/>
      <c r="R812" s="1"/>
      <c r="S812" s="1"/>
      <c r="T812" s="1"/>
      <c r="U812" s="1"/>
      <c r="V812" s="1"/>
      <c r="W812" s="1"/>
      <c r="X812" s="1"/>
      <c r="Y812" s="1"/>
      <c r="Z812" s="1"/>
      <c r="AA812" s="1"/>
      <c r="AB812" s="1"/>
    </row>
    <row r="813" spans="1:28" ht="11.25" customHeight="1" x14ac:dyDescent="0.25">
      <c r="A813" s="825"/>
      <c r="B813" s="16"/>
      <c r="C813" s="1"/>
      <c r="D813" s="1"/>
      <c r="E813" s="1"/>
      <c r="F813" s="1"/>
      <c r="G813" s="1"/>
      <c r="H813" s="1"/>
      <c r="I813" s="1"/>
      <c r="J813" s="1"/>
      <c r="K813" s="1"/>
      <c r="L813" s="22"/>
      <c r="M813" s="262"/>
      <c r="N813" s="1"/>
      <c r="O813" s="1"/>
      <c r="P813" s="1"/>
      <c r="Q813" s="1"/>
      <c r="R813" s="1"/>
      <c r="S813" s="1"/>
      <c r="T813" s="1"/>
      <c r="U813" s="1"/>
      <c r="V813" s="1"/>
      <c r="W813" s="1"/>
      <c r="X813" s="1"/>
      <c r="Y813" s="1"/>
      <c r="Z813" s="1"/>
      <c r="AA813" s="1"/>
      <c r="AB813" s="1"/>
    </row>
    <row r="814" spans="1:28" ht="11.25" customHeight="1" x14ac:dyDescent="0.25">
      <c r="A814" s="825"/>
      <c r="B814" s="16"/>
      <c r="C814" s="1"/>
      <c r="D814" s="1"/>
      <c r="E814" s="1"/>
      <c r="F814" s="1"/>
      <c r="G814" s="1"/>
      <c r="H814" s="1"/>
      <c r="I814" s="1"/>
      <c r="J814" s="1"/>
      <c r="K814" s="1"/>
      <c r="L814" s="22"/>
      <c r="M814" s="262"/>
      <c r="N814" s="1"/>
      <c r="O814" s="1"/>
      <c r="P814" s="1"/>
      <c r="Q814" s="1"/>
      <c r="R814" s="1"/>
      <c r="S814" s="1"/>
      <c r="T814" s="1"/>
      <c r="U814" s="1"/>
      <c r="V814" s="1"/>
      <c r="W814" s="1"/>
      <c r="X814" s="1"/>
      <c r="Y814" s="1"/>
      <c r="Z814" s="1"/>
      <c r="AA814" s="1"/>
      <c r="AB814" s="1"/>
    </row>
    <row r="815" spans="1:28" ht="11.25" customHeight="1" x14ac:dyDescent="0.25">
      <c r="A815" s="825"/>
      <c r="B815" s="16"/>
      <c r="C815" s="1"/>
      <c r="D815" s="1"/>
      <c r="E815" s="1"/>
      <c r="F815" s="1"/>
      <c r="G815" s="1"/>
      <c r="H815" s="1"/>
      <c r="I815" s="1"/>
      <c r="J815" s="1"/>
      <c r="K815" s="1"/>
      <c r="L815" s="22"/>
      <c r="M815" s="262"/>
      <c r="N815" s="1"/>
      <c r="O815" s="1"/>
      <c r="P815" s="1"/>
      <c r="Q815" s="1"/>
      <c r="R815" s="1"/>
      <c r="S815" s="1"/>
      <c r="T815" s="1"/>
      <c r="U815" s="1"/>
      <c r="V815" s="1"/>
      <c r="W815" s="1"/>
      <c r="X815" s="1"/>
      <c r="Y815" s="1"/>
      <c r="Z815" s="1"/>
      <c r="AA815" s="1"/>
      <c r="AB815" s="1"/>
    </row>
    <row r="816" spans="1:28" ht="11.25" customHeight="1" x14ac:dyDescent="0.25">
      <c r="A816" s="825"/>
      <c r="B816" s="16"/>
      <c r="C816" s="1"/>
      <c r="D816" s="1"/>
      <c r="E816" s="1"/>
      <c r="F816" s="1"/>
      <c r="G816" s="1"/>
      <c r="H816" s="1"/>
      <c r="I816" s="1"/>
      <c r="J816" s="1"/>
      <c r="K816" s="1"/>
      <c r="L816" s="22"/>
      <c r="M816" s="262"/>
      <c r="N816" s="1"/>
      <c r="O816" s="1"/>
      <c r="P816" s="1"/>
      <c r="Q816" s="1"/>
      <c r="R816" s="1"/>
      <c r="S816" s="1"/>
      <c r="T816" s="1"/>
      <c r="U816" s="1"/>
      <c r="V816" s="1"/>
      <c r="W816" s="1"/>
      <c r="X816" s="1"/>
      <c r="Y816" s="1"/>
      <c r="Z816" s="1"/>
      <c r="AA816" s="1"/>
      <c r="AB816" s="1"/>
    </row>
    <row r="817" spans="1:28" ht="11.25" customHeight="1" x14ac:dyDescent="0.25">
      <c r="A817" s="825"/>
      <c r="B817" s="16"/>
      <c r="C817" s="1"/>
      <c r="D817" s="1"/>
      <c r="E817" s="1"/>
      <c r="F817" s="1"/>
      <c r="G817" s="1"/>
      <c r="H817" s="1"/>
      <c r="I817" s="1"/>
      <c r="J817" s="1"/>
      <c r="K817" s="1"/>
      <c r="L817" s="22"/>
      <c r="M817" s="262"/>
      <c r="N817" s="1"/>
      <c r="O817" s="1"/>
      <c r="P817" s="1"/>
      <c r="Q817" s="1"/>
      <c r="R817" s="1"/>
      <c r="S817" s="1"/>
      <c r="T817" s="1"/>
      <c r="U817" s="1"/>
      <c r="V817" s="1"/>
      <c r="W817" s="1"/>
      <c r="X817" s="1"/>
      <c r="Y817" s="1"/>
      <c r="Z817" s="1"/>
      <c r="AA817" s="1"/>
      <c r="AB817" s="1"/>
    </row>
    <row r="818" spans="1:28" ht="11.25" customHeight="1" x14ac:dyDescent="0.25">
      <c r="A818" s="825"/>
      <c r="B818" s="16"/>
      <c r="C818" s="1"/>
      <c r="D818" s="1"/>
      <c r="E818" s="1"/>
      <c r="F818" s="1"/>
      <c r="G818" s="1"/>
      <c r="H818" s="1"/>
      <c r="I818" s="1"/>
      <c r="J818" s="1"/>
      <c r="K818" s="1"/>
      <c r="L818" s="22"/>
      <c r="M818" s="262"/>
      <c r="N818" s="1"/>
      <c r="O818" s="1"/>
      <c r="P818" s="1"/>
      <c r="Q818" s="1"/>
      <c r="R818" s="1"/>
      <c r="S818" s="1"/>
      <c r="T818" s="1"/>
      <c r="U818" s="1"/>
      <c r="V818" s="1"/>
      <c r="W818" s="1"/>
      <c r="X818" s="1"/>
      <c r="Y818" s="1"/>
      <c r="Z818" s="1"/>
      <c r="AA818" s="1"/>
      <c r="AB818" s="1"/>
    </row>
    <row r="819" spans="1:28" ht="11.25" customHeight="1" x14ac:dyDescent="0.25">
      <c r="A819" s="825"/>
      <c r="B819" s="16"/>
      <c r="C819" s="1"/>
      <c r="D819" s="1"/>
      <c r="E819" s="1"/>
      <c r="F819" s="1"/>
      <c r="G819" s="1"/>
      <c r="H819" s="1"/>
      <c r="I819" s="1"/>
      <c r="J819" s="1"/>
      <c r="K819" s="1"/>
      <c r="L819" s="22"/>
      <c r="M819" s="262"/>
      <c r="N819" s="1"/>
      <c r="O819" s="1"/>
      <c r="P819" s="1"/>
      <c r="Q819" s="1"/>
      <c r="R819" s="1"/>
      <c r="S819" s="1"/>
      <c r="T819" s="1"/>
      <c r="U819" s="1"/>
      <c r="V819" s="1"/>
      <c r="W819" s="1"/>
      <c r="X819" s="1"/>
      <c r="Y819" s="1"/>
      <c r="Z819" s="1"/>
      <c r="AA819" s="1"/>
      <c r="AB819" s="1"/>
    </row>
    <row r="820" spans="1:28" ht="11.25" customHeight="1" x14ac:dyDescent="0.25">
      <c r="A820" s="825"/>
      <c r="B820" s="16"/>
      <c r="C820" s="1"/>
      <c r="D820" s="1"/>
      <c r="E820" s="1"/>
      <c r="F820" s="1"/>
      <c r="G820" s="1"/>
      <c r="H820" s="1"/>
      <c r="I820" s="1"/>
      <c r="J820" s="1"/>
      <c r="K820" s="1"/>
      <c r="L820" s="22"/>
      <c r="M820" s="262"/>
      <c r="N820" s="1"/>
      <c r="O820" s="1"/>
      <c r="P820" s="1"/>
      <c r="Q820" s="1"/>
      <c r="R820" s="1"/>
      <c r="S820" s="1"/>
      <c r="T820" s="1"/>
      <c r="U820" s="1"/>
      <c r="V820" s="1"/>
      <c r="W820" s="1"/>
      <c r="X820" s="1"/>
      <c r="Y820" s="1"/>
      <c r="Z820" s="1"/>
      <c r="AA820" s="1"/>
      <c r="AB820" s="1"/>
    </row>
    <row r="821" spans="1:28" ht="11.25" customHeight="1" x14ac:dyDescent="0.25">
      <c r="A821" s="825"/>
      <c r="B821" s="16"/>
      <c r="C821" s="1"/>
      <c r="D821" s="1"/>
      <c r="E821" s="1"/>
      <c r="F821" s="1"/>
      <c r="G821" s="1"/>
      <c r="H821" s="1"/>
      <c r="I821" s="1"/>
      <c r="J821" s="1"/>
      <c r="K821" s="1"/>
      <c r="L821" s="22"/>
      <c r="M821" s="262"/>
      <c r="N821" s="1"/>
      <c r="O821" s="1"/>
      <c r="P821" s="1"/>
      <c r="Q821" s="1"/>
      <c r="R821" s="1"/>
      <c r="S821" s="1"/>
      <c r="T821" s="1"/>
      <c r="U821" s="1"/>
      <c r="V821" s="1"/>
      <c r="W821" s="1"/>
      <c r="X821" s="1"/>
      <c r="Y821" s="1"/>
      <c r="Z821" s="1"/>
      <c r="AA821" s="1"/>
      <c r="AB821" s="1"/>
    </row>
    <row r="822" spans="1:28" ht="11.25" customHeight="1" x14ac:dyDescent="0.25">
      <c r="A822" s="825"/>
      <c r="B822" s="16"/>
      <c r="C822" s="1"/>
      <c r="D822" s="1"/>
      <c r="E822" s="1"/>
      <c r="F822" s="1"/>
      <c r="G822" s="1"/>
      <c r="H822" s="1"/>
      <c r="I822" s="1"/>
      <c r="J822" s="1"/>
      <c r="K822" s="1"/>
      <c r="L822" s="22"/>
      <c r="M822" s="262"/>
      <c r="N822" s="1"/>
      <c r="O822" s="1"/>
      <c r="P822" s="1"/>
      <c r="Q822" s="1"/>
      <c r="R822" s="1"/>
      <c r="S822" s="1"/>
      <c r="T822" s="1"/>
      <c r="U822" s="1"/>
      <c r="V822" s="1"/>
      <c r="W822" s="1"/>
      <c r="X822" s="1"/>
      <c r="Y822" s="1"/>
      <c r="Z822" s="1"/>
      <c r="AA822" s="1"/>
      <c r="AB822" s="1"/>
    </row>
    <row r="823" spans="1:28" ht="11.25" customHeight="1" x14ac:dyDescent="0.25">
      <c r="A823" s="825"/>
      <c r="B823" s="16"/>
      <c r="C823" s="1"/>
      <c r="D823" s="1"/>
      <c r="E823" s="1"/>
      <c r="F823" s="1"/>
      <c r="G823" s="1"/>
      <c r="H823" s="1"/>
      <c r="I823" s="1"/>
      <c r="J823" s="1"/>
      <c r="K823" s="1"/>
      <c r="L823" s="22"/>
      <c r="M823" s="262"/>
      <c r="N823" s="1"/>
      <c r="O823" s="1"/>
      <c r="P823" s="1"/>
      <c r="Q823" s="1"/>
      <c r="R823" s="1"/>
      <c r="S823" s="1"/>
      <c r="T823" s="1"/>
      <c r="U823" s="1"/>
      <c r="V823" s="1"/>
      <c r="W823" s="1"/>
      <c r="X823" s="1"/>
      <c r="Y823" s="1"/>
      <c r="Z823" s="1"/>
      <c r="AA823" s="1"/>
      <c r="AB823" s="1"/>
    </row>
    <row r="824" spans="1:28" ht="11.25" customHeight="1" x14ac:dyDescent="0.25">
      <c r="A824" s="825"/>
      <c r="B824" s="16"/>
      <c r="C824" s="1"/>
      <c r="D824" s="1"/>
      <c r="E824" s="1"/>
      <c r="F824" s="1"/>
      <c r="G824" s="1"/>
      <c r="H824" s="1"/>
      <c r="I824" s="1"/>
      <c r="J824" s="1"/>
      <c r="K824" s="1"/>
      <c r="L824" s="22"/>
      <c r="M824" s="262"/>
      <c r="N824" s="1"/>
      <c r="O824" s="1"/>
      <c r="P824" s="1"/>
      <c r="Q824" s="1"/>
      <c r="R824" s="1"/>
      <c r="S824" s="1"/>
      <c r="T824" s="1"/>
      <c r="U824" s="1"/>
      <c r="V824" s="1"/>
      <c r="W824" s="1"/>
      <c r="X824" s="1"/>
      <c r="Y824" s="1"/>
      <c r="Z824" s="1"/>
      <c r="AA824" s="1"/>
      <c r="AB824" s="1"/>
    </row>
    <row r="825" spans="1:28" ht="11.25" customHeight="1" x14ac:dyDescent="0.25">
      <c r="A825" s="825"/>
      <c r="B825" s="16"/>
      <c r="C825" s="1"/>
      <c r="D825" s="1"/>
      <c r="E825" s="1"/>
      <c r="F825" s="1"/>
      <c r="G825" s="1"/>
      <c r="H825" s="1"/>
      <c r="I825" s="1"/>
      <c r="J825" s="1"/>
      <c r="K825" s="1"/>
      <c r="L825" s="22"/>
      <c r="M825" s="262"/>
      <c r="N825" s="1"/>
      <c r="O825" s="1"/>
      <c r="P825" s="1"/>
      <c r="Q825" s="1"/>
      <c r="R825" s="1"/>
      <c r="S825" s="1"/>
      <c r="T825" s="1"/>
      <c r="U825" s="1"/>
      <c r="V825" s="1"/>
      <c r="W825" s="1"/>
      <c r="X825" s="1"/>
      <c r="Y825" s="1"/>
      <c r="Z825" s="1"/>
      <c r="AA825" s="1"/>
      <c r="AB825" s="1"/>
    </row>
    <row r="826" spans="1:28" ht="11.25" customHeight="1" x14ac:dyDescent="0.25">
      <c r="A826" s="825"/>
      <c r="B826" s="16"/>
      <c r="C826" s="1"/>
      <c r="D826" s="1"/>
      <c r="E826" s="1"/>
      <c r="F826" s="1"/>
      <c r="G826" s="1"/>
      <c r="H826" s="1"/>
      <c r="I826" s="1"/>
      <c r="J826" s="1"/>
      <c r="K826" s="1"/>
      <c r="L826" s="22"/>
      <c r="M826" s="262"/>
      <c r="N826" s="1"/>
      <c r="O826" s="1"/>
      <c r="P826" s="1"/>
      <c r="Q826" s="1"/>
      <c r="R826" s="1"/>
      <c r="S826" s="1"/>
      <c r="T826" s="1"/>
      <c r="U826" s="1"/>
      <c r="V826" s="1"/>
      <c r="W826" s="1"/>
      <c r="X826" s="1"/>
      <c r="Y826" s="1"/>
      <c r="Z826" s="1"/>
      <c r="AA826" s="1"/>
      <c r="AB826" s="1"/>
    </row>
    <row r="827" spans="1:28" ht="11.25" customHeight="1" x14ac:dyDescent="0.25">
      <c r="A827" s="825"/>
      <c r="B827" s="16"/>
      <c r="C827" s="1"/>
      <c r="D827" s="1"/>
      <c r="E827" s="1"/>
      <c r="F827" s="1"/>
      <c r="G827" s="1"/>
      <c r="H827" s="1"/>
      <c r="I827" s="1"/>
      <c r="J827" s="1"/>
      <c r="K827" s="1"/>
      <c r="L827" s="22"/>
      <c r="M827" s="262"/>
      <c r="N827" s="1"/>
      <c r="O827" s="1"/>
      <c r="P827" s="1"/>
      <c r="Q827" s="1"/>
      <c r="R827" s="1"/>
      <c r="S827" s="1"/>
      <c r="T827" s="1"/>
      <c r="U827" s="1"/>
      <c r="V827" s="1"/>
      <c r="W827" s="1"/>
      <c r="X827" s="1"/>
      <c r="Y827" s="1"/>
      <c r="Z827" s="1"/>
      <c r="AA827" s="1"/>
      <c r="AB827" s="1"/>
    </row>
    <row r="828" spans="1:28" ht="11.25" customHeight="1" x14ac:dyDescent="0.25">
      <c r="A828" s="825"/>
      <c r="B828" s="16"/>
      <c r="C828" s="1"/>
      <c r="D828" s="1"/>
      <c r="E828" s="1"/>
      <c r="F828" s="1"/>
      <c r="G828" s="1"/>
      <c r="H828" s="1"/>
      <c r="I828" s="1"/>
      <c r="J828" s="1"/>
      <c r="K828" s="1"/>
      <c r="L828" s="22"/>
      <c r="M828" s="262"/>
      <c r="N828" s="1"/>
      <c r="O828" s="1"/>
      <c r="P828" s="1"/>
      <c r="Q828" s="1"/>
      <c r="R828" s="1"/>
      <c r="S828" s="1"/>
      <c r="T828" s="1"/>
      <c r="U828" s="1"/>
      <c r="V828" s="1"/>
      <c r="W828" s="1"/>
      <c r="X828" s="1"/>
      <c r="Y828" s="1"/>
      <c r="Z828" s="1"/>
      <c r="AA828" s="1"/>
      <c r="AB828" s="1"/>
    </row>
    <row r="829" spans="1:28" ht="11.25" customHeight="1" x14ac:dyDescent="0.25">
      <c r="A829" s="825"/>
      <c r="B829" s="16"/>
      <c r="C829" s="1"/>
      <c r="D829" s="1"/>
      <c r="E829" s="1"/>
      <c r="F829" s="1"/>
      <c r="G829" s="1"/>
      <c r="H829" s="1"/>
      <c r="I829" s="1"/>
      <c r="J829" s="1"/>
      <c r="K829" s="1"/>
      <c r="L829" s="22"/>
      <c r="M829" s="262"/>
      <c r="N829" s="1"/>
      <c r="O829" s="1"/>
      <c r="P829" s="1"/>
      <c r="Q829" s="1"/>
      <c r="R829" s="1"/>
      <c r="S829" s="1"/>
      <c r="T829" s="1"/>
      <c r="U829" s="1"/>
      <c r="V829" s="1"/>
      <c r="W829" s="1"/>
      <c r="X829" s="1"/>
      <c r="Y829" s="1"/>
      <c r="Z829" s="1"/>
      <c r="AA829" s="1"/>
      <c r="AB829" s="1"/>
    </row>
    <row r="830" spans="1:28" ht="11.25" customHeight="1" x14ac:dyDescent="0.25">
      <c r="A830" s="825"/>
      <c r="B830" s="16"/>
      <c r="C830" s="1"/>
      <c r="D830" s="1"/>
      <c r="E830" s="1"/>
      <c r="F830" s="1"/>
      <c r="G830" s="1"/>
      <c r="H830" s="1"/>
      <c r="I830" s="1"/>
      <c r="J830" s="1"/>
      <c r="K830" s="1"/>
      <c r="L830" s="22"/>
      <c r="M830" s="262"/>
      <c r="N830" s="1"/>
      <c r="O830" s="1"/>
      <c r="P830" s="1"/>
      <c r="Q830" s="1"/>
      <c r="R830" s="1"/>
      <c r="S830" s="1"/>
      <c r="T830" s="1"/>
      <c r="U830" s="1"/>
      <c r="V830" s="1"/>
      <c r="W830" s="1"/>
      <c r="X830" s="1"/>
      <c r="Y830" s="1"/>
      <c r="Z830" s="1"/>
      <c r="AA830" s="1"/>
      <c r="AB830" s="1"/>
    </row>
    <row r="831" spans="1:28" ht="11.25" customHeight="1" x14ac:dyDescent="0.25">
      <c r="A831" s="825"/>
      <c r="B831" s="16"/>
      <c r="C831" s="1"/>
      <c r="D831" s="1"/>
      <c r="E831" s="1"/>
      <c r="F831" s="1"/>
      <c r="G831" s="1"/>
      <c r="H831" s="1"/>
      <c r="I831" s="1"/>
      <c r="J831" s="1"/>
      <c r="K831" s="1"/>
      <c r="L831" s="22"/>
      <c r="M831" s="262"/>
      <c r="N831" s="1"/>
      <c r="O831" s="1"/>
      <c r="P831" s="1"/>
      <c r="Q831" s="1"/>
      <c r="R831" s="1"/>
      <c r="S831" s="1"/>
      <c r="T831" s="1"/>
      <c r="U831" s="1"/>
      <c r="V831" s="1"/>
      <c r="W831" s="1"/>
      <c r="X831" s="1"/>
      <c r="Y831" s="1"/>
      <c r="Z831" s="1"/>
      <c r="AA831" s="1"/>
      <c r="AB831" s="1"/>
    </row>
    <row r="832" spans="1:28" ht="11.25" customHeight="1" x14ac:dyDescent="0.25">
      <c r="A832" s="825"/>
      <c r="B832" s="16"/>
      <c r="C832" s="1"/>
      <c r="D832" s="1"/>
      <c r="E832" s="1"/>
      <c r="F832" s="1"/>
      <c r="G832" s="1"/>
      <c r="H832" s="1"/>
      <c r="I832" s="1"/>
      <c r="J832" s="1"/>
      <c r="K832" s="1"/>
      <c r="L832" s="22"/>
      <c r="M832" s="262"/>
      <c r="N832" s="1"/>
      <c r="O832" s="1"/>
      <c r="P832" s="1"/>
      <c r="Q832" s="1"/>
      <c r="R832" s="1"/>
      <c r="S832" s="1"/>
      <c r="T832" s="1"/>
      <c r="U832" s="1"/>
      <c r="V832" s="1"/>
      <c r="W832" s="1"/>
      <c r="X832" s="1"/>
      <c r="Y832" s="1"/>
      <c r="Z832" s="1"/>
      <c r="AA832" s="1"/>
      <c r="AB832" s="1"/>
    </row>
    <row r="833" spans="1:28" ht="11.25" customHeight="1" x14ac:dyDescent="0.25">
      <c r="A833" s="825"/>
      <c r="B833" s="16"/>
      <c r="C833" s="1"/>
      <c r="D833" s="1"/>
      <c r="E833" s="1"/>
      <c r="F833" s="1"/>
      <c r="G833" s="1"/>
      <c r="H833" s="1"/>
      <c r="I833" s="1"/>
      <c r="J833" s="1"/>
      <c r="K833" s="1"/>
      <c r="L833" s="22"/>
      <c r="M833" s="262"/>
      <c r="N833" s="1"/>
      <c r="O833" s="1"/>
      <c r="P833" s="1"/>
      <c r="Q833" s="1"/>
      <c r="R833" s="1"/>
      <c r="S833" s="1"/>
      <c r="T833" s="1"/>
      <c r="U833" s="1"/>
      <c r="V833" s="1"/>
      <c r="W833" s="1"/>
      <c r="X833" s="1"/>
      <c r="Y833" s="1"/>
      <c r="Z833" s="1"/>
      <c r="AA833" s="1"/>
      <c r="AB833" s="1"/>
    </row>
    <row r="834" spans="1:28" ht="11.25" customHeight="1" x14ac:dyDescent="0.25">
      <c r="A834" s="825"/>
      <c r="B834" s="16"/>
      <c r="C834" s="1"/>
      <c r="D834" s="1"/>
      <c r="E834" s="1"/>
      <c r="F834" s="1"/>
      <c r="G834" s="1"/>
      <c r="H834" s="1"/>
      <c r="I834" s="1"/>
      <c r="J834" s="1"/>
      <c r="K834" s="1"/>
      <c r="L834" s="22"/>
      <c r="M834" s="262"/>
      <c r="N834" s="1"/>
      <c r="O834" s="1"/>
      <c r="P834" s="1"/>
      <c r="Q834" s="1"/>
      <c r="R834" s="1"/>
      <c r="S834" s="1"/>
      <c r="T834" s="1"/>
      <c r="U834" s="1"/>
      <c r="V834" s="1"/>
      <c r="W834" s="1"/>
      <c r="X834" s="1"/>
      <c r="Y834" s="1"/>
      <c r="Z834" s="1"/>
      <c r="AA834" s="1"/>
      <c r="AB834" s="1"/>
    </row>
    <row r="835" spans="1:28" ht="11.25" customHeight="1" x14ac:dyDescent="0.25">
      <c r="A835" s="825"/>
      <c r="B835" s="16"/>
      <c r="C835" s="1"/>
      <c r="D835" s="1"/>
      <c r="E835" s="1"/>
      <c r="F835" s="1"/>
      <c r="G835" s="1"/>
      <c r="H835" s="1"/>
      <c r="I835" s="1"/>
      <c r="J835" s="1"/>
      <c r="K835" s="1"/>
      <c r="L835" s="22"/>
      <c r="M835" s="262"/>
      <c r="N835" s="1"/>
      <c r="O835" s="1"/>
      <c r="P835" s="1"/>
      <c r="Q835" s="1"/>
      <c r="R835" s="1"/>
      <c r="S835" s="1"/>
      <c r="T835" s="1"/>
      <c r="U835" s="1"/>
      <c r="V835" s="1"/>
      <c r="W835" s="1"/>
      <c r="X835" s="1"/>
      <c r="Y835" s="1"/>
      <c r="Z835" s="1"/>
      <c r="AA835" s="1"/>
      <c r="AB835" s="1"/>
    </row>
    <row r="836" spans="1:28" ht="11.25" customHeight="1" x14ac:dyDescent="0.25">
      <c r="A836" s="825"/>
      <c r="B836" s="16"/>
      <c r="C836" s="1"/>
      <c r="D836" s="1"/>
      <c r="E836" s="1"/>
      <c r="F836" s="1"/>
      <c r="G836" s="1"/>
      <c r="H836" s="1"/>
      <c r="I836" s="1"/>
      <c r="J836" s="1"/>
      <c r="K836" s="1"/>
      <c r="L836" s="22"/>
      <c r="M836" s="262"/>
      <c r="N836" s="1"/>
      <c r="O836" s="1"/>
      <c r="P836" s="1"/>
      <c r="Q836" s="1"/>
      <c r="R836" s="1"/>
      <c r="S836" s="1"/>
      <c r="T836" s="1"/>
      <c r="U836" s="1"/>
      <c r="V836" s="1"/>
      <c r="W836" s="1"/>
      <c r="X836" s="1"/>
      <c r="Y836" s="1"/>
      <c r="Z836" s="1"/>
      <c r="AA836" s="1"/>
      <c r="AB836" s="1"/>
    </row>
    <row r="837" spans="1:28" ht="11.25" customHeight="1" x14ac:dyDescent="0.25">
      <c r="A837" s="825"/>
      <c r="B837" s="16"/>
      <c r="C837" s="1"/>
      <c r="D837" s="1"/>
      <c r="E837" s="1"/>
      <c r="F837" s="1"/>
      <c r="G837" s="1"/>
      <c r="H837" s="1"/>
      <c r="I837" s="1"/>
      <c r="J837" s="1"/>
      <c r="K837" s="1"/>
      <c r="L837" s="22"/>
      <c r="M837" s="262"/>
      <c r="N837" s="1"/>
      <c r="O837" s="1"/>
      <c r="P837" s="1"/>
      <c r="Q837" s="1"/>
      <c r="R837" s="1"/>
      <c r="S837" s="1"/>
      <c r="T837" s="1"/>
      <c r="U837" s="1"/>
      <c r="V837" s="1"/>
      <c r="W837" s="1"/>
      <c r="X837" s="1"/>
      <c r="Y837" s="1"/>
      <c r="Z837" s="1"/>
      <c r="AA837" s="1"/>
      <c r="AB837" s="1"/>
    </row>
    <row r="838" spans="1:28" ht="11.25" customHeight="1" x14ac:dyDescent="0.25">
      <c r="A838" s="825"/>
      <c r="B838" s="16"/>
      <c r="C838" s="1"/>
      <c r="D838" s="1"/>
      <c r="E838" s="1"/>
      <c r="F838" s="1"/>
      <c r="G838" s="1"/>
      <c r="H838" s="1"/>
      <c r="I838" s="1"/>
      <c r="J838" s="1"/>
      <c r="K838" s="1"/>
      <c r="L838" s="22"/>
      <c r="M838" s="262"/>
      <c r="N838" s="1"/>
      <c r="O838" s="1"/>
      <c r="P838" s="1"/>
      <c r="Q838" s="1"/>
      <c r="R838" s="1"/>
      <c r="S838" s="1"/>
      <c r="T838" s="1"/>
      <c r="U838" s="1"/>
      <c r="V838" s="1"/>
      <c r="W838" s="1"/>
      <c r="X838" s="1"/>
      <c r="Y838" s="1"/>
      <c r="Z838" s="1"/>
      <c r="AA838" s="1"/>
      <c r="AB838" s="1"/>
    </row>
    <row r="839" spans="1:28" ht="11.25" customHeight="1" x14ac:dyDescent="0.25">
      <c r="A839" s="825"/>
      <c r="B839" s="16"/>
      <c r="C839" s="1"/>
      <c r="D839" s="1"/>
      <c r="E839" s="1"/>
      <c r="F839" s="1"/>
      <c r="G839" s="1"/>
      <c r="H839" s="1"/>
      <c r="I839" s="1"/>
      <c r="J839" s="1"/>
      <c r="K839" s="1"/>
      <c r="L839" s="22"/>
      <c r="M839" s="262"/>
      <c r="N839" s="1"/>
      <c r="O839" s="1"/>
      <c r="P839" s="1"/>
      <c r="Q839" s="1"/>
      <c r="R839" s="1"/>
      <c r="S839" s="1"/>
      <c r="T839" s="1"/>
      <c r="U839" s="1"/>
      <c r="V839" s="1"/>
      <c r="W839" s="1"/>
      <c r="X839" s="1"/>
      <c r="Y839" s="1"/>
      <c r="Z839" s="1"/>
      <c r="AA839" s="1"/>
      <c r="AB839" s="1"/>
    </row>
    <row r="840" spans="1:28" ht="11.25" customHeight="1" x14ac:dyDescent="0.25">
      <c r="A840" s="825"/>
      <c r="B840" s="16"/>
      <c r="C840" s="1"/>
      <c r="D840" s="1"/>
      <c r="E840" s="1"/>
      <c r="F840" s="1"/>
      <c r="G840" s="1"/>
      <c r="H840" s="1"/>
      <c r="I840" s="1"/>
      <c r="J840" s="1"/>
      <c r="K840" s="1"/>
      <c r="L840" s="22"/>
      <c r="M840" s="262"/>
      <c r="N840" s="1"/>
      <c r="O840" s="1"/>
      <c r="P840" s="1"/>
      <c r="Q840" s="1"/>
      <c r="R840" s="1"/>
      <c r="S840" s="1"/>
      <c r="T840" s="1"/>
      <c r="U840" s="1"/>
      <c r="V840" s="1"/>
      <c r="W840" s="1"/>
      <c r="X840" s="1"/>
      <c r="Y840" s="1"/>
      <c r="Z840" s="1"/>
      <c r="AA840" s="1"/>
      <c r="AB840" s="1"/>
    </row>
    <row r="841" spans="1:28" ht="11.25" customHeight="1" x14ac:dyDescent="0.25">
      <c r="A841" s="825"/>
      <c r="B841" s="16"/>
      <c r="C841" s="1"/>
      <c r="D841" s="1"/>
      <c r="E841" s="1"/>
      <c r="F841" s="1"/>
      <c r="G841" s="1"/>
      <c r="H841" s="1"/>
      <c r="I841" s="1"/>
      <c r="J841" s="1"/>
      <c r="K841" s="1"/>
      <c r="L841" s="22"/>
      <c r="M841" s="262"/>
      <c r="N841" s="1"/>
      <c r="O841" s="1"/>
      <c r="P841" s="1"/>
      <c r="Q841" s="1"/>
      <c r="R841" s="1"/>
      <c r="S841" s="1"/>
      <c r="T841" s="1"/>
      <c r="U841" s="1"/>
      <c r="V841" s="1"/>
      <c r="W841" s="1"/>
      <c r="X841" s="1"/>
      <c r="Y841" s="1"/>
      <c r="Z841" s="1"/>
      <c r="AA841" s="1"/>
      <c r="AB841" s="1"/>
    </row>
    <row r="842" spans="1:28" ht="11.25" customHeight="1" x14ac:dyDescent="0.25">
      <c r="A842" s="825"/>
      <c r="B842" s="16"/>
      <c r="C842" s="1"/>
      <c r="D842" s="1"/>
      <c r="E842" s="1"/>
      <c r="F842" s="1"/>
      <c r="G842" s="1"/>
      <c r="H842" s="1"/>
      <c r="I842" s="1"/>
      <c r="J842" s="1"/>
      <c r="K842" s="1"/>
      <c r="L842" s="22"/>
      <c r="M842" s="262"/>
      <c r="N842" s="1"/>
      <c r="O842" s="1"/>
      <c r="P842" s="1"/>
      <c r="Q842" s="1"/>
      <c r="R842" s="1"/>
      <c r="S842" s="1"/>
      <c r="T842" s="1"/>
      <c r="U842" s="1"/>
      <c r="V842" s="1"/>
      <c r="W842" s="1"/>
      <c r="X842" s="1"/>
      <c r="Y842" s="1"/>
      <c r="Z842" s="1"/>
      <c r="AA842" s="1"/>
      <c r="AB842" s="1"/>
    </row>
    <row r="843" spans="1:28" ht="11.25" customHeight="1" x14ac:dyDescent="0.25">
      <c r="A843" s="825"/>
      <c r="B843" s="16"/>
      <c r="C843" s="1"/>
      <c r="D843" s="1"/>
      <c r="E843" s="1"/>
      <c r="F843" s="1"/>
      <c r="G843" s="1"/>
      <c r="H843" s="1"/>
      <c r="I843" s="1"/>
      <c r="J843" s="1"/>
      <c r="K843" s="1"/>
      <c r="L843" s="22"/>
      <c r="M843" s="262"/>
      <c r="N843" s="1"/>
      <c r="O843" s="1"/>
      <c r="P843" s="1"/>
      <c r="Q843" s="1"/>
      <c r="R843" s="1"/>
      <c r="S843" s="1"/>
      <c r="T843" s="1"/>
      <c r="U843" s="1"/>
      <c r="V843" s="1"/>
      <c r="W843" s="1"/>
      <c r="X843" s="1"/>
      <c r="Y843" s="1"/>
      <c r="Z843" s="1"/>
      <c r="AA843" s="1"/>
      <c r="AB843" s="1"/>
    </row>
    <row r="844" spans="1:28" ht="11.25" customHeight="1" x14ac:dyDescent="0.25">
      <c r="A844" s="825"/>
      <c r="B844" s="16"/>
      <c r="C844" s="1"/>
      <c r="D844" s="1"/>
      <c r="E844" s="1"/>
      <c r="F844" s="1"/>
      <c r="G844" s="1"/>
      <c r="H844" s="1"/>
      <c r="I844" s="1"/>
      <c r="J844" s="1"/>
      <c r="K844" s="1"/>
      <c r="L844" s="22"/>
      <c r="M844" s="262"/>
      <c r="N844" s="1"/>
      <c r="O844" s="1"/>
      <c r="P844" s="1"/>
      <c r="Q844" s="1"/>
      <c r="R844" s="1"/>
      <c r="S844" s="1"/>
      <c r="T844" s="1"/>
      <c r="U844" s="1"/>
      <c r="V844" s="1"/>
      <c r="W844" s="1"/>
      <c r="X844" s="1"/>
      <c r="Y844" s="1"/>
      <c r="Z844" s="1"/>
      <c r="AA844" s="1"/>
      <c r="AB844" s="1"/>
    </row>
    <row r="845" spans="1:28" ht="11.25" customHeight="1" x14ac:dyDescent="0.25">
      <c r="A845" s="825"/>
      <c r="B845" s="16"/>
      <c r="C845" s="1"/>
      <c r="D845" s="1"/>
      <c r="E845" s="1"/>
      <c r="F845" s="1"/>
      <c r="G845" s="1"/>
      <c r="H845" s="1"/>
      <c r="I845" s="1"/>
      <c r="J845" s="1"/>
      <c r="K845" s="1"/>
      <c r="L845" s="22"/>
      <c r="M845" s="262"/>
      <c r="N845" s="1"/>
      <c r="O845" s="1"/>
      <c r="P845" s="1"/>
      <c r="Q845" s="1"/>
      <c r="R845" s="1"/>
      <c r="S845" s="1"/>
      <c r="T845" s="1"/>
      <c r="U845" s="1"/>
      <c r="V845" s="1"/>
      <c r="W845" s="1"/>
      <c r="X845" s="1"/>
      <c r="Y845" s="1"/>
      <c r="Z845" s="1"/>
      <c r="AA845" s="1"/>
      <c r="AB845" s="1"/>
    </row>
    <row r="846" spans="1:28" ht="11.25" customHeight="1" x14ac:dyDescent="0.25">
      <c r="A846" s="825"/>
      <c r="B846" s="16"/>
      <c r="C846" s="1"/>
      <c r="D846" s="1"/>
      <c r="E846" s="1"/>
      <c r="F846" s="1"/>
      <c r="G846" s="1"/>
      <c r="H846" s="1"/>
      <c r="I846" s="1"/>
      <c r="J846" s="1"/>
      <c r="K846" s="1"/>
      <c r="L846" s="22"/>
      <c r="M846" s="262"/>
      <c r="N846" s="1"/>
      <c r="O846" s="1"/>
      <c r="P846" s="1"/>
      <c r="Q846" s="1"/>
      <c r="R846" s="1"/>
      <c r="S846" s="1"/>
      <c r="T846" s="1"/>
      <c r="U846" s="1"/>
      <c r="V846" s="1"/>
      <c r="W846" s="1"/>
      <c r="X846" s="1"/>
      <c r="Y846" s="1"/>
      <c r="Z846" s="1"/>
      <c r="AA846" s="1"/>
      <c r="AB846" s="1"/>
    </row>
    <row r="847" spans="1:28" ht="11.25" customHeight="1" x14ac:dyDescent="0.25">
      <c r="A847" s="825"/>
      <c r="B847" s="16"/>
      <c r="C847" s="1"/>
      <c r="D847" s="1"/>
      <c r="E847" s="1"/>
      <c r="F847" s="1"/>
      <c r="G847" s="1"/>
      <c r="H847" s="1"/>
      <c r="I847" s="1"/>
      <c r="J847" s="1"/>
      <c r="K847" s="1"/>
      <c r="L847" s="22"/>
      <c r="M847" s="262"/>
      <c r="N847" s="1"/>
      <c r="O847" s="1"/>
      <c r="P847" s="1"/>
      <c r="Q847" s="1"/>
      <c r="R847" s="1"/>
      <c r="S847" s="1"/>
      <c r="T847" s="1"/>
      <c r="U847" s="1"/>
      <c r="V847" s="1"/>
      <c r="W847" s="1"/>
      <c r="X847" s="1"/>
      <c r="Y847" s="1"/>
      <c r="Z847" s="1"/>
      <c r="AA847" s="1"/>
      <c r="AB847" s="1"/>
    </row>
    <row r="848" spans="1:28" ht="11.25" customHeight="1" x14ac:dyDescent="0.25">
      <c r="A848" s="825"/>
      <c r="B848" s="16"/>
      <c r="C848" s="1"/>
      <c r="D848" s="1"/>
      <c r="E848" s="1"/>
      <c r="F848" s="1"/>
      <c r="G848" s="1"/>
      <c r="H848" s="1"/>
      <c r="I848" s="1"/>
      <c r="J848" s="1"/>
      <c r="K848" s="1"/>
      <c r="L848" s="22"/>
      <c r="M848" s="262"/>
      <c r="N848" s="1"/>
      <c r="O848" s="1"/>
      <c r="P848" s="1"/>
      <c r="Q848" s="1"/>
      <c r="R848" s="1"/>
      <c r="S848" s="1"/>
      <c r="T848" s="1"/>
      <c r="U848" s="1"/>
      <c r="V848" s="1"/>
      <c r="W848" s="1"/>
      <c r="X848" s="1"/>
      <c r="Y848" s="1"/>
      <c r="Z848" s="1"/>
      <c r="AA848" s="1"/>
      <c r="AB848" s="1"/>
    </row>
    <row r="849" spans="1:28" ht="11.25" customHeight="1" x14ac:dyDescent="0.25">
      <c r="A849" s="825"/>
      <c r="B849" s="16"/>
      <c r="C849" s="1"/>
      <c r="D849" s="1"/>
      <c r="E849" s="1"/>
      <c r="F849" s="1"/>
      <c r="G849" s="1"/>
      <c r="H849" s="1"/>
      <c r="I849" s="1"/>
      <c r="J849" s="1"/>
      <c r="K849" s="1"/>
      <c r="L849" s="22"/>
      <c r="M849" s="262"/>
      <c r="N849" s="1"/>
      <c r="O849" s="1"/>
      <c r="P849" s="1"/>
      <c r="Q849" s="1"/>
      <c r="R849" s="1"/>
      <c r="S849" s="1"/>
      <c r="T849" s="1"/>
      <c r="U849" s="1"/>
      <c r="V849" s="1"/>
      <c r="W849" s="1"/>
      <c r="X849" s="1"/>
      <c r="Y849" s="1"/>
      <c r="Z849" s="1"/>
      <c r="AA849" s="1"/>
      <c r="AB849" s="1"/>
    </row>
    <row r="850" spans="1:28" ht="11.25" customHeight="1" x14ac:dyDescent="0.25">
      <c r="A850" s="825"/>
      <c r="B850" s="16"/>
      <c r="C850" s="1"/>
      <c r="D850" s="1"/>
      <c r="E850" s="1"/>
      <c r="F850" s="1"/>
      <c r="G850" s="1"/>
      <c r="H850" s="1"/>
      <c r="I850" s="1"/>
      <c r="J850" s="1"/>
      <c r="K850" s="1"/>
      <c r="L850" s="22"/>
      <c r="M850" s="262"/>
      <c r="N850" s="1"/>
      <c r="O850" s="1"/>
      <c r="P850" s="1"/>
      <c r="Q850" s="1"/>
      <c r="R850" s="1"/>
      <c r="S850" s="1"/>
      <c r="T850" s="1"/>
      <c r="U850" s="1"/>
      <c r="V850" s="1"/>
      <c r="W850" s="1"/>
      <c r="X850" s="1"/>
      <c r="Y850" s="1"/>
      <c r="Z850" s="1"/>
      <c r="AA850" s="1"/>
      <c r="AB850" s="1"/>
    </row>
    <row r="851" spans="1:28" ht="11.25" customHeight="1" x14ac:dyDescent="0.25">
      <c r="A851" s="825"/>
      <c r="B851" s="16"/>
      <c r="C851" s="1"/>
      <c r="D851" s="1"/>
      <c r="E851" s="1"/>
      <c r="F851" s="1"/>
      <c r="G851" s="1"/>
      <c r="H851" s="1"/>
      <c r="I851" s="1"/>
      <c r="J851" s="1"/>
      <c r="K851" s="1"/>
      <c r="L851" s="22"/>
      <c r="M851" s="262"/>
      <c r="N851" s="1"/>
      <c r="O851" s="1"/>
      <c r="P851" s="1"/>
      <c r="Q851" s="1"/>
      <c r="R851" s="1"/>
      <c r="S851" s="1"/>
      <c r="T851" s="1"/>
      <c r="U851" s="1"/>
      <c r="V851" s="1"/>
      <c r="W851" s="1"/>
      <c r="X851" s="1"/>
      <c r="Y851" s="1"/>
      <c r="Z851" s="1"/>
      <c r="AA851" s="1"/>
      <c r="AB851" s="1"/>
    </row>
    <row r="852" spans="1:28" ht="11.25" customHeight="1" x14ac:dyDescent="0.25">
      <c r="A852" s="825"/>
      <c r="B852" s="16"/>
      <c r="C852" s="1"/>
      <c r="D852" s="1"/>
      <c r="E852" s="1"/>
      <c r="F852" s="1"/>
      <c r="G852" s="1"/>
      <c r="H852" s="1"/>
      <c r="I852" s="1"/>
      <c r="J852" s="1"/>
      <c r="K852" s="1"/>
      <c r="L852" s="22"/>
      <c r="M852" s="262"/>
      <c r="N852" s="1"/>
      <c r="O852" s="1"/>
      <c r="P852" s="1"/>
      <c r="Q852" s="1"/>
      <c r="R852" s="1"/>
      <c r="S852" s="1"/>
      <c r="T852" s="1"/>
      <c r="U852" s="1"/>
      <c r="V852" s="1"/>
      <c r="W852" s="1"/>
      <c r="X852" s="1"/>
      <c r="Y852" s="1"/>
      <c r="Z852" s="1"/>
      <c r="AA852" s="1"/>
      <c r="AB852" s="1"/>
    </row>
    <row r="853" spans="1:28" ht="11.25" customHeight="1" x14ac:dyDescent="0.25">
      <c r="A853" s="825"/>
      <c r="B853" s="16"/>
      <c r="C853" s="1"/>
      <c r="D853" s="1"/>
      <c r="E853" s="1"/>
      <c r="F853" s="1"/>
      <c r="G853" s="1"/>
      <c r="H853" s="1"/>
      <c r="I853" s="1"/>
      <c r="J853" s="1"/>
      <c r="K853" s="1"/>
      <c r="L853" s="22"/>
      <c r="M853" s="262"/>
      <c r="N853" s="1"/>
      <c r="O853" s="1"/>
      <c r="P853" s="1"/>
      <c r="Q853" s="1"/>
      <c r="R853" s="1"/>
      <c r="S853" s="1"/>
      <c r="T853" s="1"/>
      <c r="U853" s="1"/>
      <c r="V853" s="1"/>
      <c r="W853" s="1"/>
      <c r="X853" s="1"/>
      <c r="Y853" s="1"/>
      <c r="Z853" s="1"/>
      <c r="AA853" s="1"/>
      <c r="AB853" s="1"/>
    </row>
    <row r="854" spans="1:28" ht="11.25" customHeight="1" x14ac:dyDescent="0.25">
      <c r="A854" s="825"/>
      <c r="B854" s="16"/>
      <c r="C854" s="1"/>
      <c r="D854" s="1"/>
      <c r="E854" s="1"/>
      <c r="F854" s="1"/>
      <c r="G854" s="1"/>
      <c r="H854" s="1"/>
      <c r="I854" s="1"/>
      <c r="J854" s="1"/>
      <c r="K854" s="1"/>
      <c r="L854" s="22"/>
      <c r="M854" s="262"/>
      <c r="N854" s="1"/>
      <c r="O854" s="1"/>
      <c r="P854" s="1"/>
      <c r="Q854" s="1"/>
      <c r="R854" s="1"/>
      <c r="S854" s="1"/>
      <c r="T854" s="1"/>
      <c r="U854" s="1"/>
      <c r="V854" s="1"/>
      <c r="W854" s="1"/>
      <c r="X854" s="1"/>
      <c r="Y854" s="1"/>
      <c r="Z854" s="1"/>
      <c r="AA854" s="1"/>
      <c r="AB854" s="1"/>
    </row>
    <row r="855" spans="1:28" ht="11.25" customHeight="1" x14ac:dyDescent="0.25">
      <c r="A855" s="825"/>
      <c r="B855" s="16"/>
      <c r="C855" s="1"/>
      <c r="D855" s="1"/>
      <c r="E855" s="1"/>
      <c r="F855" s="1"/>
      <c r="G855" s="1"/>
      <c r="H855" s="1"/>
      <c r="I855" s="1"/>
      <c r="J855" s="1"/>
      <c r="K855" s="1"/>
      <c r="L855" s="22"/>
      <c r="M855" s="262"/>
      <c r="N855" s="1"/>
      <c r="O855" s="1"/>
      <c r="P855" s="1"/>
      <c r="Q855" s="1"/>
      <c r="R855" s="1"/>
      <c r="S855" s="1"/>
      <c r="T855" s="1"/>
      <c r="U855" s="1"/>
      <c r="V855" s="1"/>
      <c r="W855" s="1"/>
      <c r="X855" s="1"/>
      <c r="Y855" s="1"/>
      <c r="Z855" s="1"/>
      <c r="AA855" s="1"/>
      <c r="AB855" s="1"/>
    </row>
    <row r="856" spans="1:28" ht="11.25" customHeight="1" x14ac:dyDescent="0.25">
      <c r="A856" s="825"/>
      <c r="B856" s="16"/>
      <c r="C856" s="1"/>
      <c r="D856" s="1"/>
      <c r="E856" s="1"/>
      <c r="F856" s="1"/>
      <c r="G856" s="1"/>
      <c r="H856" s="1"/>
      <c r="I856" s="1"/>
      <c r="J856" s="1"/>
      <c r="K856" s="1"/>
      <c r="L856" s="22"/>
      <c r="M856" s="262"/>
      <c r="N856" s="1"/>
      <c r="O856" s="1"/>
      <c r="P856" s="1"/>
      <c r="Q856" s="1"/>
      <c r="R856" s="1"/>
      <c r="S856" s="1"/>
      <c r="T856" s="1"/>
      <c r="U856" s="1"/>
      <c r="V856" s="1"/>
      <c r="W856" s="1"/>
      <c r="X856" s="1"/>
      <c r="Y856" s="1"/>
      <c r="Z856" s="1"/>
      <c r="AA856" s="1"/>
      <c r="AB856" s="1"/>
    </row>
    <row r="857" spans="1:28" ht="11.25" customHeight="1" x14ac:dyDescent="0.25">
      <c r="A857" s="825"/>
      <c r="B857" s="16"/>
      <c r="C857" s="1"/>
      <c r="D857" s="1"/>
      <c r="E857" s="1"/>
      <c r="F857" s="1"/>
      <c r="G857" s="1"/>
      <c r="H857" s="1"/>
      <c r="I857" s="1"/>
      <c r="J857" s="1"/>
      <c r="K857" s="1"/>
      <c r="L857" s="22"/>
      <c r="M857" s="262"/>
      <c r="N857" s="1"/>
      <c r="O857" s="1"/>
      <c r="P857" s="1"/>
      <c r="Q857" s="1"/>
      <c r="R857" s="1"/>
      <c r="S857" s="1"/>
      <c r="T857" s="1"/>
      <c r="U857" s="1"/>
      <c r="V857" s="1"/>
      <c r="W857" s="1"/>
      <c r="X857" s="1"/>
      <c r="Y857" s="1"/>
      <c r="Z857" s="1"/>
      <c r="AA857" s="1"/>
      <c r="AB857" s="1"/>
    </row>
    <row r="858" spans="1:28" ht="11.25" customHeight="1" x14ac:dyDescent="0.25">
      <c r="A858" s="825"/>
      <c r="B858" s="16"/>
      <c r="C858" s="1"/>
      <c r="D858" s="1"/>
      <c r="E858" s="1"/>
      <c r="F858" s="1"/>
      <c r="G858" s="1"/>
      <c r="H858" s="1"/>
      <c r="I858" s="1"/>
      <c r="J858" s="1"/>
      <c r="K858" s="1"/>
      <c r="L858" s="22"/>
      <c r="M858" s="262"/>
      <c r="N858" s="1"/>
      <c r="O858" s="1"/>
      <c r="P858" s="1"/>
      <c r="Q858" s="1"/>
      <c r="R858" s="1"/>
      <c r="S858" s="1"/>
      <c r="T858" s="1"/>
      <c r="U858" s="1"/>
      <c r="V858" s="1"/>
      <c r="W858" s="1"/>
      <c r="X858" s="1"/>
      <c r="Y858" s="1"/>
      <c r="Z858" s="1"/>
      <c r="AA858" s="1"/>
      <c r="AB858" s="1"/>
    </row>
    <row r="859" spans="1:28" ht="11.25" customHeight="1" x14ac:dyDescent="0.25">
      <c r="A859" s="825"/>
      <c r="B859" s="16"/>
      <c r="C859" s="1"/>
      <c r="D859" s="1"/>
      <c r="E859" s="1"/>
      <c r="F859" s="1"/>
      <c r="G859" s="1"/>
      <c r="H859" s="1"/>
      <c r="I859" s="1"/>
      <c r="J859" s="1"/>
      <c r="K859" s="1"/>
      <c r="L859" s="22"/>
      <c r="M859" s="262"/>
      <c r="N859" s="1"/>
      <c r="O859" s="1"/>
      <c r="P859" s="1"/>
      <c r="Q859" s="1"/>
      <c r="R859" s="1"/>
      <c r="S859" s="1"/>
      <c r="T859" s="1"/>
      <c r="U859" s="1"/>
      <c r="V859" s="1"/>
      <c r="W859" s="1"/>
      <c r="X859" s="1"/>
      <c r="Y859" s="1"/>
      <c r="Z859" s="1"/>
      <c r="AA859" s="1"/>
      <c r="AB859" s="1"/>
    </row>
    <row r="860" spans="1:28" ht="11.25" customHeight="1" x14ac:dyDescent="0.25">
      <c r="A860" s="825"/>
      <c r="B860" s="16"/>
      <c r="C860" s="1"/>
      <c r="D860" s="1"/>
      <c r="E860" s="1"/>
      <c r="F860" s="1"/>
      <c r="G860" s="1"/>
      <c r="H860" s="1"/>
      <c r="I860" s="1"/>
      <c r="J860" s="1"/>
      <c r="K860" s="1"/>
      <c r="L860" s="22"/>
      <c r="M860" s="262"/>
      <c r="N860" s="1"/>
      <c r="O860" s="1"/>
      <c r="P860" s="1"/>
      <c r="Q860" s="1"/>
      <c r="R860" s="1"/>
      <c r="S860" s="1"/>
      <c r="T860" s="1"/>
      <c r="U860" s="1"/>
      <c r="V860" s="1"/>
      <c r="W860" s="1"/>
      <c r="X860" s="1"/>
      <c r="Y860" s="1"/>
      <c r="Z860" s="1"/>
      <c r="AA860" s="1"/>
      <c r="AB860" s="1"/>
    </row>
    <row r="861" spans="1:28" ht="11.25" customHeight="1" x14ac:dyDescent="0.25">
      <c r="A861" s="825"/>
      <c r="B861" s="16"/>
      <c r="C861" s="1"/>
      <c r="D861" s="1"/>
      <c r="E861" s="1"/>
      <c r="F861" s="1"/>
      <c r="G861" s="1"/>
      <c r="H861" s="1"/>
      <c r="I861" s="1"/>
      <c r="J861" s="1"/>
      <c r="K861" s="1"/>
      <c r="L861" s="22"/>
      <c r="M861" s="262"/>
      <c r="N861" s="1"/>
      <c r="O861" s="1"/>
      <c r="P861" s="1"/>
      <c r="Q861" s="1"/>
      <c r="R861" s="1"/>
      <c r="S861" s="1"/>
      <c r="T861" s="1"/>
      <c r="U861" s="1"/>
      <c r="V861" s="1"/>
      <c r="W861" s="1"/>
      <c r="X861" s="1"/>
      <c r="Y861" s="1"/>
      <c r="Z861" s="1"/>
      <c r="AA861" s="1"/>
      <c r="AB861" s="1"/>
    </row>
    <row r="862" spans="1:28" ht="11.25" customHeight="1" x14ac:dyDescent="0.25">
      <c r="A862" s="825"/>
      <c r="B862" s="16"/>
      <c r="C862" s="1"/>
      <c r="D862" s="1"/>
      <c r="E862" s="1"/>
      <c r="F862" s="1"/>
      <c r="G862" s="1"/>
      <c r="H862" s="1"/>
      <c r="I862" s="1"/>
      <c r="J862" s="1"/>
      <c r="K862" s="1"/>
      <c r="L862" s="22"/>
      <c r="M862" s="262"/>
      <c r="N862" s="1"/>
      <c r="O862" s="1"/>
      <c r="P862" s="1"/>
      <c r="Q862" s="1"/>
      <c r="R862" s="1"/>
      <c r="S862" s="1"/>
      <c r="T862" s="1"/>
      <c r="U862" s="1"/>
      <c r="V862" s="1"/>
      <c r="W862" s="1"/>
      <c r="X862" s="1"/>
      <c r="Y862" s="1"/>
      <c r="Z862" s="1"/>
      <c r="AA862" s="1"/>
      <c r="AB862" s="1"/>
    </row>
    <row r="863" spans="1:28" ht="11.25" customHeight="1" x14ac:dyDescent="0.25">
      <c r="A863" s="825"/>
      <c r="B863" s="16"/>
      <c r="C863" s="1"/>
      <c r="D863" s="1"/>
      <c r="E863" s="1"/>
      <c r="F863" s="1"/>
      <c r="G863" s="1"/>
      <c r="H863" s="1"/>
      <c r="I863" s="1"/>
      <c r="J863" s="1"/>
      <c r="K863" s="1"/>
      <c r="L863" s="22"/>
      <c r="M863" s="262"/>
      <c r="N863" s="1"/>
      <c r="O863" s="1"/>
      <c r="P863" s="1"/>
      <c r="Q863" s="1"/>
      <c r="R863" s="1"/>
      <c r="S863" s="1"/>
      <c r="T863" s="1"/>
      <c r="U863" s="1"/>
      <c r="V863" s="1"/>
      <c r="W863" s="1"/>
      <c r="X863" s="1"/>
      <c r="Y863" s="1"/>
      <c r="Z863" s="1"/>
      <c r="AA863" s="1"/>
      <c r="AB863" s="1"/>
    </row>
    <row r="864" spans="1:28" ht="11.25" customHeight="1" x14ac:dyDescent="0.25">
      <c r="A864" s="825"/>
      <c r="B864" s="16"/>
      <c r="C864" s="1"/>
      <c r="D864" s="1"/>
      <c r="E864" s="1"/>
      <c r="F864" s="1"/>
      <c r="G864" s="1"/>
      <c r="H864" s="1"/>
      <c r="I864" s="1"/>
      <c r="J864" s="1"/>
      <c r="K864" s="1"/>
      <c r="L864" s="22"/>
      <c r="M864" s="262"/>
      <c r="N864" s="1"/>
      <c r="O864" s="1"/>
      <c r="P864" s="1"/>
      <c r="Q864" s="1"/>
      <c r="R864" s="1"/>
      <c r="S864" s="1"/>
      <c r="T864" s="1"/>
      <c r="U864" s="1"/>
      <c r="V864" s="1"/>
      <c r="W864" s="1"/>
      <c r="X864" s="1"/>
      <c r="Y864" s="1"/>
      <c r="Z864" s="1"/>
      <c r="AA864" s="1"/>
      <c r="AB864" s="1"/>
    </row>
    <row r="865" spans="1:28" ht="11.25" customHeight="1" x14ac:dyDescent="0.25">
      <c r="A865" s="825"/>
      <c r="B865" s="16"/>
      <c r="C865" s="1"/>
      <c r="D865" s="1"/>
      <c r="E865" s="1"/>
      <c r="F865" s="1"/>
      <c r="G865" s="1"/>
      <c r="H865" s="1"/>
      <c r="I865" s="1"/>
      <c r="J865" s="1"/>
      <c r="K865" s="1"/>
      <c r="L865" s="22"/>
      <c r="M865" s="262"/>
      <c r="N865" s="1"/>
      <c r="O865" s="1"/>
      <c r="P865" s="1"/>
      <c r="Q865" s="1"/>
      <c r="R865" s="1"/>
      <c r="S865" s="1"/>
      <c r="T865" s="1"/>
      <c r="U865" s="1"/>
      <c r="V865" s="1"/>
      <c r="W865" s="1"/>
      <c r="X865" s="1"/>
      <c r="Y865" s="1"/>
      <c r="Z865" s="1"/>
      <c r="AA865" s="1"/>
      <c r="AB865" s="1"/>
    </row>
    <row r="866" spans="1:28" ht="11.25" customHeight="1" x14ac:dyDescent="0.25">
      <c r="A866" s="825"/>
      <c r="B866" s="16"/>
      <c r="C866" s="1"/>
      <c r="D866" s="1"/>
      <c r="E866" s="1"/>
      <c r="F866" s="1"/>
      <c r="G866" s="1"/>
      <c r="H866" s="1"/>
      <c r="I866" s="1"/>
      <c r="J866" s="1"/>
      <c r="K866" s="1"/>
      <c r="L866" s="22"/>
      <c r="M866" s="262"/>
      <c r="N866" s="1"/>
      <c r="O866" s="1"/>
      <c r="P866" s="1"/>
      <c r="Q866" s="1"/>
      <c r="R866" s="1"/>
      <c r="S866" s="1"/>
      <c r="T866" s="1"/>
      <c r="U866" s="1"/>
      <c r="V866" s="1"/>
      <c r="W866" s="1"/>
      <c r="X866" s="1"/>
      <c r="Y866" s="1"/>
      <c r="Z866" s="1"/>
      <c r="AA866" s="1"/>
      <c r="AB866" s="1"/>
    </row>
    <row r="867" spans="1:28" ht="11.25" customHeight="1" x14ac:dyDescent="0.25">
      <c r="A867" s="825"/>
      <c r="B867" s="16"/>
      <c r="C867" s="1"/>
      <c r="D867" s="1"/>
      <c r="E867" s="1"/>
      <c r="F867" s="1"/>
      <c r="G867" s="1"/>
      <c r="H867" s="1"/>
      <c r="I867" s="1"/>
      <c r="J867" s="1"/>
      <c r="K867" s="1"/>
      <c r="L867" s="22"/>
      <c r="M867" s="262"/>
      <c r="N867" s="1"/>
      <c r="O867" s="1"/>
      <c r="P867" s="1"/>
      <c r="Q867" s="1"/>
      <c r="R867" s="1"/>
      <c r="S867" s="1"/>
      <c r="T867" s="1"/>
      <c r="U867" s="1"/>
      <c r="V867" s="1"/>
      <c r="W867" s="1"/>
      <c r="X867" s="1"/>
      <c r="Y867" s="1"/>
      <c r="Z867" s="1"/>
      <c r="AA867" s="1"/>
      <c r="AB867" s="1"/>
    </row>
    <row r="868" spans="1:28" ht="11.25" customHeight="1" x14ac:dyDescent="0.25">
      <c r="A868" s="825"/>
      <c r="B868" s="16"/>
      <c r="C868" s="1"/>
      <c r="D868" s="1"/>
      <c r="E868" s="1"/>
      <c r="F868" s="1"/>
      <c r="G868" s="1"/>
      <c r="H868" s="1"/>
      <c r="I868" s="1"/>
      <c r="J868" s="1"/>
      <c r="K868" s="1"/>
      <c r="L868" s="22"/>
      <c r="M868" s="262"/>
      <c r="N868" s="1"/>
      <c r="O868" s="1"/>
      <c r="P868" s="1"/>
      <c r="Q868" s="1"/>
      <c r="R868" s="1"/>
      <c r="S868" s="1"/>
      <c r="T868" s="1"/>
      <c r="U868" s="1"/>
      <c r="V868" s="1"/>
      <c r="W868" s="1"/>
      <c r="X868" s="1"/>
      <c r="Y868" s="1"/>
      <c r="Z868" s="1"/>
      <c r="AA868" s="1"/>
      <c r="AB868" s="1"/>
    </row>
    <row r="869" spans="1:28" ht="11.25" customHeight="1" x14ac:dyDescent="0.25">
      <c r="A869" s="825"/>
      <c r="B869" s="16"/>
      <c r="C869" s="1"/>
      <c r="D869" s="1"/>
      <c r="E869" s="1"/>
      <c r="F869" s="1"/>
      <c r="G869" s="1"/>
      <c r="H869" s="1"/>
      <c r="I869" s="1"/>
      <c r="J869" s="1"/>
      <c r="K869" s="1"/>
      <c r="L869" s="22"/>
      <c r="M869" s="262"/>
      <c r="N869" s="1"/>
      <c r="O869" s="1"/>
      <c r="P869" s="1"/>
      <c r="Q869" s="1"/>
      <c r="R869" s="1"/>
      <c r="S869" s="1"/>
      <c r="T869" s="1"/>
      <c r="U869" s="1"/>
      <c r="V869" s="1"/>
      <c r="W869" s="1"/>
      <c r="X869" s="1"/>
      <c r="Y869" s="1"/>
      <c r="Z869" s="1"/>
      <c r="AA869" s="1"/>
      <c r="AB869" s="1"/>
    </row>
    <row r="870" spans="1:28" ht="11.25" customHeight="1" x14ac:dyDescent="0.25">
      <c r="A870" s="825"/>
      <c r="B870" s="16"/>
      <c r="C870" s="1"/>
      <c r="D870" s="1"/>
      <c r="E870" s="1"/>
      <c r="F870" s="1"/>
      <c r="G870" s="1"/>
      <c r="H870" s="1"/>
      <c r="I870" s="1"/>
      <c r="J870" s="1"/>
      <c r="K870" s="1"/>
      <c r="L870" s="22"/>
      <c r="M870" s="262"/>
      <c r="N870" s="1"/>
      <c r="O870" s="1"/>
      <c r="P870" s="1"/>
      <c r="Q870" s="1"/>
      <c r="R870" s="1"/>
      <c r="S870" s="1"/>
      <c r="T870" s="1"/>
      <c r="U870" s="1"/>
      <c r="V870" s="1"/>
      <c r="W870" s="1"/>
      <c r="X870" s="1"/>
      <c r="Y870" s="1"/>
      <c r="Z870" s="1"/>
      <c r="AA870" s="1"/>
      <c r="AB870" s="1"/>
    </row>
    <row r="871" spans="1:28" ht="11.25" customHeight="1" x14ac:dyDescent="0.25">
      <c r="A871" s="825"/>
      <c r="B871" s="16"/>
      <c r="C871" s="1"/>
      <c r="D871" s="1"/>
      <c r="E871" s="1"/>
      <c r="F871" s="1"/>
      <c r="G871" s="1"/>
      <c r="H871" s="1"/>
      <c r="I871" s="1"/>
      <c r="J871" s="1"/>
      <c r="K871" s="1"/>
      <c r="L871" s="22"/>
      <c r="M871" s="262"/>
      <c r="N871" s="1"/>
      <c r="O871" s="1"/>
      <c r="P871" s="1"/>
      <c r="Q871" s="1"/>
      <c r="R871" s="1"/>
      <c r="S871" s="1"/>
      <c r="T871" s="1"/>
      <c r="U871" s="1"/>
      <c r="V871" s="1"/>
      <c r="W871" s="1"/>
      <c r="X871" s="1"/>
      <c r="Y871" s="1"/>
      <c r="Z871" s="1"/>
      <c r="AA871" s="1"/>
      <c r="AB871" s="1"/>
    </row>
    <row r="872" spans="1:28" ht="11.25" customHeight="1" x14ac:dyDescent="0.25">
      <c r="A872" s="825"/>
      <c r="B872" s="16"/>
      <c r="C872" s="1"/>
      <c r="D872" s="1"/>
      <c r="E872" s="1"/>
      <c r="F872" s="1"/>
      <c r="G872" s="1"/>
      <c r="H872" s="1"/>
      <c r="I872" s="1"/>
      <c r="J872" s="1"/>
      <c r="K872" s="1"/>
      <c r="L872" s="22"/>
      <c r="M872" s="262"/>
      <c r="N872" s="1"/>
      <c r="O872" s="1"/>
      <c r="P872" s="1"/>
      <c r="Q872" s="1"/>
      <c r="R872" s="1"/>
      <c r="S872" s="1"/>
      <c r="T872" s="1"/>
      <c r="U872" s="1"/>
      <c r="V872" s="1"/>
      <c r="W872" s="1"/>
      <c r="X872" s="1"/>
      <c r="Y872" s="1"/>
      <c r="Z872" s="1"/>
      <c r="AA872" s="1"/>
      <c r="AB872" s="1"/>
    </row>
    <row r="873" spans="1:28" ht="11.25" customHeight="1" x14ac:dyDescent="0.25">
      <c r="A873" s="825"/>
      <c r="B873" s="16"/>
      <c r="C873" s="1"/>
      <c r="D873" s="1"/>
      <c r="E873" s="1"/>
      <c r="F873" s="1"/>
      <c r="G873" s="1"/>
      <c r="H873" s="1"/>
      <c r="I873" s="1"/>
      <c r="J873" s="1"/>
      <c r="K873" s="1"/>
      <c r="L873" s="22"/>
      <c r="M873" s="262"/>
      <c r="N873" s="1"/>
      <c r="O873" s="1"/>
      <c r="P873" s="1"/>
      <c r="Q873" s="1"/>
      <c r="R873" s="1"/>
      <c r="S873" s="1"/>
      <c r="T873" s="1"/>
      <c r="U873" s="1"/>
      <c r="V873" s="1"/>
      <c r="W873" s="1"/>
      <c r="X873" s="1"/>
      <c r="Y873" s="1"/>
      <c r="Z873" s="1"/>
      <c r="AA873" s="1"/>
      <c r="AB873" s="1"/>
    </row>
    <row r="874" spans="1:28" ht="11.25" customHeight="1" x14ac:dyDescent="0.25">
      <c r="A874" s="825"/>
      <c r="B874" s="16"/>
      <c r="C874" s="1"/>
      <c r="D874" s="1"/>
      <c r="E874" s="1"/>
      <c r="F874" s="1"/>
      <c r="G874" s="1"/>
      <c r="H874" s="1"/>
      <c r="I874" s="1"/>
      <c r="J874" s="1"/>
      <c r="K874" s="1"/>
      <c r="L874" s="22"/>
      <c r="M874" s="262"/>
      <c r="N874" s="1"/>
      <c r="O874" s="1"/>
      <c r="P874" s="1"/>
      <c r="Q874" s="1"/>
      <c r="R874" s="1"/>
      <c r="S874" s="1"/>
      <c r="T874" s="1"/>
      <c r="U874" s="1"/>
      <c r="V874" s="1"/>
      <c r="W874" s="1"/>
      <c r="X874" s="1"/>
      <c r="Y874" s="1"/>
      <c r="Z874" s="1"/>
      <c r="AA874" s="1"/>
      <c r="AB874" s="1"/>
    </row>
    <row r="875" spans="1:28" ht="11.25" customHeight="1" x14ac:dyDescent="0.25">
      <c r="A875" s="825"/>
      <c r="B875" s="16"/>
      <c r="C875" s="1"/>
      <c r="D875" s="1"/>
      <c r="E875" s="1"/>
      <c r="F875" s="1"/>
      <c r="G875" s="1"/>
      <c r="H875" s="1"/>
      <c r="I875" s="1"/>
      <c r="J875" s="1"/>
      <c r="K875" s="1"/>
      <c r="L875" s="22"/>
      <c r="M875" s="262"/>
      <c r="N875" s="1"/>
      <c r="O875" s="1"/>
      <c r="P875" s="1"/>
      <c r="Q875" s="1"/>
      <c r="R875" s="1"/>
      <c r="S875" s="1"/>
      <c r="T875" s="1"/>
      <c r="U875" s="1"/>
      <c r="V875" s="1"/>
      <c r="W875" s="1"/>
      <c r="X875" s="1"/>
      <c r="Y875" s="1"/>
      <c r="Z875" s="1"/>
      <c r="AA875" s="1"/>
      <c r="AB875" s="1"/>
    </row>
    <row r="876" spans="1:28" ht="11.25" customHeight="1" x14ac:dyDescent="0.25">
      <c r="A876" s="825"/>
      <c r="B876" s="16"/>
      <c r="C876" s="1"/>
      <c r="D876" s="1"/>
      <c r="E876" s="1"/>
      <c r="F876" s="1"/>
      <c r="G876" s="1"/>
      <c r="H876" s="1"/>
      <c r="I876" s="1"/>
      <c r="J876" s="1"/>
      <c r="K876" s="1"/>
      <c r="L876" s="22"/>
      <c r="M876" s="262"/>
      <c r="N876" s="1"/>
      <c r="O876" s="1"/>
      <c r="P876" s="1"/>
      <c r="Q876" s="1"/>
      <c r="R876" s="1"/>
      <c r="S876" s="1"/>
      <c r="T876" s="1"/>
      <c r="U876" s="1"/>
      <c r="V876" s="1"/>
      <c r="W876" s="1"/>
      <c r="X876" s="1"/>
      <c r="Y876" s="1"/>
      <c r="Z876" s="1"/>
      <c r="AA876" s="1"/>
      <c r="AB876" s="1"/>
    </row>
    <row r="877" spans="1:28" ht="11.25" customHeight="1" x14ac:dyDescent="0.25">
      <c r="A877" s="825"/>
      <c r="B877" s="16"/>
      <c r="C877" s="1"/>
      <c r="D877" s="1"/>
      <c r="E877" s="1"/>
      <c r="F877" s="1"/>
      <c r="G877" s="1"/>
      <c r="H877" s="1"/>
      <c r="I877" s="1"/>
      <c r="J877" s="1"/>
      <c r="K877" s="1"/>
      <c r="L877" s="22"/>
      <c r="M877" s="262"/>
      <c r="N877" s="1"/>
      <c r="O877" s="1"/>
      <c r="P877" s="1"/>
      <c r="Q877" s="1"/>
      <c r="R877" s="1"/>
      <c r="S877" s="1"/>
      <c r="T877" s="1"/>
      <c r="U877" s="1"/>
      <c r="V877" s="1"/>
      <c r="W877" s="1"/>
      <c r="X877" s="1"/>
      <c r="Y877" s="1"/>
      <c r="Z877" s="1"/>
      <c r="AA877" s="1"/>
      <c r="AB877" s="1"/>
    </row>
    <row r="878" spans="1:28" ht="11.25" customHeight="1" x14ac:dyDescent="0.25">
      <c r="A878" s="825"/>
      <c r="B878" s="16"/>
      <c r="C878" s="1"/>
      <c r="D878" s="1"/>
      <c r="E878" s="1"/>
      <c r="F878" s="1"/>
      <c r="G878" s="1"/>
      <c r="H878" s="1"/>
      <c r="I878" s="1"/>
      <c r="J878" s="1"/>
      <c r="K878" s="1"/>
      <c r="L878" s="22"/>
      <c r="M878" s="262"/>
      <c r="N878" s="1"/>
      <c r="O878" s="1"/>
      <c r="P878" s="1"/>
      <c r="Q878" s="1"/>
      <c r="R878" s="1"/>
      <c r="S878" s="1"/>
      <c r="T878" s="1"/>
      <c r="U878" s="1"/>
      <c r="V878" s="1"/>
      <c r="W878" s="1"/>
      <c r="X878" s="1"/>
      <c r="Y878" s="1"/>
      <c r="Z878" s="1"/>
      <c r="AA878" s="1"/>
      <c r="AB878" s="1"/>
    </row>
    <row r="879" spans="1:28" ht="11.25" customHeight="1" x14ac:dyDescent="0.25">
      <c r="A879" s="825"/>
      <c r="B879" s="16"/>
      <c r="C879" s="1"/>
      <c r="D879" s="1"/>
      <c r="E879" s="1"/>
      <c r="F879" s="1"/>
      <c r="G879" s="1"/>
      <c r="H879" s="1"/>
      <c r="I879" s="1"/>
      <c r="J879" s="1"/>
      <c r="K879" s="1"/>
      <c r="L879" s="22"/>
      <c r="M879" s="262"/>
      <c r="N879" s="1"/>
      <c r="O879" s="1"/>
      <c r="P879" s="1"/>
      <c r="Q879" s="1"/>
      <c r="R879" s="1"/>
      <c r="S879" s="1"/>
      <c r="T879" s="1"/>
      <c r="U879" s="1"/>
      <c r="V879" s="1"/>
      <c r="W879" s="1"/>
      <c r="X879" s="1"/>
      <c r="Y879" s="1"/>
      <c r="Z879" s="1"/>
      <c r="AA879" s="1"/>
      <c r="AB879" s="1"/>
    </row>
    <row r="880" spans="1:28" ht="11.25" customHeight="1" x14ac:dyDescent="0.25">
      <c r="A880" s="825"/>
      <c r="B880" s="16"/>
      <c r="C880" s="1"/>
      <c r="D880" s="1"/>
      <c r="E880" s="1"/>
      <c r="F880" s="1"/>
      <c r="G880" s="1"/>
      <c r="H880" s="1"/>
      <c r="I880" s="1"/>
      <c r="J880" s="1"/>
      <c r="K880" s="1"/>
      <c r="L880" s="22"/>
      <c r="M880" s="262"/>
      <c r="N880" s="1"/>
      <c r="O880" s="1"/>
      <c r="P880" s="1"/>
      <c r="Q880" s="1"/>
      <c r="R880" s="1"/>
      <c r="S880" s="1"/>
      <c r="T880" s="1"/>
      <c r="U880" s="1"/>
      <c r="V880" s="1"/>
      <c r="W880" s="1"/>
      <c r="X880" s="1"/>
      <c r="Y880" s="1"/>
      <c r="Z880" s="1"/>
      <c r="AA880" s="1"/>
      <c r="AB880" s="1"/>
    </row>
    <row r="881" spans="1:28" ht="11.25" customHeight="1" x14ac:dyDescent="0.25">
      <c r="A881" s="825"/>
      <c r="B881" s="16"/>
      <c r="C881" s="1"/>
      <c r="D881" s="1"/>
      <c r="E881" s="1"/>
      <c r="F881" s="1"/>
      <c r="G881" s="1"/>
      <c r="H881" s="1"/>
      <c r="I881" s="1"/>
      <c r="J881" s="1"/>
      <c r="K881" s="1"/>
      <c r="L881" s="22"/>
      <c r="M881" s="262"/>
      <c r="N881" s="1"/>
      <c r="O881" s="1"/>
      <c r="P881" s="1"/>
      <c r="Q881" s="1"/>
      <c r="R881" s="1"/>
      <c r="S881" s="1"/>
      <c r="T881" s="1"/>
      <c r="U881" s="1"/>
      <c r="V881" s="1"/>
      <c r="W881" s="1"/>
      <c r="X881" s="1"/>
      <c r="Y881" s="1"/>
      <c r="Z881" s="1"/>
      <c r="AA881" s="1"/>
      <c r="AB881" s="1"/>
    </row>
    <row r="882" spans="1:28" ht="11.25" customHeight="1" x14ac:dyDescent="0.25">
      <c r="A882" s="825"/>
      <c r="B882" s="16"/>
      <c r="C882" s="1"/>
      <c r="D882" s="1"/>
      <c r="E882" s="1"/>
      <c r="F882" s="1"/>
      <c r="G882" s="1"/>
      <c r="H882" s="1"/>
      <c r="I882" s="1"/>
      <c r="J882" s="1"/>
      <c r="K882" s="1"/>
      <c r="L882" s="22"/>
      <c r="M882" s="262"/>
      <c r="N882" s="1"/>
      <c r="O882" s="1"/>
      <c r="P882" s="1"/>
      <c r="Q882" s="1"/>
      <c r="R882" s="1"/>
      <c r="S882" s="1"/>
      <c r="T882" s="1"/>
      <c r="U882" s="1"/>
      <c r="V882" s="1"/>
      <c r="W882" s="1"/>
      <c r="X882" s="1"/>
      <c r="Y882" s="1"/>
      <c r="Z882" s="1"/>
      <c r="AA882" s="1"/>
      <c r="AB882" s="1"/>
    </row>
    <row r="883" spans="1:28" ht="11.25" customHeight="1" x14ac:dyDescent="0.25">
      <c r="A883" s="825"/>
      <c r="B883" s="16"/>
      <c r="C883" s="1"/>
      <c r="D883" s="1"/>
      <c r="E883" s="1"/>
      <c r="F883" s="1"/>
      <c r="G883" s="1"/>
      <c r="H883" s="1"/>
      <c r="I883" s="1"/>
      <c r="J883" s="1"/>
      <c r="K883" s="1"/>
      <c r="L883" s="22"/>
      <c r="M883" s="262"/>
      <c r="N883" s="1"/>
      <c r="O883" s="1"/>
      <c r="P883" s="1"/>
      <c r="Q883" s="1"/>
      <c r="R883" s="1"/>
      <c r="S883" s="1"/>
      <c r="T883" s="1"/>
      <c r="U883" s="1"/>
      <c r="V883" s="1"/>
      <c r="W883" s="1"/>
      <c r="X883" s="1"/>
      <c r="Y883" s="1"/>
      <c r="Z883" s="1"/>
      <c r="AA883" s="1"/>
      <c r="AB883" s="1"/>
    </row>
    <row r="884" spans="1:28" ht="11.25" customHeight="1" x14ac:dyDescent="0.25">
      <c r="A884" s="825"/>
      <c r="B884" s="16"/>
      <c r="C884" s="1"/>
      <c r="D884" s="1"/>
      <c r="E884" s="1"/>
      <c r="F884" s="1"/>
      <c r="G884" s="1"/>
      <c r="H884" s="1"/>
      <c r="I884" s="1"/>
      <c r="J884" s="1"/>
      <c r="K884" s="1"/>
      <c r="L884" s="22"/>
      <c r="M884" s="262"/>
      <c r="N884" s="1"/>
      <c r="O884" s="1"/>
      <c r="P884" s="1"/>
      <c r="Q884" s="1"/>
      <c r="R884" s="1"/>
      <c r="S884" s="1"/>
      <c r="T884" s="1"/>
      <c r="U884" s="1"/>
      <c r="V884" s="1"/>
      <c r="W884" s="1"/>
      <c r="X884" s="1"/>
      <c r="Y884" s="1"/>
      <c r="Z884" s="1"/>
      <c r="AA884" s="1"/>
      <c r="AB884" s="1"/>
    </row>
    <row r="885" spans="1:28" ht="11.25" customHeight="1" x14ac:dyDescent="0.25">
      <c r="A885" s="825"/>
      <c r="B885" s="16"/>
      <c r="C885" s="1"/>
      <c r="D885" s="1"/>
      <c r="E885" s="1"/>
      <c r="F885" s="1"/>
      <c r="G885" s="1"/>
      <c r="H885" s="1"/>
      <c r="I885" s="1"/>
      <c r="J885" s="1"/>
      <c r="K885" s="1"/>
      <c r="L885" s="22"/>
      <c r="M885" s="262"/>
      <c r="N885" s="1"/>
      <c r="O885" s="1"/>
      <c r="P885" s="1"/>
      <c r="Q885" s="1"/>
      <c r="R885" s="1"/>
      <c r="S885" s="1"/>
      <c r="T885" s="1"/>
      <c r="U885" s="1"/>
      <c r="V885" s="1"/>
      <c r="W885" s="1"/>
      <c r="X885" s="1"/>
      <c r="Y885" s="1"/>
      <c r="Z885" s="1"/>
      <c r="AA885" s="1"/>
      <c r="AB885" s="1"/>
    </row>
    <row r="886" spans="1:28" ht="11.25" customHeight="1" x14ac:dyDescent="0.25">
      <c r="A886" s="825"/>
      <c r="B886" s="16"/>
      <c r="C886" s="1"/>
      <c r="D886" s="1"/>
      <c r="E886" s="1"/>
      <c r="F886" s="1"/>
      <c r="G886" s="1"/>
      <c r="H886" s="1"/>
      <c r="I886" s="1"/>
      <c r="J886" s="1"/>
      <c r="K886" s="1"/>
      <c r="L886" s="22"/>
      <c r="M886" s="262"/>
      <c r="N886" s="1"/>
      <c r="O886" s="1"/>
      <c r="P886" s="1"/>
      <c r="Q886" s="1"/>
      <c r="R886" s="1"/>
      <c r="S886" s="1"/>
      <c r="T886" s="1"/>
      <c r="U886" s="1"/>
      <c r="V886" s="1"/>
      <c r="W886" s="1"/>
      <c r="X886" s="1"/>
      <c r="Y886" s="1"/>
      <c r="Z886" s="1"/>
      <c r="AA886" s="1"/>
      <c r="AB886" s="1"/>
    </row>
    <row r="887" spans="1:28" ht="11.25" customHeight="1" x14ac:dyDescent="0.25">
      <c r="A887" s="825"/>
      <c r="B887" s="16"/>
      <c r="C887" s="1"/>
      <c r="D887" s="1"/>
      <c r="E887" s="1"/>
      <c r="F887" s="1"/>
      <c r="G887" s="1"/>
      <c r="H887" s="1"/>
      <c r="I887" s="1"/>
      <c r="J887" s="1"/>
      <c r="K887" s="1"/>
      <c r="L887" s="22"/>
      <c r="M887" s="262"/>
      <c r="N887" s="1"/>
      <c r="O887" s="1"/>
      <c r="P887" s="1"/>
      <c r="Q887" s="1"/>
      <c r="R887" s="1"/>
      <c r="S887" s="1"/>
      <c r="T887" s="1"/>
      <c r="U887" s="1"/>
      <c r="V887" s="1"/>
      <c r="W887" s="1"/>
      <c r="X887" s="1"/>
      <c r="Y887" s="1"/>
      <c r="Z887" s="1"/>
      <c r="AA887" s="1"/>
      <c r="AB887" s="1"/>
    </row>
    <row r="888" spans="1:28" ht="11.25" customHeight="1" x14ac:dyDescent="0.25">
      <c r="A888" s="825"/>
      <c r="B888" s="16"/>
      <c r="C888" s="1"/>
      <c r="D888" s="1"/>
      <c r="E888" s="1"/>
      <c r="F888" s="1"/>
      <c r="G888" s="1"/>
      <c r="H888" s="1"/>
      <c r="I888" s="1"/>
      <c r="J888" s="1"/>
      <c r="K888" s="1"/>
      <c r="L888" s="22"/>
      <c r="M888" s="262"/>
      <c r="N888" s="1"/>
      <c r="O888" s="1"/>
      <c r="P888" s="1"/>
      <c r="Q888" s="1"/>
      <c r="R888" s="1"/>
      <c r="S888" s="1"/>
      <c r="T888" s="1"/>
      <c r="U888" s="1"/>
      <c r="V888" s="1"/>
      <c r="W888" s="1"/>
      <c r="X888" s="1"/>
      <c r="Y888" s="1"/>
      <c r="Z888" s="1"/>
      <c r="AA888" s="1"/>
      <c r="AB888" s="1"/>
    </row>
    <row r="889" spans="1:28" ht="11.25" customHeight="1" x14ac:dyDescent="0.25">
      <c r="A889" s="825"/>
      <c r="B889" s="16"/>
      <c r="C889" s="1"/>
      <c r="D889" s="1"/>
      <c r="E889" s="1"/>
      <c r="F889" s="1"/>
      <c r="G889" s="1"/>
      <c r="H889" s="1"/>
      <c r="I889" s="1"/>
      <c r="J889" s="1"/>
      <c r="K889" s="1"/>
      <c r="L889" s="22"/>
      <c r="M889" s="262"/>
      <c r="N889" s="1"/>
      <c r="O889" s="1"/>
      <c r="P889" s="1"/>
      <c r="Q889" s="1"/>
      <c r="R889" s="1"/>
      <c r="S889" s="1"/>
      <c r="T889" s="1"/>
      <c r="U889" s="1"/>
      <c r="V889" s="1"/>
      <c r="W889" s="1"/>
      <c r="X889" s="1"/>
      <c r="Y889" s="1"/>
      <c r="Z889" s="1"/>
      <c r="AA889" s="1"/>
      <c r="AB889" s="1"/>
    </row>
    <row r="890" spans="1:28" ht="11.25" customHeight="1" x14ac:dyDescent="0.25">
      <c r="A890" s="825"/>
      <c r="B890" s="16"/>
      <c r="C890" s="1"/>
      <c r="D890" s="1"/>
      <c r="E890" s="1"/>
      <c r="F890" s="1"/>
      <c r="G890" s="1"/>
      <c r="H890" s="1"/>
      <c r="I890" s="1"/>
      <c r="J890" s="1"/>
      <c r="K890" s="1"/>
      <c r="L890" s="22"/>
      <c r="M890" s="262"/>
      <c r="N890" s="1"/>
      <c r="O890" s="1"/>
      <c r="P890" s="1"/>
      <c r="Q890" s="1"/>
      <c r="R890" s="1"/>
      <c r="S890" s="1"/>
      <c r="T890" s="1"/>
      <c r="U890" s="1"/>
      <c r="V890" s="1"/>
      <c r="W890" s="1"/>
      <c r="X890" s="1"/>
      <c r="Y890" s="1"/>
      <c r="Z890" s="1"/>
      <c r="AA890" s="1"/>
      <c r="AB890" s="1"/>
    </row>
    <row r="891" spans="1:28" ht="11.25" customHeight="1" x14ac:dyDescent="0.25">
      <c r="A891" s="825"/>
      <c r="B891" s="16"/>
      <c r="C891" s="1"/>
      <c r="D891" s="1"/>
      <c r="E891" s="1"/>
      <c r="F891" s="1"/>
      <c r="G891" s="1"/>
      <c r="H891" s="1"/>
      <c r="I891" s="1"/>
      <c r="J891" s="1"/>
      <c r="K891" s="1"/>
      <c r="L891" s="22"/>
      <c r="M891" s="262"/>
      <c r="N891" s="1"/>
      <c r="O891" s="1"/>
      <c r="P891" s="1"/>
      <c r="Q891" s="1"/>
      <c r="R891" s="1"/>
      <c r="S891" s="1"/>
      <c r="T891" s="1"/>
      <c r="U891" s="1"/>
      <c r="V891" s="1"/>
      <c r="W891" s="1"/>
      <c r="X891" s="1"/>
      <c r="Y891" s="1"/>
      <c r="Z891" s="1"/>
      <c r="AA891" s="1"/>
      <c r="AB891" s="1"/>
    </row>
    <row r="892" spans="1:28" ht="11.25" customHeight="1" x14ac:dyDescent="0.25">
      <c r="A892" s="825"/>
      <c r="B892" s="16"/>
      <c r="C892" s="1"/>
      <c r="D892" s="1"/>
      <c r="E892" s="1"/>
      <c r="F892" s="1"/>
      <c r="G892" s="1"/>
      <c r="H892" s="1"/>
      <c r="I892" s="1"/>
      <c r="J892" s="1"/>
      <c r="K892" s="1"/>
      <c r="L892" s="22"/>
      <c r="M892" s="262"/>
      <c r="N892" s="1"/>
      <c r="O892" s="1"/>
      <c r="P892" s="1"/>
      <c r="Q892" s="1"/>
      <c r="R892" s="1"/>
      <c r="S892" s="1"/>
      <c r="T892" s="1"/>
      <c r="U892" s="1"/>
      <c r="V892" s="1"/>
      <c r="W892" s="1"/>
      <c r="X892" s="1"/>
      <c r="Y892" s="1"/>
      <c r="Z892" s="1"/>
      <c r="AA892" s="1"/>
      <c r="AB892" s="1"/>
    </row>
    <row r="893" spans="1:28" ht="11.25" customHeight="1" x14ac:dyDescent="0.25">
      <c r="A893" s="825"/>
      <c r="B893" s="16"/>
      <c r="C893" s="1"/>
      <c r="D893" s="1"/>
      <c r="E893" s="1"/>
      <c r="F893" s="1"/>
      <c r="G893" s="1"/>
      <c r="H893" s="1"/>
      <c r="I893" s="1"/>
      <c r="J893" s="1"/>
      <c r="K893" s="1"/>
      <c r="L893" s="22"/>
      <c r="M893" s="262"/>
      <c r="N893" s="1"/>
      <c r="O893" s="1"/>
      <c r="P893" s="1"/>
      <c r="Q893" s="1"/>
      <c r="R893" s="1"/>
      <c r="S893" s="1"/>
      <c r="T893" s="1"/>
      <c r="U893" s="1"/>
      <c r="V893" s="1"/>
      <c r="W893" s="1"/>
      <c r="X893" s="1"/>
      <c r="Y893" s="1"/>
      <c r="Z893" s="1"/>
      <c r="AA893" s="1"/>
      <c r="AB893" s="1"/>
    </row>
    <row r="894" spans="1:28" ht="11.25" customHeight="1" x14ac:dyDescent="0.25">
      <c r="A894" s="825"/>
      <c r="B894" s="16"/>
      <c r="C894" s="1"/>
      <c r="D894" s="1"/>
      <c r="E894" s="1"/>
      <c r="F894" s="1"/>
      <c r="G894" s="1"/>
      <c r="H894" s="1"/>
      <c r="I894" s="1"/>
      <c r="J894" s="1"/>
      <c r="K894" s="1"/>
      <c r="L894" s="22"/>
      <c r="M894" s="262"/>
      <c r="N894" s="1"/>
      <c r="O894" s="1"/>
      <c r="P894" s="1"/>
      <c r="Q894" s="1"/>
      <c r="R894" s="1"/>
      <c r="S894" s="1"/>
      <c r="T894" s="1"/>
      <c r="U894" s="1"/>
      <c r="V894" s="1"/>
      <c r="W894" s="1"/>
      <c r="X894" s="1"/>
      <c r="Y894" s="1"/>
      <c r="Z894" s="1"/>
      <c r="AA894" s="1"/>
      <c r="AB894" s="1"/>
    </row>
    <row r="895" spans="1:28" ht="11.25" customHeight="1" x14ac:dyDescent="0.25">
      <c r="A895" s="825"/>
      <c r="B895" s="16"/>
      <c r="C895" s="1"/>
      <c r="D895" s="1"/>
      <c r="E895" s="1"/>
      <c r="F895" s="1"/>
      <c r="G895" s="1"/>
      <c r="H895" s="1"/>
      <c r="I895" s="1"/>
      <c r="J895" s="1"/>
      <c r="K895" s="1"/>
      <c r="L895" s="22"/>
      <c r="M895" s="262"/>
      <c r="N895" s="1"/>
      <c r="O895" s="1"/>
      <c r="P895" s="1"/>
      <c r="Q895" s="1"/>
      <c r="R895" s="1"/>
      <c r="S895" s="1"/>
      <c r="T895" s="1"/>
      <c r="U895" s="1"/>
      <c r="V895" s="1"/>
      <c r="W895" s="1"/>
      <c r="X895" s="1"/>
      <c r="Y895" s="1"/>
      <c r="Z895" s="1"/>
      <c r="AA895" s="1"/>
      <c r="AB895" s="1"/>
    </row>
    <row r="896" spans="1:28" ht="11.25" customHeight="1" x14ac:dyDescent="0.25">
      <c r="A896" s="825"/>
      <c r="B896" s="16"/>
      <c r="C896" s="1"/>
      <c r="D896" s="1"/>
      <c r="E896" s="1"/>
      <c r="F896" s="1"/>
      <c r="G896" s="1"/>
      <c r="H896" s="1"/>
      <c r="I896" s="1"/>
      <c r="J896" s="1"/>
      <c r="K896" s="1"/>
      <c r="L896" s="22"/>
      <c r="M896" s="262"/>
      <c r="N896" s="1"/>
      <c r="O896" s="1"/>
      <c r="P896" s="1"/>
      <c r="Q896" s="1"/>
      <c r="R896" s="1"/>
      <c r="S896" s="1"/>
      <c r="T896" s="1"/>
      <c r="U896" s="1"/>
      <c r="V896" s="1"/>
      <c r="W896" s="1"/>
      <c r="X896" s="1"/>
      <c r="Y896" s="1"/>
      <c r="Z896" s="1"/>
      <c r="AA896" s="1"/>
      <c r="AB896" s="1"/>
    </row>
    <row r="897" spans="1:28" ht="11.25" customHeight="1" x14ac:dyDescent="0.25">
      <c r="A897" s="825"/>
      <c r="B897" s="16"/>
      <c r="C897" s="1"/>
      <c r="D897" s="1"/>
      <c r="E897" s="1"/>
      <c r="F897" s="1"/>
      <c r="G897" s="1"/>
      <c r="H897" s="1"/>
      <c r="I897" s="1"/>
      <c r="J897" s="1"/>
      <c r="K897" s="1"/>
      <c r="L897" s="22"/>
      <c r="M897" s="262"/>
      <c r="N897" s="1"/>
      <c r="O897" s="1"/>
      <c r="P897" s="1"/>
      <c r="Q897" s="1"/>
      <c r="R897" s="1"/>
      <c r="S897" s="1"/>
      <c r="T897" s="1"/>
      <c r="U897" s="1"/>
      <c r="V897" s="1"/>
      <c r="W897" s="1"/>
      <c r="X897" s="1"/>
      <c r="Y897" s="1"/>
      <c r="Z897" s="1"/>
      <c r="AA897" s="1"/>
      <c r="AB897" s="1"/>
    </row>
    <row r="898" spans="1:28" ht="11.25" customHeight="1" x14ac:dyDescent="0.25">
      <c r="A898" s="825"/>
      <c r="B898" s="16"/>
      <c r="C898" s="1"/>
      <c r="D898" s="1"/>
      <c r="E898" s="1"/>
      <c r="F898" s="1"/>
      <c r="G898" s="1"/>
      <c r="H898" s="1"/>
      <c r="I898" s="1"/>
      <c r="J898" s="1"/>
      <c r="K898" s="1"/>
      <c r="L898" s="22"/>
      <c r="M898" s="262"/>
      <c r="N898" s="1"/>
      <c r="O898" s="1"/>
      <c r="P898" s="1"/>
      <c r="Q898" s="1"/>
      <c r="R898" s="1"/>
      <c r="S898" s="1"/>
      <c r="T898" s="1"/>
      <c r="U898" s="1"/>
      <c r="V898" s="1"/>
      <c r="W898" s="1"/>
      <c r="X898" s="1"/>
      <c r="Y898" s="1"/>
      <c r="Z898" s="1"/>
      <c r="AA898" s="1"/>
      <c r="AB898" s="1"/>
    </row>
    <row r="899" spans="1:28" ht="11.25" customHeight="1" x14ac:dyDescent="0.25">
      <c r="A899" s="825"/>
      <c r="B899" s="16"/>
      <c r="C899" s="1"/>
      <c r="D899" s="1"/>
      <c r="E899" s="1"/>
      <c r="F899" s="1"/>
      <c r="G899" s="1"/>
      <c r="H899" s="1"/>
      <c r="I899" s="1"/>
      <c r="J899" s="1"/>
      <c r="K899" s="1"/>
      <c r="L899" s="22"/>
      <c r="M899" s="262"/>
      <c r="N899" s="1"/>
      <c r="O899" s="1"/>
      <c r="P899" s="1"/>
      <c r="Q899" s="1"/>
      <c r="R899" s="1"/>
      <c r="S899" s="1"/>
      <c r="T899" s="1"/>
      <c r="U899" s="1"/>
      <c r="V899" s="1"/>
      <c r="W899" s="1"/>
      <c r="X899" s="1"/>
      <c r="Y899" s="1"/>
      <c r="Z899" s="1"/>
      <c r="AA899" s="1"/>
      <c r="AB899" s="1"/>
    </row>
    <row r="900" spans="1:28" ht="11.25" customHeight="1" x14ac:dyDescent="0.25">
      <c r="A900" s="825"/>
      <c r="B900" s="16"/>
      <c r="C900" s="1"/>
      <c r="D900" s="1"/>
      <c r="E900" s="1"/>
      <c r="F900" s="1"/>
      <c r="G900" s="1"/>
      <c r="H900" s="1"/>
      <c r="I900" s="1"/>
      <c r="J900" s="1"/>
      <c r="K900" s="1"/>
      <c r="L900" s="22"/>
      <c r="M900" s="262"/>
      <c r="N900" s="1"/>
      <c r="O900" s="1"/>
      <c r="P900" s="1"/>
      <c r="Q900" s="1"/>
      <c r="R900" s="1"/>
      <c r="S900" s="1"/>
      <c r="T900" s="1"/>
      <c r="U900" s="1"/>
      <c r="V900" s="1"/>
      <c r="W900" s="1"/>
      <c r="X900" s="1"/>
      <c r="Y900" s="1"/>
      <c r="Z900" s="1"/>
      <c r="AA900" s="1"/>
      <c r="AB900" s="1"/>
    </row>
    <row r="901" spans="1:28" ht="11.25" customHeight="1" x14ac:dyDescent="0.25">
      <c r="A901" s="825"/>
      <c r="B901" s="16"/>
      <c r="C901" s="1"/>
      <c r="D901" s="1"/>
      <c r="E901" s="1"/>
      <c r="F901" s="1"/>
      <c r="G901" s="1"/>
      <c r="H901" s="1"/>
      <c r="I901" s="1"/>
      <c r="J901" s="1"/>
      <c r="K901" s="1"/>
      <c r="L901" s="22"/>
      <c r="M901" s="262"/>
      <c r="N901" s="1"/>
      <c r="O901" s="1"/>
      <c r="P901" s="1"/>
      <c r="Q901" s="1"/>
      <c r="R901" s="1"/>
      <c r="S901" s="1"/>
      <c r="T901" s="1"/>
      <c r="U901" s="1"/>
      <c r="V901" s="1"/>
      <c r="W901" s="1"/>
      <c r="X901" s="1"/>
      <c r="Y901" s="1"/>
      <c r="Z901" s="1"/>
      <c r="AA901" s="1"/>
      <c r="AB901" s="1"/>
    </row>
    <row r="902" spans="1:28" ht="11.25" customHeight="1" x14ac:dyDescent="0.25">
      <c r="A902" s="825"/>
      <c r="B902" s="16"/>
      <c r="C902" s="1"/>
      <c r="D902" s="1"/>
      <c r="E902" s="1"/>
      <c r="F902" s="1"/>
      <c r="G902" s="1"/>
      <c r="H902" s="1"/>
      <c r="I902" s="1"/>
      <c r="J902" s="1"/>
      <c r="K902" s="1"/>
      <c r="L902" s="22"/>
      <c r="M902" s="262"/>
      <c r="N902" s="1"/>
      <c r="O902" s="1"/>
      <c r="P902" s="1"/>
      <c r="Q902" s="1"/>
      <c r="R902" s="1"/>
      <c r="S902" s="1"/>
      <c r="T902" s="1"/>
      <c r="U902" s="1"/>
      <c r="V902" s="1"/>
      <c r="W902" s="1"/>
      <c r="X902" s="1"/>
      <c r="Y902" s="1"/>
      <c r="Z902" s="1"/>
      <c r="AA902" s="1"/>
      <c r="AB902" s="1"/>
    </row>
    <row r="903" spans="1:28" ht="11.25" customHeight="1" x14ac:dyDescent="0.25">
      <c r="A903" s="825"/>
      <c r="B903" s="16"/>
      <c r="C903" s="1"/>
      <c r="D903" s="1"/>
      <c r="E903" s="1"/>
      <c r="F903" s="1"/>
      <c r="G903" s="1"/>
      <c r="H903" s="1"/>
      <c r="I903" s="1"/>
      <c r="J903" s="1"/>
      <c r="K903" s="1"/>
      <c r="L903" s="22"/>
      <c r="M903" s="262"/>
      <c r="N903" s="1"/>
      <c r="O903" s="1"/>
      <c r="P903" s="1"/>
      <c r="Q903" s="1"/>
      <c r="R903" s="1"/>
      <c r="S903" s="1"/>
      <c r="T903" s="1"/>
      <c r="U903" s="1"/>
      <c r="V903" s="1"/>
      <c r="W903" s="1"/>
      <c r="X903" s="1"/>
      <c r="Y903" s="1"/>
      <c r="Z903" s="1"/>
      <c r="AA903" s="1"/>
      <c r="AB903" s="1"/>
    </row>
    <row r="904" spans="1:28" ht="11.25" customHeight="1" x14ac:dyDescent="0.25">
      <c r="A904" s="825"/>
      <c r="B904" s="16"/>
      <c r="C904" s="1"/>
      <c r="D904" s="1"/>
      <c r="E904" s="1"/>
      <c r="F904" s="1"/>
      <c r="G904" s="1"/>
      <c r="H904" s="1"/>
      <c r="I904" s="1"/>
      <c r="J904" s="1"/>
      <c r="K904" s="1"/>
      <c r="L904" s="22"/>
      <c r="M904" s="262"/>
      <c r="N904" s="1"/>
      <c r="O904" s="1"/>
      <c r="P904" s="1"/>
      <c r="Q904" s="1"/>
      <c r="R904" s="1"/>
      <c r="S904" s="1"/>
      <c r="T904" s="1"/>
      <c r="U904" s="1"/>
      <c r="V904" s="1"/>
      <c r="W904" s="1"/>
      <c r="X904" s="1"/>
      <c r="Y904" s="1"/>
      <c r="Z904" s="1"/>
      <c r="AA904" s="1"/>
      <c r="AB904" s="1"/>
    </row>
    <row r="905" spans="1:28" ht="11.25" customHeight="1" x14ac:dyDescent="0.25">
      <c r="A905" s="825"/>
      <c r="B905" s="16"/>
      <c r="C905" s="1"/>
      <c r="D905" s="1"/>
      <c r="E905" s="1"/>
      <c r="F905" s="1"/>
      <c r="G905" s="1"/>
      <c r="H905" s="1"/>
      <c r="I905" s="1"/>
      <c r="J905" s="1"/>
      <c r="K905" s="1"/>
      <c r="L905" s="22"/>
      <c r="M905" s="262"/>
      <c r="N905" s="1"/>
      <c r="O905" s="1"/>
      <c r="P905" s="1"/>
      <c r="Q905" s="1"/>
      <c r="R905" s="1"/>
      <c r="S905" s="1"/>
      <c r="T905" s="1"/>
      <c r="U905" s="1"/>
      <c r="V905" s="1"/>
      <c r="W905" s="1"/>
      <c r="X905" s="1"/>
      <c r="Y905" s="1"/>
      <c r="Z905" s="1"/>
      <c r="AA905" s="1"/>
      <c r="AB905" s="1"/>
    </row>
    <row r="906" spans="1:28" ht="11.25" customHeight="1" x14ac:dyDescent="0.25">
      <c r="A906" s="825"/>
      <c r="B906" s="16"/>
      <c r="C906" s="1"/>
      <c r="D906" s="1"/>
      <c r="E906" s="1"/>
      <c r="F906" s="1"/>
      <c r="G906" s="1"/>
      <c r="H906" s="1"/>
      <c r="I906" s="1"/>
      <c r="J906" s="1"/>
      <c r="K906" s="1"/>
      <c r="L906" s="22"/>
      <c r="M906" s="262"/>
      <c r="N906" s="1"/>
      <c r="O906" s="1"/>
      <c r="P906" s="1"/>
      <c r="Q906" s="1"/>
      <c r="R906" s="1"/>
      <c r="S906" s="1"/>
      <c r="T906" s="1"/>
      <c r="U906" s="1"/>
      <c r="V906" s="1"/>
      <c r="W906" s="1"/>
      <c r="X906" s="1"/>
      <c r="Y906" s="1"/>
      <c r="Z906" s="1"/>
      <c r="AA906" s="1"/>
      <c r="AB906" s="1"/>
    </row>
    <row r="907" spans="1:28" ht="11.25" customHeight="1" x14ac:dyDescent="0.25">
      <c r="A907" s="825"/>
      <c r="B907" s="16"/>
      <c r="C907" s="1"/>
      <c r="D907" s="1"/>
      <c r="E907" s="1"/>
      <c r="F907" s="1"/>
      <c r="G907" s="1"/>
      <c r="H907" s="1"/>
      <c r="I907" s="1"/>
      <c r="J907" s="1"/>
      <c r="K907" s="1"/>
      <c r="L907" s="22"/>
      <c r="M907" s="262"/>
      <c r="N907" s="1"/>
      <c r="O907" s="1"/>
      <c r="P907" s="1"/>
      <c r="Q907" s="1"/>
      <c r="R907" s="1"/>
      <c r="S907" s="1"/>
      <c r="T907" s="1"/>
      <c r="U907" s="1"/>
      <c r="V907" s="1"/>
      <c r="W907" s="1"/>
      <c r="X907" s="1"/>
      <c r="Y907" s="1"/>
      <c r="Z907" s="1"/>
      <c r="AA907" s="1"/>
      <c r="AB907" s="1"/>
    </row>
    <row r="908" spans="1:28" ht="11.25" customHeight="1" x14ac:dyDescent="0.25">
      <c r="A908" s="825"/>
      <c r="B908" s="16"/>
      <c r="C908" s="1"/>
      <c r="D908" s="1"/>
      <c r="E908" s="1"/>
      <c r="F908" s="1"/>
      <c r="G908" s="1"/>
      <c r="H908" s="1"/>
      <c r="I908" s="1"/>
      <c r="J908" s="1"/>
      <c r="K908" s="1"/>
      <c r="L908" s="22"/>
      <c r="M908" s="262"/>
      <c r="N908" s="1"/>
      <c r="O908" s="1"/>
      <c r="P908" s="1"/>
      <c r="Q908" s="1"/>
      <c r="R908" s="1"/>
      <c r="S908" s="1"/>
      <c r="T908" s="1"/>
      <c r="U908" s="1"/>
      <c r="V908" s="1"/>
      <c r="W908" s="1"/>
      <c r="X908" s="1"/>
      <c r="Y908" s="1"/>
      <c r="Z908" s="1"/>
      <c r="AA908" s="1"/>
      <c r="AB908" s="1"/>
    </row>
    <row r="909" spans="1:28" ht="11.25" customHeight="1" x14ac:dyDescent="0.25">
      <c r="A909" s="825"/>
      <c r="B909" s="16"/>
      <c r="C909" s="1"/>
      <c r="D909" s="1"/>
      <c r="E909" s="1"/>
      <c r="F909" s="1"/>
      <c r="G909" s="1"/>
      <c r="H909" s="1"/>
      <c r="I909" s="1"/>
      <c r="J909" s="1"/>
      <c r="K909" s="1"/>
      <c r="L909" s="22"/>
      <c r="M909" s="262"/>
      <c r="N909" s="1"/>
      <c r="O909" s="1"/>
      <c r="P909" s="1"/>
      <c r="Q909" s="1"/>
      <c r="R909" s="1"/>
      <c r="S909" s="1"/>
      <c r="T909" s="1"/>
      <c r="U909" s="1"/>
      <c r="V909" s="1"/>
      <c r="W909" s="1"/>
      <c r="X909" s="1"/>
      <c r="Y909" s="1"/>
      <c r="Z909" s="1"/>
      <c r="AA909" s="1"/>
      <c r="AB909" s="1"/>
    </row>
    <row r="910" spans="1:28" ht="11.25" customHeight="1" x14ac:dyDescent="0.25">
      <c r="A910" s="825"/>
      <c r="B910" s="16"/>
      <c r="C910" s="1"/>
      <c r="D910" s="1"/>
      <c r="E910" s="1"/>
      <c r="F910" s="1"/>
      <c r="G910" s="1"/>
      <c r="H910" s="1"/>
      <c r="I910" s="1"/>
      <c r="J910" s="1"/>
      <c r="K910" s="1"/>
      <c r="L910" s="22"/>
      <c r="M910" s="262"/>
      <c r="N910" s="1"/>
      <c r="O910" s="1"/>
      <c r="P910" s="1"/>
      <c r="Q910" s="1"/>
      <c r="R910" s="1"/>
      <c r="S910" s="1"/>
      <c r="T910" s="1"/>
      <c r="U910" s="1"/>
      <c r="V910" s="1"/>
      <c r="W910" s="1"/>
      <c r="X910" s="1"/>
      <c r="Y910" s="1"/>
      <c r="Z910" s="1"/>
      <c r="AA910" s="1"/>
      <c r="AB910" s="1"/>
    </row>
    <row r="911" spans="1:28" ht="11.25" customHeight="1" x14ac:dyDescent="0.25">
      <c r="A911" s="825"/>
      <c r="B911" s="16"/>
      <c r="C911" s="1"/>
      <c r="D911" s="1"/>
      <c r="E911" s="1"/>
      <c r="F911" s="1"/>
      <c r="G911" s="1"/>
      <c r="H911" s="1"/>
      <c r="I911" s="1"/>
      <c r="J911" s="1"/>
      <c r="K911" s="1"/>
      <c r="L911" s="22"/>
      <c r="M911" s="262"/>
      <c r="N911" s="1"/>
      <c r="O911" s="1"/>
      <c r="P911" s="1"/>
      <c r="Q911" s="1"/>
      <c r="R911" s="1"/>
      <c r="S911" s="1"/>
      <c r="T911" s="1"/>
      <c r="U911" s="1"/>
      <c r="V911" s="1"/>
      <c r="W911" s="1"/>
      <c r="X911" s="1"/>
      <c r="Y911" s="1"/>
      <c r="Z911" s="1"/>
      <c r="AA911" s="1"/>
      <c r="AB911" s="1"/>
    </row>
    <row r="912" spans="1:28" ht="11.25" customHeight="1" x14ac:dyDescent="0.25">
      <c r="A912" s="825"/>
      <c r="B912" s="16"/>
      <c r="C912" s="1"/>
      <c r="D912" s="1"/>
      <c r="E912" s="1"/>
      <c r="F912" s="1"/>
      <c r="G912" s="1"/>
      <c r="H912" s="1"/>
      <c r="I912" s="1"/>
      <c r="J912" s="1"/>
      <c r="K912" s="1"/>
      <c r="L912" s="22"/>
      <c r="M912" s="262"/>
      <c r="N912" s="1"/>
      <c r="O912" s="1"/>
      <c r="P912" s="1"/>
      <c r="Q912" s="1"/>
      <c r="R912" s="1"/>
      <c r="S912" s="1"/>
      <c r="T912" s="1"/>
      <c r="U912" s="1"/>
      <c r="V912" s="1"/>
      <c r="W912" s="1"/>
      <c r="X912" s="1"/>
      <c r="Y912" s="1"/>
      <c r="Z912" s="1"/>
      <c r="AA912" s="1"/>
      <c r="AB912" s="1"/>
    </row>
    <row r="913" spans="1:28" ht="11.25" customHeight="1" x14ac:dyDescent="0.25">
      <c r="A913" s="825"/>
      <c r="B913" s="16"/>
      <c r="C913" s="1"/>
      <c r="D913" s="1"/>
      <c r="E913" s="1"/>
      <c r="F913" s="1"/>
      <c r="G913" s="1"/>
      <c r="H913" s="1"/>
      <c r="I913" s="1"/>
      <c r="J913" s="1"/>
      <c r="K913" s="1"/>
      <c r="L913" s="22"/>
      <c r="M913" s="262"/>
      <c r="N913" s="1"/>
      <c r="O913" s="1"/>
      <c r="P913" s="1"/>
      <c r="Q913" s="1"/>
      <c r="R913" s="1"/>
      <c r="S913" s="1"/>
      <c r="T913" s="1"/>
      <c r="U913" s="1"/>
      <c r="V913" s="1"/>
      <c r="W913" s="1"/>
      <c r="X913" s="1"/>
      <c r="Y913" s="1"/>
      <c r="Z913" s="1"/>
      <c r="AA913" s="1"/>
      <c r="AB913" s="1"/>
    </row>
    <row r="914" spans="1:28" ht="11.25" customHeight="1" x14ac:dyDescent="0.25">
      <c r="A914" s="825"/>
      <c r="B914" s="16"/>
      <c r="C914" s="1"/>
      <c r="D914" s="1"/>
      <c r="E914" s="1"/>
      <c r="F914" s="1"/>
      <c r="G914" s="1"/>
      <c r="H914" s="1"/>
      <c r="I914" s="1"/>
      <c r="J914" s="1"/>
      <c r="K914" s="1"/>
      <c r="L914" s="22"/>
      <c r="M914" s="262"/>
      <c r="N914" s="1"/>
      <c r="O914" s="1"/>
      <c r="P914" s="1"/>
      <c r="Q914" s="1"/>
      <c r="R914" s="1"/>
      <c r="S914" s="1"/>
      <c r="T914" s="1"/>
      <c r="U914" s="1"/>
      <c r="V914" s="1"/>
      <c r="W914" s="1"/>
      <c r="X914" s="1"/>
      <c r="Y914" s="1"/>
      <c r="Z914" s="1"/>
      <c r="AA914" s="1"/>
      <c r="AB914" s="1"/>
    </row>
    <row r="915" spans="1:28" ht="11.25" customHeight="1" x14ac:dyDescent="0.25">
      <c r="A915" s="825"/>
      <c r="B915" s="16"/>
      <c r="C915" s="1"/>
      <c r="D915" s="1"/>
      <c r="E915" s="1"/>
      <c r="F915" s="1"/>
      <c r="G915" s="1"/>
      <c r="H915" s="1"/>
      <c r="I915" s="1"/>
      <c r="J915" s="1"/>
      <c r="K915" s="1"/>
      <c r="L915" s="22"/>
      <c r="M915" s="262"/>
      <c r="N915" s="1"/>
      <c r="O915" s="1"/>
      <c r="P915" s="1"/>
      <c r="Q915" s="1"/>
      <c r="R915" s="1"/>
      <c r="S915" s="1"/>
      <c r="T915" s="1"/>
      <c r="U915" s="1"/>
      <c r="V915" s="1"/>
      <c r="W915" s="1"/>
      <c r="X915" s="1"/>
      <c r="Y915" s="1"/>
      <c r="Z915" s="1"/>
      <c r="AA915" s="1"/>
      <c r="AB915" s="1"/>
    </row>
    <row r="916" spans="1:28" ht="11.25" customHeight="1" x14ac:dyDescent="0.25">
      <c r="A916" s="825"/>
      <c r="B916" s="16"/>
      <c r="C916" s="1"/>
      <c r="D916" s="1"/>
      <c r="E916" s="1"/>
      <c r="F916" s="1"/>
      <c r="G916" s="1"/>
      <c r="H916" s="1"/>
      <c r="I916" s="1"/>
      <c r="J916" s="1"/>
      <c r="K916" s="1"/>
      <c r="L916" s="22"/>
      <c r="M916" s="262"/>
      <c r="N916" s="1"/>
      <c r="O916" s="1"/>
      <c r="P916" s="1"/>
      <c r="Q916" s="1"/>
      <c r="R916" s="1"/>
      <c r="S916" s="1"/>
      <c r="T916" s="1"/>
      <c r="U916" s="1"/>
      <c r="V916" s="1"/>
      <c r="W916" s="1"/>
      <c r="X916" s="1"/>
      <c r="Y916" s="1"/>
      <c r="Z916" s="1"/>
      <c r="AA916" s="1"/>
      <c r="AB916" s="1"/>
    </row>
    <row r="917" spans="1:28" ht="11.25" customHeight="1" x14ac:dyDescent="0.25">
      <c r="A917" s="825"/>
      <c r="B917" s="16"/>
      <c r="C917" s="1"/>
      <c r="D917" s="1"/>
      <c r="E917" s="1"/>
      <c r="F917" s="1"/>
      <c r="G917" s="1"/>
      <c r="H917" s="1"/>
      <c r="I917" s="1"/>
      <c r="J917" s="1"/>
      <c r="K917" s="1"/>
      <c r="L917" s="22"/>
      <c r="M917" s="262"/>
      <c r="N917" s="1"/>
      <c r="O917" s="1"/>
      <c r="P917" s="1"/>
      <c r="Q917" s="1"/>
      <c r="R917" s="1"/>
      <c r="S917" s="1"/>
      <c r="T917" s="1"/>
      <c r="U917" s="1"/>
      <c r="V917" s="1"/>
      <c r="W917" s="1"/>
      <c r="X917" s="1"/>
      <c r="Y917" s="1"/>
      <c r="Z917" s="1"/>
      <c r="AA917" s="1"/>
      <c r="AB917" s="1"/>
    </row>
    <row r="918" spans="1:28" ht="11.25" customHeight="1" x14ac:dyDescent="0.25">
      <c r="A918" s="825"/>
      <c r="B918" s="16"/>
      <c r="C918" s="1"/>
      <c r="D918" s="1"/>
      <c r="E918" s="1"/>
      <c r="F918" s="1"/>
      <c r="G918" s="1"/>
      <c r="H918" s="1"/>
      <c r="I918" s="1"/>
      <c r="J918" s="1"/>
      <c r="K918" s="1"/>
      <c r="L918" s="22"/>
      <c r="M918" s="262"/>
      <c r="N918" s="1"/>
      <c r="O918" s="1"/>
      <c r="P918" s="1"/>
      <c r="Q918" s="1"/>
      <c r="R918" s="1"/>
      <c r="S918" s="1"/>
      <c r="T918" s="1"/>
      <c r="U918" s="1"/>
      <c r="V918" s="1"/>
      <c r="W918" s="1"/>
      <c r="X918" s="1"/>
      <c r="Y918" s="1"/>
      <c r="Z918" s="1"/>
      <c r="AA918" s="1"/>
      <c r="AB918" s="1"/>
    </row>
    <row r="919" spans="1:28" ht="11.25" customHeight="1" x14ac:dyDescent="0.25">
      <c r="A919" s="825"/>
      <c r="B919" s="16"/>
      <c r="C919" s="1"/>
      <c r="D919" s="1"/>
      <c r="E919" s="1"/>
      <c r="F919" s="1"/>
      <c r="G919" s="1"/>
      <c r="H919" s="1"/>
      <c r="I919" s="1"/>
      <c r="J919" s="1"/>
      <c r="K919" s="1"/>
      <c r="L919" s="22"/>
      <c r="M919" s="262"/>
      <c r="N919" s="1"/>
      <c r="O919" s="1"/>
      <c r="P919" s="1"/>
      <c r="Q919" s="1"/>
      <c r="R919" s="1"/>
      <c r="S919" s="1"/>
      <c r="T919" s="1"/>
      <c r="U919" s="1"/>
      <c r="V919" s="1"/>
      <c r="W919" s="1"/>
      <c r="X919" s="1"/>
      <c r="Y919" s="1"/>
      <c r="Z919" s="1"/>
      <c r="AA919" s="1"/>
      <c r="AB919" s="1"/>
    </row>
    <row r="920" spans="1:28" ht="11.25" customHeight="1" x14ac:dyDescent="0.25">
      <c r="A920" s="825"/>
      <c r="B920" s="16"/>
      <c r="C920" s="1"/>
      <c r="D920" s="1"/>
      <c r="E920" s="1"/>
      <c r="F920" s="1"/>
      <c r="G920" s="1"/>
      <c r="H920" s="1"/>
      <c r="I920" s="1"/>
      <c r="J920" s="1"/>
      <c r="K920" s="1"/>
      <c r="L920" s="22"/>
      <c r="M920" s="262"/>
      <c r="N920" s="1"/>
      <c r="O920" s="1"/>
      <c r="P920" s="1"/>
      <c r="Q920" s="1"/>
      <c r="R920" s="1"/>
      <c r="S920" s="1"/>
      <c r="T920" s="1"/>
      <c r="U920" s="1"/>
      <c r="V920" s="1"/>
      <c r="W920" s="1"/>
      <c r="X920" s="1"/>
      <c r="Y920" s="1"/>
      <c r="Z920" s="1"/>
      <c r="AA920" s="1"/>
      <c r="AB920" s="1"/>
    </row>
    <row r="921" spans="1:28" ht="11.25" customHeight="1" x14ac:dyDescent="0.25">
      <c r="A921" s="825"/>
      <c r="B921" s="16"/>
      <c r="C921" s="1"/>
      <c r="D921" s="1"/>
      <c r="E921" s="1"/>
      <c r="F921" s="1"/>
      <c r="G921" s="1"/>
      <c r="H921" s="1"/>
      <c r="I921" s="1"/>
      <c r="J921" s="1"/>
      <c r="K921" s="1"/>
      <c r="L921" s="22"/>
      <c r="M921" s="262"/>
      <c r="N921" s="1"/>
      <c r="O921" s="1"/>
      <c r="P921" s="1"/>
      <c r="Q921" s="1"/>
      <c r="R921" s="1"/>
      <c r="S921" s="1"/>
      <c r="T921" s="1"/>
      <c r="U921" s="1"/>
      <c r="V921" s="1"/>
      <c r="W921" s="1"/>
      <c r="X921" s="1"/>
      <c r="Y921" s="1"/>
      <c r="Z921" s="1"/>
      <c r="AA921" s="1"/>
      <c r="AB921" s="1"/>
    </row>
    <row r="922" spans="1:28" ht="11.25" customHeight="1" x14ac:dyDescent="0.25">
      <c r="A922" s="825"/>
      <c r="B922" s="16"/>
      <c r="C922" s="1"/>
      <c r="D922" s="1"/>
      <c r="E922" s="1"/>
      <c r="F922" s="1"/>
      <c r="G922" s="1"/>
      <c r="H922" s="1"/>
      <c r="I922" s="1"/>
      <c r="J922" s="1"/>
      <c r="K922" s="1"/>
      <c r="L922" s="22"/>
      <c r="M922" s="262"/>
      <c r="N922" s="1"/>
      <c r="O922" s="1"/>
      <c r="P922" s="1"/>
      <c r="Q922" s="1"/>
      <c r="R922" s="1"/>
      <c r="S922" s="1"/>
      <c r="T922" s="1"/>
      <c r="U922" s="1"/>
      <c r="V922" s="1"/>
      <c r="W922" s="1"/>
      <c r="X922" s="1"/>
      <c r="Y922" s="1"/>
      <c r="Z922" s="1"/>
      <c r="AA922" s="1"/>
      <c r="AB922" s="1"/>
    </row>
    <row r="923" spans="1:28" ht="11.25" customHeight="1" x14ac:dyDescent="0.25">
      <c r="A923" s="825"/>
      <c r="B923" s="16"/>
      <c r="C923" s="1"/>
      <c r="D923" s="1"/>
      <c r="E923" s="1"/>
      <c r="F923" s="1"/>
      <c r="G923" s="1"/>
      <c r="H923" s="1"/>
      <c r="I923" s="1"/>
      <c r="J923" s="1"/>
      <c r="K923" s="1"/>
      <c r="L923" s="22"/>
      <c r="M923" s="262"/>
      <c r="N923" s="1"/>
      <c r="O923" s="1"/>
      <c r="P923" s="1"/>
      <c r="Q923" s="1"/>
      <c r="R923" s="1"/>
      <c r="S923" s="1"/>
      <c r="T923" s="1"/>
      <c r="U923" s="1"/>
      <c r="V923" s="1"/>
      <c r="W923" s="1"/>
      <c r="X923" s="1"/>
      <c r="Y923" s="1"/>
      <c r="Z923" s="1"/>
      <c r="AA923" s="1"/>
      <c r="AB923" s="1"/>
    </row>
    <row r="924" spans="1:28" ht="11.25" customHeight="1" x14ac:dyDescent="0.25">
      <c r="A924" s="825"/>
      <c r="B924" s="16"/>
      <c r="C924" s="1"/>
      <c r="D924" s="1"/>
      <c r="E924" s="1"/>
      <c r="F924" s="1"/>
      <c r="G924" s="1"/>
      <c r="H924" s="1"/>
      <c r="I924" s="1"/>
      <c r="J924" s="1"/>
      <c r="K924" s="1"/>
      <c r="L924" s="22"/>
      <c r="M924" s="262"/>
      <c r="N924" s="1"/>
      <c r="O924" s="1"/>
      <c r="P924" s="1"/>
      <c r="Q924" s="1"/>
      <c r="R924" s="1"/>
      <c r="S924" s="1"/>
      <c r="T924" s="1"/>
      <c r="U924" s="1"/>
      <c r="V924" s="1"/>
      <c r="W924" s="1"/>
      <c r="X924" s="1"/>
      <c r="Y924" s="1"/>
      <c r="Z924" s="1"/>
      <c r="AA924" s="1"/>
      <c r="AB924" s="1"/>
    </row>
    <row r="925" spans="1:28" ht="11.25" customHeight="1" x14ac:dyDescent="0.25">
      <c r="A925" s="825"/>
      <c r="B925" s="16"/>
      <c r="C925" s="1"/>
      <c r="D925" s="1"/>
      <c r="E925" s="1"/>
      <c r="F925" s="1"/>
      <c r="G925" s="1"/>
      <c r="H925" s="1"/>
      <c r="I925" s="1"/>
      <c r="J925" s="1"/>
      <c r="K925" s="1"/>
      <c r="L925" s="22"/>
      <c r="M925" s="262"/>
      <c r="N925" s="1"/>
      <c r="O925" s="1"/>
      <c r="P925" s="1"/>
      <c r="Q925" s="1"/>
      <c r="R925" s="1"/>
      <c r="S925" s="1"/>
      <c r="T925" s="1"/>
      <c r="U925" s="1"/>
      <c r="V925" s="1"/>
      <c r="W925" s="1"/>
      <c r="X925" s="1"/>
      <c r="Y925" s="1"/>
      <c r="Z925" s="1"/>
      <c r="AA925" s="1"/>
      <c r="AB925" s="1"/>
    </row>
    <row r="926" spans="1:28" ht="11.25" customHeight="1" x14ac:dyDescent="0.25">
      <c r="A926" s="825"/>
      <c r="B926" s="16"/>
      <c r="C926" s="1"/>
      <c r="D926" s="1"/>
      <c r="E926" s="1"/>
      <c r="F926" s="1"/>
      <c r="G926" s="1"/>
      <c r="H926" s="1"/>
      <c r="I926" s="1"/>
      <c r="J926" s="1"/>
      <c r="K926" s="1"/>
      <c r="L926" s="22"/>
      <c r="M926" s="262"/>
      <c r="N926" s="1"/>
      <c r="O926" s="1"/>
      <c r="P926" s="1"/>
      <c r="Q926" s="1"/>
      <c r="R926" s="1"/>
      <c r="S926" s="1"/>
      <c r="T926" s="1"/>
      <c r="U926" s="1"/>
      <c r="V926" s="1"/>
      <c r="W926" s="1"/>
      <c r="X926" s="1"/>
      <c r="Y926" s="1"/>
      <c r="Z926" s="1"/>
      <c r="AA926" s="1"/>
      <c r="AB926" s="1"/>
    </row>
    <row r="927" spans="1:28" ht="11.25" customHeight="1" x14ac:dyDescent="0.25">
      <c r="A927" s="825"/>
      <c r="B927" s="16"/>
      <c r="C927" s="1"/>
      <c r="D927" s="1"/>
      <c r="E927" s="1"/>
      <c r="F927" s="1"/>
      <c r="G927" s="1"/>
      <c r="H927" s="1"/>
      <c r="I927" s="1"/>
      <c r="J927" s="1"/>
      <c r="K927" s="1"/>
      <c r="L927" s="22"/>
      <c r="M927" s="262"/>
      <c r="N927" s="1"/>
      <c r="O927" s="1"/>
      <c r="P927" s="1"/>
      <c r="Q927" s="1"/>
      <c r="R927" s="1"/>
      <c r="S927" s="1"/>
      <c r="T927" s="1"/>
      <c r="U927" s="1"/>
      <c r="V927" s="1"/>
      <c r="W927" s="1"/>
      <c r="X927" s="1"/>
      <c r="Y927" s="1"/>
      <c r="Z927" s="1"/>
      <c r="AA927" s="1"/>
      <c r="AB927" s="1"/>
    </row>
    <row r="928" spans="1:28" ht="11.25" customHeight="1" x14ac:dyDescent="0.25">
      <c r="A928" s="825"/>
      <c r="B928" s="16"/>
      <c r="C928" s="1"/>
      <c r="D928" s="1"/>
      <c r="E928" s="1"/>
      <c r="F928" s="1"/>
      <c r="G928" s="1"/>
      <c r="H928" s="1"/>
      <c r="I928" s="1"/>
      <c r="J928" s="1"/>
      <c r="K928" s="1"/>
      <c r="L928" s="22"/>
      <c r="M928" s="262"/>
      <c r="N928" s="1"/>
      <c r="O928" s="1"/>
      <c r="P928" s="1"/>
      <c r="Q928" s="1"/>
      <c r="R928" s="1"/>
      <c r="S928" s="1"/>
      <c r="T928" s="1"/>
      <c r="U928" s="1"/>
      <c r="V928" s="1"/>
      <c r="W928" s="1"/>
      <c r="X928" s="1"/>
      <c r="Y928" s="1"/>
      <c r="Z928" s="1"/>
      <c r="AA928" s="1"/>
      <c r="AB928" s="1"/>
    </row>
    <row r="929" spans="1:28" ht="11.25" customHeight="1" x14ac:dyDescent="0.25">
      <c r="A929" s="825"/>
      <c r="B929" s="16"/>
      <c r="C929" s="1"/>
      <c r="D929" s="1"/>
      <c r="E929" s="1"/>
      <c r="F929" s="1"/>
      <c r="G929" s="1"/>
      <c r="H929" s="1"/>
      <c r="I929" s="1"/>
      <c r="J929" s="1"/>
      <c r="K929" s="1"/>
      <c r="L929" s="22"/>
      <c r="M929" s="262"/>
      <c r="N929" s="1"/>
      <c r="O929" s="1"/>
      <c r="P929" s="1"/>
      <c r="Q929" s="1"/>
      <c r="R929" s="1"/>
      <c r="S929" s="1"/>
      <c r="T929" s="1"/>
      <c r="U929" s="1"/>
      <c r="V929" s="1"/>
      <c r="W929" s="1"/>
      <c r="X929" s="1"/>
      <c r="Y929" s="1"/>
      <c r="Z929" s="1"/>
      <c r="AA929" s="1"/>
      <c r="AB929" s="1"/>
    </row>
    <row r="930" spans="1:28" ht="11.25" customHeight="1" x14ac:dyDescent="0.25">
      <c r="A930" s="825"/>
      <c r="B930" s="16"/>
      <c r="C930" s="1"/>
      <c r="D930" s="1"/>
      <c r="E930" s="1"/>
      <c r="F930" s="1"/>
      <c r="G930" s="1"/>
      <c r="H930" s="1"/>
      <c r="I930" s="1"/>
      <c r="J930" s="1"/>
      <c r="K930" s="1"/>
      <c r="L930" s="22"/>
      <c r="M930" s="262"/>
      <c r="N930" s="1"/>
      <c r="O930" s="1"/>
      <c r="P930" s="1"/>
      <c r="Q930" s="1"/>
      <c r="R930" s="1"/>
      <c r="S930" s="1"/>
      <c r="T930" s="1"/>
      <c r="U930" s="1"/>
      <c r="V930" s="1"/>
      <c r="W930" s="1"/>
      <c r="X930" s="1"/>
      <c r="Y930" s="1"/>
      <c r="Z930" s="1"/>
      <c r="AA930" s="1"/>
      <c r="AB930" s="1"/>
    </row>
    <row r="931" spans="1:28" ht="11.25" customHeight="1" x14ac:dyDescent="0.25">
      <c r="A931" s="825"/>
      <c r="B931" s="16"/>
      <c r="C931" s="1"/>
      <c r="D931" s="1"/>
      <c r="E931" s="1"/>
      <c r="F931" s="1"/>
      <c r="G931" s="1"/>
      <c r="H931" s="1"/>
      <c r="I931" s="1"/>
      <c r="J931" s="1"/>
      <c r="K931" s="1"/>
      <c r="L931" s="22"/>
      <c r="M931" s="262"/>
      <c r="N931" s="1"/>
      <c r="O931" s="1"/>
      <c r="P931" s="1"/>
      <c r="Q931" s="1"/>
      <c r="R931" s="1"/>
      <c r="S931" s="1"/>
      <c r="T931" s="1"/>
      <c r="U931" s="1"/>
      <c r="V931" s="1"/>
      <c r="W931" s="1"/>
      <c r="X931" s="1"/>
      <c r="Y931" s="1"/>
      <c r="Z931" s="1"/>
      <c r="AA931" s="1"/>
      <c r="AB931" s="1"/>
    </row>
    <row r="932" spans="1:28" ht="11.25" customHeight="1" x14ac:dyDescent="0.25">
      <c r="A932" s="825"/>
      <c r="B932" s="16"/>
      <c r="C932" s="1"/>
      <c r="D932" s="1"/>
      <c r="E932" s="1"/>
      <c r="F932" s="1"/>
      <c r="G932" s="1"/>
      <c r="H932" s="1"/>
      <c r="I932" s="1"/>
      <c r="J932" s="1"/>
      <c r="K932" s="1"/>
      <c r="L932" s="22"/>
      <c r="M932" s="262"/>
      <c r="N932" s="1"/>
      <c r="O932" s="1"/>
      <c r="P932" s="1"/>
      <c r="Q932" s="1"/>
      <c r="R932" s="1"/>
      <c r="S932" s="1"/>
      <c r="T932" s="1"/>
      <c r="U932" s="1"/>
      <c r="V932" s="1"/>
      <c r="W932" s="1"/>
      <c r="X932" s="1"/>
      <c r="Y932" s="1"/>
      <c r="Z932" s="1"/>
      <c r="AA932" s="1"/>
      <c r="AB932" s="1"/>
    </row>
    <row r="933" spans="1:28" ht="11.25" customHeight="1" x14ac:dyDescent="0.25">
      <c r="A933" s="825"/>
      <c r="B933" s="16"/>
      <c r="C933" s="1"/>
      <c r="D933" s="1"/>
      <c r="E933" s="1"/>
      <c r="F933" s="1"/>
      <c r="G933" s="1"/>
      <c r="H933" s="1"/>
      <c r="I933" s="1"/>
      <c r="J933" s="1"/>
      <c r="K933" s="1"/>
      <c r="L933" s="22"/>
      <c r="M933" s="262"/>
      <c r="N933" s="1"/>
      <c r="O933" s="1"/>
      <c r="P933" s="1"/>
      <c r="Q933" s="1"/>
      <c r="R933" s="1"/>
      <c r="S933" s="1"/>
      <c r="T933" s="1"/>
      <c r="U933" s="1"/>
      <c r="V933" s="1"/>
      <c r="W933" s="1"/>
      <c r="X933" s="1"/>
      <c r="Y933" s="1"/>
      <c r="Z933" s="1"/>
      <c r="AA933" s="1"/>
      <c r="AB933" s="1"/>
    </row>
    <row r="934" spans="1:28" ht="11.25" customHeight="1" x14ac:dyDescent="0.25">
      <c r="A934" s="825"/>
      <c r="B934" s="16"/>
      <c r="C934" s="1"/>
      <c r="D934" s="1"/>
      <c r="E934" s="1"/>
      <c r="F934" s="1"/>
      <c r="G934" s="1"/>
      <c r="H934" s="1"/>
      <c r="I934" s="1"/>
      <c r="J934" s="1"/>
      <c r="K934" s="1"/>
      <c r="L934" s="22"/>
      <c r="M934" s="262"/>
      <c r="N934" s="1"/>
      <c r="O934" s="1"/>
      <c r="P934" s="1"/>
      <c r="Q934" s="1"/>
      <c r="R934" s="1"/>
      <c r="S934" s="1"/>
      <c r="T934" s="1"/>
      <c r="U934" s="1"/>
      <c r="V934" s="1"/>
      <c r="W934" s="1"/>
      <c r="X934" s="1"/>
      <c r="Y934" s="1"/>
      <c r="Z934" s="1"/>
      <c r="AA934" s="1"/>
      <c r="AB934" s="1"/>
    </row>
    <row r="935" spans="1:28" ht="11.25" customHeight="1" x14ac:dyDescent="0.25">
      <c r="A935" s="825"/>
      <c r="B935" s="16"/>
      <c r="C935" s="1"/>
      <c r="D935" s="1"/>
      <c r="E935" s="1"/>
      <c r="F935" s="1"/>
      <c r="G935" s="1"/>
      <c r="H935" s="1"/>
      <c r="I935" s="1"/>
      <c r="J935" s="1"/>
      <c r="K935" s="1"/>
      <c r="L935" s="22"/>
      <c r="M935" s="262"/>
      <c r="N935" s="1"/>
      <c r="O935" s="1"/>
      <c r="P935" s="1"/>
      <c r="Q935" s="1"/>
      <c r="R935" s="1"/>
      <c r="S935" s="1"/>
      <c r="T935" s="1"/>
      <c r="U935" s="1"/>
      <c r="V935" s="1"/>
      <c r="W935" s="1"/>
      <c r="X935" s="1"/>
      <c r="Y935" s="1"/>
      <c r="Z935" s="1"/>
      <c r="AA935" s="1"/>
      <c r="AB935" s="1"/>
    </row>
    <row r="936" spans="1:28" ht="11.25" customHeight="1" x14ac:dyDescent="0.25">
      <c r="A936" s="825"/>
      <c r="B936" s="16"/>
      <c r="C936" s="1"/>
      <c r="D936" s="1"/>
      <c r="E936" s="1"/>
      <c r="F936" s="1"/>
      <c r="G936" s="1"/>
      <c r="H936" s="1"/>
      <c r="I936" s="1"/>
      <c r="J936" s="1"/>
      <c r="K936" s="1"/>
      <c r="L936" s="22"/>
      <c r="M936" s="262"/>
      <c r="N936" s="1"/>
      <c r="O936" s="1"/>
      <c r="P936" s="1"/>
      <c r="Q936" s="1"/>
      <c r="R936" s="1"/>
      <c r="S936" s="1"/>
      <c r="T936" s="1"/>
      <c r="U936" s="1"/>
      <c r="V936" s="1"/>
      <c r="W936" s="1"/>
      <c r="X936" s="1"/>
      <c r="Y936" s="1"/>
      <c r="Z936" s="1"/>
      <c r="AA936" s="1"/>
      <c r="AB936" s="1"/>
    </row>
    <row r="937" spans="1:28" ht="11.25" customHeight="1" x14ac:dyDescent="0.25">
      <c r="A937" s="825"/>
      <c r="B937" s="16"/>
      <c r="C937" s="1"/>
      <c r="D937" s="1"/>
      <c r="E937" s="1"/>
      <c r="F937" s="1"/>
      <c r="G937" s="1"/>
      <c r="H937" s="1"/>
      <c r="I937" s="1"/>
      <c r="J937" s="1"/>
      <c r="K937" s="1"/>
      <c r="L937" s="22"/>
      <c r="M937" s="262"/>
      <c r="N937" s="1"/>
      <c r="O937" s="1"/>
      <c r="P937" s="1"/>
      <c r="Q937" s="1"/>
      <c r="R937" s="1"/>
      <c r="S937" s="1"/>
      <c r="T937" s="1"/>
      <c r="U937" s="1"/>
      <c r="V937" s="1"/>
      <c r="W937" s="1"/>
      <c r="X937" s="1"/>
      <c r="Y937" s="1"/>
      <c r="Z937" s="1"/>
      <c r="AA937" s="1"/>
      <c r="AB937" s="1"/>
    </row>
    <row r="938" spans="1:28" ht="11.25" customHeight="1" x14ac:dyDescent="0.25">
      <c r="A938" s="825"/>
      <c r="B938" s="16"/>
      <c r="C938" s="1"/>
      <c r="D938" s="1"/>
      <c r="E938" s="1"/>
      <c r="F938" s="1"/>
      <c r="G938" s="1"/>
      <c r="H938" s="1"/>
      <c r="I938" s="1"/>
      <c r="J938" s="1"/>
      <c r="K938" s="1"/>
      <c r="L938" s="22"/>
      <c r="M938" s="262"/>
      <c r="N938" s="1"/>
      <c r="O938" s="1"/>
      <c r="P938" s="1"/>
      <c r="Q938" s="1"/>
      <c r="R938" s="1"/>
      <c r="S938" s="1"/>
      <c r="T938" s="1"/>
      <c r="U938" s="1"/>
      <c r="V938" s="1"/>
      <c r="W938" s="1"/>
      <c r="X938" s="1"/>
      <c r="Y938" s="1"/>
      <c r="Z938" s="1"/>
      <c r="AA938" s="1"/>
      <c r="AB938" s="1"/>
    </row>
    <row r="939" spans="1:28" ht="11.25" customHeight="1" x14ac:dyDescent="0.25">
      <c r="A939" s="825"/>
      <c r="B939" s="16"/>
      <c r="C939" s="1"/>
      <c r="D939" s="1"/>
      <c r="E939" s="1"/>
      <c r="F939" s="1"/>
      <c r="G939" s="1"/>
      <c r="H939" s="1"/>
      <c r="I939" s="1"/>
      <c r="J939" s="1"/>
      <c r="K939" s="1"/>
      <c r="L939" s="22"/>
      <c r="M939" s="262"/>
      <c r="N939" s="1"/>
      <c r="O939" s="1"/>
      <c r="P939" s="1"/>
      <c r="Q939" s="1"/>
      <c r="R939" s="1"/>
      <c r="S939" s="1"/>
      <c r="T939" s="1"/>
      <c r="U939" s="1"/>
      <c r="V939" s="1"/>
      <c r="W939" s="1"/>
      <c r="X939" s="1"/>
      <c r="Y939" s="1"/>
      <c r="Z939" s="1"/>
      <c r="AA939" s="1"/>
      <c r="AB939" s="1"/>
    </row>
    <row r="940" spans="1:28" ht="11.25" customHeight="1" x14ac:dyDescent="0.25">
      <c r="A940" s="825"/>
      <c r="B940" s="16"/>
      <c r="C940" s="1"/>
      <c r="D940" s="1"/>
      <c r="E940" s="1"/>
      <c r="F940" s="1"/>
      <c r="G940" s="1"/>
      <c r="H940" s="1"/>
      <c r="I940" s="1"/>
      <c r="J940" s="1"/>
      <c r="K940" s="1"/>
      <c r="L940" s="22"/>
      <c r="M940" s="262"/>
      <c r="N940" s="1"/>
      <c r="O940" s="1"/>
      <c r="P940" s="1"/>
      <c r="Q940" s="1"/>
      <c r="R940" s="1"/>
      <c r="S940" s="1"/>
      <c r="T940" s="1"/>
      <c r="U940" s="1"/>
      <c r="V940" s="1"/>
      <c r="W940" s="1"/>
      <c r="X940" s="1"/>
      <c r="Y940" s="1"/>
      <c r="Z940" s="1"/>
      <c r="AA940" s="1"/>
      <c r="AB940" s="1"/>
    </row>
    <row r="941" spans="1:28" ht="11.25" customHeight="1" x14ac:dyDescent="0.25">
      <c r="A941" s="825"/>
      <c r="B941" s="16"/>
      <c r="C941" s="1"/>
      <c r="D941" s="1"/>
      <c r="E941" s="1"/>
      <c r="F941" s="1"/>
      <c r="G941" s="1"/>
      <c r="H941" s="1"/>
      <c r="I941" s="1"/>
      <c r="J941" s="1"/>
      <c r="K941" s="1"/>
      <c r="L941" s="22"/>
      <c r="M941" s="262"/>
      <c r="N941" s="1"/>
      <c r="O941" s="1"/>
      <c r="P941" s="1"/>
      <c r="Q941" s="1"/>
      <c r="R941" s="1"/>
      <c r="S941" s="1"/>
      <c r="T941" s="1"/>
      <c r="U941" s="1"/>
      <c r="V941" s="1"/>
      <c r="W941" s="1"/>
      <c r="X941" s="1"/>
      <c r="Y941" s="1"/>
      <c r="Z941" s="1"/>
      <c r="AA941" s="1"/>
      <c r="AB941" s="1"/>
    </row>
    <row r="942" spans="1:28" ht="11.25" customHeight="1" x14ac:dyDescent="0.25">
      <c r="A942" s="825"/>
      <c r="B942" s="16"/>
      <c r="C942" s="1"/>
      <c r="D942" s="1"/>
      <c r="E942" s="1"/>
      <c r="F942" s="1"/>
      <c r="G942" s="1"/>
      <c r="H942" s="1"/>
      <c r="I942" s="1"/>
      <c r="J942" s="1"/>
      <c r="K942" s="1"/>
      <c r="L942" s="22"/>
      <c r="M942" s="262"/>
      <c r="N942" s="1"/>
      <c r="O942" s="1"/>
      <c r="P942" s="1"/>
      <c r="Q942" s="1"/>
      <c r="R942" s="1"/>
      <c r="S942" s="1"/>
      <c r="T942" s="1"/>
      <c r="U942" s="1"/>
      <c r="V942" s="1"/>
      <c r="W942" s="1"/>
      <c r="X942" s="1"/>
      <c r="Y942" s="1"/>
      <c r="Z942" s="1"/>
      <c r="AA942" s="1"/>
      <c r="AB942" s="1"/>
    </row>
    <row r="943" spans="1:28" ht="11.25" customHeight="1" x14ac:dyDescent="0.25">
      <c r="A943" s="825"/>
      <c r="B943" s="16"/>
      <c r="C943" s="1"/>
      <c r="D943" s="1"/>
      <c r="E943" s="1"/>
      <c r="F943" s="1"/>
      <c r="G943" s="1"/>
      <c r="H943" s="1"/>
      <c r="I943" s="1"/>
      <c r="J943" s="1"/>
      <c r="K943" s="1"/>
      <c r="L943" s="22"/>
      <c r="M943" s="262"/>
      <c r="N943" s="1"/>
      <c r="O943" s="1"/>
      <c r="P943" s="1"/>
      <c r="Q943" s="1"/>
      <c r="R943" s="1"/>
      <c r="S943" s="1"/>
      <c r="T943" s="1"/>
      <c r="U943" s="1"/>
      <c r="V943" s="1"/>
      <c r="W943" s="1"/>
      <c r="X943" s="1"/>
      <c r="Y943" s="1"/>
      <c r="Z943" s="1"/>
      <c r="AA943" s="1"/>
      <c r="AB943" s="1"/>
    </row>
    <row r="944" spans="1:28" ht="11.25" customHeight="1" x14ac:dyDescent="0.25">
      <c r="A944" s="825"/>
      <c r="B944" s="16"/>
      <c r="C944" s="1"/>
      <c r="D944" s="1"/>
      <c r="E944" s="1"/>
      <c r="F944" s="1"/>
      <c r="G944" s="1"/>
      <c r="H944" s="1"/>
      <c r="I944" s="1"/>
      <c r="J944" s="1"/>
      <c r="K944" s="1"/>
      <c r="L944" s="22"/>
      <c r="M944" s="262"/>
      <c r="N944" s="1"/>
      <c r="O944" s="1"/>
      <c r="P944" s="1"/>
      <c r="Q944" s="1"/>
      <c r="R944" s="1"/>
      <c r="S944" s="1"/>
      <c r="T944" s="1"/>
      <c r="U944" s="1"/>
      <c r="V944" s="1"/>
      <c r="W944" s="1"/>
      <c r="X944" s="1"/>
      <c r="Y944" s="1"/>
      <c r="Z944" s="1"/>
      <c r="AA944" s="1"/>
      <c r="AB944" s="1"/>
    </row>
    <row r="945" spans="1:28" ht="11.25" customHeight="1" x14ac:dyDescent="0.25">
      <c r="A945" s="825"/>
      <c r="B945" s="16"/>
      <c r="C945" s="1"/>
      <c r="D945" s="1"/>
      <c r="E945" s="1"/>
      <c r="F945" s="1"/>
      <c r="G945" s="1"/>
      <c r="H945" s="1"/>
      <c r="I945" s="1"/>
      <c r="J945" s="1"/>
      <c r="K945" s="1"/>
      <c r="L945" s="22"/>
      <c r="M945" s="262"/>
      <c r="N945" s="1"/>
      <c r="O945" s="1"/>
      <c r="P945" s="1"/>
      <c r="Q945" s="1"/>
      <c r="R945" s="1"/>
      <c r="S945" s="1"/>
      <c r="T945" s="1"/>
      <c r="U945" s="1"/>
      <c r="V945" s="1"/>
      <c r="W945" s="1"/>
      <c r="X945" s="1"/>
      <c r="Y945" s="1"/>
      <c r="Z945" s="1"/>
      <c r="AA945" s="1"/>
      <c r="AB945" s="1"/>
    </row>
    <row r="946" spans="1:28" ht="11.25" customHeight="1" x14ac:dyDescent="0.25">
      <c r="A946" s="825"/>
      <c r="B946" s="16"/>
      <c r="C946" s="1"/>
      <c r="D946" s="1"/>
      <c r="E946" s="1"/>
      <c r="F946" s="1"/>
      <c r="G946" s="1"/>
      <c r="H946" s="1"/>
      <c r="I946" s="1"/>
      <c r="J946" s="1"/>
      <c r="K946" s="1"/>
      <c r="L946" s="22"/>
      <c r="M946" s="262"/>
      <c r="N946" s="1"/>
      <c r="O946" s="1"/>
      <c r="P946" s="1"/>
      <c r="Q946" s="1"/>
      <c r="R946" s="1"/>
      <c r="S946" s="1"/>
      <c r="T946" s="1"/>
      <c r="U946" s="1"/>
      <c r="V946" s="1"/>
      <c r="W946" s="1"/>
      <c r="X946" s="1"/>
      <c r="Y946" s="1"/>
      <c r="Z946" s="1"/>
      <c r="AA946" s="1"/>
      <c r="AB946" s="1"/>
    </row>
    <row r="947" spans="1:28" ht="11.25" customHeight="1" x14ac:dyDescent="0.25">
      <c r="A947" s="825"/>
      <c r="B947" s="16"/>
      <c r="C947" s="1"/>
      <c r="D947" s="1"/>
      <c r="E947" s="1"/>
      <c r="F947" s="1"/>
      <c r="G947" s="1"/>
      <c r="H947" s="1"/>
      <c r="I947" s="1"/>
      <c r="J947" s="1"/>
      <c r="K947" s="1"/>
      <c r="L947" s="22"/>
      <c r="M947" s="262"/>
      <c r="N947" s="1"/>
      <c r="O947" s="1"/>
      <c r="P947" s="1"/>
      <c r="Q947" s="1"/>
      <c r="R947" s="1"/>
      <c r="S947" s="1"/>
      <c r="T947" s="1"/>
      <c r="U947" s="1"/>
      <c r="V947" s="1"/>
      <c r="W947" s="1"/>
      <c r="X947" s="1"/>
      <c r="Y947" s="1"/>
      <c r="Z947" s="1"/>
      <c r="AA947" s="1"/>
      <c r="AB947" s="1"/>
    </row>
    <row r="948" spans="1:28" ht="11.25" customHeight="1" x14ac:dyDescent="0.25">
      <c r="A948" s="825"/>
      <c r="B948" s="16"/>
      <c r="C948" s="1"/>
      <c r="D948" s="1"/>
      <c r="E948" s="1"/>
      <c r="F948" s="1"/>
      <c r="G948" s="1"/>
      <c r="H948" s="1"/>
      <c r="I948" s="1"/>
      <c r="J948" s="1"/>
      <c r="K948" s="1"/>
      <c r="L948" s="22"/>
      <c r="M948" s="262"/>
      <c r="N948" s="1"/>
      <c r="O948" s="1"/>
      <c r="P948" s="1"/>
      <c r="Q948" s="1"/>
      <c r="R948" s="1"/>
      <c r="S948" s="1"/>
      <c r="T948" s="1"/>
      <c r="U948" s="1"/>
      <c r="V948" s="1"/>
      <c r="W948" s="1"/>
      <c r="X948" s="1"/>
      <c r="Y948" s="1"/>
      <c r="Z948" s="1"/>
      <c r="AA948" s="1"/>
      <c r="AB948" s="1"/>
    </row>
    <row r="949" spans="1:28" ht="11.25" customHeight="1" x14ac:dyDescent="0.25">
      <c r="A949" s="825"/>
      <c r="B949" s="16"/>
      <c r="C949" s="1"/>
      <c r="D949" s="1"/>
      <c r="E949" s="1"/>
      <c r="F949" s="1"/>
      <c r="G949" s="1"/>
      <c r="H949" s="1"/>
      <c r="I949" s="1"/>
      <c r="J949" s="1"/>
      <c r="K949" s="1"/>
      <c r="L949" s="22"/>
      <c r="M949" s="262"/>
      <c r="N949" s="1"/>
      <c r="O949" s="1"/>
      <c r="P949" s="1"/>
      <c r="Q949" s="1"/>
      <c r="R949" s="1"/>
      <c r="S949" s="1"/>
      <c r="T949" s="1"/>
      <c r="U949" s="1"/>
      <c r="V949" s="1"/>
      <c r="W949" s="1"/>
      <c r="X949" s="1"/>
      <c r="Y949" s="1"/>
      <c r="Z949" s="1"/>
      <c r="AA949" s="1"/>
      <c r="AB949" s="1"/>
    </row>
    <row r="950" spans="1:28" ht="11.25" customHeight="1" x14ac:dyDescent="0.25">
      <c r="A950" s="825"/>
      <c r="B950" s="16"/>
      <c r="C950" s="1"/>
      <c r="D950" s="1"/>
      <c r="E950" s="1"/>
      <c r="F950" s="1"/>
      <c r="G950" s="1"/>
      <c r="H950" s="1"/>
      <c r="I950" s="1"/>
      <c r="J950" s="1"/>
      <c r="K950" s="1"/>
      <c r="L950" s="22"/>
      <c r="M950" s="262"/>
      <c r="N950" s="1"/>
      <c r="O950" s="1"/>
      <c r="P950" s="1"/>
      <c r="Q950" s="1"/>
      <c r="R950" s="1"/>
      <c r="S950" s="1"/>
      <c r="T950" s="1"/>
      <c r="U950" s="1"/>
      <c r="V950" s="1"/>
      <c r="W950" s="1"/>
      <c r="X950" s="1"/>
      <c r="Y950" s="1"/>
      <c r="Z950" s="1"/>
      <c r="AA950" s="1"/>
      <c r="AB950" s="1"/>
    </row>
    <row r="951" spans="1:28" ht="11.25" customHeight="1" x14ac:dyDescent="0.25">
      <c r="A951" s="825"/>
      <c r="B951" s="16"/>
      <c r="C951" s="1"/>
      <c r="D951" s="1"/>
      <c r="E951" s="1"/>
      <c r="F951" s="1"/>
      <c r="G951" s="1"/>
      <c r="H951" s="1"/>
      <c r="I951" s="1"/>
      <c r="J951" s="1"/>
      <c r="K951" s="1"/>
      <c r="L951" s="22"/>
      <c r="M951" s="262"/>
      <c r="N951" s="1"/>
      <c r="O951" s="1"/>
      <c r="P951" s="1"/>
      <c r="Q951" s="1"/>
      <c r="R951" s="1"/>
      <c r="S951" s="1"/>
      <c r="T951" s="1"/>
      <c r="U951" s="1"/>
      <c r="V951" s="1"/>
      <c r="W951" s="1"/>
      <c r="X951" s="1"/>
      <c r="Y951" s="1"/>
      <c r="Z951" s="1"/>
      <c r="AA951" s="1"/>
      <c r="AB951" s="1"/>
    </row>
    <row r="952" spans="1:28" ht="11.25" customHeight="1" x14ac:dyDescent="0.25">
      <c r="A952" s="825"/>
      <c r="B952" s="16"/>
      <c r="C952" s="1"/>
      <c r="D952" s="1"/>
      <c r="E952" s="1"/>
      <c r="F952" s="1"/>
      <c r="G952" s="1"/>
      <c r="H952" s="1"/>
      <c r="I952" s="1"/>
      <c r="J952" s="1"/>
      <c r="K952" s="1"/>
      <c r="L952" s="22"/>
      <c r="M952" s="262"/>
      <c r="N952" s="1"/>
      <c r="O952" s="1"/>
      <c r="P952" s="1"/>
      <c r="Q952" s="1"/>
      <c r="R952" s="1"/>
      <c r="S952" s="1"/>
      <c r="T952" s="1"/>
      <c r="U952" s="1"/>
      <c r="V952" s="1"/>
      <c r="W952" s="1"/>
      <c r="X952" s="1"/>
      <c r="Y952" s="1"/>
      <c r="Z952" s="1"/>
      <c r="AA952" s="1"/>
      <c r="AB952" s="1"/>
    </row>
    <row r="953" spans="1:28" ht="11.25" customHeight="1" x14ac:dyDescent="0.25">
      <c r="A953" s="825"/>
      <c r="B953" s="16"/>
      <c r="C953" s="1"/>
      <c r="D953" s="1"/>
      <c r="E953" s="1"/>
      <c r="F953" s="1"/>
      <c r="G953" s="1"/>
      <c r="H953" s="1"/>
      <c r="I953" s="1"/>
      <c r="J953" s="1"/>
      <c r="K953" s="1"/>
      <c r="L953" s="22"/>
      <c r="M953" s="262"/>
      <c r="N953" s="1"/>
      <c r="O953" s="1"/>
      <c r="P953" s="1"/>
      <c r="Q953" s="1"/>
      <c r="R953" s="1"/>
      <c r="S953" s="1"/>
      <c r="T953" s="1"/>
      <c r="U953" s="1"/>
      <c r="V953" s="1"/>
      <c r="W953" s="1"/>
      <c r="X953" s="1"/>
      <c r="Y953" s="1"/>
      <c r="Z953" s="1"/>
      <c r="AA953" s="1"/>
      <c r="AB953" s="1"/>
    </row>
    <row r="954" spans="1:28" ht="11.25" customHeight="1" x14ac:dyDescent="0.25">
      <c r="A954" s="825"/>
      <c r="B954" s="16"/>
      <c r="C954" s="1"/>
      <c r="D954" s="1"/>
      <c r="E954" s="1"/>
      <c r="F954" s="1"/>
      <c r="G954" s="1"/>
      <c r="H954" s="1"/>
      <c r="I954" s="1"/>
      <c r="J954" s="1"/>
      <c r="K954" s="1"/>
      <c r="L954" s="22"/>
      <c r="M954" s="262"/>
      <c r="N954" s="1"/>
      <c r="O954" s="1"/>
      <c r="P954" s="1"/>
      <c r="Q954" s="1"/>
      <c r="R954" s="1"/>
      <c r="S954" s="1"/>
      <c r="T954" s="1"/>
      <c r="U954" s="1"/>
      <c r="V954" s="1"/>
      <c r="W954" s="1"/>
      <c r="X954" s="1"/>
      <c r="Y954" s="1"/>
      <c r="Z954" s="1"/>
      <c r="AA954" s="1"/>
      <c r="AB954" s="1"/>
    </row>
    <row r="955" spans="1:28" ht="11.25" customHeight="1" x14ac:dyDescent="0.25">
      <c r="A955" s="825"/>
      <c r="B955" s="16"/>
      <c r="C955" s="1"/>
      <c r="D955" s="1"/>
      <c r="E955" s="1"/>
      <c r="F955" s="1"/>
      <c r="G955" s="1"/>
      <c r="H955" s="1"/>
      <c r="I955" s="1"/>
      <c r="J955" s="1"/>
      <c r="K955" s="1"/>
      <c r="L955" s="22"/>
      <c r="M955" s="262"/>
      <c r="N955" s="1"/>
      <c r="O955" s="1"/>
      <c r="P955" s="1"/>
      <c r="Q955" s="1"/>
      <c r="R955" s="1"/>
      <c r="S955" s="1"/>
      <c r="T955" s="1"/>
      <c r="U955" s="1"/>
      <c r="V955" s="1"/>
      <c r="W955" s="1"/>
      <c r="X955" s="1"/>
      <c r="Y955" s="1"/>
      <c r="Z955" s="1"/>
      <c r="AA955" s="1"/>
      <c r="AB955" s="1"/>
    </row>
    <row r="956" spans="1:28" ht="11.25" customHeight="1" x14ac:dyDescent="0.25">
      <c r="A956" s="825"/>
      <c r="B956" s="16"/>
      <c r="C956" s="1"/>
      <c r="D956" s="1"/>
      <c r="E956" s="1"/>
      <c r="F956" s="1"/>
      <c r="G956" s="1"/>
      <c r="H956" s="1"/>
      <c r="I956" s="1"/>
      <c r="J956" s="1"/>
      <c r="K956" s="1"/>
      <c r="L956" s="22"/>
      <c r="M956" s="262"/>
      <c r="N956" s="1"/>
      <c r="O956" s="1"/>
      <c r="P956" s="1"/>
      <c r="Q956" s="1"/>
      <c r="R956" s="1"/>
      <c r="S956" s="1"/>
      <c r="T956" s="1"/>
      <c r="U956" s="1"/>
      <c r="V956" s="1"/>
      <c r="W956" s="1"/>
      <c r="X956" s="1"/>
      <c r="Y956" s="1"/>
      <c r="Z956" s="1"/>
      <c r="AA956" s="1"/>
      <c r="AB956" s="1"/>
    </row>
    <row r="957" spans="1:28" ht="11.25" customHeight="1" x14ac:dyDescent="0.25">
      <c r="A957" s="825"/>
      <c r="B957" s="16"/>
      <c r="C957" s="1"/>
      <c r="D957" s="1"/>
      <c r="E957" s="1"/>
      <c r="F957" s="1"/>
      <c r="G957" s="1"/>
      <c r="H957" s="1"/>
      <c r="I957" s="1"/>
      <c r="J957" s="1"/>
      <c r="K957" s="1"/>
      <c r="L957" s="22"/>
      <c r="M957" s="262"/>
      <c r="N957" s="1"/>
      <c r="O957" s="1"/>
      <c r="P957" s="1"/>
      <c r="Q957" s="1"/>
      <c r="R957" s="1"/>
      <c r="S957" s="1"/>
      <c r="T957" s="1"/>
      <c r="U957" s="1"/>
      <c r="V957" s="1"/>
      <c r="W957" s="1"/>
      <c r="X957" s="1"/>
      <c r="Y957" s="1"/>
      <c r="Z957" s="1"/>
      <c r="AA957" s="1"/>
      <c r="AB957" s="1"/>
    </row>
    <row r="958" spans="1:28" ht="11.25" customHeight="1" x14ac:dyDescent="0.25">
      <c r="A958" s="825"/>
      <c r="B958" s="16"/>
      <c r="C958" s="1"/>
      <c r="D958" s="1"/>
      <c r="E958" s="1"/>
      <c r="F958" s="1"/>
      <c r="G958" s="1"/>
      <c r="H958" s="1"/>
      <c r="I958" s="1"/>
      <c r="J958" s="1"/>
      <c r="K958" s="1"/>
      <c r="L958" s="22"/>
      <c r="M958" s="262"/>
      <c r="N958" s="1"/>
      <c r="O958" s="1"/>
      <c r="P958" s="1"/>
      <c r="Q958" s="1"/>
      <c r="R958" s="1"/>
      <c r="S958" s="1"/>
      <c r="T958" s="1"/>
      <c r="U958" s="1"/>
      <c r="V958" s="1"/>
      <c r="W958" s="1"/>
      <c r="X958" s="1"/>
      <c r="Y958" s="1"/>
      <c r="Z958" s="1"/>
      <c r="AA958" s="1"/>
      <c r="AB958" s="1"/>
    </row>
    <row r="959" spans="1:28" ht="11.25" customHeight="1" x14ac:dyDescent="0.25">
      <c r="A959" s="825"/>
      <c r="B959" s="16"/>
      <c r="C959" s="1"/>
      <c r="D959" s="1"/>
      <c r="E959" s="1"/>
      <c r="F959" s="1"/>
      <c r="G959" s="1"/>
      <c r="H959" s="1"/>
      <c r="I959" s="1"/>
      <c r="J959" s="1"/>
      <c r="K959" s="1"/>
      <c r="L959" s="22"/>
      <c r="M959" s="262"/>
      <c r="N959" s="1"/>
      <c r="O959" s="1"/>
      <c r="P959" s="1"/>
      <c r="Q959" s="1"/>
      <c r="R959" s="1"/>
      <c r="S959" s="1"/>
      <c r="T959" s="1"/>
      <c r="U959" s="1"/>
      <c r="V959" s="1"/>
      <c r="W959" s="1"/>
      <c r="X959" s="1"/>
      <c r="Y959" s="1"/>
      <c r="Z959" s="1"/>
      <c r="AA959" s="1"/>
      <c r="AB959" s="1"/>
    </row>
    <row r="960" spans="1:28" ht="11.25" customHeight="1" x14ac:dyDescent="0.25">
      <c r="A960" s="825"/>
      <c r="B960" s="16"/>
      <c r="C960" s="1"/>
      <c r="D960" s="1"/>
      <c r="E960" s="1"/>
      <c r="F960" s="1"/>
      <c r="G960" s="1"/>
      <c r="H960" s="1"/>
      <c r="I960" s="1"/>
      <c r="J960" s="1"/>
      <c r="K960" s="1"/>
      <c r="L960" s="22"/>
      <c r="M960" s="262"/>
      <c r="N960" s="1"/>
      <c r="O960" s="1"/>
      <c r="P960" s="1"/>
      <c r="Q960" s="1"/>
      <c r="R960" s="1"/>
      <c r="S960" s="1"/>
      <c r="T960" s="1"/>
      <c r="U960" s="1"/>
      <c r="V960" s="1"/>
      <c r="W960" s="1"/>
      <c r="X960" s="1"/>
      <c r="Y960" s="1"/>
      <c r="Z960" s="1"/>
      <c r="AA960" s="1"/>
      <c r="AB960" s="1"/>
    </row>
    <row r="961" spans="1:28" ht="11.25" customHeight="1" x14ac:dyDescent="0.25">
      <c r="A961" s="825"/>
      <c r="B961" s="16"/>
      <c r="C961" s="1"/>
      <c r="D961" s="1"/>
      <c r="E961" s="1"/>
      <c r="F961" s="1"/>
      <c r="G961" s="1"/>
      <c r="H961" s="1"/>
      <c r="I961" s="1"/>
      <c r="J961" s="1"/>
      <c r="K961" s="1"/>
      <c r="L961" s="22"/>
      <c r="M961" s="262"/>
      <c r="N961" s="1"/>
      <c r="O961" s="1"/>
      <c r="P961" s="1"/>
      <c r="Q961" s="1"/>
      <c r="R961" s="1"/>
      <c r="S961" s="1"/>
      <c r="T961" s="1"/>
      <c r="U961" s="1"/>
      <c r="V961" s="1"/>
      <c r="W961" s="1"/>
      <c r="X961" s="1"/>
      <c r="Y961" s="1"/>
      <c r="Z961" s="1"/>
      <c r="AA961" s="1"/>
      <c r="AB961" s="1"/>
    </row>
    <row r="962" spans="1:28" ht="11.25" customHeight="1" x14ac:dyDescent="0.25">
      <c r="A962" s="825"/>
      <c r="B962" s="16"/>
      <c r="C962" s="1"/>
      <c r="D962" s="1"/>
      <c r="E962" s="1"/>
      <c r="F962" s="1"/>
      <c r="G962" s="1"/>
      <c r="H962" s="1"/>
      <c r="I962" s="1"/>
      <c r="J962" s="1"/>
      <c r="K962" s="1"/>
      <c r="L962" s="22"/>
      <c r="M962" s="262"/>
      <c r="N962" s="1"/>
      <c r="O962" s="1"/>
      <c r="P962" s="1"/>
      <c r="Q962" s="1"/>
      <c r="R962" s="1"/>
      <c r="S962" s="1"/>
      <c r="T962" s="1"/>
      <c r="U962" s="1"/>
      <c r="V962" s="1"/>
      <c r="W962" s="1"/>
      <c r="X962" s="1"/>
      <c r="Y962" s="1"/>
      <c r="Z962" s="1"/>
      <c r="AA962" s="1"/>
      <c r="AB962" s="1"/>
    </row>
    <row r="963" spans="1:28" ht="11.25" customHeight="1" x14ac:dyDescent="0.25">
      <c r="A963" s="825"/>
      <c r="B963" s="16"/>
      <c r="C963" s="1"/>
      <c r="D963" s="1"/>
      <c r="E963" s="1"/>
      <c r="F963" s="1"/>
      <c r="G963" s="1"/>
      <c r="H963" s="1"/>
      <c r="I963" s="1"/>
      <c r="J963" s="1"/>
      <c r="K963" s="1"/>
      <c r="L963" s="22"/>
      <c r="M963" s="262"/>
      <c r="N963" s="1"/>
      <c r="O963" s="1"/>
      <c r="P963" s="1"/>
      <c r="Q963" s="1"/>
      <c r="R963" s="1"/>
      <c r="S963" s="1"/>
      <c r="T963" s="1"/>
      <c r="U963" s="1"/>
      <c r="V963" s="1"/>
      <c r="W963" s="1"/>
      <c r="X963" s="1"/>
      <c r="Y963" s="1"/>
      <c r="Z963" s="1"/>
      <c r="AA963" s="1"/>
      <c r="AB963" s="1"/>
    </row>
    <row r="964" spans="1:28" ht="11.25" customHeight="1" x14ac:dyDescent="0.25">
      <c r="A964" s="825"/>
      <c r="B964" s="16"/>
      <c r="C964" s="1"/>
      <c r="D964" s="1"/>
      <c r="E964" s="1"/>
      <c r="F964" s="1"/>
      <c r="G964" s="1"/>
      <c r="H964" s="1"/>
      <c r="I964" s="1"/>
      <c r="J964" s="1"/>
      <c r="K964" s="1"/>
      <c r="L964" s="22"/>
      <c r="M964" s="262"/>
      <c r="N964" s="1"/>
      <c r="O964" s="1"/>
      <c r="P964" s="1"/>
      <c r="Q964" s="1"/>
      <c r="R964" s="1"/>
      <c r="S964" s="1"/>
      <c r="T964" s="1"/>
      <c r="U964" s="1"/>
      <c r="V964" s="1"/>
      <c r="W964" s="1"/>
      <c r="X964" s="1"/>
      <c r="Y964" s="1"/>
      <c r="Z964" s="1"/>
      <c r="AA964" s="1"/>
      <c r="AB964" s="1"/>
    </row>
    <row r="965" spans="1:28" ht="11.25" customHeight="1" x14ac:dyDescent="0.25">
      <c r="A965" s="825"/>
      <c r="B965" s="16"/>
      <c r="C965" s="1"/>
      <c r="D965" s="1"/>
      <c r="E965" s="1"/>
      <c r="F965" s="1"/>
      <c r="G965" s="1"/>
      <c r="H965" s="1"/>
      <c r="I965" s="1"/>
      <c r="J965" s="1"/>
      <c r="K965" s="1"/>
      <c r="L965" s="22"/>
      <c r="M965" s="262"/>
      <c r="N965" s="1"/>
      <c r="O965" s="1"/>
      <c r="P965" s="1"/>
      <c r="Q965" s="1"/>
      <c r="R965" s="1"/>
      <c r="S965" s="1"/>
      <c r="T965" s="1"/>
      <c r="U965" s="1"/>
      <c r="V965" s="1"/>
      <c r="W965" s="1"/>
      <c r="X965" s="1"/>
      <c r="Y965" s="1"/>
      <c r="Z965" s="1"/>
      <c r="AA965" s="1"/>
      <c r="AB965" s="1"/>
    </row>
    <row r="966" spans="1:28" ht="11.25" customHeight="1" x14ac:dyDescent="0.25">
      <c r="A966" s="825"/>
      <c r="B966" s="16"/>
      <c r="C966" s="1"/>
      <c r="D966" s="1"/>
      <c r="E966" s="1"/>
      <c r="F966" s="1"/>
      <c r="G966" s="1"/>
      <c r="H966" s="1"/>
      <c r="I966" s="1"/>
      <c r="J966" s="1"/>
      <c r="K966" s="1"/>
      <c r="L966" s="22"/>
      <c r="M966" s="262"/>
      <c r="N966" s="1"/>
      <c r="O966" s="1"/>
      <c r="P966" s="1"/>
      <c r="Q966" s="1"/>
      <c r="R966" s="1"/>
      <c r="S966" s="1"/>
      <c r="T966" s="1"/>
      <c r="U966" s="1"/>
      <c r="V966" s="1"/>
      <c r="W966" s="1"/>
      <c r="X966" s="1"/>
      <c r="Y966" s="1"/>
      <c r="Z966" s="1"/>
      <c r="AA966" s="1"/>
      <c r="AB966" s="1"/>
    </row>
    <row r="967" spans="1:28" ht="11.25" customHeight="1" x14ac:dyDescent="0.25">
      <c r="A967" s="825"/>
      <c r="B967" s="16"/>
      <c r="C967" s="1"/>
      <c r="D967" s="1"/>
      <c r="E967" s="1"/>
      <c r="F967" s="1"/>
      <c r="G967" s="1"/>
      <c r="H967" s="1"/>
      <c r="I967" s="1"/>
      <c r="J967" s="1"/>
      <c r="K967" s="1"/>
      <c r="L967" s="22"/>
      <c r="M967" s="262"/>
      <c r="N967" s="1"/>
      <c r="O967" s="1"/>
      <c r="P967" s="1"/>
      <c r="Q967" s="1"/>
      <c r="R967" s="1"/>
      <c r="S967" s="1"/>
      <c r="T967" s="1"/>
      <c r="U967" s="1"/>
      <c r="V967" s="1"/>
      <c r="W967" s="1"/>
      <c r="X967" s="1"/>
      <c r="Y967" s="1"/>
      <c r="Z967" s="1"/>
      <c r="AA967" s="1"/>
      <c r="AB967" s="1"/>
    </row>
    <row r="968" spans="1:28" ht="11.25" customHeight="1" x14ac:dyDescent="0.25">
      <c r="A968" s="825"/>
      <c r="B968" s="16"/>
      <c r="C968" s="1"/>
      <c r="D968" s="1"/>
      <c r="E968" s="1"/>
      <c r="F968" s="1"/>
      <c r="G968" s="1"/>
      <c r="H968" s="1"/>
      <c r="I968" s="1"/>
      <c r="J968" s="1"/>
      <c r="K968" s="1"/>
      <c r="L968" s="22"/>
      <c r="M968" s="262"/>
      <c r="N968" s="1"/>
      <c r="O968" s="1"/>
      <c r="P968" s="1"/>
      <c r="Q968" s="1"/>
      <c r="R968" s="1"/>
      <c r="S968" s="1"/>
      <c r="T968" s="1"/>
      <c r="U968" s="1"/>
      <c r="V968" s="1"/>
      <c r="W968" s="1"/>
      <c r="X968" s="1"/>
      <c r="Y968" s="1"/>
      <c r="Z968" s="1"/>
      <c r="AA968" s="1"/>
      <c r="AB968" s="1"/>
    </row>
    <row r="969" spans="1:28" ht="11.25" customHeight="1" x14ac:dyDescent="0.25">
      <c r="A969" s="825"/>
      <c r="B969" s="16"/>
      <c r="C969" s="1"/>
      <c r="D969" s="1"/>
      <c r="E969" s="1"/>
      <c r="F969" s="1"/>
      <c r="G969" s="1"/>
      <c r="H969" s="1"/>
      <c r="I969" s="1"/>
      <c r="J969" s="1"/>
      <c r="K969" s="1"/>
      <c r="L969" s="22"/>
      <c r="M969" s="262"/>
      <c r="N969" s="1"/>
      <c r="O969" s="1"/>
      <c r="P969" s="1"/>
      <c r="Q969" s="1"/>
      <c r="R969" s="1"/>
      <c r="S969" s="1"/>
      <c r="T969" s="1"/>
      <c r="U969" s="1"/>
      <c r="V969" s="1"/>
      <c r="W969" s="1"/>
      <c r="X969" s="1"/>
      <c r="Y969" s="1"/>
      <c r="Z969" s="1"/>
      <c r="AA969" s="1"/>
      <c r="AB969" s="1"/>
    </row>
    <row r="970" spans="1:28" ht="11.25" customHeight="1" x14ac:dyDescent="0.25">
      <c r="A970" s="825"/>
      <c r="B970" s="16"/>
      <c r="C970" s="1"/>
      <c r="D970" s="1"/>
      <c r="E970" s="1"/>
      <c r="F970" s="1"/>
      <c r="G970" s="1"/>
      <c r="H970" s="1"/>
      <c r="I970" s="1"/>
      <c r="J970" s="1"/>
      <c r="K970" s="1"/>
      <c r="L970" s="22"/>
      <c r="M970" s="262"/>
      <c r="N970" s="1"/>
      <c r="O970" s="1"/>
      <c r="P970" s="1"/>
      <c r="Q970" s="1"/>
      <c r="R970" s="1"/>
      <c r="S970" s="1"/>
      <c r="T970" s="1"/>
      <c r="U970" s="1"/>
      <c r="V970" s="1"/>
      <c r="W970" s="1"/>
      <c r="X970" s="1"/>
      <c r="Y970" s="1"/>
      <c r="Z970" s="1"/>
      <c r="AA970" s="1"/>
      <c r="AB970" s="1"/>
    </row>
    <row r="971" spans="1:28" ht="11.25" customHeight="1" x14ac:dyDescent="0.25">
      <c r="A971" s="825"/>
      <c r="B971" s="16"/>
      <c r="C971" s="1"/>
      <c r="D971" s="1"/>
      <c r="E971" s="1"/>
      <c r="F971" s="1"/>
      <c r="G971" s="1"/>
      <c r="H971" s="1"/>
      <c r="I971" s="1"/>
      <c r="J971" s="1"/>
      <c r="K971" s="1"/>
      <c r="L971" s="22"/>
      <c r="M971" s="262"/>
      <c r="N971" s="1"/>
      <c r="O971" s="1"/>
      <c r="P971" s="1"/>
      <c r="Q971" s="1"/>
      <c r="R971" s="1"/>
      <c r="S971" s="1"/>
      <c r="T971" s="1"/>
      <c r="U971" s="1"/>
      <c r="V971" s="1"/>
      <c r="W971" s="1"/>
      <c r="X971" s="1"/>
      <c r="Y971" s="1"/>
      <c r="Z971" s="1"/>
      <c r="AA971" s="1"/>
      <c r="AB971" s="1"/>
    </row>
    <row r="972" spans="1:28" ht="11.25" customHeight="1" x14ac:dyDescent="0.25">
      <c r="A972" s="825"/>
      <c r="B972" s="16"/>
      <c r="C972" s="1"/>
      <c r="D972" s="1"/>
      <c r="E972" s="1"/>
      <c r="F972" s="1"/>
      <c r="G972" s="1"/>
      <c r="H972" s="1"/>
      <c r="I972" s="1"/>
      <c r="J972" s="1"/>
      <c r="K972" s="1"/>
      <c r="L972" s="22"/>
      <c r="M972" s="262"/>
      <c r="N972" s="1"/>
      <c r="O972" s="1"/>
      <c r="P972" s="1"/>
      <c r="Q972" s="1"/>
      <c r="R972" s="1"/>
      <c r="S972" s="1"/>
      <c r="T972" s="1"/>
      <c r="U972" s="1"/>
      <c r="V972" s="1"/>
      <c r="W972" s="1"/>
      <c r="X972" s="1"/>
      <c r="Y972" s="1"/>
      <c r="Z972" s="1"/>
      <c r="AA972" s="1"/>
      <c r="AB972" s="1"/>
    </row>
    <row r="973" spans="1:28" ht="11.25" customHeight="1" x14ac:dyDescent="0.25">
      <c r="A973" s="825"/>
      <c r="B973" s="16"/>
      <c r="C973" s="1"/>
      <c r="D973" s="1"/>
      <c r="E973" s="1"/>
      <c r="F973" s="1"/>
      <c r="G973" s="1"/>
      <c r="H973" s="1"/>
      <c r="I973" s="1"/>
      <c r="J973" s="1"/>
      <c r="K973" s="1"/>
      <c r="L973" s="22"/>
      <c r="M973" s="262"/>
      <c r="N973" s="1"/>
      <c r="O973" s="1"/>
      <c r="P973" s="1"/>
      <c r="Q973" s="1"/>
      <c r="R973" s="1"/>
      <c r="S973" s="1"/>
      <c r="T973" s="1"/>
      <c r="U973" s="1"/>
      <c r="V973" s="1"/>
      <c r="W973" s="1"/>
      <c r="X973" s="1"/>
      <c r="Y973" s="1"/>
      <c r="Z973" s="1"/>
      <c r="AA973" s="1"/>
      <c r="AB973" s="1"/>
    </row>
    <row r="974" spans="1:28" ht="11.25" customHeight="1" x14ac:dyDescent="0.25">
      <c r="A974" s="825"/>
      <c r="B974" s="16"/>
      <c r="C974" s="1"/>
      <c r="D974" s="1"/>
      <c r="E974" s="1"/>
      <c r="F974" s="1"/>
      <c r="G974" s="1"/>
      <c r="H974" s="1"/>
      <c r="I974" s="1"/>
      <c r="J974" s="1"/>
      <c r="K974" s="1"/>
      <c r="L974" s="22"/>
      <c r="M974" s="262"/>
      <c r="N974" s="1"/>
      <c r="O974" s="1"/>
      <c r="P974" s="1"/>
      <c r="Q974" s="1"/>
      <c r="R974" s="1"/>
      <c r="S974" s="1"/>
      <c r="T974" s="1"/>
      <c r="U974" s="1"/>
      <c r="V974" s="1"/>
      <c r="W974" s="1"/>
      <c r="X974" s="1"/>
      <c r="Y974" s="1"/>
      <c r="Z974" s="1"/>
      <c r="AA974" s="1"/>
      <c r="AB974" s="1"/>
    </row>
    <row r="975" spans="1:28" ht="11.25" customHeight="1" x14ac:dyDescent="0.25">
      <c r="A975" s="825"/>
      <c r="B975" s="16"/>
      <c r="C975" s="1"/>
      <c r="D975" s="1"/>
      <c r="E975" s="1"/>
      <c r="F975" s="1"/>
      <c r="G975" s="1"/>
      <c r="H975" s="1"/>
      <c r="I975" s="1"/>
      <c r="J975" s="1"/>
      <c r="K975" s="1"/>
      <c r="L975" s="22"/>
      <c r="M975" s="262"/>
      <c r="N975" s="1"/>
      <c r="O975" s="1"/>
      <c r="P975" s="1"/>
      <c r="Q975" s="1"/>
      <c r="R975" s="1"/>
      <c r="S975" s="1"/>
      <c r="T975" s="1"/>
      <c r="U975" s="1"/>
      <c r="V975" s="1"/>
      <c r="W975" s="1"/>
      <c r="X975" s="1"/>
      <c r="Y975" s="1"/>
      <c r="Z975" s="1"/>
      <c r="AA975" s="1"/>
      <c r="AB975" s="1"/>
    </row>
    <row r="976" spans="1:28" ht="11.25" customHeight="1" x14ac:dyDescent="0.25">
      <c r="A976" s="825"/>
      <c r="B976" s="16"/>
      <c r="C976" s="1"/>
      <c r="D976" s="1"/>
      <c r="E976" s="1"/>
      <c r="F976" s="1"/>
      <c r="G976" s="1"/>
      <c r="H976" s="1"/>
      <c r="I976" s="1"/>
      <c r="J976" s="1"/>
      <c r="K976" s="1"/>
      <c r="L976" s="22"/>
      <c r="M976" s="262"/>
      <c r="N976" s="1"/>
      <c r="O976" s="1"/>
      <c r="P976" s="1"/>
      <c r="Q976" s="1"/>
      <c r="R976" s="1"/>
      <c r="S976" s="1"/>
      <c r="T976" s="1"/>
      <c r="U976" s="1"/>
      <c r="V976" s="1"/>
      <c r="W976" s="1"/>
      <c r="X976" s="1"/>
      <c r="Y976" s="1"/>
      <c r="Z976" s="1"/>
      <c r="AA976" s="1"/>
      <c r="AB976" s="1"/>
    </row>
    <row r="977" spans="1:28" ht="11.25" customHeight="1" x14ac:dyDescent="0.25">
      <c r="A977" s="825"/>
      <c r="B977" s="16"/>
      <c r="C977" s="1"/>
      <c r="D977" s="1"/>
      <c r="E977" s="1"/>
      <c r="F977" s="1"/>
      <c r="G977" s="1"/>
      <c r="H977" s="1"/>
      <c r="I977" s="1"/>
      <c r="J977" s="1"/>
      <c r="K977" s="1"/>
      <c r="L977" s="22"/>
      <c r="M977" s="262"/>
      <c r="N977" s="1"/>
      <c r="O977" s="1"/>
      <c r="P977" s="1"/>
      <c r="Q977" s="1"/>
      <c r="R977" s="1"/>
      <c r="S977" s="1"/>
      <c r="T977" s="1"/>
      <c r="U977" s="1"/>
      <c r="V977" s="1"/>
      <c r="W977" s="1"/>
      <c r="X977" s="1"/>
      <c r="Y977" s="1"/>
      <c r="Z977" s="1"/>
      <c r="AA977" s="1"/>
      <c r="AB977" s="1"/>
    </row>
    <row r="978" spans="1:28" ht="11.25" customHeight="1" x14ac:dyDescent="0.25">
      <c r="A978" s="825"/>
      <c r="B978" s="16"/>
      <c r="C978" s="1"/>
      <c r="D978" s="1"/>
      <c r="E978" s="1"/>
      <c r="F978" s="1"/>
      <c r="G978" s="1"/>
      <c r="H978" s="1"/>
      <c r="I978" s="1"/>
      <c r="J978" s="1"/>
      <c r="K978" s="1"/>
      <c r="L978" s="22"/>
      <c r="M978" s="262"/>
      <c r="N978" s="1"/>
      <c r="O978" s="1"/>
      <c r="P978" s="1"/>
      <c r="Q978" s="1"/>
      <c r="R978" s="1"/>
      <c r="S978" s="1"/>
      <c r="T978" s="1"/>
      <c r="U978" s="1"/>
      <c r="V978" s="1"/>
      <c r="W978" s="1"/>
      <c r="X978" s="1"/>
      <c r="Y978" s="1"/>
      <c r="Z978" s="1"/>
      <c r="AA978" s="1"/>
      <c r="AB978" s="1"/>
    </row>
    <row r="979" spans="1:28" ht="11.25" customHeight="1" x14ac:dyDescent="0.25">
      <c r="A979" s="825"/>
      <c r="B979" s="16"/>
      <c r="C979" s="1"/>
      <c r="D979" s="1"/>
      <c r="E979" s="1"/>
      <c r="F979" s="1"/>
      <c r="G979" s="1"/>
      <c r="H979" s="1"/>
      <c r="I979" s="1"/>
      <c r="J979" s="1"/>
      <c r="K979" s="1"/>
      <c r="L979" s="22"/>
      <c r="M979" s="262"/>
      <c r="N979" s="1"/>
      <c r="O979" s="1"/>
      <c r="P979" s="1"/>
      <c r="Q979" s="1"/>
      <c r="R979" s="1"/>
      <c r="S979" s="1"/>
      <c r="T979" s="1"/>
      <c r="U979" s="1"/>
      <c r="V979" s="1"/>
      <c r="W979" s="1"/>
      <c r="X979" s="1"/>
      <c r="Y979" s="1"/>
      <c r="Z979" s="1"/>
      <c r="AA979" s="1"/>
      <c r="AB979" s="1"/>
    </row>
    <row r="980" spans="1:28" ht="11.25" customHeight="1" x14ac:dyDescent="0.25">
      <c r="A980" s="825"/>
      <c r="B980" s="16"/>
      <c r="C980" s="1"/>
      <c r="D980" s="1"/>
      <c r="E980" s="1"/>
      <c r="F980" s="1"/>
      <c r="G980" s="1"/>
      <c r="H980" s="1"/>
      <c r="I980" s="1"/>
      <c r="J980" s="1"/>
      <c r="K980" s="1"/>
      <c r="L980" s="22"/>
      <c r="M980" s="262"/>
      <c r="N980" s="1"/>
      <c r="O980" s="1"/>
      <c r="P980" s="1"/>
      <c r="Q980" s="1"/>
      <c r="R980" s="1"/>
      <c r="S980" s="1"/>
      <c r="T980" s="1"/>
      <c r="U980" s="1"/>
      <c r="V980" s="1"/>
      <c r="W980" s="1"/>
      <c r="X980" s="1"/>
      <c r="Y980" s="1"/>
      <c r="Z980" s="1"/>
      <c r="AA980" s="1"/>
      <c r="AB980" s="1"/>
    </row>
    <row r="981" spans="1:28" ht="11.25" customHeight="1" x14ac:dyDescent="0.25">
      <c r="A981" s="825"/>
      <c r="B981" s="16"/>
      <c r="C981" s="1"/>
      <c r="D981" s="1"/>
      <c r="E981" s="1"/>
      <c r="F981" s="1"/>
      <c r="G981" s="1"/>
      <c r="H981" s="1"/>
      <c r="I981" s="1"/>
      <c r="J981" s="1"/>
      <c r="K981" s="1"/>
      <c r="L981" s="22"/>
      <c r="M981" s="262"/>
      <c r="N981" s="1"/>
      <c r="O981" s="1"/>
      <c r="P981" s="1"/>
      <c r="Q981" s="1"/>
      <c r="R981" s="1"/>
      <c r="S981" s="1"/>
      <c r="T981" s="1"/>
      <c r="U981" s="1"/>
      <c r="V981" s="1"/>
      <c r="W981" s="1"/>
      <c r="X981" s="1"/>
      <c r="Y981" s="1"/>
      <c r="Z981" s="1"/>
      <c r="AA981" s="1"/>
      <c r="AB981" s="1"/>
    </row>
    <row r="982" spans="1:28" ht="11.25" customHeight="1" x14ac:dyDescent="0.25">
      <c r="A982" s="825"/>
      <c r="B982" s="16"/>
      <c r="C982" s="1"/>
      <c r="D982" s="1"/>
      <c r="E982" s="1"/>
      <c r="F982" s="1"/>
      <c r="G982" s="1"/>
      <c r="H982" s="1"/>
      <c r="I982" s="1"/>
      <c r="J982" s="1"/>
      <c r="K982" s="1"/>
      <c r="L982" s="22"/>
      <c r="M982" s="262"/>
      <c r="N982" s="1"/>
      <c r="O982" s="1"/>
      <c r="P982" s="1"/>
      <c r="Q982" s="1"/>
      <c r="R982" s="1"/>
      <c r="S982" s="1"/>
      <c r="T982" s="1"/>
      <c r="U982" s="1"/>
      <c r="V982" s="1"/>
      <c r="W982" s="1"/>
      <c r="X982" s="1"/>
      <c r="Y982" s="1"/>
      <c r="Z982" s="1"/>
      <c r="AA982" s="1"/>
      <c r="AB982" s="1"/>
    </row>
    <row r="983" spans="1:28" ht="11.25" customHeight="1" x14ac:dyDescent="0.25">
      <c r="A983" s="825"/>
      <c r="B983" s="16"/>
      <c r="C983" s="1"/>
      <c r="D983" s="1"/>
      <c r="E983" s="1"/>
      <c r="F983" s="1"/>
      <c r="G983" s="1"/>
      <c r="H983" s="1"/>
      <c r="I983" s="1"/>
      <c r="J983" s="1"/>
      <c r="K983" s="1"/>
      <c r="L983" s="22"/>
      <c r="M983" s="262"/>
      <c r="N983" s="1"/>
      <c r="O983" s="1"/>
      <c r="P983" s="1"/>
      <c r="Q983" s="1"/>
      <c r="R983" s="1"/>
      <c r="S983" s="1"/>
      <c r="T983" s="1"/>
      <c r="U983" s="1"/>
      <c r="V983" s="1"/>
      <c r="W983" s="1"/>
      <c r="X983" s="1"/>
      <c r="Y983" s="1"/>
      <c r="Z983" s="1"/>
      <c r="AA983" s="1"/>
      <c r="AB983" s="1"/>
    </row>
    <row r="984" spans="1:28" ht="11.25" customHeight="1" x14ac:dyDescent="0.25">
      <c r="A984" s="825"/>
      <c r="B984" s="16"/>
      <c r="C984" s="1"/>
      <c r="D984" s="1"/>
      <c r="E984" s="1"/>
      <c r="F984" s="1"/>
      <c r="G984" s="1"/>
      <c r="H984" s="1"/>
      <c r="I984" s="1"/>
      <c r="J984" s="1"/>
      <c r="K984" s="1"/>
      <c r="L984" s="22"/>
      <c r="M984" s="262"/>
      <c r="N984" s="1"/>
      <c r="O984" s="1"/>
      <c r="P984" s="1"/>
      <c r="Q984" s="1"/>
      <c r="R984" s="1"/>
      <c r="S984" s="1"/>
      <c r="T984" s="1"/>
      <c r="U984" s="1"/>
      <c r="V984" s="1"/>
      <c r="W984" s="1"/>
      <c r="X984" s="1"/>
      <c r="Y984" s="1"/>
      <c r="Z984" s="1"/>
      <c r="AA984" s="1"/>
      <c r="AB984" s="1"/>
    </row>
    <row r="985" spans="1:28" ht="11.25" customHeight="1" x14ac:dyDescent="0.25">
      <c r="A985" s="825"/>
      <c r="B985" s="16"/>
      <c r="C985" s="1"/>
      <c r="D985" s="1"/>
      <c r="E985" s="1"/>
      <c r="F985" s="1"/>
      <c r="G985" s="1"/>
      <c r="H985" s="1"/>
      <c r="I985" s="1"/>
      <c r="J985" s="1"/>
      <c r="K985" s="1"/>
      <c r="L985" s="22"/>
      <c r="M985" s="262"/>
      <c r="N985" s="1"/>
      <c r="O985" s="1"/>
      <c r="P985" s="1"/>
      <c r="Q985" s="1"/>
      <c r="R985" s="1"/>
      <c r="S985" s="1"/>
      <c r="T985" s="1"/>
      <c r="U985" s="1"/>
      <c r="V985" s="1"/>
      <c r="W985" s="1"/>
      <c r="X985" s="1"/>
      <c r="Y985" s="1"/>
      <c r="Z985" s="1"/>
      <c r="AA985" s="1"/>
      <c r="AB985" s="1"/>
    </row>
    <row r="986" spans="1:28" ht="11.25" customHeight="1" x14ac:dyDescent="0.25">
      <c r="A986" s="825"/>
      <c r="B986" s="16"/>
      <c r="C986" s="1"/>
      <c r="D986" s="1"/>
      <c r="E986" s="1"/>
      <c r="F986" s="1"/>
      <c r="G986" s="1"/>
      <c r="H986" s="1"/>
      <c r="I986" s="1"/>
      <c r="J986" s="1"/>
      <c r="K986" s="1"/>
      <c r="L986" s="22"/>
      <c r="M986" s="262"/>
      <c r="N986" s="1"/>
      <c r="O986" s="1"/>
      <c r="P986" s="1"/>
      <c r="Q986" s="1"/>
      <c r="R986" s="1"/>
      <c r="S986" s="1"/>
      <c r="T986" s="1"/>
      <c r="U986" s="1"/>
      <c r="V986" s="1"/>
      <c r="W986" s="1"/>
      <c r="X986" s="1"/>
      <c r="Y986" s="1"/>
      <c r="Z986" s="1"/>
      <c r="AA986" s="1"/>
      <c r="AB986" s="1"/>
    </row>
    <row r="987" spans="1:28" ht="11.25" customHeight="1" x14ac:dyDescent="0.25">
      <c r="A987" s="825"/>
      <c r="B987" s="16"/>
      <c r="C987" s="1"/>
      <c r="D987" s="1"/>
      <c r="E987" s="1"/>
      <c r="F987" s="1"/>
      <c r="G987" s="1"/>
      <c r="H987" s="1"/>
      <c r="I987" s="1"/>
      <c r="J987" s="1"/>
      <c r="K987" s="1"/>
      <c r="L987" s="22"/>
      <c r="M987" s="262"/>
      <c r="N987" s="1"/>
      <c r="O987" s="1"/>
      <c r="P987" s="1"/>
      <c r="Q987" s="1"/>
      <c r="R987" s="1"/>
      <c r="S987" s="1"/>
      <c r="T987" s="1"/>
      <c r="U987" s="1"/>
      <c r="V987" s="1"/>
      <c r="W987" s="1"/>
      <c r="X987" s="1"/>
      <c r="Y987" s="1"/>
      <c r="Z987" s="1"/>
      <c r="AA987" s="1"/>
      <c r="AB987" s="1"/>
    </row>
    <row r="988" spans="1:28" ht="11.25" customHeight="1" x14ac:dyDescent="0.25">
      <c r="A988" s="825"/>
      <c r="B988" s="16"/>
      <c r="C988" s="1"/>
      <c r="D988" s="1"/>
      <c r="E988" s="1"/>
      <c r="F988" s="1"/>
      <c r="G988" s="1"/>
      <c r="H988" s="1"/>
      <c r="I988" s="1"/>
      <c r="J988" s="1"/>
      <c r="K988" s="1"/>
      <c r="L988" s="22"/>
      <c r="M988" s="262"/>
      <c r="N988" s="1"/>
      <c r="O988" s="1"/>
      <c r="P988" s="1"/>
      <c r="Q988" s="1"/>
      <c r="R988" s="1"/>
      <c r="S988" s="1"/>
      <c r="T988" s="1"/>
      <c r="U988" s="1"/>
      <c r="V988" s="1"/>
      <c r="W988" s="1"/>
      <c r="X988" s="1"/>
      <c r="Y988" s="1"/>
      <c r="Z988" s="1"/>
      <c r="AA988" s="1"/>
      <c r="AB988" s="1"/>
    </row>
    <row r="989" spans="1:28" ht="11.25" customHeight="1" x14ac:dyDescent="0.25">
      <c r="A989" s="825"/>
      <c r="B989" s="16"/>
      <c r="C989" s="1"/>
      <c r="D989" s="1"/>
      <c r="E989" s="1"/>
      <c r="F989" s="1"/>
      <c r="G989" s="1"/>
      <c r="H989" s="1"/>
      <c r="I989" s="1"/>
      <c r="J989" s="1"/>
      <c r="K989" s="1"/>
      <c r="L989" s="22"/>
      <c r="M989" s="262"/>
      <c r="N989" s="1"/>
      <c r="O989" s="1"/>
      <c r="P989" s="1"/>
      <c r="Q989" s="1"/>
      <c r="R989" s="1"/>
      <c r="S989" s="1"/>
      <c r="T989" s="1"/>
      <c r="U989" s="1"/>
      <c r="V989" s="1"/>
      <c r="W989" s="1"/>
      <c r="X989" s="1"/>
      <c r="Y989" s="1"/>
      <c r="Z989" s="1"/>
      <c r="AA989" s="1"/>
      <c r="AB989" s="1"/>
    </row>
    <row r="990" spans="1:28" ht="11.25" customHeight="1" x14ac:dyDescent="0.25">
      <c r="A990" s="825"/>
      <c r="B990" s="16"/>
      <c r="C990" s="1"/>
      <c r="D990" s="1"/>
      <c r="E990" s="1"/>
      <c r="F990" s="1"/>
      <c r="G990" s="1"/>
      <c r="H990" s="1"/>
      <c r="I990" s="1"/>
      <c r="J990" s="1"/>
      <c r="K990" s="1"/>
      <c r="L990" s="22"/>
      <c r="M990" s="262"/>
      <c r="N990" s="1"/>
      <c r="O990" s="1"/>
      <c r="P990" s="1"/>
      <c r="Q990" s="1"/>
      <c r="R990" s="1"/>
      <c r="S990" s="1"/>
      <c r="T990" s="1"/>
      <c r="U990" s="1"/>
      <c r="V990" s="1"/>
      <c r="W990" s="1"/>
      <c r="X990" s="1"/>
      <c r="Y990" s="1"/>
      <c r="Z990" s="1"/>
      <c r="AA990" s="1"/>
      <c r="AB990" s="1"/>
    </row>
    <row r="991" spans="1:28" ht="11.25" customHeight="1" x14ac:dyDescent="0.25">
      <c r="A991" s="825"/>
      <c r="B991" s="16"/>
      <c r="C991" s="1"/>
      <c r="D991" s="1"/>
      <c r="E991" s="1"/>
      <c r="F991" s="1"/>
      <c r="G991" s="1"/>
      <c r="H991" s="1"/>
      <c r="I991" s="1"/>
      <c r="J991" s="1"/>
      <c r="K991" s="1"/>
      <c r="L991" s="22"/>
      <c r="M991" s="262"/>
      <c r="N991" s="1"/>
      <c r="O991" s="1"/>
      <c r="P991" s="1"/>
      <c r="Q991" s="1"/>
      <c r="R991" s="1"/>
      <c r="S991" s="1"/>
      <c r="T991" s="1"/>
      <c r="U991" s="1"/>
      <c r="V991" s="1"/>
      <c r="W991" s="1"/>
      <c r="X991" s="1"/>
      <c r="Y991" s="1"/>
      <c r="Z991" s="1"/>
      <c r="AA991" s="1"/>
      <c r="AB991" s="1"/>
    </row>
    <row r="992" spans="1:28" ht="11.25" customHeight="1" x14ac:dyDescent="0.25">
      <c r="A992" s="825"/>
      <c r="B992" s="16"/>
      <c r="C992" s="1"/>
      <c r="D992" s="1"/>
      <c r="E992" s="1"/>
      <c r="F992" s="1"/>
      <c r="G992" s="1"/>
      <c r="H992" s="1"/>
      <c r="I992" s="1"/>
      <c r="J992" s="1"/>
      <c r="K992" s="1"/>
      <c r="L992" s="22"/>
      <c r="M992" s="262"/>
      <c r="N992" s="1"/>
      <c r="O992" s="1"/>
      <c r="P992" s="1"/>
      <c r="Q992" s="1"/>
      <c r="R992" s="1"/>
      <c r="S992" s="1"/>
      <c r="T992" s="1"/>
      <c r="U992" s="1"/>
      <c r="V992" s="1"/>
      <c r="W992" s="1"/>
      <c r="X992" s="1"/>
      <c r="Y992" s="1"/>
      <c r="Z992" s="1"/>
      <c r="AA992" s="1"/>
      <c r="AB992" s="1"/>
    </row>
    <row r="993" spans="1:28" ht="11.25" customHeight="1" x14ac:dyDescent="0.25">
      <c r="A993" s="825"/>
      <c r="B993" s="16"/>
      <c r="C993" s="1"/>
      <c r="D993" s="1"/>
      <c r="E993" s="1"/>
      <c r="F993" s="1"/>
      <c r="G993" s="1"/>
      <c r="H993" s="1"/>
      <c r="I993" s="1"/>
      <c r="J993" s="1"/>
      <c r="K993" s="1"/>
      <c r="L993" s="22"/>
      <c r="M993" s="262"/>
      <c r="N993" s="1"/>
      <c r="O993" s="1"/>
      <c r="P993" s="1"/>
      <c r="Q993" s="1"/>
      <c r="R993" s="1"/>
      <c r="S993" s="1"/>
      <c r="T993" s="1"/>
      <c r="U993" s="1"/>
      <c r="V993" s="1"/>
      <c r="W993" s="1"/>
      <c r="X993" s="1"/>
      <c r="Y993" s="1"/>
      <c r="Z993" s="1"/>
      <c r="AA993" s="1"/>
      <c r="AB993" s="1"/>
    </row>
    <row r="994" spans="1:28" ht="11.25" customHeight="1" x14ac:dyDescent="0.25">
      <c r="A994" s="825"/>
      <c r="B994" s="16"/>
      <c r="C994" s="1"/>
      <c r="D994" s="1"/>
      <c r="E994" s="1"/>
      <c r="F994" s="1"/>
      <c r="G994" s="1"/>
      <c r="H994" s="1"/>
      <c r="I994" s="1"/>
      <c r="J994" s="1"/>
      <c r="K994" s="1"/>
      <c r="L994" s="22"/>
      <c r="M994" s="262"/>
      <c r="N994" s="1"/>
      <c r="O994" s="1"/>
      <c r="P994" s="1"/>
      <c r="Q994" s="1"/>
      <c r="R994" s="1"/>
      <c r="S994" s="1"/>
      <c r="T994" s="1"/>
      <c r="U994" s="1"/>
      <c r="V994" s="1"/>
      <c r="W994" s="1"/>
      <c r="X994" s="1"/>
      <c r="Y994" s="1"/>
      <c r="Z994" s="1"/>
      <c r="AA994" s="1"/>
      <c r="AB994" s="1"/>
    </row>
    <row r="995" spans="1:28" ht="11.25" customHeight="1" x14ac:dyDescent="0.25">
      <c r="A995" s="825"/>
      <c r="B995" s="16"/>
      <c r="C995" s="1"/>
      <c r="D995" s="1"/>
      <c r="E995" s="1"/>
      <c r="F995" s="1"/>
      <c r="G995" s="1"/>
      <c r="H995" s="1"/>
      <c r="I995" s="1"/>
      <c r="J995" s="1"/>
      <c r="K995" s="1"/>
      <c r="L995" s="22"/>
      <c r="M995" s="262"/>
      <c r="N995" s="1"/>
      <c r="O995" s="1"/>
      <c r="P995" s="1"/>
      <c r="Q995" s="1"/>
      <c r="R995" s="1"/>
      <c r="S995" s="1"/>
      <c r="T995" s="1"/>
      <c r="U995" s="1"/>
      <c r="V995" s="1"/>
      <c r="W995" s="1"/>
      <c r="X995" s="1"/>
      <c r="Y995" s="1"/>
      <c r="Z995" s="1"/>
      <c r="AA995" s="1"/>
      <c r="AB995" s="1"/>
    </row>
    <row r="996" spans="1:28" ht="11.25" customHeight="1" x14ac:dyDescent="0.25">
      <c r="A996" s="825"/>
      <c r="B996" s="16"/>
      <c r="C996" s="1"/>
      <c r="D996" s="1"/>
      <c r="E996" s="1"/>
      <c r="F996" s="1"/>
      <c r="G996" s="1"/>
      <c r="H996" s="1"/>
      <c r="I996" s="1"/>
      <c r="J996" s="1"/>
      <c r="K996" s="1"/>
      <c r="L996" s="22"/>
      <c r="M996" s="262"/>
      <c r="N996" s="1"/>
      <c r="O996" s="1"/>
      <c r="P996" s="1"/>
      <c r="Q996" s="1"/>
      <c r="R996" s="1"/>
      <c r="S996" s="1"/>
      <c r="T996" s="1"/>
      <c r="U996" s="1"/>
      <c r="V996" s="1"/>
      <c r="W996" s="1"/>
      <c r="X996" s="1"/>
      <c r="Y996" s="1"/>
      <c r="Z996" s="1"/>
      <c r="AA996" s="1"/>
      <c r="AB996" s="1"/>
    </row>
    <row r="997" spans="1:28" ht="11.25" customHeight="1" x14ac:dyDescent="0.25">
      <c r="A997" s="825"/>
      <c r="B997" s="16"/>
      <c r="C997" s="1"/>
      <c r="D997" s="1"/>
      <c r="E997" s="1"/>
      <c r="F997" s="1"/>
      <c r="G997" s="1"/>
      <c r="H997" s="1"/>
      <c r="I997" s="1"/>
      <c r="J997" s="1"/>
      <c r="K997" s="1"/>
      <c r="L997" s="22"/>
      <c r="M997" s="262"/>
      <c r="N997" s="1"/>
      <c r="O997" s="1"/>
      <c r="P997" s="1"/>
      <c r="Q997" s="1"/>
      <c r="R997" s="1"/>
      <c r="S997" s="1"/>
      <c r="T997" s="1"/>
      <c r="U997" s="1"/>
      <c r="V997" s="1"/>
      <c r="W997" s="1"/>
      <c r="X997" s="1"/>
      <c r="Y997" s="1"/>
      <c r="Z997" s="1"/>
      <c r="AA997" s="1"/>
      <c r="AB997" s="1"/>
    </row>
    <row r="998" spans="1:28" ht="11.25" customHeight="1" x14ac:dyDescent="0.25">
      <c r="A998" s="825"/>
      <c r="B998" s="16"/>
      <c r="C998" s="1"/>
      <c r="D998" s="1"/>
      <c r="E998" s="1"/>
      <c r="F998" s="1"/>
      <c r="G998" s="1"/>
      <c r="H998" s="1"/>
      <c r="I998" s="1"/>
      <c r="J998" s="1"/>
      <c r="K998" s="1"/>
      <c r="L998" s="22"/>
      <c r="M998" s="262"/>
      <c r="N998" s="1"/>
      <c r="O998" s="1"/>
      <c r="P998" s="1"/>
      <c r="Q998" s="1"/>
      <c r="R998" s="1"/>
      <c r="S998" s="1"/>
      <c r="T998" s="1"/>
      <c r="U998" s="1"/>
      <c r="V998" s="1"/>
      <c r="W998" s="1"/>
      <c r="X998" s="1"/>
      <c r="Y998" s="1"/>
      <c r="Z998" s="1"/>
      <c r="AA998" s="1"/>
      <c r="AB998" s="1"/>
    </row>
    <row r="999" spans="1:28" ht="11.25" customHeight="1" x14ac:dyDescent="0.25">
      <c r="A999" s="825"/>
      <c r="B999" s="16"/>
      <c r="C999" s="1"/>
      <c r="D999" s="1"/>
      <c r="E999" s="1"/>
      <c r="F999" s="1"/>
      <c r="G999" s="1"/>
      <c r="H999" s="1"/>
      <c r="I999" s="1"/>
      <c r="J999" s="1"/>
      <c r="K999" s="1"/>
      <c r="L999" s="22"/>
      <c r="M999" s="262"/>
      <c r="N999" s="1"/>
      <c r="O999" s="1"/>
      <c r="P999" s="1"/>
      <c r="Q999" s="1"/>
      <c r="R999" s="1"/>
      <c r="S999" s="1"/>
      <c r="T999" s="1"/>
      <c r="U999" s="1"/>
      <c r="V999" s="1"/>
      <c r="W999" s="1"/>
      <c r="X999" s="1"/>
      <c r="Y999" s="1"/>
      <c r="Z999" s="1"/>
      <c r="AA999" s="1"/>
      <c r="AB999" s="1"/>
    </row>
    <row r="1000" spans="1:28" ht="11.25" customHeight="1" x14ac:dyDescent="0.25">
      <c r="A1000" s="825"/>
      <c r="B1000" s="16"/>
      <c r="C1000" s="1"/>
      <c r="D1000" s="1"/>
      <c r="E1000" s="1"/>
      <c r="F1000" s="1"/>
      <c r="G1000" s="1"/>
      <c r="H1000" s="1"/>
      <c r="I1000" s="1"/>
      <c r="J1000" s="1"/>
      <c r="K1000" s="1"/>
      <c r="L1000" s="22"/>
      <c r="M1000" s="262"/>
      <c r="N1000" s="1"/>
      <c r="O1000" s="1"/>
      <c r="P1000" s="1"/>
      <c r="Q1000" s="1"/>
      <c r="R1000" s="1"/>
      <c r="S1000" s="1"/>
      <c r="T1000" s="1"/>
      <c r="U1000" s="1"/>
      <c r="V1000" s="1"/>
      <c r="W1000" s="1"/>
      <c r="X1000" s="1"/>
      <c r="Y1000" s="1"/>
      <c r="Z1000" s="1"/>
      <c r="AA1000" s="1"/>
      <c r="AB1000" s="1"/>
    </row>
    <row r="1001" spans="1:28" ht="11.25" customHeight="1" x14ac:dyDescent="0.25">
      <c r="A1001" s="825"/>
      <c r="B1001" s="16"/>
      <c r="C1001" s="1"/>
      <c r="D1001" s="1"/>
      <c r="E1001" s="1"/>
      <c r="F1001" s="1"/>
      <c r="G1001" s="1"/>
      <c r="H1001" s="1"/>
      <c r="I1001" s="1"/>
      <c r="J1001" s="1"/>
      <c r="K1001" s="1"/>
      <c r="L1001" s="22"/>
      <c r="M1001" s="262"/>
      <c r="N1001" s="1"/>
      <c r="O1001" s="1"/>
      <c r="P1001" s="1"/>
      <c r="Q1001" s="1"/>
      <c r="R1001" s="1"/>
      <c r="S1001" s="1"/>
      <c r="T1001" s="1"/>
      <c r="U1001" s="1"/>
      <c r="V1001" s="1"/>
      <c r="W1001" s="1"/>
      <c r="X1001" s="1"/>
      <c r="Y1001" s="1"/>
      <c r="Z1001" s="1"/>
      <c r="AA1001" s="1"/>
      <c r="AB1001" s="1"/>
    </row>
    <row r="1002" spans="1:28" ht="11.25" customHeight="1" x14ac:dyDescent="0.25">
      <c r="A1002" s="825"/>
      <c r="B1002" s="16"/>
      <c r="C1002" s="1"/>
      <c r="D1002" s="1"/>
      <c r="E1002" s="1"/>
      <c r="F1002" s="1"/>
      <c r="G1002" s="1"/>
      <c r="H1002" s="1"/>
      <c r="I1002" s="1"/>
      <c r="J1002" s="1"/>
      <c r="K1002" s="1"/>
      <c r="L1002" s="22"/>
      <c r="M1002" s="262"/>
      <c r="N1002" s="1"/>
      <c r="O1002" s="1"/>
      <c r="P1002" s="1"/>
      <c r="Q1002" s="1"/>
      <c r="R1002" s="1"/>
      <c r="S1002" s="1"/>
      <c r="T1002" s="1"/>
      <c r="U1002" s="1"/>
      <c r="V1002" s="1"/>
      <c r="W1002" s="1"/>
      <c r="X1002" s="1"/>
      <c r="Y1002" s="1"/>
      <c r="Z1002" s="1"/>
      <c r="AA1002" s="1"/>
      <c r="AB1002" s="1"/>
    </row>
    <row r="1003" spans="1:28" ht="11.25" customHeight="1" x14ac:dyDescent="0.25">
      <c r="A1003" s="825"/>
      <c r="B1003" s="16"/>
      <c r="C1003" s="1"/>
      <c r="D1003" s="1"/>
      <c r="E1003" s="1"/>
      <c r="F1003" s="1"/>
      <c r="G1003" s="1"/>
      <c r="H1003" s="1"/>
      <c r="I1003" s="1"/>
      <c r="J1003" s="1"/>
      <c r="K1003" s="1"/>
      <c r="L1003" s="22"/>
      <c r="M1003" s="262"/>
      <c r="N1003" s="1"/>
      <c r="O1003" s="1"/>
      <c r="P1003" s="1"/>
      <c r="Q1003" s="1"/>
      <c r="R1003" s="1"/>
      <c r="S1003" s="1"/>
      <c r="T1003" s="1"/>
      <c r="U1003" s="1"/>
      <c r="V1003" s="1"/>
      <c r="W1003" s="1"/>
      <c r="X1003" s="1"/>
      <c r="Y1003" s="1"/>
      <c r="Z1003" s="1"/>
      <c r="AA1003" s="1"/>
      <c r="AB1003" s="1"/>
    </row>
    <row r="1004" spans="1:28" ht="11.25" customHeight="1" x14ac:dyDescent="0.25">
      <c r="A1004" s="825"/>
      <c r="B1004" s="16"/>
      <c r="C1004" s="1"/>
      <c r="D1004" s="1"/>
      <c r="E1004" s="1"/>
      <c r="F1004" s="1"/>
      <c r="G1004" s="1"/>
      <c r="H1004" s="1"/>
      <c r="I1004" s="1"/>
      <c r="J1004" s="1"/>
      <c r="K1004" s="1"/>
      <c r="L1004" s="22"/>
      <c r="M1004" s="262"/>
      <c r="N1004" s="1"/>
      <c r="O1004" s="1"/>
      <c r="P1004" s="1"/>
      <c r="Q1004" s="1"/>
      <c r="R1004" s="1"/>
      <c r="S1004" s="1"/>
      <c r="T1004" s="1"/>
      <c r="U1004" s="1"/>
      <c r="V1004" s="1"/>
      <c r="W1004" s="1"/>
      <c r="X1004" s="1"/>
      <c r="Y1004" s="1"/>
      <c r="Z1004" s="1"/>
      <c r="AA1004" s="1"/>
      <c r="AB1004" s="1"/>
    </row>
    <row r="1005" spans="1:28" ht="11.25" customHeight="1" x14ac:dyDescent="0.25">
      <c r="A1005" s="825"/>
      <c r="B1005" s="16"/>
      <c r="C1005" s="1"/>
      <c r="D1005" s="1"/>
      <c r="E1005" s="1"/>
      <c r="F1005" s="1"/>
      <c r="G1005" s="1"/>
      <c r="H1005" s="1"/>
      <c r="I1005" s="1"/>
      <c r="J1005" s="1"/>
      <c r="K1005" s="1"/>
      <c r="L1005" s="22"/>
      <c r="M1005" s="262"/>
      <c r="N1005" s="1"/>
      <c r="O1005" s="1"/>
      <c r="P1005" s="1"/>
      <c r="Q1005" s="1"/>
      <c r="R1005" s="1"/>
      <c r="S1005" s="1"/>
      <c r="T1005" s="1"/>
      <c r="U1005" s="1"/>
      <c r="V1005" s="1"/>
      <c r="W1005" s="1"/>
      <c r="X1005" s="1"/>
      <c r="Y1005" s="1"/>
      <c r="Z1005" s="1"/>
      <c r="AA1005" s="1"/>
      <c r="AB1005" s="1"/>
    </row>
    <row r="1006" spans="1:28" ht="11.25" customHeight="1" x14ac:dyDescent="0.25">
      <c r="A1006" s="825"/>
      <c r="B1006" s="16"/>
      <c r="C1006" s="1"/>
      <c r="D1006" s="1"/>
      <c r="E1006" s="1"/>
      <c r="F1006" s="1"/>
      <c r="G1006" s="1"/>
      <c r="H1006" s="1"/>
      <c r="I1006" s="1"/>
      <c r="J1006" s="1"/>
      <c r="K1006" s="1"/>
      <c r="L1006" s="22"/>
      <c r="M1006" s="262"/>
      <c r="N1006" s="1"/>
      <c r="O1006" s="1"/>
      <c r="P1006" s="1"/>
      <c r="Q1006" s="1"/>
      <c r="R1006" s="1"/>
      <c r="S1006" s="1"/>
      <c r="T1006" s="1"/>
      <c r="U1006" s="1"/>
      <c r="V1006" s="1"/>
      <c r="W1006" s="1"/>
      <c r="X1006" s="1"/>
      <c r="Y1006" s="1"/>
      <c r="Z1006" s="1"/>
      <c r="AA1006" s="1"/>
      <c r="AB1006" s="1"/>
    </row>
    <row r="1007" spans="1:28" ht="11.25" customHeight="1" x14ac:dyDescent="0.25">
      <c r="A1007" s="825"/>
      <c r="B1007" s="16"/>
      <c r="C1007" s="1"/>
      <c r="D1007" s="1"/>
      <c r="E1007" s="1"/>
      <c r="F1007" s="1"/>
      <c r="G1007" s="1"/>
      <c r="H1007" s="1"/>
      <c r="I1007" s="1"/>
      <c r="J1007" s="1"/>
      <c r="K1007" s="1"/>
      <c r="L1007" s="22"/>
      <c r="M1007" s="262"/>
      <c r="N1007" s="1"/>
      <c r="O1007" s="1"/>
      <c r="P1007" s="1"/>
      <c r="Q1007" s="1"/>
      <c r="R1007" s="1"/>
      <c r="S1007" s="1"/>
      <c r="T1007" s="1"/>
      <c r="U1007" s="1"/>
      <c r="V1007" s="1"/>
      <c r="W1007" s="1"/>
      <c r="X1007" s="1"/>
      <c r="Y1007" s="1"/>
      <c r="Z1007" s="1"/>
      <c r="AA1007" s="1"/>
      <c r="AB1007" s="1"/>
    </row>
    <row r="1008" spans="1:28" ht="11.25" customHeight="1" x14ac:dyDescent="0.25">
      <c r="A1008" s="825"/>
      <c r="B1008" s="16"/>
      <c r="C1008" s="1"/>
      <c r="D1008" s="1"/>
      <c r="E1008" s="1"/>
      <c r="F1008" s="1"/>
      <c r="G1008" s="1"/>
      <c r="H1008" s="1"/>
      <c r="I1008" s="1"/>
      <c r="J1008" s="1"/>
      <c r="K1008" s="1"/>
      <c r="L1008" s="22"/>
      <c r="M1008" s="262"/>
      <c r="N1008" s="1"/>
      <c r="O1008" s="1"/>
      <c r="P1008" s="1"/>
      <c r="Q1008" s="1"/>
      <c r="R1008" s="1"/>
      <c r="S1008" s="1"/>
      <c r="T1008" s="1"/>
      <c r="U1008" s="1"/>
      <c r="V1008" s="1"/>
      <c r="W1008" s="1"/>
      <c r="X1008" s="1"/>
      <c r="Y1008" s="1"/>
      <c r="Z1008" s="1"/>
      <c r="AA1008" s="1"/>
      <c r="AB1008" s="1"/>
    </row>
    <row r="1009" spans="1:28" ht="11.25" customHeight="1" x14ac:dyDescent="0.25">
      <c r="A1009" s="825"/>
      <c r="B1009" s="16"/>
      <c r="C1009" s="1"/>
      <c r="D1009" s="1"/>
      <c r="E1009" s="1"/>
      <c r="F1009" s="1"/>
      <c r="G1009" s="1"/>
      <c r="H1009" s="1"/>
      <c r="I1009" s="1"/>
      <c r="J1009" s="1"/>
      <c r="K1009" s="1"/>
      <c r="L1009" s="22"/>
      <c r="M1009" s="262"/>
      <c r="N1009" s="1"/>
      <c r="O1009" s="1"/>
      <c r="P1009" s="1"/>
      <c r="Q1009" s="1"/>
      <c r="R1009" s="1"/>
      <c r="S1009" s="1"/>
      <c r="T1009" s="1"/>
      <c r="U1009" s="1"/>
      <c r="V1009" s="1"/>
      <c r="W1009" s="1"/>
      <c r="X1009" s="1"/>
      <c r="Y1009" s="1"/>
      <c r="Z1009" s="1"/>
      <c r="AA1009" s="1"/>
      <c r="AB1009" s="1"/>
    </row>
    <row r="1010" spans="1:28" ht="11.25" customHeight="1" x14ac:dyDescent="0.25">
      <c r="A1010" s="825"/>
      <c r="B1010" s="16"/>
      <c r="C1010" s="1"/>
      <c r="D1010" s="1"/>
      <c r="E1010" s="1"/>
      <c r="F1010" s="1"/>
      <c r="G1010" s="1"/>
      <c r="H1010" s="1"/>
      <c r="I1010" s="1"/>
      <c r="J1010" s="1"/>
      <c r="K1010" s="1"/>
      <c r="L1010" s="22"/>
      <c r="M1010" s="262"/>
      <c r="N1010" s="1"/>
      <c r="O1010" s="1"/>
      <c r="P1010" s="1"/>
      <c r="Q1010" s="1"/>
      <c r="R1010" s="1"/>
      <c r="S1010" s="1"/>
      <c r="T1010" s="1"/>
      <c r="U1010" s="1"/>
      <c r="V1010" s="1"/>
      <c r="W1010" s="1"/>
      <c r="X1010" s="1"/>
      <c r="Y1010" s="1"/>
      <c r="Z1010" s="1"/>
      <c r="AA1010" s="1"/>
      <c r="AB1010" s="1"/>
    </row>
    <row r="1011" spans="1:28" ht="11.25" customHeight="1" x14ac:dyDescent="0.25">
      <c r="A1011" s="825"/>
      <c r="B1011" s="16"/>
      <c r="C1011" s="1"/>
      <c r="D1011" s="1"/>
      <c r="E1011" s="1"/>
      <c r="F1011" s="1"/>
      <c r="G1011" s="1"/>
      <c r="H1011" s="1"/>
      <c r="I1011" s="1"/>
      <c r="J1011" s="1"/>
      <c r="K1011" s="1"/>
      <c r="L1011" s="22"/>
      <c r="M1011" s="262"/>
      <c r="N1011" s="1"/>
      <c r="O1011" s="1"/>
      <c r="P1011" s="1"/>
      <c r="Q1011" s="1"/>
      <c r="R1011" s="1"/>
      <c r="S1011" s="1"/>
      <c r="T1011" s="1"/>
      <c r="U1011" s="1"/>
      <c r="V1011" s="1"/>
      <c r="W1011" s="1"/>
      <c r="X1011" s="1"/>
      <c r="Y1011" s="1"/>
      <c r="Z1011" s="1"/>
      <c r="AA1011" s="1"/>
      <c r="AB1011" s="1"/>
    </row>
    <row r="1012" spans="1:28" ht="11.25" customHeight="1" x14ac:dyDescent="0.25">
      <c r="A1012" s="825"/>
      <c r="B1012" s="16"/>
      <c r="C1012" s="1"/>
      <c r="D1012" s="1"/>
      <c r="E1012" s="1"/>
      <c r="F1012" s="1"/>
      <c r="G1012" s="1"/>
      <c r="H1012" s="1"/>
      <c r="I1012" s="1"/>
      <c r="J1012" s="1"/>
      <c r="K1012" s="1"/>
      <c r="L1012" s="22"/>
      <c r="M1012" s="262"/>
      <c r="N1012" s="1"/>
      <c r="O1012" s="1"/>
      <c r="P1012" s="1"/>
      <c r="Q1012" s="1"/>
      <c r="R1012" s="1"/>
      <c r="S1012" s="1"/>
      <c r="T1012" s="1"/>
      <c r="U1012" s="1"/>
      <c r="V1012" s="1"/>
      <c r="W1012" s="1"/>
      <c r="X1012" s="1"/>
      <c r="Y1012" s="1"/>
      <c r="Z1012" s="1"/>
      <c r="AA1012" s="1"/>
      <c r="AB1012" s="1"/>
    </row>
    <row r="1013" spans="1:28" ht="11.25" customHeight="1" x14ac:dyDescent="0.25">
      <c r="A1013" s="825"/>
      <c r="B1013" s="16"/>
      <c r="C1013" s="1"/>
      <c r="D1013" s="1"/>
      <c r="E1013" s="1"/>
      <c r="F1013" s="1"/>
      <c r="G1013" s="1"/>
      <c r="H1013" s="1"/>
      <c r="I1013" s="1"/>
      <c r="J1013" s="1"/>
      <c r="K1013" s="1"/>
      <c r="L1013" s="22"/>
      <c r="M1013" s="262"/>
      <c r="N1013" s="1"/>
      <c r="O1013" s="1"/>
      <c r="P1013" s="1"/>
      <c r="Q1013" s="1"/>
      <c r="R1013" s="1"/>
      <c r="S1013" s="1"/>
      <c r="T1013" s="1"/>
      <c r="U1013" s="1"/>
      <c r="V1013" s="1"/>
      <c r="W1013" s="1"/>
      <c r="X1013" s="1"/>
      <c r="Y1013" s="1"/>
      <c r="Z1013" s="1"/>
      <c r="AA1013" s="1"/>
      <c r="AB1013" s="1"/>
    </row>
    <row r="1014" spans="1:28" ht="11.25" customHeight="1" x14ac:dyDescent="0.25">
      <c r="A1014" s="825"/>
      <c r="B1014" s="16"/>
      <c r="C1014" s="1"/>
      <c r="D1014" s="1"/>
      <c r="E1014" s="1"/>
      <c r="F1014" s="1"/>
      <c r="G1014" s="1"/>
      <c r="H1014" s="1"/>
      <c r="I1014" s="1"/>
      <c r="J1014" s="1"/>
      <c r="K1014" s="1"/>
      <c r="L1014" s="22"/>
      <c r="M1014" s="262"/>
      <c r="N1014" s="1"/>
      <c r="O1014" s="1"/>
      <c r="P1014" s="1"/>
      <c r="Q1014" s="1"/>
      <c r="R1014" s="1"/>
      <c r="S1014" s="1"/>
      <c r="T1014" s="1"/>
      <c r="U1014" s="1"/>
      <c r="V1014" s="1"/>
      <c r="W1014" s="1"/>
      <c r="X1014" s="1"/>
      <c r="Y1014" s="1"/>
      <c r="Z1014" s="1"/>
      <c r="AA1014" s="1"/>
      <c r="AB1014" s="1"/>
    </row>
    <row r="1015" spans="1:28" ht="11.25" customHeight="1" x14ac:dyDescent="0.25">
      <c r="A1015" s="825"/>
      <c r="B1015" s="16"/>
      <c r="C1015" s="1"/>
      <c r="D1015" s="1"/>
      <c r="E1015" s="1"/>
      <c r="F1015" s="1"/>
      <c r="G1015" s="1"/>
      <c r="H1015" s="1"/>
      <c r="I1015" s="1"/>
      <c r="J1015" s="1"/>
      <c r="K1015" s="1"/>
      <c r="L1015" s="22"/>
      <c r="M1015" s="262"/>
      <c r="N1015" s="1"/>
      <c r="O1015" s="1"/>
      <c r="P1015" s="1"/>
      <c r="Q1015" s="1"/>
      <c r="R1015" s="1"/>
      <c r="S1015" s="1"/>
      <c r="T1015" s="1"/>
      <c r="U1015" s="1"/>
      <c r="V1015" s="1"/>
      <c r="W1015" s="1"/>
      <c r="X1015" s="1"/>
      <c r="Y1015" s="1"/>
      <c r="Z1015" s="1"/>
      <c r="AA1015" s="1"/>
      <c r="AB1015" s="1"/>
    </row>
    <row r="1016" spans="1:28" ht="11.25" customHeight="1" x14ac:dyDescent="0.25">
      <c r="A1016" s="825"/>
      <c r="B1016" s="16"/>
      <c r="C1016" s="1"/>
      <c r="D1016" s="1"/>
      <c r="E1016" s="1"/>
      <c r="F1016" s="1"/>
      <c r="G1016" s="1"/>
      <c r="H1016" s="1"/>
      <c r="I1016" s="1"/>
      <c r="J1016" s="1"/>
      <c r="K1016" s="1"/>
      <c r="L1016" s="22"/>
      <c r="M1016" s="262"/>
      <c r="N1016" s="1"/>
      <c r="O1016" s="1"/>
      <c r="P1016" s="1"/>
      <c r="Q1016" s="1"/>
      <c r="R1016" s="1"/>
      <c r="S1016" s="1"/>
      <c r="T1016" s="1"/>
      <c r="U1016" s="1"/>
      <c r="V1016" s="1"/>
      <c r="W1016" s="1"/>
      <c r="X1016" s="1"/>
      <c r="Y1016" s="1"/>
      <c r="Z1016" s="1"/>
      <c r="AA1016" s="1"/>
      <c r="AB1016" s="1"/>
    </row>
    <row r="1017" spans="1:28" ht="11.25" customHeight="1" x14ac:dyDescent="0.25">
      <c r="A1017" s="825"/>
      <c r="B1017" s="16"/>
      <c r="C1017" s="1"/>
      <c r="D1017" s="1"/>
      <c r="E1017" s="1"/>
      <c r="F1017" s="1"/>
      <c r="G1017" s="1"/>
      <c r="H1017" s="1"/>
      <c r="I1017" s="1"/>
      <c r="J1017" s="1"/>
      <c r="K1017" s="1"/>
      <c r="L1017" s="22"/>
      <c r="M1017" s="262"/>
      <c r="N1017" s="1"/>
      <c r="O1017" s="1"/>
      <c r="P1017" s="1"/>
      <c r="Q1017" s="1"/>
      <c r="R1017" s="1"/>
      <c r="S1017" s="1"/>
      <c r="T1017" s="1"/>
      <c r="U1017" s="1"/>
      <c r="V1017" s="1"/>
      <c r="W1017" s="1"/>
      <c r="X1017" s="1"/>
      <c r="Y1017" s="1"/>
      <c r="Z1017" s="1"/>
      <c r="AA1017" s="1"/>
      <c r="AB1017" s="1"/>
    </row>
    <row r="1018" spans="1:28" ht="11.25" customHeight="1" x14ac:dyDescent="0.25">
      <c r="A1018" s="825"/>
      <c r="B1018" s="16"/>
      <c r="C1018" s="1"/>
      <c r="D1018" s="1"/>
      <c r="E1018" s="1"/>
      <c r="F1018" s="1"/>
      <c r="G1018" s="1"/>
      <c r="H1018" s="1"/>
      <c r="I1018" s="1"/>
      <c r="J1018" s="1"/>
      <c r="K1018" s="1"/>
      <c r="L1018" s="22"/>
      <c r="M1018" s="262"/>
      <c r="N1018" s="1"/>
      <c r="O1018" s="1"/>
      <c r="P1018" s="1"/>
      <c r="Q1018" s="1"/>
      <c r="R1018" s="1"/>
      <c r="S1018" s="1"/>
      <c r="T1018" s="1"/>
      <c r="U1018" s="1"/>
      <c r="V1018" s="1"/>
      <c r="W1018" s="1"/>
      <c r="X1018" s="1"/>
      <c r="Y1018" s="1"/>
      <c r="Z1018" s="1"/>
      <c r="AA1018" s="1"/>
      <c r="AB1018" s="1"/>
    </row>
    <row r="1019" spans="1:28" ht="11.25" customHeight="1" x14ac:dyDescent="0.25">
      <c r="A1019" s="825"/>
      <c r="B1019" s="16"/>
      <c r="C1019" s="1"/>
      <c r="D1019" s="1"/>
      <c r="E1019" s="1"/>
      <c r="F1019" s="1"/>
      <c r="G1019" s="1"/>
      <c r="H1019" s="1"/>
      <c r="I1019" s="1"/>
      <c r="J1019" s="1"/>
      <c r="K1019" s="1"/>
      <c r="L1019" s="22"/>
      <c r="M1019" s="262"/>
      <c r="N1019" s="1"/>
      <c r="O1019" s="1"/>
      <c r="P1019" s="1"/>
      <c r="Q1019" s="1"/>
      <c r="R1019" s="1"/>
      <c r="S1019" s="1"/>
      <c r="T1019" s="1"/>
      <c r="U1019" s="1"/>
      <c r="V1019" s="1"/>
      <c r="W1019" s="1"/>
      <c r="X1019" s="1"/>
      <c r="Y1019" s="1"/>
      <c r="Z1019" s="1"/>
      <c r="AA1019" s="1"/>
      <c r="AB1019" s="1"/>
    </row>
    <row r="1020" spans="1:28" ht="11.25" customHeight="1" x14ac:dyDescent="0.25">
      <c r="A1020" s="825"/>
      <c r="B1020" s="16"/>
      <c r="C1020" s="1"/>
      <c r="D1020" s="1"/>
      <c r="E1020" s="1"/>
      <c r="F1020" s="1"/>
      <c r="G1020" s="1"/>
      <c r="H1020" s="1"/>
      <c r="I1020" s="1"/>
      <c r="J1020" s="1"/>
      <c r="K1020" s="1"/>
      <c r="L1020" s="22"/>
      <c r="M1020" s="262"/>
      <c r="N1020" s="1"/>
      <c r="O1020" s="1"/>
      <c r="P1020" s="1"/>
      <c r="Q1020" s="1"/>
      <c r="R1020" s="1"/>
      <c r="S1020" s="1"/>
      <c r="T1020" s="1"/>
      <c r="U1020" s="1"/>
      <c r="V1020" s="1"/>
      <c r="W1020" s="1"/>
      <c r="X1020" s="1"/>
      <c r="Y1020" s="1"/>
      <c r="Z1020" s="1"/>
      <c r="AA1020" s="1"/>
      <c r="AB1020" s="1"/>
    </row>
    <row r="1021" spans="1:28" ht="11.25" customHeight="1" x14ac:dyDescent="0.25">
      <c r="A1021" s="825"/>
      <c r="B1021" s="16"/>
      <c r="C1021" s="1"/>
      <c r="D1021" s="1"/>
      <c r="E1021" s="1"/>
      <c r="F1021" s="1"/>
      <c r="G1021" s="1"/>
      <c r="H1021" s="1"/>
      <c r="I1021" s="1"/>
      <c r="J1021" s="1"/>
      <c r="K1021" s="1"/>
      <c r="L1021" s="22"/>
      <c r="M1021" s="262"/>
      <c r="N1021" s="1"/>
      <c r="O1021" s="1"/>
      <c r="P1021" s="1"/>
      <c r="Q1021" s="1"/>
      <c r="R1021" s="1"/>
      <c r="S1021" s="1"/>
      <c r="T1021" s="1"/>
      <c r="U1021" s="1"/>
      <c r="V1021" s="1"/>
      <c r="W1021" s="1"/>
      <c r="X1021" s="1"/>
      <c r="Y1021" s="1"/>
      <c r="Z1021" s="1"/>
      <c r="AA1021" s="1"/>
      <c r="AB1021" s="1"/>
    </row>
    <row r="1022" spans="1:28" ht="11.25" customHeight="1" x14ac:dyDescent="0.25">
      <c r="A1022" s="825"/>
      <c r="B1022" s="16"/>
      <c r="C1022" s="1"/>
      <c r="D1022" s="1"/>
      <c r="E1022" s="1"/>
      <c r="F1022" s="1"/>
      <c r="G1022" s="1"/>
      <c r="H1022" s="1"/>
      <c r="I1022" s="1"/>
      <c r="J1022" s="1"/>
      <c r="K1022" s="1"/>
      <c r="L1022" s="22"/>
      <c r="M1022" s="262"/>
      <c r="N1022" s="1"/>
      <c r="O1022" s="1"/>
      <c r="P1022" s="1"/>
      <c r="Q1022" s="1"/>
      <c r="R1022" s="1"/>
      <c r="S1022" s="1"/>
      <c r="T1022" s="1"/>
      <c r="U1022" s="1"/>
      <c r="V1022" s="1"/>
      <c r="W1022" s="1"/>
      <c r="X1022" s="1"/>
      <c r="Y1022" s="1"/>
      <c r="Z1022" s="1"/>
      <c r="AA1022" s="1"/>
      <c r="AB1022" s="1"/>
    </row>
    <row r="1023" spans="1:28" ht="11.25" customHeight="1" x14ac:dyDescent="0.25">
      <c r="A1023" s="825"/>
      <c r="B1023" s="16"/>
      <c r="C1023" s="1"/>
      <c r="D1023" s="1"/>
      <c r="E1023" s="1"/>
      <c r="F1023" s="1"/>
      <c r="G1023" s="1"/>
      <c r="H1023" s="1"/>
      <c r="I1023" s="1"/>
      <c r="J1023" s="1"/>
      <c r="K1023" s="1"/>
      <c r="L1023" s="22"/>
      <c r="M1023" s="262"/>
      <c r="N1023" s="1"/>
      <c r="O1023" s="1"/>
      <c r="P1023" s="1"/>
      <c r="Q1023" s="1"/>
      <c r="R1023" s="1"/>
      <c r="S1023" s="1"/>
      <c r="T1023" s="1"/>
      <c r="U1023" s="1"/>
      <c r="V1023" s="1"/>
      <c r="W1023" s="1"/>
      <c r="X1023" s="1"/>
      <c r="Y1023" s="1"/>
      <c r="Z1023" s="1"/>
      <c r="AA1023" s="1"/>
      <c r="AB1023" s="1"/>
    </row>
    <row r="1024" spans="1:28" ht="11.25" customHeight="1" x14ac:dyDescent="0.25">
      <c r="A1024" s="825"/>
      <c r="B1024" s="16"/>
      <c r="C1024" s="1"/>
      <c r="D1024" s="1"/>
      <c r="E1024" s="1"/>
      <c r="F1024" s="1"/>
      <c r="G1024" s="1"/>
      <c r="H1024" s="1"/>
      <c r="I1024" s="1"/>
      <c r="J1024" s="1"/>
      <c r="K1024" s="1"/>
      <c r="L1024" s="22"/>
      <c r="M1024" s="262"/>
      <c r="N1024" s="1"/>
      <c r="O1024" s="1"/>
      <c r="P1024" s="1"/>
      <c r="Q1024" s="1"/>
      <c r="R1024" s="1"/>
      <c r="S1024" s="1"/>
      <c r="T1024" s="1"/>
      <c r="U1024" s="1"/>
      <c r="V1024" s="1"/>
      <c r="W1024" s="1"/>
      <c r="X1024" s="1"/>
      <c r="Y1024" s="1"/>
      <c r="Z1024" s="1"/>
      <c r="AA1024" s="1"/>
      <c r="AB1024" s="1"/>
    </row>
    <row r="1025" spans="1:28" ht="14.95" customHeight="1" x14ac:dyDescent="0.25">
      <c r="A1025" s="825"/>
      <c r="C1025" s="825"/>
      <c r="D1025" s="825"/>
      <c r="E1025" s="825"/>
      <c r="F1025" s="825"/>
      <c r="G1025" s="825"/>
      <c r="H1025" s="825"/>
      <c r="I1025" s="825"/>
      <c r="J1025" s="825"/>
      <c r="K1025" s="825"/>
      <c r="L1025" s="825"/>
      <c r="N1025" s="825"/>
      <c r="O1025" s="825"/>
      <c r="P1025" s="825"/>
      <c r="Q1025" s="825"/>
      <c r="R1025" s="825"/>
      <c r="S1025" s="825"/>
      <c r="T1025" s="825"/>
      <c r="U1025" s="825"/>
      <c r="V1025" s="825"/>
      <c r="W1025" s="825"/>
      <c r="X1025" s="825"/>
      <c r="Y1025" s="825"/>
      <c r="Z1025" s="825"/>
      <c r="AA1025" s="825"/>
      <c r="AB1025" s="825"/>
    </row>
  </sheetData>
  <mergeCells count="249">
    <mergeCell ref="A134:B134"/>
    <mergeCell ref="A135:B135"/>
    <mergeCell ref="A136:B136"/>
    <mergeCell ref="A137:B137"/>
    <mergeCell ref="C146:E146"/>
    <mergeCell ref="F146:AB146"/>
    <mergeCell ref="C147:C148"/>
    <mergeCell ref="D147:D148"/>
    <mergeCell ref="E147:E148"/>
    <mergeCell ref="F147:F148"/>
    <mergeCell ref="G147:G148"/>
    <mergeCell ref="H147:H148"/>
    <mergeCell ref="I147:I148"/>
    <mergeCell ref="J147:J148"/>
    <mergeCell ref="K147:K148"/>
    <mergeCell ref="L147:L148"/>
    <mergeCell ref="M147:M148"/>
    <mergeCell ref="N147:N148"/>
    <mergeCell ref="O147:P147"/>
    <mergeCell ref="Q147:U147"/>
    <mergeCell ref="V147:V148"/>
    <mergeCell ref="W147:Z147"/>
    <mergeCell ref="AB147:AB148"/>
    <mergeCell ref="C141:E141"/>
    <mergeCell ref="C142:E142"/>
    <mergeCell ref="F142:AB142"/>
    <mergeCell ref="C143:E143"/>
    <mergeCell ref="F143:AB143"/>
    <mergeCell ref="C144:E144"/>
    <mergeCell ref="F144:AB144"/>
    <mergeCell ref="C145:E145"/>
    <mergeCell ref="F145:AB145"/>
    <mergeCell ref="C8:AB8"/>
    <mergeCell ref="C10:F10"/>
    <mergeCell ref="C11:F11"/>
    <mergeCell ref="G11:AB11"/>
    <mergeCell ref="C12:F12"/>
    <mergeCell ref="G12:AB12"/>
    <mergeCell ref="F16:F17"/>
    <mergeCell ref="G16:G17"/>
    <mergeCell ref="H16:H17"/>
    <mergeCell ref="I16:I17"/>
    <mergeCell ref="J16:J17"/>
    <mergeCell ref="K16:K17"/>
    <mergeCell ref="L16:L17"/>
    <mergeCell ref="M16:M17"/>
    <mergeCell ref="N16:N17"/>
    <mergeCell ref="O16:P16"/>
    <mergeCell ref="Q16:U16"/>
    <mergeCell ref="V16:V17"/>
    <mergeCell ref="W16:Z16"/>
    <mergeCell ref="C13:F13"/>
    <mergeCell ref="G13:AB13"/>
    <mergeCell ref="C14:F14"/>
    <mergeCell ref="G9:AB9"/>
    <mergeCell ref="F42:F43"/>
    <mergeCell ref="AB16:AB17"/>
    <mergeCell ref="O42:P42"/>
    <mergeCell ref="F37:AB37"/>
    <mergeCell ref="F38:AB38"/>
    <mergeCell ref="F39:AB39"/>
    <mergeCell ref="F40:AB40"/>
    <mergeCell ref="G14:AB14"/>
    <mergeCell ref="C15:F15"/>
    <mergeCell ref="G15:AB15"/>
    <mergeCell ref="C16:C17"/>
    <mergeCell ref="F41:AB41"/>
    <mergeCell ref="D16:D17"/>
    <mergeCell ref="E16:E17"/>
    <mergeCell ref="C36:E36"/>
    <mergeCell ref="C37:E37"/>
    <mergeCell ref="C38:E38"/>
    <mergeCell ref="C39:E39"/>
    <mergeCell ref="C40:E40"/>
    <mergeCell ref="C41:E41"/>
    <mergeCell ref="I61:I62"/>
    <mergeCell ref="G42:G43"/>
    <mergeCell ref="H42:H43"/>
    <mergeCell ref="D61:D62"/>
    <mergeCell ref="E61:E62"/>
    <mergeCell ref="F61:F62"/>
    <mergeCell ref="G61:G62"/>
    <mergeCell ref="H61:H62"/>
    <mergeCell ref="C75:E75"/>
    <mergeCell ref="C76:E76"/>
    <mergeCell ref="C77:E77"/>
    <mergeCell ref="F75:AB75"/>
    <mergeCell ref="F76:AB76"/>
    <mergeCell ref="F77:AB77"/>
    <mergeCell ref="J61:J62"/>
    <mergeCell ref="C55:E55"/>
    <mergeCell ref="C56:E56"/>
    <mergeCell ref="C57:E57"/>
    <mergeCell ref="C58:E58"/>
    <mergeCell ref="C59:E59"/>
    <mergeCell ref="C60:E60"/>
    <mergeCell ref="C61:C62"/>
    <mergeCell ref="F58:AB58"/>
    <mergeCell ref="F59:AB59"/>
    <mergeCell ref="F60:AB60"/>
    <mergeCell ref="L42:L43"/>
    <mergeCell ref="M42:M43"/>
    <mergeCell ref="N42:N43"/>
    <mergeCell ref="Q42:U42"/>
    <mergeCell ref="V42:V43"/>
    <mergeCell ref="C42:C43"/>
    <mergeCell ref="D42:D43"/>
    <mergeCell ref="E42:E43"/>
    <mergeCell ref="C74:E74"/>
    <mergeCell ref="F79:AB79"/>
    <mergeCell ref="V80:V81"/>
    <mergeCell ref="AB80:AB81"/>
    <mergeCell ref="K80:K81"/>
    <mergeCell ref="L80:L81"/>
    <mergeCell ref="M80:M81"/>
    <mergeCell ref="N80:N81"/>
    <mergeCell ref="O80:P80"/>
    <mergeCell ref="W42:Z42"/>
    <mergeCell ref="AB42:AB43"/>
    <mergeCell ref="F56:AB56"/>
    <mergeCell ref="F57:AB57"/>
    <mergeCell ref="W61:Z61"/>
    <mergeCell ref="AB61:AB62"/>
    <mergeCell ref="K61:K62"/>
    <mergeCell ref="L61:L62"/>
    <mergeCell ref="M61:M62"/>
    <mergeCell ref="N61:N62"/>
    <mergeCell ref="O61:P61"/>
    <mergeCell ref="Q61:U61"/>
    <mergeCell ref="V61:V62"/>
    <mergeCell ref="I42:I43"/>
    <mergeCell ref="J42:J43"/>
    <mergeCell ref="K42:K43"/>
    <mergeCell ref="C108:E108"/>
    <mergeCell ref="C109:E109"/>
    <mergeCell ref="C110:E110"/>
    <mergeCell ref="C111:E111"/>
    <mergeCell ref="C112:E112"/>
    <mergeCell ref="C113:E113"/>
    <mergeCell ref="C114:C115"/>
    <mergeCell ref="F95:AB95"/>
    <mergeCell ref="F96:AB96"/>
    <mergeCell ref="F97:AB97"/>
    <mergeCell ref="F98:AB98"/>
    <mergeCell ref="D99:D100"/>
    <mergeCell ref="E99:E100"/>
    <mergeCell ref="N99:N100"/>
    <mergeCell ref="O99:P99"/>
    <mergeCell ref="Q99:U99"/>
    <mergeCell ref="V99:V100"/>
    <mergeCell ref="F109:AB109"/>
    <mergeCell ref="F110:AB110"/>
    <mergeCell ref="F111:AB111"/>
    <mergeCell ref="F112:AB112"/>
    <mergeCell ref="F113:AB113"/>
    <mergeCell ref="O114:P114"/>
    <mergeCell ref="D114:D115"/>
    <mergeCell ref="M132:M133"/>
    <mergeCell ref="N132:N133"/>
    <mergeCell ref="F128:AB128"/>
    <mergeCell ref="F129:AB129"/>
    <mergeCell ref="F130:AB130"/>
    <mergeCell ref="F131:AB131"/>
    <mergeCell ref="O132:P132"/>
    <mergeCell ref="Q132:U132"/>
    <mergeCell ref="V132:V133"/>
    <mergeCell ref="W132:Z132"/>
    <mergeCell ref="AB132:AB133"/>
    <mergeCell ref="E114:E115"/>
    <mergeCell ref="F114:F115"/>
    <mergeCell ref="G114:G115"/>
    <mergeCell ref="H114:H115"/>
    <mergeCell ref="I114:I115"/>
    <mergeCell ref="J114:J115"/>
    <mergeCell ref="F127:AB127"/>
    <mergeCell ref="W114:Z114"/>
    <mergeCell ref="Q114:U114"/>
    <mergeCell ref="V114:V115"/>
    <mergeCell ref="AB114:AB115"/>
    <mergeCell ref="M114:M115"/>
    <mergeCell ref="N114:N115"/>
    <mergeCell ref="K114:K115"/>
    <mergeCell ref="L114:L115"/>
    <mergeCell ref="M169:N169"/>
    <mergeCell ref="D132:D133"/>
    <mergeCell ref="E132:E133"/>
    <mergeCell ref="F132:F133"/>
    <mergeCell ref="G132:G133"/>
    <mergeCell ref="H132:H133"/>
    <mergeCell ref="I132:I133"/>
    <mergeCell ref="J132:J133"/>
    <mergeCell ref="D80:D81"/>
    <mergeCell ref="E80:E81"/>
    <mergeCell ref="F80:F81"/>
    <mergeCell ref="G80:G81"/>
    <mergeCell ref="H80:H81"/>
    <mergeCell ref="I80:I81"/>
    <mergeCell ref="J80:J81"/>
    <mergeCell ref="C126:E126"/>
    <mergeCell ref="C127:E127"/>
    <mergeCell ref="C128:E128"/>
    <mergeCell ref="C129:E129"/>
    <mergeCell ref="C130:E130"/>
    <mergeCell ref="C131:E131"/>
    <mergeCell ref="C132:C133"/>
    <mergeCell ref="K132:K133"/>
    <mergeCell ref="L132:L133"/>
    <mergeCell ref="C78:E78"/>
    <mergeCell ref="C79:E79"/>
    <mergeCell ref="C80:C81"/>
    <mergeCell ref="F99:F100"/>
    <mergeCell ref="G99:G100"/>
    <mergeCell ref="H99:H100"/>
    <mergeCell ref="I99:I100"/>
    <mergeCell ref="J99:J100"/>
    <mergeCell ref="W99:Z99"/>
    <mergeCell ref="C93:E93"/>
    <mergeCell ref="C94:E94"/>
    <mergeCell ref="C95:E95"/>
    <mergeCell ref="C96:E96"/>
    <mergeCell ref="C97:E97"/>
    <mergeCell ref="C98:E98"/>
    <mergeCell ref="C99:C100"/>
    <mergeCell ref="F94:AB94"/>
    <mergeCell ref="Q80:U80"/>
    <mergeCell ref="W80:Z80"/>
    <mergeCell ref="AB99:AB100"/>
    <mergeCell ref="K99:K100"/>
    <mergeCell ref="L99:L100"/>
    <mergeCell ref="M99:M100"/>
    <mergeCell ref="F78:AB78"/>
    <mergeCell ref="V159:V160"/>
    <mergeCell ref="W159:Z159"/>
    <mergeCell ref="C158:AB158"/>
    <mergeCell ref="C159:C160"/>
    <mergeCell ref="D159:D160"/>
    <mergeCell ref="E159:E160"/>
    <mergeCell ref="F159:F160"/>
    <mergeCell ref="G159:G160"/>
    <mergeCell ref="H159:H160"/>
    <mergeCell ref="AB159:AB160"/>
    <mergeCell ref="I159:I160"/>
    <mergeCell ref="J159:J160"/>
    <mergeCell ref="K159:K160"/>
    <mergeCell ref="L159:L160"/>
    <mergeCell ref="M159:M160"/>
    <mergeCell ref="N159:N160"/>
    <mergeCell ref="O159:P159"/>
    <mergeCell ref="Q159:U159"/>
  </mergeCells>
  <pageMargins left="0" right="0" top="0" bottom="0" header="0" footer="0"/>
  <pageSetup paperSize="9"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dimension ref="A1:AB1025"/>
  <sheetViews>
    <sheetView showGridLines="0" topLeftCell="E160" zoomScaleNormal="100" workbookViewId="0">
      <selection activeCell="E160" sqref="E160"/>
    </sheetView>
  </sheetViews>
  <sheetFormatPr baseColWidth="10" defaultColWidth="11.19921875" defaultRowHeight="14.95" customHeight="1" x14ac:dyDescent="0.25"/>
  <cols>
    <col min="1" max="1" width="0" style="325" hidden="1" customWidth="1"/>
    <col min="2" max="2" width="4.09765625" style="287" hidden="1" customWidth="1"/>
    <col min="3" max="3" width="3.69921875" customWidth="1"/>
    <col min="4" max="4" width="29.296875" customWidth="1"/>
    <col min="5" max="5" width="53.19921875" customWidth="1"/>
    <col min="6" max="6" width="10.3984375" customWidth="1"/>
    <col min="7" max="7" width="15.59765625" style="261" customWidth="1"/>
    <col min="8" max="8" width="10.3984375" style="261" hidden="1" customWidth="1"/>
    <col min="9" max="9" width="10.3984375" customWidth="1"/>
    <col min="10" max="10" width="12" customWidth="1"/>
    <col min="11" max="11" width="13" customWidth="1"/>
    <col min="12" max="12" width="11.3984375" customWidth="1"/>
    <col min="13" max="13" width="36.69921875" style="195" customWidth="1"/>
    <col min="14" max="14" width="9.3984375" customWidth="1"/>
    <col min="15" max="15" width="10" bestFit="1" customWidth="1"/>
    <col min="16" max="16" width="9.796875" bestFit="1" customWidth="1"/>
    <col min="17" max="17" width="9" bestFit="1" customWidth="1"/>
    <col min="18" max="18" width="9.19921875" bestFit="1" customWidth="1"/>
    <col min="19" max="19" width="8.796875" bestFit="1" customWidth="1"/>
    <col min="20" max="21" width="9" bestFit="1" customWidth="1"/>
    <col min="22" max="22" width="13" hidden="1" customWidth="1"/>
    <col min="23" max="23" width="14.09765625" customWidth="1"/>
    <col min="24" max="26" width="10.69921875" customWidth="1"/>
    <col min="27" max="27" width="10.69921875" hidden="1" customWidth="1"/>
    <col min="28" max="28" width="10.69921875" customWidth="1"/>
  </cols>
  <sheetData>
    <row r="1" spans="1:28" s="1186" customFormat="1" ht="14.95" customHeight="1" x14ac:dyDescent="0.25">
      <c r="B1" s="287"/>
      <c r="G1" s="261"/>
      <c r="H1" s="261"/>
      <c r="M1" s="195"/>
    </row>
    <row r="2" spans="1:28" s="1186" customFormat="1" ht="14.95" customHeight="1" x14ac:dyDescent="0.25">
      <c r="B2" s="287"/>
      <c r="G2" s="261"/>
      <c r="H2" s="261"/>
      <c r="M2" s="195"/>
    </row>
    <row r="3" spans="1:28" s="1186" customFormat="1" ht="14.95" customHeight="1" x14ac:dyDescent="0.25">
      <c r="B3" s="287"/>
      <c r="G3" s="261"/>
      <c r="H3" s="261"/>
      <c r="M3" s="195"/>
    </row>
    <row r="4" spans="1:28" s="1186" customFormat="1" ht="14.95" customHeight="1" x14ac:dyDescent="0.25">
      <c r="B4" s="287"/>
      <c r="G4" s="261"/>
      <c r="H4" s="261"/>
      <c r="M4" s="195"/>
    </row>
    <row r="5" spans="1:28" ht="11.25" customHeight="1" x14ac:dyDescent="0.25">
      <c r="A5" s="825"/>
      <c r="B5" s="16"/>
      <c r="C5" s="1"/>
      <c r="D5" s="1"/>
      <c r="E5" s="1"/>
      <c r="F5" s="1"/>
      <c r="G5" s="22"/>
      <c r="H5" s="22"/>
      <c r="I5" s="1"/>
      <c r="J5" s="1"/>
      <c r="K5" s="1"/>
      <c r="L5" s="1"/>
      <c r="M5" s="262"/>
      <c r="N5" s="1"/>
      <c r="O5" s="1"/>
      <c r="P5" s="1"/>
      <c r="Q5" s="1"/>
      <c r="R5" s="1"/>
      <c r="S5" s="1"/>
      <c r="T5" s="1"/>
      <c r="U5" s="1"/>
      <c r="V5" s="1"/>
      <c r="W5" s="1"/>
      <c r="X5" s="1"/>
      <c r="Y5" s="1"/>
      <c r="Z5" s="1"/>
      <c r="AA5" s="1"/>
      <c r="AB5" s="1"/>
    </row>
    <row r="6" spans="1:28" ht="11.25" customHeight="1" x14ac:dyDescent="0.25">
      <c r="A6" s="825"/>
      <c r="B6" s="16"/>
      <c r="C6" s="1"/>
      <c r="D6" s="27" t="s">
        <v>1169</v>
      </c>
      <c r="E6" s="1"/>
      <c r="F6" s="1"/>
      <c r="G6" s="22"/>
      <c r="H6" s="22"/>
      <c r="I6" s="1"/>
      <c r="J6" s="1"/>
      <c r="K6" s="1"/>
      <c r="L6" s="1"/>
      <c r="M6" s="262"/>
      <c r="N6" s="1"/>
      <c r="O6" s="1"/>
      <c r="P6" s="1"/>
      <c r="Q6" s="1"/>
      <c r="R6" s="1"/>
      <c r="S6" s="1"/>
      <c r="T6" s="1"/>
      <c r="U6" s="1"/>
      <c r="V6" s="1"/>
      <c r="W6" s="1"/>
      <c r="X6" s="1"/>
      <c r="Y6" s="1"/>
      <c r="Z6" s="1"/>
      <c r="AA6" s="1"/>
      <c r="AB6" s="1"/>
    </row>
    <row r="7" spans="1:28" ht="11.25" customHeight="1" x14ac:dyDescent="0.25">
      <c r="A7" s="825"/>
      <c r="B7" s="16"/>
      <c r="C7" s="1"/>
      <c r="D7" s="27"/>
      <c r="E7" s="1"/>
      <c r="F7" s="1"/>
      <c r="G7" s="22"/>
      <c r="H7" s="22"/>
      <c r="I7" s="1"/>
      <c r="J7" s="1"/>
      <c r="K7" s="1"/>
      <c r="L7" s="1"/>
      <c r="M7" s="262"/>
      <c r="N7" s="1"/>
      <c r="O7" s="1"/>
      <c r="P7" s="1"/>
      <c r="Q7" s="1"/>
      <c r="R7" s="1"/>
      <c r="S7" s="1"/>
      <c r="T7" s="1"/>
      <c r="U7" s="1"/>
      <c r="V7" s="1"/>
      <c r="W7" s="1"/>
      <c r="X7" s="1"/>
      <c r="Y7" s="1"/>
      <c r="Z7" s="1"/>
      <c r="AA7" s="1"/>
      <c r="AB7" s="1"/>
    </row>
    <row r="8" spans="1:28" ht="21.1" customHeight="1" x14ac:dyDescent="0.25">
      <c r="A8" s="825"/>
      <c r="B8" s="825"/>
      <c r="C8" s="1471" t="s">
        <v>134</v>
      </c>
      <c r="D8" s="1472"/>
      <c r="E8" s="1472"/>
      <c r="F8" s="1472"/>
      <c r="G8" s="1472"/>
      <c r="H8" s="1472"/>
      <c r="I8" s="1472"/>
      <c r="J8" s="1472"/>
      <c r="K8" s="1472"/>
      <c r="L8" s="1472"/>
      <c r="M8" s="1472"/>
      <c r="N8" s="1472"/>
      <c r="O8" s="1472"/>
      <c r="P8" s="1472"/>
      <c r="Q8" s="1472"/>
      <c r="R8" s="1472"/>
      <c r="S8" s="1472"/>
      <c r="T8" s="1472"/>
      <c r="U8" s="1472"/>
      <c r="V8" s="1472"/>
      <c r="W8" s="1472"/>
      <c r="X8" s="1472"/>
      <c r="Y8" s="1472"/>
      <c r="Z8" s="1472"/>
      <c r="AA8" s="1472"/>
      <c r="AB8" s="1472"/>
    </row>
    <row r="9" spans="1:28" ht="11.25" customHeight="1" x14ac:dyDescent="0.25">
      <c r="A9" s="825"/>
      <c r="B9" s="825"/>
      <c r="C9" s="1"/>
      <c r="D9" s="1"/>
      <c r="E9" s="1"/>
      <c r="F9" s="1481"/>
      <c r="G9" s="1393"/>
      <c r="H9" s="1393"/>
      <c r="I9" s="1393"/>
      <c r="J9" s="1393"/>
      <c r="K9" s="1393"/>
      <c r="L9" s="1393"/>
      <c r="M9" s="1393"/>
      <c r="N9" s="1393"/>
      <c r="O9" s="1393"/>
      <c r="P9" s="1393"/>
      <c r="Q9" s="1393"/>
      <c r="R9" s="1393"/>
      <c r="S9" s="1393"/>
      <c r="T9" s="1393"/>
      <c r="U9" s="1393"/>
      <c r="V9" s="1393"/>
      <c r="W9" s="1393"/>
      <c r="X9" s="1393"/>
      <c r="Y9" s="1393"/>
      <c r="Z9" s="1393"/>
      <c r="AA9" s="1393"/>
      <c r="AB9" s="1394"/>
    </row>
    <row r="10" spans="1:28" ht="14.3" customHeight="1" x14ac:dyDescent="0.25">
      <c r="A10" s="825"/>
      <c r="B10" s="825"/>
      <c r="C10" s="1459" t="s">
        <v>1170</v>
      </c>
      <c r="D10" s="1405"/>
      <c r="E10" s="1406"/>
      <c r="F10" s="867" t="s">
        <v>129</v>
      </c>
      <c r="G10" s="813"/>
      <c r="H10" s="813"/>
      <c r="I10" s="813"/>
      <c r="J10" s="813"/>
      <c r="K10" s="813"/>
      <c r="L10" s="813"/>
      <c r="M10" s="938"/>
      <c r="N10" s="813"/>
      <c r="O10" s="813"/>
      <c r="P10" s="813"/>
      <c r="Q10" s="813"/>
      <c r="R10" s="813"/>
      <c r="S10" s="813"/>
      <c r="T10" s="813"/>
      <c r="U10" s="813"/>
      <c r="V10" s="813"/>
      <c r="W10" s="813"/>
      <c r="X10" s="813"/>
      <c r="Y10" s="813"/>
      <c r="Z10" s="813"/>
      <c r="AA10" s="813"/>
      <c r="AB10" s="814"/>
    </row>
    <row r="11" spans="1:28" ht="60.8" customHeight="1" x14ac:dyDescent="0.25">
      <c r="A11" s="825"/>
      <c r="B11" s="825"/>
      <c r="C11" s="1459" t="s">
        <v>1171</v>
      </c>
      <c r="D11" s="1405"/>
      <c r="E11" s="1406"/>
      <c r="F11" s="1445" t="s">
        <v>1747</v>
      </c>
      <c r="G11" s="1446"/>
      <c r="H11" s="1446"/>
      <c r="I11" s="1446"/>
      <c r="J11" s="1446"/>
      <c r="K11" s="1446"/>
      <c r="L11" s="1446"/>
      <c r="M11" s="1446"/>
      <c r="N11" s="1446"/>
      <c r="O11" s="1446"/>
      <c r="P11" s="1446"/>
      <c r="Q11" s="1446"/>
      <c r="R11" s="1446"/>
      <c r="S11" s="1446"/>
      <c r="T11" s="1446"/>
      <c r="U11" s="1446"/>
      <c r="V11" s="1446"/>
      <c r="W11" s="1446"/>
      <c r="X11" s="1446"/>
      <c r="Y11" s="1446"/>
      <c r="Z11" s="1446"/>
      <c r="AA11" s="1446"/>
      <c r="AB11" s="1447"/>
    </row>
    <row r="12" spans="1:28" ht="19.55" customHeight="1" x14ac:dyDescent="0.25">
      <c r="A12" s="825"/>
      <c r="B12" s="825"/>
      <c r="C12" s="1459" t="s">
        <v>1173</v>
      </c>
      <c r="D12" s="1405"/>
      <c r="E12" s="1406"/>
      <c r="F12" s="1445" t="s">
        <v>1174</v>
      </c>
      <c r="G12" s="1446"/>
      <c r="H12" s="1446"/>
      <c r="I12" s="1446"/>
      <c r="J12" s="1446"/>
      <c r="K12" s="1446"/>
      <c r="L12" s="1446"/>
      <c r="M12" s="1446"/>
      <c r="N12" s="1446"/>
      <c r="O12" s="1446"/>
      <c r="P12" s="1446"/>
      <c r="Q12" s="1446"/>
      <c r="R12" s="1446"/>
      <c r="S12" s="1446"/>
      <c r="T12" s="1446"/>
      <c r="U12" s="1446"/>
      <c r="V12" s="1446"/>
      <c r="W12" s="1446"/>
      <c r="X12" s="1446"/>
      <c r="Y12" s="1446"/>
      <c r="Z12" s="1446"/>
      <c r="AA12" s="1446"/>
      <c r="AB12" s="1447"/>
    </row>
    <row r="13" spans="1:28" ht="27.7" customHeight="1" x14ac:dyDescent="0.25">
      <c r="A13" s="825"/>
      <c r="B13" s="825"/>
      <c r="C13" s="1459" t="s">
        <v>1175</v>
      </c>
      <c r="D13" s="1405"/>
      <c r="E13" s="1406"/>
      <c r="F13" s="1445" t="s">
        <v>1474</v>
      </c>
      <c r="G13" s="1446"/>
      <c r="H13" s="1446"/>
      <c r="I13" s="1446"/>
      <c r="J13" s="1446"/>
      <c r="K13" s="1446"/>
      <c r="L13" s="1446"/>
      <c r="M13" s="1446"/>
      <c r="N13" s="1446"/>
      <c r="O13" s="1446"/>
      <c r="P13" s="1446"/>
      <c r="Q13" s="1446"/>
      <c r="R13" s="1446"/>
      <c r="S13" s="1446"/>
      <c r="T13" s="1446"/>
      <c r="U13" s="1446"/>
      <c r="V13" s="1446"/>
      <c r="W13" s="1446"/>
      <c r="X13" s="1446"/>
      <c r="Y13" s="1446"/>
      <c r="Z13" s="1446"/>
      <c r="AA13" s="1446"/>
      <c r="AB13" s="1447"/>
    </row>
    <row r="14" spans="1:28" ht="29.25" customHeight="1" x14ac:dyDescent="0.25">
      <c r="A14" s="825"/>
      <c r="B14" s="16"/>
      <c r="C14" s="1459" t="s">
        <v>142</v>
      </c>
      <c r="D14" s="1405"/>
      <c r="E14" s="1406"/>
      <c r="F14" s="1445" t="s">
        <v>1748</v>
      </c>
      <c r="G14" s="1446"/>
      <c r="H14" s="1446"/>
      <c r="I14" s="1446"/>
      <c r="J14" s="1446"/>
      <c r="K14" s="1446"/>
      <c r="L14" s="1446"/>
      <c r="M14" s="1446"/>
      <c r="N14" s="1446"/>
      <c r="O14" s="1446"/>
      <c r="P14" s="1446"/>
      <c r="Q14" s="1446"/>
      <c r="R14" s="1446"/>
      <c r="S14" s="1446"/>
      <c r="T14" s="1446"/>
      <c r="U14" s="1446"/>
      <c r="V14" s="1446"/>
      <c r="W14" s="1446"/>
      <c r="X14" s="1446"/>
      <c r="Y14" s="1446"/>
      <c r="Z14" s="1446"/>
      <c r="AA14" s="1446"/>
      <c r="AB14" s="1447"/>
    </row>
    <row r="15" spans="1:28" ht="59.3" customHeight="1" x14ac:dyDescent="0.25">
      <c r="A15" s="825"/>
      <c r="B15" s="16"/>
      <c r="C15" s="1459" t="s">
        <v>1178</v>
      </c>
      <c r="D15" s="1405"/>
      <c r="E15" s="1406"/>
      <c r="F15" s="1445" t="s">
        <v>1179</v>
      </c>
      <c r="G15" s="1446"/>
      <c r="H15" s="1446"/>
      <c r="I15" s="1446"/>
      <c r="J15" s="1446"/>
      <c r="K15" s="1446"/>
      <c r="L15" s="1446"/>
      <c r="M15" s="1446"/>
      <c r="N15" s="1446"/>
      <c r="O15" s="1446"/>
      <c r="P15" s="1446"/>
      <c r="Q15" s="1446"/>
      <c r="R15" s="1446"/>
      <c r="S15" s="1446"/>
      <c r="T15" s="1446"/>
      <c r="U15" s="1446"/>
      <c r="V15" s="1446"/>
      <c r="W15" s="1446"/>
      <c r="X15" s="1446"/>
      <c r="Y15" s="1446"/>
      <c r="Z15" s="1446"/>
      <c r="AA15" s="1446"/>
      <c r="AB15" s="1447"/>
    </row>
    <row r="16" spans="1:28" ht="22.6" customHeight="1" x14ac:dyDescent="0.25">
      <c r="A16" s="825"/>
      <c r="B16" s="16"/>
      <c r="C16" s="1466" t="s">
        <v>964</v>
      </c>
      <c r="D16" s="1466" t="s">
        <v>965</v>
      </c>
      <c r="E16" s="1466" t="s">
        <v>468</v>
      </c>
      <c r="F16" s="1466" t="s">
        <v>470</v>
      </c>
      <c r="G16" s="1466" t="s">
        <v>966</v>
      </c>
      <c r="H16" s="1466" t="s">
        <v>967</v>
      </c>
      <c r="I16" s="1466" t="s">
        <v>1180</v>
      </c>
      <c r="J16" s="1466" t="s">
        <v>968</v>
      </c>
      <c r="K16" s="1466" t="s">
        <v>969</v>
      </c>
      <c r="L16" s="1453" t="s">
        <v>970</v>
      </c>
      <c r="M16" s="1453" t="s">
        <v>971</v>
      </c>
      <c r="N16" s="1453" t="s">
        <v>972</v>
      </c>
      <c r="O16" s="1456" t="s">
        <v>973</v>
      </c>
      <c r="P16" s="1457"/>
      <c r="Q16" s="1456" t="s">
        <v>974</v>
      </c>
      <c r="R16" s="1458"/>
      <c r="S16" s="1458"/>
      <c r="T16" s="1458"/>
      <c r="U16" s="1457"/>
      <c r="V16" s="1466" t="s">
        <v>975</v>
      </c>
      <c r="W16" s="1468" t="s">
        <v>976</v>
      </c>
      <c r="X16" s="1393"/>
      <c r="Y16" s="1393"/>
      <c r="Z16" s="1394"/>
      <c r="AA16" s="23"/>
      <c r="AB16" s="1466" t="s">
        <v>977</v>
      </c>
    </row>
    <row r="17" spans="1:28" s="667" customFormat="1" ht="81" customHeight="1" x14ac:dyDescent="0.25">
      <c r="B17" s="811"/>
      <c r="C17" s="1467"/>
      <c r="D17" s="1467"/>
      <c r="E17" s="1467"/>
      <c r="F17" s="1467"/>
      <c r="G17" s="1493"/>
      <c r="H17" s="1493"/>
      <c r="I17" s="1467"/>
      <c r="J17" s="1467"/>
      <c r="K17" s="1467"/>
      <c r="L17" s="1454"/>
      <c r="M17" s="1455"/>
      <c r="N17" s="1454"/>
      <c r="O17" s="940" t="s">
        <v>978</v>
      </c>
      <c r="P17" s="940" t="s">
        <v>979</v>
      </c>
      <c r="Q17" s="940" t="s">
        <v>980</v>
      </c>
      <c r="R17" s="940" t="s">
        <v>981</v>
      </c>
      <c r="S17" s="940" t="s">
        <v>982</v>
      </c>
      <c r="T17" s="940" t="s">
        <v>983</v>
      </c>
      <c r="U17" s="940" t="s">
        <v>984</v>
      </c>
      <c r="V17" s="1467"/>
      <c r="W17" s="808" t="s">
        <v>985</v>
      </c>
      <c r="X17" s="808" t="s">
        <v>986</v>
      </c>
      <c r="Y17" s="808" t="s">
        <v>987</v>
      </c>
      <c r="Z17" s="808" t="s">
        <v>988</v>
      </c>
      <c r="AA17" s="808"/>
      <c r="AB17" s="1467"/>
    </row>
    <row r="18" spans="1:28" s="356" customFormat="1" ht="190.55" customHeight="1" x14ac:dyDescent="0.25">
      <c r="A18" s="334" t="s">
        <v>258</v>
      </c>
      <c r="B18" s="291" t="s">
        <v>254</v>
      </c>
      <c r="C18" s="12" t="s">
        <v>1749</v>
      </c>
      <c r="D18" s="786" t="s">
        <v>170</v>
      </c>
      <c r="E18" s="373" t="s">
        <v>1182</v>
      </c>
      <c r="F18" s="13" t="s">
        <v>1183</v>
      </c>
      <c r="G18" s="13" t="str">
        <f>+'8. BASE  CONSOLIDADA'!O143</f>
        <v>DERECHOS SOBRE LA TIERRA</v>
      </c>
      <c r="H18" s="13" t="str">
        <f>+'8. BASE  CONSOLIDADA'!P143</f>
        <v>C5</v>
      </c>
      <c r="I18" s="14">
        <f>63285.309793107/10</f>
        <v>6328.5309793106999</v>
      </c>
      <c r="J18" s="14">
        <f>+I18*0.5</f>
        <v>3164.2654896553499</v>
      </c>
      <c r="K18" s="14">
        <f>+I18*0.5</f>
        <v>3164.2654896553499</v>
      </c>
      <c r="L18" s="26">
        <v>2000</v>
      </c>
      <c r="M18" s="788" t="s">
        <v>1184</v>
      </c>
      <c r="N18" s="13" t="s">
        <v>1185</v>
      </c>
      <c r="O18" s="26">
        <f>+J18*L18</f>
        <v>6328530.9793106997</v>
      </c>
      <c r="P18" s="26">
        <f>+K18*L18</f>
        <v>6328530.9793106997</v>
      </c>
      <c r="Q18" s="26">
        <f>+$O$18*0.1</f>
        <v>632853.09793107002</v>
      </c>
      <c r="R18" s="26">
        <f>+$O$18*0.15</f>
        <v>949279.64689660491</v>
      </c>
      <c r="S18" s="26">
        <f>+$O$18*0.2</f>
        <v>1265706.19586214</v>
      </c>
      <c r="T18" s="26">
        <f>+$O$18*0.3</f>
        <v>1898559.2937932098</v>
      </c>
      <c r="U18" s="26">
        <f>+$O$18*0.25</f>
        <v>1582132.7448276749</v>
      </c>
      <c r="V18" s="13"/>
      <c r="W18" s="13"/>
      <c r="X18" s="13"/>
      <c r="Y18" s="13" t="s">
        <v>148</v>
      </c>
      <c r="Z18" s="13"/>
      <c r="AA18" s="13" t="str">
        <f>+B18</f>
        <v>RE</v>
      </c>
      <c r="AB18" s="13">
        <v>3</v>
      </c>
    </row>
    <row r="19" spans="1:28" ht="111.1" customHeight="1" x14ac:dyDescent="0.25">
      <c r="A19" s="337" t="s">
        <v>259</v>
      </c>
      <c r="B19" s="285" t="s">
        <v>254</v>
      </c>
      <c r="C19" s="12" t="s">
        <v>1750</v>
      </c>
      <c r="D19" s="786" t="s">
        <v>154</v>
      </c>
      <c r="E19" s="868" t="s">
        <v>1751</v>
      </c>
      <c r="F19" s="69" t="s">
        <v>1188</v>
      </c>
      <c r="G19" s="13" t="str">
        <f>+'8. BASE  CONSOLIDADA'!O144</f>
        <v>ASISTENCIA TÉCNICA</v>
      </c>
      <c r="H19" s="13" t="str">
        <f>+'8. BASE  CONSOLIDADA'!P144</f>
        <v>C1</v>
      </c>
      <c r="I19" s="75">
        <v>26029</v>
      </c>
      <c r="J19" s="75">
        <f>+I19*0.6</f>
        <v>15617.4</v>
      </c>
      <c r="K19" s="75">
        <f>+I19*0.4</f>
        <v>10411.6</v>
      </c>
      <c r="L19" s="69">
        <v>560</v>
      </c>
      <c r="M19" s="791" t="s">
        <v>1189</v>
      </c>
      <c r="N19" s="13" t="s">
        <v>1190</v>
      </c>
      <c r="O19" s="28">
        <f t="shared" ref="O19:O30" si="0">+J19*L19</f>
        <v>8745744</v>
      </c>
      <c r="P19" s="28">
        <f t="shared" ref="P19:P28" si="1">+L19*K19</f>
        <v>5830496</v>
      </c>
      <c r="Q19" s="180">
        <f t="shared" ref="Q19:U19" si="2">+$O$19*0.2</f>
        <v>1749148.8</v>
      </c>
      <c r="R19" s="180">
        <f t="shared" si="2"/>
        <v>1749148.8</v>
      </c>
      <c r="S19" s="180">
        <f t="shared" si="2"/>
        <v>1749148.8</v>
      </c>
      <c r="T19" s="180">
        <f t="shared" si="2"/>
        <v>1749148.8</v>
      </c>
      <c r="U19" s="180">
        <f t="shared" si="2"/>
        <v>1749148.8</v>
      </c>
      <c r="V19" s="30"/>
      <c r="W19" s="69"/>
      <c r="X19" s="69"/>
      <c r="Y19" s="69" t="s">
        <v>148</v>
      </c>
      <c r="Z19" s="10"/>
      <c r="AA19" s="184" t="str">
        <f>+B19</f>
        <v>RE</v>
      </c>
      <c r="AB19" s="69">
        <v>3</v>
      </c>
    </row>
    <row r="20" spans="1:28" ht="61.5" customHeight="1" x14ac:dyDescent="0.25">
      <c r="A20" s="337" t="s">
        <v>259</v>
      </c>
      <c r="B20" s="285"/>
      <c r="C20" s="12" t="s">
        <v>1752</v>
      </c>
      <c r="D20" s="375" t="s">
        <v>162</v>
      </c>
      <c r="E20" s="373" t="s">
        <v>1192</v>
      </c>
      <c r="F20" s="75" t="s">
        <v>1753</v>
      </c>
      <c r="G20" s="13" t="str">
        <f>+'8. BASE  CONSOLIDADA'!O145</f>
        <v>TECNOLOGÍA</v>
      </c>
      <c r="H20" s="13" t="str">
        <f>+'8. BASE  CONSOLIDADA'!P145</f>
        <v>C17</v>
      </c>
      <c r="I20" s="181">
        <v>71598</v>
      </c>
      <c r="J20" s="75">
        <f>I20*0.3</f>
        <v>21479.399999999998</v>
      </c>
      <c r="K20" s="75">
        <f>I20*0.3</f>
        <v>21479.399999999998</v>
      </c>
      <c r="L20" s="69">
        <v>500</v>
      </c>
      <c r="M20" s="791" t="s">
        <v>1194</v>
      </c>
      <c r="N20" s="13" t="s">
        <v>1190</v>
      </c>
      <c r="O20" s="28">
        <f t="shared" si="0"/>
        <v>10739699.999999998</v>
      </c>
      <c r="P20" s="28">
        <f t="shared" si="1"/>
        <v>10739699.999999998</v>
      </c>
      <c r="Q20" s="180">
        <f t="shared" ref="Q20:U20" si="3">+$O$20*0.2</f>
        <v>2147939.9999999995</v>
      </c>
      <c r="R20" s="180">
        <f t="shared" si="3"/>
        <v>2147939.9999999995</v>
      </c>
      <c r="S20" s="180">
        <f t="shared" si="3"/>
        <v>2147939.9999999995</v>
      </c>
      <c r="T20" s="180">
        <f t="shared" si="3"/>
        <v>2147939.9999999995</v>
      </c>
      <c r="U20" s="180">
        <f t="shared" si="3"/>
        <v>2147939.9999999995</v>
      </c>
      <c r="V20" s="30"/>
      <c r="W20" s="69"/>
      <c r="X20" s="69"/>
      <c r="Y20" s="69" t="s">
        <v>148</v>
      </c>
      <c r="Z20" s="10"/>
      <c r="AA20" s="184"/>
      <c r="AB20" s="69">
        <v>3</v>
      </c>
    </row>
    <row r="21" spans="1:28" ht="57.1" customHeight="1" x14ac:dyDescent="0.25">
      <c r="A21" s="337" t="s">
        <v>259</v>
      </c>
      <c r="B21" s="285" t="s">
        <v>254</v>
      </c>
      <c r="C21" s="12" t="s">
        <v>1754</v>
      </c>
      <c r="D21" s="819" t="s">
        <v>158</v>
      </c>
      <c r="E21" s="786" t="s">
        <v>1196</v>
      </c>
      <c r="F21" s="179" t="s">
        <v>1755</v>
      </c>
      <c r="G21" s="13" t="str">
        <f>+'8. BASE  CONSOLIDADA'!O146</f>
        <v>TECNOLOGÍA</v>
      </c>
      <c r="H21" s="13" t="str">
        <f>+'8. BASE  CONSOLIDADA'!P146</f>
        <v>C17</v>
      </c>
      <c r="I21" s="181">
        <v>71598</v>
      </c>
      <c r="J21" s="75">
        <f>+I21*0.2</f>
        <v>14319.6</v>
      </c>
      <c r="K21" s="75">
        <f>+I21*0.3</f>
        <v>21479.399999999998</v>
      </c>
      <c r="L21" s="76">
        <v>2500</v>
      </c>
      <c r="M21" s="791" t="s">
        <v>1198</v>
      </c>
      <c r="N21" s="69" t="s">
        <v>992</v>
      </c>
      <c r="O21" s="28">
        <f t="shared" si="0"/>
        <v>35799000</v>
      </c>
      <c r="P21" s="28">
        <f t="shared" si="1"/>
        <v>53698499.999999993</v>
      </c>
      <c r="Q21" s="180">
        <f t="shared" ref="Q21:U21" si="4">+$O$21*0.2</f>
        <v>7159800</v>
      </c>
      <c r="R21" s="180">
        <f t="shared" si="4"/>
        <v>7159800</v>
      </c>
      <c r="S21" s="180">
        <f t="shared" si="4"/>
        <v>7159800</v>
      </c>
      <c r="T21" s="180">
        <f t="shared" si="4"/>
        <v>7159800</v>
      </c>
      <c r="U21" s="180">
        <f t="shared" si="4"/>
        <v>7159800</v>
      </c>
      <c r="V21" s="30"/>
      <c r="W21" s="69"/>
      <c r="X21" s="69"/>
      <c r="Y21" s="69" t="s">
        <v>148</v>
      </c>
      <c r="Z21" s="10"/>
      <c r="AA21" s="184" t="str">
        <f t="shared" ref="AA21:AA29" si="5">+B21</f>
        <v>RE</v>
      </c>
      <c r="AB21" s="69">
        <v>3</v>
      </c>
    </row>
    <row r="22" spans="1:28" ht="84.1" customHeight="1" x14ac:dyDescent="0.25">
      <c r="A22" s="333" t="s">
        <v>260</v>
      </c>
      <c r="B22" s="284" t="s">
        <v>254</v>
      </c>
      <c r="C22" s="12" t="s">
        <v>1756</v>
      </c>
      <c r="D22" s="786" t="s">
        <v>161</v>
      </c>
      <c r="E22" s="819" t="s">
        <v>1757</v>
      </c>
      <c r="F22" s="179" t="s">
        <v>1201</v>
      </c>
      <c r="G22" s="13" t="str">
        <f>+'8. BASE  CONSOLIDADA'!O147</f>
        <v>TECNOLOGÍA</v>
      </c>
      <c r="H22" s="13" t="str">
        <f>+'8. BASE  CONSOLIDADA'!P147</f>
        <v>C17</v>
      </c>
      <c r="I22" s="181">
        <f>+I21</f>
        <v>71598</v>
      </c>
      <c r="J22" s="75">
        <f>+I22*0.05</f>
        <v>3579.9</v>
      </c>
      <c r="K22" s="75">
        <f>+I22*0.06</f>
        <v>4295.88</v>
      </c>
      <c r="L22" s="76">
        <v>11500</v>
      </c>
      <c r="M22" s="791" t="s">
        <v>1758</v>
      </c>
      <c r="N22" s="69" t="s">
        <v>1190</v>
      </c>
      <c r="O22" s="28">
        <f t="shared" si="0"/>
        <v>41168850</v>
      </c>
      <c r="P22" s="28">
        <f t="shared" si="1"/>
        <v>49402620</v>
      </c>
      <c r="Q22" s="180">
        <f t="shared" ref="Q22:U22" si="6">+$O$22*0.2</f>
        <v>8233770</v>
      </c>
      <c r="R22" s="180">
        <f t="shared" si="6"/>
        <v>8233770</v>
      </c>
      <c r="S22" s="180">
        <f t="shared" si="6"/>
        <v>8233770</v>
      </c>
      <c r="T22" s="180">
        <f t="shared" si="6"/>
        <v>8233770</v>
      </c>
      <c r="U22" s="180">
        <f t="shared" si="6"/>
        <v>8233770</v>
      </c>
      <c r="V22" s="30"/>
      <c r="W22" s="69"/>
      <c r="X22" s="69"/>
      <c r="Y22" s="69" t="s">
        <v>148</v>
      </c>
      <c r="Z22" s="10"/>
      <c r="AA22" s="184" t="str">
        <f t="shared" si="5"/>
        <v>RE</v>
      </c>
      <c r="AB22" s="69">
        <v>3</v>
      </c>
    </row>
    <row r="23" spans="1:28" ht="121.6" customHeight="1" x14ac:dyDescent="0.25">
      <c r="A23" s="333" t="s">
        <v>260</v>
      </c>
      <c r="B23" s="284" t="s">
        <v>254</v>
      </c>
      <c r="C23" s="12" t="s">
        <v>1759</v>
      </c>
      <c r="D23" s="819" t="s">
        <v>166</v>
      </c>
      <c r="E23" s="786" t="s">
        <v>1204</v>
      </c>
      <c r="F23" s="69" t="s">
        <v>1262</v>
      </c>
      <c r="G23" s="13" t="str">
        <f>+'8. BASE  CONSOLIDADA'!O148</f>
        <v>RECONVERSIÓN</v>
      </c>
      <c r="H23" s="13" t="str">
        <f>+'8. BASE  CONSOLIDADA'!P148</f>
        <v>C12</v>
      </c>
      <c r="I23" s="181">
        <f>+I22*0.2</f>
        <v>14319.6</v>
      </c>
      <c r="J23" s="75">
        <f>+I23*0.1</f>
        <v>1431.96</v>
      </c>
      <c r="K23" s="75">
        <f>+I23*0.1</f>
        <v>1431.96</v>
      </c>
      <c r="L23" s="75">
        <v>15000</v>
      </c>
      <c r="M23" s="819" t="s">
        <v>1206</v>
      </c>
      <c r="N23" s="69" t="s">
        <v>1322</v>
      </c>
      <c r="O23" s="28">
        <f t="shared" si="0"/>
        <v>21479400</v>
      </c>
      <c r="P23" s="28">
        <f t="shared" si="1"/>
        <v>21479400</v>
      </c>
      <c r="Q23" s="180">
        <f t="shared" ref="Q23:U23" si="7">+$O$23*0.2</f>
        <v>4295880</v>
      </c>
      <c r="R23" s="180">
        <f t="shared" si="7"/>
        <v>4295880</v>
      </c>
      <c r="S23" s="180">
        <f t="shared" si="7"/>
        <v>4295880</v>
      </c>
      <c r="T23" s="180">
        <f t="shared" si="7"/>
        <v>4295880</v>
      </c>
      <c r="U23" s="180">
        <f t="shared" si="7"/>
        <v>4295880</v>
      </c>
      <c r="V23" s="30"/>
      <c r="W23" s="69" t="s">
        <v>148</v>
      </c>
      <c r="X23" s="69"/>
      <c r="Y23" s="69"/>
      <c r="Z23" s="10"/>
      <c r="AA23" s="184" t="str">
        <f t="shared" si="5"/>
        <v>RE</v>
      </c>
      <c r="AB23" s="69">
        <v>3</v>
      </c>
    </row>
    <row r="24" spans="1:28" ht="132.80000000000001" customHeight="1" x14ac:dyDescent="0.25">
      <c r="A24" s="337" t="s">
        <v>259</v>
      </c>
      <c r="B24" s="285" t="s">
        <v>254</v>
      </c>
      <c r="C24" s="12" t="s">
        <v>1760</v>
      </c>
      <c r="D24" s="375" t="s">
        <v>164</v>
      </c>
      <c r="E24" s="375" t="s">
        <v>1209</v>
      </c>
      <c r="F24" s="179" t="s">
        <v>1210</v>
      </c>
      <c r="G24" s="13" t="str">
        <f>+'8. BASE  CONSOLIDADA'!O149</f>
        <v>CAPACITACIÓN</v>
      </c>
      <c r="H24" s="13" t="str">
        <f>+'8. BASE  CONSOLIDADA'!P149</f>
        <v>C3</v>
      </c>
      <c r="I24" s="181">
        <f>+I19</f>
        <v>26029</v>
      </c>
      <c r="J24" s="75">
        <f>29531*0.1</f>
        <v>2953.1000000000004</v>
      </c>
      <c r="K24" s="75">
        <f>29531*0.2</f>
        <v>5906.2000000000007</v>
      </c>
      <c r="L24" s="76">
        <f>3*4300</f>
        <v>12900</v>
      </c>
      <c r="M24" s="791" t="s">
        <v>1211</v>
      </c>
      <c r="N24" s="69" t="s">
        <v>1485</v>
      </c>
      <c r="O24" s="28">
        <f t="shared" si="0"/>
        <v>38094990.000000007</v>
      </c>
      <c r="P24" s="28">
        <f t="shared" si="1"/>
        <v>76189980.000000015</v>
      </c>
      <c r="Q24" s="180">
        <f t="shared" ref="Q24:U24" si="8">+$O$24*0.2</f>
        <v>7618998.0000000019</v>
      </c>
      <c r="R24" s="180">
        <f t="shared" si="8"/>
        <v>7618998.0000000019</v>
      </c>
      <c r="S24" s="180">
        <f t="shared" si="8"/>
        <v>7618998.0000000019</v>
      </c>
      <c r="T24" s="180">
        <f t="shared" si="8"/>
        <v>7618998.0000000019</v>
      </c>
      <c r="U24" s="180">
        <f t="shared" si="8"/>
        <v>7618998.0000000019</v>
      </c>
      <c r="V24" s="30"/>
      <c r="W24" s="69"/>
      <c r="X24" s="69"/>
      <c r="Y24" s="69" t="s">
        <v>148</v>
      </c>
      <c r="Z24" s="10"/>
      <c r="AA24" s="184" t="str">
        <f t="shared" si="5"/>
        <v>RE</v>
      </c>
      <c r="AB24" s="69">
        <v>3</v>
      </c>
    </row>
    <row r="25" spans="1:28" ht="99" customHeight="1" x14ac:dyDescent="0.25">
      <c r="A25" s="337" t="s">
        <v>259</v>
      </c>
      <c r="B25" s="285" t="s">
        <v>254</v>
      </c>
      <c r="C25" s="12" t="s">
        <v>1761</v>
      </c>
      <c r="D25" s="819" t="s">
        <v>155</v>
      </c>
      <c r="E25" s="819" t="s">
        <v>1762</v>
      </c>
      <c r="F25" s="69" t="s">
        <v>1488</v>
      </c>
      <c r="G25" s="13" t="str">
        <f>+'8. BASE  CONSOLIDADA'!O150</f>
        <v>ASISTENCIA TÉCNICA</v>
      </c>
      <c r="H25" s="13" t="str">
        <f>+'8. BASE  CONSOLIDADA'!P150</f>
        <v>C1</v>
      </c>
      <c r="I25" s="69"/>
      <c r="J25" s="69">
        <v>70</v>
      </c>
      <c r="K25" s="69">
        <v>70</v>
      </c>
      <c r="L25" s="76">
        <v>560</v>
      </c>
      <c r="M25" s="791" t="s">
        <v>1216</v>
      </c>
      <c r="N25" s="69" t="s">
        <v>1489</v>
      </c>
      <c r="O25" s="28">
        <f t="shared" si="0"/>
        <v>39200</v>
      </c>
      <c r="P25" s="28">
        <f t="shared" si="1"/>
        <v>39200</v>
      </c>
      <c r="Q25" s="180">
        <f t="shared" ref="Q25:U25" si="9">+$O$25*0.2</f>
        <v>7840</v>
      </c>
      <c r="R25" s="180">
        <f t="shared" si="9"/>
        <v>7840</v>
      </c>
      <c r="S25" s="180">
        <f t="shared" si="9"/>
        <v>7840</v>
      </c>
      <c r="T25" s="180">
        <f t="shared" si="9"/>
        <v>7840</v>
      </c>
      <c r="U25" s="180">
        <f t="shared" si="9"/>
        <v>7840</v>
      </c>
      <c r="V25" s="30"/>
      <c r="W25" s="69"/>
      <c r="X25" s="69"/>
      <c r="Y25" s="69" t="s">
        <v>148</v>
      </c>
      <c r="Z25" s="10"/>
      <c r="AA25" s="184" t="str">
        <f t="shared" si="5"/>
        <v>RE</v>
      </c>
      <c r="AB25" s="69">
        <v>3</v>
      </c>
    </row>
    <row r="26" spans="1:28" ht="86.95" customHeight="1" x14ac:dyDescent="0.25">
      <c r="A26" s="295" t="s">
        <v>257</v>
      </c>
      <c r="B26" s="290" t="s">
        <v>254</v>
      </c>
      <c r="C26" s="12" t="s">
        <v>1763</v>
      </c>
      <c r="D26" s="786" t="s">
        <v>160</v>
      </c>
      <c r="E26" s="786" t="s">
        <v>1764</v>
      </c>
      <c r="F26" s="13" t="s">
        <v>1219</v>
      </c>
      <c r="G26" s="13" t="str">
        <f>+'8. BASE  CONSOLIDADA'!O151</f>
        <v>FINANCIAMIENTO</v>
      </c>
      <c r="H26" s="13" t="str">
        <f>+'8. BASE  CONSOLIDADA'!P151</f>
        <v>C6</v>
      </c>
      <c r="I26" s="13"/>
      <c r="J26" s="13">
        <v>70</v>
      </c>
      <c r="K26" s="13">
        <v>70</v>
      </c>
      <c r="L26" s="76">
        <f>3*4300</f>
        <v>12900</v>
      </c>
      <c r="M26" s="788" t="s">
        <v>1492</v>
      </c>
      <c r="N26" s="13" t="s">
        <v>1493</v>
      </c>
      <c r="O26" s="28">
        <f t="shared" si="0"/>
        <v>903000</v>
      </c>
      <c r="P26" s="28">
        <f t="shared" si="1"/>
        <v>903000</v>
      </c>
      <c r="Q26" s="180">
        <f t="shared" ref="Q26:U26" si="10">+$O$26*0.2</f>
        <v>180600</v>
      </c>
      <c r="R26" s="180">
        <f t="shared" si="10"/>
        <v>180600</v>
      </c>
      <c r="S26" s="180">
        <f t="shared" si="10"/>
        <v>180600</v>
      </c>
      <c r="T26" s="180">
        <f t="shared" si="10"/>
        <v>180600</v>
      </c>
      <c r="U26" s="180">
        <f t="shared" si="10"/>
        <v>180600</v>
      </c>
      <c r="V26" s="30"/>
      <c r="W26" s="69" t="s">
        <v>148</v>
      </c>
      <c r="X26" s="69"/>
      <c r="Y26" s="69"/>
      <c r="Z26" s="10"/>
      <c r="AA26" s="184" t="str">
        <f t="shared" si="5"/>
        <v>RE</v>
      </c>
      <c r="AB26" s="69">
        <v>3</v>
      </c>
    </row>
    <row r="27" spans="1:28" ht="140.30000000000001" customHeight="1" x14ac:dyDescent="0.25">
      <c r="A27" s="295" t="s">
        <v>257</v>
      </c>
      <c r="B27" s="290" t="s">
        <v>254</v>
      </c>
      <c r="C27" s="12" t="s">
        <v>1765</v>
      </c>
      <c r="D27" s="786" t="s">
        <v>163</v>
      </c>
      <c r="E27" s="375" t="s">
        <v>1766</v>
      </c>
      <c r="F27" s="69" t="s">
        <v>1219</v>
      </c>
      <c r="G27" s="13" t="str">
        <f>+'8. BASE  CONSOLIDADA'!O152</f>
        <v>FINANCIAMIENTO</v>
      </c>
      <c r="H27" s="13" t="str">
        <f>+'8. BASE  CONSOLIDADA'!P152</f>
        <v>C6</v>
      </c>
      <c r="I27" s="181">
        <f>+I19</f>
        <v>26029</v>
      </c>
      <c r="J27" s="75">
        <f>+I27*0.3</f>
        <v>7808.7</v>
      </c>
      <c r="K27" s="75">
        <f>+I27*0.2</f>
        <v>5205.8</v>
      </c>
      <c r="L27" s="76">
        <f>4300*2.5</f>
        <v>10750</v>
      </c>
      <c r="M27" s="791" t="s">
        <v>1223</v>
      </c>
      <c r="N27" s="13" t="s">
        <v>1496</v>
      </c>
      <c r="O27" s="26">
        <f t="shared" si="0"/>
        <v>83943525</v>
      </c>
      <c r="P27" s="26">
        <f t="shared" si="1"/>
        <v>55962350</v>
      </c>
      <c r="Q27" s="180">
        <f t="shared" ref="Q27:U27" si="11">+$O$27*0.2</f>
        <v>16788705</v>
      </c>
      <c r="R27" s="180">
        <f t="shared" si="11"/>
        <v>16788705</v>
      </c>
      <c r="S27" s="180">
        <f t="shared" si="11"/>
        <v>16788705</v>
      </c>
      <c r="T27" s="180">
        <f t="shared" si="11"/>
        <v>16788705</v>
      </c>
      <c r="U27" s="180">
        <f t="shared" si="11"/>
        <v>16788705</v>
      </c>
      <c r="V27" s="30"/>
      <c r="W27" s="69" t="s">
        <v>148</v>
      </c>
      <c r="X27" s="69"/>
      <c r="Y27" s="69"/>
      <c r="Z27" s="69"/>
      <c r="AA27" s="184" t="str">
        <f t="shared" si="5"/>
        <v>RE</v>
      </c>
      <c r="AB27" s="69">
        <v>2</v>
      </c>
    </row>
    <row r="28" spans="1:28" ht="142.5" customHeight="1" x14ac:dyDescent="0.25">
      <c r="A28" s="333" t="s">
        <v>260</v>
      </c>
      <c r="B28" s="284" t="s">
        <v>254</v>
      </c>
      <c r="C28" s="12" t="s">
        <v>1767</v>
      </c>
      <c r="D28" s="786" t="s">
        <v>167</v>
      </c>
      <c r="E28" s="786" t="s">
        <v>1498</v>
      </c>
      <c r="F28" s="415" t="s">
        <v>1227</v>
      </c>
      <c r="G28" s="13" t="str">
        <f>+'8. BASE  CONSOLIDADA'!O153</f>
        <v>INFRAESTRUCTURA</v>
      </c>
      <c r="H28" s="13" t="str">
        <f>+'8. BASE  CONSOLIDADA'!P153</f>
        <v>C7</v>
      </c>
      <c r="I28" s="69">
        <v>6</v>
      </c>
      <c r="J28" s="182">
        <v>6</v>
      </c>
      <c r="K28" s="182">
        <v>2</v>
      </c>
      <c r="L28" s="180">
        <v>800000</v>
      </c>
      <c r="M28" s="791" t="s">
        <v>1228</v>
      </c>
      <c r="N28" s="69" t="s">
        <v>1229</v>
      </c>
      <c r="O28" s="28">
        <f t="shared" si="0"/>
        <v>4800000</v>
      </c>
      <c r="P28" s="28">
        <f t="shared" si="1"/>
        <v>1600000</v>
      </c>
      <c r="Q28" s="180">
        <f t="shared" ref="Q28:U28" si="12">+$O$28*0.2</f>
        <v>960000</v>
      </c>
      <c r="R28" s="180">
        <f t="shared" si="12"/>
        <v>960000</v>
      </c>
      <c r="S28" s="180">
        <f t="shared" si="12"/>
        <v>960000</v>
      </c>
      <c r="T28" s="180">
        <f t="shared" si="12"/>
        <v>960000</v>
      </c>
      <c r="U28" s="180">
        <f t="shared" si="12"/>
        <v>960000</v>
      </c>
      <c r="V28" s="30"/>
      <c r="W28" s="69" t="s">
        <v>148</v>
      </c>
      <c r="X28" s="69"/>
      <c r="Y28" s="69"/>
      <c r="Z28" s="69"/>
      <c r="AA28" s="184" t="str">
        <f t="shared" si="5"/>
        <v>RE</v>
      </c>
      <c r="AB28" s="69">
        <v>3</v>
      </c>
    </row>
    <row r="29" spans="1:28" ht="93.75" customHeight="1" x14ac:dyDescent="0.25">
      <c r="A29" s="333" t="s">
        <v>260</v>
      </c>
      <c r="B29" s="284" t="s">
        <v>254</v>
      </c>
      <c r="C29" s="12" t="s">
        <v>1768</v>
      </c>
      <c r="D29" s="786" t="s">
        <v>159</v>
      </c>
      <c r="E29" s="786" t="s">
        <v>1231</v>
      </c>
      <c r="F29" s="69" t="s">
        <v>1040</v>
      </c>
      <c r="G29" s="13" t="str">
        <f>+'8. BASE  CONSOLIDADA'!O154</f>
        <v>CAPACITACIÓN</v>
      </c>
      <c r="H29" s="13" t="str">
        <f>+'8. BASE  CONSOLIDADA'!P154</f>
        <v>C3</v>
      </c>
      <c r="I29" s="69">
        <v>6</v>
      </c>
      <c r="J29" s="182">
        <f>+I29*0.8</f>
        <v>4.8000000000000007</v>
      </c>
      <c r="K29" s="182">
        <f>+I29*0.2</f>
        <v>1.2000000000000002</v>
      </c>
      <c r="L29" s="180">
        <v>50000</v>
      </c>
      <c r="M29" s="791" t="s">
        <v>1232</v>
      </c>
      <c r="N29" s="69" t="s">
        <v>1038</v>
      </c>
      <c r="O29" s="180">
        <f t="shared" si="0"/>
        <v>240000.00000000003</v>
      </c>
      <c r="P29" s="180">
        <f t="shared" ref="P29:P30" si="13">+K29*L29</f>
        <v>60000.000000000007</v>
      </c>
      <c r="Q29" s="374">
        <f t="shared" ref="Q29:U29" si="14">+$O$29*0.2</f>
        <v>48000.000000000007</v>
      </c>
      <c r="R29" s="374">
        <f t="shared" si="14"/>
        <v>48000.000000000007</v>
      </c>
      <c r="S29" s="374">
        <f t="shared" si="14"/>
        <v>48000.000000000007</v>
      </c>
      <c r="T29" s="374">
        <f t="shared" si="14"/>
        <v>48000.000000000007</v>
      </c>
      <c r="U29" s="374">
        <f t="shared" si="14"/>
        <v>48000.000000000007</v>
      </c>
      <c r="V29" s="13"/>
      <c r="W29" s="69"/>
      <c r="X29" s="69"/>
      <c r="Y29" s="69" t="s">
        <v>148</v>
      </c>
      <c r="Z29" s="69"/>
      <c r="AA29" s="184" t="str">
        <f t="shared" si="5"/>
        <v>RE</v>
      </c>
      <c r="AB29" s="69">
        <v>3</v>
      </c>
    </row>
    <row r="30" spans="1:28" ht="162" customHeight="1" x14ac:dyDescent="0.25">
      <c r="A30" s="337" t="s">
        <v>259</v>
      </c>
      <c r="B30" s="285"/>
      <c r="C30" s="12" t="s">
        <v>1769</v>
      </c>
      <c r="D30" s="786" t="s">
        <v>165</v>
      </c>
      <c r="E30" s="786" t="s">
        <v>1770</v>
      </c>
      <c r="F30" s="13" t="s">
        <v>1235</v>
      </c>
      <c r="G30" s="13" t="str">
        <f>+'8. BASE  CONSOLIDADA'!O155</f>
        <v>ASOCIATIVIDAD</v>
      </c>
      <c r="H30" s="13" t="str">
        <f>+'8. BASE  CONSOLIDADA'!P155</f>
        <v>C2</v>
      </c>
      <c r="I30" s="69"/>
      <c r="J30" s="182">
        <v>6</v>
      </c>
      <c r="K30" s="182">
        <v>2</v>
      </c>
      <c r="L30" s="28">
        <v>120000</v>
      </c>
      <c r="M30" s="788" t="s">
        <v>1236</v>
      </c>
      <c r="N30" s="13" t="s">
        <v>1501</v>
      </c>
      <c r="O30" s="28">
        <f t="shared" si="0"/>
        <v>720000</v>
      </c>
      <c r="P30" s="28">
        <f t="shared" si="13"/>
        <v>240000</v>
      </c>
      <c r="Q30" s="180">
        <f t="shared" ref="Q30:U30" si="15">+$O$30*0.2</f>
        <v>144000</v>
      </c>
      <c r="R30" s="180">
        <f t="shared" si="15"/>
        <v>144000</v>
      </c>
      <c r="S30" s="180">
        <f t="shared" si="15"/>
        <v>144000</v>
      </c>
      <c r="T30" s="180">
        <f t="shared" si="15"/>
        <v>144000</v>
      </c>
      <c r="U30" s="180">
        <f t="shared" si="15"/>
        <v>144000</v>
      </c>
      <c r="V30" s="30"/>
      <c r="W30" s="69"/>
      <c r="X30" s="69"/>
      <c r="Y30" s="69" t="s">
        <v>148</v>
      </c>
      <c r="Z30" s="69"/>
      <c r="AA30" s="184"/>
      <c r="AB30" s="69">
        <v>3</v>
      </c>
    </row>
    <row r="31" spans="1:28" ht="65.25" x14ac:dyDescent="0.25">
      <c r="A31" s="333" t="s">
        <v>260</v>
      </c>
      <c r="B31" s="284"/>
      <c r="C31" s="12" t="s">
        <v>1771</v>
      </c>
      <c r="D31" s="786" t="s">
        <v>156</v>
      </c>
      <c r="E31" s="786" t="s">
        <v>1239</v>
      </c>
      <c r="F31" s="13" t="s">
        <v>1240</v>
      </c>
      <c r="G31" s="13" t="str">
        <f>+'8. BASE  CONSOLIDADA'!O156</f>
        <v>MERCADO</v>
      </c>
      <c r="H31" s="13" t="str">
        <f>+'8. BASE  CONSOLIDADA'!P156</f>
        <v>C9</v>
      </c>
      <c r="I31" s="14">
        <v>10</v>
      </c>
      <c r="J31" s="14">
        <v>5</v>
      </c>
      <c r="K31" s="14">
        <v>5</v>
      </c>
      <c r="L31" s="26">
        <v>40000</v>
      </c>
      <c r="M31" s="788" t="s">
        <v>1241</v>
      </c>
      <c r="N31" s="13" t="s">
        <v>1242</v>
      </c>
      <c r="O31" s="28">
        <f>+J31*L31*5</f>
        <v>1000000</v>
      </c>
      <c r="P31" s="28">
        <f>+K31*L31*5</f>
        <v>1000000</v>
      </c>
      <c r="Q31" s="254">
        <f t="shared" ref="Q31:U31" si="16">+$O$31*0.2</f>
        <v>200000</v>
      </c>
      <c r="R31" s="254">
        <f t="shared" si="16"/>
        <v>200000</v>
      </c>
      <c r="S31" s="254">
        <f t="shared" si="16"/>
        <v>200000</v>
      </c>
      <c r="T31" s="254">
        <f t="shared" si="16"/>
        <v>200000</v>
      </c>
      <c r="U31" s="254">
        <f t="shared" si="16"/>
        <v>200000</v>
      </c>
      <c r="V31" s="13"/>
      <c r="W31" s="69"/>
      <c r="X31" s="69"/>
      <c r="Y31" s="69" t="s">
        <v>148</v>
      </c>
      <c r="Z31" s="69"/>
      <c r="AA31" s="184"/>
      <c r="AB31" s="69">
        <v>3</v>
      </c>
    </row>
    <row r="32" spans="1:28" ht="97.85" x14ac:dyDescent="0.25">
      <c r="A32" s="333" t="s">
        <v>260</v>
      </c>
      <c r="B32" s="284"/>
      <c r="C32" s="12" t="s">
        <v>1772</v>
      </c>
      <c r="D32" s="786" t="s">
        <v>157</v>
      </c>
      <c r="E32" s="786" t="s">
        <v>1773</v>
      </c>
      <c r="F32" s="13" t="s">
        <v>1506</v>
      </c>
      <c r="G32" s="13" t="str">
        <f>+'8. BASE  CONSOLIDADA'!O157</f>
        <v>MERCADO</v>
      </c>
      <c r="H32" s="13" t="str">
        <f>+'8. BASE  CONSOLIDADA'!P157</f>
        <v>C9</v>
      </c>
      <c r="I32" s="13"/>
      <c r="J32" s="31">
        <f>8211*0.3</f>
        <v>2463.2999999999997</v>
      </c>
      <c r="K32" s="31">
        <f>8211*0.5</f>
        <v>4105.5</v>
      </c>
      <c r="L32" s="26">
        <f>702*3.56</f>
        <v>2499.12</v>
      </c>
      <c r="M32" s="788" t="s">
        <v>1507</v>
      </c>
      <c r="N32" s="13" t="s">
        <v>1508</v>
      </c>
      <c r="O32" s="28">
        <f t="shared" ref="O32:O34" si="17">+J32*L32</f>
        <v>6156082.2959999992</v>
      </c>
      <c r="P32" s="28">
        <f t="shared" ref="P32:P34" si="18">+K32*L32</f>
        <v>10260137.16</v>
      </c>
      <c r="Q32" s="180">
        <f t="shared" ref="Q32:U32" si="19">+$O$32*0.2</f>
        <v>1231216.4591999999</v>
      </c>
      <c r="R32" s="180">
        <f t="shared" si="19"/>
        <v>1231216.4591999999</v>
      </c>
      <c r="S32" s="180">
        <f t="shared" si="19"/>
        <v>1231216.4591999999</v>
      </c>
      <c r="T32" s="180">
        <f t="shared" si="19"/>
        <v>1231216.4591999999</v>
      </c>
      <c r="U32" s="180">
        <f t="shared" si="19"/>
        <v>1231216.4591999999</v>
      </c>
      <c r="V32" s="30"/>
      <c r="W32" s="69"/>
      <c r="X32" s="69"/>
      <c r="Y32" s="69" t="s">
        <v>148</v>
      </c>
      <c r="Z32" s="69"/>
      <c r="AA32" s="184"/>
      <c r="AB32" s="69">
        <v>3</v>
      </c>
    </row>
    <row r="33" spans="1:28" ht="65.25" x14ac:dyDescent="0.25">
      <c r="A33" s="337" t="s">
        <v>259</v>
      </c>
      <c r="B33" s="285"/>
      <c r="C33" s="12" t="s">
        <v>1774</v>
      </c>
      <c r="D33" s="786" t="s">
        <v>169</v>
      </c>
      <c r="E33" s="786" t="s">
        <v>1775</v>
      </c>
      <c r="F33" s="13" t="s">
        <v>1255</v>
      </c>
      <c r="G33" s="13" t="str">
        <f>+'8. BASE  CONSOLIDADA'!O158</f>
        <v>TECNOLOGÍA</v>
      </c>
      <c r="H33" s="13" t="str">
        <f>+'8. BASE  CONSOLIDADA'!P158</f>
        <v>C17</v>
      </c>
      <c r="I33" s="13"/>
      <c r="J33" s="13">
        <v>3</v>
      </c>
      <c r="K33" s="13">
        <v>5</v>
      </c>
      <c r="L33" s="28">
        <v>15000</v>
      </c>
      <c r="M33" s="788" t="s">
        <v>1256</v>
      </c>
      <c r="N33" s="13" t="s">
        <v>1190</v>
      </c>
      <c r="O33" s="26">
        <f t="shared" si="17"/>
        <v>45000</v>
      </c>
      <c r="P33" s="26">
        <f t="shared" si="18"/>
        <v>75000</v>
      </c>
      <c r="Q33" s="180">
        <f t="shared" ref="Q33:U33" si="20">+$O$33*0.2</f>
        <v>9000</v>
      </c>
      <c r="R33" s="180">
        <f t="shared" si="20"/>
        <v>9000</v>
      </c>
      <c r="S33" s="180">
        <f t="shared" si="20"/>
        <v>9000</v>
      </c>
      <c r="T33" s="180">
        <f t="shared" si="20"/>
        <v>9000</v>
      </c>
      <c r="U33" s="180">
        <f t="shared" si="20"/>
        <v>9000</v>
      </c>
      <c r="V33" s="30"/>
      <c r="W33" s="69"/>
      <c r="X33" s="69"/>
      <c r="Y33" s="69" t="s">
        <v>148</v>
      </c>
      <c r="Z33" s="69"/>
      <c r="AA33" s="184"/>
      <c r="AB33" s="69">
        <v>2</v>
      </c>
    </row>
    <row r="34" spans="1:28" ht="58.6" customHeight="1" x14ac:dyDescent="0.25">
      <c r="A34" s="335" t="s">
        <v>256</v>
      </c>
      <c r="B34" s="286"/>
      <c r="C34" s="12" t="s">
        <v>1776</v>
      </c>
      <c r="D34" s="786" t="s">
        <v>168</v>
      </c>
      <c r="E34" s="786" t="s">
        <v>1244</v>
      </c>
      <c r="F34" s="13" t="s">
        <v>1245</v>
      </c>
      <c r="G34" s="13" t="str">
        <f>+'8. BASE  CONSOLIDADA'!O159</f>
        <v>SERVICIOS ECOSISTÉMICOS</v>
      </c>
      <c r="H34" s="13" t="str">
        <f>+'8. BASE  CONSOLIDADA'!P159</f>
        <v>C15</v>
      </c>
      <c r="I34" s="14"/>
      <c r="J34" s="14">
        <f t="shared" ref="J34:K34" si="21">(5*1)*5</f>
        <v>25</v>
      </c>
      <c r="K34" s="14">
        <f t="shared" si="21"/>
        <v>25</v>
      </c>
      <c r="L34" s="26">
        <v>10000</v>
      </c>
      <c r="M34" s="788" t="s">
        <v>1246</v>
      </c>
      <c r="N34" s="13" t="s">
        <v>1247</v>
      </c>
      <c r="O34" s="28">
        <f t="shared" si="17"/>
        <v>250000</v>
      </c>
      <c r="P34" s="28">
        <f t="shared" si="18"/>
        <v>250000</v>
      </c>
      <c r="Q34" s="28">
        <f t="shared" ref="Q34:U34" si="22">+$O$34*0.2</f>
        <v>50000</v>
      </c>
      <c r="R34" s="28">
        <f t="shared" si="22"/>
        <v>50000</v>
      </c>
      <c r="S34" s="28">
        <f t="shared" si="22"/>
        <v>50000</v>
      </c>
      <c r="T34" s="28">
        <f t="shared" si="22"/>
        <v>50000</v>
      </c>
      <c r="U34" s="28">
        <f t="shared" si="22"/>
        <v>50000</v>
      </c>
      <c r="V34" s="30"/>
      <c r="W34" s="13" t="s">
        <v>148</v>
      </c>
      <c r="X34" s="13"/>
      <c r="Y34" s="13"/>
      <c r="Z34" s="13"/>
      <c r="AA34" s="184"/>
      <c r="AB34" s="13">
        <v>3</v>
      </c>
    </row>
    <row r="35" spans="1:28" ht="22.6" customHeight="1" x14ac:dyDescent="0.25">
      <c r="A35" s="825"/>
      <c r="B35" s="16"/>
      <c r="C35" s="1"/>
      <c r="D35" s="366"/>
      <c r="E35" s="34"/>
      <c r="F35" s="366"/>
      <c r="G35" s="366"/>
      <c r="H35" s="366"/>
      <c r="I35" s="366"/>
      <c r="J35" s="366"/>
      <c r="K35" s="366"/>
      <c r="L35" s="366"/>
      <c r="M35" s="264"/>
      <c r="N35" s="366"/>
      <c r="O35" s="29">
        <f>SUM(O18:O34)</f>
        <v>260453022.2753107</v>
      </c>
      <c r="P35" s="29">
        <f t="shared" ref="P35:U35" si="23">SUM(P18:P34)</f>
        <v>294058914.13931072</v>
      </c>
      <c r="Q35" s="29">
        <f t="shared" si="23"/>
        <v>51457751.357131071</v>
      </c>
      <c r="R35" s="29">
        <f t="shared" si="23"/>
        <v>51774177.906096607</v>
      </c>
      <c r="S35" s="29">
        <f t="shared" si="23"/>
        <v>52090604.455062144</v>
      </c>
      <c r="T35" s="29">
        <f t="shared" si="23"/>
        <v>52723457.552993216</v>
      </c>
      <c r="U35" s="29">
        <f t="shared" si="23"/>
        <v>52407031.00402768</v>
      </c>
      <c r="V35" s="366"/>
      <c r="W35" s="1"/>
      <c r="X35" s="1"/>
      <c r="Y35" s="1"/>
      <c r="Z35" s="1"/>
      <c r="AA35" s="1"/>
      <c r="AB35" s="1"/>
    </row>
    <row r="36" spans="1:28" ht="14.95" customHeight="1" x14ac:dyDescent="0.25">
      <c r="A36" s="825"/>
      <c r="B36" s="16"/>
      <c r="C36" s="1"/>
      <c r="D36" s="366"/>
      <c r="E36" s="34"/>
      <c r="F36" s="366"/>
      <c r="G36" s="366"/>
      <c r="H36" s="366"/>
      <c r="I36" s="366"/>
      <c r="J36" s="366"/>
      <c r="K36" s="366"/>
      <c r="L36" s="366"/>
      <c r="M36" s="264"/>
      <c r="N36" s="366"/>
      <c r="O36" s="366"/>
      <c r="P36" s="366"/>
      <c r="Q36" s="366"/>
      <c r="R36" s="366"/>
      <c r="S36" s="366"/>
      <c r="T36" s="366"/>
      <c r="U36" s="366"/>
      <c r="V36" s="366"/>
      <c r="W36" s="1"/>
      <c r="X36" s="1"/>
      <c r="Y36" s="1"/>
      <c r="Z36" s="1"/>
      <c r="AA36" s="1"/>
      <c r="AB36" s="1"/>
    </row>
    <row r="37" spans="1:28" ht="19.05" customHeight="1" x14ac:dyDescent="0.25">
      <c r="A37" s="825"/>
      <c r="B37" s="16"/>
      <c r="C37" s="1"/>
      <c r="D37" s="366"/>
      <c r="E37" s="34"/>
      <c r="F37" s="366"/>
      <c r="G37" s="366"/>
      <c r="H37" s="366"/>
      <c r="I37" s="366"/>
      <c r="J37" s="366"/>
      <c r="K37" s="366"/>
      <c r="L37" s="366"/>
      <c r="M37" s="264"/>
      <c r="N37" s="366"/>
      <c r="O37" s="366"/>
      <c r="P37" s="366"/>
      <c r="Q37" s="366"/>
      <c r="R37" s="366"/>
      <c r="S37" s="366"/>
      <c r="T37" s="366"/>
      <c r="U37" s="366"/>
      <c r="V37" s="366"/>
      <c r="W37" s="1"/>
      <c r="X37" s="1"/>
      <c r="Y37" s="1"/>
      <c r="Z37" s="1"/>
      <c r="AA37" s="1"/>
      <c r="AB37" s="1"/>
    </row>
    <row r="38" spans="1:28" ht="15.65" x14ac:dyDescent="0.25">
      <c r="A38" s="825"/>
      <c r="B38" s="16"/>
      <c r="C38" s="1459" t="s">
        <v>1170</v>
      </c>
      <c r="D38" s="1405"/>
      <c r="E38" s="1406"/>
      <c r="F38" s="816" t="s">
        <v>126</v>
      </c>
      <c r="G38" s="813"/>
      <c r="H38" s="813"/>
      <c r="I38" s="813"/>
      <c r="J38" s="813"/>
      <c r="K38" s="813"/>
      <c r="L38" s="813"/>
      <c r="M38" s="938"/>
      <c r="N38" s="813"/>
      <c r="O38" s="813"/>
      <c r="P38" s="813"/>
      <c r="Q38" s="813"/>
      <c r="R38" s="813"/>
      <c r="S38" s="813"/>
      <c r="T38" s="813"/>
      <c r="U38" s="813"/>
      <c r="V38" s="813"/>
      <c r="W38" s="813"/>
      <c r="X38" s="813"/>
      <c r="Y38" s="813"/>
      <c r="Z38" s="813"/>
      <c r="AA38" s="813"/>
      <c r="AB38" s="814"/>
    </row>
    <row r="39" spans="1:28" ht="56.25" customHeight="1" x14ac:dyDescent="0.25">
      <c r="A39" s="825"/>
      <c r="B39" s="16"/>
      <c r="C39" s="1459" t="s">
        <v>1171</v>
      </c>
      <c r="D39" s="1405"/>
      <c r="E39" s="1406"/>
      <c r="F39" s="1445" t="s">
        <v>1777</v>
      </c>
      <c r="G39" s="1446"/>
      <c r="H39" s="1446"/>
      <c r="I39" s="1446"/>
      <c r="J39" s="1446"/>
      <c r="K39" s="1446"/>
      <c r="L39" s="1446"/>
      <c r="M39" s="1446"/>
      <c r="N39" s="1446"/>
      <c r="O39" s="1446"/>
      <c r="P39" s="1446"/>
      <c r="Q39" s="1446"/>
      <c r="R39" s="1446"/>
      <c r="S39" s="1446"/>
      <c r="T39" s="1446"/>
      <c r="U39" s="1446"/>
      <c r="V39" s="1446"/>
      <c r="W39" s="1446"/>
      <c r="X39" s="1446"/>
      <c r="Y39" s="1446"/>
      <c r="Z39" s="1446"/>
      <c r="AA39" s="1446"/>
      <c r="AB39" s="1447"/>
    </row>
    <row r="40" spans="1:28" ht="17.350000000000001" customHeight="1" x14ac:dyDescent="0.25">
      <c r="A40" s="825"/>
      <c r="B40" s="16"/>
      <c r="C40" s="1459" t="s">
        <v>1173</v>
      </c>
      <c r="D40" s="1405"/>
      <c r="E40" s="1406"/>
      <c r="F40" s="1445" t="s">
        <v>1277</v>
      </c>
      <c r="G40" s="1446"/>
      <c r="H40" s="1446"/>
      <c r="I40" s="1446"/>
      <c r="J40" s="1446"/>
      <c r="K40" s="1446"/>
      <c r="L40" s="1446"/>
      <c r="M40" s="1446"/>
      <c r="N40" s="1446"/>
      <c r="O40" s="1446"/>
      <c r="P40" s="1446"/>
      <c r="Q40" s="1446"/>
      <c r="R40" s="1446"/>
      <c r="S40" s="1446"/>
      <c r="T40" s="1446"/>
      <c r="U40" s="1446"/>
      <c r="V40" s="1446"/>
      <c r="W40" s="1446"/>
      <c r="X40" s="1446"/>
      <c r="Y40" s="1446"/>
      <c r="Z40" s="1446"/>
      <c r="AA40" s="1446"/>
      <c r="AB40" s="1447"/>
    </row>
    <row r="41" spans="1:28" ht="16.5" customHeight="1" x14ac:dyDescent="0.25">
      <c r="A41" s="825"/>
      <c r="B41" s="16"/>
      <c r="C41" s="1459" t="s">
        <v>1175</v>
      </c>
      <c r="D41" s="1405"/>
      <c r="E41" s="1406"/>
      <c r="F41" s="1445" t="s">
        <v>1278</v>
      </c>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7"/>
    </row>
    <row r="42" spans="1:28" ht="25.5" customHeight="1" x14ac:dyDescent="0.25">
      <c r="A42" s="825"/>
      <c r="B42" s="16"/>
      <c r="C42" s="1459" t="s">
        <v>142</v>
      </c>
      <c r="D42" s="1405"/>
      <c r="E42" s="1406"/>
      <c r="F42" s="1445" t="s">
        <v>1748</v>
      </c>
      <c r="G42" s="1446"/>
      <c r="H42" s="1446"/>
      <c r="I42" s="1446"/>
      <c r="J42" s="1446"/>
      <c r="K42" s="1446"/>
      <c r="L42" s="1446"/>
      <c r="M42" s="1446"/>
      <c r="N42" s="1446"/>
      <c r="O42" s="1446"/>
      <c r="P42" s="1446"/>
      <c r="Q42" s="1446"/>
      <c r="R42" s="1446"/>
      <c r="S42" s="1446"/>
      <c r="T42" s="1446"/>
      <c r="U42" s="1446"/>
      <c r="V42" s="1446"/>
      <c r="W42" s="1446"/>
      <c r="X42" s="1446"/>
      <c r="Y42" s="1446"/>
      <c r="Z42" s="1446"/>
      <c r="AA42" s="1446"/>
      <c r="AB42" s="1447"/>
    </row>
    <row r="43" spans="1:28" ht="48.1" customHeight="1" x14ac:dyDescent="0.25">
      <c r="A43" s="825"/>
      <c r="B43" s="16"/>
      <c r="C43" s="1444" t="s">
        <v>1178</v>
      </c>
      <c r="D43" s="1405"/>
      <c r="E43" s="1406"/>
      <c r="F43" s="1445" t="s">
        <v>1524</v>
      </c>
      <c r="G43" s="1446"/>
      <c r="H43" s="1446"/>
      <c r="I43" s="1446"/>
      <c r="J43" s="1446"/>
      <c r="K43" s="1446"/>
      <c r="L43" s="1446"/>
      <c r="M43" s="1446"/>
      <c r="N43" s="1446"/>
      <c r="O43" s="1446"/>
      <c r="P43" s="1446"/>
      <c r="Q43" s="1446"/>
      <c r="R43" s="1446"/>
      <c r="S43" s="1446"/>
      <c r="T43" s="1446"/>
      <c r="U43" s="1446"/>
      <c r="V43" s="1446"/>
      <c r="W43" s="1446"/>
      <c r="X43" s="1446"/>
      <c r="Y43" s="1446"/>
      <c r="Z43" s="1446"/>
      <c r="AA43" s="1446"/>
      <c r="AB43" s="1447"/>
    </row>
    <row r="44" spans="1:28" ht="23.95" customHeight="1" x14ac:dyDescent="0.25">
      <c r="A44" s="825"/>
      <c r="B44" s="16"/>
      <c r="C44" s="1418" t="s">
        <v>964</v>
      </c>
      <c r="D44" s="1418" t="s">
        <v>965</v>
      </c>
      <c r="E44" s="1418" t="s">
        <v>468</v>
      </c>
      <c r="F44" s="1452" t="s">
        <v>470</v>
      </c>
      <c r="G44" s="1452" t="s">
        <v>966</v>
      </c>
      <c r="H44" s="1452" t="s">
        <v>967</v>
      </c>
      <c r="I44" s="1452" t="s">
        <v>1180</v>
      </c>
      <c r="J44" s="1452" t="s">
        <v>968</v>
      </c>
      <c r="K44" s="1452" t="s">
        <v>969</v>
      </c>
      <c r="L44" s="1453" t="s">
        <v>970</v>
      </c>
      <c r="M44" s="1486" t="s">
        <v>971</v>
      </c>
      <c r="N44" s="1453" t="s">
        <v>972</v>
      </c>
      <c r="O44" s="1456" t="s">
        <v>973</v>
      </c>
      <c r="P44" s="1457"/>
      <c r="Q44" s="1456" t="s">
        <v>974</v>
      </c>
      <c r="R44" s="1458"/>
      <c r="S44" s="1458"/>
      <c r="T44" s="1458"/>
      <c r="U44" s="1457"/>
      <c r="V44" s="1466" t="s">
        <v>975</v>
      </c>
      <c r="W44" s="1468" t="s">
        <v>976</v>
      </c>
      <c r="X44" s="1393"/>
      <c r="Y44" s="1393"/>
      <c r="Z44" s="1394"/>
      <c r="AA44" s="23"/>
      <c r="AB44" s="1466" t="s">
        <v>977</v>
      </c>
    </row>
    <row r="45" spans="1:28" s="667" customFormat="1" ht="76.599999999999994" customHeight="1" x14ac:dyDescent="0.25">
      <c r="B45" s="811"/>
      <c r="C45" s="1449"/>
      <c r="D45" s="1449"/>
      <c r="E45" s="1449"/>
      <c r="F45" s="1449"/>
      <c r="G45" s="1492"/>
      <c r="H45" s="1492"/>
      <c r="I45" s="1449"/>
      <c r="J45" s="1449"/>
      <c r="K45" s="1449"/>
      <c r="L45" s="1454"/>
      <c r="M45" s="1487"/>
      <c r="N45" s="1454"/>
      <c r="O45" s="940" t="s">
        <v>978</v>
      </c>
      <c r="P45" s="940" t="s">
        <v>979</v>
      </c>
      <c r="Q45" s="940" t="s">
        <v>980</v>
      </c>
      <c r="R45" s="940" t="s">
        <v>981</v>
      </c>
      <c r="S45" s="940" t="s">
        <v>982</v>
      </c>
      <c r="T45" s="940" t="s">
        <v>983</v>
      </c>
      <c r="U45" s="940" t="s">
        <v>984</v>
      </c>
      <c r="V45" s="1467"/>
      <c r="W45" s="864" t="s">
        <v>985</v>
      </c>
      <c r="X45" s="864" t="s">
        <v>986</v>
      </c>
      <c r="Y45" s="864" t="s">
        <v>987</v>
      </c>
      <c r="Z45" s="864" t="s">
        <v>988</v>
      </c>
      <c r="AA45" s="864"/>
      <c r="AB45" s="1480"/>
    </row>
    <row r="46" spans="1:28" s="356" customFormat="1" ht="194.95" customHeight="1" x14ac:dyDescent="0.25">
      <c r="A46" s="334" t="s">
        <v>258</v>
      </c>
      <c r="B46" s="291" t="s">
        <v>254</v>
      </c>
      <c r="C46" s="12" t="s">
        <v>1778</v>
      </c>
      <c r="D46" s="786" t="s">
        <v>170</v>
      </c>
      <c r="E46" s="373" t="s">
        <v>1182</v>
      </c>
      <c r="F46" s="13" t="s">
        <v>1183</v>
      </c>
      <c r="G46" s="13" t="str">
        <f>+'8. BASE  CONSOLIDADA'!O160</f>
        <v>DERECHOS SOBRE LA TIERRA</v>
      </c>
      <c r="H46" s="13" t="str">
        <f>+'8. BASE  CONSOLIDADA'!P160</f>
        <v>C5</v>
      </c>
      <c r="I46" s="14">
        <f>2599.45794686847/10</f>
        <v>259.94579468684702</v>
      </c>
      <c r="J46" s="14">
        <f>+I46*0.5</f>
        <v>129.97289734342351</v>
      </c>
      <c r="K46" s="14">
        <f>+I46*0.5</f>
        <v>129.97289734342351</v>
      </c>
      <c r="L46" s="26">
        <v>2000</v>
      </c>
      <c r="M46" s="788" t="s">
        <v>1184</v>
      </c>
      <c r="N46" s="13" t="s">
        <v>1185</v>
      </c>
      <c r="O46" s="26">
        <f>+J46*L46</f>
        <v>259945.79468684702</v>
      </c>
      <c r="P46" s="26">
        <f>+K46*L46</f>
        <v>259945.79468684702</v>
      </c>
      <c r="Q46" s="26">
        <f>$O$46*0.1</f>
        <v>25994.579468684704</v>
      </c>
      <c r="R46" s="26">
        <f>+$O$46*0.15</f>
        <v>38991.869203027054</v>
      </c>
      <c r="S46" s="26">
        <f>+$O$46*0.2</f>
        <v>51989.158937369408</v>
      </c>
      <c r="T46" s="26">
        <f>+$O$46*0.3</f>
        <v>77983.738406054108</v>
      </c>
      <c r="U46" s="26">
        <f>+$O$46*0.25</f>
        <v>64986.448671711754</v>
      </c>
      <c r="V46" s="13"/>
      <c r="W46" s="13"/>
      <c r="X46" s="13"/>
      <c r="Y46" s="13" t="s">
        <v>148</v>
      </c>
      <c r="Z46" s="13"/>
      <c r="AA46" s="13" t="str">
        <f>+B46</f>
        <v>RE</v>
      </c>
      <c r="AB46" s="13">
        <v>3</v>
      </c>
    </row>
    <row r="47" spans="1:28" ht="63" customHeight="1" x14ac:dyDescent="0.25">
      <c r="A47" s="337" t="s">
        <v>259</v>
      </c>
      <c r="B47" s="285" t="s">
        <v>254</v>
      </c>
      <c r="C47" s="12" t="s">
        <v>1779</v>
      </c>
      <c r="D47" s="786" t="s">
        <v>267</v>
      </c>
      <c r="E47" s="786" t="s">
        <v>1780</v>
      </c>
      <c r="F47" s="13" t="s">
        <v>1284</v>
      </c>
      <c r="G47" s="13" t="str">
        <f>+'8. BASE  CONSOLIDADA'!O161</f>
        <v>ASISTENCIA TÉCNICA</v>
      </c>
      <c r="H47" s="13" t="str">
        <f>+'8. BASE  CONSOLIDADA'!P161</f>
        <v>C1</v>
      </c>
      <c r="I47" s="13">
        <v>1214</v>
      </c>
      <c r="J47" s="13">
        <v>1214</v>
      </c>
      <c r="K47" s="13">
        <v>1214</v>
      </c>
      <c r="L47" s="76">
        <v>560</v>
      </c>
      <c r="M47" s="791" t="s">
        <v>1317</v>
      </c>
      <c r="N47" s="69" t="s">
        <v>1190</v>
      </c>
      <c r="O47" s="28">
        <f t="shared" ref="O47:O48" si="24">+J47*L47</f>
        <v>679840</v>
      </c>
      <c r="P47" s="28">
        <f>+K47*L47</f>
        <v>679840</v>
      </c>
      <c r="Q47" s="28">
        <f t="shared" ref="Q47:U47" si="25">+$O$47*0.2</f>
        <v>135968</v>
      </c>
      <c r="R47" s="28">
        <f t="shared" si="25"/>
        <v>135968</v>
      </c>
      <c r="S47" s="28">
        <f t="shared" si="25"/>
        <v>135968</v>
      </c>
      <c r="T47" s="28">
        <f t="shared" si="25"/>
        <v>135968</v>
      </c>
      <c r="U47" s="28">
        <f t="shared" si="25"/>
        <v>135968</v>
      </c>
      <c r="V47" s="30"/>
      <c r="W47" s="13"/>
      <c r="X47" s="13"/>
      <c r="Y47" s="13" t="s">
        <v>148</v>
      </c>
      <c r="Z47" s="10"/>
      <c r="AA47" s="10" t="str">
        <f t="shared" ref="AA47:AA48" si="26">+B47</f>
        <v>RE</v>
      </c>
      <c r="AB47" s="13">
        <v>3</v>
      </c>
    </row>
    <row r="48" spans="1:28" ht="60.8" customHeight="1" x14ac:dyDescent="0.25">
      <c r="A48" s="337" t="s">
        <v>259</v>
      </c>
      <c r="B48" s="285" t="s">
        <v>254</v>
      </c>
      <c r="C48" s="12" t="s">
        <v>1781</v>
      </c>
      <c r="D48" s="786" t="s">
        <v>162</v>
      </c>
      <c r="E48" s="786" t="s">
        <v>1287</v>
      </c>
      <c r="F48" s="13" t="s">
        <v>1193</v>
      </c>
      <c r="G48" s="13" t="str">
        <f>+'8. BASE  CONSOLIDADA'!O162</f>
        <v>TECNOLOGÍA</v>
      </c>
      <c r="H48" s="13" t="str">
        <f>+'8. BASE  CONSOLIDADA'!P162</f>
        <v>C17</v>
      </c>
      <c r="I48" s="14">
        <v>3975</v>
      </c>
      <c r="J48" s="14">
        <f>+I48*0.2</f>
        <v>795</v>
      </c>
      <c r="K48" s="14">
        <f>+I48*0.2</f>
        <v>795</v>
      </c>
      <c r="L48" s="76">
        <v>500</v>
      </c>
      <c r="M48" s="791" t="s">
        <v>1194</v>
      </c>
      <c r="N48" s="13" t="s">
        <v>1190</v>
      </c>
      <c r="O48" s="26">
        <f t="shared" si="24"/>
        <v>397500</v>
      </c>
      <c r="P48" s="26">
        <f>+L48*K48</f>
        <v>397500</v>
      </c>
      <c r="Q48" s="28">
        <f t="shared" ref="Q48:U48" si="27">+$O$48*0.2</f>
        <v>79500</v>
      </c>
      <c r="R48" s="28">
        <f t="shared" si="27"/>
        <v>79500</v>
      </c>
      <c r="S48" s="28">
        <f t="shared" si="27"/>
        <v>79500</v>
      </c>
      <c r="T48" s="28">
        <f t="shared" si="27"/>
        <v>79500</v>
      </c>
      <c r="U48" s="28">
        <f t="shared" si="27"/>
        <v>79500</v>
      </c>
      <c r="V48" s="30"/>
      <c r="W48" s="13"/>
      <c r="X48" s="13"/>
      <c r="Y48" s="13" t="s">
        <v>148</v>
      </c>
      <c r="Z48" s="10"/>
      <c r="AA48" s="10" t="str">
        <f t="shared" si="26"/>
        <v>RE</v>
      </c>
      <c r="AB48" s="13">
        <v>2</v>
      </c>
    </row>
    <row r="49" spans="1:28" ht="38.25" customHeight="1" x14ac:dyDescent="0.25">
      <c r="A49" s="337" t="s">
        <v>259</v>
      </c>
      <c r="B49" s="285"/>
      <c r="C49" s="12" t="s">
        <v>1782</v>
      </c>
      <c r="D49" s="786" t="s">
        <v>275</v>
      </c>
      <c r="E49" s="786" t="s">
        <v>1530</v>
      </c>
      <c r="F49" s="13" t="s">
        <v>1291</v>
      </c>
      <c r="G49" s="13" t="str">
        <f>+'8. BASE  CONSOLIDADA'!O163</f>
        <v>TECNOLOGÍA</v>
      </c>
      <c r="H49" s="13" t="str">
        <f>+'8. BASE  CONSOLIDADA'!P163</f>
        <v>C17</v>
      </c>
      <c r="I49" s="13"/>
      <c r="J49" s="13">
        <v>3</v>
      </c>
      <c r="K49" s="13">
        <v>3</v>
      </c>
      <c r="L49" s="26">
        <v>54800</v>
      </c>
      <c r="M49" s="788" t="s">
        <v>1532</v>
      </c>
      <c r="N49" s="13" t="s">
        <v>1489</v>
      </c>
      <c r="O49" s="28">
        <f>+J49*L49*5</f>
        <v>822000</v>
      </c>
      <c r="P49" s="28">
        <f>+L49*K49*5</f>
        <v>822000</v>
      </c>
      <c r="Q49" s="28">
        <f t="shared" ref="Q49:U49" si="28">+$O$49*0.2</f>
        <v>164400</v>
      </c>
      <c r="R49" s="28">
        <f t="shared" si="28"/>
        <v>164400</v>
      </c>
      <c r="S49" s="28">
        <f t="shared" si="28"/>
        <v>164400</v>
      </c>
      <c r="T49" s="28">
        <f t="shared" si="28"/>
        <v>164400</v>
      </c>
      <c r="U49" s="28">
        <f t="shared" si="28"/>
        <v>164400</v>
      </c>
      <c r="V49" s="30"/>
      <c r="W49" s="13"/>
      <c r="X49" s="13" t="s">
        <v>148</v>
      </c>
      <c r="Y49" s="13"/>
      <c r="Z49" s="10"/>
      <c r="AA49" s="10"/>
      <c r="AB49" s="13">
        <v>3</v>
      </c>
    </row>
    <row r="50" spans="1:28" ht="90.7" customHeight="1" x14ac:dyDescent="0.25">
      <c r="A50" s="295" t="s">
        <v>257</v>
      </c>
      <c r="B50" s="290" t="s">
        <v>254</v>
      </c>
      <c r="C50" s="12" t="s">
        <v>1783</v>
      </c>
      <c r="D50" s="786" t="s">
        <v>163</v>
      </c>
      <c r="E50" s="786" t="s">
        <v>1784</v>
      </c>
      <c r="F50" s="13" t="s">
        <v>1219</v>
      </c>
      <c r="G50" s="13" t="str">
        <f>+'8. BASE  CONSOLIDADA'!O164</f>
        <v>FINANCIAMIENTO</v>
      </c>
      <c r="H50" s="13" t="str">
        <f>+'8. BASE  CONSOLIDADA'!P164</f>
        <v>C6</v>
      </c>
      <c r="I50" s="75">
        <v>1214</v>
      </c>
      <c r="J50" s="75">
        <f>+I50*0.3</f>
        <v>364.2</v>
      </c>
      <c r="K50" s="75">
        <f>+I50*0.2</f>
        <v>242.8</v>
      </c>
      <c r="L50" s="76">
        <f>4300*2.5</f>
        <v>10750</v>
      </c>
      <c r="M50" s="791" t="s">
        <v>1223</v>
      </c>
      <c r="N50" s="13" t="s">
        <v>1496</v>
      </c>
      <c r="O50" s="28">
        <f>+J50*L50</f>
        <v>3915150</v>
      </c>
      <c r="P50" s="28">
        <f>+L50*K50</f>
        <v>2610100</v>
      </c>
      <c r="Q50" s="28">
        <f t="shared" ref="Q50:U50" si="29">+$O$50*0.2</f>
        <v>783030</v>
      </c>
      <c r="R50" s="28">
        <f t="shared" si="29"/>
        <v>783030</v>
      </c>
      <c r="S50" s="28">
        <f t="shared" si="29"/>
        <v>783030</v>
      </c>
      <c r="T50" s="28">
        <f t="shared" si="29"/>
        <v>783030</v>
      </c>
      <c r="U50" s="28">
        <f t="shared" si="29"/>
        <v>783030</v>
      </c>
      <c r="V50" s="30"/>
      <c r="W50" s="13" t="s">
        <v>148</v>
      </c>
      <c r="X50" s="13"/>
      <c r="Y50" s="13"/>
      <c r="Z50" s="10"/>
      <c r="AA50" s="10" t="str">
        <f>+B50</f>
        <v>RE</v>
      </c>
      <c r="AB50" s="13">
        <v>3</v>
      </c>
    </row>
    <row r="51" spans="1:28" ht="104.95" customHeight="1" x14ac:dyDescent="0.25">
      <c r="A51" s="337" t="s">
        <v>259</v>
      </c>
      <c r="B51" s="285"/>
      <c r="C51" s="12" t="s">
        <v>1785</v>
      </c>
      <c r="D51" s="786" t="s">
        <v>165</v>
      </c>
      <c r="E51" s="375" t="s">
        <v>1297</v>
      </c>
      <c r="F51" s="13" t="s">
        <v>1298</v>
      </c>
      <c r="G51" s="13" t="str">
        <f>+'8. BASE  CONSOLIDADA'!O165</f>
        <v>ASOCIATIVIDAD</v>
      </c>
      <c r="H51" s="13" t="str">
        <f>+'8. BASE  CONSOLIDADA'!P165</f>
        <v>C2</v>
      </c>
      <c r="I51" s="13"/>
      <c r="J51" s="13">
        <v>4</v>
      </c>
      <c r="K51" s="13">
        <v>5</v>
      </c>
      <c r="L51" s="26">
        <v>120000</v>
      </c>
      <c r="M51" s="788" t="s">
        <v>1236</v>
      </c>
      <c r="N51" s="13" t="s">
        <v>1501</v>
      </c>
      <c r="O51" s="28">
        <f>+J51*L51*5</f>
        <v>2400000</v>
      </c>
      <c r="P51" s="28">
        <f>+K51*L51*5</f>
        <v>3000000</v>
      </c>
      <c r="Q51" s="28">
        <f t="shared" ref="Q51:U51" si="30">+$O$51*0.2</f>
        <v>480000</v>
      </c>
      <c r="R51" s="28">
        <f t="shared" si="30"/>
        <v>480000</v>
      </c>
      <c r="S51" s="28">
        <f t="shared" si="30"/>
        <v>480000</v>
      </c>
      <c r="T51" s="28">
        <f t="shared" si="30"/>
        <v>480000</v>
      </c>
      <c r="U51" s="28">
        <f t="shared" si="30"/>
        <v>480000</v>
      </c>
      <c r="V51" s="30"/>
      <c r="W51" s="13"/>
      <c r="X51" s="13"/>
      <c r="Y51" s="13" t="s">
        <v>148</v>
      </c>
      <c r="Z51" s="10"/>
      <c r="AA51" s="10"/>
      <c r="AB51" s="13">
        <v>3</v>
      </c>
    </row>
    <row r="52" spans="1:28" ht="68.3" customHeight="1" x14ac:dyDescent="0.25">
      <c r="A52" s="333" t="s">
        <v>260</v>
      </c>
      <c r="B52" s="284" t="s">
        <v>254</v>
      </c>
      <c r="C52" s="12" t="s">
        <v>1786</v>
      </c>
      <c r="D52" s="786" t="s">
        <v>263</v>
      </c>
      <c r="E52" s="786" t="s">
        <v>1538</v>
      </c>
      <c r="F52" s="13" t="s">
        <v>1301</v>
      </c>
      <c r="G52" s="13" t="str">
        <f>+'8. BASE  CONSOLIDADA'!O166</f>
        <v>TECNOLOGÍA</v>
      </c>
      <c r="H52" s="13" t="str">
        <f>+'8. BASE  CONSOLIDADA'!P166</f>
        <v>C17</v>
      </c>
      <c r="I52" s="13"/>
      <c r="J52" s="13">
        <v>6</v>
      </c>
      <c r="K52" s="13">
        <v>10</v>
      </c>
      <c r="L52" s="26">
        <v>800000</v>
      </c>
      <c r="M52" s="788" t="s">
        <v>1302</v>
      </c>
      <c r="N52" s="13" t="s">
        <v>1539</v>
      </c>
      <c r="O52" s="28">
        <f t="shared" ref="O52:O53" si="31">+J52*L52</f>
        <v>4800000</v>
      </c>
      <c r="P52" s="28">
        <f>+L52*K52</f>
        <v>8000000</v>
      </c>
      <c r="Q52" s="28">
        <f t="shared" ref="Q52:U52" si="32">+$O$52*0.2</f>
        <v>960000</v>
      </c>
      <c r="R52" s="28">
        <f t="shared" si="32"/>
        <v>960000</v>
      </c>
      <c r="S52" s="28">
        <f t="shared" si="32"/>
        <v>960000</v>
      </c>
      <c r="T52" s="28">
        <f t="shared" si="32"/>
        <v>960000</v>
      </c>
      <c r="U52" s="28">
        <f t="shared" si="32"/>
        <v>960000</v>
      </c>
      <c r="V52" s="30"/>
      <c r="W52" s="13" t="s">
        <v>148</v>
      </c>
      <c r="X52" s="13"/>
      <c r="Y52" s="13"/>
      <c r="Z52" s="10"/>
      <c r="AA52" s="10"/>
      <c r="AB52" s="13">
        <v>3</v>
      </c>
    </row>
    <row r="53" spans="1:28" ht="59.3" customHeight="1" x14ac:dyDescent="0.25">
      <c r="A53" s="335" t="s">
        <v>256</v>
      </c>
      <c r="B53" s="286"/>
      <c r="C53" s="12" t="s">
        <v>1787</v>
      </c>
      <c r="D53" s="786" t="s">
        <v>168</v>
      </c>
      <c r="E53" s="786" t="s">
        <v>1244</v>
      </c>
      <c r="F53" s="13" t="s">
        <v>1245</v>
      </c>
      <c r="G53" s="13" t="str">
        <f>+'8. BASE  CONSOLIDADA'!O167</f>
        <v>SERVICIOS ECOSISTÉMICOS</v>
      </c>
      <c r="H53" s="13" t="str">
        <f>+'8. BASE  CONSOLIDADA'!P167</f>
        <v>C15</v>
      </c>
      <c r="I53" s="14"/>
      <c r="J53" s="14">
        <f t="shared" ref="J53:K53" si="33">(3*1)*5</f>
        <v>15</v>
      </c>
      <c r="K53" s="14">
        <f t="shared" si="33"/>
        <v>15</v>
      </c>
      <c r="L53" s="26">
        <v>10000</v>
      </c>
      <c r="M53" s="788" t="s">
        <v>1246</v>
      </c>
      <c r="N53" s="13" t="s">
        <v>1247</v>
      </c>
      <c r="O53" s="28">
        <f t="shared" si="31"/>
        <v>150000</v>
      </c>
      <c r="P53" s="28">
        <f>+K53*L53</f>
        <v>150000</v>
      </c>
      <c r="Q53" s="28">
        <f t="shared" ref="Q53:U53" si="34">+$O$53*0.2</f>
        <v>30000</v>
      </c>
      <c r="R53" s="28">
        <f t="shared" si="34"/>
        <v>30000</v>
      </c>
      <c r="S53" s="28">
        <f t="shared" si="34"/>
        <v>30000</v>
      </c>
      <c r="T53" s="28">
        <f t="shared" si="34"/>
        <v>30000</v>
      </c>
      <c r="U53" s="28">
        <f t="shared" si="34"/>
        <v>30000</v>
      </c>
      <c r="V53" s="30"/>
      <c r="W53" s="13" t="s">
        <v>148</v>
      </c>
      <c r="X53" s="13"/>
      <c r="Y53" s="13"/>
      <c r="Z53" s="10"/>
      <c r="AA53" s="10"/>
      <c r="AB53" s="13">
        <v>2</v>
      </c>
    </row>
    <row r="54" spans="1:28" ht="19.55" customHeight="1" x14ac:dyDescent="0.25">
      <c r="A54" s="825"/>
      <c r="B54" s="16"/>
      <c r="C54" s="1"/>
      <c r="D54" s="366"/>
      <c r="E54" s="366"/>
      <c r="F54" s="366"/>
      <c r="G54" s="366"/>
      <c r="H54" s="366"/>
      <c r="I54" s="366"/>
      <c r="J54" s="366"/>
      <c r="K54" s="366"/>
      <c r="L54" s="366"/>
      <c r="M54" s="264"/>
      <c r="N54" s="366"/>
      <c r="O54" s="29">
        <f>SUM(O46:O53)</f>
        <v>13424435.794686846</v>
      </c>
      <c r="P54" s="29">
        <f t="shared" ref="P54:U54" si="35">SUM(P46:P53)</f>
        <v>15919385.794686846</v>
      </c>
      <c r="Q54" s="29">
        <f t="shared" si="35"/>
        <v>2658892.5794686847</v>
      </c>
      <c r="R54" s="29">
        <f t="shared" si="35"/>
        <v>2671889.8692030273</v>
      </c>
      <c r="S54" s="29">
        <f t="shared" si="35"/>
        <v>2684887.1589373695</v>
      </c>
      <c r="T54" s="29">
        <f t="shared" si="35"/>
        <v>2710881.7384060542</v>
      </c>
      <c r="U54" s="29">
        <f t="shared" si="35"/>
        <v>2697884.4486717116</v>
      </c>
      <c r="V54" s="366"/>
      <c r="W54" s="1"/>
      <c r="X54" s="1"/>
      <c r="Y54" s="1"/>
      <c r="Z54" s="1"/>
      <c r="AA54" s="1"/>
      <c r="AB54" s="1"/>
    </row>
    <row r="55" spans="1:28" s="243" customFormat="1" ht="19.55" customHeight="1" x14ac:dyDescent="0.25">
      <c r="A55" s="825"/>
      <c r="B55" s="16"/>
      <c r="C55" s="1"/>
      <c r="D55" s="366"/>
      <c r="E55" s="366"/>
      <c r="F55" s="366"/>
      <c r="G55" s="366"/>
      <c r="H55" s="366"/>
      <c r="I55" s="366"/>
      <c r="J55" s="366"/>
      <c r="K55" s="366"/>
      <c r="L55" s="366"/>
      <c r="M55" s="264"/>
      <c r="N55" s="366"/>
      <c r="O55" s="366"/>
      <c r="P55" s="366"/>
      <c r="Q55" s="366"/>
      <c r="R55" s="366"/>
      <c r="S55" s="366"/>
      <c r="T55" s="366"/>
      <c r="U55" s="366"/>
      <c r="V55" s="366"/>
      <c r="W55" s="1"/>
      <c r="X55" s="1"/>
      <c r="Y55" s="1"/>
      <c r="Z55" s="1"/>
      <c r="AA55" s="1"/>
      <c r="AB55" s="1"/>
    </row>
    <row r="56" spans="1:28" ht="16.5" customHeight="1" x14ac:dyDescent="0.25">
      <c r="A56" s="825"/>
      <c r="B56" s="16"/>
      <c r="C56" s="1"/>
      <c r="D56" s="366"/>
      <c r="E56" s="366"/>
      <c r="F56" s="366"/>
      <c r="G56" s="366"/>
      <c r="H56" s="366"/>
      <c r="I56" s="366"/>
      <c r="J56" s="366"/>
      <c r="K56" s="366"/>
      <c r="L56" s="366"/>
      <c r="M56" s="264"/>
      <c r="N56" s="366"/>
      <c r="O56" s="366"/>
      <c r="P56" s="366"/>
      <c r="Q56" s="366"/>
      <c r="R56" s="366"/>
      <c r="S56" s="366"/>
      <c r="T56" s="366"/>
      <c r="U56" s="366"/>
      <c r="V56" s="366"/>
      <c r="W56" s="1"/>
      <c r="X56" s="1"/>
      <c r="Y56" s="1"/>
      <c r="Z56" s="1"/>
      <c r="AA56" s="1"/>
      <c r="AB56" s="1"/>
    </row>
    <row r="57" spans="1:28" ht="14.95" customHeight="1" x14ac:dyDescent="0.25">
      <c r="A57" s="825"/>
      <c r="B57" s="16"/>
      <c r="C57" s="1459" t="s">
        <v>1170</v>
      </c>
      <c r="D57" s="1405"/>
      <c r="E57" s="1406"/>
      <c r="F57" s="816" t="s">
        <v>136</v>
      </c>
      <c r="G57" s="813"/>
      <c r="H57" s="813"/>
      <c r="I57" s="813"/>
      <c r="J57" s="813"/>
      <c r="K57" s="813"/>
      <c r="L57" s="813"/>
      <c r="M57" s="938"/>
      <c r="N57" s="813"/>
      <c r="O57" s="813"/>
      <c r="P57" s="813"/>
      <c r="Q57" s="813"/>
      <c r="R57" s="813"/>
      <c r="S57" s="813"/>
      <c r="T57" s="813"/>
      <c r="U57" s="813"/>
      <c r="V57" s="813"/>
      <c r="W57" s="813"/>
      <c r="X57" s="813"/>
      <c r="Y57" s="813"/>
      <c r="Z57" s="813"/>
      <c r="AA57" s="813"/>
      <c r="AB57" s="814"/>
    </row>
    <row r="58" spans="1:28" ht="46.55" customHeight="1" x14ac:dyDescent="0.25">
      <c r="A58" s="825"/>
      <c r="B58" s="16"/>
      <c r="C58" s="1459" t="s">
        <v>1171</v>
      </c>
      <c r="D58" s="1405"/>
      <c r="E58" s="1406"/>
      <c r="F58" s="1445" t="s">
        <v>1788</v>
      </c>
      <c r="G58" s="1446"/>
      <c r="H58" s="1446"/>
      <c r="I58" s="1446"/>
      <c r="J58" s="1446"/>
      <c r="K58" s="1446"/>
      <c r="L58" s="1446"/>
      <c r="M58" s="1446"/>
      <c r="N58" s="1446"/>
      <c r="O58" s="1446"/>
      <c r="P58" s="1446"/>
      <c r="Q58" s="1446"/>
      <c r="R58" s="1446"/>
      <c r="S58" s="1446"/>
      <c r="T58" s="1446"/>
      <c r="U58" s="1446"/>
      <c r="V58" s="1446"/>
      <c r="W58" s="1446"/>
      <c r="X58" s="1446"/>
      <c r="Y58" s="1446"/>
      <c r="Z58" s="1446"/>
      <c r="AA58" s="1446"/>
      <c r="AB58" s="1447"/>
    </row>
    <row r="59" spans="1:28" ht="15.8" customHeight="1" x14ac:dyDescent="0.25">
      <c r="A59" s="825"/>
      <c r="B59" s="16"/>
      <c r="C59" s="1459" t="s">
        <v>1173</v>
      </c>
      <c r="D59" s="1405"/>
      <c r="E59" s="1406"/>
      <c r="F59" s="1445" t="s">
        <v>1542</v>
      </c>
      <c r="G59" s="1446"/>
      <c r="H59" s="1446"/>
      <c r="I59" s="1446"/>
      <c r="J59" s="1446"/>
      <c r="K59" s="1446"/>
      <c r="L59" s="1446"/>
      <c r="M59" s="1446"/>
      <c r="N59" s="1446"/>
      <c r="O59" s="1446"/>
      <c r="P59" s="1446"/>
      <c r="Q59" s="1446"/>
      <c r="R59" s="1446"/>
      <c r="S59" s="1446"/>
      <c r="T59" s="1446"/>
      <c r="U59" s="1446"/>
      <c r="V59" s="1446"/>
      <c r="W59" s="1446"/>
      <c r="X59" s="1446"/>
      <c r="Y59" s="1446"/>
      <c r="Z59" s="1446"/>
      <c r="AA59" s="1446"/>
      <c r="AB59" s="1447"/>
    </row>
    <row r="60" spans="1:28" ht="15.8" customHeight="1" x14ac:dyDescent="0.25">
      <c r="A60" s="825"/>
      <c r="B60" s="16"/>
      <c r="C60" s="1459" t="s">
        <v>1175</v>
      </c>
      <c r="D60" s="1405"/>
      <c r="E60" s="1406"/>
      <c r="F60" s="1445" t="s">
        <v>1543</v>
      </c>
      <c r="G60" s="1446"/>
      <c r="H60" s="1446"/>
      <c r="I60" s="1446"/>
      <c r="J60" s="1446"/>
      <c r="K60" s="1446"/>
      <c r="L60" s="1446"/>
      <c r="M60" s="1446"/>
      <c r="N60" s="1446"/>
      <c r="O60" s="1446"/>
      <c r="P60" s="1446"/>
      <c r="Q60" s="1446"/>
      <c r="R60" s="1446"/>
      <c r="S60" s="1446"/>
      <c r="T60" s="1446"/>
      <c r="U60" s="1446"/>
      <c r="V60" s="1446"/>
      <c r="W60" s="1446"/>
      <c r="X60" s="1446"/>
      <c r="Y60" s="1446"/>
      <c r="Z60" s="1446"/>
      <c r="AA60" s="1446"/>
      <c r="AB60" s="1447"/>
    </row>
    <row r="61" spans="1:28" ht="21.1" customHeight="1" x14ac:dyDescent="0.25">
      <c r="A61" s="825"/>
      <c r="B61" s="16"/>
      <c r="C61" s="1459" t="s">
        <v>142</v>
      </c>
      <c r="D61" s="1405"/>
      <c r="E61" s="1406"/>
      <c r="F61" s="1445" t="s">
        <v>1748</v>
      </c>
      <c r="G61" s="1446"/>
      <c r="H61" s="1446"/>
      <c r="I61" s="1446"/>
      <c r="J61" s="1446"/>
      <c r="K61" s="1446"/>
      <c r="L61" s="1446"/>
      <c r="M61" s="1446"/>
      <c r="N61" s="1446"/>
      <c r="O61" s="1446"/>
      <c r="P61" s="1446"/>
      <c r="Q61" s="1446"/>
      <c r="R61" s="1446"/>
      <c r="S61" s="1446"/>
      <c r="T61" s="1446"/>
      <c r="U61" s="1446"/>
      <c r="V61" s="1446"/>
      <c r="W61" s="1446"/>
      <c r="X61" s="1446"/>
      <c r="Y61" s="1446"/>
      <c r="Z61" s="1446"/>
      <c r="AA61" s="1446"/>
      <c r="AB61" s="1447"/>
    </row>
    <row r="62" spans="1:28" ht="36.700000000000003" customHeight="1" x14ac:dyDescent="0.25">
      <c r="A62" s="825"/>
      <c r="B62" s="16"/>
      <c r="C62" s="1444" t="s">
        <v>1178</v>
      </c>
      <c r="D62" s="1405"/>
      <c r="E62" s="1406"/>
      <c r="F62" s="1445" t="s">
        <v>1279</v>
      </c>
      <c r="G62" s="1446"/>
      <c r="H62" s="1446"/>
      <c r="I62" s="1446"/>
      <c r="J62" s="1446"/>
      <c r="K62" s="1446"/>
      <c r="L62" s="1446"/>
      <c r="M62" s="1446"/>
      <c r="N62" s="1446"/>
      <c r="O62" s="1446"/>
      <c r="P62" s="1446"/>
      <c r="Q62" s="1446"/>
      <c r="R62" s="1446"/>
      <c r="S62" s="1446"/>
      <c r="T62" s="1446"/>
      <c r="U62" s="1446"/>
      <c r="V62" s="1446"/>
      <c r="W62" s="1446"/>
      <c r="X62" s="1446"/>
      <c r="Y62" s="1446"/>
      <c r="Z62" s="1446"/>
      <c r="AA62" s="1446"/>
      <c r="AB62" s="1447"/>
    </row>
    <row r="63" spans="1:28" ht="31.6" customHeight="1" x14ac:dyDescent="0.25">
      <c r="A63" s="825"/>
      <c r="B63" s="16"/>
      <c r="C63" s="1474" t="s">
        <v>964</v>
      </c>
      <c r="D63" s="1474" t="s">
        <v>965</v>
      </c>
      <c r="E63" s="1474" t="s">
        <v>468</v>
      </c>
      <c r="F63" s="1466" t="s">
        <v>470</v>
      </c>
      <c r="G63" s="1466" t="s">
        <v>966</v>
      </c>
      <c r="H63" s="1466" t="s">
        <v>967</v>
      </c>
      <c r="I63" s="1466" t="s">
        <v>1180</v>
      </c>
      <c r="J63" s="1466" t="s">
        <v>968</v>
      </c>
      <c r="K63" s="1466" t="s">
        <v>969</v>
      </c>
      <c r="L63" s="1453" t="s">
        <v>970</v>
      </c>
      <c r="M63" s="1486" t="s">
        <v>971</v>
      </c>
      <c r="N63" s="1453" t="s">
        <v>972</v>
      </c>
      <c r="O63" s="1456" t="s">
        <v>973</v>
      </c>
      <c r="P63" s="1457"/>
      <c r="Q63" s="1456" t="s">
        <v>974</v>
      </c>
      <c r="R63" s="1458"/>
      <c r="S63" s="1458"/>
      <c r="T63" s="1458"/>
      <c r="U63" s="1457"/>
      <c r="V63" s="1466" t="s">
        <v>975</v>
      </c>
      <c r="W63" s="1468" t="s">
        <v>976</v>
      </c>
      <c r="X63" s="1393"/>
      <c r="Y63" s="1393"/>
      <c r="Z63" s="1394"/>
      <c r="AA63" s="23"/>
      <c r="AB63" s="1466" t="s">
        <v>977</v>
      </c>
    </row>
    <row r="64" spans="1:28" ht="48.1" customHeight="1" x14ac:dyDescent="0.25">
      <c r="A64" s="825"/>
      <c r="B64" s="16"/>
      <c r="C64" s="1467"/>
      <c r="D64" s="1467"/>
      <c r="E64" s="1467"/>
      <c r="F64" s="1467"/>
      <c r="G64" s="1493"/>
      <c r="H64" s="1493"/>
      <c r="I64" s="1467"/>
      <c r="J64" s="1467"/>
      <c r="K64" s="1467"/>
      <c r="L64" s="1454"/>
      <c r="M64" s="1487"/>
      <c r="N64" s="1454"/>
      <c r="O64" s="940" t="s">
        <v>978</v>
      </c>
      <c r="P64" s="940" t="s">
        <v>979</v>
      </c>
      <c r="Q64" s="940" t="s">
        <v>980</v>
      </c>
      <c r="R64" s="940" t="s">
        <v>981</v>
      </c>
      <c r="S64" s="940" t="s">
        <v>982</v>
      </c>
      <c r="T64" s="940" t="s">
        <v>983</v>
      </c>
      <c r="U64" s="940" t="s">
        <v>984</v>
      </c>
      <c r="V64" s="1467"/>
      <c r="W64" s="23" t="s">
        <v>985</v>
      </c>
      <c r="X64" s="23" t="s">
        <v>986</v>
      </c>
      <c r="Y64" s="23" t="s">
        <v>987</v>
      </c>
      <c r="Z64" s="23" t="s">
        <v>988</v>
      </c>
      <c r="AA64" s="23"/>
      <c r="AB64" s="1467"/>
    </row>
    <row r="65" spans="1:28" s="356" customFormat="1" ht="207" customHeight="1" x14ac:dyDescent="0.25">
      <c r="A65" s="334" t="s">
        <v>258</v>
      </c>
      <c r="B65" s="291" t="s">
        <v>254</v>
      </c>
      <c r="C65" s="12" t="s">
        <v>1789</v>
      </c>
      <c r="D65" s="786" t="s">
        <v>170</v>
      </c>
      <c r="E65" s="373" t="s">
        <v>1182</v>
      </c>
      <c r="F65" s="13" t="s">
        <v>1183</v>
      </c>
      <c r="G65" s="13" t="str">
        <f>+'8. BASE  CONSOLIDADA'!O168</f>
        <v>DERECHOS SOBRE LA TIERRA</v>
      </c>
      <c r="H65" s="13" t="str">
        <f>+'8. BASE  CONSOLIDADA'!P168</f>
        <v>C5</v>
      </c>
      <c r="I65" s="14">
        <f>3989.5671568803/10</f>
        <v>398.95671568802999</v>
      </c>
      <c r="J65" s="14">
        <f>+I65*0.5</f>
        <v>199.47835784401499</v>
      </c>
      <c r="K65" s="14">
        <f>+I65*0.5</f>
        <v>199.47835784401499</v>
      </c>
      <c r="L65" s="26">
        <v>2000</v>
      </c>
      <c r="M65" s="788" t="s">
        <v>1184</v>
      </c>
      <c r="N65" s="13" t="s">
        <v>1185</v>
      </c>
      <c r="O65" s="26">
        <f>+J65*L65</f>
        <v>398956.71568803</v>
      </c>
      <c r="P65" s="26">
        <f>+K65*L65</f>
        <v>398956.71568803</v>
      </c>
      <c r="Q65" s="26">
        <f>$O$65*0.1</f>
        <v>39895.671568803002</v>
      </c>
      <c r="R65" s="26">
        <f>+$O$65*0.15</f>
        <v>59843.507353204499</v>
      </c>
      <c r="S65" s="26">
        <f>+$O$65*0.2</f>
        <v>79791.343137606003</v>
      </c>
      <c r="T65" s="26">
        <f>+$O$65*0.3</f>
        <v>119687.014706409</v>
      </c>
      <c r="U65" s="26">
        <f>+$O$65*0.25</f>
        <v>99739.178922007501</v>
      </c>
      <c r="V65" s="13"/>
      <c r="W65" s="13"/>
      <c r="X65" s="13"/>
      <c r="Y65" s="13" t="s">
        <v>148</v>
      </c>
      <c r="Z65" s="13"/>
      <c r="AA65" s="13" t="str">
        <f>+B65</f>
        <v>RE</v>
      </c>
      <c r="AB65" s="13">
        <v>3</v>
      </c>
    </row>
    <row r="66" spans="1:28" ht="92.25" customHeight="1" x14ac:dyDescent="0.25">
      <c r="A66" s="295" t="s">
        <v>257</v>
      </c>
      <c r="B66" s="290"/>
      <c r="C66" s="12" t="s">
        <v>1790</v>
      </c>
      <c r="D66" s="786" t="s">
        <v>282</v>
      </c>
      <c r="E66" s="786" t="s">
        <v>1544</v>
      </c>
      <c r="F66" s="183" t="s">
        <v>1266</v>
      </c>
      <c r="G66" s="13" t="str">
        <f>+'8. BASE  CONSOLIDADA'!O169</f>
        <v>FINANCIAMIENTO</v>
      </c>
      <c r="H66" s="13" t="str">
        <f>+'8. BASE  CONSOLIDADA'!P169</f>
        <v>C6</v>
      </c>
      <c r="I66" s="13">
        <v>2161</v>
      </c>
      <c r="J66" s="31">
        <f>+I66*0.3</f>
        <v>648.29999999999995</v>
      </c>
      <c r="K66" s="31">
        <f>+I66*0.2</f>
        <v>432.20000000000005</v>
      </c>
      <c r="L66" s="28">
        <f>4300*2.5</f>
        <v>10750</v>
      </c>
      <c r="M66" s="791" t="s">
        <v>1223</v>
      </c>
      <c r="N66" s="13" t="s">
        <v>992</v>
      </c>
      <c r="O66" s="28">
        <f>+L66*J66</f>
        <v>6969224.9999999991</v>
      </c>
      <c r="P66" s="28">
        <f>+L66*K66</f>
        <v>4646150.0000000009</v>
      </c>
      <c r="Q66" s="254">
        <f t="shared" ref="Q66:U66" si="36">+$O$66*0.2</f>
        <v>1393845</v>
      </c>
      <c r="R66" s="254">
        <f t="shared" si="36"/>
        <v>1393845</v>
      </c>
      <c r="S66" s="254">
        <f t="shared" si="36"/>
        <v>1393845</v>
      </c>
      <c r="T66" s="254">
        <f t="shared" si="36"/>
        <v>1393845</v>
      </c>
      <c r="U66" s="254">
        <f t="shared" si="36"/>
        <v>1393845</v>
      </c>
      <c r="V66" s="30"/>
      <c r="W66" s="183"/>
      <c r="X66" s="183"/>
      <c r="Y66" s="183" t="s">
        <v>148</v>
      </c>
      <c r="Z66" s="183"/>
      <c r="AA66" s="183"/>
      <c r="AB66" s="183">
        <v>3</v>
      </c>
    </row>
    <row r="67" spans="1:28" ht="43.5" customHeight="1" x14ac:dyDescent="0.25">
      <c r="A67" s="333" t="s">
        <v>260</v>
      </c>
      <c r="B67" s="284"/>
      <c r="C67" s="12" t="s">
        <v>1791</v>
      </c>
      <c r="D67" s="786" t="s">
        <v>286</v>
      </c>
      <c r="E67" s="786" t="s">
        <v>1545</v>
      </c>
      <c r="F67" s="13" t="s">
        <v>994</v>
      </c>
      <c r="G67" s="13" t="str">
        <f>+'8. BASE  CONSOLIDADA'!O170</f>
        <v>MERCADO</v>
      </c>
      <c r="H67" s="13" t="str">
        <f>+'8. BASE  CONSOLIDADA'!P170</f>
        <v>C9</v>
      </c>
      <c r="I67" s="13"/>
      <c r="J67" s="13">
        <v>2</v>
      </c>
      <c r="K67" s="13">
        <v>2</v>
      </c>
      <c r="L67" s="28">
        <v>3500</v>
      </c>
      <c r="M67" s="788" t="s">
        <v>1546</v>
      </c>
      <c r="N67" s="13" t="s">
        <v>992</v>
      </c>
      <c r="O67" s="28">
        <f>+J67*L67*60</f>
        <v>420000</v>
      </c>
      <c r="P67" s="28">
        <f>+K67*L67*60</f>
        <v>420000</v>
      </c>
      <c r="Q67" s="28">
        <f t="shared" ref="Q67:U67" si="37">+$O$67*0.2</f>
        <v>84000</v>
      </c>
      <c r="R67" s="28">
        <f t="shared" si="37"/>
        <v>84000</v>
      </c>
      <c r="S67" s="28">
        <f t="shared" si="37"/>
        <v>84000</v>
      </c>
      <c r="T67" s="28">
        <f t="shared" si="37"/>
        <v>84000</v>
      </c>
      <c r="U67" s="28">
        <f t="shared" si="37"/>
        <v>84000</v>
      </c>
      <c r="V67" s="30"/>
      <c r="W67" s="183" t="s">
        <v>148</v>
      </c>
      <c r="X67" s="183"/>
      <c r="Y67" s="183"/>
      <c r="Z67" s="183"/>
      <c r="AA67" s="183"/>
      <c r="AB67" s="183">
        <v>3</v>
      </c>
    </row>
    <row r="68" spans="1:28" ht="51.8" customHeight="1" x14ac:dyDescent="0.25">
      <c r="A68" s="333" t="s">
        <v>260</v>
      </c>
      <c r="B68" s="284"/>
      <c r="C68" s="12" t="s">
        <v>1792</v>
      </c>
      <c r="D68" s="786" t="s">
        <v>283</v>
      </c>
      <c r="E68" s="786" t="s">
        <v>1547</v>
      </c>
      <c r="F68" s="13" t="s">
        <v>1548</v>
      </c>
      <c r="G68" s="13" t="str">
        <f>+'8. BASE  CONSOLIDADA'!O171</f>
        <v>MERCADO</v>
      </c>
      <c r="H68" s="13" t="str">
        <f>+'8. BASE  CONSOLIDADA'!P171</f>
        <v>C9</v>
      </c>
      <c r="I68" s="13"/>
      <c r="J68" s="13">
        <v>2</v>
      </c>
      <c r="K68" s="13">
        <v>0</v>
      </c>
      <c r="L68" s="28">
        <v>220400</v>
      </c>
      <c r="M68" s="788" t="s">
        <v>1549</v>
      </c>
      <c r="N68" s="13" t="s">
        <v>1550</v>
      </c>
      <c r="O68" s="28">
        <f>+J68*L68</f>
        <v>440800</v>
      </c>
      <c r="P68" s="28">
        <f>+L68*K68</f>
        <v>0</v>
      </c>
      <c r="Q68" s="28">
        <f t="shared" ref="Q68:R68" si="38">+$O$68*0.5</f>
        <v>220400</v>
      </c>
      <c r="R68" s="28">
        <f t="shared" si="38"/>
        <v>220400</v>
      </c>
      <c r="S68" s="13"/>
      <c r="T68" s="13"/>
      <c r="U68" s="30"/>
      <c r="V68" s="30"/>
      <c r="W68" s="183" t="s">
        <v>148</v>
      </c>
      <c r="X68" s="183"/>
      <c r="Y68" s="183"/>
      <c r="Z68" s="183"/>
      <c r="AA68" s="183"/>
      <c r="AB68" s="183">
        <v>3</v>
      </c>
    </row>
    <row r="69" spans="1:28" ht="20.25" customHeight="1" x14ac:dyDescent="0.25">
      <c r="A69" s="825"/>
      <c r="B69" s="16"/>
      <c r="C69" s="1"/>
      <c r="D69" s="366"/>
      <c r="E69" s="366"/>
      <c r="F69" s="366"/>
      <c r="G69" s="366"/>
      <c r="H69" s="366"/>
      <c r="I69" s="366"/>
      <c r="J69" s="366"/>
      <c r="K69" s="366"/>
      <c r="L69" s="366"/>
      <c r="M69" s="264"/>
      <c r="N69" s="366"/>
      <c r="O69" s="29">
        <f>SUM(O65:O68)</f>
        <v>8228981.7156880293</v>
      </c>
      <c r="P69" s="29">
        <f t="shared" ref="P69:U69" si="39">SUM(P65:P68)</f>
        <v>5465106.7156880312</v>
      </c>
      <c r="Q69" s="29">
        <f t="shared" si="39"/>
        <v>1738140.671568803</v>
      </c>
      <c r="R69" s="29">
        <f t="shared" si="39"/>
        <v>1758088.5073532045</v>
      </c>
      <c r="S69" s="29">
        <f t="shared" si="39"/>
        <v>1557636.343137606</v>
      </c>
      <c r="T69" s="29">
        <f t="shared" si="39"/>
        <v>1597532.0147064091</v>
      </c>
      <c r="U69" s="29">
        <f t="shared" si="39"/>
        <v>1577584.1789220076</v>
      </c>
      <c r="V69" s="366"/>
      <c r="W69" s="1"/>
      <c r="X69" s="1"/>
      <c r="Y69" s="1"/>
      <c r="Z69" s="1"/>
      <c r="AA69" s="1"/>
      <c r="AB69" s="1"/>
    </row>
    <row r="70" spans="1:28" ht="20.25" customHeight="1" x14ac:dyDescent="0.25">
      <c r="A70" s="825"/>
      <c r="B70" s="16"/>
      <c r="C70" s="1"/>
      <c r="D70" s="366"/>
      <c r="E70" s="366"/>
      <c r="F70" s="366"/>
      <c r="G70" s="366"/>
      <c r="H70" s="366"/>
      <c r="I70" s="366"/>
      <c r="J70" s="366"/>
      <c r="K70" s="366"/>
      <c r="L70" s="366"/>
      <c r="M70" s="264"/>
      <c r="N70" s="366"/>
      <c r="O70" s="1"/>
      <c r="P70" s="1"/>
      <c r="Q70" s="1"/>
      <c r="R70" s="1"/>
      <c r="S70" s="1"/>
      <c r="T70" s="1"/>
      <c r="U70" s="1"/>
      <c r="V70" s="366"/>
      <c r="W70" s="1"/>
      <c r="X70" s="1"/>
      <c r="Y70" s="1"/>
      <c r="Z70" s="1"/>
      <c r="AA70" s="1"/>
      <c r="AB70" s="1"/>
    </row>
    <row r="71" spans="1:28" ht="11.25" customHeight="1" x14ac:dyDescent="0.25">
      <c r="A71" s="825"/>
      <c r="B71" s="16"/>
      <c r="C71" s="1"/>
      <c r="D71" s="366"/>
      <c r="E71" s="366"/>
      <c r="F71" s="366"/>
      <c r="G71" s="366"/>
      <c r="H71" s="366"/>
      <c r="I71" s="366"/>
      <c r="J71" s="366"/>
      <c r="K71" s="366"/>
      <c r="L71" s="366"/>
      <c r="M71" s="264"/>
      <c r="N71" s="366"/>
      <c r="O71" s="366"/>
      <c r="P71" s="366"/>
      <c r="Q71" s="366"/>
      <c r="R71" s="366"/>
      <c r="S71" s="366"/>
      <c r="T71" s="366"/>
      <c r="U71" s="366"/>
      <c r="V71" s="366"/>
      <c r="W71" s="1"/>
      <c r="X71" s="1"/>
      <c r="Y71" s="1"/>
      <c r="Z71" s="1"/>
      <c r="AA71" s="1"/>
      <c r="AB71" s="1"/>
    </row>
    <row r="72" spans="1:28" ht="14.95" customHeight="1" x14ac:dyDescent="0.25">
      <c r="A72" s="825"/>
      <c r="B72" s="16"/>
      <c r="C72" s="1459" t="s">
        <v>1170</v>
      </c>
      <c r="D72" s="1405"/>
      <c r="E72" s="1406"/>
      <c r="F72" s="816" t="s">
        <v>130</v>
      </c>
      <c r="G72" s="813"/>
      <c r="H72" s="813"/>
      <c r="I72" s="813"/>
      <c r="J72" s="813"/>
      <c r="K72" s="813"/>
      <c r="L72" s="813"/>
      <c r="M72" s="938"/>
      <c r="N72" s="813"/>
      <c r="O72" s="813"/>
      <c r="P72" s="813"/>
      <c r="Q72" s="813"/>
      <c r="R72" s="813"/>
      <c r="S72" s="813"/>
      <c r="T72" s="813"/>
      <c r="U72" s="813"/>
      <c r="V72" s="813"/>
      <c r="W72" s="813"/>
      <c r="X72" s="813"/>
      <c r="Y72" s="813"/>
      <c r="Z72" s="813"/>
      <c r="AA72" s="813"/>
      <c r="AB72" s="814"/>
    </row>
    <row r="73" spans="1:28" ht="48.75" customHeight="1" x14ac:dyDescent="0.25">
      <c r="A73" s="825"/>
      <c r="B73" s="16"/>
      <c r="C73" s="1459" t="s">
        <v>1171</v>
      </c>
      <c r="D73" s="1405"/>
      <c r="E73" s="1406"/>
      <c r="F73" s="1445" t="s">
        <v>1793</v>
      </c>
      <c r="G73" s="1446"/>
      <c r="H73" s="1446"/>
      <c r="I73" s="1446"/>
      <c r="J73" s="1446"/>
      <c r="K73" s="1446"/>
      <c r="L73" s="1446"/>
      <c r="M73" s="1446"/>
      <c r="N73" s="1446"/>
      <c r="O73" s="1446"/>
      <c r="P73" s="1446"/>
      <c r="Q73" s="1446"/>
      <c r="R73" s="1446"/>
      <c r="S73" s="1446"/>
      <c r="T73" s="1446"/>
      <c r="U73" s="1446"/>
      <c r="V73" s="1446"/>
      <c r="W73" s="1446"/>
      <c r="X73" s="1446"/>
      <c r="Y73" s="1446"/>
      <c r="Z73" s="1446"/>
      <c r="AA73" s="1446"/>
      <c r="AB73" s="1447"/>
    </row>
    <row r="74" spans="1:28" ht="19.55" customHeight="1" x14ac:dyDescent="0.25">
      <c r="A74" s="825"/>
      <c r="B74" s="16"/>
      <c r="C74" s="1459" t="s">
        <v>1173</v>
      </c>
      <c r="D74" s="1405"/>
      <c r="E74" s="1406"/>
      <c r="F74" s="1445" t="s">
        <v>1306</v>
      </c>
      <c r="G74" s="1446"/>
      <c r="H74" s="1446"/>
      <c r="I74" s="1446"/>
      <c r="J74" s="1446"/>
      <c r="K74" s="1446"/>
      <c r="L74" s="1446"/>
      <c r="M74" s="1446"/>
      <c r="N74" s="1446"/>
      <c r="O74" s="1446"/>
      <c r="P74" s="1446"/>
      <c r="Q74" s="1446"/>
      <c r="R74" s="1446"/>
      <c r="S74" s="1446"/>
      <c r="T74" s="1446"/>
      <c r="U74" s="1446"/>
      <c r="V74" s="1446"/>
      <c r="W74" s="1446"/>
      <c r="X74" s="1446"/>
      <c r="Y74" s="1446"/>
      <c r="Z74" s="1446"/>
      <c r="AA74" s="1446"/>
      <c r="AB74" s="1447"/>
    </row>
    <row r="75" spans="1:28" ht="32.950000000000003" customHeight="1" x14ac:dyDescent="0.25">
      <c r="A75" s="825"/>
      <c r="B75" s="16"/>
      <c r="C75" s="1459" t="s">
        <v>1175</v>
      </c>
      <c r="D75" s="1405"/>
      <c r="E75" s="1406"/>
      <c r="F75" s="1445" t="s">
        <v>1794</v>
      </c>
      <c r="G75" s="1446"/>
      <c r="H75" s="1446"/>
      <c r="I75" s="1446"/>
      <c r="J75" s="1446"/>
      <c r="K75" s="1446"/>
      <c r="L75" s="1446"/>
      <c r="M75" s="1446"/>
      <c r="N75" s="1446"/>
      <c r="O75" s="1446"/>
      <c r="P75" s="1446"/>
      <c r="Q75" s="1446"/>
      <c r="R75" s="1446"/>
      <c r="S75" s="1446"/>
      <c r="T75" s="1446"/>
      <c r="U75" s="1446"/>
      <c r="V75" s="1446"/>
      <c r="W75" s="1446"/>
      <c r="X75" s="1446"/>
      <c r="Y75" s="1446"/>
      <c r="Z75" s="1446"/>
      <c r="AA75" s="1446"/>
      <c r="AB75" s="1447"/>
    </row>
    <row r="76" spans="1:28" ht="18" customHeight="1" x14ac:dyDescent="0.25">
      <c r="A76" s="825"/>
      <c r="B76" s="16"/>
      <c r="C76" s="1459" t="s">
        <v>142</v>
      </c>
      <c r="D76" s="1405"/>
      <c r="E76" s="1406"/>
      <c r="F76" s="1445" t="s">
        <v>1748</v>
      </c>
      <c r="G76" s="1446"/>
      <c r="H76" s="1446"/>
      <c r="I76" s="1446"/>
      <c r="J76" s="1446"/>
      <c r="K76" s="1446"/>
      <c r="L76" s="1446"/>
      <c r="M76" s="1446"/>
      <c r="N76" s="1446"/>
      <c r="O76" s="1446"/>
      <c r="P76" s="1446"/>
      <c r="Q76" s="1446"/>
      <c r="R76" s="1446"/>
      <c r="S76" s="1446"/>
      <c r="T76" s="1446"/>
      <c r="U76" s="1446"/>
      <c r="V76" s="1446"/>
      <c r="W76" s="1446"/>
      <c r="X76" s="1446"/>
      <c r="Y76" s="1446"/>
      <c r="Z76" s="1446"/>
      <c r="AA76" s="1446"/>
      <c r="AB76" s="1447"/>
    </row>
    <row r="77" spans="1:28" ht="75.75" customHeight="1" x14ac:dyDescent="0.25">
      <c r="A77" s="825"/>
      <c r="B77" s="16"/>
      <c r="C77" s="1444" t="s">
        <v>1178</v>
      </c>
      <c r="D77" s="1405"/>
      <c r="E77" s="1406"/>
      <c r="F77" s="1445" t="s">
        <v>1678</v>
      </c>
      <c r="G77" s="1446"/>
      <c r="H77" s="1446"/>
      <c r="I77" s="1446"/>
      <c r="J77" s="1446"/>
      <c r="K77" s="1446"/>
      <c r="L77" s="1446"/>
      <c r="M77" s="1446"/>
      <c r="N77" s="1446"/>
      <c r="O77" s="1446"/>
      <c r="P77" s="1446"/>
      <c r="Q77" s="1446"/>
      <c r="R77" s="1446"/>
      <c r="S77" s="1446"/>
      <c r="T77" s="1446"/>
      <c r="U77" s="1446"/>
      <c r="V77" s="1446"/>
      <c r="W77" s="1446"/>
      <c r="X77" s="1446"/>
      <c r="Y77" s="1446"/>
      <c r="Z77" s="1446"/>
      <c r="AA77" s="1446"/>
      <c r="AB77" s="1447"/>
    </row>
    <row r="78" spans="1:28" ht="28.55" customHeight="1" x14ac:dyDescent="0.25">
      <c r="A78" s="825"/>
      <c r="B78" s="16"/>
      <c r="C78" s="1418" t="s">
        <v>964</v>
      </c>
      <c r="D78" s="1418" t="s">
        <v>965</v>
      </c>
      <c r="E78" s="1418" t="s">
        <v>468</v>
      </c>
      <c r="F78" s="1418" t="s">
        <v>470</v>
      </c>
      <c r="G78" s="1452" t="s">
        <v>966</v>
      </c>
      <c r="H78" s="1452" t="s">
        <v>967</v>
      </c>
      <c r="I78" s="1452" t="s">
        <v>1180</v>
      </c>
      <c r="J78" s="1418" t="s">
        <v>968</v>
      </c>
      <c r="K78" s="1418" t="s">
        <v>969</v>
      </c>
      <c r="L78" s="1453" t="s">
        <v>970</v>
      </c>
      <c r="M78" s="1486" t="s">
        <v>971</v>
      </c>
      <c r="N78" s="1453" t="s">
        <v>972</v>
      </c>
      <c r="O78" s="1456" t="s">
        <v>973</v>
      </c>
      <c r="P78" s="1457"/>
      <c r="Q78" s="1456" t="s">
        <v>974</v>
      </c>
      <c r="R78" s="1458"/>
      <c r="S78" s="1458"/>
      <c r="T78" s="1458"/>
      <c r="U78" s="1457"/>
      <c r="V78" s="1418" t="s">
        <v>975</v>
      </c>
      <c r="W78" s="1465" t="s">
        <v>976</v>
      </c>
      <c r="X78" s="1405"/>
      <c r="Y78" s="1405"/>
      <c r="Z78" s="1406"/>
      <c r="AA78" s="808"/>
      <c r="AB78" s="1452" t="s">
        <v>977</v>
      </c>
    </row>
    <row r="79" spans="1:28" ht="60.8" customHeight="1" x14ac:dyDescent="0.25">
      <c r="A79" s="825"/>
      <c r="B79" s="16"/>
      <c r="C79" s="1449"/>
      <c r="D79" s="1449"/>
      <c r="E79" s="1449"/>
      <c r="F79" s="1449"/>
      <c r="G79" s="1492"/>
      <c r="H79" s="1492"/>
      <c r="I79" s="1449"/>
      <c r="J79" s="1449"/>
      <c r="K79" s="1449"/>
      <c r="L79" s="1454"/>
      <c r="M79" s="1487"/>
      <c r="N79" s="1454"/>
      <c r="O79" s="940" t="s">
        <v>978</v>
      </c>
      <c r="P79" s="940" t="s">
        <v>979</v>
      </c>
      <c r="Q79" s="940" t="s">
        <v>980</v>
      </c>
      <c r="R79" s="940" t="s">
        <v>981</v>
      </c>
      <c r="S79" s="940" t="s">
        <v>982</v>
      </c>
      <c r="T79" s="940" t="s">
        <v>983</v>
      </c>
      <c r="U79" s="940" t="s">
        <v>984</v>
      </c>
      <c r="V79" s="1449"/>
      <c r="W79" s="808" t="s">
        <v>985</v>
      </c>
      <c r="X79" s="808" t="s">
        <v>986</v>
      </c>
      <c r="Y79" s="808" t="s">
        <v>987</v>
      </c>
      <c r="Z79" s="808" t="s">
        <v>988</v>
      </c>
      <c r="AA79" s="808"/>
      <c r="AB79" s="1449"/>
    </row>
    <row r="80" spans="1:28" ht="201.75" customHeight="1" x14ac:dyDescent="0.25">
      <c r="A80" s="334" t="s">
        <v>258</v>
      </c>
      <c r="B80" s="291"/>
      <c r="C80" s="12" t="s">
        <v>1795</v>
      </c>
      <c r="D80" s="786" t="s">
        <v>172</v>
      </c>
      <c r="E80" s="786" t="s">
        <v>1796</v>
      </c>
      <c r="F80" s="13" t="s">
        <v>1311</v>
      </c>
      <c r="G80" s="13" t="str">
        <f>+'8. BASE  CONSOLIDADA'!O172</f>
        <v>DERECHOS SOBRE LA TIERRA</v>
      </c>
      <c r="H80" s="13" t="str">
        <f>+'8. BASE  CONSOLIDADA'!P172</f>
        <v>C5</v>
      </c>
      <c r="I80" s="13">
        <v>44</v>
      </c>
      <c r="J80" s="14">
        <f>+I80*1</f>
        <v>44</v>
      </c>
      <c r="K80" s="14"/>
      <c r="L80" s="26">
        <v>71250</v>
      </c>
      <c r="M80" s="788" t="s">
        <v>1312</v>
      </c>
      <c r="N80" s="13" t="s">
        <v>1313</v>
      </c>
      <c r="O80" s="28">
        <f>+J80*L80</f>
        <v>3135000</v>
      </c>
      <c r="P80" s="28">
        <f t="shared" ref="P80:P82" si="40">+L80*K80</f>
        <v>0</v>
      </c>
      <c r="Q80" s="28">
        <f t="shared" ref="Q80:U80" si="41">+$O$80*0.2</f>
        <v>627000</v>
      </c>
      <c r="R80" s="28">
        <f t="shared" si="41"/>
        <v>627000</v>
      </c>
      <c r="S80" s="28">
        <f t="shared" si="41"/>
        <v>627000</v>
      </c>
      <c r="T80" s="28">
        <f t="shared" si="41"/>
        <v>627000</v>
      </c>
      <c r="U80" s="28">
        <f t="shared" si="41"/>
        <v>627000</v>
      </c>
      <c r="V80" s="30"/>
      <c r="W80" s="13"/>
      <c r="X80" s="13"/>
      <c r="Y80" s="13" t="s">
        <v>148</v>
      </c>
      <c r="Z80" s="13"/>
      <c r="AA80" s="13"/>
      <c r="AB80" s="13">
        <v>3</v>
      </c>
    </row>
    <row r="81" spans="1:28" ht="102.75" customHeight="1" x14ac:dyDescent="0.25">
      <c r="A81" s="337" t="s">
        <v>259</v>
      </c>
      <c r="B81" s="285" t="s">
        <v>254</v>
      </c>
      <c r="C81" s="12" t="s">
        <v>1797</v>
      </c>
      <c r="D81" s="786" t="s">
        <v>171</v>
      </c>
      <c r="E81" s="786" t="s">
        <v>1798</v>
      </c>
      <c r="F81" s="13" t="s">
        <v>1316</v>
      </c>
      <c r="G81" s="13" t="str">
        <f>+'8. BASE  CONSOLIDADA'!O173</f>
        <v>ASISTENCIA TÉCNICA</v>
      </c>
      <c r="H81" s="13" t="str">
        <f>+'8. BASE  CONSOLIDADA'!P173</f>
        <v>C1</v>
      </c>
      <c r="I81" s="14">
        <f>47*100</f>
        <v>4700</v>
      </c>
      <c r="J81" s="14">
        <f>+I81*1</f>
        <v>4700</v>
      </c>
      <c r="K81" s="14">
        <f>+I81*1</f>
        <v>4700</v>
      </c>
      <c r="L81" s="76">
        <f>560</f>
        <v>560</v>
      </c>
      <c r="M81" s="791" t="s">
        <v>1317</v>
      </c>
      <c r="N81" s="13" t="s">
        <v>1313</v>
      </c>
      <c r="O81" s="14">
        <f>+J81*L81</f>
        <v>2632000</v>
      </c>
      <c r="P81" s="14">
        <f t="shared" si="40"/>
        <v>2632000</v>
      </c>
      <c r="Q81" s="28">
        <f t="shared" ref="Q81:U81" si="42">+$O$81*0.2</f>
        <v>526400</v>
      </c>
      <c r="R81" s="28">
        <f t="shared" si="42"/>
        <v>526400</v>
      </c>
      <c r="S81" s="28">
        <f t="shared" si="42"/>
        <v>526400</v>
      </c>
      <c r="T81" s="28">
        <f t="shared" si="42"/>
        <v>526400</v>
      </c>
      <c r="U81" s="28">
        <f t="shared" si="42"/>
        <v>526400</v>
      </c>
      <c r="V81" s="30"/>
      <c r="W81" s="13"/>
      <c r="X81" s="13"/>
      <c r="Y81" s="13" t="s">
        <v>148</v>
      </c>
      <c r="Z81" s="13"/>
      <c r="AA81" s="13" t="str">
        <f t="shared" ref="AA81:AA84" si="43">+B81</f>
        <v>RE</v>
      </c>
      <c r="AB81" s="13">
        <v>3</v>
      </c>
    </row>
    <row r="82" spans="1:28" ht="110.25" customHeight="1" x14ac:dyDescent="0.25">
      <c r="A82" s="333" t="s">
        <v>260</v>
      </c>
      <c r="B82" s="284" t="s">
        <v>254</v>
      </c>
      <c r="C82" s="12" t="s">
        <v>1799</v>
      </c>
      <c r="D82" s="263" t="s">
        <v>177</v>
      </c>
      <c r="E82" s="375" t="s">
        <v>1319</v>
      </c>
      <c r="F82" s="13" t="s">
        <v>1022</v>
      </c>
      <c r="G82" s="13" t="str">
        <f>+'8. BASE  CONSOLIDADA'!O174</f>
        <v>INNOVACIÓN</v>
      </c>
      <c r="H82" s="13" t="str">
        <f>+'8. BASE  CONSOLIDADA'!P174</f>
        <v>C8</v>
      </c>
      <c r="I82" s="13"/>
      <c r="J82" s="31">
        <f>3*20</f>
        <v>60</v>
      </c>
      <c r="K82" s="31">
        <f>2*20</f>
        <v>40</v>
      </c>
      <c r="L82" s="26">
        <v>15000</v>
      </c>
      <c r="M82" s="788" t="s">
        <v>1321</v>
      </c>
      <c r="N82" s="13" t="s">
        <v>1800</v>
      </c>
      <c r="O82" s="14">
        <f t="shared" ref="O82" si="44">+J82*L82</f>
        <v>900000</v>
      </c>
      <c r="P82" s="14">
        <f t="shared" si="40"/>
        <v>600000</v>
      </c>
      <c r="Q82" s="28">
        <f t="shared" ref="Q82:U82" si="45">+$O$82*0.2</f>
        <v>180000</v>
      </c>
      <c r="R82" s="28">
        <f t="shared" si="45"/>
        <v>180000</v>
      </c>
      <c r="S82" s="28">
        <f t="shared" si="45"/>
        <v>180000</v>
      </c>
      <c r="T82" s="28">
        <f t="shared" si="45"/>
        <v>180000</v>
      </c>
      <c r="U82" s="28">
        <f t="shared" si="45"/>
        <v>180000</v>
      </c>
      <c r="V82" s="30"/>
      <c r="W82" s="13" t="s">
        <v>148</v>
      </c>
      <c r="X82" s="13"/>
      <c r="Y82" s="13"/>
      <c r="Z82" s="13"/>
      <c r="AA82" s="13" t="str">
        <f t="shared" si="43"/>
        <v>RE</v>
      </c>
      <c r="AB82" s="13">
        <v>2</v>
      </c>
    </row>
    <row r="83" spans="1:28" ht="68.3" customHeight="1" x14ac:dyDescent="0.25">
      <c r="A83" s="337" t="s">
        <v>259</v>
      </c>
      <c r="B83" s="285" t="s">
        <v>254</v>
      </c>
      <c r="C83" s="12" t="s">
        <v>1801</v>
      </c>
      <c r="D83" s="263" t="s">
        <v>174</v>
      </c>
      <c r="E83" s="786" t="s">
        <v>1802</v>
      </c>
      <c r="F83" s="13" t="s">
        <v>1325</v>
      </c>
      <c r="G83" s="13" t="str">
        <f>+'8. BASE  CONSOLIDADA'!O175</f>
        <v>ASOCIATIVIDAD</v>
      </c>
      <c r="H83" s="13" t="str">
        <f>+'8. BASE  CONSOLIDADA'!P175</f>
        <v>C2</v>
      </c>
      <c r="I83" s="13">
        <v>47</v>
      </c>
      <c r="J83" s="13">
        <v>27</v>
      </c>
      <c r="K83" s="13">
        <v>20</v>
      </c>
      <c r="L83" s="28">
        <f>6*4000*12</f>
        <v>288000</v>
      </c>
      <c r="M83" s="788" t="s">
        <v>1326</v>
      </c>
      <c r="N83" s="13" t="s">
        <v>1327</v>
      </c>
      <c r="O83" s="14">
        <f>+L83*5</f>
        <v>1440000</v>
      </c>
      <c r="P83" s="14">
        <f>+L83*5</f>
        <v>1440000</v>
      </c>
      <c r="Q83" s="28">
        <f t="shared" ref="Q83:U83" si="46">+$O$83*0.2</f>
        <v>288000</v>
      </c>
      <c r="R83" s="28">
        <f t="shared" si="46"/>
        <v>288000</v>
      </c>
      <c r="S83" s="28">
        <f t="shared" si="46"/>
        <v>288000</v>
      </c>
      <c r="T83" s="28">
        <f t="shared" si="46"/>
        <v>288000</v>
      </c>
      <c r="U83" s="28">
        <f t="shared" si="46"/>
        <v>288000</v>
      </c>
      <c r="V83" s="30"/>
      <c r="W83" s="13"/>
      <c r="X83" s="13"/>
      <c r="Y83" s="13" t="s">
        <v>148</v>
      </c>
      <c r="Z83" s="13"/>
      <c r="AA83" s="13" t="str">
        <f t="shared" si="43"/>
        <v>RE</v>
      </c>
      <c r="AB83" s="13">
        <v>3</v>
      </c>
    </row>
    <row r="84" spans="1:28" ht="55.55" customHeight="1" x14ac:dyDescent="0.25">
      <c r="A84" s="333" t="s">
        <v>260</v>
      </c>
      <c r="B84" s="284" t="s">
        <v>254</v>
      </c>
      <c r="C84" s="12" t="s">
        <v>1803</v>
      </c>
      <c r="D84" s="375" t="s">
        <v>179</v>
      </c>
      <c r="E84" s="373" t="s">
        <v>1329</v>
      </c>
      <c r="F84" s="13" t="s">
        <v>994</v>
      </c>
      <c r="G84" s="13" t="str">
        <f>+'8. BASE  CONSOLIDADA'!O176</f>
        <v>MERCADO</v>
      </c>
      <c r="H84" s="13" t="str">
        <f>+'8. BASE  CONSOLIDADA'!P176</f>
        <v>C9</v>
      </c>
      <c r="I84" s="13"/>
      <c r="J84" s="13">
        <v>3</v>
      </c>
      <c r="K84" s="13">
        <v>3</v>
      </c>
      <c r="L84" s="26">
        <v>3500</v>
      </c>
      <c r="M84" s="788" t="s">
        <v>1330</v>
      </c>
      <c r="N84" s="13" t="s">
        <v>1804</v>
      </c>
      <c r="O84" s="14">
        <f>+J84*L84*60</f>
        <v>630000</v>
      </c>
      <c r="P84" s="14">
        <f>+L84*K84*60</f>
        <v>630000</v>
      </c>
      <c r="Q84" s="28">
        <f t="shared" ref="Q84:U84" si="47">+$O$84*0.2</f>
        <v>126000</v>
      </c>
      <c r="R84" s="28">
        <f t="shared" si="47"/>
        <v>126000</v>
      </c>
      <c r="S84" s="28">
        <f t="shared" si="47"/>
        <v>126000</v>
      </c>
      <c r="T84" s="28">
        <f t="shared" si="47"/>
        <v>126000</v>
      </c>
      <c r="U84" s="28">
        <f t="shared" si="47"/>
        <v>126000</v>
      </c>
      <c r="V84" s="30"/>
      <c r="W84" s="13" t="s">
        <v>148</v>
      </c>
      <c r="X84" s="13"/>
      <c r="Y84" s="13"/>
      <c r="Z84" s="13"/>
      <c r="AA84" s="13" t="str">
        <f t="shared" si="43"/>
        <v>RE</v>
      </c>
      <c r="AB84" s="13">
        <v>3</v>
      </c>
    </row>
    <row r="85" spans="1:28" ht="63" customHeight="1" x14ac:dyDescent="0.25">
      <c r="A85" s="334" t="s">
        <v>258</v>
      </c>
      <c r="B85" s="291"/>
      <c r="C85" s="12" t="s">
        <v>1805</v>
      </c>
      <c r="D85" s="373" t="s">
        <v>180</v>
      </c>
      <c r="E85" s="373" t="s">
        <v>1691</v>
      </c>
      <c r="F85" s="13" t="s">
        <v>1334</v>
      </c>
      <c r="G85" s="13" t="str">
        <f>+'8. BASE  CONSOLIDADA'!O177</f>
        <v>FINANCIAMIENTO</v>
      </c>
      <c r="H85" s="13" t="str">
        <f>+'8. BASE  CONSOLIDADA'!P177</f>
        <v>C6</v>
      </c>
      <c r="I85" s="14">
        <v>47</v>
      </c>
      <c r="J85" s="14">
        <f>+I85*0.6</f>
        <v>28.2</v>
      </c>
      <c r="K85" s="14">
        <f>+I85*0.4</f>
        <v>18.8</v>
      </c>
      <c r="L85" s="26">
        <v>5000</v>
      </c>
      <c r="M85" s="788" t="s">
        <v>1692</v>
      </c>
      <c r="N85" s="13" t="s">
        <v>1336</v>
      </c>
      <c r="O85" s="14">
        <f>+J85*L85*5</f>
        <v>705000</v>
      </c>
      <c r="P85" s="14">
        <f>+L85*K85*5</f>
        <v>470000</v>
      </c>
      <c r="Q85" s="28">
        <f t="shared" ref="Q85:U85" si="48">+$O$85*0.2</f>
        <v>141000</v>
      </c>
      <c r="R85" s="28">
        <f t="shared" si="48"/>
        <v>141000</v>
      </c>
      <c r="S85" s="28">
        <f t="shared" si="48"/>
        <v>141000</v>
      </c>
      <c r="T85" s="28">
        <f t="shared" si="48"/>
        <v>141000</v>
      </c>
      <c r="U85" s="28">
        <f t="shared" si="48"/>
        <v>141000</v>
      </c>
      <c r="V85" s="30"/>
      <c r="W85" s="13"/>
      <c r="X85" s="13"/>
      <c r="Y85" s="13" t="s">
        <v>148</v>
      </c>
      <c r="Z85" s="13"/>
      <c r="AA85" s="13"/>
      <c r="AB85" s="13">
        <v>3</v>
      </c>
    </row>
    <row r="86" spans="1:28" ht="68.3" customHeight="1" x14ac:dyDescent="0.25">
      <c r="A86" s="337" t="s">
        <v>259</v>
      </c>
      <c r="B86" s="285"/>
      <c r="C86" s="12" t="s">
        <v>1806</v>
      </c>
      <c r="D86" s="786" t="s">
        <v>173</v>
      </c>
      <c r="E86" s="786" t="s">
        <v>1338</v>
      </c>
      <c r="F86" s="13" t="s">
        <v>1339</v>
      </c>
      <c r="G86" s="13" t="str">
        <f>+'8. BASE  CONSOLIDADA'!O178</f>
        <v>SERVICIO DE EDUCACIÓN Y SALUD ADECUADOS</v>
      </c>
      <c r="H86" s="13" t="str">
        <f>+'8. BASE  CONSOLIDADA'!P178</f>
        <v>C14</v>
      </c>
      <c r="I86" s="14">
        <f>47*100</f>
        <v>4700</v>
      </c>
      <c r="J86" s="14">
        <f>+I86*0.3</f>
        <v>1410</v>
      </c>
      <c r="K86" s="14">
        <f>+I86*0.2</f>
        <v>940</v>
      </c>
      <c r="L86" s="76">
        <v>30000</v>
      </c>
      <c r="M86" s="788" t="s">
        <v>1340</v>
      </c>
      <c r="N86" s="13" t="s">
        <v>1341</v>
      </c>
      <c r="O86" s="14">
        <f>+J86*L86</f>
        <v>42300000</v>
      </c>
      <c r="P86" s="14">
        <f>+L86*K86</f>
        <v>28200000</v>
      </c>
      <c r="Q86" s="28">
        <f t="shared" ref="Q86:U86" si="49">+$O$86*0.2</f>
        <v>8460000</v>
      </c>
      <c r="R86" s="28">
        <f t="shared" si="49"/>
        <v>8460000</v>
      </c>
      <c r="S86" s="28">
        <f t="shared" si="49"/>
        <v>8460000</v>
      </c>
      <c r="T86" s="28">
        <f t="shared" si="49"/>
        <v>8460000</v>
      </c>
      <c r="U86" s="28">
        <f t="shared" si="49"/>
        <v>8460000</v>
      </c>
      <c r="V86" s="30"/>
      <c r="W86" s="13"/>
      <c r="X86" s="13"/>
      <c r="Y86" s="13" t="s">
        <v>148</v>
      </c>
      <c r="Z86" s="13"/>
      <c r="AA86" s="13"/>
      <c r="AB86" s="13">
        <v>3</v>
      </c>
    </row>
    <row r="87" spans="1:28" ht="41.3" customHeight="1" x14ac:dyDescent="0.25">
      <c r="A87" s="337" t="s">
        <v>259</v>
      </c>
      <c r="B87" s="285" t="s">
        <v>254</v>
      </c>
      <c r="C87" s="12" t="s">
        <v>1807</v>
      </c>
      <c r="D87" s="263" t="s">
        <v>176</v>
      </c>
      <c r="E87" s="263" t="s">
        <v>1343</v>
      </c>
      <c r="F87" s="183" t="s">
        <v>1344</v>
      </c>
      <c r="G87" s="13" t="str">
        <f>+'8. BASE  CONSOLIDADA'!O179</f>
        <v>SERVICIO DE EDUCACIÓN Y SALUD ADECUADOS</v>
      </c>
      <c r="H87" s="13" t="str">
        <f>+'8. BASE  CONSOLIDADA'!P179</f>
        <v>C14</v>
      </c>
      <c r="I87" s="13">
        <v>47</v>
      </c>
      <c r="J87" s="31">
        <f>+I87*0.5</f>
        <v>23.5</v>
      </c>
      <c r="K87" s="31">
        <f>+I87*0.5</f>
        <v>23.5</v>
      </c>
      <c r="L87" s="26">
        <v>150000</v>
      </c>
      <c r="M87" s="788" t="s">
        <v>1345</v>
      </c>
      <c r="N87" s="13" t="s">
        <v>1346</v>
      </c>
      <c r="O87" s="14">
        <f>+J87*L87*5</f>
        <v>17625000</v>
      </c>
      <c r="P87" s="14">
        <f>+L87*K87*5</f>
        <v>17625000</v>
      </c>
      <c r="Q87" s="28">
        <f t="shared" ref="Q87:U87" si="50">+$O$87*0.2</f>
        <v>3525000</v>
      </c>
      <c r="R87" s="28">
        <f t="shared" si="50"/>
        <v>3525000</v>
      </c>
      <c r="S87" s="28">
        <f t="shared" si="50"/>
        <v>3525000</v>
      </c>
      <c r="T87" s="28">
        <f t="shared" si="50"/>
        <v>3525000</v>
      </c>
      <c r="U87" s="28">
        <f t="shared" si="50"/>
        <v>3525000</v>
      </c>
      <c r="V87" s="30"/>
      <c r="W87" s="13" t="s">
        <v>148</v>
      </c>
      <c r="X87" s="13"/>
      <c r="Y87" s="13"/>
      <c r="Z87" s="13"/>
      <c r="AA87" s="13" t="str">
        <f>+B87</f>
        <v>RE</v>
      </c>
      <c r="AB87" s="13">
        <v>3</v>
      </c>
    </row>
    <row r="88" spans="1:28" ht="21.1" customHeight="1" x14ac:dyDescent="0.25">
      <c r="A88" s="825"/>
      <c r="B88" s="16"/>
      <c r="C88" s="1"/>
      <c r="D88" s="366"/>
      <c r="E88" s="366"/>
      <c r="F88" s="366"/>
      <c r="G88" s="366"/>
      <c r="H88" s="366"/>
      <c r="I88" s="366"/>
      <c r="J88" s="366"/>
      <c r="K88" s="366"/>
      <c r="L88" s="366"/>
      <c r="M88" s="264"/>
      <c r="N88" s="366"/>
      <c r="O88" s="29">
        <f>SUM(O80:O87)</f>
        <v>69367000</v>
      </c>
      <c r="P88" s="29">
        <f t="shared" ref="P88:U88" si="51">SUM(P80:P87)</f>
        <v>51597000</v>
      </c>
      <c r="Q88" s="29">
        <f t="shared" si="51"/>
        <v>13873400</v>
      </c>
      <c r="R88" s="29">
        <f t="shared" si="51"/>
        <v>13873400</v>
      </c>
      <c r="S88" s="29">
        <f t="shared" si="51"/>
        <v>13873400</v>
      </c>
      <c r="T88" s="29">
        <f t="shared" si="51"/>
        <v>13873400</v>
      </c>
      <c r="U88" s="29">
        <f t="shared" si="51"/>
        <v>13873400</v>
      </c>
      <c r="V88" s="366"/>
      <c r="W88" s="1"/>
      <c r="X88" s="1"/>
      <c r="Y88" s="1"/>
      <c r="Z88" s="1"/>
      <c r="AA88" s="1"/>
      <c r="AB88" s="1"/>
    </row>
    <row r="89" spans="1:28" ht="21.1" customHeight="1" x14ac:dyDescent="0.25">
      <c r="A89" s="825"/>
      <c r="B89" s="16"/>
      <c r="C89" s="1"/>
      <c r="D89" s="366"/>
      <c r="E89" s="366"/>
      <c r="F89" s="366"/>
      <c r="G89" s="366"/>
      <c r="H89" s="366"/>
      <c r="I89" s="366"/>
      <c r="J89" s="366"/>
      <c r="K89" s="366"/>
      <c r="L89" s="366"/>
      <c r="M89" s="264"/>
      <c r="N89" s="1"/>
      <c r="O89" s="1"/>
      <c r="P89" s="1"/>
      <c r="Q89" s="1"/>
      <c r="R89" s="1"/>
      <c r="S89" s="1"/>
      <c r="T89" s="1"/>
      <c r="U89" s="1"/>
      <c r="V89" s="366"/>
      <c r="W89" s="1"/>
      <c r="X89" s="1"/>
      <c r="Y89" s="1"/>
      <c r="Z89" s="1"/>
      <c r="AA89" s="1"/>
      <c r="AB89" s="1"/>
    </row>
    <row r="90" spans="1:28" ht="11.25" customHeight="1" x14ac:dyDescent="0.25">
      <c r="A90" s="825"/>
      <c r="B90" s="16"/>
      <c r="C90" s="1"/>
      <c r="D90" s="366"/>
      <c r="E90" s="366"/>
      <c r="F90" s="366"/>
      <c r="G90" s="366"/>
      <c r="H90" s="366"/>
      <c r="I90" s="366"/>
      <c r="J90" s="366"/>
      <c r="K90" s="366"/>
      <c r="L90" s="366"/>
      <c r="M90" s="264"/>
      <c r="N90" s="366"/>
      <c r="O90" s="366"/>
      <c r="P90" s="366"/>
      <c r="Q90" s="366"/>
      <c r="R90" s="366"/>
      <c r="S90" s="366"/>
      <c r="T90" s="366"/>
      <c r="U90" s="366"/>
      <c r="V90" s="366"/>
      <c r="W90" s="1"/>
      <c r="X90" s="1"/>
      <c r="Y90" s="1"/>
      <c r="Z90" s="1"/>
      <c r="AA90" s="1"/>
      <c r="AB90" s="1"/>
    </row>
    <row r="91" spans="1:28" ht="15.65" x14ac:dyDescent="0.25">
      <c r="A91" s="825"/>
      <c r="B91" s="16"/>
      <c r="C91" s="1459" t="s">
        <v>1170</v>
      </c>
      <c r="D91" s="1405"/>
      <c r="E91" s="1406"/>
      <c r="F91" s="816" t="s">
        <v>122</v>
      </c>
      <c r="G91" s="813"/>
      <c r="H91" s="813"/>
      <c r="I91" s="813"/>
      <c r="J91" s="813"/>
      <c r="K91" s="813"/>
      <c r="L91" s="813"/>
      <c r="M91" s="938"/>
      <c r="N91" s="813"/>
      <c r="O91" s="813"/>
      <c r="P91" s="813"/>
      <c r="Q91" s="813"/>
      <c r="R91" s="813"/>
      <c r="S91" s="813"/>
      <c r="T91" s="813"/>
      <c r="U91" s="813"/>
      <c r="V91" s="813"/>
      <c r="W91" s="813"/>
      <c r="X91" s="813"/>
      <c r="Y91" s="813"/>
      <c r="Z91" s="813"/>
      <c r="AA91" s="813"/>
      <c r="AB91" s="814"/>
    </row>
    <row r="92" spans="1:28" ht="27" customHeight="1" x14ac:dyDescent="0.25">
      <c r="A92" s="825"/>
      <c r="B92" s="16"/>
      <c r="C92" s="1459" t="s">
        <v>1171</v>
      </c>
      <c r="D92" s="1405"/>
      <c r="E92" s="1406"/>
      <c r="F92" s="1445" t="s">
        <v>1808</v>
      </c>
      <c r="G92" s="1446"/>
      <c r="H92" s="1446"/>
      <c r="I92" s="1446"/>
      <c r="J92" s="1446"/>
      <c r="K92" s="1446"/>
      <c r="L92" s="1446"/>
      <c r="M92" s="1446"/>
      <c r="N92" s="1446"/>
      <c r="O92" s="1446"/>
      <c r="P92" s="1446"/>
      <c r="Q92" s="1446"/>
      <c r="R92" s="1446"/>
      <c r="S92" s="1446"/>
      <c r="T92" s="1446"/>
      <c r="U92" s="1446"/>
      <c r="V92" s="1446"/>
      <c r="W92" s="1446"/>
      <c r="X92" s="1446"/>
      <c r="Y92" s="1446"/>
      <c r="Z92" s="1446"/>
      <c r="AA92" s="1446"/>
      <c r="AB92" s="1447"/>
    </row>
    <row r="93" spans="1:28" ht="13.6" customHeight="1" x14ac:dyDescent="0.25">
      <c r="A93" s="825"/>
      <c r="B93" s="16"/>
      <c r="C93" s="1459" t="s">
        <v>1173</v>
      </c>
      <c r="D93" s="1405"/>
      <c r="E93" s="1406"/>
      <c r="F93" s="1445" t="s">
        <v>1552</v>
      </c>
      <c r="G93" s="1446"/>
      <c r="H93" s="1446"/>
      <c r="I93" s="1446"/>
      <c r="J93" s="1446"/>
      <c r="K93" s="1446"/>
      <c r="L93" s="1446"/>
      <c r="M93" s="1446"/>
      <c r="N93" s="1446"/>
      <c r="O93" s="1446"/>
      <c r="P93" s="1446"/>
      <c r="Q93" s="1446"/>
      <c r="R93" s="1446"/>
      <c r="S93" s="1446"/>
      <c r="T93" s="1446"/>
      <c r="U93" s="1446"/>
      <c r="V93" s="1446"/>
      <c r="W93" s="1446"/>
      <c r="X93" s="1446"/>
      <c r="Y93" s="1446"/>
      <c r="Z93" s="1446"/>
      <c r="AA93" s="1446"/>
      <c r="AB93" s="1447"/>
    </row>
    <row r="94" spans="1:28" ht="14.95" customHeight="1" x14ac:dyDescent="0.25">
      <c r="A94" s="825"/>
      <c r="B94" s="16"/>
      <c r="C94" s="1459" t="s">
        <v>1175</v>
      </c>
      <c r="D94" s="1405"/>
      <c r="E94" s="1406"/>
      <c r="F94" s="1445" t="s">
        <v>1553</v>
      </c>
      <c r="G94" s="1446"/>
      <c r="H94" s="1446"/>
      <c r="I94" s="1446"/>
      <c r="J94" s="1446"/>
      <c r="K94" s="1446"/>
      <c r="L94" s="1446"/>
      <c r="M94" s="1446"/>
      <c r="N94" s="1446"/>
      <c r="O94" s="1446"/>
      <c r="P94" s="1446"/>
      <c r="Q94" s="1446"/>
      <c r="R94" s="1446"/>
      <c r="S94" s="1446"/>
      <c r="T94" s="1446"/>
      <c r="U94" s="1446"/>
      <c r="V94" s="1446"/>
      <c r="W94" s="1446"/>
      <c r="X94" s="1446"/>
      <c r="Y94" s="1446"/>
      <c r="Z94" s="1446"/>
      <c r="AA94" s="1446"/>
      <c r="AB94" s="1447"/>
    </row>
    <row r="95" spans="1:28" ht="32.950000000000003" customHeight="1" x14ac:dyDescent="0.25">
      <c r="A95" s="825"/>
      <c r="B95" s="16"/>
      <c r="C95" s="1459" t="s">
        <v>142</v>
      </c>
      <c r="D95" s="1405"/>
      <c r="E95" s="1406"/>
      <c r="F95" s="1445" t="s">
        <v>1748</v>
      </c>
      <c r="G95" s="1446"/>
      <c r="H95" s="1446"/>
      <c r="I95" s="1446"/>
      <c r="J95" s="1446"/>
      <c r="K95" s="1446"/>
      <c r="L95" s="1446"/>
      <c r="M95" s="1446"/>
      <c r="N95" s="1446"/>
      <c r="O95" s="1446"/>
      <c r="P95" s="1446"/>
      <c r="Q95" s="1446"/>
      <c r="R95" s="1446"/>
      <c r="S95" s="1446"/>
      <c r="T95" s="1446"/>
      <c r="U95" s="1446"/>
      <c r="V95" s="1446"/>
      <c r="W95" s="1446"/>
      <c r="X95" s="1446"/>
      <c r="Y95" s="1446"/>
      <c r="Z95" s="1446"/>
      <c r="AA95" s="1446"/>
      <c r="AB95" s="1447"/>
    </row>
    <row r="96" spans="1:28" ht="40.6" customHeight="1" x14ac:dyDescent="0.25">
      <c r="A96" s="825"/>
      <c r="B96" s="16"/>
      <c r="C96" s="1444" t="s">
        <v>1178</v>
      </c>
      <c r="D96" s="1405"/>
      <c r="E96" s="1406"/>
      <c r="F96" s="1445" t="s">
        <v>1350</v>
      </c>
      <c r="G96" s="1446"/>
      <c r="H96" s="1446"/>
      <c r="I96" s="1446"/>
      <c r="J96" s="1446"/>
      <c r="K96" s="1446"/>
      <c r="L96" s="1446"/>
      <c r="M96" s="1446"/>
      <c r="N96" s="1446"/>
      <c r="O96" s="1446"/>
      <c r="P96" s="1446"/>
      <c r="Q96" s="1446"/>
      <c r="R96" s="1446"/>
      <c r="S96" s="1446"/>
      <c r="T96" s="1446"/>
      <c r="U96" s="1446"/>
      <c r="V96" s="1446"/>
      <c r="W96" s="1446"/>
      <c r="X96" s="1446"/>
      <c r="Y96" s="1446"/>
      <c r="Z96" s="1446"/>
      <c r="AA96" s="1446"/>
      <c r="AB96" s="1447"/>
    </row>
    <row r="97" spans="1:28" ht="25.5" customHeight="1" x14ac:dyDescent="0.25">
      <c r="A97" s="825"/>
      <c r="B97" s="16"/>
      <c r="C97" s="1418" t="s">
        <v>964</v>
      </c>
      <c r="D97" s="1418" t="s">
        <v>965</v>
      </c>
      <c r="E97" s="1418" t="s">
        <v>468</v>
      </c>
      <c r="F97" s="1452" t="s">
        <v>470</v>
      </c>
      <c r="G97" s="1452" t="s">
        <v>966</v>
      </c>
      <c r="H97" s="1452" t="s">
        <v>967</v>
      </c>
      <c r="I97" s="1452" t="s">
        <v>1180</v>
      </c>
      <c r="J97" s="1452" t="s">
        <v>968</v>
      </c>
      <c r="K97" s="1452" t="s">
        <v>969</v>
      </c>
      <c r="L97" s="1453" t="s">
        <v>970</v>
      </c>
      <c r="M97" s="1486" t="s">
        <v>971</v>
      </c>
      <c r="N97" s="1453" t="s">
        <v>972</v>
      </c>
      <c r="O97" s="1456" t="s">
        <v>973</v>
      </c>
      <c r="P97" s="1457"/>
      <c r="Q97" s="1456" t="s">
        <v>974</v>
      </c>
      <c r="R97" s="1458"/>
      <c r="S97" s="1458"/>
      <c r="T97" s="1458"/>
      <c r="U97" s="1457"/>
      <c r="V97" s="1452" t="s">
        <v>975</v>
      </c>
      <c r="W97" s="1465" t="s">
        <v>976</v>
      </c>
      <c r="X97" s="1405"/>
      <c r="Y97" s="1405"/>
      <c r="Z97" s="1406"/>
      <c r="AA97" s="808"/>
      <c r="AB97" s="1452" t="s">
        <v>977</v>
      </c>
    </row>
    <row r="98" spans="1:28" ht="66.099999999999994" customHeight="1" x14ac:dyDescent="0.25">
      <c r="A98" s="825"/>
      <c r="B98" s="16"/>
      <c r="C98" s="1449"/>
      <c r="D98" s="1449"/>
      <c r="E98" s="1449"/>
      <c r="F98" s="1449"/>
      <c r="G98" s="1492"/>
      <c r="H98" s="1492"/>
      <c r="I98" s="1449"/>
      <c r="J98" s="1449"/>
      <c r="K98" s="1449"/>
      <c r="L98" s="1454"/>
      <c r="M98" s="1487"/>
      <c r="N98" s="1454"/>
      <c r="O98" s="940" t="s">
        <v>978</v>
      </c>
      <c r="P98" s="940" t="s">
        <v>979</v>
      </c>
      <c r="Q98" s="940" t="s">
        <v>980</v>
      </c>
      <c r="R98" s="940" t="s">
        <v>981</v>
      </c>
      <c r="S98" s="940" t="s">
        <v>982</v>
      </c>
      <c r="T98" s="940" t="s">
        <v>983</v>
      </c>
      <c r="U98" s="940" t="s">
        <v>984</v>
      </c>
      <c r="V98" s="1449"/>
      <c r="W98" s="864" t="s">
        <v>985</v>
      </c>
      <c r="X98" s="864" t="s">
        <v>986</v>
      </c>
      <c r="Y98" s="864" t="s">
        <v>987</v>
      </c>
      <c r="Z98" s="864" t="s">
        <v>988</v>
      </c>
      <c r="AA98" s="864"/>
      <c r="AB98" s="1420"/>
    </row>
    <row r="99" spans="1:28" ht="103.6" customHeight="1" x14ac:dyDescent="0.25">
      <c r="A99" s="333" t="s">
        <v>260</v>
      </c>
      <c r="B99" s="284" t="s">
        <v>254</v>
      </c>
      <c r="C99" s="12" t="s">
        <v>1809</v>
      </c>
      <c r="D99" s="786" t="s">
        <v>264</v>
      </c>
      <c r="E99" s="786" t="s">
        <v>1555</v>
      </c>
      <c r="F99" s="183" t="s">
        <v>1022</v>
      </c>
      <c r="G99" s="13" t="str">
        <f>+'8. BASE  CONSOLIDADA'!O180</f>
        <v>FINANCIAMIENTO</v>
      </c>
      <c r="H99" s="13" t="str">
        <f>+'8. BASE  CONSOLIDADA'!P180</f>
        <v>C6</v>
      </c>
      <c r="I99" s="13"/>
      <c r="J99" s="13">
        <v>4</v>
      </c>
      <c r="K99" s="13">
        <v>4</v>
      </c>
      <c r="L99" s="26">
        <v>150000</v>
      </c>
      <c r="M99" s="788" t="s">
        <v>1353</v>
      </c>
      <c r="N99" s="13" t="s">
        <v>1354</v>
      </c>
      <c r="O99" s="14">
        <f>+J99*L99</f>
        <v>600000</v>
      </c>
      <c r="P99" s="14">
        <f>+L99*K99</f>
        <v>600000</v>
      </c>
      <c r="Q99" s="14">
        <f t="shared" ref="Q99:U99" si="52">+$O$99*0.2</f>
        <v>120000</v>
      </c>
      <c r="R99" s="14">
        <f t="shared" si="52"/>
        <v>120000</v>
      </c>
      <c r="S99" s="14">
        <f t="shared" si="52"/>
        <v>120000</v>
      </c>
      <c r="T99" s="14">
        <f t="shared" si="52"/>
        <v>120000</v>
      </c>
      <c r="U99" s="14">
        <f t="shared" si="52"/>
        <v>120000</v>
      </c>
      <c r="V99" s="30"/>
      <c r="W99" s="13" t="s">
        <v>148</v>
      </c>
      <c r="X99" s="13"/>
      <c r="Y99" s="13"/>
      <c r="Z99" s="10"/>
      <c r="AA99" s="10" t="str">
        <f t="shared" ref="AA99:AA102" si="53">+B99</f>
        <v>RE</v>
      </c>
      <c r="AB99" s="13">
        <v>3</v>
      </c>
    </row>
    <row r="100" spans="1:28" ht="111.1" customHeight="1" x14ac:dyDescent="0.25">
      <c r="A100" s="337" t="s">
        <v>259</v>
      </c>
      <c r="B100" s="285" t="s">
        <v>254</v>
      </c>
      <c r="C100" s="12" t="s">
        <v>1810</v>
      </c>
      <c r="D100" s="786" t="s">
        <v>271</v>
      </c>
      <c r="E100" s="373" t="s">
        <v>1356</v>
      </c>
      <c r="F100" s="13" t="s">
        <v>994</v>
      </c>
      <c r="G100" s="13" t="str">
        <f>+'8. BASE  CONSOLIDADA'!O181</f>
        <v>ASISTENCIA TÉCNICA</v>
      </c>
      <c r="H100" s="13" t="str">
        <f>+'8. BASE  CONSOLIDADA'!P181</f>
        <v>C1</v>
      </c>
      <c r="I100" s="13"/>
      <c r="J100" s="13">
        <v>2</v>
      </c>
      <c r="K100" s="13">
        <v>2</v>
      </c>
      <c r="L100" s="26">
        <v>4000</v>
      </c>
      <c r="M100" s="788" t="s">
        <v>1357</v>
      </c>
      <c r="N100" s="13" t="s">
        <v>1354</v>
      </c>
      <c r="O100" s="14">
        <f>+J100*L100*60</f>
        <v>480000</v>
      </c>
      <c r="P100" s="14">
        <f>+L100*K100*60</f>
        <v>480000</v>
      </c>
      <c r="Q100" s="14">
        <f t="shared" ref="Q100:U100" si="54">+$O$100*0.2</f>
        <v>96000</v>
      </c>
      <c r="R100" s="14">
        <f t="shared" si="54"/>
        <v>96000</v>
      </c>
      <c r="S100" s="14">
        <f t="shared" si="54"/>
        <v>96000</v>
      </c>
      <c r="T100" s="14">
        <f t="shared" si="54"/>
        <v>96000</v>
      </c>
      <c r="U100" s="14">
        <f t="shared" si="54"/>
        <v>96000</v>
      </c>
      <c r="V100" s="30"/>
      <c r="W100" s="13"/>
      <c r="X100" s="13"/>
      <c r="Y100" s="13" t="s">
        <v>148</v>
      </c>
      <c r="Z100" s="10"/>
      <c r="AA100" s="10" t="str">
        <f t="shared" si="53"/>
        <v>RE</v>
      </c>
      <c r="AB100" s="13">
        <v>3</v>
      </c>
    </row>
    <row r="101" spans="1:28" ht="86.95" customHeight="1" x14ac:dyDescent="0.25">
      <c r="A101" s="333" t="s">
        <v>260</v>
      </c>
      <c r="B101" s="284" t="s">
        <v>254</v>
      </c>
      <c r="C101" s="12" t="s">
        <v>1811</v>
      </c>
      <c r="D101" s="263" t="s">
        <v>177</v>
      </c>
      <c r="E101" s="373" t="s">
        <v>1359</v>
      </c>
      <c r="F101" s="13" t="s">
        <v>1320</v>
      </c>
      <c r="G101" s="13" t="str">
        <f>+'8. BASE  CONSOLIDADA'!O182</f>
        <v>INNOVACIÓN</v>
      </c>
      <c r="H101" s="13" t="str">
        <f>+'8. BASE  CONSOLIDADA'!P182</f>
        <v>C8</v>
      </c>
      <c r="I101" s="13"/>
      <c r="J101" s="13">
        <v>5</v>
      </c>
      <c r="K101" s="13">
        <v>5</v>
      </c>
      <c r="L101" s="76">
        <v>150000</v>
      </c>
      <c r="M101" s="788" t="s">
        <v>1360</v>
      </c>
      <c r="N101" s="13" t="s">
        <v>1361</v>
      </c>
      <c r="O101" s="14">
        <f>+J101*L101</f>
        <v>750000</v>
      </c>
      <c r="P101" s="14">
        <f>+L101*K101</f>
        <v>750000</v>
      </c>
      <c r="Q101" s="14">
        <f t="shared" ref="Q101:U101" si="55">+$O$101*0.2</f>
        <v>150000</v>
      </c>
      <c r="R101" s="14">
        <f t="shared" si="55"/>
        <v>150000</v>
      </c>
      <c r="S101" s="14">
        <f t="shared" si="55"/>
        <v>150000</v>
      </c>
      <c r="T101" s="14">
        <f t="shared" si="55"/>
        <v>150000</v>
      </c>
      <c r="U101" s="14">
        <f t="shared" si="55"/>
        <v>150000</v>
      </c>
      <c r="V101" s="30"/>
      <c r="W101" s="13" t="s">
        <v>148</v>
      </c>
      <c r="X101" s="13"/>
      <c r="Y101" s="13"/>
      <c r="Z101" s="10"/>
      <c r="AA101" s="10" t="str">
        <f t="shared" si="53"/>
        <v>RE</v>
      </c>
      <c r="AB101" s="13">
        <v>3</v>
      </c>
    </row>
    <row r="102" spans="1:28" ht="71.349999999999994" customHeight="1" x14ac:dyDescent="0.25">
      <c r="A102" s="333" t="s">
        <v>260</v>
      </c>
      <c r="B102" s="284" t="s">
        <v>254</v>
      </c>
      <c r="C102" s="12" t="s">
        <v>1812</v>
      </c>
      <c r="D102" s="786" t="s">
        <v>274</v>
      </c>
      <c r="E102" s="373" t="s">
        <v>1363</v>
      </c>
      <c r="F102" s="13" t="s">
        <v>1559</v>
      </c>
      <c r="G102" s="13" t="str">
        <f>+'8. BASE  CONSOLIDADA'!O183</f>
        <v>PROMOCIÓN ACTIVIDADES ECONÓMICOS</v>
      </c>
      <c r="H102" s="13" t="str">
        <f>+'8. BASE  CONSOLIDADA'!P183</f>
        <v>C11</v>
      </c>
      <c r="I102" s="13"/>
      <c r="J102" s="13">
        <v>2</v>
      </c>
      <c r="K102" s="13">
        <v>2</v>
      </c>
      <c r="L102" s="26">
        <v>40000</v>
      </c>
      <c r="M102" s="788" t="s">
        <v>1365</v>
      </c>
      <c r="N102" s="13" t="s">
        <v>1366</v>
      </c>
      <c r="O102" s="14">
        <f>+J102*L102*5</f>
        <v>400000</v>
      </c>
      <c r="P102" s="14">
        <f>+L102*K102*5</f>
        <v>400000</v>
      </c>
      <c r="Q102" s="14">
        <f t="shared" ref="Q102:U102" si="56">+$O$102*0.2</f>
        <v>80000</v>
      </c>
      <c r="R102" s="14">
        <f t="shared" si="56"/>
        <v>80000</v>
      </c>
      <c r="S102" s="14">
        <f t="shared" si="56"/>
        <v>80000</v>
      </c>
      <c r="T102" s="14">
        <f t="shared" si="56"/>
        <v>80000</v>
      </c>
      <c r="U102" s="14">
        <f t="shared" si="56"/>
        <v>80000</v>
      </c>
      <c r="V102" s="30"/>
      <c r="W102" s="13"/>
      <c r="X102" s="13"/>
      <c r="Y102" s="13" t="s">
        <v>148</v>
      </c>
      <c r="Z102" s="10"/>
      <c r="AA102" s="10" t="str">
        <f t="shared" si="53"/>
        <v>RE</v>
      </c>
      <c r="AB102" s="13">
        <v>3</v>
      </c>
    </row>
    <row r="103" spans="1:28" ht="21.9" hidden="1" customHeight="1" x14ac:dyDescent="0.25">
      <c r="A103" s="825"/>
      <c r="B103" s="286"/>
      <c r="C103" s="12"/>
      <c r="D103" s="253"/>
      <c r="E103" s="266"/>
      <c r="F103" s="13"/>
      <c r="G103" s="13"/>
      <c r="H103" s="13"/>
      <c r="I103" s="13"/>
      <c r="J103" s="13"/>
      <c r="K103" s="13"/>
      <c r="L103" s="283"/>
      <c r="M103" s="788"/>
      <c r="N103" s="13"/>
      <c r="O103" s="14"/>
      <c r="P103" s="14"/>
      <c r="Q103" s="14"/>
      <c r="R103" s="14"/>
      <c r="S103" s="14"/>
      <c r="T103" s="14"/>
      <c r="U103" s="14"/>
      <c r="V103" s="30"/>
      <c r="W103" s="13"/>
      <c r="X103" s="13"/>
      <c r="Y103" s="13"/>
      <c r="Z103" s="10"/>
      <c r="AA103" s="10"/>
      <c r="AB103" s="13"/>
    </row>
    <row r="104" spans="1:28" ht="20.25" customHeight="1" x14ac:dyDescent="0.25">
      <c r="A104" s="825"/>
      <c r="B104" s="16"/>
      <c r="C104" s="1"/>
      <c r="D104" s="366"/>
      <c r="E104" s="366"/>
      <c r="F104" s="366"/>
      <c r="G104" s="366"/>
      <c r="H104" s="366"/>
      <c r="I104" s="366"/>
      <c r="J104" s="366"/>
      <c r="K104" s="366"/>
      <c r="L104" s="366"/>
      <c r="M104" s="264"/>
      <c r="N104" s="366"/>
      <c r="O104" s="29">
        <f>SUM(O99:O102)</f>
        <v>2230000</v>
      </c>
      <c r="P104" s="29">
        <f t="shared" ref="P104:U104" si="57">SUM(P99:P102)</f>
        <v>2230000</v>
      </c>
      <c r="Q104" s="29">
        <f t="shared" si="57"/>
        <v>446000</v>
      </c>
      <c r="R104" s="29">
        <f t="shared" si="57"/>
        <v>446000</v>
      </c>
      <c r="S104" s="29">
        <f t="shared" si="57"/>
        <v>446000</v>
      </c>
      <c r="T104" s="29">
        <f t="shared" si="57"/>
        <v>446000</v>
      </c>
      <c r="U104" s="29">
        <f t="shared" si="57"/>
        <v>446000</v>
      </c>
      <c r="V104" s="366"/>
      <c r="W104" s="1"/>
      <c r="X104" s="1"/>
      <c r="Y104" s="1"/>
      <c r="Z104" s="1"/>
      <c r="AA104" s="1"/>
      <c r="AB104" s="1"/>
    </row>
    <row r="105" spans="1:28" ht="20.25" customHeight="1" x14ac:dyDescent="0.25">
      <c r="A105" s="825"/>
      <c r="B105" s="16"/>
      <c r="C105" s="1"/>
      <c r="D105" s="366"/>
      <c r="E105" s="366"/>
      <c r="F105" s="366"/>
      <c r="G105" s="366"/>
      <c r="H105" s="366"/>
      <c r="I105" s="366"/>
      <c r="J105" s="366"/>
      <c r="K105" s="366"/>
      <c r="L105" s="366"/>
      <c r="M105" s="264"/>
      <c r="N105" s="1"/>
      <c r="O105" s="1"/>
      <c r="P105" s="1"/>
      <c r="Q105" s="1"/>
      <c r="R105" s="1"/>
      <c r="S105" s="1"/>
      <c r="T105" s="1"/>
      <c r="U105" s="1"/>
      <c r="V105" s="366"/>
      <c r="W105" s="1"/>
      <c r="X105" s="1"/>
      <c r="Y105" s="1"/>
      <c r="Z105" s="1"/>
      <c r="AA105" s="1"/>
      <c r="AB105" s="1"/>
    </row>
    <row r="106" spans="1:28" ht="11.25" customHeight="1" x14ac:dyDescent="0.25">
      <c r="A106" s="825"/>
      <c r="B106" s="16"/>
      <c r="C106" s="1"/>
      <c r="D106" s="366"/>
      <c r="E106" s="366"/>
      <c r="F106" s="366"/>
      <c r="G106" s="366"/>
      <c r="H106" s="366"/>
      <c r="I106" s="366"/>
      <c r="J106" s="366"/>
      <c r="K106" s="366"/>
      <c r="L106" s="366"/>
      <c r="M106" s="264"/>
      <c r="N106" s="366"/>
      <c r="O106" s="366"/>
      <c r="P106" s="366"/>
      <c r="Q106" s="366"/>
      <c r="R106" s="366"/>
      <c r="S106" s="366"/>
      <c r="T106" s="366"/>
      <c r="U106" s="366"/>
      <c r="V106" s="366"/>
      <c r="W106" s="1"/>
      <c r="X106" s="1"/>
      <c r="Y106" s="1"/>
      <c r="Z106" s="1"/>
      <c r="AA106" s="1"/>
      <c r="AB106" s="1"/>
    </row>
    <row r="107" spans="1:28" ht="14.95" customHeight="1" x14ac:dyDescent="0.25">
      <c r="A107" s="825"/>
      <c r="B107" s="16"/>
      <c r="C107" s="1459" t="s">
        <v>1170</v>
      </c>
      <c r="D107" s="1405"/>
      <c r="E107" s="1406"/>
      <c r="F107" s="816" t="s">
        <v>135</v>
      </c>
      <c r="G107" s="813"/>
      <c r="H107" s="813"/>
      <c r="I107" s="813"/>
      <c r="J107" s="813"/>
      <c r="K107" s="813"/>
      <c r="L107" s="813"/>
      <c r="M107" s="938"/>
      <c r="N107" s="813"/>
      <c r="O107" s="813"/>
      <c r="P107" s="813"/>
      <c r="Q107" s="813"/>
      <c r="R107" s="813"/>
      <c r="S107" s="813"/>
      <c r="T107" s="813"/>
      <c r="U107" s="813"/>
      <c r="V107" s="813"/>
      <c r="W107" s="813"/>
      <c r="X107" s="813"/>
      <c r="Y107" s="813"/>
      <c r="Z107" s="813"/>
      <c r="AA107" s="813"/>
      <c r="AB107" s="814"/>
    </row>
    <row r="108" spans="1:28" ht="50.3" customHeight="1" x14ac:dyDescent="0.25">
      <c r="A108" s="825"/>
      <c r="B108" s="16"/>
      <c r="C108" s="1459" t="s">
        <v>1171</v>
      </c>
      <c r="D108" s="1405"/>
      <c r="E108" s="1406"/>
      <c r="F108" s="1445" t="s">
        <v>1813</v>
      </c>
      <c r="G108" s="1446"/>
      <c r="H108" s="1446"/>
      <c r="I108" s="1446"/>
      <c r="J108" s="1446"/>
      <c r="K108" s="1446"/>
      <c r="L108" s="1446"/>
      <c r="M108" s="1446"/>
      <c r="N108" s="1446"/>
      <c r="O108" s="1446"/>
      <c r="P108" s="1446"/>
      <c r="Q108" s="1446"/>
      <c r="R108" s="1446"/>
      <c r="S108" s="1446"/>
      <c r="T108" s="1446"/>
      <c r="U108" s="1446"/>
      <c r="V108" s="1446"/>
      <c r="W108" s="1446"/>
      <c r="X108" s="1446"/>
      <c r="Y108" s="1446"/>
      <c r="Z108" s="1446"/>
      <c r="AA108" s="1446"/>
      <c r="AB108" s="1447"/>
    </row>
    <row r="109" spans="1:28" ht="18.7" customHeight="1" x14ac:dyDescent="0.25">
      <c r="A109" s="825"/>
      <c r="B109" s="16"/>
      <c r="C109" s="1459" t="s">
        <v>1173</v>
      </c>
      <c r="D109" s="1405"/>
      <c r="E109" s="1406"/>
      <c r="F109" s="1445" t="s">
        <v>1814</v>
      </c>
      <c r="G109" s="1446"/>
      <c r="H109" s="1446"/>
      <c r="I109" s="1446"/>
      <c r="J109" s="1446"/>
      <c r="K109" s="1446"/>
      <c r="L109" s="1446"/>
      <c r="M109" s="1446"/>
      <c r="N109" s="1446"/>
      <c r="O109" s="1446"/>
      <c r="P109" s="1446"/>
      <c r="Q109" s="1446"/>
      <c r="R109" s="1446"/>
      <c r="S109" s="1446"/>
      <c r="T109" s="1446"/>
      <c r="U109" s="1446"/>
      <c r="V109" s="1446"/>
      <c r="W109" s="1446"/>
      <c r="X109" s="1446"/>
      <c r="Y109" s="1446"/>
      <c r="Z109" s="1446"/>
      <c r="AA109" s="1446"/>
      <c r="AB109" s="1447"/>
    </row>
    <row r="110" spans="1:28" ht="27" customHeight="1" x14ac:dyDescent="0.25">
      <c r="A110" s="825"/>
      <c r="B110" s="16"/>
      <c r="C110" s="1459" t="s">
        <v>1175</v>
      </c>
      <c r="D110" s="1405"/>
      <c r="E110" s="1406"/>
      <c r="F110" s="1445" t="s">
        <v>1570</v>
      </c>
      <c r="G110" s="1446"/>
      <c r="H110" s="1446"/>
      <c r="I110" s="1446"/>
      <c r="J110" s="1446"/>
      <c r="K110" s="1446"/>
      <c r="L110" s="1446"/>
      <c r="M110" s="1446"/>
      <c r="N110" s="1446"/>
      <c r="O110" s="1446"/>
      <c r="P110" s="1446"/>
      <c r="Q110" s="1446"/>
      <c r="R110" s="1446"/>
      <c r="S110" s="1446"/>
      <c r="T110" s="1446"/>
      <c r="U110" s="1446"/>
      <c r="V110" s="1446"/>
      <c r="W110" s="1446"/>
      <c r="X110" s="1446"/>
      <c r="Y110" s="1446"/>
      <c r="Z110" s="1446"/>
      <c r="AA110" s="1446"/>
      <c r="AB110" s="1447"/>
    </row>
    <row r="111" spans="1:28" ht="19.55" customHeight="1" x14ac:dyDescent="0.25">
      <c r="A111" s="825"/>
      <c r="B111" s="16"/>
      <c r="C111" s="1459" t="s">
        <v>142</v>
      </c>
      <c r="D111" s="1405"/>
      <c r="E111" s="1406"/>
      <c r="F111" s="1445" t="s">
        <v>1748</v>
      </c>
      <c r="G111" s="1446"/>
      <c r="H111" s="1446"/>
      <c r="I111" s="1446"/>
      <c r="J111" s="1446"/>
      <c r="K111" s="1446"/>
      <c r="L111" s="1446"/>
      <c r="M111" s="1446"/>
      <c r="N111" s="1446"/>
      <c r="O111" s="1446"/>
      <c r="P111" s="1446"/>
      <c r="Q111" s="1446"/>
      <c r="R111" s="1446"/>
      <c r="S111" s="1446"/>
      <c r="T111" s="1446"/>
      <c r="U111" s="1446"/>
      <c r="V111" s="1446"/>
      <c r="W111" s="1446"/>
      <c r="X111" s="1446"/>
      <c r="Y111" s="1446"/>
      <c r="Z111" s="1446"/>
      <c r="AA111" s="1446"/>
      <c r="AB111" s="1447"/>
    </row>
    <row r="112" spans="1:28" ht="27" customHeight="1" x14ac:dyDescent="0.25">
      <c r="A112" s="825"/>
      <c r="B112" s="16"/>
      <c r="C112" s="1444" t="s">
        <v>1178</v>
      </c>
      <c r="D112" s="1405"/>
      <c r="E112" s="1406"/>
      <c r="F112" s="1445" t="s">
        <v>1350</v>
      </c>
      <c r="G112" s="1446"/>
      <c r="H112" s="1446"/>
      <c r="I112" s="1446"/>
      <c r="J112" s="1446"/>
      <c r="K112" s="1446"/>
      <c r="L112" s="1446"/>
      <c r="M112" s="1446"/>
      <c r="N112" s="1446"/>
      <c r="O112" s="1446"/>
      <c r="P112" s="1446"/>
      <c r="Q112" s="1446"/>
      <c r="R112" s="1446"/>
      <c r="S112" s="1446"/>
      <c r="T112" s="1446"/>
      <c r="U112" s="1446"/>
      <c r="V112" s="1446"/>
      <c r="W112" s="1446"/>
      <c r="X112" s="1446"/>
      <c r="Y112" s="1446"/>
      <c r="Z112" s="1446"/>
      <c r="AA112" s="1446"/>
      <c r="AB112" s="1447"/>
    </row>
    <row r="113" spans="1:28" ht="25.5" customHeight="1" x14ac:dyDescent="0.25">
      <c r="A113" s="825"/>
      <c r="B113" s="16"/>
      <c r="C113" s="1474" t="s">
        <v>964</v>
      </c>
      <c r="D113" s="1418" t="s">
        <v>965</v>
      </c>
      <c r="E113" s="1418" t="s">
        <v>468</v>
      </c>
      <c r="F113" s="1452" t="s">
        <v>470</v>
      </c>
      <c r="G113" s="1452" t="s">
        <v>966</v>
      </c>
      <c r="H113" s="1452" t="s">
        <v>967</v>
      </c>
      <c r="I113" s="1452" t="s">
        <v>1180</v>
      </c>
      <c r="J113" s="1452" t="s">
        <v>968</v>
      </c>
      <c r="K113" s="1452" t="s">
        <v>969</v>
      </c>
      <c r="L113" s="1453" t="s">
        <v>970</v>
      </c>
      <c r="M113" s="1486" t="s">
        <v>971</v>
      </c>
      <c r="N113" s="1453" t="s">
        <v>972</v>
      </c>
      <c r="O113" s="1456" t="s">
        <v>973</v>
      </c>
      <c r="P113" s="1457"/>
      <c r="Q113" s="1456" t="s">
        <v>974</v>
      </c>
      <c r="R113" s="1458"/>
      <c r="S113" s="1458"/>
      <c r="T113" s="1458"/>
      <c r="U113" s="1457"/>
      <c r="V113" s="1452" t="s">
        <v>975</v>
      </c>
      <c r="W113" s="1465" t="s">
        <v>976</v>
      </c>
      <c r="X113" s="1405"/>
      <c r="Y113" s="1405"/>
      <c r="Z113" s="1406"/>
      <c r="AA113" s="808"/>
      <c r="AB113" s="1452" t="s">
        <v>977</v>
      </c>
    </row>
    <row r="114" spans="1:28" ht="84.1" customHeight="1" x14ac:dyDescent="0.25">
      <c r="A114" s="825"/>
      <c r="B114" s="16"/>
      <c r="C114" s="1467"/>
      <c r="D114" s="1449"/>
      <c r="E114" s="1449"/>
      <c r="F114" s="1449"/>
      <c r="G114" s="1492"/>
      <c r="H114" s="1492"/>
      <c r="I114" s="1449"/>
      <c r="J114" s="1449"/>
      <c r="K114" s="1449"/>
      <c r="L114" s="1454"/>
      <c r="M114" s="1487"/>
      <c r="N114" s="1454"/>
      <c r="O114" s="940" t="s">
        <v>978</v>
      </c>
      <c r="P114" s="940" t="s">
        <v>979</v>
      </c>
      <c r="Q114" s="940" t="s">
        <v>980</v>
      </c>
      <c r="R114" s="940" t="s">
        <v>981</v>
      </c>
      <c r="S114" s="940" t="s">
        <v>982</v>
      </c>
      <c r="T114" s="940" t="s">
        <v>983</v>
      </c>
      <c r="U114" s="940" t="s">
        <v>984</v>
      </c>
      <c r="V114" s="1449"/>
      <c r="W114" s="808" t="s">
        <v>985</v>
      </c>
      <c r="X114" s="808" t="s">
        <v>986</v>
      </c>
      <c r="Y114" s="808" t="s">
        <v>987</v>
      </c>
      <c r="Z114" s="808" t="s">
        <v>988</v>
      </c>
      <c r="AA114" s="808"/>
      <c r="AB114" s="1449"/>
    </row>
    <row r="115" spans="1:28" ht="37.549999999999997" customHeight="1" x14ac:dyDescent="0.25">
      <c r="A115" s="335" t="s">
        <v>256</v>
      </c>
      <c r="B115" s="286" t="s">
        <v>254</v>
      </c>
      <c r="C115" s="12" t="s">
        <v>1815</v>
      </c>
      <c r="D115" s="786" t="s">
        <v>268</v>
      </c>
      <c r="E115" s="869" t="s">
        <v>1390</v>
      </c>
      <c r="F115" s="13" t="s">
        <v>1391</v>
      </c>
      <c r="G115" s="13" t="str">
        <f>+'8. BASE  CONSOLIDADA'!O184</f>
        <v>CONTROL Y VIGILANCIA</v>
      </c>
      <c r="H115" s="13" t="str">
        <f>+'8. BASE  CONSOLIDADA'!P184</f>
        <v>C4</v>
      </c>
      <c r="I115" s="13"/>
      <c r="J115" s="13">
        <v>5</v>
      </c>
      <c r="K115" s="13">
        <v>5</v>
      </c>
      <c r="L115" s="254">
        <v>2000</v>
      </c>
      <c r="M115" s="788" t="s">
        <v>1392</v>
      </c>
      <c r="N115" s="13" t="s">
        <v>1575</v>
      </c>
      <c r="O115" s="14">
        <f>+J115*L115*60</f>
        <v>600000</v>
      </c>
      <c r="P115" s="14">
        <f>+L115*K115*60</f>
        <v>600000</v>
      </c>
      <c r="Q115" s="14">
        <f>+O115*0.2</f>
        <v>120000</v>
      </c>
      <c r="R115" s="14">
        <f>+Q115</f>
        <v>120000</v>
      </c>
      <c r="S115" s="14">
        <f t="shared" ref="S115:U115" si="58">+R115</f>
        <v>120000</v>
      </c>
      <c r="T115" s="14">
        <f t="shared" si="58"/>
        <v>120000</v>
      </c>
      <c r="U115" s="14">
        <f t="shared" si="58"/>
        <v>120000</v>
      </c>
      <c r="V115" s="33"/>
      <c r="W115" s="183"/>
      <c r="X115" s="183" t="s">
        <v>148</v>
      </c>
      <c r="Y115" s="183"/>
      <c r="Z115" s="183"/>
      <c r="AA115" s="183" t="str">
        <f t="shared" ref="AA115:AA116" si="59">+B115</f>
        <v>RE</v>
      </c>
      <c r="AB115" s="183">
        <v>3</v>
      </c>
    </row>
    <row r="116" spans="1:28" ht="58.6" customHeight="1" x14ac:dyDescent="0.25">
      <c r="A116" s="335" t="s">
        <v>256</v>
      </c>
      <c r="B116" s="286" t="s">
        <v>254</v>
      </c>
      <c r="C116" s="12" t="s">
        <v>1816</v>
      </c>
      <c r="D116" s="786" t="s">
        <v>270</v>
      </c>
      <c r="E116" s="786" t="s">
        <v>1578</v>
      </c>
      <c r="F116" s="13" t="s">
        <v>1386</v>
      </c>
      <c r="G116" s="13" t="str">
        <f>+'8. BASE  CONSOLIDADA'!O185</f>
        <v>CONTROL Y VIGILANCIA</v>
      </c>
      <c r="H116" s="13" t="str">
        <f>+'8. BASE  CONSOLIDADA'!P185</f>
        <v>C4</v>
      </c>
      <c r="I116" s="13"/>
      <c r="J116" s="13">
        <f t="shared" ref="J116:K116" si="60">3*3*5</f>
        <v>45</v>
      </c>
      <c r="K116" s="13">
        <f t="shared" si="60"/>
        <v>45</v>
      </c>
      <c r="L116" s="254">
        <v>8000</v>
      </c>
      <c r="M116" s="786" t="s">
        <v>1387</v>
      </c>
      <c r="N116" s="13" t="s">
        <v>1575</v>
      </c>
      <c r="O116" s="14">
        <f>+J116*L116*5</f>
        <v>1800000</v>
      </c>
      <c r="P116" s="14">
        <f>+L116*K116*5</f>
        <v>1800000</v>
      </c>
      <c r="Q116" s="14">
        <f t="shared" ref="Q116:U116" si="61">+$O$116*0.2</f>
        <v>360000</v>
      </c>
      <c r="R116" s="14">
        <f t="shared" si="61"/>
        <v>360000</v>
      </c>
      <c r="S116" s="14">
        <f t="shared" si="61"/>
        <v>360000</v>
      </c>
      <c r="T116" s="14">
        <f t="shared" si="61"/>
        <v>360000</v>
      </c>
      <c r="U116" s="14">
        <f t="shared" si="61"/>
        <v>360000</v>
      </c>
      <c r="V116" s="30"/>
      <c r="W116" s="183"/>
      <c r="X116" s="183" t="s">
        <v>148</v>
      </c>
      <c r="Y116" s="183"/>
      <c r="Z116" s="183"/>
      <c r="AA116" s="183" t="str">
        <f t="shared" si="59"/>
        <v>RE</v>
      </c>
      <c r="AB116" s="183">
        <v>3</v>
      </c>
    </row>
    <row r="117" spans="1:28" ht="48.1" customHeight="1" x14ac:dyDescent="0.25">
      <c r="A117" s="337" t="s">
        <v>259</v>
      </c>
      <c r="B117" s="285"/>
      <c r="C117" s="12" t="s">
        <v>1817</v>
      </c>
      <c r="D117" s="786" t="s">
        <v>280</v>
      </c>
      <c r="E117" s="786" t="s">
        <v>1586</v>
      </c>
      <c r="F117" s="13" t="s">
        <v>1394</v>
      </c>
      <c r="G117" s="13" t="str">
        <f>+'8. BASE  CONSOLIDADA'!O186</f>
        <v>PLANES DE VIDA</v>
      </c>
      <c r="H117" s="13" t="str">
        <f>+'8. BASE  CONSOLIDADA'!P186</f>
        <v>C10</v>
      </c>
      <c r="I117" s="13"/>
      <c r="J117" s="13">
        <f>3*3</f>
        <v>9</v>
      </c>
      <c r="K117" s="13">
        <f>3*5</f>
        <v>15</v>
      </c>
      <c r="L117" s="254">
        <v>10000</v>
      </c>
      <c r="M117" s="786" t="s">
        <v>1395</v>
      </c>
      <c r="N117" s="13" t="s">
        <v>1584</v>
      </c>
      <c r="O117" s="14">
        <f>+J117*L117</f>
        <v>90000</v>
      </c>
      <c r="P117" s="14">
        <f>+L117*K117</f>
        <v>150000</v>
      </c>
      <c r="Q117" s="14">
        <f t="shared" ref="Q117:U117" si="62">+$O$117*0.2</f>
        <v>18000</v>
      </c>
      <c r="R117" s="14">
        <f t="shared" si="62"/>
        <v>18000</v>
      </c>
      <c r="S117" s="14">
        <f t="shared" si="62"/>
        <v>18000</v>
      </c>
      <c r="T117" s="14">
        <f t="shared" si="62"/>
        <v>18000</v>
      </c>
      <c r="U117" s="14">
        <f t="shared" si="62"/>
        <v>18000</v>
      </c>
      <c r="V117" s="30"/>
      <c r="W117" s="183"/>
      <c r="X117" s="183" t="s">
        <v>148</v>
      </c>
      <c r="Y117" s="183"/>
      <c r="Z117" s="183"/>
      <c r="AA117" s="183"/>
      <c r="AB117" s="183">
        <v>3</v>
      </c>
    </row>
    <row r="118" spans="1:28" ht="41.95" customHeight="1" x14ac:dyDescent="0.25">
      <c r="A118" s="333" t="s">
        <v>260</v>
      </c>
      <c r="B118" s="284"/>
      <c r="C118" s="12" t="s">
        <v>1818</v>
      </c>
      <c r="D118" s="786" t="s">
        <v>287</v>
      </c>
      <c r="E118" s="786" t="s">
        <v>1583</v>
      </c>
      <c r="F118" s="13" t="s">
        <v>1398</v>
      </c>
      <c r="G118" s="13" t="str">
        <f>+'8. BASE  CONSOLIDADA'!O187</f>
        <v>PROMOCIÓN ACTIVIDADES ECONÓMICOS</v>
      </c>
      <c r="H118" s="13" t="str">
        <f>+'8. BASE  CONSOLIDADA'!P187</f>
        <v>C11</v>
      </c>
      <c r="I118" s="13"/>
      <c r="J118" s="13">
        <f t="shared" ref="J118:K118" si="63">3*4</f>
        <v>12</v>
      </c>
      <c r="K118" s="13">
        <f t="shared" si="63"/>
        <v>12</v>
      </c>
      <c r="L118" s="254">
        <v>4000</v>
      </c>
      <c r="M118" s="786" t="s">
        <v>1399</v>
      </c>
      <c r="N118" s="13" t="s">
        <v>1584</v>
      </c>
      <c r="O118" s="14">
        <f t="shared" ref="O118:O119" si="64">+J118*L118*5</f>
        <v>240000</v>
      </c>
      <c r="P118" s="14">
        <f t="shared" ref="P118:P119" si="65">+L118*K118*5</f>
        <v>240000</v>
      </c>
      <c r="Q118" s="14">
        <f t="shared" ref="Q118:U118" si="66">+$O$118*0.2</f>
        <v>48000</v>
      </c>
      <c r="R118" s="14">
        <f t="shared" si="66"/>
        <v>48000</v>
      </c>
      <c r="S118" s="14">
        <f t="shared" si="66"/>
        <v>48000</v>
      </c>
      <c r="T118" s="14">
        <f t="shared" si="66"/>
        <v>48000</v>
      </c>
      <c r="U118" s="14">
        <f t="shared" si="66"/>
        <v>48000</v>
      </c>
      <c r="V118" s="30"/>
      <c r="W118" s="183"/>
      <c r="X118" s="183"/>
      <c r="Y118" s="183" t="s">
        <v>148</v>
      </c>
      <c r="Z118" s="183"/>
      <c r="AA118" s="183"/>
      <c r="AB118" s="183">
        <v>3</v>
      </c>
    </row>
    <row r="119" spans="1:28" ht="34.5" customHeight="1" x14ac:dyDescent="0.25">
      <c r="A119" s="333" t="s">
        <v>260</v>
      </c>
      <c r="B119" s="284"/>
      <c r="C119" s="12" t="s">
        <v>1819</v>
      </c>
      <c r="D119" s="786" t="s">
        <v>291</v>
      </c>
      <c r="E119" s="786" t="s">
        <v>1820</v>
      </c>
      <c r="F119" s="13" t="s">
        <v>1402</v>
      </c>
      <c r="G119" s="13" t="str">
        <f>+'8. BASE  CONSOLIDADA'!O188</f>
        <v>PROMOCIÓN ACTIVIDADES ECONÓMICOS</v>
      </c>
      <c r="H119" s="13" t="str">
        <f>+'8. BASE  CONSOLIDADA'!P188</f>
        <v>C11</v>
      </c>
      <c r="I119" s="13"/>
      <c r="J119" s="13">
        <f t="shared" ref="J119:K119" si="67">3*2</f>
        <v>6</v>
      </c>
      <c r="K119" s="13">
        <f t="shared" si="67"/>
        <v>6</v>
      </c>
      <c r="L119" s="254">
        <v>2500</v>
      </c>
      <c r="M119" s="786" t="s">
        <v>1403</v>
      </c>
      <c r="N119" s="13" t="s">
        <v>992</v>
      </c>
      <c r="O119" s="14">
        <f t="shared" si="64"/>
        <v>75000</v>
      </c>
      <c r="P119" s="14">
        <f t="shared" si="65"/>
        <v>75000</v>
      </c>
      <c r="Q119" s="14">
        <f t="shared" ref="Q119:U119" si="68">+$O$119*0.2</f>
        <v>15000</v>
      </c>
      <c r="R119" s="14">
        <f t="shared" si="68"/>
        <v>15000</v>
      </c>
      <c r="S119" s="14">
        <f t="shared" si="68"/>
        <v>15000</v>
      </c>
      <c r="T119" s="14">
        <f t="shared" si="68"/>
        <v>15000</v>
      </c>
      <c r="U119" s="14">
        <f t="shared" si="68"/>
        <v>15000</v>
      </c>
      <c r="V119" s="30"/>
      <c r="W119" s="183"/>
      <c r="X119" s="183"/>
      <c r="Y119" s="183" t="s">
        <v>148</v>
      </c>
      <c r="Z119" s="183"/>
      <c r="AA119" s="183"/>
      <c r="AB119" s="183">
        <v>2</v>
      </c>
    </row>
    <row r="120" spans="1:28" ht="55.05" customHeight="1" x14ac:dyDescent="0.25">
      <c r="A120" s="337" t="s">
        <v>259</v>
      </c>
      <c r="B120" s="285"/>
      <c r="C120" s="12" t="s">
        <v>1821</v>
      </c>
      <c r="D120" s="870" t="s">
        <v>289</v>
      </c>
      <c r="E120" s="786" t="s">
        <v>1822</v>
      </c>
      <c r="F120" s="13" t="s">
        <v>1589</v>
      </c>
      <c r="G120" s="13" t="str">
        <f>+'8. BASE  CONSOLIDADA'!O189</f>
        <v>SERVICIOS ECOSISTÉMICOS</v>
      </c>
      <c r="H120" s="13" t="str">
        <f>+'8. BASE  CONSOLIDADA'!P189</f>
        <v>C15</v>
      </c>
      <c r="I120" s="13"/>
      <c r="J120" s="12">
        <v>1</v>
      </c>
      <c r="K120" s="12">
        <v>1</v>
      </c>
      <c r="L120" s="254">
        <v>47000000</v>
      </c>
      <c r="M120" s="786" t="s">
        <v>1590</v>
      </c>
      <c r="N120" s="13" t="s">
        <v>1024</v>
      </c>
      <c r="O120" s="14">
        <f t="shared" ref="O120:O121" si="69">+J120*L120</f>
        <v>47000000</v>
      </c>
      <c r="P120" s="14">
        <f t="shared" ref="P120:P121" si="70">+L120*K120</f>
        <v>47000000</v>
      </c>
      <c r="Q120" s="14">
        <f t="shared" ref="Q120:U120" si="71">+$O$120*0.2</f>
        <v>9400000</v>
      </c>
      <c r="R120" s="14">
        <f t="shared" si="71"/>
        <v>9400000</v>
      </c>
      <c r="S120" s="14">
        <f t="shared" si="71"/>
        <v>9400000</v>
      </c>
      <c r="T120" s="14">
        <f t="shared" si="71"/>
        <v>9400000</v>
      </c>
      <c r="U120" s="14">
        <f t="shared" si="71"/>
        <v>9400000</v>
      </c>
      <c r="V120" s="10"/>
      <c r="W120" s="183"/>
      <c r="X120" s="183"/>
      <c r="Y120" s="183" t="s">
        <v>148</v>
      </c>
      <c r="Z120" s="183"/>
      <c r="AA120" s="183"/>
      <c r="AB120" s="183">
        <v>3</v>
      </c>
    </row>
    <row r="121" spans="1:28" ht="57.9" customHeight="1" x14ac:dyDescent="0.25">
      <c r="A121" s="295" t="s">
        <v>257</v>
      </c>
      <c r="B121" s="290" t="s">
        <v>254</v>
      </c>
      <c r="C121" s="12" t="s">
        <v>1823</v>
      </c>
      <c r="D121" s="870" t="s">
        <v>264</v>
      </c>
      <c r="E121" s="786" t="s">
        <v>1824</v>
      </c>
      <c r="F121" s="183" t="s">
        <v>1022</v>
      </c>
      <c r="G121" s="13" t="str">
        <f>+'8. BASE  CONSOLIDADA'!O190</f>
        <v>FINANCIAMIENTO</v>
      </c>
      <c r="H121" s="13" t="str">
        <f>+'8. BASE  CONSOLIDADA'!P190</f>
        <v>C6</v>
      </c>
      <c r="I121" s="13"/>
      <c r="J121" s="13">
        <v>5</v>
      </c>
      <c r="K121" s="13">
        <v>8</v>
      </c>
      <c r="L121" s="254">
        <v>100000</v>
      </c>
      <c r="M121" s="786" t="s">
        <v>1353</v>
      </c>
      <c r="N121" s="13" t="s">
        <v>1584</v>
      </c>
      <c r="O121" s="14">
        <f t="shared" si="69"/>
        <v>500000</v>
      </c>
      <c r="P121" s="14">
        <f t="shared" si="70"/>
        <v>800000</v>
      </c>
      <c r="Q121" s="14">
        <f t="shared" ref="Q121:U121" si="72">+$O$121*0.2</f>
        <v>100000</v>
      </c>
      <c r="R121" s="14">
        <f t="shared" si="72"/>
        <v>100000</v>
      </c>
      <c r="S121" s="14">
        <f t="shared" si="72"/>
        <v>100000</v>
      </c>
      <c r="T121" s="14">
        <f t="shared" si="72"/>
        <v>100000</v>
      </c>
      <c r="U121" s="14">
        <f t="shared" si="72"/>
        <v>100000</v>
      </c>
      <c r="V121" s="30"/>
      <c r="W121" s="183" t="s">
        <v>148</v>
      </c>
      <c r="X121" s="183"/>
      <c r="Y121" s="183"/>
      <c r="Z121" s="183"/>
      <c r="AA121" s="183" t="str">
        <f t="shared" ref="AA121:AA122" si="73">+B121</f>
        <v>RE</v>
      </c>
      <c r="AB121" s="183">
        <v>3</v>
      </c>
    </row>
    <row r="122" spans="1:28" ht="86.95" x14ac:dyDescent="0.25">
      <c r="A122" s="337" t="s">
        <v>259</v>
      </c>
      <c r="B122" s="285" t="s">
        <v>254</v>
      </c>
      <c r="C122" s="12" t="s">
        <v>1825</v>
      </c>
      <c r="D122" s="786" t="s">
        <v>333</v>
      </c>
      <c r="E122" s="786" t="s">
        <v>1826</v>
      </c>
      <c r="F122" s="13" t="s">
        <v>994</v>
      </c>
      <c r="G122" s="13" t="str">
        <f>+'8. BASE  CONSOLIDADA'!O191</f>
        <v>ASISTENCIA TÉCNICA</v>
      </c>
      <c r="H122" s="13" t="str">
        <f>+'8. BASE  CONSOLIDADA'!P191</f>
        <v>C1</v>
      </c>
      <c r="I122" s="13"/>
      <c r="J122" s="13">
        <v>8</v>
      </c>
      <c r="K122" s="13">
        <v>8</v>
      </c>
      <c r="L122" s="28">
        <v>3500</v>
      </c>
      <c r="M122" s="788" t="s">
        <v>1716</v>
      </c>
      <c r="N122" s="13" t="s">
        <v>992</v>
      </c>
      <c r="O122" s="14">
        <f>+J122*L122*60</f>
        <v>1680000</v>
      </c>
      <c r="P122" s="14">
        <f>+L122*K122*60</f>
        <v>1680000</v>
      </c>
      <c r="Q122" s="14">
        <f t="shared" ref="Q122:U122" si="74">+$O$122*0.2</f>
        <v>336000</v>
      </c>
      <c r="R122" s="14">
        <f t="shared" si="74"/>
        <v>336000</v>
      </c>
      <c r="S122" s="14">
        <f t="shared" si="74"/>
        <v>336000</v>
      </c>
      <c r="T122" s="14">
        <f t="shared" si="74"/>
        <v>336000</v>
      </c>
      <c r="U122" s="14">
        <f t="shared" si="74"/>
        <v>336000</v>
      </c>
      <c r="V122" s="30"/>
      <c r="W122" s="183" t="s">
        <v>148</v>
      </c>
      <c r="X122" s="10"/>
      <c r="Y122" s="10"/>
      <c r="Z122" s="10"/>
      <c r="AA122" s="183" t="str">
        <f t="shared" si="73"/>
        <v>RE</v>
      </c>
      <c r="AB122" s="13">
        <v>3</v>
      </c>
    </row>
    <row r="123" spans="1:28" ht="19.55" customHeight="1" x14ac:dyDescent="0.25">
      <c r="A123" s="825"/>
      <c r="B123" s="16"/>
      <c r="C123" s="1"/>
      <c r="D123" s="1"/>
      <c r="E123" s="1"/>
      <c r="F123" s="1"/>
      <c r="G123" s="22"/>
      <c r="H123" s="22"/>
      <c r="I123" s="1"/>
      <c r="J123" s="1"/>
      <c r="K123" s="1"/>
      <c r="L123" s="1"/>
      <c r="M123" s="262"/>
      <c r="N123" s="1"/>
      <c r="O123" s="29">
        <f>SUM(O115:O122)</f>
        <v>51985000</v>
      </c>
      <c r="P123" s="29">
        <f t="shared" ref="P123:U123" si="75">SUM(P115:P122)</f>
        <v>52345000</v>
      </c>
      <c r="Q123" s="29">
        <f t="shared" si="75"/>
        <v>10397000</v>
      </c>
      <c r="R123" s="29">
        <f t="shared" si="75"/>
        <v>10397000</v>
      </c>
      <c r="S123" s="29">
        <f t="shared" si="75"/>
        <v>10397000</v>
      </c>
      <c r="T123" s="29">
        <f t="shared" si="75"/>
        <v>10397000</v>
      </c>
      <c r="U123" s="29">
        <f t="shared" si="75"/>
        <v>10397000</v>
      </c>
      <c r="V123" s="1"/>
      <c r="W123" s="1"/>
      <c r="X123" s="1"/>
      <c r="Y123" s="1"/>
      <c r="Z123" s="1"/>
      <c r="AA123" s="1"/>
      <c r="AB123" s="1"/>
    </row>
    <row r="124" spans="1:28" s="243" customFormat="1" ht="19.55" customHeight="1" x14ac:dyDescent="0.25">
      <c r="A124" s="825"/>
      <c r="B124" s="16"/>
      <c r="C124" s="1"/>
      <c r="D124" s="1"/>
      <c r="E124" s="1"/>
      <c r="F124" s="1"/>
      <c r="G124" s="22"/>
      <c r="H124" s="22"/>
      <c r="I124" s="1"/>
      <c r="J124" s="1"/>
      <c r="K124" s="1"/>
      <c r="L124" s="1"/>
      <c r="M124" s="262"/>
      <c r="N124" s="1"/>
      <c r="O124" s="1"/>
      <c r="P124" s="1"/>
      <c r="Q124" s="1"/>
      <c r="R124" s="1"/>
      <c r="S124" s="1"/>
      <c r="T124" s="1"/>
      <c r="U124" s="1"/>
      <c r="V124" s="1"/>
      <c r="W124" s="1"/>
      <c r="X124" s="1"/>
      <c r="Y124" s="1"/>
      <c r="Z124" s="1"/>
      <c r="AA124" s="1"/>
      <c r="AB124" s="1"/>
    </row>
    <row r="125" spans="1:28" ht="18" customHeight="1" x14ac:dyDescent="0.25">
      <c r="A125" s="825"/>
      <c r="B125" s="16"/>
      <c r="C125" s="1"/>
      <c r="D125" s="366"/>
      <c r="E125" s="366"/>
      <c r="F125" s="366"/>
      <c r="G125" s="366"/>
      <c r="H125" s="366"/>
      <c r="I125" s="366"/>
      <c r="J125" s="366"/>
      <c r="K125" s="366"/>
      <c r="L125" s="366"/>
      <c r="M125" s="264"/>
      <c r="N125" s="366"/>
      <c r="O125" s="366"/>
      <c r="P125" s="366"/>
      <c r="Q125" s="366"/>
      <c r="R125" s="366"/>
      <c r="S125" s="366"/>
      <c r="T125" s="366"/>
      <c r="U125" s="366"/>
      <c r="V125" s="366"/>
      <c r="W125" s="1"/>
      <c r="X125" s="1"/>
      <c r="Y125" s="1"/>
      <c r="Z125" s="1"/>
      <c r="AA125" s="1"/>
      <c r="AB125" s="1"/>
    </row>
    <row r="126" spans="1:28" ht="15.65" x14ac:dyDescent="0.25">
      <c r="A126" s="825"/>
      <c r="B126" s="16"/>
      <c r="C126" s="1459" t="s">
        <v>1170</v>
      </c>
      <c r="D126" s="1405"/>
      <c r="E126" s="1406"/>
      <c r="F126" s="816" t="s">
        <v>127</v>
      </c>
      <c r="G126" s="813"/>
      <c r="H126" s="813"/>
      <c r="I126" s="813"/>
      <c r="J126" s="813"/>
      <c r="K126" s="813"/>
      <c r="L126" s="813"/>
      <c r="M126" s="938"/>
      <c r="N126" s="813"/>
      <c r="O126" s="813"/>
      <c r="P126" s="813"/>
      <c r="Q126" s="813"/>
      <c r="R126" s="813"/>
      <c r="S126" s="813"/>
      <c r="T126" s="813"/>
      <c r="U126" s="813"/>
      <c r="V126" s="813"/>
      <c r="W126" s="813"/>
      <c r="X126" s="813"/>
      <c r="Y126" s="813"/>
      <c r="Z126" s="813"/>
      <c r="AA126" s="813"/>
      <c r="AB126" s="814"/>
    </row>
    <row r="127" spans="1:28" ht="27" customHeight="1" x14ac:dyDescent="0.25">
      <c r="A127" s="825"/>
      <c r="B127" s="16"/>
      <c r="C127" s="1459" t="s">
        <v>1171</v>
      </c>
      <c r="D127" s="1405"/>
      <c r="E127" s="1406"/>
      <c r="F127" s="1445" t="s">
        <v>1411</v>
      </c>
      <c r="G127" s="1446"/>
      <c r="H127" s="1446"/>
      <c r="I127" s="1446"/>
      <c r="J127" s="1446"/>
      <c r="K127" s="1446"/>
      <c r="L127" s="1446"/>
      <c r="M127" s="1446"/>
      <c r="N127" s="1446"/>
      <c r="O127" s="1446"/>
      <c r="P127" s="1446"/>
      <c r="Q127" s="1446"/>
      <c r="R127" s="1446"/>
      <c r="S127" s="1446"/>
      <c r="T127" s="1446"/>
      <c r="U127" s="1446"/>
      <c r="V127" s="1446"/>
      <c r="W127" s="1446"/>
      <c r="X127" s="1446"/>
      <c r="Y127" s="1446"/>
      <c r="Z127" s="1446"/>
      <c r="AA127" s="1446"/>
      <c r="AB127" s="1447"/>
    </row>
    <row r="128" spans="1:28" ht="27" customHeight="1" x14ac:dyDescent="0.25">
      <c r="A128" s="825"/>
      <c r="B128" s="16"/>
      <c r="C128" s="1459" t="s">
        <v>1173</v>
      </c>
      <c r="D128" s="1405"/>
      <c r="E128" s="1406"/>
      <c r="F128" s="1445" t="s">
        <v>1718</v>
      </c>
      <c r="G128" s="1446"/>
      <c r="H128" s="1446"/>
      <c r="I128" s="1446"/>
      <c r="J128" s="1446"/>
      <c r="K128" s="1446"/>
      <c r="L128" s="1446"/>
      <c r="M128" s="1446"/>
      <c r="N128" s="1446"/>
      <c r="O128" s="1446"/>
      <c r="P128" s="1446"/>
      <c r="Q128" s="1446"/>
      <c r="R128" s="1446"/>
      <c r="S128" s="1446"/>
      <c r="T128" s="1446"/>
      <c r="U128" s="1446"/>
      <c r="V128" s="1446"/>
      <c r="W128" s="1446"/>
      <c r="X128" s="1446"/>
      <c r="Y128" s="1446"/>
      <c r="Z128" s="1446"/>
      <c r="AA128" s="1446"/>
      <c r="AB128" s="1447"/>
    </row>
    <row r="129" spans="1:28" ht="27" customHeight="1" x14ac:dyDescent="0.25">
      <c r="A129" s="825"/>
      <c r="B129" s="16"/>
      <c r="C129" s="1459" t="s">
        <v>1175</v>
      </c>
      <c r="D129" s="1405"/>
      <c r="E129" s="1406"/>
      <c r="F129" s="1445" t="s">
        <v>1383</v>
      </c>
      <c r="G129" s="1446"/>
      <c r="H129" s="1446"/>
      <c r="I129" s="1446"/>
      <c r="J129" s="1446"/>
      <c r="K129" s="1446"/>
      <c r="L129" s="1446"/>
      <c r="M129" s="1446"/>
      <c r="N129" s="1446"/>
      <c r="O129" s="1446"/>
      <c r="P129" s="1446"/>
      <c r="Q129" s="1446"/>
      <c r="R129" s="1446"/>
      <c r="S129" s="1446"/>
      <c r="T129" s="1446"/>
      <c r="U129" s="1446"/>
      <c r="V129" s="1446"/>
      <c r="W129" s="1446"/>
      <c r="X129" s="1446"/>
      <c r="Y129" s="1446"/>
      <c r="Z129" s="1446"/>
      <c r="AA129" s="1446"/>
      <c r="AB129" s="1447"/>
    </row>
    <row r="130" spans="1:28" ht="24.8" customHeight="1" x14ac:dyDescent="0.25">
      <c r="A130" s="825"/>
      <c r="B130" s="16"/>
      <c r="C130" s="1444" t="s">
        <v>142</v>
      </c>
      <c r="D130" s="1405"/>
      <c r="E130" s="1406"/>
      <c r="F130" s="1445" t="s">
        <v>1748</v>
      </c>
      <c r="G130" s="1446"/>
      <c r="H130" s="1446"/>
      <c r="I130" s="1446"/>
      <c r="J130" s="1446"/>
      <c r="K130" s="1446"/>
      <c r="L130" s="1446"/>
      <c r="M130" s="1446"/>
      <c r="N130" s="1446"/>
      <c r="O130" s="1446"/>
      <c r="P130" s="1446"/>
      <c r="Q130" s="1446"/>
      <c r="R130" s="1446"/>
      <c r="S130" s="1446"/>
      <c r="T130" s="1446"/>
      <c r="U130" s="1446"/>
      <c r="V130" s="1446"/>
      <c r="W130" s="1446"/>
      <c r="X130" s="1446"/>
      <c r="Y130" s="1446"/>
      <c r="Z130" s="1446"/>
      <c r="AA130" s="1446"/>
      <c r="AB130" s="1447"/>
    </row>
    <row r="131" spans="1:28" ht="34.5" customHeight="1" x14ac:dyDescent="0.25">
      <c r="A131" s="825"/>
      <c r="B131" s="16"/>
      <c r="C131" s="1444" t="s">
        <v>1178</v>
      </c>
      <c r="D131" s="1405"/>
      <c r="E131" s="1406"/>
      <c r="F131" s="1445" t="s">
        <v>1350</v>
      </c>
      <c r="G131" s="1446"/>
      <c r="H131" s="1446"/>
      <c r="I131" s="1446"/>
      <c r="J131" s="1446"/>
      <c r="K131" s="1446"/>
      <c r="L131" s="1446"/>
      <c r="M131" s="1446"/>
      <c r="N131" s="1446"/>
      <c r="O131" s="1446"/>
      <c r="P131" s="1446"/>
      <c r="Q131" s="1446"/>
      <c r="R131" s="1446"/>
      <c r="S131" s="1446"/>
      <c r="T131" s="1446"/>
      <c r="U131" s="1446"/>
      <c r="V131" s="1446"/>
      <c r="W131" s="1446"/>
      <c r="X131" s="1446"/>
      <c r="Y131" s="1446"/>
      <c r="Z131" s="1446"/>
      <c r="AA131" s="1446"/>
      <c r="AB131" s="1447"/>
    </row>
    <row r="132" spans="1:28" ht="27" customHeight="1" x14ac:dyDescent="0.25">
      <c r="A132" s="825"/>
      <c r="B132" s="16"/>
      <c r="C132" s="1474" t="s">
        <v>964</v>
      </c>
      <c r="D132" s="1418" t="s">
        <v>965</v>
      </c>
      <c r="E132" s="1418" t="s">
        <v>468</v>
      </c>
      <c r="F132" s="1452" t="s">
        <v>470</v>
      </c>
      <c r="G132" s="1452" t="s">
        <v>966</v>
      </c>
      <c r="H132" s="1452" t="s">
        <v>967</v>
      </c>
      <c r="I132" s="1452" t="s">
        <v>1180</v>
      </c>
      <c r="J132" s="1452" t="s">
        <v>968</v>
      </c>
      <c r="K132" s="1452" t="s">
        <v>969</v>
      </c>
      <c r="L132" s="1453" t="s">
        <v>970</v>
      </c>
      <c r="M132" s="1486" t="s">
        <v>971</v>
      </c>
      <c r="N132" s="1453" t="s">
        <v>972</v>
      </c>
      <c r="O132" s="1456" t="s">
        <v>973</v>
      </c>
      <c r="P132" s="1457"/>
      <c r="Q132" s="1456" t="s">
        <v>974</v>
      </c>
      <c r="R132" s="1458"/>
      <c r="S132" s="1458"/>
      <c r="T132" s="1458"/>
      <c r="U132" s="1457"/>
      <c r="V132" s="1452" t="s">
        <v>975</v>
      </c>
      <c r="W132" s="1465" t="s">
        <v>976</v>
      </c>
      <c r="X132" s="1405"/>
      <c r="Y132" s="1405"/>
      <c r="Z132" s="1406"/>
      <c r="AA132" s="808"/>
      <c r="AB132" s="1452" t="s">
        <v>977</v>
      </c>
    </row>
    <row r="133" spans="1:28" ht="66.75" customHeight="1" x14ac:dyDescent="0.25">
      <c r="A133" s="825"/>
      <c r="B133" s="16"/>
      <c r="C133" s="1467"/>
      <c r="D133" s="1449"/>
      <c r="E133" s="1449"/>
      <c r="F133" s="1449"/>
      <c r="G133" s="1492"/>
      <c r="H133" s="1492"/>
      <c r="I133" s="1449"/>
      <c r="J133" s="1449"/>
      <c r="K133" s="1449"/>
      <c r="L133" s="1454"/>
      <c r="M133" s="1487"/>
      <c r="N133" s="1454"/>
      <c r="O133" s="940" t="s">
        <v>978</v>
      </c>
      <c r="P133" s="940" t="s">
        <v>979</v>
      </c>
      <c r="Q133" s="940" t="s">
        <v>980</v>
      </c>
      <c r="R133" s="940" t="s">
        <v>981</v>
      </c>
      <c r="S133" s="940" t="s">
        <v>982</v>
      </c>
      <c r="T133" s="940" t="s">
        <v>983</v>
      </c>
      <c r="U133" s="940" t="s">
        <v>984</v>
      </c>
      <c r="V133" s="1449"/>
      <c r="W133" s="808" t="s">
        <v>985</v>
      </c>
      <c r="X133" s="808" t="s">
        <v>986</v>
      </c>
      <c r="Y133" s="808" t="s">
        <v>987</v>
      </c>
      <c r="Z133" s="808" t="s">
        <v>988</v>
      </c>
      <c r="AA133" s="808"/>
      <c r="AB133" s="1449"/>
    </row>
    <row r="134" spans="1:28" ht="57.1" customHeight="1" x14ac:dyDescent="0.25">
      <c r="A134" s="1440" t="s">
        <v>258</v>
      </c>
      <c r="B134" s="1441"/>
      <c r="C134" s="12" t="s">
        <v>1827</v>
      </c>
      <c r="D134" s="375" t="s">
        <v>277</v>
      </c>
      <c r="E134" s="373" t="s">
        <v>1828</v>
      </c>
      <c r="F134" s="297" t="s">
        <v>1415</v>
      </c>
      <c r="G134" s="301" t="str">
        <f>+'8. BASE  CONSOLIDADA'!O192</f>
        <v>DERECHOS SOBRE LA TIERRA</v>
      </c>
      <c r="H134" s="301" t="str">
        <f>+'8. BASE  CONSOLIDADA'!P192</f>
        <v>C5</v>
      </c>
      <c r="I134" s="353">
        <v>80543.826408249835</v>
      </c>
      <c r="J134" s="372">
        <f>$I$134/2</f>
        <v>40271.913204124918</v>
      </c>
      <c r="K134" s="372">
        <f>$I$134/2</f>
        <v>40271.913204124918</v>
      </c>
      <c r="L134" s="26">
        <v>15</v>
      </c>
      <c r="M134" s="788" t="s">
        <v>1416</v>
      </c>
      <c r="N134" s="13" t="s">
        <v>1417</v>
      </c>
      <c r="O134" s="14">
        <f>J134*$L$134</f>
        <v>604078.69806187379</v>
      </c>
      <c r="P134" s="14">
        <f>K134*$L$134</f>
        <v>604078.69806187379</v>
      </c>
      <c r="Q134" s="14">
        <f>$O$134*0.2</f>
        <v>120815.73961237476</v>
      </c>
      <c r="R134" s="14">
        <f t="shared" ref="R134:U134" si="76">$O$134*0.2</f>
        <v>120815.73961237476</v>
      </c>
      <c r="S134" s="14">
        <f t="shared" si="76"/>
        <v>120815.73961237476</v>
      </c>
      <c r="T134" s="14">
        <f t="shared" si="76"/>
        <v>120815.73961237476</v>
      </c>
      <c r="U134" s="14">
        <f t="shared" si="76"/>
        <v>120815.73961237476</v>
      </c>
      <c r="V134" s="13"/>
      <c r="W134" s="13"/>
      <c r="X134" s="13" t="s">
        <v>148</v>
      </c>
      <c r="Y134" s="13"/>
      <c r="Z134" s="13"/>
      <c r="AA134" s="13"/>
      <c r="AB134" s="13">
        <v>3</v>
      </c>
    </row>
    <row r="135" spans="1:28" ht="75.099999999999994" customHeight="1" x14ac:dyDescent="0.25">
      <c r="A135" s="1442" t="s">
        <v>256</v>
      </c>
      <c r="B135" s="1443"/>
      <c r="C135" s="12" t="s">
        <v>1829</v>
      </c>
      <c r="D135" s="375" t="s">
        <v>181</v>
      </c>
      <c r="E135" s="373" t="s">
        <v>1419</v>
      </c>
      <c r="F135" s="297" t="s">
        <v>1420</v>
      </c>
      <c r="G135" s="301" t="str">
        <f>+'8. BASE  CONSOLIDADA'!O193</f>
        <v>DERECHOS SOBRE LA TIERRA</v>
      </c>
      <c r="H135" s="301" t="str">
        <f>+'8. BASE  CONSOLIDADA'!P193</f>
        <v>C5</v>
      </c>
      <c r="I135" s="13"/>
      <c r="J135" s="13">
        <v>40</v>
      </c>
      <c r="K135" s="13">
        <v>40</v>
      </c>
      <c r="L135" s="26">
        <v>150</v>
      </c>
      <c r="M135" s="788" t="s">
        <v>1092</v>
      </c>
      <c r="N135" s="13" t="s">
        <v>1417</v>
      </c>
      <c r="O135" s="14">
        <f>+J135*L135</f>
        <v>6000</v>
      </c>
      <c r="P135" s="14">
        <f>+K135*L135</f>
        <v>6000</v>
      </c>
      <c r="Q135" s="14">
        <f>+O135</f>
        <v>6000</v>
      </c>
      <c r="R135" s="14"/>
      <c r="S135" s="14"/>
      <c r="T135" s="14"/>
      <c r="U135" s="14"/>
      <c r="V135" s="13"/>
      <c r="W135" s="13"/>
      <c r="X135" s="13" t="s">
        <v>148</v>
      </c>
      <c r="Y135" s="13"/>
      <c r="Z135" s="13"/>
      <c r="AA135" s="13"/>
      <c r="AB135" s="13">
        <v>2</v>
      </c>
    </row>
    <row r="136" spans="1:28" ht="52.5" customHeight="1" x14ac:dyDescent="0.25">
      <c r="A136" s="1442" t="s">
        <v>256</v>
      </c>
      <c r="B136" s="1443"/>
      <c r="C136" s="12" t="s">
        <v>1830</v>
      </c>
      <c r="D136" s="375" t="s">
        <v>182</v>
      </c>
      <c r="E136" s="373" t="s">
        <v>1422</v>
      </c>
      <c r="F136" s="297" t="s">
        <v>1423</v>
      </c>
      <c r="G136" s="301" t="str">
        <f>+'8. BASE  CONSOLIDADA'!O194</f>
        <v>DERECHOS SOBRE LA TIERRA</v>
      </c>
      <c r="H136" s="301" t="str">
        <f>+'8. BASE  CONSOLIDADA'!P194</f>
        <v>C5</v>
      </c>
      <c r="I136" s="13"/>
      <c r="J136" s="13">
        <v>8</v>
      </c>
      <c r="K136" s="13">
        <v>8</v>
      </c>
      <c r="L136" s="26">
        <v>10000</v>
      </c>
      <c r="M136" s="788" t="s">
        <v>1424</v>
      </c>
      <c r="N136" s="13" t="s">
        <v>1417</v>
      </c>
      <c r="O136" s="14">
        <f>+J136*L136</f>
        <v>80000</v>
      </c>
      <c r="P136" s="14">
        <f>+K136*L136</f>
        <v>80000</v>
      </c>
      <c r="Q136" s="14">
        <f>+O136*0.3</f>
        <v>24000</v>
      </c>
      <c r="R136" s="14">
        <f>+O136*0.3</f>
        <v>24000</v>
      </c>
      <c r="S136" s="14">
        <f>+O136*0.4</f>
        <v>32000</v>
      </c>
      <c r="T136" s="14"/>
      <c r="U136" s="14"/>
      <c r="V136" s="13"/>
      <c r="W136" s="13"/>
      <c r="X136" s="13" t="s">
        <v>148</v>
      </c>
      <c r="Y136" s="13"/>
      <c r="Z136" s="13"/>
      <c r="AA136" s="13"/>
      <c r="AB136" s="13">
        <v>2</v>
      </c>
    </row>
    <row r="137" spans="1:28" s="365" customFormat="1" ht="43.5" x14ac:dyDescent="0.25">
      <c r="A137" s="1440" t="s">
        <v>258</v>
      </c>
      <c r="B137" s="1441"/>
      <c r="C137" s="12" t="s">
        <v>1831</v>
      </c>
      <c r="D137" s="375" t="s">
        <v>183</v>
      </c>
      <c r="E137" s="373" t="s">
        <v>1426</v>
      </c>
      <c r="F137" s="297" t="s">
        <v>1427</v>
      </c>
      <c r="G137" s="301" t="str">
        <f>+'8. BASE  CONSOLIDADA'!O195</f>
        <v>DERECHOS SOBRE LA TIERRA</v>
      </c>
      <c r="H137" s="301" t="str">
        <f>+'8. BASE  CONSOLIDADA'!P195</f>
        <v>C5</v>
      </c>
      <c r="I137" s="353">
        <v>80543.826408249835</v>
      </c>
      <c r="J137" s="372">
        <f>$I$137/2</f>
        <v>40271.913204124918</v>
      </c>
      <c r="K137" s="372">
        <f>$I$137/2</f>
        <v>40271.913204124918</v>
      </c>
      <c r="L137" s="26">
        <v>1</v>
      </c>
      <c r="M137" s="788" t="s">
        <v>1428</v>
      </c>
      <c r="N137" s="13" t="s">
        <v>1417</v>
      </c>
      <c r="O137" s="14">
        <f>J137*$L$137</f>
        <v>40271.913204124918</v>
      </c>
      <c r="P137" s="14">
        <f>K137*$L$137</f>
        <v>40271.913204124918</v>
      </c>
      <c r="Q137" s="14">
        <f>$O$137*0.2</f>
        <v>8054.3826408249843</v>
      </c>
      <c r="R137" s="14">
        <f t="shared" ref="R137:U137" si="77">$O$137*0.2</f>
        <v>8054.3826408249843</v>
      </c>
      <c r="S137" s="14">
        <f t="shared" si="77"/>
        <v>8054.3826408249843</v>
      </c>
      <c r="T137" s="14">
        <f t="shared" si="77"/>
        <v>8054.3826408249843</v>
      </c>
      <c r="U137" s="14">
        <f t="shared" si="77"/>
        <v>8054.3826408249843</v>
      </c>
      <c r="V137" s="13"/>
      <c r="W137" s="13"/>
      <c r="X137" s="13" t="s">
        <v>148</v>
      </c>
      <c r="Y137" s="13"/>
      <c r="Z137" s="13"/>
      <c r="AA137" s="13"/>
      <c r="AB137" s="13">
        <v>2</v>
      </c>
    </row>
    <row r="138" spans="1:28" ht="23.95" customHeight="1" x14ac:dyDescent="0.25">
      <c r="A138" s="825"/>
      <c r="B138" s="16"/>
      <c r="C138" s="1"/>
      <c r="D138" s="366"/>
      <c r="E138" s="366"/>
      <c r="F138" s="366"/>
      <c r="G138" s="366"/>
      <c r="H138" s="366"/>
      <c r="I138" s="366"/>
      <c r="J138" s="366"/>
      <c r="K138" s="366"/>
      <c r="L138" s="366"/>
      <c r="M138" s="264"/>
      <c r="N138" s="366"/>
      <c r="O138" s="29">
        <f>SUM(O134:O137)</f>
        <v>730350.61126599868</v>
      </c>
      <c r="P138" s="29">
        <f t="shared" ref="P138:U138" si="78">SUM(P134:P137)</f>
        <v>730350.61126599868</v>
      </c>
      <c r="Q138" s="29">
        <f t="shared" si="78"/>
        <v>158870.12225319972</v>
      </c>
      <c r="R138" s="29">
        <f t="shared" si="78"/>
        <v>152870.12225319972</v>
      </c>
      <c r="S138" s="29">
        <f t="shared" si="78"/>
        <v>160870.12225319972</v>
      </c>
      <c r="T138" s="29">
        <f t="shared" si="78"/>
        <v>128870.12225319975</v>
      </c>
      <c r="U138" s="29">
        <f t="shared" si="78"/>
        <v>128870.12225319975</v>
      </c>
      <c r="V138" s="366"/>
      <c r="W138" s="1"/>
      <c r="X138" s="1"/>
      <c r="Y138" s="1"/>
      <c r="Z138" s="1"/>
      <c r="AA138" s="1"/>
      <c r="AB138" s="1"/>
    </row>
    <row r="139" spans="1:28" s="243" customFormat="1" ht="17.149999999999999" customHeight="1" x14ac:dyDescent="0.25">
      <c r="A139" s="825"/>
      <c r="B139" s="16"/>
      <c r="C139" s="1"/>
      <c r="D139" s="366"/>
      <c r="E139" s="366"/>
      <c r="F139" s="366"/>
      <c r="G139" s="366"/>
      <c r="H139" s="366"/>
      <c r="I139" s="366"/>
      <c r="J139" s="366"/>
      <c r="K139" s="366"/>
      <c r="L139" s="366"/>
      <c r="M139" s="264"/>
      <c r="N139" s="366"/>
      <c r="O139" s="366"/>
      <c r="P139" s="366"/>
      <c r="Q139" s="366"/>
      <c r="R139" s="366"/>
      <c r="S139" s="366"/>
      <c r="T139" s="366"/>
      <c r="U139" s="366"/>
      <c r="V139" s="366"/>
      <c r="W139" s="1"/>
      <c r="X139" s="1"/>
      <c r="Y139" s="1"/>
      <c r="Z139" s="1"/>
      <c r="AA139" s="1"/>
      <c r="AB139" s="1"/>
    </row>
    <row r="140" spans="1:28" s="347" customFormat="1" ht="17.149999999999999" customHeight="1" x14ac:dyDescent="0.25">
      <c r="A140" s="825"/>
      <c r="B140" s="16"/>
      <c r="C140" s="1"/>
      <c r="D140" s="366"/>
      <c r="E140" s="366"/>
      <c r="F140" s="366"/>
      <c r="G140" s="366"/>
      <c r="H140" s="366"/>
      <c r="I140" s="366"/>
      <c r="J140" s="366"/>
      <c r="K140" s="366"/>
      <c r="L140" s="366"/>
      <c r="M140" s="264"/>
      <c r="N140" s="366"/>
      <c r="O140" s="366"/>
      <c r="P140" s="366"/>
      <c r="Q140" s="366"/>
      <c r="R140" s="366"/>
      <c r="S140" s="366"/>
      <c r="T140" s="366"/>
      <c r="U140" s="366"/>
      <c r="V140" s="366"/>
      <c r="W140" s="1"/>
      <c r="X140" s="1"/>
      <c r="Y140" s="1"/>
      <c r="Z140" s="1"/>
      <c r="AA140" s="1"/>
      <c r="AB140" s="1"/>
    </row>
    <row r="141" spans="1:28" s="347" customFormat="1" ht="15.65" customHeight="1" x14ac:dyDescent="0.25">
      <c r="A141" s="825"/>
      <c r="B141" s="16"/>
      <c r="C141" s="1459" t="s">
        <v>1170</v>
      </c>
      <c r="D141" s="1405"/>
      <c r="E141" s="1406"/>
      <c r="F141" s="816" t="s">
        <v>131</v>
      </c>
      <c r="G141" s="813"/>
      <c r="H141" s="813"/>
      <c r="I141" s="813"/>
      <c r="J141" s="813"/>
      <c r="K141" s="813"/>
      <c r="L141" s="813"/>
      <c r="M141" s="938"/>
      <c r="N141" s="813"/>
      <c r="O141" s="813"/>
      <c r="P141" s="813"/>
      <c r="Q141" s="813"/>
      <c r="R141" s="813"/>
      <c r="S141" s="813"/>
      <c r="T141" s="813"/>
      <c r="U141" s="813"/>
      <c r="V141" s="813"/>
      <c r="W141" s="813"/>
      <c r="X141" s="813"/>
      <c r="Y141" s="813"/>
      <c r="Z141" s="813"/>
      <c r="AA141" s="813"/>
      <c r="AB141" s="814"/>
    </row>
    <row r="142" spans="1:28" s="347" customFormat="1" ht="25.5" customHeight="1" x14ac:dyDescent="0.25">
      <c r="A142" s="825"/>
      <c r="B142" s="16"/>
      <c r="C142" s="1459" t="s">
        <v>1171</v>
      </c>
      <c r="D142" s="1405"/>
      <c r="E142" s="1406"/>
      <c r="F142" s="1445" t="s">
        <v>1832</v>
      </c>
      <c r="G142" s="1446"/>
      <c r="H142" s="1446"/>
      <c r="I142" s="1446"/>
      <c r="J142" s="1446"/>
      <c r="K142" s="1446"/>
      <c r="L142" s="1446"/>
      <c r="M142" s="1446"/>
      <c r="N142" s="1446"/>
      <c r="O142" s="1446"/>
      <c r="P142" s="1446"/>
      <c r="Q142" s="1446"/>
      <c r="R142" s="1446"/>
      <c r="S142" s="1446"/>
      <c r="T142" s="1446"/>
      <c r="U142" s="1446"/>
      <c r="V142" s="1446"/>
      <c r="W142" s="1446"/>
      <c r="X142" s="1446"/>
      <c r="Y142" s="1446"/>
      <c r="Z142" s="1446"/>
      <c r="AA142" s="1446"/>
      <c r="AB142" s="1447"/>
    </row>
    <row r="143" spans="1:28" s="347" customFormat="1" ht="15.65" x14ac:dyDescent="0.25">
      <c r="A143" s="825"/>
      <c r="B143" s="16"/>
      <c r="C143" s="1459" t="s">
        <v>1173</v>
      </c>
      <c r="D143" s="1405"/>
      <c r="E143" s="1406"/>
      <c r="F143" s="1445" t="s">
        <v>1430</v>
      </c>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7"/>
    </row>
    <row r="144" spans="1:28" s="347" customFormat="1" ht="25.5" customHeight="1" x14ac:dyDescent="0.25">
      <c r="A144" s="825"/>
      <c r="B144" s="16"/>
      <c r="C144" s="1459" t="s">
        <v>1175</v>
      </c>
      <c r="D144" s="1405"/>
      <c r="E144" s="1406"/>
      <c r="F144" s="1445" t="s">
        <v>1431</v>
      </c>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7"/>
    </row>
    <row r="145" spans="1:28" s="347" customFormat="1" ht="36" customHeight="1" x14ac:dyDescent="0.25">
      <c r="A145" s="825"/>
      <c r="B145" s="16"/>
      <c r="C145" s="1444" t="s">
        <v>142</v>
      </c>
      <c r="D145" s="1405"/>
      <c r="E145" s="1406"/>
      <c r="F145" s="1445" t="s">
        <v>1748</v>
      </c>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7"/>
    </row>
    <row r="146" spans="1:28" s="347" customFormat="1" ht="26.35" customHeight="1" x14ac:dyDescent="0.25">
      <c r="A146" s="825"/>
      <c r="B146" s="16"/>
      <c r="C146" s="1444" t="s">
        <v>1178</v>
      </c>
      <c r="D146" s="1405"/>
      <c r="E146" s="1406"/>
      <c r="F146" s="1445" t="s">
        <v>1350</v>
      </c>
      <c r="G146" s="1446"/>
      <c r="H146" s="1446"/>
      <c r="I146" s="1446"/>
      <c r="J146" s="1446"/>
      <c r="K146" s="1446"/>
      <c r="L146" s="1446"/>
      <c r="M146" s="1446"/>
      <c r="N146" s="1446"/>
      <c r="O146" s="1446"/>
      <c r="P146" s="1446"/>
      <c r="Q146" s="1446"/>
      <c r="R146" s="1446"/>
      <c r="S146" s="1446"/>
      <c r="T146" s="1446"/>
      <c r="U146" s="1446"/>
      <c r="V146" s="1446"/>
      <c r="W146" s="1446"/>
      <c r="X146" s="1446"/>
      <c r="Y146" s="1446"/>
      <c r="Z146" s="1446"/>
      <c r="AA146" s="1446"/>
      <c r="AB146" s="1447"/>
    </row>
    <row r="147" spans="1:28" s="347" customFormat="1" ht="15.65" customHeight="1" x14ac:dyDescent="0.25">
      <c r="A147" s="825"/>
      <c r="B147" s="16"/>
      <c r="C147" s="1474" t="s">
        <v>964</v>
      </c>
      <c r="D147" s="1418" t="s">
        <v>965</v>
      </c>
      <c r="E147" s="1450" t="s">
        <v>468</v>
      </c>
      <c r="F147" s="1452" t="s">
        <v>470</v>
      </c>
      <c r="G147" s="1452" t="s">
        <v>966</v>
      </c>
      <c r="H147" s="1452" t="s">
        <v>967</v>
      </c>
      <c r="I147" s="1452" t="s">
        <v>1180</v>
      </c>
      <c r="J147" s="1452" t="s">
        <v>968</v>
      </c>
      <c r="K147" s="1452" t="s">
        <v>969</v>
      </c>
      <c r="L147" s="1453" t="s">
        <v>970</v>
      </c>
      <c r="M147" s="1486" t="s">
        <v>971</v>
      </c>
      <c r="N147" s="1453" t="s">
        <v>972</v>
      </c>
      <c r="O147" s="1456" t="s">
        <v>973</v>
      </c>
      <c r="P147" s="1457"/>
      <c r="Q147" s="1456" t="s">
        <v>974</v>
      </c>
      <c r="R147" s="1458"/>
      <c r="S147" s="1458"/>
      <c r="T147" s="1458"/>
      <c r="U147" s="1457"/>
      <c r="V147" s="1452" t="s">
        <v>975</v>
      </c>
      <c r="W147" s="1465" t="s">
        <v>976</v>
      </c>
      <c r="X147" s="1405"/>
      <c r="Y147" s="1405"/>
      <c r="Z147" s="1406"/>
      <c r="AA147" s="808" t="s">
        <v>253</v>
      </c>
      <c r="AB147" s="1452" t="s">
        <v>977</v>
      </c>
    </row>
    <row r="148" spans="1:28" s="347" customFormat="1" ht="76.099999999999994" x14ac:dyDescent="0.25">
      <c r="A148" s="825"/>
      <c r="B148" s="16"/>
      <c r="C148" s="1467"/>
      <c r="D148" s="1449"/>
      <c r="E148" s="1451"/>
      <c r="F148" s="1449"/>
      <c r="G148" s="1449"/>
      <c r="H148" s="1449"/>
      <c r="I148" s="1449"/>
      <c r="J148" s="1449"/>
      <c r="K148" s="1449"/>
      <c r="L148" s="1454"/>
      <c r="M148" s="1487"/>
      <c r="N148" s="1454"/>
      <c r="O148" s="940" t="s">
        <v>978</v>
      </c>
      <c r="P148" s="940" t="s">
        <v>979</v>
      </c>
      <c r="Q148" s="940" t="s">
        <v>980</v>
      </c>
      <c r="R148" s="940" t="s">
        <v>981</v>
      </c>
      <c r="S148" s="940" t="s">
        <v>982</v>
      </c>
      <c r="T148" s="940" t="s">
        <v>983</v>
      </c>
      <c r="U148" s="940" t="s">
        <v>984</v>
      </c>
      <c r="V148" s="1449"/>
      <c r="W148" s="808" t="s">
        <v>985</v>
      </c>
      <c r="X148" s="808" t="s">
        <v>986</v>
      </c>
      <c r="Y148" s="808" t="s">
        <v>987</v>
      </c>
      <c r="Z148" s="808" t="s">
        <v>988</v>
      </c>
      <c r="AA148" s="808"/>
      <c r="AB148" s="1449"/>
    </row>
    <row r="149" spans="1:28" s="347" customFormat="1" ht="76.099999999999994" x14ac:dyDescent="0.25">
      <c r="A149" s="294" t="s">
        <v>258</v>
      </c>
      <c r="B149" s="294"/>
      <c r="C149" s="12" t="s">
        <v>1833</v>
      </c>
      <c r="D149" s="266" t="s">
        <v>184</v>
      </c>
      <c r="E149" s="373" t="s">
        <v>1433</v>
      </c>
      <c r="F149" s="13" t="s">
        <v>1415</v>
      </c>
      <c r="G149" s="13" t="str">
        <f>+'8. BASE  CONSOLIDADA'!O196</f>
        <v>DERECHOS SOBRE LA TIERRA</v>
      </c>
      <c r="H149" s="13" t="str">
        <f>+'8. BASE  CONSOLIDADA'!P196</f>
        <v>C5</v>
      </c>
      <c r="I149" s="13"/>
      <c r="J149" s="353">
        <f>94597.6167339802/2</f>
        <v>47298.808366990103</v>
      </c>
      <c r="K149" s="353">
        <f>94597.6167339802/2</f>
        <v>47298.808366990103</v>
      </c>
      <c r="L149" s="26">
        <v>15</v>
      </c>
      <c r="M149" s="788" t="s">
        <v>1416</v>
      </c>
      <c r="N149" s="13" t="s">
        <v>1417</v>
      </c>
      <c r="O149" s="14">
        <f>J149*$L$149</f>
        <v>709482.12550485157</v>
      </c>
      <c r="P149" s="14">
        <f>K149*$L$149</f>
        <v>709482.12550485157</v>
      </c>
      <c r="Q149" s="14">
        <f>$O$149*0.2</f>
        <v>141896.42510097031</v>
      </c>
      <c r="R149" s="14">
        <f>$O$149*0.2</f>
        <v>141896.42510097031</v>
      </c>
      <c r="S149" s="14">
        <f>$O$149*0.2</f>
        <v>141896.42510097031</v>
      </c>
      <c r="T149" s="14">
        <f>$O$149*0.2</f>
        <v>141896.42510097031</v>
      </c>
      <c r="U149" s="14">
        <f>$O$149*0.2</f>
        <v>141896.42510097031</v>
      </c>
      <c r="V149" s="13"/>
      <c r="W149" s="13"/>
      <c r="X149" s="13" t="s">
        <v>148</v>
      </c>
      <c r="Y149" s="13"/>
      <c r="Z149" s="13"/>
      <c r="AA149" s="13"/>
      <c r="AB149" s="13">
        <v>3</v>
      </c>
    </row>
    <row r="150" spans="1:28" s="347" customFormat="1" ht="42.8" customHeight="1" x14ac:dyDescent="0.25">
      <c r="A150" s="293" t="s">
        <v>256</v>
      </c>
      <c r="B150" s="293"/>
      <c r="C150" s="12" t="s">
        <v>1834</v>
      </c>
      <c r="D150" s="266" t="s">
        <v>181</v>
      </c>
      <c r="E150" s="373" t="s">
        <v>1419</v>
      </c>
      <c r="F150" s="13" t="s">
        <v>1420</v>
      </c>
      <c r="G150" s="13" t="str">
        <f>+'8. BASE  CONSOLIDADA'!O197</f>
        <v>DERECHOS SOBRE LA TIERRA</v>
      </c>
      <c r="H150" s="13" t="str">
        <f>+'8. BASE  CONSOLIDADA'!P197</f>
        <v>C5</v>
      </c>
      <c r="I150" s="13"/>
      <c r="J150" s="353">
        <v>90</v>
      </c>
      <c r="K150" s="353">
        <v>90</v>
      </c>
      <c r="L150" s="26">
        <v>150</v>
      </c>
      <c r="M150" s="788" t="s">
        <v>1092</v>
      </c>
      <c r="N150" s="13" t="s">
        <v>1417</v>
      </c>
      <c r="O150" s="14">
        <f>+J150*L150</f>
        <v>13500</v>
      </c>
      <c r="P150" s="14">
        <f>+K150*L150</f>
        <v>13500</v>
      </c>
      <c r="Q150" s="14">
        <f>+O150</f>
        <v>13500</v>
      </c>
      <c r="R150" s="14"/>
      <c r="S150" s="14"/>
      <c r="T150" s="14"/>
      <c r="U150" s="14"/>
      <c r="V150" s="13"/>
      <c r="W150" s="13"/>
      <c r="X150" s="13" t="s">
        <v>148</v>
      </c>
      <c r="Y150" s="13"/>
      <c r="Z150" s="13"/>
      <c r="AA150" s="13"/>
      <c r="AB150" s="13">
        <v>2</v>
      </c>
    </row>
    <row r="151" spans="1:28" s="347" customFormat="1" ht="32.6" x14ac:dyDescent="0.25">
      <c r="A151" s="293" t="s">
        <v>256</v>
      </c>
      <c r="B151" s="293"/>
      <c r="C151" s="12" t="s">
        <v>1835</v>
      </c>
      <c r="D151" s="266" t="s">
        <v>182</v>
      </c>
      <c r="E151" s="375" t="s">
        <v>1436</v>
      </c>
      <c r="F151" s="252" t="s">
        <v>1423</v>
      </c>
      <c r="G151" s="13" t="str">
        <f>+'8. BASE  CONSOLIDADA'!O198</f>
        <v>DERECHOS SOBRE LA TIERRA</v>
      </c>
      <c r="H151" s="13" t="str">
        <f>+'8. BASE  CONSOLIDADA'!P198</f>
        <v>C5</v>
      </c>
      <c r="I151" s="252"/>
      <c r="J151" s="371">
        <v>2</v>
      </c>
      <c r="K151" s="371">
        <v>2</v>
      </c>
      <c r="L151" s="255">
        <v>10000</v>
      </c>
      <c r="M151" s="786" t="s">
        <v>1424</v>
      </c>
      <c r="N151" s="252" t="s">
        <v>1417</v>
      </c>
      <c r="O151" s="370">
        <f t="shared" ref="O151:O153" si="79">+J151*L151</f>
        <v>20000</v>
      </c>
      <c r="P151" s="370">
        <f>+K151*L151</f>
        <v>20000</v>
      </c>
      <c r="Q151" s="370">
        <f>+O151*0.3</f>
        <v>6000</v>
      </c>
      <c r="R151" s="370">
        <f>+O151*0.3</f>
        <v>6000</v>
      </c>
      <c r="S151" s="370">
        <f>+O151*0.4</f>
        <v>8000</v>
      </c>
      <c r="T151" s="370"/>
      <c r="U151" s="370"/>
      <c r="V151" s="13"/>
      <c r="W151" s="13"/>
      <c r="X151" s="13" t="s">
        <v>148</v>
      </c>
      <c r="Y151" s="13"/>
      <c r="Z151" s="13"/>
      <c r="AA151" s="13"/>
      <c r="AB151" s="13">
        <v>2</v>
      </c>
    </row>
    <row r="152" spans="1:28" s="347" customFormat="1" ht="43.5" x14ac:dyDescent="0.25">
      <c r="A152" s="294" t="s">
        <v>258</v>
      </c>
      <c r="B152" s="294"/>
      <c r="C152" s="12" t="s">
        <v>1836</v>
      </c>
      <c r="D152" s="266" t="s">
        <v>183</v>
      </c>
      <c r="E152" s="373" t="s">
        <v>1426</v>
      </c>
      <c r="F152" s="13" t="s">
        <v>1427</v>
      </c>
      <c r="G152" s="13" t="str">
        <f>+'8. BASE  CONSOLIDADA'!O199</f>
        <v>DERECHOS SOBRE LA TIERRA</v>
      </c>
      <c r="H152" s="13" t="str">
        <f>+'8. BASE  CONSOLIDADA'!P199</f>
        <v>C5</v>
      </c>
      <c r="I152" s="13"/>
      <c r="J152" s="353">
        <f>94597.6167339802/2</f>
        <v>47298.808366990103</v>
      </c>
      <c r="K152" s="353">
        <f>94597.6167339802/2</f>
        <v>47298.808366990103</v>
      </c>
      <c r="L152" s="26">
        <v>1</v>
      </c>
      <c r="M152" s="788" t="s">
        <v>1428</v>
      </c>
      <c r="N152" s="13" t="s">
        <v>1417</v>
      </c>
      <c r="O152" s="14">
        <f>+J152*L152</f>
        <v>47298.808366990103</v>
      </c>
      <c r="P152" s="14">
        <f>+K152*L152</f>
        <v>47298.808366990103</v>
      </c>
      <c r="Q152" s="14">
        <f>$O$152*0.2</f>
        <v>9459.7616733980212</v>
      </c>
      <c r="R152" s="14">
        <f t="shared" ref="R152:U152" si="80">$O$152*0.2</f>
        <v>9459.7616733980212</v>
      </c>
      <c r="S152" s="14">
        <f t="shared" si="80"/>
        <v>9459.7616733980212</v>
      </c>
      <c r="T152" s="14">
        <f t="shared" si="80"/>
        <v>9459.7616733980212</v>
      </c>
      <c r="U152" s="14">
        <f t="shared" si="80"/>
        <v>9459.7616733980212</v>
      </c>
      <c r="V152" s="13"/>
      <c r="W152" s="13"/>
      <c r="X152" s="13" t="s">
        <v>148</v>
      </c>
      <c r="Y152" s="13"/>
      <c r="Z152" s="13"/>
      <c r="AA152" s="13"/>
      <c r="AB152" s="13">
        <v>2</v>
      </c>
    </row>
    <row r="153" spans="1:28" s="347" customFormat="1" ht="65.25" x14ac:dyDescent="0.25">
      <c r="A153" s="295" t="s">
        <v>257</v>
      </c>
      <c r="B153" s="295"/>
      <c r="C153" s="12" t="s">
        <v>1837</v>
      </c>
      <c r="D153" s="266" t="s">
        <v>185</v>
      </c>
      <c r="E153" s="373" t="s">
        <v>1439</v>
      </c>
      <c r="F153" s="13" t="s">
        <v>1440</v>
      </c>
      <c r="G153" s="13" t="str">
        <f>+'8. BASE  CONSOLIDADA'!O200</f>
        <v>DERECHOS SOBRE LA TIERRA</v>
      </c>
      <c r="H153" s="13" t="str">
        <f>+'8. BASE  CONSOLIDADA'!P200</f>
        <v>C5</v>
      </c>
      <c r="I153" s="13"/>
      <c r="J153" s="353">
        <f>14343.8730138157/2</f>
        <v>7171.9365069078503</v>
      </c>
      <c r="K153" s="353">
        <f>14343.8730138157/2</f>
        <v>7171.9365069078503</v>
      </c>
      <c r="L153" s="26">
        <v>500</v>
      </c>
      <c r="M153" s="788" t="s">
        <v>1441</v>
      </c>
      <c r="N153" s="13" t="s">
        <v>996</v>
      </c>
      <c r="O153" s="14">
        <f t="shared" si="79"/>
        <v>3585968.2534539253</v>
      </c>
      <c r="P153" s="14">
        <f t="shared" ref="P153" si="81">+K153*L153</f>
        <v>3585968.2534539253</v>
      </c>
      <c r="Q153" s="14">
        <f>+O153</f>
        <v>3585968.2534539253</v>
      </c>
      <c r="R153" s="14"/>
      <c r="S153" s="14"/>
      <c r="T153" s="14"/>
      <c r="U153" s="14"/>
      <c r="V153" s="13"/>
      <c r="W153" s="13"/>
      <c r="X153" s="13" t="s">
        <v>148</v>
      </c>
      <c r="Y153" s="13"/>
      <c r="Z153" s="13"/>
      <c r="AA153" s="13"/>
      <c r="AB153" s="13">
        <v>3</v>
      </c>
    </row>
    <row r="154" spans="1:28" s="347" customFormat="1" ht="17.149999999999999" customHeight="1" x14ac:dyDescent="0.25">
      <c r="A154" s="825"/>
      <c r="B154" s="16"/>
      <c r="C154" s="1"/>
      <c r="D154" s="366"/>
      <c r="E154" s="366"/>
      <c r="F154" s="366"/>
      <c r="G154" s="366"/>
      <c r="H154" s="366"/>
      <c r="I154" s="366"/>
      <c r="J154" s="366"/>
      <c r="K154" s="366"/>
      <c r="L154" s="366"/>
      <c r="M154" s="264"/>
      <c r="N154" s="366"/>
      <c r="O154" s="29">
        <f>SUM(O149:O153)</f>
        <v>4376249.1873257672</v>
      </c>
      <c r="P154" s="29">
        <f t="shared" ref="P154:U154" si="82">SUM(P149:P153)</f>
        <v>4376249.1873257672</v>
      </c>
      <c r="Q154" s="29">
        <f t="shared" si="82"/>
        <v>3756824.4402282936</v>
      </c>
      <c r="R154" s="29">
        <f t="shared" si="82"/>
        <v>157356.18677436834</v>
      </c>
      <c r="S154" s="29">
        <f t="shared" si="82"/>
        <v>159356.18677436834</v>
      </c>
      <c r="T154" s="29">
        <f t="shared" si="82"/>
        <v>151356.18677436834</v>
      </c>
      <c r="U154" s="29">
        <f t="shared" si="82"/>
        <v>151356.18677436834</v>
      </c>
      <c r="V154" s="366"/>
      <c r="W154" s="1"/>
      <c r="X154" s="1"/>
      <c r="Y154" s="1"/>
      <c r="Z154" s="1"/>
      <c r="AA154" s="1"/>
      <c r="AB154" s="1"/>
    </row>
    <row r="155" spans="1:28" s="347" customFormat="1" ht="17.149999999999999" customHeight="1" x14ac:dyDescent="0.25">
      <c r="A155" s="825"/>
      <c r="B155" s="16"/>
      <c r="C155" s="1"/>
      <c r="D155" s="366"/>
      <c r="E155" s="366"/>
      <c r="F155" s="366"/>
      <c r="G155" s="366"/>
      <c r="H155" s="366"/>
      <c r="I155" s="366"/>
      <c r="J155" s="366"/>
      <c r="K155" s="366"/>
      <c r="L155" s="366"/>
      <c r="M155" s="264"/>
      <c r="N155" s="366"/>
      <c r="O155" s="366"/>
      <c r="P155" s="366"/>
      <c r="Q155" s="366"/>
      <c r="R155" s="366"/>
      <c r="S155" s="366"/>
      <c r="T155" s="366"/>
      <c r="U155" s="366"/>
      <c r="V155" s="366"/>
      <c r="W155" s="1"/>
      <c r="X155" s="1"/>
      <c r="Y155" s="1"/>
      <c r="Z155" s="1"/>
      <c r="AA155" s="1"/>
      <c r="AB155" s="1"/>
    </row>
    <row r="156" spans="1:28" ht="16" customHeight="1" x14ac:dyDescent="0.25">
      <c r="A156" s="825"/>
      <c r="B156" s="16"/>
      <c r="C156" s="1"/>
      <c r="D156" s="366"/>
      <c r="E156" s="366"/>
      <c r="F156" s="366"/>
      <c r="G156" s="366"/>
      <c r="H156" s="366"/>
      <c r="I156" s="366"/>
      <c r="J156" s="366"/>
      <c r="K156" s="366"/>
      <c r="L156" s="366"/>
      <c r="M156" s="264"/>
      <c r="N156" s="366"/>
      <c r="O156" s="366"/>
      <c r="P156" s="366"/>
      <c r="Q156" s="366"/>
      <c r="R156" s="366"/>
      <c r="S156" s="366"/>
      <c r="T156" s="366"/>
      <c r="U156" s="366"/>
      <c r="V156" s="366"/>
      <c r="W156" s="1"/>
      <c r="X156" s="1"/>
      <c r="Y156" s="1"/>
      <c r="Z156" s="1"/>
      <c r="AA156" s="1"/>
      <c r="AB156" s="1"/>
    </row>
    <row r="157" spans="1:28" ht="25.5" customHeight="1" x14ac:dyDescent="0.25">
      <c r="A157" s="825"/>
      <c r="B157" s="16"/>
      <c r="C157" s="1491" t="s">
        <v>123</v>
      </c>
      <c r="D157" s="1393"/>
      <c r="E157" s="1393"/>
      <c r="F157" s="1393"/>
      <c r="G157" s="1393"/>
      <c r="H157" s="1393"/>
      <c r="I157" s="1393"/>
      <c r="J157" s="1393"/>
      <c r="K157" s="1393"/>
      <c r="L157" s="1393"/>
      <c r="M157" s="1393"/>
      <c r="N157" s="1393"/>
      <c r="O157" s="1393"/>
      <c r="P157" s="1393"/>
      <c r="Q157" s="1393"/>
      <c r="R157" s="1393"/>
      <c r="S157" s="1393"/>
      <c r="T157" s="1393"/>
      <c r="U157" s="1393"/>
      <c r="V157" s="1393"/>
      <c r="W157" s="1393"/>
      <c r="X157" s="1393"/>
      <c r="Y157" s="1393"/>
      <c r="Z157" s="1393"/>
      <c r="AA157" s="1393"/>
      <c r="AB157" s="1394"/>
    </row>
    <row r="158" spans="1:28" ht="25.5" customHeight="1" x14ac:dyDescent="0.25">
      <c r="A158" s="825"/>
      <c r="B158" s="16"/>
      <c r="C158" s="1474" t="s">
        <v>964</v>
      </c>
      <c r="D158" s="1474" t="s">
        <v>965</v>
      </c>
      <c r="E158" s="1474" t="s">
        <v>468</v>
      </c>
      <c r="F158" s="1474" t="s">
        <v>470</v>
      </c>
      <c r="G158" s="1474" t="s">
        <v>966</v>
      </c>
      <c r="H158" s="1474" t="s">
        <v>967</v>
      </c>
      <c r="I158" s="1474" t="s">
        <v>1180</v>
      </c>
      <c r="J158" s="1474" t="s">
        <v>968</v>
      </c>
      <c r="K158" s="1474" t="s">
        <v>969</v>
      </c>
      <c r="L158" s="1453" t="s">
        <v>970</v>
      </c>
      <c r="M158" s="1486" t="s">
        <v>971</v>
      </c>
      <c r="N158" s="1453" t="s">
        <v>972</v>
      </c>
      <c r="O158" s="1456" t="s">
        <v>973</v>
      </c>
      <c r="P158" s="1457"/>
      <c r="Q158" s="1456" t="s">
        <v>974</v>
      </c>
      <c r="R158" s="1458"/>
      <c r="S158" s="1458"/>
      <c r="T158" s="1458"/>
      <c r="U158" s="1457"/>
      <c r="V158" s="1474" t="s">
        <v>975</v>
      </c>
      <c r="W158" s="1468" t="s">
        <v>976</v>
      </c>
      <c r="X158" s="1393"/>
      <c r="Y158" s="1393"/>
      <c r="Z158" s="1394"/>
      <c r="AA158" s="23"/>
      <c r="AB158" s="1466" t="s">
        <v>977</v>
      </c>
    </row>
    <row r="159" spans="1:28" s="667" customFormat="1" ht="79.5" customHeight="1" x14ac:dyDescent="0.25">
      <c r="B159" s="811"/>
      <c r="C159" s="1467"/>
      <c r="D159" s="1467"/>
      <c r="E159" s="1467"/>
      <c r="F159" s="1467"/>
      <c r="G159" s="1493"/>
      <c r="H159" s="1493"/>
      <c r="I159" s="1467"/>
      <c r="J159" s="1467"/>
      <c r="K159" s="1467"/>
      <c r="L159" s="1454"/>
      <c r="M159" s="1487"/>
      <c r="N159" s="1454"/>
      <c r="O159" s="940" t="s">
        <v>978</v>
      </c>
      <c r="P159" s="940" t="s">
        <v>979</v>
      </c>
      <c r="Q159" s="940" t="s">
        <v>980</v>
      </c>
      <c r="R159" s="940" t="s">
        <v>981</v>
      </c>
      <c r="S159" s="940" t="s">
        <v>982</v>
      </c>
      <c r="T159" s="940" t="s">
        <v>983</v>
      </c>
      <c r="U159" s="940" t="s">
        <v>984</v>
      </c>
      <c r="V159" s="1467"/>
      <c r="W159" s="808" t="s">
        <v>985</v>
      </c>
      <c r="X159" s="808" t="s">
        <v>986</v>
      </c>
      <c r="Y159" s="808" t="s">
        <v>987</v>
      </c>
      <c r="Z159" s="808" t="s">
        <v>988</v>
      </c>
      <c r="AA159" s="808"/>
      <c r="AB159" s="1467"/>
    </row>
    <row r="160" spans="1:28" s="323" customFormat="1" ht="87.8" customHeight="1" x14ac:dyDescent="0.25">
      <c r="A160" s="337" t="s">
        <v>259</v>
      </c>
      <c r="B160" s="285" t="s">
        <v>254</v>
      </c>
      <c r="C160" s="12" t="s">
        <v>1838</v>
      </c>
      <c r="D160" s="263" t="s">
        <v>278</v>
      </c>
      <c r="E160" s="786" t="s">
        <v>1600</v>
      </c>
      <c r="F160" s="183" t="s">
        <v>1444</v>
      </c>
      <c r="G160" s="183" t="str">
        <f>+'8. BASE  CONSOLIDADA'!O136</f>
        <v>TRANSVERSALES X UDT</v>
      </c>
      <c r="H160" s="183" t="str">
        <f>+'8. BASE  CONSOLIDADA'!P136</f>
        <v>C18</v>
      </c>
      <c r="I160" s="183"/>
      <c r="J160" s="12">
        <v>19</v>
      </c>
      <c r="K160" s="12">
        <v>19</v>
      </c>
      <c r="L160" s="28">
        <v>2500</v>
      </c>
      <c r="M160" s="788" t="s">
        <v>1445</v>
      </c>
      <c r="N160" s="13" t="s">
        <v>1601</v>
      </c>
      <c r="O160" s="14">
        <f>+J160*L160*5</f>
        <v>237500</v>
      </c>
      <c r="P160" s="14">
        <f>+L160*K160*5</f>
        <v>237500</v>
      </c>
      <c r="Q160" s="14">
        <f>+$O$160*0.2</f>
        <v>47500</v>
      </c>
      <c r="R160" s="14">
        <f>+$O$160*0.2</f>
        <v>47500</v>
      </c>
      <c r="S160" s="14">
        <f t="shared" ref="S160:U160" si="83">+$O$160*0.2</f>
        <v>47500</v>
      </c>
      <c r="T160" s="14">
        <f t="shared" si="83"/>
        <v>47500</v>
      </c>
      <c r="U160" s="14">
        <f t="shared" si="83"/>
        <v>47500</v>
      </c>
      <c r="V160" s="10"/>
      <c r="W160" s="13"/>
      <c r="X160" s="13"/>
      <c r="Y160" s="13" t="s">
        <v>148</v>
      </c>
      <c r="Z160" s="13"/>
      <c r="AA160" s="13" t="str">
        <f t="shared" ref="AA160" si="84">+B160</f>
        <v>RE</v>
      </c>
      <c r="AB160" s="13">
        <v>3</v>
      </c>
    </row>
    <row r="161" spans="1:28" ht="104.45" customHeight="1" x14ac:dyDescent="0.25">
      <c r="A161" s="337" t="s">
        <v>259</v>
      </c>
      <c r="B161" s="285"/>
      <c r="C161" s="12" t="s">
        <v>1839</v>
      </c>
      <c r="D161" s="788" t="s">
        <v>276</v>
      </c>
      <c r="E161" s="788" t="s">
        <v>1840</v>
      </c>
      <c r="F161" s="13" t="s">
        <v>1453</v>
      </c>
      <c r="G161" s="24" t="str">
        <f>+'8. BASE  CONSOLIDADA'!O202</f>
        <v>TRANSVERSALES X UDT</v>
      </c>
      <c r="H161" s="24" t="str">
        <f>+'8. BASE  CONSOLIDADA'!P202</f>
        <v>C18</v>
      </c>
      <c r="I161" s="69">
        <v>328</v>
      </c>
      <c r="J161" s="75">
        <f>+I161*0.1</f>
        <v>32.800000000000004</v>
      </c>
      <c r="K161" s="75">
        <f>+I161*0.1</f>
        <v>32.800000000000004</v>
      </c>
      <c r="L161" s="28">
        <v>800000</v>
      </c>
      <c r="M161" s="788" t="s">
        <v>1608</v>
      </c>
      <c r="N161" s="13" t="s">
        <v>1455</v>
      </c>
      <c r="O161" s="14">
        <f t="shared" ref="O161:O163" si="85">+J161*L161</f>
        <v>26240000.000000004</v>
      </c>
      <c r="P161" s="14">
        <f>+L161*K161</f>
        <v>26240000.000000004</v>
      </c>
      <c r="Q161" s="14">
        <f t="shared" ref="Q161:U161" si="86">+$O$161*0.2</f>
        <v>5248000.0000000009</v>
      </c>
      <c r="R161" s="14">
        <f t="shared" si="86"/>
        <v>5248000.0000000009</v>
      </c>
      <c r="S161" s="14">
        <f t="shared" si="86"/>
        <v>5248000.0000000009</v>
      </c>
      <c r="T161" s="14">
        <f t="shared" si="86"/>
        <v>5248000.0000000009</v>
      </c>
      <c r="U161" s="14">
        <f t="shared" si="86"/>
        <v>5248000.0000000009</v>
      </c>
      <c r="V161" s="10"/>
      <c r="W161" s="13" t="s">
        <v>148</v>
      </c>
      <c r="X161" s="13"/>
      <c r="Y161" s="13"/>
      <c r="Z161" s="13"/>
      <c r="AA161" s="13"/>
      <c r="AB161" s="13">
        <v>2</v>
      </c>
    </row>
    <row r="162" spans="1:28" ht="54" customHeight="1" x14ac:dyDescent="0.25">
      <c r="A162" s="337" t="s">
        <v>259</v>
      </c>
      <c r="B162" s="285" t="s">
        <v>254</v>
      </c>
      <c r="C162" s="12" t="s">
        <v>1841</v>
      </c>
      <c r="D162" s="788" t="s">
        <v>269</v>
      </c>
      <c r="E162" s="788" t="s">
        <v>1842</v>
      </c>
      <c r="F162" s="13" t="s">
        <v>1440</v>
      </c>
      <c r="G162" s="24" t="str">
        <f>+'8. BASE  CONSOLIDADA'!O203</f>
        <v>TRANSVERSALES X UDT</v>
      </c>
      <c r="H162" s="24" t="str">
        <f>+'8. BASE  CONSOLIDADA'!P203</f>
        <v>C18</v>
      </c>
      <c r="I162" s="13">
        <v>3078.73</v>
      </c>
      <c r="J162" s="39">
        <f>+$I$162*0.5</f>
        <v>1539.365</v>
      </c>
      <c r="K162" s="39">
        <f>+$I$162*0.5</f>
        <v>1539.365</v>
      </c>
      <c r="L162" s="28">
        <v>500</v>
      </c>
      <c r="M162" s="788" t="s">
        <v>1441</v>
      </c>
      <c r="N162" s="13" t="s">
        <v>996</v>
      </c>
      <c r="O162" s="14">
        <f>J162*$L$162</f>
        <v>769682.5</v>
      </c>
      <c r="P162" s="14">
        <f>K162*$L$162</f>
        <v>769682.5</v>
      </c>
      <c r="Q162" s="14">
        <f>$O$162*0.2</f>
        <v>153936.5</v>
      </c>
      <c r="R162" s="14">
        <f t="shared" ref="R162:U162" si="87">$O$162*0.2</f>
        <v>153936.5</v>
      </c>
      <c r="S162" s="14">
        <f t="shared" si="87"/>
        <v>153936.5</v>
      </c>
      <c r="T162" s="14">
        <f t="shared" si="87"/>
        <v>153936.5</v>
      </c>
      <c r="U162" s="14">
        <f t="shared" si="87"/>
        <v>153936.5</v>
      </c>
      <c r="V162" s="30"/>
      <c r="W162" s="13"/>
      <c r="X162" s="13"/>
      <c r="Y162" s="13" t="s">
        <v>148</v>
      </c>
      <c r="Z162" s="13"/>
      <c r="AA162" s="13" t="str">
        <f t="shared" ref="AA162:AA164" si="88">+B162</f>
        <v>RE</v>
      </c>
      <c r="AB162" s="13">
        <v>3</v>
      </c>
    </row>
    <row r="163" spans="1:28" ht="77.3" customHeight="1" x14ac:dyDescent="0.25">
      <c r="A163" s="337" t="s">
        <v>259</v>
      </c>
      <c r="B163" s="285" t="s">
        <v>254</v>
      </c>
      <c r="C163" s="12" t="s">
        <v>1843</v>
      </c>
      <c r="D163" s="791" t="s">
        <v>273</v>
      </c>
      <c r="E163" s="791" t="s">
        <v>1844</v>
      </c>
      <c r="F163" s="69" t="s">
        <v>1614</v>
      </c>
      <c r="G163" s="24" t="str">
        <f>+'8. BASE  CONSOLIDADA'!O204</f>
        <v>TRANSVERSALES X UDT</v>
      </c>
      <c r="H163" s="24" t="str">
        <f>+'8. BASE  CONSOLIDADA'!P204</f>
        <v>C18</v>
      </c>
      <c r="I163" s="69"/>
      <c r="J163" s="75">
        <v>2</v>
      </c>
      <c r="K163" s="75">
        <v>2</v>
      </c>
      <c r="L163" s="76">
        <v>3500000</v>
      </c>
      <c r="M163" s="791" t="s">
        <v>1615</v>
      </c>
      <c r="N163" s="69" t="s">
        <v>1455</v>
      </c>
      <c r="O163" s="28">
        <f t="shared" si="85"/>
        <v>7000000</v>
      </c>
      <c r="P163" s="28">
        <f>+K163*L163</f>
        <v>7000000</v>
      </c>
      <c r="Q163" s="180">
        <f>+$O$163*0.2</f>
        <v>1400000</v>
      </c>
      <c r="R163" s="180">
        <f>+$O$163*0.3</f>
        <v>2100000</v>
      </c>
      <c r="S163" s="180">
        <f>+$O$163*0.5</f>
        <v>3500000</v>
      </c>
      <c r="T163" s="180"/>
      <c r="U163" s="180"/>
      <c r="V163" s="30"/>
      <c r="W163" s="10"/>
      <c r="X163" s="12" t="s">
        <v>148</v>
      </c>
      <c r="Y163" s="10"/>
      <c r="Z163" s="10"/>
      <c r="AA163" s="13" t="str">
        <f t="shared" si="88"/>
        <v>RE</v>
      </c>
      <c r="AB163" s="13">
        <v>3</v>
      </c>
    </row>
    <row r="164" spans="1:28" ht="72" customHeight="1" x14ac:dyDescent="0.25">
      <c r="A164" s="337" t="s">
        <v>259</v>
      </c>
      <c r="B164" s="285" t="s">
        <v>254</v>
      </c>
      <c r="C164" s="12" t="s">
        <v>1845</v>
      </c>
      <c r="D164" s="788" t="s">
        <v>272</v>
      </c>
      <c r="E164" s="788" t="s">
        <v>1617</v>
      </c>
      <c r="F164" s="13" t="s">
        <v>1465</v>
      </c>
      <c r="G164" s="24" t="str">
        <f>+'8. BASE  CONSOLIDADA'!O205</f>
        <v>TRANSVERSALES X UDT</v>
      </c>
      <c r="H164" s="24" t="str">
        <f>+'8. BASE  CONSOLIDADA'!P205</f>
        <v>C18</v>
      </c>
      <c r="I164" s="13"/>
      <c r="J164" s="31">
        <f t="shared" ref="J164:K164" si="89">+((27105*0.05)/150)*3*5</f>
        <v>135.52500000000001</v>
      </c>
      <c r="K164" s="31">
        <f t="shared" si="89"/>
        <v>135.52500000000001</v>
      </c>
      <c r="L164" s="76">
        <v>5000</v>
      </c>
      <c r="M164" s="788" t="s">
        <v>1466</v>
      </c>
      <c r="N164" s="13" t="s">
        <v>1619</v>
      </c>
      <c r="O164" s="28">
        <f t="shared" ref="O164:O165" si="90">+J164*L164*5</f>
        <v>3388125</v>
      </c>
      <c r="P164" s="28">
        <f>+K164*L164*5</f>
        <v>3388125</v>
      </c>
      <c r="Q164" s="180">
        <f t="shared" ref="Q164:U164" si="91">+$O$164*0.2</f>
        <v>677625</v>
      </c>
      <c r="R164" s="180">
        <f t="shared" si="91"/>
        <v>677625</v>
      </c>
      <c r="S164" s="180">
        <f t="shared" si="91"/>
        <v>677625</v>
      </c>
      <c r="T164" s="180">
        <f t="shared" si="91"/>
        <v>677625</v>
      </c>
      <c r="U164" s="180">
        <f t="shared" si="91"/>
        <v>677625</v>
      </c>
      <c r="V164" s="30"/>
      <c r="W164" s="10"/>
      <c r="X164" s="12" t="s">
        <v>148</v>
      </c>
      <c r="Y164" s="10"/>
      <c r="Z164" s="10"/>
      <c r="AA164" s="13" t="str">
        <f t="shared" si="88"/>
        <v>RE</v>
      </c>
      <c r="AB164" s="13">
        <v>3</v>
      </c>
    </row>
    <row r="165" spans="1:28" ht="43.5" customHeight="1" x14ac:dyDescent="0.25">
      <c r="A165" s="337" t="s">
        <v>259</v>
      </c>
      <c r="B165" s="285"/>
      <c r="C165" s="12" t="s">
        <v>1846</v>
      </c>
      <c r="D165" s="788" t="s">
        <v>266</v>
      </c>
      <c r="E165" s="373" t="s">
        <v>1468</v>
      </c>
      <c r="F165" s="183" t="s">
        <v>1621</v>
      </c>
      <c r="G165" s="24" t="str">
        <f>+'8. BASE  CONSOLIDADA'!O206</f>
        <v>TRANSVERSALES X UDT</v>
      </c>
      <c r="H165" s="24" t="str">
        <f>+'8. BASE  CONSOLIDADA'!P206</f>
        <v>C18</v>
      </c>
      <c r="I165" s="183"/>
      <c r="J165" s="13">
        <v>10</v>
      </c>
      <c r="K165" s="13">
        <v>15</v>
      </c>
      <c r="L165" s="26">
        <v>3000</v>
      </c>
      <c r="M165" s="788" t="s">
        <v>1470</v>
      </c>
      <c r="N165" s="13" t="s">
        <v>54</v>
      </c>
      <c r="O165" s="14">
        <f t="shared" si="90"/>
        <v>150000</v>
      </c>
      <c r="P165" s="14">
        <f>+L165*K165*5</f>
        <v>225000</v>
      </c>
      <c r="Q165" s="14">
        <f t="shared" ref="Q165:U165" si="92">+$O$165*0.2</f>
        <v>30000</v>
      </c>
      <c r="R165" s="14">
        <f t="shared" si="92"/>
        <v>30000</v>
      </c>
      <c r="S165" s="14">
        <f t="shared" si="92"/>
        <v>30000</v>
      </c>
      <c r="T165" s="14">
        <f t="shared" si="92"/>
        <v>30000</v>
      </c>
      <c r="U165" s="14">
        <f t="shared" si="92"/>
        <v>30000</v>
      </c>
      <c r="V165" s="30"/>
      <c r="W165" s="13"/>
      <c r="X165" s="13"/>
      <c r="Y165" s="13" t="s">
        <v>148</v>
      </c>
      <c r="Z165" s="13"/>
      <c r="AA165" s="13"/>
      <c r="AB165" s="13">
        <v>3</v>
      </c>
    </row>
    <row r="166" spans="1:28" ht="18.7" customHeight="1" x14ac:dyDescent="0.25">
      <c r="A166" s="825"/>
      <c r="B166" s="16"/>
      <c r="C166" s="1"/>
      <c r="D166" s="1"/>
      <c r="E166" s="1"/>
      <c r="F166" s="1"/>
      <c r="G166" s="22"/>
      <c r="H166" s="22"/>
      <c r="I166" s="1"/>
      <c r="J166" s="1"/>
      <c r="K166" s="1"/>
      <c r="L166" s="1"/>
      <c r="M166" s="262"/>
      <c r="N166" s="1"/>
      <c r="O166" s="29">
        <f>SUM(O160:O165)</f>
        <v>37785307.5</v>
      </c>
      <c r="P166" s="29">
        <f t="shared" ref="P166:U166" si="93">SUM(P160:P165)</f>
        <v>37860307.5</v>
      </c>
      <c r="Q166" s="29">
        <f t="shared" si="93"/>
        <v>7557061.5000000009</v>
      </c>
      <c r="R166" s="29">
        <f t="shared" si="93"/>
        <v>8257061.5000000009</v>
      </c>
      <c r="S166" s="29">
        <f t="shared" si="93"/>
        <v>9657061.5</v>
      </c>
      <c r="T166" s="29">
        <f t="shared" si="93"/>
        <v>6157061.5000000009</v>
      </c>
      <c r="U166" s="29">
        <f t="shared" si="93"/>
        <v>6157061.5000000009</v>
      </c>
      <c r="V166" s="1"/>
      <c r="W166" s="1"/>
      <c r="X166" s="1"/>
      <c r="Y166" s="1"/>
      <c r="Z166" s="1"/>
      <c r="AA166" s="1"/>
      <c r="AB166" s="1"/>
    </row>
    <row r="167" spans="1:28" ht="18.7" customHeight="1" x14ac:dyDescent="0.25">
      <c r="A167" s="825"/>
      <c r="B167" s="16"/>
      <c r="C167" s="1"/>
      <c r="D167" s="366"/>
      <c r="E167" s="366"/>
      <c r="F167" s="366"/>
      <c r="G167" s="366"/>
      <c r="H167" s="366"/>
      <c r="I167" s="366"/>
      <c r="J167" s="366"/>
      <c r="K167" s="366"/>
      <c r="L167" s="366"/>
      <c r="M167" s="1460" t="s">
        <v>1847</v>
      </c>
      <c r="N167" s="1394"/>
      <c r="O167" s="40">
        <f>+O35+O54+O69+O88+O104+O123+O138+O166+O154</f>
        <v>448580347.08427739</v>
      </c>
      <c r="P167" s="40">
        <f t="shared" ref="P167:U167" si="94">+P35+P54+P69+P88+P104+P123+P138+P166+P154</f>
        <v>464582313.94827741</v>
      </c>
      <c r="Q167" s="40">
        <f t="shared" si="94"/>
        <v>92043940.67065005</v>
      </c>
      <c r="R167" s="40">
        <f t="shared" si="94"/>
        <v>89487844.091680408</v>
      </c>
      <c r="S167" s="40">
        <f t="shared" si="94"/>
        <v>91026815.76616469</v>
      </c>
      <c r="T167" s="40">
        <f t="shared" si="94"/>
        <v>88185559.115133241</v>
      </c>
      <c r="U167" s="40">
        <f t="shared" si="94"/>
        <v>87836187.440648958</v>
      </c>
      <c r="V167" s="366"/>
      <c r="W167" s="1"/>
      <c r="X167" s="1"/>
      <c r="Y167" s="1"/>
      <c r="Z167" s="1"/>
      <c r="AA167" s="1"/>
      <c r="AB167" s="1"/>
    </row>
    <row r="168" spans="1:28" ht="11.25" customHeight="1" x14ac:dyDescent="0.25">
      <c r="A168" s="825"/>
      <c r="B168" s="16"/>
      <c r="C168" s="1"/>
      <c r="D168" s="366"/>
      <c r="E168" s="366"/>
      <c r="F168" s="366"/>
      <c r="G168" s="366"/>
      <c r="H168" s="366"/>
      <c r="I168" s="366"/>
      <c r="J168" s="366"/>
      <c r="K168" s="366"/>
      <c r="L168" s="366"/>
      <c r="M168" s="264"/>
      <c r="N168" s="366"/>
      <c r="O168" s="366"/>
      <c r="P168" s="366"/>
      <c r="Q168" s="366"/>
      <c r="R168" s="366"/>
      <c r="S168" s="366"/>
      <c r="T168" s="366"/>
      <c r="U168" s="366"/>
      <c r="V168" s="366"/>
      <c r="W168" s="1"/>
      <c r="X168" s="1"/>
      <c r="Y168" s="1"/>
      <c r="Z168" s="1"/>
      <c r="AA168" s="1"/>
      <c r="AB168" s="1"/>
    </row>
    <row r="169" spans="1:28" ht="11.25" customHeight="1" x14ac:dyDescent="0.25">
      <c r="A169" s="825"/>
      <c r="B169" s="16"/>
      <c r="C169" s="1"/>
      <c r="D169" s="366"/>
      <c r="E169" s="366"/>
      <c r="F169" s="366"/>
      <c r="G169" s="366"/>
      <c r="H169" s="366"/>
      <c r="I169" s="366"/>
      <c r="J169" s="366"/>
      <c r="K169" s="366"/>
      <c r="L169" s="366"/>
      <c r="M169" s="264"/>
      <c r="N169" s="366"/>
      <c r="O169" s="366"/>
      <c r="P169" s="366"/>
      <c r="Q169" s="366"/>
      <c r="R169" s="366"/>
      <c r="S169" s="366"/>
      <c r="T169" s="366"/>
      <c r="U169" s="366"/>
      <c r="V169" s="366"/>
      <c r="W169" s="1"/>
      <c r="X169" s="1"/>
      <c r="Y169" s="1"/>
      <c r="Z169" s="1"/>
      <c r="AA169" s="1"/>
      <c r="AB169" s="1"/>
    </row>
    <row r="170" spans="1:28" ht="11.25" customHeight="1" x14ac:dyDescent="0.25">
      <c r="A170" s="825"/>
      <c r="B170" s="16"/>
      <c r="C170" s="1"/>
      <c r="D170" s="366"/>
      <c r="E170" s="366"/>
      <c r="F170" s="366"/>
      <c r="G170" s="366"/>
      <c r="H170" s="366"/>
      <c r="I170" s="366"/>
      <c r="J170" s="366"/>
      <c r="K170" s="366"/>
      <c r="L170" s="366"/>
      <c r="M170" s="264"/>
      <c r="N170" s="366"/>
      <c r="O170" s="366"/>
      <c r="P170" s="366"/>
      <c r="Q170" s="366"/>
      <c r="R170" s="366"/>
      <c r="S170" s="366"/>
      <c r="T170" s="366"/>
      <c r="U170" s="366"/>
      <c r="V170" s="366"/>
      <c r="W170" s="1"/>
      <c r="X170" s="1"/>
      <c r="Y170" s="1"/>
      <c r="Z170" s="1"/>
      <c r="AA170" s="1"/>
      <c r="AB170" s="1"/>
    </row>
    <row r="171" spans="1:28" ht="11.25" customHeight="1" x14ac:dyDescent="0.25">
      <c r="A171" s="825"/>
      <c r="B171" s="16"/>
      <c r="C171" s="1"/>
      <c r="D171" s="366"/>
      <c r="E171" s="366"/>
      <c r="F171" s="366"/>
      <c r="G171" s="366"/>
      <c r="H171" s="366"/>
      <c r="I171" s="366"/>
      <c r="J171" s="366"/>
      <c r="K171" s="366"/>
      <c r="L171" s="366"/>
      <c r="M171" s="264"/>
      <c r="N171" s="366"/>
      <c r="O171" s="366"/>
      <c r="P171" s="366"/>
      <c r="Q171" s="366"/>
      <c r="R171" s="366"/>
      <c r="S171" s="366"/>
      <c r="T171" s="366"/>
      <c r="U171" s="366"/>
      <c r="V171" s="366"/>
      <c r="W171" s="1"/>
      <c r="X171" s="1"/>
      <c r="Y171" s="1"/>
      <c r="Z171" s="1"/>
      <c r="AA171" s="1"/>
      <c r="AB171" s="1"/>
    </row>
    <row r="172" spans="1:28" ht="11.25" customHeight="1" x14ac:dyDescent="0.25">
      <c r="A172" s="825"/>
      <c r="B172" s="16"/>
      <c r="C172" s="1"/>
      <c r="D172" s="366"/>
      <c r="E172" s="366"/>
      <c r="F172" s="366"/>
      <c r="G172" s="366"/>
      <c r="H172" s="366"/>
      <c r="I172" s="366"/>
      <c r="J172" s="366"/>
      <c r="K172" s="366"/>
      <c r="L172" s="366"/>
      <c r="M172" s="264"/>
      <c r="N172" s="366"/>
      <c r="O172" s="366"/>
      <c r="P172" s="366"/>
      <c r="Q172" s="366"/>
      <c r="R172" s="366"/>
      <c r="S172" s="366"/>
      <c r="T172" s="366"/>
      <c r="U172" s="366"/>
      <c r="V172" s="366"/>
      <c r="W172" s="1"/>
      <c r="X172" s="1"/>
      <c r="Y172" s="1"/>
      <c r="Z172" s="1"/>
      <c r="AA172" s="1"/>
      <c r="AB172" s="1"/>
    </row>
    <row r="173" spans="1:28" ht="11.25" customHeight="1" x14ac:dyDescent="0.25">
      <c r="A173" s="825"/>
      <c r="B173" s="16"/>
      <c r="C173" s="1"/>
      <c r="D173" s="366"/>
      <c r="E173" s="366"/>
      <c r="F173" s="366"/>
      <c r="G173" s="366"/>
      <c r="H173" s="366"/>
      <c r="I173" s="366"/>
      <c r="J173" s="366"/>
      <c r="K173" s="366"/>
      <c r="L173" s="366"/>
      <c r="M173" s="264"/>
      <c r="N173" s="366"/>
      <c r="O173" s="366"/>
      <c r="P173" s="366"/>
      <c r="Q173" s="366"/>
      <c r="R173" s="366"/>
      <c r="S173" s="366"/>
      <c r="T173" s="366"/>
      <c r="U173" s="366"/>
      <c r="V173" s="366"/>
      <c r="W173" s="1"/>
      <c r="X173" s="1"/>
      <c r="Y173" s="1"/>
      <c r="Z173" s="1"/>
      <c r="AA173" s="1"/>
      <c r="AB173" s="1"/>
    </row>
    <row r="174" spans="1:28" ht="11.25" customHeight="1" x14ac:dyDescent="0.25">
      <c r="A174" s="825"/>
      <c r="B174" s="16"/>
      <c r="C174" s="1"/>
      <c r="D174" s="366"/>
      <c r="E174" s="366"/>
      <c r="F174" s="366"/>
      <c r="G174" s="366"/>
      <c r="H174" s="366"/>
      <c r="I174" s="366"/>
      <c r="J174" s="366"/>
      <c r="K174" s="366"/>
      <c r="L174" s="366"/>
      <c r="M174" s="264"/>
      <c r="N174" s="366"/>
      <c r="O174" s="366"/>
      <c r="P174" s="366"/>
      <c r="Q174" s="366"/>
      <c r="R174" s="366"/>
      <c r="S174" s="366"/>
      <c r="T174" s="366"/>
      <c r="U174" s="366"/>
      <c r="V174" s="366"/>
      <c r="W174" s="1"/>
      <c r="X174" s="1"/>
      <c r="Y174" s="1"/>
      <c r="Z174" s="1"/>
      <c r="AA174" s="1"/>
      <c r="AB174" s="1"/>
    </row>
    <row r="175" spans="1:28" ht="11.25" customHeight="1" x14ac:dyDescent="0.25">
      <c r="A175" s="825"/>
      <c r="B175" s="16"/>
      <c r="C175" s="1"/>
      <c r="D175" s="366"/>
      <c r="E175" s="366"/>
      <c r="F175" s="366"/>
      <c r="G175" s="366"/>
      <c r="H175" s="366"/>
      <c r="I175" s="366"/>
      <c r="J175" s="366"/>
      <c r="K175" s="366"/>
      <c r="L175" s="366"/>
      <c r="M175" s="264"/>
      <c r="N175" s="366"/>
      <c r="O175" s="366"/>
      <c r="P175" s="366"/>
      <c r="Q175" s="366"/>
      <c r="R175" s="366"/>
      <c r="S175" s="366"/>
      <c r="T175" s="366"/>
      <c r="U175" s="366"/>
      <c r="V175" s="366"/>
      <c r="W175" s="1"/>
      <c r="X175" s="1"/>
      <c r="Y175" s="1"/>
      <c r="Z175" s="1"/>
      <c r="AA175" s="1"/>
      <c r="AB175" s="1"/>
    </row>
    <row r="176" spans="1:28" ht="11.25" customHeight="1" x14ac:dyDescent="0.25">
      <c r="A176" s="825"/>
      <c r="B176" s="16"/>
      <c r="C176" s="1"/>
      <c r="D176" s="366"/>
      <c r="E176" s="366"/>
      <c r="F176" s="366"/>
      <c r="G176" s="366"/>
      <c r="H176" s="366"/>
      <c r="I176" s="366"/>
      <c r="J176" s="366"/>
      <c r="K176" s="366"/>
      <c r="L176" s="366"/>
      <c r="M176" s="264"/>
      <c r="N176" s="366"/>
      <c r="O176" s="366"/>
      <c r="P176" s="366"/>
      <c r="Q176" s="366"/>
      <c r="R176" s="366"/>
      <c r="S176" s="366"/>
      <c r="T176" s="366"/>
      <c r="U176" s="366"/>
      <c r="V176" s="366"/>
      <c r="W176" s="1"/>
      <c r="X176" s="1"/>
      <c r="Y176" s="1"/>
      <c r="Z176" s="1"/>
      <c r="AA176" s="1"/>
      <c r="AB176" s="1"/>
    </row>
    <row r="177" spans="1:28" ht="11.25" customHeight="1" x14ac:dyDescent="0.25">
      <c r="A177" s="825"/>
      <c r="B177" s="16"/>
      <c r="C177" s="1"/>
      <c r="D177" s="366"/>
      <c r="E177" s="366"/>
      <c r="F177" s="366"/>
      <c r="G177" s="366"/>
      <c r="H177" s="366"/>
      <c r="I177" s="366"/>
      <c r="J177" s="366"/>
      <c r="K177" s="366"/>
      <c r="L177" s="366"/>
      <c r="M177" s="264"/>
      <c r="N177" s="366"/>
      <c r="O177" s="366"/>
      <c r="P177" s="366"/>
      <c r="Q177" s="366"/>
      <c r="R177" s="366"/>
      <c r="S177" s="366"/>
      <c r="T177" s="366"/>
      <c r="U177" s="366"/>
      <c r="V177" s="366"/>
      <c r="W177" s="1"/>
      <c r="X177" s="1"/>
      <c r="Y177" s="1"/>
      <c r="Z177" s="1"/>
      <c r="AA177" s="1"/>
      <c r="AB177" s="1"/>
    </row>
    <row r="178" spans="1:28" ht="11.25" customHeight="1" x14ac:dyDescent="0.25">
      <c r="A178" s="825"/>
      <c r="B178" s="16"/>
      <c r="C178" s="1"/>
      <c r="D178" s="366"/>
      <c r="E178" s="366"/>
      <c r="F178" s="366"/>
      <c r="G178" s="366"/>
      <c r="H178" s="366"/>
      <c r="I178" s="366"/>
      <c r="J178" s="366"/>
      <c r="K178" s="366"/>
      <c r="L178" s="366"/>
      <c r="M178" s="264"/>
      <c r="N178" s="366"/>
      <c r="O178" s="366"/>
      <c r="P178" s="366"/>
      <c r="Q178" s="366"/>
      <c r="R178" s="366"/>
      <c r="S178" s="366"/>
      <c r="T178" s="366"/>
      <c r="U178" s="366"/>
      <c r="V178" s="366"/>
      <c r="W178" s="1"/>
      <c r="X178" s="1"/>
      <c r="Y178" s="1"/>
      <c r="Z178" s="1"/>
      <c r="AA178" s="1"/>
      <c r="AB178" s="1"/>
    </row>
    <row r="179" spans="1:28" ht="11.25" customHeight="1" x14ac:dyDescent="0.25">
      <c r="A179" s="825"/>
      <c r="B179" s="16"/>
      <c r="C179" s="1"/>
      <c r="D179" s="366"/>
      <c r="E179" s="366"/>
      <c r="F179" s="366"/>
      <c r="G179" s="366"/>
      <c r="H179" s="366"/>
      <c r="I179" s="366"/>
      <c r="J179" s="366"/>
      <c r="K179" s="366"/>
      <c r="L179" s="366"/>
      <c r="M179" s="264"/>
      <c r="N179" s="366"/>
      <c r="O179" s="366"/>
      <c r="P179" s="366"/>
      <c r="Q179" s="366"/>
      <c r="R179" s="366"/>
      <c r="S179" s="366"/>
      <c r="T179" s="366"/>
      <c r="U179" s="366"/>
      <c r="V179" s="366"/>
      <c r="W179" s="1"/>
      <c r="X179" s="1"/>
      <c r="Y179" s="1"/>
      <c r="Z179" s="1"/>
      <c r="AA179" s="1"/>
      <c r="AB179" s="1"/>
    </row>
    <row r="180" spans="1:28" ht="11.25" customHeight="1" x14ac:dyDescent="0.25">
      <c r="A180" s="825"/>
      <c r="B180" s="16"/>
      <c r="C180" s="1"/>
      <c r="D180" s="366"/>
      <c r="E180" s="366"/>
      <c r="F180" s="366"/>
      <c r="G180" s="366"/>
      <c r="H180" s="366"/>
      <c r="I180" s="366"/>
      <c r="J180" s="366"/>
      <c r="K180" s="366"/>
      <c r="L180" s="366"/>
      <c r="M180" s="264"/>
      <c r="N180" s="366"/>
      <c r="O180" s="366"/>
      <c r="P180" s="366"/>
      <c r="Q180" s="366"/>
      <c r="R180" s="366"/>
      <c r="S180" s="366"/>
      <c r="T180" s="366"/>
      <c r="U180" s="366"/>
      <c r="V180" s="366"/>
      <c r="W180" s="1"/>
      <c r="X180" s="1"/>
      <c r="Y180" s="1"/>
      <c r="Z180" s="1"/>
      <c r="AA180" s="1"/>
      <c r="AB180" s="1"/>
    </row>
    <row r="181" spans="1:28" ht="11.25" customHeight="1" x14ac:dyDescent="0.25">
      <c r="B181" s="16"/>
      <c r="C181" s="1"/>
      <c r="D181" s="366"/>
      <c r="E181" s="366"/>
      <c r="F181" s="366"/>
      <c r="G181" s="366"/>
      <c r="H181" s="366"/>
      <c r="I181" s="366"/>
      <c r="J181" s="366"/>
      <c r="K181" s="366"/>
      <c r="L181" s="366"/>
      <c r="M181" s="264"/>
      <c r="N181" s="366"/>
      <c r="O181" s="366"/>
      <c r="P181" s="366"/>
      <c r="Q181" s="366"/>
      <c r="R181" s="366"/>
      <c r="S181" s="366"/>
      <c r="T181" s="366"/>
      <c r="U181" s="366"/>
      <c r="V181" s="366"/>
      <c r="W181" s="1"/>
      <c r="X181" s="1"/>
      <c r="Y181" s="1"/>
      <c r="Z181" s="1"/>
      <c r="AA181" s="1"/>
      <c r="AB181" s="1"/>
    </row>
    <row r="182" spans="1:28" ht="11.25" customHeight="1" x14ac:dyDescent="0.25">
      <c r="B182" s="16"/>
      <c r="C182" s="1"/>
      <c r="D182" s="366"/>
      <c r="E182" s="366"/>
      <c r="F182" s="366"/>
      <c r="G182" s="366"/>
      <c r="H182" s="366"/>
      <c r="I182" s="366"/>
      <c r="J182" s="366"/>
      <c r="K182" s="366"/>
      <c r="L182" s="366"/>
      <c r="M182" s="264"/>
      <c r="N182" s="366"/>
      <c r="O182" s="366"/>
      <c r="P182" s="366"/>
      <c r="Q182" s="366"/>
      <c r="R182" s="366"/>
      <c r="S182" s="366"/>
      <c r="T182" s="366"/>
      <c r="U182" s="366"/>
      <c r="V182" s="366"/>
      <c r="W182" s="1"/>
      <c r="X182" s="1"/>
      <c r="Y182" s="1"/>
      <c r="Z182" s="1"/>
      <c r="AA182" s="1"/>
      <c r="AB182" s="1"/>
    </row>
    <row r="183" spans="1:28" ht="11.25" customHeight="1" x14ac:dyDescent="0.25">
      <c r="B183" s="16"/>
      <c r="C183" s="1"/>
      <c r="D183" s="366"/>
      <c r="E183" s="366"/>
      <c r="F183" s="366"/>
      <c r="G183" s="366"/>
      <c r="H183" s="366"/>
      <c r="I183" s="366"/>
      <c r="J183" s="366"/>
      <c r="K183" s="366"/>
      <c r="L183" s="366"/>
      <c r="M183" s="264"/>
      <c r="N183" s="366"/>
      <c r="O183" s="366"/>
      <c r="P183" s="366"/>
      <c r="Q183" s="366"/>
      <c r="R183" s="366"/>
      <c r="S183" s="366"/>
      <c r="T183" s="366"/>
      <c r="U183" s="366"/>
      <c r="V183" s="366"/>
      <c r="W183" s="1"/>
      <c r="X183" s="1"/>
      <c r="Y183" s="1"/>
      <c r="Z183" s="1"/>
      <c r="AA183" s="1"/>
      <c r="AB183" s="1"/>
    </row>
    <row r="184" spans="1:28" ht="11.25" customHeight="1" x14ac:dyDescent="0.25">
      <c r="B184" s="16"/>
      <c r="C184" s="1"/>
      <c r="D184" s="366"/>
      <c r="E184" s="366"/>
      <c r="F184" s="366"/>
      <c r="G184" s="366"/>
      <c r="H184" s="366"/>
      <c r="I184" s="366"/>
      <c r="J184" s="366"/>
      <c r="K184" s="366"/>
      <c r="L184" s="366"/>
      <c r="M184" s="264"/>
      <c r="N184" s="366"/>
      <c r="O184" s="366"/>
      <c r="P184" s="366"/>
      <c r="Q184" s="366"/>
      <c r="R184" s="366"/>
      <c r="S184" s="366"/>
      <c r="T184" s="366"/>
      <c r="U184" s="366"/>
      <c r="V184" s="366"/>
      <c r="W184" s="1"/>
      <c r="X184" s="1"/>
      <c r="Y184" s="1"/>
      <c r="Z184" s="1"/>
      <c r="AA184" s="1"/>
      <c r="AB184" s="1"/>
    </row>
    <row r="185" spans="1:28" ht="11.25" customHeight="1" x14ac:dyDescent="0.25">
      <c r="B185" s="16"/>
      <c r="C185" s="1"/>
      <c r="D185" s="1"/>
      <c r="E185" s="1"/>
      <c r="F185" s="1"/>
      <c r="G185" s="22"/>
      <c r="H185" s="22"/>
      <c r="I185" s="1"/>
      <c r="J185" s="1"/>
      <c r="K185" s="1"/>
      <c r="L185" s="1"/>
      <c r="M185" s="262"/>
      <c r="N185" s="1"/>
      <c r="O185" s="1"/>
      <c r="P185" s="1"/>
      <c r="Q185" s="1"/>
      <c r="R185" s="1"/>
      <c r="S185" s="1"/>
      <c r="T185" s="1"/>
      <c r="U185" s="1"/>
      <c r="V185" s="1"/>
      <c r="W185" s="1"/>
      <c r="X185" s="1"/>
      <c r="Y185" s="1"/>
      <c r="Z185" s="1"/>
      <c r="AA185" s="1"/>
      <c r="AB185" s="1"/>
    </row>
    <row r="186" spans="1:28" ht="11.25" customHeight="1" x14ac:dyDescent="0.25">
      <c r="B186" s="16"/>
      <c r="C186" s="1"/>
      <c r="D186" s="1"/>
      <c r="E186" s="1"/>
      <c r="F186" s="1"/>
      <c r="G186" s="22"/>
      <c r="H186" s="22"/>
      <c r="I186" s="1"/>
      <c r="J186" s="1"/>
      <c r="K186" s="1"/>
      <c r="L186" s="1"/>
      <c r="M186" s="262"/>
      <c r="N186" s="1"/>
      <c r="O186" s="1"/>
      <c r="P186" s="1"/>
      <c r="Q186" s="1"/>
      <c r="R186" s="1"/>
      <c r="S186" s="1"/>
      <c r="T186" s="1"/>
      <c r="U186" s="1"/>
      <c r="V186" s="1"/>
      <c r="W186" s="1"/>
      <c r="X186" s="1"/>
      <c r="Y186" s="1"/>
      <c r="Z186" s="1"/>
      <c r="AA186" s="1"/>
      <c r="AB186" s="1"/>
    </row>
    <row r="187" spans="1:28" ht="11.25" customHeight="1" x14ac:dyDescent="0.25">
      <c r="B187" s="16"/>
      <c r="C187" s="1"/>
      <c r="D187" s="1"/>
      <c r="E187" s="1"/>
      <c r="F187" s="1"/>
      <c r="G187" s="22"/>
      <c r="H187" s="22"/>
      <c r="I187" s="1"/>
      <c r="J187" s="1"/>
      <c r="K187" s="1"/>
      <c r="L187" s="1"/>
      <c r="M187" s="262"/>
      <c r="N187" s="1"/>
      <c r="O187" s="1"/>
      <c r="P187" s="1"/>
      <c r="Q187" s="1"/>
      <c r="R187" s="1"/>
      <c r="S187" s="1"/>
      <c r="T187" s="1"/>
      <c r="U187" s="1"/>
      <c r="V187" s="1"/>
      <c r="W187" s="1"/>
      <c r="X187" s="1"/>
      <c r="Y187" s="1"/>
      <c r="Z187" s="1"/>
      <c r="AA187" s="1"/>
      <c r="AB187" s="1"/>
    </row>
    <row r="188" spans="1:28" ht="11.25" customHeight="1" x14ac:dyDescent="0.25">
      <c r="B188" s="16"/>
      <c r="C188" s="1"/>
      <c r="D188" s="1"/>
      <c r="E188" s="1"/>
      <c r="F188" s="1"/>
      <c r="G188" s="22"/>
      <c r="H188" s="22"/>
      <c r="I188" s="1"/>
      <c r="J188" s="1"/>
      <c r="K188" s="1"/>
      <c r="L188" s="1"/>
      <c r="M188" s="262"/>
      <c r="N188" s="1"/>
      <c r="O188" s="1"/>
      <c r="P188" s="1"/>
      <c r="Q188" s="1"/>
      <c r="R188" s="1"/>
      <c r="S188" s="1"/>
      <c r="T188" s="1"/>
      <c r="U188" s="1"/>
      <c r="V188" s="1"/>
      <c r="W188" s="1"/>
      <c r="X188" s="1"/>
      <c r="Y188" s="1"/>
      <c r="Z188" s="1"/>
      <c r="AA188" s="1"/>
      <c r="AB188" s="1"/>
    </row>
    <row r="189" spans="1:28" ht="11.25" customHeight="1" x14ac:dyDescent="0.25">
      <c r="B189" s="16"/>
      <c r="C189" s="1"/>
      <c r="D189" s="1"/>
      <c r="E189" s="1"/>
      <c r="F189" s="1"/>
      <c r="G189" s="22"/>
      <c r="H189" s="22"/>
      <c r="I189" s="1"/>
      <c r="J189" s="1"/>
      <c r="K189" s="1"/>
      <c r="L189" s="1"/>
      <c r="M189" s="262"/>
      <c r="N189" s="1"/>
      <c r="O189" s="1"/>
      <c r="P189" s="1"/>
      <c r="Q189" s="1"/>
      <c r="R189" s="1"/>
      <c r="S189" s="1"/>
      <c r="T189" s="1"/>
      <c r="U189" s="1"/>
      <c r="V189" s="1"/>
      <c r="W189" s="1"/>
      <c r="X189" s="1"/>
      <c r="Y189" s="1"/>
      <c r="Z189" s="1"/>
      <c r="AA189" s="1"/>
      <c r="AB189" s="1"/>
    </row>
    <row r="190" spans="1:28" ht="11.25" customHeight="1" x14ac:dyDescent="0.25">
      <c r="B190" s="16"/>
      <c r="C190" s="1"/>
      <c r="D190" s="1"/>
      <c r="E190" s="1"/>
      <c r="F190" s="1"/>
      <c r="G190" s="22"/>
      <c r="H190" s="22"/>
      <c r="I190" s="1"/>
      <c r="J190" s="1"/>
      <c r="K190" s="1"/>
      <c r="L190" s="1"/>
      <c r="M190" s="262"/>
      <c r="N190" s="1"/>
      <c r="O190" s="1"/>
      <c r="P190" s="1"/>
      <c r="Q190" s="1"/>
      <c r="R190" s="1"/>
      <c r="S190" s="1"/>
      <c r="T190" s="1"/>
      <c r="U190" s="1"/>
      <c r="V190" s="1"/>
      <c r="W190" s="1"/>
      <c r="X190" s="1"/>
      <c r="Y190" s="1"/>
      <c r="Z190" s="1"/>
      <c r="AA190" s="1"/>
      <c r="AB190" s="1"/>
    </row>
    <row r="191" spans="1:28" ht="11.25" customHeight="1" x14ac:dyDescent="0.25">
      <c r="B191" s="16"/>
      <c r="C191" s="1"/>
      <c r="D191" s="1"/>
      <c r="E191" s="1"/>
      <c r="F191" s="1"/>
      <c r="G191" s="22"/>
      <c r="H191" s="22"/>
      <c r="I191" s="1"/>
      <c r="J191" s="1"/>
      <c r="K191" s="1"/>
      <c r="L191" s="1"/>
      <c r="M191" s="262"/>
      <c r="N191" s="1"/>
      <c r="O191" s="1"/>
      <c r="P191" s="1"/>
      <c r="Q191" s="1"/>
      <c r="R191" s="1"/>
      <c r="S191" s="1"/>
      <c r="T191" s="1"/>
      <c r="U191" s="1"/>
      <c r="V191" s="1"/>
      <c r="W191" s="1"/>
      <c r="X191" s="1"/>
      <c r="Y191" s="1"/>
      <c r="Z191" s="1"/>
      <c r="AA191" s="1"/>
      <c r="AB191" s="1"/>
    </row>
    <row r="192" spans="1:28" ht="11.25" customHeight="1" x14ac:dyDescent="0.25">
      <c r="B192" s="16"/>
      <c r="C192" s="1"/>
      <c r="D192" s="1"/>
      <c r="E192" s="1"/>
      <c r="F192" s="1"/>
      <c r="G192" s="22"/>
      <c r="H192" s="22"/>
      <c r="I192" s="1"/>
      <c r="J192" s="1"/>
      <c r="K192" s="1"/>
      <c r="L192" s="1"/>
      <c r="M192" s="262"/>
      <c r="N192" s="1"/>
      <c r="O192" s="1"/>
      <c r="P192" s="1"/>
      <c r="Q192" s="1"/>
      <c r="R192" s="1"/>
      <c r="S192" s="1"/>
      <c r="T192" s="1"/>
      <c r="U192" s="1"/>
      <c r="V192" s="1"/>
      <c r="W192" s="1"/>
      <c r="X192" s="1"/>
      <c r="Y192" s="1"/>
      <c r="Z192" s="1"/>
      <c r="AA192" s="1"/>
      <c r="AB192" s="1"/>
    </row>
    <row r="193" spans="2:28" ht="11.25" customHeight="1" x14ac:dyDescent="0.25">
      <c r="B193" s="16"/>
      <c r="C193" s="1"/>
      <c r="D193" s="1"/>
      <c r="E193" s="1"/>
      <c r="F193" s="1"/>
      <c r="G193" s="22"/>
      <c r="H193" s="22"/>
      <c r="I193" s="1"/>
      <c r="J193" s="1"/>
      <c r="K193" s="1"/>
      <c r="L193" s="1"/>
      <c r="M193" s="262"/>
      <c r="N193" s="1"/>
      <c r="O193" s="1"/>
      <c r="P193" s="1"/>
      <c r="Q193" s="1"/>
      <c r="R193" s="1"/>
      <c r="S193" s="1"/>
      <c r="T193" s="1"/>
      <c r="U193" s="1"/>
      <c r="V193" s="1"/>
      <c r="W193" s="1"/>
      <c r="X193" s="1"/>
      <c r="Y193" s="1"/>
      <c r="Z193" s="1"/>
      <c r="AA193" s="1"/>
      <c r="AB193" s="1"/>
    </row>
    <row r="194" spans="2:28" ht="11.25" customHeight="1" x14ac:dyDescent="0.25">
      <c r="B194" s="16"/>
      <c r="C194" s="1"/>
      <c r="D194" s="1"/>
      <c r="E194" s="1"/>
      <c r="F194" s="1"/>
      <c r="G194" s="22"/>
      <c r="H194" s="22"/>
      <c r="I194" s="1"/>
      <c r="J194" s="1"/>
      <c r="K194" s="1"/>
      <c r="L194" s="1"/>
      <c r="M194" s="262"/>
      <c r="N194" s="1"/>
      <c r="O194" s="1"/>
      <c r="P194" s="1"/>
      <c r="Q194" s="1"/>
      <c r="R194" s="1"/>
      <c r="S194" s="1"/>
      <c r="T194" s="1"/>
      <c r="U194" s="1"/>
      <c r="V194" s="1"/>
      <c r="W194" s="1"/>
      <c r="X194" s="1"/>
      <c r="Y194" s="1"/>
      <c r="Z194" s="1"/>
      <c r="AA194" s="1"/>
      <c r="AB194" s="1"/>
    </row>
    <row r="195" spans="2:28" ht="11.25" customHeight="1" x14ac:dyDescent="0.25">
      <c r="B195" s="16"/>
      <c r="C195" s="1"/>
      <c r="D195" s="1"/>
      <c r="E195" s="1"/>
      <c r="F195" s="1"/>
      <c r="G195" s="22"/>
      <c r="H195" s="22"/>
      <c r="I195" s="1"/>
      <c r="J195" s="1"/>
      <c r="K195" s="1"/>
      <c r="L195" s="1"/>
      <c r="M195" s="262"/>
      <c r="N195" s="1"/>
      <c r="O195" s="1"/>
      <c r="P195" s="1"/>
      <c r="Q195" s="1"/>
      <c r="R195" s="1"/>
      <c r="S195" s="1"/>
      <c r="T195" s="1"/>
      <c r="U195" s="1"/>
      <c r="V195" s="1"/>
      <c r="W195" s="1"/>
      <c r="X195" s="1"/>
      <c r="Y195" s="1"/>
      <c r="Z195" s="1"/>
      <c r="AA195" s="1"/>
      <c r="AB195" s="1"/>
    </row>
    <row r="196" spans="2:28" ht="11.25" customHeight="1" x14ac:dyDescent="0.25">
      <c r="B196" s="16"/>
      <c r="C196" s="1"/>
      <c r="D196" s="1"/>
      <c r="E196" s="1"/>
      <c r="F196" s="1"/>
      <c r="G196" s="22"/>
      <c r="H196" s="22"/>
      <c r="I196" s="1"/>
      <c r="J196" s="1"/>
      <c r="K196" s="1"/>
      <c r="L196" s="1"/>
      <c r="M196" s="262"/>
      <c r="N196" s="1"/>
      <c r="O196" s="1"/>
      <c r="P196" s="1"/>
      <c r="Q196" s="1"/>
      <c r="R196" s="1"/>
      <c r="S196" s="1"/>
      <c r="T196" s="1"/>
      <c r="U196" s="1"/>
      <c r="V196" s="1"/>
      <c r="W196" s="1"/>
      <c r="X196" s="1"/>
      <c r="Y196" s="1"/>
      <c r="Z196" s="1"/>
      <c r="AA196" s="1"/>
      <c r="AB196" s="1"/>
    </row>
    <row r="197" spans="2:28" ht="11.25" customHeight="1" x14ac:dyDescent="0.25">
      <c r="B197" s="16"/>
      <c r="C197" s="1"/>
      <c r="D197" s="1"/>
      <c r="E197" s="1"/>
      <c r="F197" s="1"/>
      <c r="G197" s="22"/>
      <c r="H197" s="22"/>
      <c r="I197" s="1"/>
      <c r="J197" s="1"/>
      <c r="K197" s="1"/>
      <c r="L197" s="1"/>
      <c r="M197" s="262"/>
      <c r="N197" s="1"/>
      <c r="O197" s="1"/>
      <c r="P197" s="1"/>
      <c r="Q197" s="1"/>
      <c r="R197" s="1"/>
      <c r="S197" s="1"/>
      <c r="T197" s="1"/>
      <c r="U197" s="1"/>
      <c r="V197" s="1"/>
      <c r="W197" s="1"/>
      <c r="X197" s="1"/>
      <c r="Y197" s="1"/>
      <c r="Z197" s="1"/>
      <c r="AA197" s="1"/>
      <c r="AB197" s="1"/>
    </row>
    <row r="198" spans="2:28" ht="11.25" customHeight="1" x14ac:dyDescent="0.25">
      <c r="B198" s="16"/>
      <c r="C198" s="1"/>
      <c r="D198" s="1"/>
      <c r="E198" s="1"/>
      <c r="F198" s="1"/>
      <c r="G198" s="22"/>
      <c r="H198" s="22"/>
      <c r="I198" s="1"/>
      <c r="J198" s="1"/>
      <c r="K198" s="1"/>
      <c r="L198" s="1"/>
      <c r="M198" s="262"/>
      <c r="N198" s="1"/>
      <c r="O198" s="1"/>
      <c r="P198" s="1"/>
      <c r="Q198" s="1"/>
      <c r="R198" s="1"/>
      <c r="S198" s="1"/>
      <c r="T198" s="1"/>
      <c r="U198" s="1"/>
      <c r="V198" s="1"/>
      <c r="W198" s="1"/>
      <c r="X198" s="1"/>
      <c r="Y198" s="1"/>
      <c r="Z198" s="1"/>
      <c r="AA198" s="1"/>
      <c r="AB198" s="1"/>
    </row>
    <row r="199" spans="2:28" ht="11.25" customHeight="1" x14ac:dyDescent="0.25">
      <c r="B199" s="16"/>
      <c r="C199" s="1"/>
      <c r="D199" s="1"/>
      <c r="E199" s="1"/>
      <c r="F199" s="1"/>
      <c r="G199" s="22"/>
      <c r="H199" s="22"/>
      <c r="I199" s="1"/>
      <c r="J199" s="1"/>
      <c r="K199" s="1"/>
      <c r="L199" s="1"/>
      <c r="M199" s="262"/>
      <c r="N199" s="1"/>
      <c r="O199" s="1"/>
      <c r="P199" s="1"/>
      <c r="Q199" s="1"/>
      <c r="R199" s="1"/>
      <c r="S199" s="1"/>
      <c r="T199" s="1"/>
      <c r="U199" s="1"/>
      <c r="V199" s="1"/>
      <c r="W199" s="1"/>
      <c r="X199" s="1"/>
      <c r="Y199" s="1"/>
      <c r="Z199" s="1"/>
      <c r="AA199" s="1"/>
      <c r="AB199" s="1"/>
    </row>
    <row r="200" spans="2:28" ht="11.25" customHeight="1" x14ac:dyDescent="0.25">
      <c r="B200" s="16"/>
      <c r="C200" s="1"/>
      <c r="D200" s="1"/>
      <c r="E200" s="1"/>
      <c r="F200" s="1"/>
      <c r="G200" s="22"/>
      <c r="H200" s="22"/>
      <c r="I200" s="1"/>
      <c r="J200" s="1"/>
      <c r="K200" s="1"/>
      <c r="L200" s="1"/>
      <c r="M200" s="262"/>
      <c r="N200" s="1"/>
      <c r="O200" s="1"/>
      <c r="P200" s="1"/>
      <c r="Q200" s="1"/>
      <c r="R200" s="1"/>
      <c r="S200" s="1"/>
      <c r="T200" s="1"/>
      <c r="U200" s="1"/>
      <c r="V200" s="1"/>
      <c r="W200" s="1"/>
      <c r="X200" s="1"/>
      <c r="Y200" s="1"/>
      <c r="Z200" s="1"/>
      <c r="AA200" s="1"/>
      <c r="AB200" s="1"/>
    </row>
    <row r="201" spans="2:28" ht="11.25" customHeight="1" x14ac:dyDescent="0.25">
      <c r="B201" s="16"/>
      <c r="C201" s="1"/>
      <c r="D201" s="1"/>
      <c r="E201" s="1"/>
      <c r="F201" s="1"/>
      <c r="G201" s="22"/>
      <c r="H201" s="22"/>
      <c r="I201" s="1"/>
      <c r="J201" s="1"/>
      <c r="K201" s="1"/>
      <c r="L201" s="1"/>
      <c r="M201" s="262"/>
      <c r="N201" s="1"/>
      <c r="O201" s="1"/>
      <c r="P201" s="1"/>
      <c r="Q201" s="1"/>
      <c r="R201" s="1"/>
      <c r="S201" s="1"/>
      <c r="T201" s="1"/>
      <c r="U201" s="1"/>
      <c r="V201" s="1"/>
      <c r="W201" s="1"/>
      <c r="X201" s="1"/>
      <c r="Y201" s="1"/>
      <c r="Z201" s="1"/>
      <c r="AA201" s="1"/>
      <c r="AB201" s="1"/>
    </row>
    <row r="202" spans="2:28" ht="11.25" customHeight="1" x14ac:dyDescent="0.25">
      <c r="B202" s="16"/>
      <c r="C202" s="1"/>
      <c r="D202" s="1"/>
      <c r="E202" s="1"/>
      <c r="F202" s="1"/>
      <c r="G202" s="22"/>
      <c r="H202" s="22"/>
      <c r="I202" s="1"/>
      <c r="J202" s="1"/>
      <c r="K202" s="1"/>
      <c r="L202" s="1"/>
      <c r="M202" s="262"/>
      <c r="N202" s="1"/>
      <c r="O202" s="1"/>
      <c r="P202" s="1"/>
      <c r="Q202" s="1"/>
      <c r="R202" s="1"/>
      <c r="S202" s="1"/>
      <c r="T202" s="1"/>
      <c r="U202" s="1"/>
      <c r="V202" s="1"/>
      <c r="W202" s="1"/>
      <c r="X202" s="1"/>
      <c r="Y202" s="1"/>
      <c r="Z202" s="1"/>
      <c r="AA202" s="1"/>
      <c r="AB202" s="1"/>
    </row>
    <row r="203" spans="2:28" ht="11.25" customHeight="1" x14ac:dyDescent="0.25">
      <c r="B203" s="16"/>
      <c r="C203" s="1"/>
      <c r="D203" s="1"/>
      <c r="E203" s="1"/>
      <c r="F203" s="1"/>
      <c r="G203" s="22"/>
      <c r="H203" s="22"/>
      <c r="I203" s="1"/>
      <c r="J203" s="1"/>
      <c r="K203" s="1"/>
      <c r="L203" s="1"/>
      <c r="M203" s="262"/>
      <c r="N203" s="1"/>
      <c r="O203" s="1"/>
      <c r="P203" s="1"/>
      <c r="Q203" s="1"/>
      <c r="R203" s="1"/>
      <c r="S203" s="1"/>
      <c r="T203" s="1"/>
      <c r="U203" s="1"/>
      <c r="V203" s="1"/>
      <c r="W203" s="1"/>
      <c r="X203" s="1"/>
      <c r="Y203" s="1"/>
      <c r="Z203" s="1"/>
      <c r="AA203" s="1"/>
      <c r="AB203" s="1"/>
    </row>
    <row r="204" spans="2:28" ht="11.25" customHeight="1" x14ac:dyDescent="0.25">
      <c r="B204" s="16"/>
      <c r="C204" s="1"/>
      <c r="D204" s="1"/>
      <c r="E204" s="1"/>
      <c r="F204" s="1"/>
      <c r="G204" s="22"/>
      <c r="H204" s="22"/>
      <c r="I204" s="1"/>
      <c r="J204" s="1"/>
      <c r="K204" s="1"/>
      <c r="L204" s="1"/>
      <c r="M204" s="262"/>
      <c r="N204" s="1"/>
      <c r="O204" s="1"/>
      <c r="P204" s="1"/>
      <c r="Q204" s="1"/>
      <c r="R204" s="1"/>
      <c r="S204" s="1"/>
      <c r="T204" s="1"/>
      <c r="U204" s="1"/>
      <c r="V204" s="1"/>
      <c r="W204" s="1"/>
      <c r="X204" s="1"/>
      <c r="Y204" s="1"/>
      <c r="Z204" s="1"/>
      <c r="AA204" s="1"/>
      <c r="AB204" s="1"/>
    </row>
    <row r="205" spans="2:28" ht="11.25" customHeight="1" x14ac:dyDescent="0.25">
      <c r="B205" s="16"/>
      <c r="C205" s="1"/>
      <c r="D205" s="1"/>
      <c r="E205" s="1"/>
      <c r="F205" s="1"/>
      <c r="G205" s="22"/>
      <c r="H205" s="22"/>
      <c r="I205" s="1"/>
      <c r="J205" s="1"/>
      <c r="K205" s="1"/>
      <c r="L205" s="1"/>
      <c r="M205" s="262"/>
      <c r="N205" s="1"/>
      <c r="O205" s="1"/>
      <c r="P205" s="1"/>
      <c r="Q205" s="1"/>
      <c r="R205" s="1"/>
      <c r="S205" s="1"/>
      <c r="T205" s="1"/>
      <c r="U205" s="1"/>
      <c r="V205" s="1"/>
      <c r="W205" s="1"/>
      <c r="X205" s="1"/>
      <c r="Y205" s="1"/>
      <c r="Z205" s="1"/>
      <c r="AA205" s="1"/>
      <c r="AB205" s="1"/>
    </row>
    <row r="206" spans="2:28" ht="11.25" customHeight="1" x14ac:dyDescent="0.25">
      <c r="B206" s="16"/>
      <c r="C206" s="1"/>
      <c r="D206" s="1"/>
      <c r="E206" s="1"/>
      <c r="F206" s="1"/>
      <c r="G206" s="22"/>
      <c r="H206" s="22"/>
      <c r="I206" s="1"/>
      <c r="J206" s="1"/>
      <c r="K206" s="1"/>
      <c r="L206" s="1"/>
      <c r="M206" s="262"/>
      <c r="N206" s="1"/>
      <c r="O206" s="1"/>
      <c r="P206" s="1"/>
      <c r="Q206" s="1"/>
      <c r="R206" s="1"/>
      <c r="S206" s="1"/>
      <c r="T206" s="1"/>
      <c r="U206" s="1"/>
      <c r="V206" s="1"/>
      <c r="W206" s="1"/>
      <c r="X206" s="1"/>
      <c r="Y206" s="1"/>
      <c r="Z206" s="1"/>
      <c r="AA206" s="1"/>
      <c r="AB206" s="1"/>
    </row>
    <row r="207" spans="2:28" ht="11.25" customHeight="1" x14ac:dyDescent="0.25">
      <c r="B207" s="16"/>
      <c r="C207" s="1"/>
      <c r="D207" s="1"/>
      <c r="E207" s="1"/>
      <c r="F207" s="1"/>
      <c r="G207" s="22"/>
      <c r="H207" s="22"/>
      <c r="I207" s="1"/>
      <c r="J207" s="1"/>
      <c r="K207" s="1"/>
      <c r="L207" s="1"/>
      <c r="M207" s="262"/>
      <c r="N207" s="1"/>
      <c r="O207" s="1"/>
      <c r="P207" s="1"/>
      <c r="Q207" s="1"/>
      <c r="R207" s="1"/>
      <c r="S207" s="1"/>
      <c r="T207" s="1"/>
      <c r="U207" s="1"/>
      <c r="V207" s="1"/>
      <c r="W207" s="1"/>
      <c r="X207" s="1"/>
      <c r="Y207" s="1"/>
      <c r="Z207" s="1"/>
      <c r="AA207" s="1"/>
      <c r="AB207" s="1"/>
    </row>
    <row r="208" spans="2:28" ht="11.25" customHeight="1" x14ac:dyDescent="0.25">
      <c r="B208" s="16"/>
      <c r="C208" s="1"/>
      <c r="D208" s="1"/>
      <c r="E208" s="1"/>
      <c r="F208" s="1"/>
      <c r="G208" s="22"/>
      <c r="H208" s="22"/>
      <c r="I208" s="1"/>
      <c r="J208" s="1"/>
      <c r="K208" s="1"/>
      <c r="L208" s="1"/>
      <c r="M208" s="262"/>
      <c r="N208" s="1"/>
      <c r="O208" s="1"/>
      <c r="P208" s="1"/>
      <c r="Q208" s="1"/>
      <c r="R208" s="1"/>
      <c r="S208" s="1"/>
      <c r="T208" s="1"/>
      <c r="U208" s="1"/>
      <c r="V208" s="1"/>
      <c r="W208" s="1"/>
      <c r="X208" s="1"/>
      <c r="Y208" s="1"/>
      <c r="Z208" s="1"/>
      <c r="AA208" s="1"/>
      <c r="AB208" s="1"/>
    </row>
    <row r="209" spans="2:28" ht="11.25" customHeight="1" x14ac:dyDescent="0.25">
      <c r="B209" s="16"/>
      <c r="C209" s="1"/>
      <c r="D209" s="1"/>
      <c r="E209" s="1"/>
      <c r="F209" s="1"/>
      <c r="G209" s="22"/>
      <c r="H209" s="22"/>
      <c r="I209" s="1"/>
      <c r="J209" s="1"/>
      <c r="K209" s="1"/>
      <c r="L209" s="1"/>
      <c r="M209" s="262"/>
      <c r="N209" s="1"/>
      <c r="O209" s="1"/>
      <c r="P209" s="1"/>
      <c r="Q209" s="1"/>
      <c r="R209" s="1"/>
      <c r="S209" s="1"/>
      <c r="T209" s="1"/>
      <c r="U209" s="1"/>
      <c r="V209" s="1"/>
      <c r="W209" s="1"/>
      <c r="X209" s="1"/>
      <c r="Y209" s="1"/>
      <c r="Z209" s="1"/>
      <c r="AA209" s="1"/>
      <c r="AB209" s="1"/>
    </row>
    <row r="210" spans="2:28" ht="11.25" customHeight="1" x14ac:dyDescent="0.25">
      <c r="B210" s="16"/>
      <c r="C210" s="1"/>
      <c r="D210" s="1"/>
      <c r="E210" s="1"/>
      <c r="F210" s="1"/>
      <c r="G210" s="22"/>
      <c r="H210" s="22"/>
      <c r="I210" s="1"/>
      <c r="J210" s="1"/>
      <c r="K210" s="1"/>
      <c r="L210" s="1"/>
      <c r="M210" s="262"/>
      <c r="N210" s="1"/>
      <c r="O210" s="1"/>
      <c r="P210" s="1"/>
      <c r="Q210" s="1"/>
      <c r="R210" s="1"/>
      <c r="S210" s="1"/>
      <c r="T210" s="1"/>
      <c r="U210" s="1"/>
      <c r="V210" s="1"/>
      <c r="W210" s="1"/>
      <c r="X210" s="1"/>
      <c r="Y210" s="1"/>
      <c r="Z210" s="1"/>
      <c r="AA210" s="1"/>
      <c r="AB210" s="1"/>
    </row>
    <row r="211" spans="2:28" ht="11.25" customHeight="1" x14ac:dyDescent="0.25">
      <c r="B211" s="16"/>
      <c r="C211" s="1"/>
      <c r="D211" s="1"/>
      <c r="E211" s="1"/>
      <c r="F211" s="1"/>
      <c r="G211" s="22"/>
      <c r="H211" s="22"/>
      <c r="I211" s="1"/>
      <c r="J211" s="1"/>
      <c r="K211" s="1"/>
      <c r="L211" s="1"/>
      <c r="M211" s="262"/>
      <c r="N211" s="1"/>
      <c r="O211" s="1"/>
      <c r="P211" s="1"/>
      <c r="Q211" s="1"/>
      <c r="R211" s="1"/>
      <c r="S211" s="1"/>
      <c r="T211" s="1"/>
      <c r="U211" s="1"/>
      <c r="V211" s="1"/>
      <c r="W211" s="1"/>
      <c r="X211" s="1"/>
      <c r="Y211" s="1"/>
      <c r="Z211" s="1"/>
      <c r="AA211" s="1"/>
      <c r="AB211" s="1"/>
    </row>
    <row r="212" spans="2:28" ht="11.25" customHeight="1" x14ac:dyDescent="0.25">
      <c r="B212" s="16"/>
      <c r="C212" s="1"/>
      <c r="D212" s="1"/>
      <c r="E212" s="1"/>
      <c r="F212" s="1"/>
      <c r="G212" s="22"/>
      <c r="H212" s="22"/>
      <c r="I212" s="1"/>
      <c r="J212" s="1"/>
      <c r="K212" s="1"/>
      <c r="L212" s="1"/>
      <c r="M212" s="262"/>
      <c r="N212" s="1"/>
      <c r="O212" s="1"/>
      <c r="P212" s="1"/>
      <c r="Q212" s="1"/>
      <c r="R212" s="1"/>
      <c r="S212" s="1"/>
      <c r="T212" s="1"/>
      <c r="U212" s="1"/>
      <c r="V212" s="1"/>
      <c r="W212" s="1"/>
      <c r="X212" s="1"/>
      <c r="Y212" s="1"/>
      <c r="Z212" s="1"/>
      <c r="AA212" s="1"/>
      <c r="AB212" s="1"/>
    </row>
    <row r="213" spans="2:28" ht="11.25" customHeight="1" x14ac:dyDescent="0.25">
      <c r="B213" s="16"/>
      <c r="C213" s="1"/>
      <c r="D213" s="1"/>
      <c r="E213" s="1"/>
      <c r="F213" s="1"/>
      <c r="G213" s="22"/>
      <c r="H213" s="22"/>
      <c r="I213" s="1"/>
      <c r="J213" s="1"/>
      <c r="K213" s="1"/>
      <c r="L213" s="1"/>
      <c r="M213" s="262"/>
      <c r="N213" s="1"/>
      <c r="O213" s="1"/>
      <c r="P213" s="1"/>
      <c r="Q213" s="1"/>
      <c r="R213" s="1"/>
      <c r="S213" s="1"/>
      <c r="T213" s="1"/>
      <c r="U213" s="1"/>
      <c r="V213" s="1"/>
      <c r="W213" s="1"/>
      <c r="X213" s="1"/>
      <c r="Y213" s="1"/>
      <c r="Z213" s="1"/>
      <c r="AA213" s="1"/>
      <c r="AB213" s="1"/>
    </row>
    <row r="214" spans="2:28" ht="11.25" customHeight="1" x14ac:dyDescent="0.25">
      <c r="B214" s="16"/>
      <c r="C214" s="1"/>
      <c r="D214" s="1"/>
      <c r="E214" s="1"/>
      <c r="F214" s="1"/>
      <c r="G214" s="22"/>
      <c r="H214" s="22"/>
      <c r="I214" s="1"/>
      <c r="J214" s="1"/>
      <c r="K214" s="1"/>
      <c r="L214" s="1"/>
      <c r="M214" s="262"/>
      <c r="N214" s="1"/>
      <c r="O214" s="1"/>
      <c r="P214" s="1"/>
      <c r="Q214" s="1"/>
      <c r="R214" s="1"/>
      <c r="S214" s="1"/>
      <c r="T214" s="1"/>
      <c r="U214" s="1"/>
      <c r="V214" s="1"/>
      <c r="W214" s="1"/>
      <c r="X214" s="1"/>
      <c r="Y214" s="1"/>
      <c r="Z214" s="1"/>
      <c r="AA214" s="1"/>
      <c r="AB214" s="1"/>
    </row>
    <row r="215" spans="2:28" ht="11.25" customHeight="1" x14ac:dyDescent="0.25">
      <c r="B215" s="16"/>
      <c r="C215" s="1"/>
      <c r="D215" s="1"/>
      <c r="E215" s="1"/>
      <c r="F215" s="1"/>
      <c r="G215" s="22"/>
      <c r="H215" s="22"/>
      <c r="I215" s="1"/>
      <c r="J215" s="1"/>
      <c r="K215" s="1"/>
      <c r="L215" s="1"/>
      <c r="M215" s="262"/>
      <c r="N215" s="1"/>
      <c r="O215" s="1"/>
      <c r="P215" s="1"/>
      <c r="Q215" s="1"/>
      <c r="R215" s="1"/>
      <c r="S215" s="1"/>
      <c r="T215" s="1"/>
      <c r="U215" s="1"/>
      <c r="V215" s="1"/>
      <c r="W215" s="1"/>
      <c r="X215" s="1"/>
      <c r="Y215" s="1"/>
      <c r="Z215" s="1"/>
      <c r="AA215" s="1"/>
      <c r="AB215" s="1"/>
    </row>
    <row r="216" spans="2:28" ht="11.25" customHeight="1" x14ac:dyDescent="0.25">
      <c r="B216" s="16"/>
      <c r="C216" s="1"/>
      <c r="D216" s="1"/>
      <c r="E216" s="1"/>
      <c r="F216" s="1"/>
      <c r="G216" s="22"/>
      <c r="H216" s="22"/>
      <c r="I216" s="1"/>
      <c r="J216" s="1"/>
      <c r="K216" s="1"/>
      <c r="L216" s="1"/>
      <c r="M216" s="262"/>
      <c r="N216" s="1"/>
      <c r="O216" s="1"/>
      <c r="P216" s="1"/>
      <c r="Q216" s="1"/>
      <c r="R216" s="1"/>
      <c r="S216" s="1"/>
      <c r="T216" s="1"/>
      <c r="U216" s="1"/>
      <c r="V216" s="1"/>
      <c r="W216" s="1"/>
      <c r="X216" s="1"/>
      <c r="Y216" s="1"/>
      <c r="Z216" s="1"/>
      <c r="AA216" s="1"/>
      <c r="AB216" s="1"/>
    </row>
    <row r="217" spans="2:28" ht="11.25" customHeight="1" x14ac:dyDescent="0.25">
      <c r="B217" s="16"/>
      <c r="C217" s="1"/>
      <c r="D217" s="1"/>
      <c r="E217" s="1"/>
      <c r="F217" s="1"/>
      <c r="G217" s="22"/>
      <c r="H217" s="22"/>
      <c r="I217" s="1"/>
      <c r="J217" s="1"/>
      <c r="K217" s="1"/>
      <c r="L217" s="1"/>
      <c r="M217" s="262"/>
      <c r="N217" s="1"/>
      <c r="O217" s="1"/>
      <c r="P217" s="1"/>
      <c r="Q217" s="1"/>
      <c r="R217" s="1"/>
      <c r="S217" s="1"/>
      <c r="T217" s="1"/>
      <c r="U217" s="1"/>
      <c r="V217" s="1"/>
      <c r="W217" s="1"/>
      <c r="X217" s="1"/>
      <c r="Y217" s="1"/>
      <c r="Z217" s="1"/>
      <c r="AA217" s="1"/>
      <c r="AB217" s="1"/>
    </row>
    <row r="218" spans="2:28" ht="11.25" customHeight="1" x14ac:dyDescent="0.25">
      <c r="B218" s="16"/>
      <c r="C218" s="1"/>
      <c r="D218" s="1"/>
      <c r="E218" s="1"/>
      <c r="F218" s="1"/>
      <c r="G218" s="22"/>
      <c r="H218" s="22"/>
      <c r="I218" s="1"/>
      <c r="J218" s="1"/>
      <c r="K218" s="1"/>
      <c r="L218" s="1"/>
      <c r="M218" s="262"/>
      <c r="N218" s="1"/>
      <c r="O218" s="1"/>
      <c r="P218" s="1"/>
      <c r="Q218" s="1"/>
      <c r="R218" s="1"/>
      <c r="S218" s="1"/>
      <c r="T218" s="1"/>
      <c r="U218" s="1"/>
      <c r="V218" s="1"/>
      <c r="W218" s="1"/>
      <c r="X218" s="1"/>
      <c r="Y218" s="1"/>
      <c r="Z218" s="1"/>
      <c r="AA218" s="1"/>
      <c r="AB218" s="1"/>
    </row>
    <row r="219" spans="2:28" ht="11.25" customHeight="1" x14ac:dyDescent="0.25">
      <c r="B219" s="16"/>
      <c r="C219" s="1"/>
      <c r="D219" s="1"/>
      <c r="E219" s="1"/>
      <c r="F219" s="1"/>
      <c r="G219" s="22"/>
      <c r="H219" s="22"/>
      <c r="I219" s="1"/>
      <c r="J219" s="1"/>
      <c r="K219" s="1"/>
      <c r="L219" s="1"/>
      <c r="M219" s="262"/>
      <c r="N219" s="1"/>
      <c r="O219" s="1"/>
      <c r="P219" s="1"/>
      <c r="Q219" s="1"/>
      <c r="R219" s="1"/>
      <c r="S219" s="1"/>
      <c r="T219" s="1"/>
      <c r="U219" s="1"/>
      <c r="V219" s="1"/>
      <c r="W219" s="1"/>
      <c r="X219" s="1"/>
      <c r="Y219" s="1"/>
      <c r="Z219" s="1"/>
      <c r="AA219" s="1"/>
      <c r="AB219" s="1"/>
    </row>
    <row r="220" spans="2:28" ht="11.25" customHeight="1" x14ac:dyDescent="0.25">
      <c r="B220" s="16"/>
      <c r="C220" s="1"/>
      <c r="D220" s="1"/>
      <c r="E220" s="1"/>
      <c r="F220" s="1"/>
      <c r="G220" s="22"/>
      <c r="H220" s="22"/>
      <c r="I220" s="1"/>
      <c r="J220" s="1"/>
      <c r="K220" s="1"/>
      <c r="L220" s="1"/>
      <c r="M220" s="262"/>
      <c r="N220" s="1"/>
      <c r="O220" s="1"/>
      <c r="P220" s="1"/>
      <c r="Q220" s="1"/>
      <c r="R220" s="1"/>
      <c r="S220" s="1"/>
      <c r="T220" s="1"/>
      <c r="U220" s="1"/>
      <c r="V220" s="1"/>
      <c r="W220" s="1"/>
      <c r="X220" s="1"/>
      <c r="Y220" s="1"/>
      <c r="Z220" s="1"/>
      <c r="AA220" s="1"/>
      <c r="AB220" s="1"/>
    </row>
    <row r="221" spans="2:28" ht="11.25" customHeight="1" x14ac:dyDescent="0.25">
      <c r="B221" s="16"/>
      <c r="C221" s="1"/>
      <c r="D221" s="1"/>
      <c r="E221" s="1"/>
      <c r="F221" s="1"/>
      <c r="G221" s="22"/>
      <c r="H221" s="22"/>
      <c r="I221" s="1"/>
      <c r="J221" s="1"/>
      <c r="K221" s="1"/>
      <c r="L221" s="1"/>
      <c r="M221" s="262"/>
      <c r="N221" s="1"/>
      <c r="O221" s="1"/>
      <c r="P221" s="1"/>
      <c r="Q221" s="1"/>
      <c r="R221" s="1"/>
      <c r="S221" s="1"/>
      <c r="T221" s="1"/>
      <c r="U221" s="1"/>
      <c r="V221" s="1"/>
      <c r="W221" s="1"/>
      <c r="X221" s="1"/>
      <c r="Y221" s="1"/>
      <c r="Z221" s="1"/>
      <c r="AA221" s="1"/>
      <c r="AB221" s="1"/>
    </row>
    <row r="222" spans="2:28" ht="11.25" customHeight="1" x14ac:dyDescent="0.25">
      <c r="B222" s="16"/>
      <c r="C222" s="1"/>
      <c r="D222" s="1"/>
      <c r="E222" s="1"/>
      <c r="F222" s="1"/>
      <c r="G222" s="22"/>
      <c r="H222" s="22"/>
      <c r="I222" s="1"/>
      <c r="J222" s="1"/>
      <c r="K222" s="1"/>
      <c r="L222" s="1"/>
      <c r="M222" s="262"/>
      <c r="N222" s="1"/>
      <c r="O222" s="1"/>
      <c r="P222" s="1"/>
      <c r="Q222" s="1"/>
      <c r="R222" s="1"/>
      <c r="S222" s="1"/>
      <c r="T222" s="1"/>
      <c r="U222" s="1"/>
      <c r="V222" s="1"/>
      <c r="W222" s="1"/>
      <c r="X222" s="1"/>
      <c r="Y222" s="1"/>
      <c r="Z222" s="1"/>
      <c r="AA222" s="1"/>
      <c r="AB222" s="1"/>
    </row>
    <row r="223" spans="2:28" ht="11.25" customHeight="1" x14ac:dyDescent="0.25">
      <c r="B223" s="16"/>
      <c r="C223" s="1"/>
      <c r="D223" s="1"/>
      <c r="E223" s="1"/>
      <c r="F223" s="1"/>
      <c r="G223" s="22"/>
      <c r="H223" s="22"/>
      <c r="I223" s="1"/>
      <c r="J223" s="1"/>
      <c r="K223" s="1"/>
      <c r="L223" s="1"/>
      <c r="M223" s="262"/>
      <c r="N223" s="1"/>
      <c r="O223" s="1"/>
      <c r="P223" s="1"/>
      <c r="Q223" s="1"/>
      <c r="R223" s="1"/>
      <c r="S223" s="1"/>
      <c r="T223" s="1"/>
      <c r="U223" s="1"/>
      <c r="V223" s="1"/>
      <c r="W223" s="1"/>
      <c r="X223" s="1"/>
      <c r="Y223" s="1"/>
      <c r="Z223" s="1"/>
      <c r="AA223" s="1"/>
      <c r="AB223" s="1"/>
    </row>
    <row r="224" spans="2:28" ht="11.25" customHeight="1" x14ac:dyDescent="0.25">
      <c r="B224" s="16"/>
      <c r="C224" s="1"/>
      <c r="D224" s="1"/>
      <c r="E224" s="1"/>
      <c r="F224" s="1"/>
      <c r="G224" s="22"/>
      <c r="H224" s="22"/>
      <c r="I224" s="1"/>
      <c r="J224" s="1"/>
      <c r="K224" s="1"/>
      <c r="L224" s="1"/>
      <c r="M224" s="262"/>
      <c r="N224" s="1"/>
      <c r="O224" s="1"/>
      <c r="P224" s="1"/>
      <c r="Q224" s="1"/>
      <c r="R224" s="1"/>
      <c r="S224" s="1"/>
      <c r="T224" s="1"/>
      <c r="U224" s="1"/>
      <c r="V224" s="1"/>
      <c r="W224" s="1"/>
      <c r="X224" s="1"/>
      <c r="Y224" s="1"/>
      <c r="Z224" s="1"/>
      <c r="AA224" s="1"/>
      <c r="AB224" s="1"/>
    </row>
    <row r="225" spans="2:28" ht="11.25" customHeight="1" x14ac:dyDescent="0.25">
      <c r="B225" s="16"/>
      <c r="C225" s="1"/>
      <c r="D225" s="1"/>
      <c r="E225" s="1"/>
      <c r="F225" s="1"/>
      <c r="G225" s="22"/>
      <c r="H225" s="22"/>
      <c r="I225" s="1"/>
      <c r="J225" s="1"/>
      <c r="K225" s="1"/>
      <c r="L225" s="1"/>
      <c r="M225" s="262"/>
      <c r="N225" s="1"/>
      <c r="O225" s="1"/>
      <c r="P225" s="1"/>
      <c r="Q225" s="1"/>
      <c r="R225" s="1"/>
      <c r="S225" s="1"/>
      <c r="T225" s="1"/>
      <c r="U225" s="1"/>
      <c r="V225" s="1"/>
      <c r="W225" s="1"/>
      <c r="X225" s="1"/>
      <c r="Y225" s="1"/>
      <c r="Z225" s="1"/>
      <c r="AA225" s="1"/>
      <c r="AB225" s="1"/>
    </row>
    <row r="226" spans="2:28" ht="11.25" customHeight="1" x14ac:dyDescent="0.25">
      <c r="B226" s="16"/>
      <c r="C226" s="1"/>
      <c r="D226" s="1"/>
      <c r="E226" s="1"/>
      <c r="F226" s="1"/>
      <c r="G226" s="22"/>
      <c r="H226" s="22"/>
      <c r="I226" s="1"/>
      <c r="J226" s="1"/>
      <c r="K226" s="1"/>
      <c r="L226" s="1"/>
      <c r="M226" s="262"/>
      <c r="N226" s="1"/>
      <c r="O226" s="1"/>
      <c r="P226" s="1"/>
      <c r="Q226" s="1"/>
      <c r="R226" s="1"/>
      <c r="S226" s="1"/>
      <c r="T226" s="1"/>
      <c r="U226" s="1"/>
      <c r="V226" s="1"/>
      <c r="W226" s="1"/>
      <c r="X226" s="1"/>
      <c r="Y226" s="1"/>
      <c r="Z226" s="1"/>
      <c r="AA226" s="1"/>
      <c r="AB226" s="1"/>
    </row>
    <row r="227" spans="2:28" ht="11.25" customHeight="1" x14ac:dyDescent="0.25">
      <c r="B227" s="16"/>
      <c r="C227" s="1"/>
      <c r="D227" s="1"/>
      <c r="E227" s="1"/>
      <c r="F227" s="1"/>
      <c r="G227" s="22"/>
      <c r="H227" s="22"/>
      <c r="I227" s="1"/>
      <c r="J227" s="1"/>
      <c r="K227" s="1"/>
      <c r="L227" s="1"/>
      <c r="M227" s="262"/>
      <c r="N227" s="1"/>
      <c r="O227" s="1"/>
      <c r="P227" s="1"/>
      <c r="Q227" s="1"/>
      <c r="R227" s="1"/>
      <c r="S227" s="1"/>
      <c r="T227" s="1"/>
      <c r="U227" s="1"/>
      <c r="V227" s="1"/>
      <c r="W227" s="1"/>
      <c r="X227" s="1"/>
      <c r="Y227" s="1"/>
      <c r="Z227" s="1"/>
      <c r="AA227" s="1"/>
      <c r="AB227" s="1"/>
    </row>
    <row r="228" spans="2:28" ht="11.25" customHeight="1" x14ac:dyDescent="0.25">
      <c r="B228" s="16"/>
      <c r="C228" s="1"/>
      <c r="D228" s="1"/>
      <c r="E228" s="1"/>
      <c r="F228" s="1"/>
      <c r="G228" s="22"/>
      <c r="H228" s="22"/>
      <c r="I228" s="1"/>
      <c r="J228" s="1"/>
      <c r="K228" s="1"/>
      <c r="L228" s="1"/>
      <c r="M228" s="262"/>
      <c r="N228" s="1"/>
      <c r="O228" s="1"/>
      <c r="P228" s="1"/>
      <c r="Q228" s="1"/>
      <c r="R228" s="1"/>
      <c r="S228" s="1"/>
      <c r="T228" s="1"/>
      <c r="U228" s="1"/>
      <c r="V228" s="1"/>
      <c r="W228" s="1"/>
      <c r="X228" s="1"/>
      <c r="Y228" s="1"/>
      <c r="Z228" s="1"/>
      <c r="AA228" s="1"/>
      <c r="AB228" s="1"/>
    </row>
    <row r="229" spans="2:28" ht="11.25" customHeight="1" x14ac:dyDescent="0.25">
      <c r="B229" s="16"/>
      <c r="C229" s="1"/>
      <c r="D229" s="1"/>
      <c r="E229" s="1"/>
      <c r="F229" s="1"/>
      <c r="G229" s="22"/>
      <c r="H229" s="22"/>
      <c r="I229" s="1"/>
      <c r="J229" s="1"/>
      <c r="K229" s="1"/>
      <c r="L229" s="1"/>
      <c r="M229" s="262"/>
      <c r="N229" s="1"/>
      <c r="O229" s="1"/>
      <c r="P229" s="1"/>
      <c r="Q229" s="1"/>
      <c r="R229" s="1"/>
      <c r="S229" s="1"/>
      <c r="T229" s="1"/>
      <c r="U229" s="1"/>
      <c r="V229" s="1"/>
      <c r="W229" s="1"/>
      <c r="X229" s="1"/>
      <c r="Y229" s="1"/>
      <c r="Z229" s="1"/>
      <c r="AA229" s="1"/>
      <c r="AB229" s="1"/>
    </row>
    <row r="230" spans="2:28" ht="11.25" customHeight="1" x14ac:dyDescent="0.25">
      <c r="B230" s="16"/>
      <c r="C230" s="1"/>
      <c r="D230" s="1"/>
      <c r="E230" s="1"/>
      <c r="F230" s="1"/>
      <c r="G230" s="22"/>
      <c r="H230" s="22"/>
      <c r="I230" s="1"/>
      <c r="J230" s="1"/>
      <c r="K230" s="1"/>
      <c r="L230" s="1"/>
      <c r="M230" s="262"/>
      <c r="N230" s="1"/>
      <c r="O230" s="1"/>
      <c r="P230" s="1"/>
      <c r="Q230" s="1"/>
      <c r="R230" s="1"/>
      <c r="S230" s="1"/>
      <c r="T230" s="1"/>
      <c r="U230" s="1"/>
      <c r="V230" s="1"/>
      <c r="W230" s="1"/>
      <c r="X230" s="1"/>
      <c r="Y230" s="1"/>
      <c r="Z230" s="1"/>
      <c r="AA230" s="1"/>
      <c r="AB230" s="1"/>
    </row>
    <row r="231" spans="2:28" ht="11.25" customHeight="1" x14ac:dyDescent="0.25">
      <c r="B231" s="16"/>
      <c r="C231" s="1"/>
      <c r="D231" s="1"/>
      <c r="E231" s="1"/>
      <c r="F231" s="1"/>
      <c r="G231" s="22"/>
      <c r="H231" s="22"/>
      <c r="I231" s="1"/>
      <c r="J231" s="1"/>
      <c r="K231" s="1"/>
      <c r="L231" s="1"/>
      <c r="M231" s="262"/>
      <c r="N231" s="1"/>
      <c r="O231" s="1"/>
      <c r="P231" s="1"/>
      <c r="Q231" s="1"/>
      <c r="R231" s="1"/>
      <c r="S231" s="1"/>
      <c r="T231" s="1"/>
      <c r="U231" s="1"/>
      <c r="V231" s="1"/>
      <c r="W231" s="1"/>
      <c r="X231" s="1"/>
      <c r="Y231" s="1"/>
      <c r="Z231" s="1"/>
      <c r="AA231" s="1"/>
      <c r="AB231" s="1"/>
    </row>
    <row r="232" spans="2:28" ht="11.25" customHeight="1" x14ac:dyDescent="0.25">
      <c r="B232" s="16"/>
      <c r="C232" s="1"/>
      <c r="D232" s="1"/>
      <c r="E232" s="1"/>
      <c r="F232" s="1"/>
      <c r="G232" s="22"/>
      <c r="H232" s="22"/>
      <c r="I232" s="1"/>
      <c r="J232" s="1"/>
      <c r="K232" s="1"/>
      <c r="L232" s="1"/>
      <c r="M232" s="262"/>
      <c r="N232" s="1"/>
      <c r="O232" s="1"/>
      <c r="P232" s="1"/>
      <c r="Q232" s="1"/>
      <c r="R232" s="1"/>
      <c r="S232" s="1"/>
      <c r="T232" s="1"/>
      <c r="U232" s="1"/>
      <c r="V232" s="1"/>
      <c r="W232" s="1"/>
      <c r="X232" s="1"/>
      <c r="Y232" s="1"/>
      <c r="Z232" s="1"/>
      <c r="AA232" s="1"/>
      <c r="AB232" s="1"/>
    </row>
    <row r="233" spans="2:28" ht="11.25" customHeight="1" x14ac:dyDescent="0.25">
      <c r="B233" s="16"/>
      <c r="C233" s="1"/>
      <c r="D233" s="1"/>
      <c r="E233" s="1"/>
      <c r="F233" s="1"/>
      <c r="G233" s="22"/>
      <c r="H233" s="22"/>
      <c r="I233" s="1"/>
      <c r="J233" s="1"/>
      <c r="K233" s="1"/>
      <c r="L233" s="1"/>
      <c r="M233" s="262"/>
      <c r="N233" s="1"/>
      <c r="O233" s="1"/>
      <c r="P233" s="1"/>
      <c r="Q233" s="1"/>
      <c r="R233" s="1"/>
      <c r="S233" s="1"/>
      <c r="T233" s="1"/>
      <c r="U233" s="1"/>
      <c r="V233" s="1"/>
      <c r="W233" s="1"/>
      <c r="X233" s="1"/>
      <c r="Y233" s="1"/>
      <c r="Z233" s="1"/>
      <c r="AA233" s="1"/>
      <c r="AB233" s="1"/>
    </row>
    <row r="234" spans="2:28" ht="11.25" customHeight="1" x14ac:dyDescent="0.25">
      <c r="B234" s="16"/>
      <c r="C234" s="1"/>
      <c r="D234" s="1"/>
      <c r="E234" s="1"/>
      <c r="F234" s="1"/>
      <c r="G234" s="22"/>
      <c r="H234" s="22"/>
      <c r="I234" s="1"/>
      <c r="J234" s="1"/>
      <c r="K234" s="1"/>
      <c r="L234" s="1"/>
      <c r="M234" s="262"/>
      <c r="N234" s="1"/>
      <c r="O234" s="1"/>
      <c r="P234" s="1"/>
      <c r="Q234" s="1"/>
      <c r="R234" s="1"/>
      <c r="S234" s="1"/>
      <c r="T234" s="1"/>
      <c r="U234" s="1"/>
      <c r="V234" s="1"/>
      <c r="W234" s="1"/>
      <c r="X234" s="1"/>
      <c r="Y234" s="1"/>
      <c r="Z234" s="1"/>
      <c r="AA234" s="1"/>
      <c r="AB234" s="1"/>
    </row>
    <row r="235" spans="2:28" ht="11.25" customHeight="1" x14ac:dyDescent="0.25">
      <c r="B235" s="16"/>
      <c r="C235" s="1"/>
      <c r="D235" s="1"/>
      <c r="E235" s="1"/>
      <c r="F235" s="1"/>
      <c r="G235" s="22"/>
      <c r="H235" s="22"/>
      <c r="I235" s="1"/>
      <c r="J235" s="1"/>
      <c r="K235" s="1"/>
      <c r="L235" s="1"/>
      <c r="M235" s="262"/>
      <c r="N235" s="1"/>
      <c r="O235" s="1"/>
      <c r="P235" s="1"/>
      <c r="Q235" s="1"/>
      <c r="R235" s="1"/>
      <c r="S235" s="1"/>
      <c r="T235" s="1"/>
      <c r="U235" s="1"/>
      <c r="V235" s="1"/>
      <c r="W235" s="1"/>
      <c r="X235" s="1"/>
      <c r="Y235" s="1"/>
      <c r="Z235" s="1"/>
      <c r="AA235" s="1"/>
      <c r="AB235" s="1"/>
    </row>
    <row r="236" spans="2:28" ht="11.25" customHeight="1" x14ac:dyDescent="0.25">
      <c r="B236" s="16"/>
      <c r="C236" s="1"/>
      <c r="D236" s="1"/>
      <c r="E236" s="1"/>
      <c r="F236" s="1"/>
      <c r="G236" s="22"/>
      <c r="H236" s="22"/>
      <c r="I236" s="1"/>
      <c r="J236" s="1"/>
      <c r="K236" s="1"/>
      <c r="L236" s="1"/>
      <c r="M236" s="262"/>
      <c r="N236" s="1"/>
      <c r="O236" s="1"/>
      <c r="P236" s="1"/>
      <c r="Q236" s="1"/>
      <c r="R236" s="1"/>
      <c r="S236" s="1"/>
      <c r="T236" s="1"/>
      <c r="U236" s="1"/>
      <c r="V236" s="1"/>
      <c r="W236" s="1"/>
      <c r="X236" s="1"/>
      <c r="Y236" s="1"/>
      <c r="Z236" s="1"/>
      <c r="AA236" s="1"/>
      <c r="AB236" s="1"/>
    </row>
    <row r="237" spans="2:28" ht="11.25" customHeight="1" x14ac:dyDescent="0.25">
      <c r="B237" s="16"/>
      <c r="C237" s="1"/>
      <c r="D237" s="1"/>
      <c r="E237" s="1"/>
      <c r="F237" s="1"/>
      <c r="G237" s="22"/>
      <c r="H237" s="22"/>
      <c r="I237" s="1"/>
      <c r="J237" s="1"/>
      <c r="K237" s="1"/>
      <c r="L237" s="1"/>
      <c r="M237" s="262"/>
      <c r="N237" s="1"/>
      <c r="O237" s="1"/>
      <c r="P237" s="1"/>
      <c r="Q237" s="1"/>
      <c r="R237" s="1"/>
      <c r="S237" s="1"/>
      <c r="T237" s="1"/>
      <c r="U237" s="1"/>
      <c r="V237" s="1"/>
      <c r="W237" s="1"/>
      <c r="X237" s="1"/>
      <c r="Y237" s="1"/>
      <c r="Z237" s="1"/>
      <c r="AA237" s="1"/>
      <c r="AB237" s="1"/>
    </row>
    <row r="238" spans="2:28" ht="11.25" customHeight="1" x14ac:dyDescent="0.25">
      <c r="B238" s="16"/>
      <c r="C238" s="1"/>
      <c r="D238" s="1"/>
      <c r="E238" s="1"/>
      <c r="F238" s="1"/>
      <c r="G238" s="22"/>
      <c r="H238" s="22"/>
      <c r="I238" s="1"/>
      <c r="J238" s="1"/>
      <c r="K238" s="1"/>
      <c r="L238" s="1"/>
      <c r="M238" s="262"/>
      <c r="N238" s="1"/>
      <c r="O238" s="1"/>
      <c r="P238" s="1"/>
      <c r="Q238" s="1"/>
      <c r="R238" s="1"/>
      <c r="S238" s="1"/>
      <c r="T238" s="1"/>
      <c r="U238" s="1"/>
      <c r="V238" s="1"/>
      <c r="W238" s="1"/>
      <c r="X238" s="1"/>
      <c r="Y238" s="1"/>
      <c r="Z238" s="1"/>
      <c r="AA238" s="1"/>
      <c r="AB238" s="1"/>
    </row>
    <row r="239" spans="2:28" ht="11.25" customHeight="1" x14ac:dyDescent="0.25">
      <c r="B239" s="16"/>
      <c r="C239" s="1"/>
      <c r="D239" s="1"/>
      <c r="E239" s="1"/>
      <c r="F239" s="1"/>
      <c r="G239" s="22"/>
      <c r="H239" s="22"/>
      <c r="I239" s="1"/>
      <c r="J239" s="1"/>
      <c r="K239" s="1"/>
      <c r="L239" s="1"/>
      <c r="M239" s="262"/>
      <c r="N239" s="1"/>
      <c r="O239" s="1"/>
      <c r="P239" s="1"/>
      <c r="Q239" s="1"/>
      <c r="R239" s="1"/>
      <c r="S239" s="1"/>
      <c r="T239" s="1"/>
      <c r="U239" s="1"/>
      <c r="V239" s="1"/>
      <c r="W239" s="1"/>
      <c r="X239" s="1"/>
      <c r="Y239" s="1"/>
      <c r="Z239" s="1"/>
      <c r="AA239" s="1"/>
      <c r="AB239" s="1"/>
    </row>
    <row r="240" spans="2:28" ht="11.25" customHeight="1" x14ac:dyDescent="0.25">
      <c r="B240" s="16"/>
      <c r="C240" s="1"/>
      <c r="D240" s="1"/>
      <c r="E240" s="1"/>
      <c r="F240" s="1"/>
      <c r="G240" s="22"/>
      <c r="H240" s="22"/>
      <c r="I240" s="1"/>
      <c r="J240" s="1"/>
      <c r="K240" s="1"/>
      <c r="L240" s="1"/>
      <c r="M240" s="262"/>
      <c r="N240" s="1"/>
      <c r="O240" s="1"/>
      <c r="P240" s="1"/>
      <c r="Q240" s="1"/>
      <c r="R240" s="1"/>
      <c r="S240" s="1"/>
      <c r="T240" s="1"/>
      <c r="U240" s="1"/>
      <c r="V240" s="1"/>
      <c r="W240" s="1"/>
      <c r="X240" s="1"/>
      <c r="Y240" s="1"/>
      <c r="Z240" s="1"/>
      <c r="AA240" s="1"/>
      <c r="AB240" s="1"/>
    </row>
    <row r="241" spans="2:28" ht="11.25" customHeight="1" x14ac:dyDescent="0.25">
      <c r="B241" s="16"/>
      <c r="C241" s="1"/>
      <c r="D241" s="1"/>
      <c r="E241" s="1"/>
      <c r="F241" s="1"/>
      <c r="G241" s="22"/>
      <c r="H241" s="22"/>
      <c r="I241" s="1"/>
      <c r="J241" s="1"/>
      <c r="K241" s="1"/>
      <c r="L241" s="1"/>
      <c r="M241" s="262"/>
      <c r="N241" s="1"/>
      <c r="O241" s="1"/>
      <c r="P241" s="1"/>
      <c r="Q241" s="1"/>
      <c r="R241" s="1"/>
      <c r="S241" s="1"/>
      <c r="T241" s="1"/>
      <c r="U241" s="1"/>
      <c r="V241" s="1"/>
      <c r="W241" s="1"/>
      <c r="X241" s="1"/>
      <c r="Y241" s="1"/>
      <c r="Z241" s="1"/>
      <c r="AA241" s="1"/>
      <c r="AB241" s="1"/>
    </row>
    <row r="242" spans="2:28" ht="11.25" customHeight="1" x14ac:dyDescent="0.25">
      <c r="B242" s="16"/>
      <c r="C242" s="1"/>
      <c r="D242" s="1"/>
      <c r="E242" s="1"/>
      <c r="F242" s="1"/>
      <c r="G242" s="22"/>
      <c r="H242" s="22"/>
      <c r="I242" s="1"/>
      <c r="J242" s="1"/>
      <c r="K242" s="1"/>
      <c r="L242" s="1"/>
      <c r="M242" s="262"/>
      <c r="N242" s="1"/>
      <c r="O242" s="1"/>
      <c r="P242" s="1"/>
      <c r="Q242" s="1"/>
      <c r="R242" s="1"/>
      <c r="S242" s="1"/>
      <c r="T242" s="1"/>
      <c r="U242" s="1"/>
      <c r="V242" s="1"/>
      <c r="W242" s="1"/>
      <c r="X242" s="1"/>
      <c r="Y242" s="1"/>
      <c r="Z242" s="1"/>
      <c r="AA242" s="1"/>
      <c r="AB242" s="1"/>
    </row>
    <row r="243" spans="2:28" ht="11.25" customHeight="1" x14ac:dyDescent="0.25">
      <c r="B243" s="16"/>
      <c r="C243" s="1"/>
      <c r="D243" s="1"/>
      <c r="E243" s="1"/>
      <c r="F243" s="1"/>
      <c r="G243" s="22"/>
      <c r="H243" s="22"/>
      <c r="I243" s="1"/>
      <c r="J243" s="1"/>
      <c r="K243" s="1"/>
      <c r="L243" s="1"/>
      <c r="M243" s="262"/>
      <c r="N243" s="1"/>
      <c r="O243" s="1"/>
      <c r="P243" s="1"/>
      <c r="Q243" s="1"/>
      <c r="R243" s="1"/>
      <c r="S243" s="1"/>
      <c r="T243" s="1"/>
      <c r="U243" s="1"/>
      <c r="V243" s="1"/>
      <c r="W243" s="1"/>
      <c r="X243" s="1"/>
      <c r="Y243" s="1"/>
      <c r="Z243" s="1"/>
      <c r="AA243" s="1"/>
      <c r="AB243" s="1"/>
    </row>
    <row r="244" spans="2:28" ht="11.25" customHeight="1" x14ac:dyDescent="0.25">
      <c r="B244" s="16"/>
      <c r="C244" s="1"/>
      <c r="D244" s="1"/>
      <c r="E244" s="1"/>
      <c r="F244" s="1"/>
      <c r="G244" s="22"/>
      <c r="H244" s="22"/>
      <c r="I244" s="1"/>
      <c r="J244" s="1"/>
      <c r="K244" s="1"/>
      <c r="L244" s="1"/>
      <c r="M244" s="262"/>
      <c r="N244" s="1"/>
      <c r="O244" s="1"/>
      <c r="P244" s="1"/>
      <c r="Q244" s="1"/>
      <c r="R244" s="1"/>
      <c r="S244" s="1"/>
      <c r="T244" s="1"/>
      <c r="U244" s="1"/>
      <c r="V244" s="1"/>
      <c r="W244" s="1"/>
      <c r="X244" s="1"/>
      <c r="Y244" s="1"/>
      <c r="Z244" s="1"/>
      <c r="AA244" s="1"/>
      <c r="AB244" s="1"/>
    </row>
    <row r="245" spans="2:28" ht="11.25" customHeight="1" x14ac:dyDescent="0.25">
      <c r="B245" s="16"/>
      <c r="C245" s="1"/>
      <c r="D245" s="1"/>
      <c r="E245" s="1"/>
      <c r="F245" s="1"/>
      <c r="G245" s="22"/>
      <c r="H245" s="22"/>
      <c r="I245" s="1"/>
      <c r="J245" s="1"/>
      <c r="K245" s="1"/>
      <c r="L245" s="1"/>
      <c r="M245" s="262"/>
      <c r="N245" s="1"/>
      <c r="O245" s="1"/>
      <c r="P245" s="1"/>
      <c r="Q245" s="1"/>
      <c r="R245" s="1"/>
      <c r="S245" s="1"/>
      <c r="T245" s="1"/>
      <c r="U245" s="1"/>
      <c r="V245" s="1"/>
      <c r="W245" s="1"/>
      <c r="X245" s="1"/>
      <c r="Y245" s="1"/>
      <c r="Z245" s="1"/>
      <c r="AA245" s="1"/>
      <c r="AB245" s="1"/>
    </row>
    <row r="246" spans="2:28" ht="11.25" customHeight="1" x14ac:dyDescent="0.25">
      <c r="B246" s="16"/>
      <c r="C246" s="1"/>
      <c r="D246" s="1"/>
      <c r="E246" s="1"/>
      <c r="F246" s="1"/>
      <c r="G246" s="22"/>
      <c r="H246" s="22"/>
      <c r="I246" s="1"/>
      <c r="J246" s="1"/>
      <c r="K246" s="1"/>
      <c r="L246" s="1"/>
      <c r="M246" s="262"/>
      <c r="N246" s="1"/>
      <c r="O246" s="1"/>
      <c r="P246" s="1"/>
      <c r="Q246" s="1"/>
      <c r="R246" s="1"/>
      <c r="S246" s="1"/>
      <c r="T246" s="1"/>
      <c r="U246" s="1"/>
      <c r="V246" s="1"/>
      <c r="W246" s="1"/>
      <c r="X246" s="1"/>
      <c r="Y246" s="1"/>
      <c r="Z246" s="1"/>
      <c r="AA246" s="1"/>
      <c r="AB246" s="1"/>
    </row>
    <row r="247" spans="2:28" ht="11.25" customHeight="1" x14ac:dyDescent="0.25">
      <c r="B247" s="16"/>
      <c r="C247" s="1"/>
      <c r="D247" s="1"/>
      <c r="E247" s="1"/>
      <c r="F247" s="1"/>
      <c r="G247" s="22"/>
      <c r="H247" s="22"/>
      <c r="I247" s="1"/>
      <c r="J247" s="1"/>
      <c r="K247" s="1"/>
      <c r="L247" s="1"/>
      <c r="M247" s="262"/>
      <c r="N247" s="1"/>
      <c r="O247" s="1"/>
      <c r="P247" s="1"/>
      <c r="Q247" s="1"/>
      <c r="R247" s="1"/>
      <c r="S247" s="1"/>
      <c r="T247" s="1"/>
      <c r="U247" s="1"/>
      <c r="V247" s="1"/>
      <c r="W247" s="1"/>
      <c r="X247" s="1"/>
      <c r="Y247" s="1"/>
      <c r="Z247" s="1"/>
      <c r="AA247" s="1"/>
      <c r="AB247" s="1"/>
    </row>
    <row r="248" spans="2:28" ht="11.25" customHeight="1" x14ac:dyDescent="0.25">
      <c r="B248" s="16"/>
      <c r="C248" s="1"/>
      <c r="D248" s="1"/>
      <c r="E248" s="1"/>
      <c r="F248" s="1"/>
      <c r="G248" s="22"/>
      <c r="H248" s="22"/>
      <c r="I248" s="1"/>
      <c r="J248" s="1"/>
      <c r="K248" s="1"/>
      <c r="L248" s="1"/>
      <c r="M248" s="262"/>
      <c r="N248" s="1"/>
      <c r="O248" s="1"/>
      <c r="P248" s="1"/>
      <c r="Q248" s="1"/>
      <c r="R248" s="1"/>
      <c r="S248" s="1"/>
      <c r="T248" s="1"/>
      <c r="U248" s="1"/>
      <c r="V248" s="1"/>
      <c r="W248" s="1"/>
      <c r="X248" s="1"/>
      <c r="Y248" s="1"/>
      <c r="Z248" s="1"/>
      <c r="AA248" s="1"/>
      <c r="AB248" s="1"/>
    </row>
    <row r="249" spans="2:28" ht="11.25" customHeight="1" x14ac:dyDescent="0.25">
      <c r="B249" s="16"/>
      <c r="C249" s="1"/>
      <c r="D249" s="1"/>
      <c r="E249" s="1"/>
      <c r="F249" s="1"/>
      <c r="G249" s="22"/>
      <c r="H249" s="22"/>
      <c r="I249" s="1"/>
      <c r="J249" s="1"/>
      <c r="K249" s="1"/>
      <c r="L249" s="1"/>
      <c r="M249" s="262"/>
      <c r="N249" s="1"/>
      <c r="O249" s="1"/>
      <c r="P249" s="1"/>
      <c r="Q249" s="1"/>
      <c r="R249" s="1"/>
      <c r="S249" s="1"/>
      <c r="T249" s="1"/>
      <c r="U249" s="1"/>
      <c r="V249" s="1"/>
      <c r="W249" s="1"/>
      <c r="X249" s="1"/>
      <c r="Y249" s="1"/>
      <c r="Z249" s="1"/>
      <c r="AA249" s="1"/>
      <c r="AB249" s="1"/>
    </row>
    <row r="250" spans="2:28" ht="11.25" customHeight="1" x14ac:dyDescent="0.25">
      <c r="B250" s="16"/>
      <c r="C250" s="1"/>
      <c r="D250" s="1"/>
      <c r="E250" s="1"/>
      <c r="F250" s="1"/>
      <c r="G250" s="22"/>
      <c r="H250" s="22"/>
      <c r="I250" s="1"/>
      <c r="J250" s="1"/>
      <c r="K250" s="1"/>
      <c r="L250" s="1"/>
      <c r="M250" s="262"/>
      <c r="N250" s="1"/>
      <c r="O250" s="1"/>
      <c r="P250" s="1"/>
      <c r="Q250" s="1"/>
      <c r="R250" s="1"/>
      <c r="S250" s="1"/>
      <c r="T250" s="1"/>
      <c r="U250" s="1"/>
      <c r="V250" s="1"/>
      <c r="W250" s="1"/>
      <c r="X250" s="1"/>
      <c r="Y250" s="1"/>
      <c r="Z250" s="1"/>
      <c r="AA250" s="1"/>
      <c r="AB250" s="1"/>
    </row>
    <row r="251" spans="2:28" ht="11.25" customHeight="1" x14ac:dyDescent="0.25">
      <c r="B251" s="16"/>
      <c r="C251" s="1"/>
      <c r="D251" s="1"/>
      <c r="E251" s="1"/>
      <c r="F251" s="1"/>
      <c r="G251" s="22"/>
      <c r="H251" s="22"/>
      <c r="I251" s="1"/>
      <c r="J251" s="1"/>
      <c r="K251" s="1"/>
      <c r="L251" s="1"/>
      <c r="M251" s="262"/>
      <c r="N251" s="1"/>
      <c r="O251" s="1"/>
      <c r="P251" s="1"/>
      <c r="Q251" s="1"/>
      <c r="R251" s="1"/>
      <c r="S251" s="1"/>
      <c r="T251" s="1"/>
      <c r="U251" s="1"/>
      <c r="V251" s="1"/>
      <c r="W251" s="1"/>
      <c r="X251" s="1"/>
      <c r="Y251" s="1"/>
      <c r="Z251" s="1"/>
      <c r="AA251" s="1"/>
      <c r="AB251" s="1"/>
    </row>
    <row r="252" spans="2:28" ht="11.25" customHeight="1" x14ac:dyDescent="0.25">
      <c r="B252" s="16"/>
      <c r="C252" s="1"/>
      <c r="D252" s="1"/>
      <c r="E252" s="1"/>
      <c r="F252" s="1"/>
      <c r="G252" s="22"/>
      <c r="H252" s="22"/>
      <c r="I252" s="1"/>
      <c r="J252" s="1"/>
      <c r="K252" s="1"/>
      <c r="L252" s="1"/>
      <c r="M252" s="262"/>
      <c r="N252" s="1"/>
      <c r="O252" s="1"/>
      <c r="P252" s="1"/>
      <c r="Q252" s="1"/>
      <c r="R252" s="1"/>
      <c r="S252" s="1"/>
      <c r="T252" s="1"/>
      <c r="U252" s="1"/>
      <c r="V252" s="1"/>
      <c r="W252" s="1"/>
      <c r="X252" s="1"/>
      <c r="Y252" s="1"/>
      <c r="Z252" s="1"/>
      <c r="AA252" s="1"/>
      <c r="AB252" s="1"/>
    </row>
    <row r="253" spans="2:28" ht="11.25" customHeight="1" x14ac:dyDescent="0.25">
      <c r="B253" s="16"/>
      <c r="C253" s="1"/>
      <c r="D253" s="1"/>
      <c r="E253" s="1"/>
      <c r="F253" s="1"/>
      <c r="G253" s="22"/>
      <c r="H253" s="22"/>
      <c r="I253" s="1"/>
      <c r="J253" s="1"/>
      <c r="K253" s="1"/>
      <c r="L253" s="1"/>
      <c r="M253" s="262"/>
      <c r="N253" s="1"/>
      <c r="O253" s="1"/>
      <c r="P253" s="1"/>
      <c r="Q253" s="1"/>
      <c r="R253" s="1"/>
      <c r="S253" s="1"/>
      <c r="T253" s="1"/>
      <c r="U253" s="1"/>
      <c r="V253" s="1"/>
      <c r="W253" s="1"/>
      <c r="X253" s="1"/>
      <c r="Y253" s="1"/>
      <c r="Z253" s="1"/>
      <c r="AA253" s="1"/>
      <c r="AB253" s="1"/>
    </row>
    <row r="254" spans="2:28" ht="11.25" customHeight="1" x14ac:dyDescent="0.25">
      <c r="B254" s="16"/>
      <c r="C254" s="1"/>
      <c r="D254" s="1"/>
      <c r="E254" s="1"/>
      <c r="F254" s="1"/>
      <c r="G254" s="22"/>
      <c r="H254" s="22"/>
      <c r="I254" s="1"/>
      <c r="J254" s="1"/>
      <c r="K254" s="1"/>
      <c r="L254" s="1"/>
      <c r="M254" s="262"/>
      <c r="N254" s="1"/>
      <c r="O254" s="1"/>
      <c r="P254" s="1"/>
      <c r="Q254" s="1"/>
      <c r="R254" s="1"/>
      <c r="S254" s="1"/>
      <c r="T254" s="1"/>
      <c r="U254" s="1"/>
      <c r="V254" s="1"/>
      <c r="W254" s="1"/>
      <c r="X254" s="1"/>
      <c r="Y254" s="1"/>
      <c r="Z254" s="1"/>
      <c r="AA254" s="1"/>
      <c r="AB254" s="1"/>
    </row>
    <row r="255" spans="2:28" ht="11.25" customHeight="1" x14ac:dyDescent="0.25">
      <c r="B255" s="16"/>
      <c r="C255" s="1"/>
      <c r="D255" s="1"/>
      <c r="E255" s="1"/>
      <c r="F255" s="1"/>
      <c r="G255" s="22"/>
      <c r="H255" s="22"/>
      <c r="I255" s="1"/>
      <c r="J255" s="1"/>
      <c r="K255" s="1"/>
      <c r="L255" s="1"/>
      <c r="M255" s="262"/>
      <c r="N255" s="1"/>
      <c r="O255" s="1"/>
      <c r="P255" s="1"/>
      <c r="Q255" s="1"/>
      <c r="R255" s="1"/>
      <c r="S255" s="1"/>
      <c r="T255" s="1"/>
      <c r="U255" s="1"/>
      <c r="V255" s="1"/>
      <c r="W255" s="1"/>
      <c r="X255" s="1"/>
      <c r="Y255" s="1"/>
      <c r="Z255" s="1"/>
      <c r="AA255" s="1"/>
      <c r="AB255" s="1"/>
    </row>
    <row r="256" spans="2:28" ht="11.25" customHeight="1" x14ac:dyDescent="0.25">
      <c r="B256" s="16"/>
      <c r="C256" s="1"/>
      <c r="D256" s="1"/>
      <c r="E256" s="1"/>
      <c r="F256" s="1"/>
      <c r="G256" s="22"/>
      <c r="H256" s="22"/>
      <c r="I256" s="1"/>
      <c r="J256" s="1"/>
      <c r="K256" s="1"/>
      <c r="L256" s="1"/>
      <c r="M256" s="262"/>
      <c r="N256" s="1"/>
      <c r="O256" s="1"/>
      <c r="P256" s="1"/>
      <c r="Q256" s="1"/>
      <c r="R256" s="1"/>
      <c r="S256" s="1"/>
      <c r="T256" s="1"/>
      <c r="U256" s="1"/>
      <c r="V256" s="1"/>
      <c r="W256" s="1"/>
      <c r="X256" s="1"/>
      <c r="Y256" s="1"/>
      <c r="Z256" s="1"/>
      <c r="AA256" s="1"/>
      <c r="AB256" s="1"/>
    </row>
    <row r="257" spans="2:28" ht="11.25" customHeight="1" x14ac:dyDescent="0.25">
      <c r="B257" s="16"/>
      <c r="C257" s="1"/>
      <c r="D257" s="1"/>
      <c r="E257" s="1"/>
      <c r="F257" s="1"/>
      <c r="G257" s="22"/>
      <c r="H257" s="22"/>
      <c r="I257" s="1"/>
      <c r="J257" s="1"/>
      <c r="K257" s="1"/>
      <c r="L257" s="1"/>
      <c r="M257" s="262"/>
      <c r="N257" s="1"/>
      <c r="O257" s="1"/>
      <c r="P257" s="1"/>
      <c r="Q257" s="1"/>
      <c r="R257" s="1"/>
      <c r="S257" s="1"/>
      <c r="T257" s="1"/>
      <c r="U257" s="1"/>
      <c r="V257" s="1"/>
      <c r="W257" s="1"/>
      <c r="X257" s="1"/>
      <c r="Y257" s="1"/>
      <c r="Z257" s="1"/>
      <c r="AA257" s="1"/>
      <c r="AB257" s="1"/>
    </row>
    <row r="258" spans="2:28" ht="11.25" customHeight="1" x14ac:dyDescent="0.25">
      <c r="B258" s="16"/>
      <c r="C258" s="1"/>
      <c r="D258" s="1"/>
      <c r="E258" s="1"/>
      <c r="F258" s="1"/>
      <c r="G258" s="22"/>
      <c r="H258" s="22"/>
      <c r="I258" s="1"/>
      <c r="J258" s="1"/>
      <c r="K258" s="1"/>
      <c r="L258" s="1"/>
      <c r="M258" s="262"/>
      <c r="N258" s="1"/>
      <c r="O258" s="1"/>
      <c r="P258" s="1"/>
      <c r="Q258" s="1"/>
      <c r="R258" s="1"/>
      <c r="S258" s="1"/>
      <c r="T258" s="1"/>
      <c r="U258" s="1"/>
      <c r="V258" s="1"/>
      <c r="W258" s="1"/>
      <c r="X258" s="1"/>
      <c r="Y258" s="1"/>
      <c r="Z258" s="1"/>
      <c r="AA258" s="1"/>
      <c r="AB258" s="1"/>
    </row>
    <row r="259" spans="2:28" ht="11.25" customHeight="1" x14ac:dyDescent="0.25">
      <c r="B259" s="16"/>
      <c r="C259" s="1"/>
      <c r="D259" s="1"/>
      <c r="E259" s="1"/>
      <c r="F259" s="1"/>
      <c r="G259" s="22"/>
      <c r="H259" s="22"/>
      <c r="I259" s="1"/>
      <c r="J259" s="1"/>
      <c r="K259" s="1"/>
      <c r="L259" s="1"/>
      <c r="M259" s="262"/>
      <c r="N259" s="1"/>
      <c r="O259" s="1"/>
      <c r="P259" s="1"/>
      <c r="Q259" s="1"/>
      <c r="R259" s="1"/>
      <c r="S259" s="1"/>
      <c r="T259" s="1"/>
      <c r="U259" s="1"/>
      <c r="V259" s="1"/>
      <c r="W259" s="1"/>
      <c r="X259" s="1"/>
      <c r="Y259" s="1"/>
      <c r="Z259" s="1"/>
      <c r="AA259" s="1"/>
      <c r="AB259" s="1"/>
    </row>
    <row r="260" spans="2:28" ht="11.25" customHeight="1" x14ac:dyDescent="0.25">
      <c r="B260" s="16"/>
      <c r="C260" s="1"/>
      <c r="D260" s="1"/>
      <c r="E260" s="1"/>
      <c r="F260" s="1"/>
      <c r="G260" s="22"/>
      <c r="H260" s="22"/>
      <c r="I260" s="1"/>
      <c r="J260" s="1"/>
      <c r="K260" s="1"/>
      <c r="L260" s="1"/>
      <c r="M260" s="262"/>
      <c r="N260" s="1"/>
      <c r="O260" s="1"/>
      <c r="P260" s="1"/>
      <c r="Q260" s="1"/>
      <c r="R260" s="1"/>
      <c r="S260" s="1"/>
      <c r="T260" s="1"/>
      <c r="U260" s="1"/>
      <c r="V260" s="1"/>
      <c r="W260" s="1"/>
      <c r="X260" s="1"/>
      <c r="Y260" s="1"/>
      <c r="Z260" s="1"/>
      <c r="AA260" s="1"/>
      <c r="AB260" s="1"/>
    </row>
    <row r="261" spans="2:28" ht="11.25" customHeight="1" x14ac:dyDescent="0.25">
      <c r="B261" s="16"/>
      <c r="C261" s="1"/>
      <c r="D261" s="1"/>
      <c r="E261" s="1"/>
      <c r="F261" s="1"/>
      <c r="G261" s="22"/>
      <c r="H261" s="22"/>
      <c r="I261" s="1"/>
      <c r="J261" s="1"/>
      <c r="K261" s="1"/>
      <c r="L261" s="1"/>
      <c r="M261" s="262"/>
      <c r="N261" s="1"/>
      <c r="O261" s="1"/>
      <c r="P261" s="1"/>
      <c r="Q261" s="1"/>
      <c r="R261" s="1"/>
      <c r="S261" s="1"/>
      <c r="T261" s="1"/>
      <c r="U261" s="1"/>
      <c r="V261" s="1"/>
      <c r="W261" s="1"/>
      <c r="X261" s="1"/>
      <c r="Y261" s="1"/>
      <c r="Z261" s="1"/>
      <c r="AA261" s="1"/>
      <c r="AB261" s="1"/>
    </row>
    <row r="262" spans="2:28" ht="11.25" customHeight="1" x14ac:dyDescent="0.25">
      <c r="B262" s="16"/>
      <c r="C262" s="1"/>
      <c r="D262" s="1"/>
      <c r="E262" s="1"/>
      <c r="F262" s="1"/>
      <c r="G262" s="22"/>
      <c r="H262" s="22"/>
      <c r="I262" s="1"/>
      <c r="J262" s="1"/>
      <c r="K262" s="1"/>
      <c r="L262" s="1"/>
      <c r="M262" s="262"/>
      <c r="N262" s="1"/>
      <c r="O262" s="1"/>
      <c r="P262" s="1"/>
      <c r="Q262" s="1"/>
      <c r="R262" s="1"/>
      <c r="S262" s="1"/>
      <c r="T262" s="1"/>
      <c r="U262" s="1"/>
      <c r="V262" s="1"/>
      <c r="W262" s="1"/>
      <c r="X262" s="1"/>
      <c r="Y262" s="1"/>
      <c r="Z262" s="1"/>
      <c r="AA262" s="1"/>
      <c r="AB262" s="1"/>
    </row>
    <row r="263" spans="2:28" ht="11.25" customHeight="1" x14ac:dyDescent="0.25">
      <c r="B263" s="16"/>
      <c r="C263" s="1"/>
      <c r="D263" s="1"/>
      <c r="E263" s="1"/>
      <c r="F263" s="1"/>
      <c r="G263" s="22"/>
      <c r="H263" s="22"/>
      <c r="I263" s="1"/>
      <c r="J263" s="1"/>
      <c r="K263" s="1"/>
      <c r="L263" s="1"/>
      <c r="M263" s="262"/>
      <c r="N263" s="1"/>
      <c r="O263" s="1"/>
      <c r="P263" s="1"/>
      <c r="Q263" s="1"/>
      <c r="R263" s="1"/>
      <c r="S263" s="1"/>
      <c r="T263" s="1"/>
      <c r="U263" s="1"/>
      <c r="V263" s="1"/>
      <c r="W263" s="1"/>
      <c r="X263" s="1"/>
      <c r="Y263" s="1"/>
      <c r="Z263" s="1"/>
      <c r="AA263" s="1"/>
      <c r="AB263" s="1"/>
    </row>
    <row r="264" spans="2:28" ht="11.25" customHeight="1" x14ac:dyDescent="0.25">
      <c r="B264" s="16"/>
      <c r="C264" s="1"/>
      <c r="D264" s="1"/>
      <c r="E264" s="1"/>
      <c r="F264" s="1"/>
      <c r="G264" s="22"/>
      <c r="H264" s="22"/>
      <c r="I264" s="1"/>
      <c r="J264" s="1"/>
      <c r="K264" s="1"/>
      <c r="L264" s="1"/>
      <c r="M264" s="262"/>
      <c r="N264" s="1"/>
      <c r="O264" s="1"/>
      <c r="P264" s="1"/>
      <c r="Q264" s="1"/>
      <c r="R264" s="1"/>
      <c r="S264" s="1"/>
      <c r="T264" s="1"/>
      <c r="U264" s="1"/>
      <c r="V264" s="1"/>
      <c r="W264" s="1"/>
      <c r="X264" s="1"/>
      <c r="Y264" s="1"/>
      <c r="Z264" s="1"/>
      <c r="AA264" s="1"/>
      <c r="AB264" s="1"/>
    </row>
    <row r="265" spans="2:28" ht="11.25" customHeight="1" x14ac:dyDescent="0.25">
      <c r="B265" s="16"/>
      <c r="C265" s="1"/>
      <c r="D265" s="1"/>
      <c r="E265" s="1"/>
      <c r="F265" s="1"/>
      <c r="G265" s="22"/>
      <c r="H265" s="22"/>
      <c r="I265" s="1"/>
      <c r="J265" s="1"/>
      <c r="K265" s="1"/>
      <c r="L265" s="1"/>
      <c r="M265" s="262"/>
      <c r="N265" s="1"/>
      <c r="O265" s="1"/>
      <c r="P265" s="1"/>
      <c r="Q265" s="1"/>
      <c r="R265" s="1"/>
      <c r="S265" s="1"/>
      <c r="T265" s="1"/>
      <c r="U265" s="1"/>
      <c r="V265" s="1"/>
      <c r="W265" s="1"/>
      <c r="X265" s="1"/>
      <c r="Y265" s="1"/>
      <c r="Z265" s="1"/>
      <c r="AA265" s="1"/>
      <c r="AB265" s="1"/>
    </row>
    <row r="266" spans="2:28" ht="11.25" customHeight="1" x14ac:dyDescent="0.25">
      <c r="B266" s="16"/>
      <c r="C266" s="1"/>
      <c r="D266" s="1"/>
      <c r="E266" s="1"/>
      <c r="F266" s="1"/>
      <c r="G266" s="22"/>
      <c r="H266" s="22"/>
      <c r="I266" s="1"/>
      <c r="J266" s="1"/>
      <c r="K266" s="1"/>
      <c r="L266" s="1"/>
      <c r="M266" s="262"/>
      <c r="N266" s="1"/>
      <c r="O266" s="1"/>
      <c r="P266" s="1"/>
      <c r="Q266" s="1"/>
      <c r="R266" s="1"/>
      <c r="S266" s="1"/>
      <c r="T266" s="1"/>
      <c r="U266" s="1"/>
      <c r="V266" s="1"/>
      <c r="W266" s="1"/>
      <c r="X266" s="1"/>
      <c r="Y266" s="1"/>
      <c r="Z266" s="1"/>
      <c r="AA266" s="1"/>
      <c r="AB266" s="1"/>
    </row>
    <row r="267" spans="2:28" ht="11.25" customHeight="1" x14ac:dyDescent="0.25">
      <c r="B267" s="16"/>
      <c r="C267" s="1"/>
      <c r="D267" s="1"/>
      <c r="E267" s="1"/>
      <c r="F267" s="1"/>
      <c r="G267" s="22"/>
      <c r="H267" s="22"/>
      <c r="I267" s="1"/>
      <c r="J267" s="1"/>
      <c r="K267" s="1"/>
      <c r="L267" s="1"/>
      <c r="M267" s="262"/>
      <c r="N267" s="1"/>
      <c r="O267" s="1"/>
      <c r="P267" s="1"/>
      <c r="Q267" s="1"/>
      <c r="R267" s="1"/>
      <c r="S267" s="1"/>
      <c r="T267" s="1"/>
      <c r="U267" s="1"/>
      <c r="V267" s="1"/>
      <c r="W267" s="1"/>
      <c r="X267" s="1"/>
      <c r="Y267" s="1"/>
      <c r="Z267" s="1"/>
      <c r="AA267" s="1"/>
      <c r="AB267" s="1"/>
    </row>
    <row r="268" spans="2:28" ht="11.25" customHeight="1" x14ac:dyDescent="0.25">
      <c r="B268" s="16"/>
      <c r="C268" s="1"/>
      <c r="D268" s="1"/>
      <c r="E268" s="1"/>
      <c r="F268" s="1"/>
      <c r="G268" s="22"/>
      <c r="H268" s="22"/>
      <c r="I268" s="1"/>
      <c r="J268" s="1"/>
      <c r="K268" s="1"/>
      <c r="L268" s="1"/>
      <c r="M268" s="262"/>
      <c r="N268" s="1"/>
      <c r="O268" s="1"/>
      <c r="P268" s="1"/>
      <c r="Q268" s="1"/>
      <c r="R268" s="1"/>
      <c r="S268" s="1"/>
      <c r="T268" s="1"/>
      <c r="U268" s="1"/>
      <c r="V268" s="1"/>
      <c r="W268" s="1"/>
      <c r="X268" s="1"/>
      <c r="Y268" s="1"/>
      <c r="Z268" s="1"/>
      <c r="AA268" s="1"/>
      <c r="AB268" s="1"/>
    </row>
    <row r="269" spans="2:28" ht="11.25" customHeight="1" x14ac:dyDescent="0.25">
      <c r="B269" s="16"/>
      <c r="C269" s="1"/>
      <c r="D269" s="1"/>
      <c r="E269" s="1"/>
      <c r="F269" s="1"/>
      <c r="G269" s="22"/>
      <c r="H269" s="22"/>
      <c r="I269" s="1"/>
      <c r="J269" s="1"/>
      <c r="K269" s="1"/>
      <c r="L269" s="1"/>
      <c r="M269" s="262"/>
      <c r="N269" s="1"/>
      <c r="O269" s="1"/>
      <c r="P269" s="1"/>
      <c r="Q269" s="1"/>
      <c r="R269" s="1"/>
      <c r="S269" s="1"/>
      <c r="T269" s="1"/>
      <c r="U269" s="1"/>
      <c r="V269" s="1"/>
      <c r="W269" s="1"/>
      <c r="X269" s="1"/>
      <c r="Y269" s="1"/>
      <c r="Z269" s="1"/>
      <c r="AA269" s="1"/>
      <c r="AB269" s="1"/>
    </row>
    <row r="270" spans="2:28" ht="11.25" customHeight="1" x14ac:dyDescent="0.25">
      <c r="B270" s="16"/>
      <c r="C270" s="1"/>
      <c r="D270" s="1"/>
      <c r="E270" s="1"/>
      <c r="F270" s="1"/>
      <c r="G270" s="22"/>
      <c r="H270" s="22"/>
      <c r="I270" s="1"/>
      <c r="J270" s="1"/>
      <c r="K270" s="1"/>
      <c r="L270" s="1"/>
      <c r="M270" s="262"/>
      <c r="N270" s="1"/>
      <c r="O270" s="1"/>
      <c r="P270" s="1"/>
      <c r="Q270" s="1"/>
      <c r="R270" s="1"/>
      <c r="S270" s="1"/>
      <c r="T270" s="1"/>
      <c r="U270" s="1"/>
      <c r="V270" s="1"/>
      <c r="W270" s="1"/>
      <c r="X270" s="1"/>
      <c r="Y270" s="1"/>
      <c r="Z270" s="1"/>
      <c r="AA270" s="1"/>
      <c r="AB270" s="1"/>
    </row>
    <row r="271" spans="2:28" ht="11.25" customHeight="1" x14ac:dyDescent="0.25">
      <c r="B271" s="16"/>
      <c r="C271" s="1"/>
      <c r="D271" s="1"/>
      <c r="E271" s="1"/>
      <c r="F271" s="1"/>
      <c r="G271" s="22"/>
      <c r="H271" s="22"/>
      <c r="I271" s="1"/>
      <c r="J271" s="1"/>
      <c r="K271" s="1"/>
      <c r="L271" s="1"/>
      <c r="M271" s="262"/>
      <c r="N271" s="1"/>
      <c r="O271" s="1"/>
      <c r="P271" s="1"/>
      <c r="Q271" s="1"/>
      <c r="R271" s="1"/>
      <c r="S271" s="1"/>
      <c r="T271" s="1"/>
      <c r="U271" s="1"/>
      <c r="V271" s="1"/>
      <c r="W271" s="1"/>
      <c r="X271" s="1"/>
      <c r="Y271" s="1"/>
      <c r="Z271" s="1"/>
      <c r="AA271" s="1"/>
      <c r="AB271" s="1"/>
    </row>
    <row r="272" spans="2:28" ht="11.25" customHeight="1" x14ac:dyDescent="0.25">
      <c r="B272" s="16"/>
      <c r="C272" s="1"/>
      <c r="D272" s="1"/>
      <c r="E272" s="1"/>
      <c r="F272" s="1"/>
      <c r="G272" s="22"/>
      <c r="H272" s="22"/>
      <c r="I272" s="1"/>
      <c r="J272" s="1"/>
      <c r="K272" s="1"/>
      <c r="L272" s="1"/>
      <c r="M272" s="262"/>
      <c r="N272" s="1"/>
      <c r="O272" s="1"/>
      <c r="P272" s="1"/>
      <c r="Q272" s="1"/>
      <c r="R272" s="1"/>
      <c r="S272" s="1"/>
      <c r="T272" s="1"/>
      <c r="U272" s="1"/>
      <c r="V272" s="1"/>
      <c r="W272" s="1"/>
      <c r="X272" s="1"/>
      <c r="Y272" s="1"/>
      <c r="Z272" s="1"/>
      <c r="AA272" s="1"/>
      <c r="AB272" s="1"/>
    </row>
    <row r="273" spans="2:28" ht="11.25" customHeight="1" x14ac:dyDescent="0.25">
      <c r="B273" s="16"/>
      <c r="C273" s="1"/>
      <c r="D273" s="1"/>
      <c r="E273" s="1"/>
      <c r="F273" s="1"/>
      <c r="G273" s="22"/>
      <c r="H273" s="22"/>
      <c r="I273" s="1"/>
      <c r="J273" s="1"/>
      <c r="K273" s="1"/>
      <c r="L273" s="1"/>
      <c r="M273" s="262"/>
      <c r="N273" s="1"/>
      <c r="O273" s="1"/>
      <c r="P273" s="1"/>
      <c r="Q273" s="1"/>
      <c r="R273" s="1"/>
      <c r="S273" s="1"/>
      <c r="T273" s="1"/>
      <c r="U273" s="1"/>
      <c r="V273" s="1"/>
      <c r="W273" s="1"/>
      <c r="X273" s="1"/>
      <c r="Y273" s="1"/>
      <c r="Z273" s="1"/>
      <c r="AA273" s="1"/>
      <c r="AB273" s="1"/>
    </row>
    <row r="274" spans="2:28" ht="11.25" customHeight="1" x14ac:dyDescent="0.25">
      <c r="B274" s="16"/>
      <c r="C274" s="1"/>
      <c r="D274" s="1"/>
      <c r="E274" s="1"/>
      <c r="F274" s="1"/>
      <c r="G274" s="22"/>
      <c r="H274" s="22"/>
      <c r="I274" s="1"/>
      <c r="J274" s="1"/>
      <c r="K274" s="1"/>
      <c r="L274" s="1"/>
      <c r="M274" s="262"/>
      <c r="N274" s="1"/>
      <c r="O274" s="1"/>
      <c r="P274" s="1"/>
      <c r="Q274" s="1"/>
      <c r="R274" s="1"/>
      <c r="S274" s="1"/>
      <c r="T274" s="1"/>
      <c r="U274" s="1"/>
      <c r="V274" s="1"/>
      <c r="W274" s="1"/>
      <c r="X274" s="1"/>
      <c r="Y274" s="1"/>
      <c r="Z274" s="1"/>
      <c r="AA274" s="1"/>
      <c r="AB274" s="1"/>
    </row>
    <row r="275" spans="2:28" ht="11.25" customHeight="1" x14ac:dyDescent="0.25">
      <c r="B275" s="16"/>
      <c r="C275" s="1"/>
      <c r="D275" s="1"/>
      <c r="E275" s="1"/>
      <c r="F275" s="1"/>
      <c r="G275" s="22"/>
      <c r="H275" s="22"/>
      <c r="I275" s="1"/>
      <c r="J275" s="1"/>
      <c r="K275" s="1"/>
      <c r="L275" s="1"/>
      <c r="M275" s="262"/>
      <c r="N275" s="1"/>
      <c r="O275" s="1"/>
      <c r="P275" s="1"/>
      <c r="Q275" s="1"/>
      <c r="R275" s="1"/>
      <c r="S275" s="1"/>
      <c r="T275" s="1"/>
      <c r="U275" s="1"/>
      <c r="V275" s="1"/>
      <c r="W275" s="1"/>
      <c r="X275" s="1"/>
      <c r="Y275" s="1"/>
      <c r="Z275" s="1"/>
      <c r="AA275" s="1"/>
      <c r="AB275" s="1"/>
    </row>
    <row r="276" spans="2:28" ht="11.25" customHeight="1" x14ac:dyDescent="0.25">
      <c r="B276" s="16"/>
      <c r="C276" s="1"/>
      <c r="D276" s="1"/>
      <c r="E276" s="1"/>
      <c r="F276" s="1"/>
      <c r="G276" s="22"/>
      <c r="H276" s="22"/>
      <c r="I276" s="1"/>
      <c r="J276" s="1"/>
      <c r="K276" s="1"/>
      <c r="L276" s="1"/>
      <c r="M276" s="262"/>
      <c r="N276" s="1"/>
      <c r="O276" s="1"/>
      <c r="P276" s="1"/>
      <c r="Q276" s="1"/>
      <c r="R276" s="1"/>
      <c r="S276" s="1"/>
      <c r="T276" s="1"/>
      <c r="U276" s="1"/>
      <c r="V276" s="1"/>
      <c r="W276" s="1"/>
      <c r="X276" s="1"/>
      <c r="Y276" s="1"/>
      <c r="Z276" s="1"/>
      <c r="AA276" s="1"/>
      <c r="AB276" s="1"/>
    </row>
    <row r="277" spans="2:28" ht="11.25" customHeight="1" x14ac:dyDescent="0.25">
      <c r="B277" s="16"/>
      <c r="C277" s="1"/>
      <c r="D277" s="1"/>
      <c r="E277" s="1"/>
      <c r="F277" s="1"/>
      <c r="G277" s="22"/>
      <c r="H277" s="22"/>
      <c r="I277" s="1"/>
      <c r="J277" s="1"/>
      <c r="K277" s="1"/>
      <c r="L277" s="1"/>
      <c r="M277" s="262"/>
      <c r="N277" s="1"/>
      <c r="O277" s="1"/>
      <c r="P277" s="1"/>
      <c r="Q277" s="1"/>
      <c r="R277" s="1"/>
      <c r="S277" s="1"/>
      <c r="T277" s="1"/>
      <c r="U277" s="1"/>
      <c r="V277" s="1"/>
      <c r="W277" s="1"/>
      <c r="X277" s="1"/>
      <c r="Y277" s="1"/>
      <c r="Z277" s="1"/>
      <c r="AA277" s="1"/>
      <c r="AB277" s="1"/>
    </row>
    <row r="278" spans="2:28" ht="11.25" customHeight="1" x14ac:dyDescent="0.25">
      <c r="B278" s="16"/>
      <c r="C278" s="1"/>
      <c r="D278" s="1"/>
      <c r="E278" s="1"/>
      <c r="F278" s="1"/>
      <c r="G278" s="22"/>
      <c r="H278" s="22"/>
      <c r="I278" s="1"/>
      <c r="J278" s="1"/>
      <c r="K278" s="1"/>
      <c r="L278" s="1"/>
      <c r="M278" s="262"/>
      <c r="N278" s="1"/>
      <c r="O278" s="1"/>
      <c r="P278" s="1"/>
      <c r="Q278" s="1"/>
      <c r="R278" s="1"/>
      <c r="S278" s="1"/>
      <c r="T278" s="1"/>
      <c r="U278" s="1"/>
      <c r="V278" s="1"/>
      <c r="W278" s="1"/>
      <c r="X278" s="1"/>
      <c r="Y278" s="1"/>
      <c r="Z278" s="1"/>
      <c r="AA278" s="1"/>
      <c r="AB278" s="1"/>
    </row>
    <row r="279" spans="2:28" ht="11.25" customHeight="1" x14ac:dyDescent="0.25">
      <c r="B279" s="16"/>
      <c r="C279" s="1"/>
      <c r="D279" s="1"/>
      <c r="E279" s="1"/>
      <c r="F279" s="1"/>
      <c r="G279" s="22"/>
      <c r="H279" s="22"/>
      <c r="I279" s="1"/>
      <c r="J279" s="1"/>
      <c r="K279" s="1"/>
      <c r="L279" s="1"/>
      <c r="M279" s="262"/>
      <c r="N279" s="1"/>
      <c r="O279" s="1"/>
      <c r="P279" s="1"/>
      <c r="Q279" s="1"/>
      <c r="R279" s="1"/>
      <c r="S279" s="1"/>
      <c r="T279" s="1"/>
      <c r="U279" s="1"/>
      <c r="V279" s="1"/>
      <c r="W279" s="1"/>
      <c r="X279" s="1"/>
      <c r="Y279" s="1"/>
      <c r="Z279" s="1"/>
      <c r="AA279" s="1"/>
      <c r="AB279" s="1"/>
    </row>
    <row r="280" spans="2:28" ht="11.25" customHeight="1" x14ac:dyDescent="0.25">
      <c r="B280" s="16"/>
      <c r="C280" s="1"/>
      <c r="D280" s="1"/>
      <c r="E280" s="1"/>
      <c r="F280" s="1"/>
      <c r="G280" s="22"/>
      <c r="H280" s="22"/>
      <c r="I280" s="1"/>
      <c r="J280" s="1"/>
      <c r="K280" s="1"/>
      <c r="L280" s="1"/>
      <c r="M280" s="262"/>
      <c r="N280" s="1"/>
      <c r="O280" s="1"/>
      <c r="P280" s="1"/>
      <c r="Q280" s="1"/>
      <c r="R280" s="1"/>
      <c r="S280" s="1"/>
      <c r="T280" s="1"/>
      <c r="U280" s="1"/>
      <c r="V280" s="1"/>
      <c r="W280" s="1"/>
      <c r="X280" s="1"/>
      <c r="Y280" s="1"/>
      <c r="Z280" s="1"/>
      <c r="AA280" s="1"/>
      <c r="AB280" s="1"/>
    </row>
    <row r="281" spans="2:28" ht="11.25" customHeight="1" x14ac:dyDescent="0.25">
      <c r="B281" s="16"/>
      <c r="C281" s="1"/>
      <c r="D281" s="1"/>
      <c r="E281" s="1"/>
      <c r="F281" s="1"/>
      <c r="G281" s="22"/>
      <c r="H281" s="22"/>
      <c r="I281" s="1"/>
      <c r="J281" s="1"/>
      <c r="K281" s="1"/>
      <c r="L281" s="1"/>
      <c r="M281" s="262"/>
      <c r="N281" s="1"/>
      <c r="O281" s="1"/>
      <c r="P281" s="1"/>
      <c r="Q281" s="1"/>
      <c r="R281" s="1"/>
      <c r="S281" s="1"/>
      <c r="T281" s="1"/>
      <c r="U281" s="1"/>
      <c r="V281" s="1"/>
      <c r="W281" s="1"/>
      <c r="X281" s="1"/>
      <c r="Y281" s="1"/>
      <c r="Z281" s="1"/>
      <c r="AA281" s="1"/>
      <c r="AB281" s="1"/>
    </row>
    <row r="282" spans="2:28" ht="11.25" customHeight="1" x14ac:dyDescent="0.25">
      <c r="B282" s="16"/>
      <c r="C282" s="1"/>
      <c r="D282" s="1"/>
      <c r="E282" s="1"/>
      <c r="F282" s="1"/>
      <c r="G282" s="22"/>
      <c r="H282" s="22"/>
      <c r="I282" s="1"/>
      <c r="J282" s="1"/>
      <c r="K282" s="1"/>
      <c r="L282" s="1"/>
      <c r="M282" s="262"/>
      <c r="N282" s="1"/>
      <c r="O282" s="1"/>
      <c r="P282" s="1"/>
      <c r="Q282" s="1"/>
      <c r="R282" s="1"/>
      <c r="S282" s="1"/>
      <c r="T282" s="1"/>
      <c r="U282" s="1"/>
      <c r="V282" s="1"/>
      <c r="W282" s="1"/>
      <c r="X282" s="1"/>
      <c r="Y282" s="1"/>
      <c r="Z282" s="1"/>
      <c r="AA282" s="1"/>
      <c r="AB282" s="1"/>
    </row>
    <row r="283" spans="2:28" ht="11.25" customHeight="1" x14ac:dyDescent="0.25">
      <c r="B283" s="16"/>
      <c r="C283" s="1"/>
      <c r="D283" s="1"/>
      <c r="E283" s="1"/>
      <c r="F283" s="1"/>
      <c r="G283" s="22"/>
      <c r="H283" s="22"/>
      <c r="I283" s="1"/>
      <c r="J283" s="1"/>
      <c r="K283" s="1"/>
      <c r="L283" s="1"/>
      <c r="M283" s="262"/>
      <c r="N283" s="1"/>
      <c r="O283" s="1"/>
      <c r="P283" s="1"/>
      <c r="Q283" s="1"/>
      <c r="R283" s="1"/>
      <c r="S283" s="1"/>
      <c r="T283" s="1"/>
      <c r="U283" s="1"/>
      <c r="V283" s="1"/>
      <c r="W283" s="1"/>
      <c r="X283" s="1"/>
      <c r="Y283" s="1"/>
      <c r="Z283" s="1"/>
      <c r="AA283" s="1"/>
      <c r="AB283" s="1"/>
    </row>
    <row r="284" spans="2:28" ht="11.25" customHeight="1" x14ac:dyDescent="0.25">
      <c r="B284" s="16"/>
      <c r="C284" s="1"/>
      <c r="D284" s="1"/>
      <c r="E284" s="1"/>
      <c r="F284" s="1"/>
      <c r="G284" s="22"/>
      <c r="H284" s="22"/>
      <c r="I284" s="1"/>
      <c r="J284" s="1"/>
      <c r="K284" s="1"/>
      <c r="L284" s="1"/>
      <c r="M284" s="262"/>
      <c r="N284" s="1"/>
      <c r="O284" s="1"/>
      <c r="P284" s="1"/>
      <c r="Q284" s="1"/>
      <c r="R284" s="1"/>
      <c r="S284" s="1"/>
      <c r="T284" s="1"/>
      <c r="U284" s="1"/>
      <c r="V284" s="1"/>
      <c r="W284" s="1"/>
      <c r="X284" s="1"/>
      <c r="Y284" s="1"/>
      <c r="Z284" s="1"/>
      <c r="AA284" s="1"/>
      <c r="AB284" s="1"/>
    </row>
    <row r="285" spans="2:28" ht="11.25" customHeight="1" x14ac:dyDescent="0.25">
      <c r="B285" s="16"/>
      <c r="C285" s="1"/>
      <c r="D285" s="1"/>
      <c r="E285" s="1"/>
      <c r="F285" s="1"/>
      <c r="G285" s="22"/>
      <c r="H285" s="22"/>
      <c r="I285" s="1"/>
      <c r="J285" s="1"/>
      <c r="K285" s="1"/>
      <c r="L285" s="1"/>
      <c r="M285" s="262"/>
      <c r="N285" s="1"/>
      <c r="O285" s="1"/>
      <c r="P285" s="1"/>
      <c r="Q285" s="1"/>
      <c r="R285" s="1"/>
      <c r="S285" s="1"/>
      <c r="T285" s="1"/>
      <c r="U285" s="1"/>
      <c r="V285" s="1"/>
      <c r="W285" s="1"/>
      <c r="X285" s="1"/>
      <c r="Y285" s="1"/>
      <c r="Z285" s="1"/>
      <c r="AA285" s="1"/>
      <c r="AB285" s="1"/>
    </row>
    <row r="286" spans="2:28" ht="11.25" customHeight="1" x14ac:dyDescent="0.25">
      <c r="B286" s="16"/>
      <c r="C286" s="1"/>
      <c r="D286" s="1"/>
      <c r="E286" s="1"/>
      <c r="F286" s="1"/>
      <c r="G286" s="22"/>
      <c r="H286" s="22"/>
      <c r="I286" s="1"/>
      <c r="J286" s="1"/>
      <c r="K286" s="1"/>
      <c r="L286" s="1"/>
      <c r="M286" s="262"/>
      <c r="N286" s="1"/>
      <c r="O286" s="1"/>
      <c r="P286" s="1"/>
      <c r="Q286" s="1"/>
      <c r="R286" s="1"/>
      <c r="S286" s="1"/>
      <c r="T286" s="1"/>
      <c r="U286" s="1"/>
      <c r="V286" s="1"/>
      <c r="W286" s="1"/>
      <c r="X286" s="1"/>
      <c r="Y286" s="1"/>
      <c r="Z286" s="1"/>
      <c r="AA286" s="1"/>
      <c r="AB286" s="1"/>
    </row>
    <row r="287" spans="2:28" ht="11.25" customHeight="1" x14ac:dyDescent="0.25">
      <c r="B287" s="16"/>
      <c r="C287" s="1"/>
      <c r="D287" s="1"/>
      <c r="E287" s="1"/>
      <c r="F287" s="1"/>
      <c r="G287" s="22"/>
      <c r="H287" s="22"/>
      <c r="I287" s="1"/>
      <c r="J287" s="1"/>
      <c r="K287" s="1"/>
      <c r="L287" s="1"/>
      <c r="M287" s="262"/>
      <c r="N287" s="1"/>
      <c r="O287" s="1"/>
      <c r="P287" s="1"/>
      <c r="Q287" s="1"/>
      <c r="R287" s="1"/>
      <c r="S287" s="1"/>
      <c r="T287" s="1"/>
      <c r="U287" s="1"/>
      <c r="V287" s="1"/>
      <c r="W287" s="1"/>
      <c r="X287" s="1"/>
      <c r="Y287" s="1"/>
      <c r="Z287" s="1"/>
      <c r="AA287" s="1"/>
      <c r="AB287" s="1"/>
    </row>
    <row r="288" spans="2:28" ht="11.25" customHeight="1" x14ac:dyDescent="0.25">
      <c r="B288" s="16"/>
      <c r="C288" s="1"/>
      <c r="D288" s="1"/>
      <c r="E288" s="1"/>
      <c r="F288" s="1"/>
      <c r="G288" s="22"/>
      <c r="H288" s="22"/>
      <c r="I288" s="1"/>
      <c r="J288" s="1"/>
      <c r="K288" s="1"/>
      <c r="L288" s="1"/>
      <c r="M288" s="262"/>
      <c r="N288" s="1"/>
      <c r="O288" s="1"/>
      <c r="P288" s="1"/>
      <c r="Q288" s="1"/>
      <c r="R288" s="1"/>
      <c r="S288" s="1"/>
      <c r="T288" s="1"/>
      <c r="U288" s="1"/>
      <c r="V288" s="1"/>
      <c r="W288" s="1"/>
      <c r="X288" s="1"/>
      <c r="Y288" s="1"/>
      <c r="Z288" s="1"/>
      <c r="AA288" s="1"/>
      <c r="AB288" s="1"/>
    </row>
    <row r="289" spans="2:28" ht="11.25" customHeight="1" x14ac:dyDescent="0.25">
      <c r="B289" s="16"/>
      <c r="C289" s="1"/>
      <c r="D289" s="1"/>
      <c r="E289" s="1"/>
      <c r="F289" s="1"/>
      <c r="G289" s="22"/>
      <c r="H289" s="22"/>
      <c r="I289" s="1"/>
      <c r="J289" s="1"/>
      <c r="K289" s="1"/>
      <c r="L289" s="1"/>
      <c r="M289" s="262"/>
      <c r="N289" s="1"/>
      <c r="O289" s="1"/>
      <c r="P289" s="1"/>
      <c r="Q289" s="1"/>
      <c r="R289" s="1"/>
      <c r="S289" s="1"/>
      <c r="T289" s="1"/>
      <c r="U289" s="1"/>
      <c r="V289" s="1"/>
      <c r="W289" s="1"/>
      <c r="X289" s="1"/>
      <c r="Y289" s="1"/>
      <c r="Z289" s="1"/>
      <c r="AA289" s="1"/>
      <c r="AB289" s="1"/>
    </row>
    <row r="290" spans="2:28" ht="11.25" customHeight="1" x14ac:dyDescent="0.25">
      <c r="B290" s="16"/>
      <c r="C290" s="1"/>
      <c r="D290" s="1"/>
      <c r="E290" s="1"/>
      <c r="F290" s="1"/>
      <c r="G290" s="22"/>
      <c r="H290" s="22"/>
      <c r="I290" s="1"/>
      <c r="J290" s="1"/>
      <c r="K290" s="1"/>
      <c r="L290" s="1"/>
      <c r="M290" s="262"/>
      <c r="N290" s="1"/>
      <c r="O290" s="1"/>
      <c r="P290" s="1"/>
      <c r="Q290" s="1"/>
      <c r="R290" s="1"/>
      <c r="S290" s="1"/>
      <c r="T290" s="1"/>
      <c r="U290" s="1"/>
      <c r="V290" s="1"/>
      <c r="W290" s="1"/>
      <c r="X290" s="1"/>
      <c r="Y290" s="1"/>
      <c r="Z290" s="1"/>
      <c r="AA290" s="1"/>
      <c r="AB290" s="1"/>
    </row>
    <row r="291" spans="2:28" ht="11.25" customHeight="1" x14ac:dyDescent="0.25">
      <c r="B291" s="16"/>
      <c r="C291" s="1"/>
      <c r="D291" s="1"/>
      <c r="E291" s="1"/>
      <c r="F291" s="1"/>
      <c r="G291" s="22"/>
      <c r="H291" s="22"/>
      <c r="I291" s="1"/>
      <c r="J291" s="1"/>
      <c r="K291" s="1"/>
      <c r="L291" s="1"/>
      <c r="M291" s="262"/>
      <c r="N291" s="1"/>
      <c r="O291" s="1"/>
      <c r="P291" s="1"/>
      <c r="Q291" s="1"/>
      <c r="R291" s="1"/>
      <c r="S291" s="1"/>
      <c r="T291" s="1"/>
      <c r="U291" s="1"/>
      <c r="V291" s="1"/>
      <c r="W291" s="1"/>
      <c r="X291" s="1"/>
      <c r="Y291" s="1"/>
      <c r="Z291" s="1"/>
      <c r="AA291" s="1"/>
      <c r="AB291" s="1"/>
    </row>
    <row r="292" spans="2:28" ht="11.25" customHeight="1" x14ac:dyDescent="0.25">
      <c r="B292" s="16"/>
      <c r="C292" s="1"/>
      <c r="D292" s="1"/>
      <c r="E292" s="1"/>
      <c r="F292" s="1"/>
      <c r="G292" s="22"/>
      <c r="H292" s="22"/>
      <c r="I292" s="1"/>
      <c r="J292" s="1"/>
      <c r="K292" s="1"/>
      <c r="L292" s="1"/>
      <c r="M292" s="262"/>
      <c r="N292" s="1"/>
      <c r="O292" s="1"/>
      <c r="P292" s="1"/>
      <c r="Q292" s="1"/>
      <c r="R292" s="1"/>
      <c r="S292" s="1"/>
      <c r="T292" s="1"/>
      <c r="U292" s="1"/>
      <c r="V292" s="1"/>
      <c r="W292" s="1"/>
      <c r="X292" s="1"/>
      <c r="Y292" s="1"/>
      <c r="Z292" s="1"/>
      <c r="AA292" s="1"/>
      <c r="AB292" s="1"/>
    </row>
    <row r="293" spans="2:28" ht="11.25" customHeight="1" x14ac:dyDescent="0.25">
      <c r="B293" s="16"/>
      <c r="C293" s="1"/>
      <c r="D293" s="1"/>
      <c r="E293" s="1"/>
      <c r="F293" s="1"/>
      <c r="G293" s="22"/>
      <c r="H293" s="22"/>
      <c r="I293" s="1"/>
      <c r="J293" s="1"/>
      <c r="K293" s="1"/>
      <c r="L293" s="1"/>
      <c r="M293" s="262"/>
      <c r="N293" s="1"/>
      <c r="O293" s="1"/>
      <c r="P293" s="1"/>
      <c r="Q293" s="1"/>
      <c r="R293" s="1"/>
      <c r="S293" s="1"/>
      <c r="T293" s="1"/>
      <c r="U293" s="1"/>
      <c r="V293" s="1"/>
      <c r="W293" s="1"/>
      <c r="X293" s="1"/>
      <c r="Y293" s="1"/>
      <c r="Z293" s="1"/>
      <c r="AA293" s="1"/>
      <c r="AB293" s="1"/>
    </row>
    <row r="294" spans="2:28" ht="11.25" customHeight="1" x14ac:dyDescent="0.25">
      <c r="B294" s="16"/>
      <c r="C294" s="1"/>
      <c r="D294" s="1"/>
      <c r="E294" s="1"/>
      <c r="F294" s="1"/>
      <c r="G294" s="22"/>
      <c r="H294" s="22"/>
      <c r="I294" s="1"/>
      <c r="J294" s="1"/>
      <c r="K294" s="1"/>
      <c r="L294" s="1"/>
      <c r="M294" s="262"/>
      <c r="N294" s="1"/>
      <c r="O294" s="1"/>
      <c r="P294" s="1"/>
      <c r="Q294" s="1"/>
      <c r="R294" s="1"/>
      <c r="S294" s="1"/>
      <c r="T294" s="1"/>
      <c r="U294" s="1"/>
      <c r="V294" s="1"/>
      <c r="W294" s="1"/>
      <c r="X294" s="1"/>
      <c r="Y294" s="1"/>
      <c r="Z294" s="1"/>
      <c r="AA294" s="1"/>
      <c r="AB294" s="1"/>
    </row>
    <row r="295" spans="2:28" ht="11.25" customHeight="1" x14ac:dyDescent="0.25">
      <c r="B295" s="16"/>
      <c r="C295" s="1"/>
      <c r="D295" s="1"/>
      <c r="E295" s="1"/>
      <c r="F295" s="1"/>
      <c r="G295" s="22"/>
      <c r="H295" s="22"/>
      <c r="I295" s="1"/>
      <c r="J295" s="1"/>
      <c r="K295" s="1"/>
      <c r="L295" s="1"/>
      <c r="M295" s="262"/>
      <c r="N295" s="1"/>
      <c r="O295" s="1"/>
      <c r="P295" s="1"/>
      <c r="Q295" s="1"/>
      <c r="R295" s="1"/>
      <c r="S295" s="1"/>
      <c r="T295" s="1"/>
      <c r="U295" s="1"/>
      <c r="V295" s="1"/>
      <c r="W295" s="1"/>
      <c r="X295" s="1"/>
      <c r="Y295" s="1"/>
      <c r="Z295" s="1"/>
      <c r="AA295" s="1"/>
      <c r="AB295" s="1"/>
    </row>
    <row r="296" spans="2:28" ht="11.25" customHeight="1" x14ac:dyDescent="0.25">
      <c r="B296" s="16"/>
      <c r="C296" s="1"/>
      <c r="D296" s="1"/>
      <c r="E296" s="1"/>
      <c r="F296" s="1"/>
      <c r="G296" s="22"/>
      <c r="H296" s="22"/>
      <c r="I296" s="1"/>
      <c r="J296" s="1"/>
      <c r="K296" s="1"/>
      <c r="L296" s="1"/>
      <c r="M296" s="262"/>
      <c r="N296" s="1"/>
      <c r="O296" s="1"/>
      <c r="P296" s="1"/>
      <c r="Q296" s="1"/>
      <c r="R296" s="1"/>
      <c r="S296" s="1"/>
      <c r="T296" s="1"/>
      <c r="U296" s="1"/>
      <c r="V296" s="1"/>
      <c r="W296" s="1"/>
      <c r="X296" s="1"/>
      <c r="Y296" s="1"/>
      <c r="Z296" s="1"/>
      <c r="AA296" s="1"/>
      <c r="AB296" s="1"/>
    </row>
    <row r="297" spans="2:28" ht="11.25" customHeight="1" x14ac:dyDescent="0.25">
      <c r="B297" s="16"/>
      <c r="C297" s="1"/>
      <c r="D297" s="1"/>
      <c r="E297" s="1"/>
      <c r="F297" s="1"/>
      <c r="G297" s="22"/>
      <c r="H297" s="22"/>
      <c r="I297" s="1"/>
      <c r="J297" s="1"/>
      <c r="K297" s="1"/>
      <c r="L297" s="1"/>
      <c r="M297" s="262"/>
      <c r="N297" s="1"/>
      <c r="O297" s="1"/>
      <c r="P297" s="1"/>
      <c r="Q297" s="1"/>
      <c r="R297" s="1"/>
      <c r="S297" s="1"/>
      <c r="T297" s="1"/>
      <c r="U297" s="1"/>
      <c r="V297" s="1"/>
      <c r="W297" s="1"/>
      <c r="X297" s="1"/>
      <c r="Y297" s="1"/>
      <c r="Z297" s="1"/>
      <c r="AA297" s="1"/>
      <c r="AB297" s="1"/>
    </row>
    <row r="298" spans="2:28" ht="11.25" customHeight="1" x14ac:dyDescent="0.25">
      <c r="B298" s="16"/>
      <c r="C298" s="1"/>
      <c r="D298" s="1"/>
      <c r="E298" s="1"/>
      <c r="F298" s="1"/>
      <c r="G298" s="22"/>
      <c r="H298" s="22"/>
      <c r="I298" s="1"/>
      <c r="J298" s="1"/>
      <c r="K298" s="1"/>
      <c r="L298" s="1"/>
      <c r="M298" s="262"/>
      <c r="N298" s="1"/>
      <c r="O298" s="1"/>
      <c r="P298" s="1"/>
      <c r="Q298" s="1"/>
      <c r="R298" s="1"/>
      <c r="S298" s="1"/>
      <c r="T298" s="1"/>
      <c r="U298" s="1"/>
      <c r="V298" s="1"/>
      <c r="W298" s="1"/>
      <c r="X298" s="1"/>
      <c r="Y298" s="1"/>
      <c r="Z298" s="1"/>
      <c r="AA298" s="1"/>
      <c r="AB298" s="1"/>
    </row>
    <row r="299" spans="2:28" ht="11.25" customHeight="1" x14ac:dyDescent="0.25">
      <c r="B299" s="16"/>
      <c r="C299" s="1"/>
      <c r="D299" s="1"/>
      <c r="E299" s="1"/>
      <c r="F299" s="1"/>
      <c r="G299" s="22"/>
      <c r="H299" s="22"/>
      <c r="I299" s="1"/>
      <c r="J299" s="1"/>
      <c r="K299" s="1"/>
      <c r="L299" s="1"/>
      <c r="M299" s="262"/>
      <c r="N299" s="1"/>
      <c r="O299" s="1"/>
      <c r="P299" s="1"/>
      <c r="Q299" s="1"/>
      <c r="R299" s="1"/>
      <c r="S299" s="1"/>
      <c r="T299" s="1"/>
      <c r="U299" s="1"/>
      <c r="V299" s="1"/>
      <c r="W299" s="1"/>
      <c r="X299" s="1"/>
      <c r="Y299" s="1"/>
      <c r="Z299" s="1"/>
      <c r="AA299" s="1"/>
      <c r="AB299" s="1"/>
    </row>
    <row r="300" spans="2:28" ht="11.25" customHeight="1" x14ac:dyDescent="0.25">
      <c r="B300" s="16"/>
      <c r="C300" s="1"/>
      <c r="D300" s="1"/>
      <c r="E300" s="1"/>
      <c r="F300" s="1"/>
      <c r="G300" s="22"/>
      <c r="H300" s="22"/>
      <c r="I300" s="1"/>
      <c r="J300" s="1"/>
      <c r="K300" s="1"/>
      <c r="L300" s="1"/>
      <c r="M300" s="262"/>
      <c r="N300" s="1"/>
      <c r="O300" s="1"/>
      <c r="P300" s="1"/>
      <c r="Q300" s="1"/>
      <c r="R300" s="1"/>
      <c r="S300" s="1"/>
      <c r="T300" s="1"/>
      <c r="U300" s="1"/>
      <c r="V300" s="1"/>
      <c r="W300" s="1"/>
      <c r="X300" s="1"/>
      <c r="Y300" s="1"/>
      <c r="Z300" s="1"/>
      <c r="AA300" s="1"/>
      <c r="AB300" s="1"/>
    </row>
    <row r="301" spans="2:28" ht="11.25" customHeight="1" x14ac:dyDescent="0.25">
      <c r="B301" s="16"/>
      <c r="C301" s="1"/>
      <c r="D301" s="1"/>
      <c r="E301" s="1"/>
      <c r="F301" s="1"/>
      <c r="G301" s="22"/>
      <c r="H301" s="22"/>
      <c r="I301" s="1"/>
      <c r="J301" s="1"/>
      <c r="K301" s="1"/>
      <c r="L301" s="1"/>
      <c r="M301" s="262"/>
      <c r="N301" s="1"/>
      <c r="O301" s="1"/>
      <c r="P301" s="1"/>
      <c r="Q301" s="1"/>
      <c r="R301" s="1"/>
      <c r="S301" s="1"/>
      <c r="T301" s="1"/>
      <c r="U301" s="1"/>
      <c r="V301" s="1"/>
      <c r="W301" s="1"/>
      <c r="X301" s="1"/>
      <c r="Y301" s="1"/>
      <c r="Z301" s="1"/>
      <c r="AA301" s="1"/>
      <c r="AB301" s="1"/>
    </row>
    <row r="302" spans="2:28" ht="11.25" customHeight="1" x14ac:dyDescent="0.25">
      <c r="B302" s="16"/>
      <c r="C302" s="1"/>
      <c r="D302" s="1"/>
      <c r="E302" s="1"/>
      <c r="F302" s="1"/>
      <c r="G302" s="22"/>
      <c r="H302" s="22"/>
      <c r="I302" s="1"/>
      <c r="J302" s="1"/>
      <c r="K302" s="1"/>
      <c r="L302" s="1"/>
      <c r="M302" s="262"/>
      <c r="N302" s="1"/>
      <c r="O302" s="1"/>
      <c r="P302" s="1"/>
      <c r="Q302" s="1"/>
      <c r="R302" s="1"/>
      <c r="S302" s="1"/>
      <c r="T302" s="1"/>
      <c r="U302" s="1"/>
      <c r="V302" s="1"/>
      <c r="W302" s="1"/>
      <c r="X302" s="1"/>
      <c r="Y302" s="1"/>
      <c r="Z302" s="1"/>
      <c r="AA302" s="1"/>
      <c r="AB302" s="1"/>
    </row>
    <row r="303" spans="2:28" ht="11.25" customHeight="1" x14ac:dyDescent="0.25">
      <c r="B303" s="16"/>
      <c r="C303" s="1"/>
      <c r="D303" s="1"/>
      <c r="E303" s="1"/>
      <c r="F303" s="1"/>
      <c r="G303" s="22"/>
      <c r="H303" s="22"/>
      <c r="I303" s="1"/>
      <c r="J303" s="1"/>
      <c r="K303" s="1"/>
      <c r="L303" s="1"/>
      <c r="M303" s="262"/>
      <c r="N303" s="1"/>
      <c r="O303" s="1"/>
      <c r="P303" s="1"/>
      <c r="Q303" s="1"/>
      <c r="R303" s="1"/>
      <c r="S303" s="1"/>
      <c r="T303" s="1"/>
      <c r="U303" s="1"/>
      <c r="V303" s="1"/>
      <c r="W303" s="1"/>
      <c r="X303" s="1"/>
      <c r="Y303" s="1"/>
      <c r="Z303" s="1"/>
      <c r="AA303" s="1"/>
      <c r="AB303" s="1"/>
    </row>
    <row r="304" spans="2:28" ht="11.25" customHeight="1" x14ac:dyDescent="0.25">
      <c r="B304" s="16"/>
      <c r="C304" s="1"/>
      <c r="D304" s="1"/>
      <c r="E304" s="1"/>
      <c r="F304" s="1"/>
      <c r="G304" s="22"/>
      <c r="H304" s="22"/>
      <c r="I304" s="1"/>
      <c r="J304" s="1"/>
      <c r="K304" s="1"/>
      <c r="L304" s="1"/>
      <c r="M304" s="262"/>
      <c r="N304" s="1"/>
      <c r="O304" s="1"/>
      <c r="P304" s="1"/>
      <c r="Q304" s="1"/>
      <c r="R304" s="1"/>
      <c r="S304" s="1"/>
      <c r="T304" s="1"/>
      <c r="U304" s="1"/>
      <c r="V304" s="1"/>
      <c r="W304" s="1"/>
      <c r="X304" s="1"/>
      <c r="Y304" s="1"/>
      <c r="Z304" s="1"/>
      <c r="AA304" s="1"/>
      <c r="AB304" s="1"/>
    </row>
    <row r="305" spans="2:28" ht="11.25" customHeight="1" x14ac:dyDescent="0.25">
      <c r="B305" s="16"/>
      <c r="C305" s="1"/>
      <c r="D305" s="1"/>
      <c r="E305" s="1"/>
      <c r="F305" s="1"/>
      <c r="G305" s="22"/>
      <c r="H305" s="22"/>
      <c r="I305" s="1"/>
      <c r="J305" s="1"/>
      <c r="K305" s="1"/>
      <c r="L305" s="1"/>
      <c r="M305" s="262"/>
      <c r="N305" s="1"/>
      <c r="O305" s="1"/>
      <c r="P305" s="1"/>
      <c r="Q305" s="1"/>
      <c r="R305" s="1"/>
      <c r="S305" s="1"/>
      <c r="T305" s="1"/>
      <c r="U305" s="1"/>
      <c r="V305" s="1"/>
      <c r="W305" s="1"/>
      <c r="X305" s="1"/>
      <c r="Y305" s="1"/>
      <c r="Z305" s="1"/>
      <c r="AA305" s="1"/>
      <c r="AB305" s="1"/>
    </row>
    <row r="306" spans="2:28" ht="11.25" customHeight="1" x14ac:dyDescent="0.25">
      <c r="B306" s="16"/>
      <c r="C306" s="1"/>
      <c r="D306" s="1"/>
      <c r="E306" s="1"/>
      <c r="F306" s="1"/>
      <c r="G306" s="22"/>
      <c r="H306" s="22"/>
      <c r="I306" s="1"/>
      <c r="J306" s="1"/>
      <c r="K306" s="1"/>
      <c r="L306" s="1"/>
      <c r="M306" s="262"/>
      <c r="N306" s="1"/>
      <c r="O306" s="1"/>
      <c r="P306" s="1"/>
      <c r="Q306" s="1"/>
      <c r="R306" s="1"/>
      <c r="S306" s="1"/>
      <c r="T306" s="1"/>
      <c r="U306" s="1"/>
      <c r="V306" s="1"/>
      <c r="W306" s="1"/>
      <c r="X306" s="1"/>
      <c r="Y306" s="1"/>
      <c r="Z306" s="1"/>
      <c r="AA306" s="1"/>
      <c r="AB306" s="1"/>
    </row>
    <row r="307" spans="2:28" ht="11.25" customHeight="1" x14ac:dyDescent="0.25">
      <c r="B307" s="16"/>
      <c r="C307" s="1"/>
      <c r="D307" s="1"/>
      <c r="E307" s="1"/>
      <c r="F307" s="1"/>
      <c r="G307" s="22"/>
      <c r="H307" s="22"/>
      <c r="I307" s="1"/>
      <c r="J307" s="1"/>
      <c r="K307" s="1"/>
      <c r="L307" s="1"/>
      <c r="M307" s="262"/>
      <c r="N307" s="1"/>
      <c r="O307" s="1"/>
      <c r="P307" s="1"/>
      <c r="Q307" s="1"/>
      <c r="R307" s="1"/>
      <c r="S307" s="1"/>
      <c r="T307" s="1"/>
      <c r="U307" s="1"/>
      <c r="V307" s="1"/>
      <c r="W307" s="1"/>
      <c r="X307" s="1"/>
      <c r="Y307" s="1"/>
      <c r="Z307" s="1"/>
      <c r="AA307" s="1"/>
      <c r="AB307" s="1"/>
    </row>
    <row r="308" spans="2:28" ht="11.25" customHeight="1" x14ac:dyDescent="0.25">
      <c r="B308" s="16"/>
      <c r="C308" s="1"/>
      <c r="D308" s="1"/>
      <c r="E308" s="1"/>
      <c r="F308" s="1"/>
      <c r="G308" s="22"/>
      <c r="H308" s="22"/>
      <c r="I308" s="1"/>
      <c r="J308" s="1"/>
      <c r="K308" s="1"/>
      <c r="L308" s="1"/>
      <c r="M308" s="262"/>
      <c r="N308" s="1"/>
      <c r="O308" s="1"/>
      <c r="P308" s="1"/>
      <c r="Q308" s="1"/>
      <c r="R308" s="1"/>
      <c r="S308" s="1"/>
      <c r="T308" s="1"/>
      <c r="U308" s="1"/>
      <c r="V308" s="1"/>
      <c r="W308" s="1"/>
      <c r="X308" s="1"/>
      <c r="Y308" s="1"/>
      <c r="Z308" s="1"/>
      <c r="AA308" s="1"/>
      <c r="AB308" s="1"/>
    </row>
    <row r="309" spans="2:28" ht="11.25" customHeight="1" x14ac:dyDescent="0.25">
      <c r="B309" s="16"/>
      <c r="C309" s="1"/>
      <c r="D309" s="1"/>
      <c r="E309" s="1"/>
      <c r="F309" s="1"/>
      <c r="G309" s="22"/>
      <c r="H309" s="22"/>
      <c r="I309" s="1"/>
      <c r="J309" s="1"/>
      <c r="K309" s="1"/>
      <c r="L309" s="1"/>
      <c r="M309" s="262"/>
      <c r="N309" s="1"/>
      <c r="O309" s="1"/>
      <c r="P309" s="1"/>
      <c r="Q309" s="1"/>
      <c r="R309" s="1"/>
      <c r="S309" s="1"/>
      <c r="T309" s="1"/>
      <c r="U309" s="1"/>
      <c r="V309" s="1"/>
      <c r="W309" s="1"/>
      <c r="X309" s="1"/>
      <c r="Y309" s="1"/>
      <c r="Z309" s="1"/>
      <c r="AA309" s="1"/>
      <c r="AB309" s="1"/>
    </row>
    <row r="310" spans="2:28" ht="11.25" customHeight="1" x14ac:dyDescent="0.25">
      <c r="B310" s="16"/>
      <c r="C310" s="1"/>
      <c r="D310" s="1"/>
      <c r="E310" s="1"/>
      <c r="F310" s="1"/>
      <c r="G310" s="22"/>
      <c r="H310" s="22"/>
      <c r="I310" s="1"/>
      <c r="J310" s="1"/>
      <c r="K310" s="1"/>
      <c r="L310" s="1"/>
      <c r="M310" s="262"/>
      <c r="N310" s="1"/>
      <c r="O310" s="1"/>
      <c r="P310" s="1"/>
      <c r="Q310" s="1"/>
      <c r="R310" s="1"/>
      <c r="S310" s="1"/>
      <c r="T310" s="1"/>
      <c r="U310" s="1"/>
      <c r="V310" s="1"/>
      <c r="W310" s="1"/>
      <c r="X310" s="1"/>
      <c r="Y310" s="1"/>
      <c r="Z310" s="1"/>
      <c r="AA310" s="1"/>
      <c r="AB310" s="1"/>
    </row>
    <row r="311" spans="2:28" ht="11.25" customHeight="1" x14ac:dyDescent="0.25">
      <c r="B311" s="16"/>
      <c r="C311" s="1"/>
      <c r="D311" s="1"/>
      <c r="E311" s="1"/>
      <c r="F311" s="1"/>
      <c r="G311" s="22"/>
      <c r="H311" s="22"/>
      <c r="I311" s="1"/>
      <c r="J311" s="1"/>
      <c r="K311" s="1"/>
      <c r="L311" s="1"/>
      <c r="M311" s="262"/>
      <c r="N311" s="1"/>
      <c r="O311" s="1"/>
      <c r="P311" s="1"/>
      <c r="Q311" s="1"/>
      <c r="R311" s="1"/>
      <c r="S311" s="1"/>
      <c r="T311" s="1"/>
      <c r="U311" s="1"/>
      <c r="V311" s="1"/>
      <c r="W311" s="1"/>
      <c r="X311" s="1"/>
      <c r="Y311" s="1"/>
      <c r="Z311" s="1"/>
      <c r="AA311" s="1"/>
      <c r="AB311" s="1"/>
    </row>
    <row r="312" spans="2:28" ht="11.25" customHeight="1" x14ac:dyDescent="0.25">
      <c r="B312" s="16"/>
      <c r="C312" s="1"/>
      <c r="D312" s="1"/>
      <c r="E312" s="1"/>
      <c r="F312" s="1"/>
      <c r="G312" s="22"/>
      <c r="H312" s="22"/>
      <c r="I312" s="1"/>
      <c r="J312" s="1"/>
      <c r="K312" s="1"/>
      <c r="L312" s="1"/>
      <c r="M312" s="262"/>
      <c r="N312" s="1"/>
      <c r="O312" s="1"/>
      <c r="P312" s="1"/>
      <c r="Q312" s="1"/>
      <c r="R312" s="1"/>
      <c r="S312" s="1"/>
      <c r="T312" s="1"/>
      <c r="U312" s="1"/>
      <c r="V312" s="1"/>
      <c r="W312" s="1"/>
      <c r="X312" s="1"/>
      <c r="Y312" s="1"/>
      <c r="Z312" s="1"/>
      <c r="AA312" s="1"/>
      <c r="AB312" s="1"/>
    </row>
    <row r="313" spans="2:28" ht="11.25" customHeight="1" x14ac:dyDescent="0.25">
      <c r="B313" s="16"/>
      <c r="C313" s="1"/>
      <c r="D313" s="1"/>
      <c r="E313" s="1"/>
      <c r="F313" s="1"/>
      <c r="G313" s="22"/>
      <c r="H313" s="22"/>
      <c r="I313" s="1"/>
      <c r="J313" s="1"/>
      <c r="K313" s="1"/>
      <c r="L313" s="1"/>
      <c r="M313" s="262"/>
      <c r="N313" s="1"/>
      <c r="O313" s="1"/>
      <c r="P313" s="1"/>
      <c r="Q313" s="1"/>
      <c r="R313" s="1"/>
      <c r="S313" s="1"/>
      <c r="T313" s="1"/>
      <c r="U313" s="1"/>
      <c r="V313" s="1"/>
      <c r="W313" s="1"/>
      <c r="X313" s="1"/>
      <c r="Y313" s="1"/>
      <c r="Z313" s="1"/>
      <c r="AA313" s="1"/>
      <c r="AB313" s="1"/>
    </row>
    <row r="314" spans="2:28" ht="11.25" customHeight="1" x14ac:dyDescent="0.25">
      <c r="B314" s="16"/>
      <c r="C314" s="1"/>
      <c r="D314" s="1"/>
      <c r="E314" s="1"/>
      <c r="F314" s="1"/>
      <c r="G314" s="22"/>
      <c r="H314" s="22"/>
      <c r="I314" s="1"/>
      <c r="J314" s="1"/>
      <c r="K314" s="1"/>
      <c r="L314" s="1"/>
      <c r="M314" s="262"/>
      <c r="N314" s="1"/>
      <c r="O314" s="1"/>
      <c r="P314" s="1"/>
      <c r="Q314" s="1"/>
      <c r="R314" s="1"/>
      <c r="S314" s="1"/>
      <c r="T314" s="1"/>
      <c r="U314" s="1"/>
      <c r="V314" s="1"/>
      <c r="W314" s="1"/>
      <c r="X314" s="1"/>
      <c r="Y314" s="1"/>
      <c r="Z314" s="1"/>
      <c r="AA314" s="1"/>
      <c r="AB314" s="1"/>
    </row>
    <row r="315" spans="2:28" ht="11.25" customHeight="1" x14ac:dyDescent="0.25">
      <c r="B315" s="16"/>
      <c r="C315" s="1"/>
      <c r="D315" s="1"/>
      <c r="E315" s="1"/>
      <c r="F315" s="1"/>
      <c r="G315" s="22"/>
      <c r="H315" s="22"/>
      <c r="I315" s="1"/>
      <c r="J315" s="1"/>
      <c r="K315" s="1"/>
      <c r="L315" s="1"/>
      <c r="M315" s="262"/>
      <c r="N315" s="1"/>
      <c r="O315" s="1"/>
      <c r="P315" s="1"/>
      <c r="Q315" s="1"/>
      <c r="R315" s="1"/>
      <c r="S315" s="1"/>
      <c r="T315" s="1"/>
      <c r="U315" s="1"/>
      <c r="V315" s="1"/>
      <c r="W315" s="1"/>
      <c r="X315" s="1"/>
      <c r="Y315" s="1"/>
      <c r="Z315" s="1"/>
      <c r="AA315" s="1"/>
      <c r="AB315" s="1"/>
    </row>
    <row r="316" spans="2:28" ht="11.25" customHeight="1" x14ac:dyDescent="0.25">
      <c r="B316" s="16"/>
      <c r="C316" s="1"/>
      <c r="D316" s="1"/>
      <c r="E316" s="1"/>
      <c r="F316" s="1"/>
      <c r="G316" s="22"/>
      <c r="H316" s="22"/>
      <c r="I316" s="1"/>
      <c r="J316" s="1"/>
      <c r="K316" s="1"/>
      <c r="L316" s="1"/>
      <c r="M316" s="262"/>
      <c r="N316" s="1"/>
      <c r="O316" s="1"/>
      <c r="P316" s="1"/>
      <c r="Q316" s="1"/>
      <c r="R316" s="1"/>
      <c r="S316" s="1"/>
      <c r="T316" s="1"/>
      <c r="U316" s="1"/>
      <c r="V316" s="1"/>
      <c r="W316" s="1"/>
      <c r="X316" s="1"/>
      <c r="Y316" s="1"/>
      <c r="Z316" s="1"/>
      <c r="AA316" s="1"/>
      <c r="AB316" s="1"/>
    </row>
    <row r="317" spans="2:28" ht="11.25" customHeight="1" x14ac:dyDescent="0.25">
      <c r="B317" s="16"/>
      <c r="C317" s="1"/>
      <c r="D317" s="1"/>
      <c r="E317" s="1"/>
      <c r="F317" s="1"/>
      <c r="G317" s="22"/>
      <c r="H317" s="22"/>
      <c r="I317" s="1"/>
      <c r="J317" s="1"/>
      <c r="K317" s="1"/>
      <c r="L317" s="1"/>
      <c r="M317" s="262"/>
      <c r="N317" s="1"/>
      <c r="O317" s="1"/>
      <c r="P317" s="1"/>
      <c r="Q317" s="1"/>
      <c r="R317" s="1"/>
      <c r="S317" s="1"/>
      <c r="T317" s="1"/>
      <c r="U317" s="1"/>
      <c r="V317" s="1"/>
      <c r="W317" s="1"/>
      <c r="X317" s="1"/>
      <c r="Y317" s="1"/>
      <c r="Z317" s="1"/>
      <c r="AA317" s="1"/>
      <c r="AB317" s="1"/>
    </row>
    <row r="318" spans="2:28" ht="11.25" customHeight="1" x14ac:dyDescent="0.25">
      <c r="B318" s="16"/>
      <c r="C318" s="1"/>
      <c r="D318" s="1"/>
      <c r="E318" s="1"/>
      <c r="F318" s="1"/>
      <c r="G318" s="22"/>
      <c r="H318" s="22"/>
      <c r="I318" s="1"/>
      <c r="J318" s="1"/>
      <c r="K318" s="1"/>
      <c r="L318" s="1"/>
      <c r="M318" s="262"/>
      <c r="N318" s="1"/>
      <c r="O318" s="1"/>
      <c r="P318" s="1"/>
      <c r="Q318" s="1"/>
      <c r="R318" s="1"/>
      <c r="S318" s="1"/>
      <c r="T318" s="1"/>
      <c r="U318" s="1"/>
      <c r="V318" s="1"/>
      <c r="W318" s="1"/>
      <c r="X318" s="1"/>
      <c r="Y318" s="1"/>
      <c r="Z318" s="1"/>
      <c r="AA318" s="1"/>
      <c r="AB318" s="1"/>
    </row>
    <row r="319" spans="2:28" ht="11.25" customHeight="1" x14ac:dyDescent="0.25">
      <c r="B319" s="16"/>
      <c r="C319" s="1"/>
      <c r="D319" s="1"/>
      <c r="E319" s="1"/>
      <c r="F319" s="1"/>
      <c r="G319" s="22"/>
      <c r="H319" s="22"/>
      <c r="I319" s="1"/>
      <c r="J319" s="1"/>
      <c r="K319" s="1"/>
      <c r="L319" s="1"/>
      <c r="M319" s="262"/>
      <c r="N319" s="1"/>
      <c r="O319" s="1"/>
      <c r="P319" s="1"/>
      <c r="Q319" s="1"/>
      <c r="R319" s="1"/>
      <c r="S319" s="1"/>
      <c r="T319" s="1"/>
      <c r="U319" s="1"/>
      <c r="V319" s="1"/>
      <c r="W319" s="1"/>
      <c r="X319" s="1"/>
      <c r="Y319" s="1"/>
      <c r="Z319" s="1"/>
      <c r="AA319" s="1"/>
      <c r="AB319" s="1"/>
    </row>
    <row r="320" spans="2:28" ht="11.25" customHeight="1" x14ac:dyDescent="0.25">
      <c r="B320" s="16"/>
      <c r="C320" s="1"/>
      <c r="D320" s="1"/>
      <c r="E320" s="1"/>
      <c r="F320" s="1"/>
      <c r="G320" s="22"/>
      <c r="H320" s="22"/>
      <c r="I320" s="1"/>
      <c r="J320" s="1"/>
      <c r="K320" s="1"/>
      <c r="L320" s="1"/>
      <c r="M320" s="262"/>
      <c r="N320" s="1"/>
      <c r="O320" s="1"/>
      <c r="P320" s="1"/>
      <c r="Q320" s="1"/>
      <c r="R320" s="1"/>
      <c r="S320" s="1"/>
      <c r="T320" s="1"/>
      <c r="U320" s="1"/>
      <c r="V320" s="1"/>
      <c r="W320" s="1"/>
      <c r="X320" s="1"/>
      <c r="Y320" s="1"/>
      <c r="Z320" s="1"/>
      <c r="AA320" s="1"/>
      <c r="AB320" s="1"/>
    </row>
    <row r="321" spans="2:28" ht="11.25" customHeight="1" x14ac:dyDescent="0.25">
      <c r="B321" s="16"/>
      <c r="C321" s="1"/>
      <c r="D321" s="1"/>
      <c r="E321" s="1"/>
      <c r="F321" s="1"/>
      <c r="G321" s="22"/>
      <c r="H321" s="22"/>
      <c r="I321" s="1"/>
      <c r="J321" s="1"/>
      <c r="K321" s="1"/>
      <c r="L321" s="1"/>
      <c r="M321" s="262"/>
      <c r="N321" s="1"/>
      <c r="O321" s="1"/>
      <c r="P321" s="1"/>
      <c r="Q321" s="1"/>
      <c r="R321" s="1"/>
      <c r="S321" s="1"/>
      <c r="T321" s="1"/>
      <c r="U321" s="1"/>
      <c r="V321" s="1"/>
      <c r="W321" s="1"/>
      <c r="X321" s="1"/>
      <c r="Y321" s="1"/>
      <c r="Z321" s="1"/>
      <c r="AA321" s="1"/>
      <c r="AB321" s="1"/>
    </row>
    <row r="322" spans="2:28" ht="11.25" customHeight="1" x14ac:dyDescent="0.25">
      <c r="B322" s="16"/>
      <c r="C322" s="1"/>
      <c r="D322" s="1"/>
      <c r="E322" s="1"/>
      <c r="F322" s="1"/>
      <c r="G322" s="22"/>
      <c r="H322" s="22"/>
      <c r="I322" s="1"/>
      <c r="J322" s="1"/>
      <c r="K322" s="1"/>
      <c r="L322" s="1"/>
      <c r="M322" s="262"/>
      <c r="N322" s="1"/>
      <c r="O322" s="1"/>
      <c r="P322" s="1"/>
      <c r="Q322" s="1"/>
      <c r="R322" s="1"/>
      <c r="S322" s="1"/>
      <c r="T322" s="1"/>
      <c r="U322" s="1"/>
      <c r="V322" s="1"/>
      <c r="W322" s="1"/>
      <c r="X322" s="1"/>
      <c r="Y322" s="1"/>
      <c r="Z322" s="1"/>
      <c r="AA322" s="1"/>
      <c r="AB322" s="1"/>
    </row>
    <row r="323" spans="2:28" ht="11.25" customHeight="1" x14ac:dyDescent="0.25">
      <c r="B323" s="16"/>
      <c r="C323" s="1"/>
      <c r="D323" s="1"/>
      <c r="E323" s="1"/>
      <c r="F323" s="1"/>
      <c r="G323" s="22"/>
      <c r="H323" s="22"/>
      <c r="I323" s="1"/>
      <c r="J323" s="1"/>
      <c r="K323" s="1"/>
      <c r="L323" s="1"/>
      <c r="M323" s="262"/>
      <c r="N323" s="1"/>
      <c r="O323" s="1"/>
      <c r="P323" s="1"/>
      <c r="Q323" s="1"/>
      <c r="R323" s="1"/>
      <c r="S323" s="1"/>
      <c r="T323" s="1"/>
      <c r="U323" s="1"/>
      <c r="V323" s="1"/>
      <c r="W323" s="1"/>
      <c r="X323" s="1"/>
      <c r="Y323" s="1"/>
      <c r="Z323" s="1"/>
      <c r="AA323" s="1"/>
      <c r="AB323" s="1"/>
    </row>
    <row r="324" spans="2:28" ht="11.25" customHeight="1" x14ac:dyDescent="0.25">
      <c r="B324" s="16"/>
      <c r="C324" s="1"/>
      <c r="D324" s="1"/>
      <c r="E324" s="1"/>
      <c r="F324" s="1"/>
      <c r="G324" s="22"/>
      <c r="H324" s="22"/>
      <c r="I324" s="1"/>
      <c r="J324" s="1"/>
      <c r="K324" s="1"/>
      <c r="L324" s="1"/>
      <c r="M324" s="262"/>
      <c r="N324" s="1"/>
      <c r="O324" s="1"/>
      <c r="P324" s="1"/>
      <c r="Q324" s="1"/>
      <c r="R324" s="1"/>
      <c r="S324" s="1"/>
      <c r="T324" s="1"/>
      <c r="U324" s="1"/>
      <c r="V324" s="1"/>
      <c r="W324" s="1"/>
      <c r="X324" s="1"/>
      <c r="Y324" s="1"/>
      <c r="Z324" s="1"/>
      <c r="AA324" s="1"/>
      <c r="AB324" s="1"/>
    </row>
    <row r="325" spans="2:28" ht="11.25" customHeight="1" x14ac:dyDescent="0.25">
      <c r="B325" s="16"/>
      <c r="C325" s="1"/>
      <c r="D325" s="1"/>
      <c r="E325" s="1"/>
      <c r="F325" s="1"/>
      <c r="G325" s="22"/>
      <c r="H325" s="22"/>
      <c r="I325" s="1"/>
      <c r="J325" s="1"/>
      <c r="K325" s="1"/>
      <c r="L325" s="1"/>
      <c r="M325" s="262"/>
      <c r="N325" s="1"/>
      <c r="O325" s="1"/>
      <c r="P325" s="1"/>
      <c r="Q325" s="1"/>
      <c r="R325" s="1"/>
      <c r="S325" s="1"/>
      <c r="T325" s="1"/>
      <c r="U325" s="1"/>
      <c r="V325" s="1"/>
      <c r="W325" s="1"/>
      <c r="X325" s="1"/>
      <c r="Y325" s="1"/>
      <c r="Z325" s="1"/>
      <c r="AA325" s="1"/>
      <c r="AB325" s="1"/>
    </row>
    <row r="326" spans="2:28" ht="11.25" customHeight="1" x14ac:dyDescent="0.25">
      <c r="B326" s="16"/>
      <c r="C326" s="1"/>
      <c r="D326" s="1"/>
      <c r="E326" s="1"/>
      <c r="F326" s="1"/>
      <c r="G326" s="22"/>
      <c r="H326" s="22"/>
      <c r="I326" s="1"/>
      <c r="J326" s="1"/>
      <c r="K326" s="1"/>
      <c r="L326" s="1"/>
      <c r="M326" s="262"/>
      <c r="N326" s="1"/>
      <c r="O326" s="1"/>
      <c r="P326" s="1"/>
      <c r="Q326" s="1"/>
      <c r="R326" s="1"/>
      <c r="S326" s="1"/>
      <c r="T326" s="1"/>
      <c r="U326" s="1"/>
      <c r="V326" s="1"/>
      <c r="W326" s="1"/>
      <c r="X326" s="1"/>
      <c r="Y326" s="1"/>
      <c r="Z326" s="1"/>
      <c r="AA326" s="1"/>
      <c r="AB326" s="1"/>
    </row>
    <row r="327" spans="2:28" ht="11.25" customHeight="1" x14ac:dyDescent="0.25">
      <c r="B327" s="16"/>
      <c r="C327" s="1"/>
      <c r="D327" s="1"/>
      <c r="E327" s="1"/>
      <c r="F327" s="1"/>
      <c r="G327" s="22"/>
      <c r="H327" s="22"/>
      <c r="I327" s="1"/>
      <c r="J327" s="1"/>
      <c r="K327" s="1"/>
      <c r="L327" s="1"/>
      <c r="M327" s="262"/>
      <c r="N327" s="1"/>
      <c r="O327" s="1"/>
      <c r="P327" s="1"/>
      <c r="Q327" s="1"/>
      <c r="R327" s="1"/>
      <c r="S327" s="1"/>
      <c r="T327" s="1"/>
      <c r="U327" s="1"/>
      <c r="V327" s="1"/>
      <c r="W327" s="1"/>
      <c r="X327" s="1"/>
      <c r="Y327" s="1"/>
      <c r="Z327" s="1"/>
      <c r="AA327" s="1"/>
      <c r="AB327" s="1"/>
    </row>
    <row r="328" spans="2:28" ht="11.25" customHeight="1" x14ac:dyDescent="0.25">
      <c r="B328" s="16"/>
      <c r="C328" s="1"/>
      <c r="D328" s="1"/>
      <c r="E328" s="1"/>
      <c r="F328" s="1"/>
      <c r="G328" s="22"/>
      <c r="H328" s="22"/>
      <c r="I328" s="1"/>
      <c r="J328" s="1"/>
      <c r="K328" s="1"/>
      <c r="L328" s="1"/>
      <c r="M328" s="262"/>
      <c r="N328" s="1"/>
      <c r="O328" s="1"/>
      <c r="P328" s="1"/>
      <c r="Q328" s="1"/>
      <c r="R328" s="1"/>
      <c r="S328" s="1"/>
      <c r="T328" s="1"/>
      <c r="U328" s="1"/>
      <c r="V328" s="1"/>
      <c r="W328" s="1"/>
      <c r="X328" s="1"/>
      <c r="Y328" s="1"/>
      <c r="Z328" s="1"/>
      <c r="AA328" s="1"/>
      <c r="AB328" s="1"/>
    </row>
    <row r="329" spans="2:28" ht="11.25" customHeight="1" x14ac:dyDescent="0.25">
      <c r="B329" s="16"/>
      <c r="C329" s="1"/>
      <c r="D329" s="1"/>
      <c r="E329" s="1"/>
      <c r="F329" s="1"/>
      <c r="G329" s="22"/>
      <c r="H329" s="22"/>
      <c r="I329" s="1"/>
      <c r="J329" s="1"/>
      <c r="K329" s="1"/>
      <c r="L329" s="1"/>
      <c r="M329" s="262"/>
      <c r="N329" s="1"/>
      <c r="O329" s="1"/>
      <c r="P329" s="1"/>
      <c r="Q329" s="1"/>
      <c r="R329" s="1"/>
      <c r="S329" s="1"/>
      <c r="T329" s="1"/>
      <c r="U329" s="1"/>
      <c r="V329" s="1"/>
      <c r="W329" s="1"/>
      <c r="X329" s="1"/>
      <c r="Y329" s="1"/>
      <c r="Z329" s="1"/>
      <c r="AA329" s="1"/>
      <c r="AB329" s="1"/>
    </row>
    <row r="330" spans="2:28" ht="11.25" customHeight="1" x14ac:dyDescent="0.25">
      <c r="B330" s="16"/>
      <c r="C330" s="1"/>
      <c r="D330" s="1"/>
      <c r="E330" s="1"/>
      <c r="F330" s="1"/>
      <c r="G330" s="22"/>
      <c r="H330" s="22"/>
      <c r="I330" s="1"/>
      <c r="J330" s="1"/>
      <c r="K330" s="1"/>
      <c r="L330" s="1"/>
      <c r="M330" s="262"/>
      <c r="N330" s="1"/>
      <c r="O330" s="1"/>
      <c r="P330" s="1"/>
      <c r="Q330" s="1"/>
      <c r="R330" s="1"/>
      <c r="S330" s="1"/>
      <c r="T330" s="1"/>
      <c r="U330" s="1"/>
      <c r="V330" s="1"/>
      <c r="W330" s="1"/>
      <c r="X330" s="1"/>
      <c r="Y330" s="1"/>
      <c r="Z330" s="1"/>
      <c r="AA330" s="1"/>
      <c r="AB330" s="1"/>
    </row>
    <row r="331" spans="2:28" ht="11.25" customHeight="1" x14ac:dyDescent="0.25">
      <c r="B331" s="16"/>
      <c r="C331" s="1"/>
      <c r="D331" s="1"/>
      <c r="E331" s="1"/>
      <c r="F331" s="1"/>
      <c r="G331" s="22"/>
      <c r="H331" s="22"/>
      <c r="I331" s="1"/>
      <c r="J331" s="1"/>
      <c r="K331" s="1"/>
      <c r="L331" s="1"/>
      <c r="M331" s="262"/>
      <c r="N331" s="1"/>
      <c r="O331" s="1"/>
      <c r="P331" s="1"/>
      <c r="Q331" s="1"/>
      <c r="R331" s="1"/>
      <c r="S331" s="1"/>
      <c r="T331" s="1"/>
      <c r="U331" s="1"/>
      <c r="V331" s="1"/>
      <c r="W331" s="1"/>
      <c r="X331" s="1"/>
      <c r="Y331" s="1"/>
      <c r="Z331" s="1"/>
      <c r="AA331" s="1"/>
      <c r="AB331" s="1"/>
    </row>
    <row r="332" spans="2:28" ht="11.25" customHeight="1" x14ac:dyDescent="0.25">
      <c r="B332" s="16"/>
      <c r="C332" s="1"/>
      <c r="D332" s="1"/>
      <c r="E332" s="1"/>
      <c r="F332" s="1"/>
      <c r="G332" s="22"/>
      <c r="H332" s="22"/>
      <c r="I332" s="1"/>
      <c r="J332" s="1"/>
      <c r="K332" s="1"/>
      <c r="L332" s="1"/>
      <c r="M332" s="262"/>
      <c r="N332" s="1"/>
      <c r="O332" s="1"/>
      <c r="P332" s="1"/>
      <c r="Q332" s="1"/>
      <c r="R332" s="1"/>
      <c r="S332" s="1"/>
      <c r="T332" s="1"/>
      <c r="U332" s="1"/>
      <c r="V332" s="1"/>
      <c r="W332" s="1"/>
      <c r="X332" s="1"/>
      <c r="Y332" s="1"/>
      <c r="Z332" s="1"/>
      <c r="AA332" s="1"/>
      <c r="AB332" s="1"/>
    </row>
    <row r="333" spans="2:28" ht="11.25" customHeight="1" x14ac:dyDescent="0.25">
      <c r="B333" s="16"/>
      <c r="C333" s="1"/>
      <c r="D333" s="1"/>
      <c r="E333" s="1"/>
      <c r="F333" s="1"/>
      <c r="G333" s="22"/>
      <c r="H333" s="22"/>
      <c r="I333" s="1"/>
      <c r="J333" s="1"/>
      <c r="K333" s="1"/>
      <c r="L333" s="1"/>
      <c r="M333" s="262"/>
      <c r="N333" s="1"/>
      <c r="O333" s="1"/>
      <c r="P333" s="1"/>
      <c r="Q333" s="1"/>
      <c r="R333" s="1"/>
      <c r="S333" s="1"/>
      <c r="T333" s="1"/>
      <c r="U333" s="1"/>
      <c r="V333" s="1"/>
      <c r="W333" s="1"/>
      <c r="X333" s="1"/>
      <c r="Y333" s="1"/>
      <c r="Z333" s="1"/>
      <c r="AA333" s="1"/>
      <c r="AB333" s="1"/>
    </row>
    <row r="334" spans="2:28" ht="11.25" customHeight="1" x14ac:dyDescent="0.25">
      <c r="B334" s="16"/>
      <c r="C334" s="1"/>
      <c r="D334" s="1"/>
      <c r="E334" s="1"/>
      <c r="F334" s="1"/>
      <c r="G334" s="22"/>
      <c r="H334" s="22"/>
      <c r="I334" s="1"/>
      <c r="J334" s="1"/>
      <c r="K334" s="1"/>
      <c r="L334" s="1"/>
      <c r="M334" s="262"/>
      <c r="N334" s="1"/>
      <c r="O334" s="1"/>
      <c r="P334" s="1"/>
      <c r="Q334" s="1"/>
      <c r="R334" s="1"/>
      <c r="S334" s="1"/>
      <c r="T334" s="1"/>
      <c r="U334" s="1"/>
      <c r="V334" s="1"/>
      <c r="W334" s="1"/>
      <c r="X334" s="1"/>
      <c r="Y334" s="1"/>
      <c r="Z334" s="1"/>
      <c r="AA334" s="1"/>
      <c r="AB334" s="1"/>
    </row>
    <row r="335" spans="2:28" ht="11.25" customHeight="1" x14ac:dyDescent="0.25">
      <c r="B335" s="16"/>
      <c r="C335" s="1"/>
      <c r="D335" s="1"/>
      <c r="E335" s="1"/>
      <c r="F335" s="1"/>
      <c r="G335" s="22"/>
      <c r="H335" s="22"/>
      <c r="I335" s="1"/>
      <c r="J335" s="1"/>
      <c r="K335" s="1"/>
      <c r="L335" s="1"/>
      <c r="M335" s="262"/>
      <c r="N335" s="1"/>
      <c r="O335" s="1"/>
      <c r="P335" s="1"/>
      <c r="Q335" s="1"/>
      <c r="R335" s="1"/>
      <c r="S335" s="1"/>
      <c r="T335" s="1"/>
      <c r="U335" s="1"/>
      <c r="V335" s="1"/>
      <c r="W335" s="1"/>
      <c r="X335" s="1"/>
      <c r="Y335" s="1"/>
      <c r="Z335" s="1"/>
      <c r="AA335" s="1"/>
      <c r="AB335" s="1"/>
    </row>
    <row r="336" spans="2:28" ht="11.25" customHeight="1" x14ac:dyDescent="0.25">
      <c r="B336" s="16"/>
      <c r="C336" s="1"/>
      <c r="D336" s="1"/>
      <c r="E336" s="1"/>
      <c r="F336" s="1"/>
      <c r="G336" s="22"/>
      <c r="H336" s="22"/>
      <c r="I336" s="1"/>
      <c r="J336" s="1"/>
      <c r="K336" s="1"/>
      <c r="L336" s="1"/>
      <c r="M336" s="262"/>
      <c r="N336" s="1"/>
      <c r="O336" s="1"/>
      <c r="P336" s="1"/>
      <c r="Q336" s="1"/>
      <c r="R336" s="1"/>
      <c r="S336" s="1"/>
      <c r="T336" s="1"/>
      <c r="U336" s="1"/>
      <c r="V336" s="1"/>
      <c r="W336" s="1"/>
      <c r="X336" s="1"/>
      <c r="Y336" s="1"/>
      <c r="Z336" s="1"/>
      <c r="AA336" s="1"/>
      <c r="AB336" s="1"/>
    </row>
    <row r="337" spans="2:28" ht="11.25" customHeight="1" x14ac:dyDescent="0.25">
      <c r="B337" s="16"/>
      <c r="C337" s="1"/>
      <c r="D337" s="1"/>
      <c r="E337" s="1"/>
      <c r="F337" s="1"/>
      <c r="G337" s="22"/>
      <c r="H337" s="22"/>
      <c r="I337" s="1"/>
      <c r="J337" s="1"/>
      <c r="K337" s="1"/>
      <c r="L337" s="1"/>
      <c r="M337" s="262"/>
      <c r="N337" s="1"/>
      <c r="O337" s="1"/>
      <c r="P337" s="1"/>
      <c r="Q337" s="1"/>
      <c r="R337" s="1"/>
      <c r="S337" s="1"/>
      <c r="T337" s="1"/>
      <c r="U337" s="1"/>
      <c r="V337" s="1"/>
      <c r="W337" s="1"/>
      <c r="X337" s="1"/>
      <c r="Y337" s="1"/>
      <c r="Z337" s="1"/>
      <c r="AA337" s="1"/>
      <c r="AB337" s="1"/>
    </row>
    <row r="338" spans="2:28" ht="11.25" customHeight="1" x14ac:dyDescent="0.25">
      <c r="B338" s="16"/>
      <c r="C338" s="1"/>
      <c r="D338" s="1"/>
      <c r="E338" s="1"/>
      <c r="F338" s="1"/>
      <c r="G338" s="22"/>
      <c r="H338" s="22"/>
      <c r="I338" s="1"/>
      <c r="J338" s="1"/>
      <c r="K338" s="1"/>
      <c r="L338" s="1"/>
      <c r="M338" s="262"/>
      <c r="N338" s="1"/>
      <c r="O338" s="1"/>
      <c r="P338" s="1"/>
      <c r="Q338" s="1"/>
      <c r="R338" s="1"/>
      <c r="S338" s="1"/>
      <c r="T338" s="1"/>
      <c r="U338" s="1"/>
      <c r="V338" s="1"/>
      <c r="W338" s="1"/>
      <c r="X338" s="1"/>
      <c r="Y338" s="1"/>
      <c r="Z338" s="1"/>
      <c r="AA338" s="1"/>
      <c r="AB338" s="1"/>
    </row>
    <row r="339" spans="2:28" ht="11.25" customHeight="1" x14ac:dyDescent="0.25">
      <c r="B339" s="16"/>
      <c r="C339" s="1"/>
      <c r="D339" s="1"/>
      <c r="E339" s="1"/>
      <c r="F339" s="1"/>
      <c r="G339" s="22"/>
      <c r="H339" s="22"/>
      <c r="I339" s="1"/>
      <c r="J339" s="1"/>
      <c r="K339" s="1"/>
      <c r="L339" s="1"/>
      <c r="M339" s="262"/>
      <c r="N339" s="1"/>
      <c r="O339" s="1"/>
      <c r="P339" s="1"/>
      <c r="Q339" s="1"/>
      <c r="R339" s="1"/>
      <c r="S339" s="1"/>
      <c r="T339" s="1"/>
      <c r="U339" s="1"/>
      <c r="V339" s="1"/>
      <c r="W339" s="1"/>
      <c r="X339" s="1"/>
      <c r="Y339" s="1"/>
      <c r="Z339" s="1"/>
      <c r="AA339" s="1"/>
      <c r="AB339" s="1"/>
    </row>
    <row r="340" spans="2:28" ht="11.25" customHeight="1" x14ac:dyDescent="0.25">
      <c r="B340" s="16"/>
      <c r="C340" s="1"/>
      <c r="D340" s="1"/>
      <c r="E340" s="1"/>
      <c r="F340" s="1"/>
      <c r="G340" s="22"/>
      <c r="H340" s="22"/>
      <c r="I340" s="1"/>
      <c r="J340" s="1"/>
      <c r="K340" s="1"/>
      <c r="L340" s="1"/>
      <c r="M340" s="262"/>
      <c r="N340" s="1"/>
      <c r="O340" s="1"/>
      <c r="P340" s="1"/>
      <c r="Q340" s="1"/>
      <c r="R340" s="1"/>
      <c r="S340" s="1"/>
      <c r="T340" s="1"/>
      <c r="U340" s="1"/>
      <c r="V340" s="1"/>
      <c r="W340" s="1"/>
      <c r="X340" s="1"/>
      <c r="Y340" s="1"/>
      <c r="Z340" s="1"/>
      <c r="AA340" s="1"/>
      <c r="AB340" s="1"/>
    </row>
    <row r="341" spans="2:28" ht="11.25" customHeight="1" x14ac:dyDescent="0.25">
      <c r="B341" s="16"/>
      <c r="C341" s="1"/>
      <c r="D341" s="1"/>
      <c r="E341" s="1"/>
      <c r="F341" s="1"/>
      <c r="G341" s="22"/>
      <c r="H341" s="22"/>
      <c r="I341" s="1"/>
      <c r="J341" s="1"/>
      <c r="K341" s="1"/>
      <c r="L341" s="1"/>
      <c r="M341" s="262"/>
      <c r="N341" s="1"/>
      <c r="O341" s="1"/>
      <c r="P341" s="1"/>
      <c r="Q341" s="1"/>
      <c r="R341" s="1"/>
      <c r="S341" s="1"/>
      <c r="T341" s="1"/>
      <c r="U341" s="1"/>
      <c r="V341" s="1"/>
      <c r="W341" s="1"/>
      <c r="X341" s="1"/>
      <c r="Y341" s="1"/>
      <c r="Z341" s="1"/>
      <c r="AA341" s="1"/>
      <c r="AB341" s="1"/>
    </row>
    <row r="342" spans="2:28" ht="11.25" customHeight="1" x14ac:dyDescent="0.25">
      <c r="B342" s="16"/>
      <c r="C342" s="1"/>
      <c r="D342" s="1"/>
      <c r="E342" s="1"/>
      <c r="F342" s="1"/>
      <c r="G342" s="22"/>
      <c r="H342" s="22"/>
      <c r="I342" s="1"/>
      <c r="J342" s="1"/>
      <c r="K342" s="1"/>
      <c r="L342" s="1"/>
      <c r="M342" s="262"/>
      <c r="N342" s="1"/>
      <c r="O342" s="1"/>
      <c r="P342" s="1"/>
      <c r="Q342" s="1"/>
      <c r="R342" s="1"/>
      <c r="S342" s="1"/>
      <c r="T342" s="1"/>
      <c r="U342" s="1"/>
      <c r="V342" s="1"/>
      <c r="W342" s="1"/>
      <c r="X342" s="1"/>
      <c r="Y342" s="1"/>
      <c r="Z342" s="1"/>
      <c r="AA342" s="1"/>
      <c r="AB342" s="1"/>
    </row>
    <row r="343" spans="2:28" ht="11.25" customHeight="1" x14ac:dyDescent="0.25">
      <c r="B343" s="16"/>
      <c r="C343" s="1"/>
      <c r="D343" s="1"/>
      <c r="E343" s="1"/>
      <c r="F343" s="1"/>
      <c r="G343" s="22"/>
      <c r="H343" s="22"/>
      <c r="I343" s="1"/>
      <c r="J343" s="1"/>
      <c r="K343" s="1"/>
      <c r="L343" s="1"/>
      <c r="M343" s="262"/>
      <c r="N343" s="1"/>
      <c r="O343" s="1"/>
      <c r="P343" s="1"/>
      <c r="Q343" s="1"/>
      <c r="R343" s="1"/>
      <c r="S343" s="1"/>
      <c r="T343" s="1"/>
      <c r="U343" s="1"/>
      <c r="V343" s="1"/>
      <c r="W343" s="1"/>
      <c r="X343" s="1"/>
      <c r="Y343" s="1"/>
      <c r="Z343" s="1"/>
      <c r="AA343" s="1"/>
      <c r="AB343" s="1"/>
    </row>
    <row r="344" spans="2:28" ht="11.25" customHeight="1" x14ac:dyDescent="0.25">
      <c r="B344" s="16"/>
      <c r="C344" s="1"/>
      <c r="D344" s="1"/>
      <c r="E344" s="1"/>
      <c r="F344" s="1"/>
      <c r="G344" s="22"/>
      <c r="H344" s="22"/>
      <c r="I344" s="1"/>
      <c r="J344" s="1"/>
      <c r="K344" s="1"/>
      <c r="L344" s="1"/>
      <c r="M344" s="262"/>
      <c r="N344" s="1"/>
      <c r="O344" s="1"/>
      <c r="P344" s="1"/>
      <c r="Q344" s="1"/>
      <c r="R344" s="1"/>
      <c r="S344" s="1"/>
      <c r="T344" s="1"/>
      <c r="U344" s="1"/>
      <c r="V344" s="1"/>
      <c r="W344" s="1"/>
      <c r="X344" s="1"/>
      <c r="Y344" s="1"/>
      <c r="Z344" s="1"/>
      <c r="AA344" s="1"/>
      <c r="AB344" s="1"/>
    </row>
    <row r="345" spans="2:28" ht="11.25" customHeight="1" x14ac:dyDescent="0.25">
      <c r="B345" s="16"/>
      <c r="C345" s="1"/>
      <c r="D345" s="1"/>
      <c r="E345" s="1"/>
      <c r="F345" s="1"/>
      <c r="G345" s="22"/>
      <c r="H345" s="22"/>
      <c r="I345" s="1"/>
      <c r="J345" s="1"/>
      <c r="K345" s="1"/>
      <c r="L345" s="1"/>
      <c r="M345" s="262"/>
      <c r="N345" s="1"/>
      <c r="O345" s="1"/>
      <c r="P345" s="1"/>
      <c r="Q345" s="1"/>
      <c r="R345" s="1"/>
      <c r="S345" s="1"/>
      <c r="T345" s="1"/>
      <c r="U345" s="1"/>
      <c r="V345" s="1"/>
      <c r="W345" s="1"/>
      <c r="X345" s="1"/>
      <c r="Y345" s="1"/>
      <c r="Z345" s="1"/>
      <c r="AA345" s="1"/>
      <c r="AB345" s="1"/>
    </row>
    <row r="346" spans="2:28" ht="11.25" customHeight="1" x14ac:dyDescent="0.25">
      <c r="B346" s="16"/>
      <c r="C346" s="1"/>
      <c r="D346" s="1"/>
      <c r="E346" s="1"/>
      <c r="F346" s="1"/>
      <c r="G346" s="22"/>
      <c r="H346" s="22"/>
      <c r="I346" s="1"/>
      <c r="J346" s="1"/>
      <c r="K346" s="1"/>
      <c r="L346" s="1"/>
      <c r="M346" s="262"/>
      <c r="N346" s="1"/>
      <c r="O346" s="1"/>
      <c r="P346" s="1"/>
      <c r="Q346" s="1"/>
      <c r="R346" s="1"/>
      <c r="S346" s="1"/>
      <c r="T346" s="1"/>
      <c r="U346" s="1"/>
      <c r="V346" s="1"/>
      <c r="W346" s="1"/>
      <c r="X346" s="1"/>
      <c r="Y346" s="1"/>
      <c r="Z346" s="1"/>
      <c r="AA346" s="1"/>
      <c r="AB346" s="1"/>
    </row>
    <row r="347" spans="2:28" ht="11.25" customHeight="1" x14ac:dyDescent="0.25">
      <c r="B347" s="16"/>
      <c r="C347" s="1"/>
      <c r="D347" s="1"/>
      <c r="E347" s="1"/>
      <c r="F347" s="1"/>
      <c r="G347" s="22"/>
      <c r="H347" s="22"/>
      <c r="I347" s="1"/>
      <c r="J347" s="1"/>
      <c r="K347" s="1"/>
      <c r="L347" s="1"/>
      <c r="M347" s="262"/>
      <c r="N347" s="1"/>
      <c r="O347" s="1"/>
      <c r="P347" s="1"/>
      <c r="Q347" s="1"/>
      <c r="R347" s="1"/>
      <c r="S347" s="1"/>
      <c r="T347" s="1"/>
      <c r="U347" s="1"/>
      <c r="V347" s="1"/>
      <c r="W347" s="1"/>
      <c r="X347" s="1"/>
      <c r="Y347" s="1"/>
      <c r="Z347" s="1"/>
      <c r="AA347" s="1"/>
      <c r="AB347" s="1"/>
    </row>
    <row r="348" spans="2:28" ht="11.25" customHeight="1" x14ac:dyDescent="0.25">
      <c r="B348" s="16"/>
      <c r="C348" s="1"/>
      <c r="D348" s="1"/>
      <c r="E348" s="1"/>
      <c r="F348" s="1"/>
      <c r="G348" s="22"/>
      <c r="H348" s="22"/>
      <c r="I348" s="1"/>
      <c r="J348" s="1"/>
      <c r="K348" s="1"/>
      <c r="L348" s="1"/>
      <c r="M348" s="262"/>
      <c r="N348" s="1"/>
      <c r="O348" s="1"/>
      <c r="P348" s="1"/>
      <c r="Q348" s="1"/>
      <c r="R348" s="1"/>
      <c r="S348" s="1"/>
      <c r="T348" s="1"/>
      <c r="U348" s="1"/>
      <c r="V348" s="1"/>
      <c r="W348" s="1"/>
      <c r="X348" s="1"/>
      <c r="Y348" s="1"/>
      <c r="Z348" s="1"/>
      <c r="AA348" s="1"/>
      <c r="AB348" s="1"/>
    </row>
    <row r="349" spans="2:28" ht="11.25" customHeight="1" x14ac:dyDescent="0.25">
      <c r="B349" s="16"/>
      <c r="C349" s="1"/>
      <c r="D349" s="1"/>
      <c r="E349" s="1"/>
      <c r="F349" s="1"/>
      <c r="G349" s="22"/>
      <c r="H349" s="22"/>
      <c r="I349" s="1"/>
      <c r="J349" s="1"/>
      <c r="K349" s="1"/>
      <c r="L349" s="1"/>
      <c r="M349" s="262"/>
      <c r="N349" s="1"/>
      <c r="O349" s="1"/>
      <c r="P349" s="1"/>
      <c r="Q349" s="1"/>
      <c r="R349" s="1"/>
      <c r="S349" s="1"/>
      <c r="T349" s="1"/>
      <c r="U349" s="1"/>
      <c r="V349" s="1"/>
      <c r="W349" s="1"/>
      <c r="X349" s="1"/>
      <c r="Y349" s="1"/>
      <c r="Z349" s="1"/>
      <c r="AA349" s="1"/>
      <c r="AB349" s="1"/>
    </row>
    <row r="350" spans="2:28" ht="11.25" customHeight="1" x14ac:dyDescent="0.25">
      <c r="B350" s="16"/>
      <c r="C350" s="1"/>
      <c r="D350" s="1"/>
      <c r="E350" s="1"/>
      <c r="F350" s="1"/>
      <c r="G350" s="22"/>
      <c r="H350" s="22"/>
      <c r="I350" s="1"/>
      <c r="J350" s="1"/>
      <c r="K350" s="1"/>
      <c r="L350" s="1"/>
      <c r="M350" s="262"/>
      <c r="N350" s="1"/>
      <c r="O350" s="1"/>
      <c r="P350" s="1"/>
      <c r="Q350" s="1"/>
      <c r="R350" s="1"/>
      <c r="S350" s="1"/>
      <c r="T350" s="1"/>
      <c r="U350" s="1"/>
      <c r="V350" s="1"/>
      <c r="W350" s="1"/>
      <c r="X350" s="1"/>
      <c r="Y350" s="1"/>
      <c r="Z350" s="1"/>
      <c r="AA350" s="1"/>
      <c r="AB350" s="1"/>
    </row>
    <row r="351" spans="2:28" ht="11.25" customHeight="1" x14ac:dyDescent="0.25">
      <c r="B351" s="16"/>
      <c r="C351" s="1"/>
      <c r="D351" s="1"/>
      <c r="E351" s="1"/>
      <c r="F351" s="1"/>
      <c r="G351" s="22"/>
      <c r="H351" s="22"/>
      <c r="I351" s="1"/>
      <c r="J351" s="1"/>
      <c r="K351" s="1"/>
      <c r="L351" s="1"/>
      <c r="M351" s="262"/>
      <c r="N351" s="1"/>
      <c r="O351" s="1"/>
      <c r="P351" s="1"/>
      <c r="Q351" s="1"/>
      <c r="R351" s="1"/>
      <c r="S351" s="1"/>
      <c r="T351" s="1"/>
      <c r="U351" s="1"/>
      <c r="V351" s="1"/>
      <c r="W351" s="1"/>
      <c r="X351" s="1"/>
      <c r="Y351" s="1"/>
      <c r="Z351" s="1"/>
      <c r="AA351" s="1"/>
      <c r="AB351" s="1"/>
    </row>
    <row r="352" spans="2:28" ht="11.25" customHeight="1" x14ac:dyDescent="0.25">
      <c r="B352" s="16"/>
      <c r="C352" s="1"/>
      <c r="D352" s="1"/>
      <c r="E352" s="1"/>
      <c r="F352" s="1"/>
      <c r="G352" s="22"/>
      <c r="H352" s="22"/>
      <c r="I352" s="1"/>
      <c r="J352" s="1"/>
      <c r="K352" s="1"/>
      <c r="L352" s="1"/>
      <c r="M352" s="262"/>
      <c r="N352" s="1"/>
      <c r="O352" s="1"/>
      <c r="P352" s="1"/>
      <c r="Q352" s="1"/>
      <c r="R352" s="1"/>
      <c r="S352" s="1"/>
      <c r="T352" s="1"/>
      <c r="U352" s="1"/>
      <c r="V352" s="1"/>
      <c r="W352" s="1"/>
      <c r="X352" s="1"/>
      <c r="Y352" s="1"/>
      <c r="Z352" s="1"/>
      <c r="AA352" s="1"/>
      <c r="AB352" s="1"/>
    </row>
    <row r="353" spans="2:28" ht="11.25" customHeight="1" x14ac:dyDescent="0.25">
      <c r="B353" s="16"/>
      <c r="C353" s="1"/>
      <c r="D353" s="1"/>
      <c r="E353" s="1"/>
      <c r="F353" s="1"/>
      <c r="G353" s="22"/>
      <c r="H353" s="22"/>
      <c r="I353" s="1"/>
      <c r="J353" s="1"/>
      <c r="K353" s="1"/>
      <c r="L353" s="1"/>
      <c r="M353" s="262"/>
      <c r="N353" s="1"/>
      <c r="O353" s="1"/>
      <c r="P353" s="1"/>
      <c r="Q353" s="1"/>
      <c r="R353" s="1"/>
      <c r="S353" s="1"/>
      <c r="T353" s="1"/>
      <c r="U353" s="1"/>
      <c r="V353" s="1"/>
      <c r="W353" s="1"/>
      <c r="X353" s="1"/>
      <c r="Y353" s="1"/>
      <c r="Z353" s="1"/>
      <c r="AA353" s="1"/>
      <c r="AB353" s="1"/>
    </row>
    <row r="354" spans="2:28" ht="11.25" customHeight="1" x14ac:dyDescent="0.25">
      <c r="B354" s="16"/>
      <c r="C354" s="1"/>
      <c r="D354" s="1"/>
      <c r="E354" s="1"/>
      <c r="F354" s="1"/>
      <c r="G354" s="22"/>
      <c r="H354" s="22"/>
      <c r="I354" s="1"/>
      <c r="J354" s="1"/>
      <c r="K354" s="1"/>
      <c r="L354" s="1"/>
      <c r="M354" s="262"/>
      <c r="N354" s="1"/>
      <c r="O354" s="1"/>
      <c r="P354" s="1"/>
      <c r="Q354" s="1"/>
      <c r="R354" s="1"/>
      <c r="S354" s="1"/>
      <c r="T354" s="1"/>
      <c r="U354" s="1"/>
      <c r="V354" s="1"/>
      <c r="W354" s="1"/>
      <c r="X354" s="1"/>
      <c r="Y354" s="1"/>
      <c r="Z354" s="1"/>
      <c r="AA354" s="1"/>
      <c r="AB354" s="1"/>
    </row>
    <row r="355" spans="2:28" ht="11.25" customHeight="1" x14ac:dyDescent="0.25">
      <c r="B355" s="16"/>
      <c r="C355" s="1"/>
      <c r="D355" s="1"/>
      <c r="E355" s="1"/>
      <c r="F355" s="1"/>
      <c r="G355" s="22"/>
      <c r="H355" s="22"/>
      <c r="I355" s="1"/>
      <c r="J355" s="1"/>
      <c r="K355" s="1"/>
      <c r="L355" s="1"/>
      <c r="M355" s="262"/>
      <c r="N355" s="1"/>
      <c r="O355" s="1"/>
      <c r="P355" s="1"/>
      <c r="Q355" s="1"/>
      <c r="R355" s="1"/>
      <c r="S355" s="1"/>
      <c r="T355" s="1"/>
      <c r="U355" s="1"/>
      <c r="V355" s="1"/>
      <c r="W355" s="1"/>
      <c r="X355" s="1"/>
      <c r="Y355" s="1"/>
      <c r="Z355" s="1"/>
      <c r="AA355" s="1"/>
      <c r="AB355" s="1"/>
    </row>
    <row r="356" spans="2:28" ht="11.25" customHeight="1" x14ac:dyDescent="0.25">
      <c r="B356" s="16"/>
      <c r="C356" s="1"/>
      <c r="D356" s="1"/>
      <c r="E356" s="1"/>
      <c r="F356" s="1"/>
      <c r="G356" s="22"/>
      <c r="H356" s="22"/>
      <c r="I356" s="1"/>
      <c r="J356" s="1"/>
      <c r="K356" s="1"/>
      <c r="L356" s="1"/>
      <c r="M356" s="262"/>
      <c r="N356" s="1"/>
      <c r="O356" s="1"/>
      <c r="P356" s="1"/>
      <c r="Q356" s="1"/>
      <c r="R356" s="1"/>
      <c r="S356" s="1"/>
      <c r="T356" s="1"/>
      <c r="U356" s="1"/>
      <c r="V356" s="1"/>
      <c r="W356" s="1"/>
      <c r="X356" s="1"/>
      <c r="Y356" s="1"/>
      <c r="Z356" s="1"/>
      <c r="AA356" s="1"/>
      <c r="AB356" s="1"/>
    </row>
    <row r="357" spans="2:28" ht="11.25" customHeight="1" x14ac:dyDescent="0.25">
      <c r="B357" s="16"/>
      <c r="C357" s="1"/>
      <c r="D357" s="1"/>
      <c r="E357" s="1"/>
      <c r="F357" s="1"/>
      <c r="G357" s="22"/>
      <c r="H357" s="22"/>
      <c r="I357" s="1"/>
      <c r="J357" s="1"/>
      <c r="K357" s="1"/>
      <c r="L357" s="1"/>
      <c r="M357" s="262"/>
      <c r="N357" s="1"/>
      <c r="O357" s="1"/>
      <c r="P357" s="1"/>
      <c r="Q357" s="1"/>
      <c r="R357" s="1"/>
      <c r="S357" s="1"/>
      <c r="T357" s="1"/>
      <c r="U357" s="1"/>
      <c r="V357" s="1"/>
      <c r="W357" s="1"/>
      <c r="X357" s="1"/>
      <c r="Y357" s="1"/>
      <c r="Z357" s="1"/>
      <c r="AA357" s="1"/>
      <c r="AB357" s="1"/>
    </row>
    <row r="358" spans="2:28" ht="11.25" customHeight="1" x14ac:dyDescent="0.25">
      <c r="B358" s="16"/>
      <c r="C358" s="1"/>
      <c r="D358" s="1"/>
      <c r="E358" s="1"/>
      <c r="F358" s="1"/>
      <c r="G358" s="22"/>
      <c r="H358" s="22"/>
      <c r="I358" s="1"/>
      <c r="J358" s="1"/>
      <c r="K358" s="1"/>
      <c r="L358" s="1"/>
      <c r="M358" s="262"/>
      <c r="N358" s="1"/>
      <c r="O358" s="1"/>
      <c r="P358" s="1"/>
      <c r="Q358" s="1"/>
      <c r="R358" s="1"/>
      <c r="S358" s="1"/>
      <c r="T358" s="1"/>
      <c r="U358" s="1"/>
      <c r="V358" s="1"/>
      <c r="W358" s="1"/>
      <c r="X358" s="1"/>
      <c r="Y358" s="1"/>
      <c r="Z358" s="1"/>
      <c r="AA358" s="1"/>
      <c r="AB358" s="1"/>
    </row>
    <row r="359" spans="2:28" ht="11.25" customHeight="1" x14ac:dyDescent="0.25">
      <c r="B359" s="16"/>
      <c r="C359" s="1"/>
      <c r="D359" s="1"/>
      <c r="E359" s="1"/>
      <c r="F359" s="1"/>
      <c r="G359" s="22"/>
      <c r="H359" s="22"/>
      <c r="I359" s="1"/>
      <c r="J359" s="1"/>
      <c r="K359" s="1"/>
      <c r="L359" s="1"/>
      <c r="M359" s="262"/>
      <c r="N359" s="1"/>
      <c r="O359" s="1"/>
      <c r="P359" s="1"/>
      <c r="Q359" s="1"/>
      <c r="R359" s="1"/>
      <c r="S359" s="1"/>
      <c r="T359" s="1"/>
      <c r="U359" s="1"/>
      <c r="V359" s="1"/>
      <c r="W359" s="1"/>
      <c r="X359" s="1"/>
      <c r="Y359" s="1"/>
      <c r="Z359" s="1"/>
      <c r="AA359" s="1"/>
      <c r="AB359" s="1"/>
    </row>
    <row r="360" spans="2:28" ht="11.25" customHeight="1" x14ac:dyDescent="0.25">
      <c r="B360" s="16"/>
      <c r="C360" s="1"/>
      <c r="D360" s="1"/>
      <c r="E360" s="1"/>
      <c r="F360" s="1"/>
      <c r="G360" s="22"/>
      <c r="H360" s="22"/>
      <c r="I360" s="1"/>
      <c r="J360" s="1"/>
      <c r="K360" s="1"/>
      <c r="L360" s="1"/>
      <c r="M360" s="262"/>
      <c r="N360" s="1"/>
      <c r="O360" s="1"/>
      <c r="P360" s="1"/>
      <c r="Q360" s="1"/>
      <c r="R360" s="1"/>
      <c r="S360" s="1"/>
      <c r="T360" s="1"/>
      <c r="U360" s="1"/>
      <c r="V360" s="1"/>
      <c r="W360" s="1"/>
      <c r="X360" s="1"/>
      <c r="Y360" s="1"/>
      <c r="Z360" s="1"/>
      <c r="AA360" s="1"/>
      <c r="AB360" s="1"/>
    </row>
    <row r="361" spans="2:28" ht="11.25" customHeight="1" x14ac:dyDescent="0.25">
      <c r="B361" s="16"/>
      <c r="C361" s="1"/>
      <c r="D361" s="1"/>
      <c r="E361" s="1"/>
      <c r="F361" s="1"/>
      <c r="G361" s="22"/>
      <c r="H361" s="22"/>
      <c r="I361" s="1"/>
      <c r="J361" s="1"/>
      <c r="K361" s="1"/>
      <c r="L361" s="1"/>
      <c r="M361" s="262"/>
      <c r="N361" s="1"/>
      <c r="O361" s="1"/>
      <c r="P361" s="1"/>
      <c r="Q361" s="1"/>
      <c r="R361" s="1"/>
      <c r="S361" s="1"/>
      <c r="T361" s="1"/>
      <c r="U361" s="1"/>
      <c r="V361" s="1"/>
      <c r="W361" s="1"/>
      <c r="X361" s="1"/>
      <c r="Y361" s="1"/>
      <c r="Z361" s="1"/>
      <c r="AA361" s="1"/>
      <c r="AB361" s="1"/>
    </row>
    <row r="362" spans="2:28" ht="11.25" customHeight="1" x14ac:dyDescent="0.25">
      <c r="B362" s="16"/>
      <c r="C362" s="1"/>
      <c r="D362" s="1"/>
      <c r="E362" s="1"/>
      <c r="F362" s="1"/>
      <c r="G362" s="22"/>
      <c r="H362" s="22"/>
      <c r="I362" s="1"/>
      <c r="J362" s="1"/>
      <c r="K362" s="1"/>
      <c r="L362" s="1"/>
      <c r="M362" s="262"/>
      <c r="N362" s="1"/>
      <c r="O362" s="1"/>
      <c r="P362" s="1"/>
      <c r="Q362" s="1"/>
      <c r="R362" s="1"/>
      <c r="S362" s="1"/>
      <c r="T362" s="1"/>
      <c r="U362" s="1"/>
      <c r="V362" s="1"/>
      <c r="W362" s="1"/>
      <c r="X362" s="1"/>
      <c r="Y362" s="1"/>
      <c r="Z362" s="1"/>
      <c r="AA362" s="1"/>
      <c r="AB362" s="1"/>
    </row>
    <row r="363" spans="2:28" ht="11.25" customHeight="1" x14ac:dyDescent="0.25">
      <c r="B363" s="16"/>
      <c r="C363" s="1"/>
      <c r="D363" s="1"/>
      <c r="E363" s="1"/>
      <c r="F363" s="1"/>
      <c r="G363" s="22"/>
      <c r="H363" s="22"/>
      <c r="I363" s="1"/>
      <c r="J363" s="1"/>
      <c r="K363" s="1"/>
      <c r="L363" s="1"/>
      <c r="M363" s="262"/>
      <c r="N363" s="1"/>
      <c r="O363" s="1"/>
      <c r="P363" s="1"/>
      <c r="Q363" s="1"/>
      <c r="R363" s="1"/>
      <c r="S363" s="1"/>
      <c r="T363" s="1"/>
      <c r="U363" s="1"/>
      <c r="V363" s="1"/>
      <c r="W363" s="1"/>
      <c r="X363" s="1"/>
      <c r="Y363" s="1"/>
      <c r="Z363" s="1"/>
      <c r="AA363" s="1"/>
      <c r="AB363" s="1"/>
    </row>
    <row r="364" spans="2:28" ht="11.25" customHeight="1" x14ac:dyDescent="0.25">
      <c r="B364" s="16"/>
      <c r="C364" s="1"/>
      <c r="D364" s="1"/>
      <c r="E364" s="1"/>
      <c r="F364" s="1"/>
      <c r="G364" s="22"/>
      <c r="H364" s="22"/>
      <c r="I364" s="1"/>
      <c r="J364" s="1"/>
      <c r="K364" s="1"/>
      <c r="L364" s="1"/>
      <c r="M364" s="262"/>
      <c r="N364" s="1"/>
      <c r="O364" s="1"/>
      <c r="P364" s="1"/>
      <c r="Q364" s="1"/>
      <c r="R364" s="1"/>
      <c r="S364" s="1"/>
      <c r="T364" s="1"/>
      <c r="U364" s="1"/>
      <c r="V364" s="1"/>
      <c r="W364" s="1"/>
      <c r="X364" s="1"/>
      <c r="Y364" s="1"/>
      <c r="Z364" s="1"/>
      <c r="AA364" s="1"/>
      <c r="AB364" s="1"/>
    </row>
    <row r="365" spans="2:28" ht="11.25" customHeight="1" x14ac:dyDescent="0.25">
      <c r="B365" s="16"/>
      <c r="C365" s="1"/>
      <c r="D365" s="1"/>
      <c r="E365" s="1"/>
      <c r="F365" s="1"/>
      <c r="G365" s="22"/>
      <c r="H365" s="22"/>
      <c r="I365" s="1"/>
      <c r="J365" s="1"/>
      <c r="K365" s="1"/>
      <c r="L365" s="1"/>
      <c r="M365" s="262"/>
      <c r="N365" s="1"/>
      <c r="O365" s="1"/>
      <c r="P365" s="1"/>
      <c r="Q365" s="1"/>
      <c r="R365" s="1"/>
      <c r="S365" s="1"/>
      <c r="T365" s="1"/>
      <c r="U365" s="1"/>
      <c r="V365" s="1"/>
      <c r="W365" s="1"/>
      <c r="X365" s="1"/>
      <c r="Y365" s="1"/>
      <c r="Z365" s="1"/>
      <c r="AA365" s="1"/>
      <c r="AB365" s="1"/>
    </row>
    <row r="366" spans="2:28" ht="11.25" customHeight="1" x14ac:dyDescent="0.25">
      <c r="B366" s="16"/>
      <c r="C366" s="1"/>
      <c r="D366" s="1"/>
      <c r="E366" s="1"/>
      <c r="F366" s="1"/>
      <c r="G366" s="22"/>
      <c r="H366" s="22"/>
      <c r="I366" s="1"/>
      <c r="J366" s="1"/>
      <c r="K366" s="1"/>
      <c r="L366" s="1"/>
      <c r="M366" s="262"/>
      <c r="N366" s="1"/>
      <c r="O366" s="1"/>
      <c r="P366" s="1"/>
      <c r="Q366" s="1"/>
      <c r="R366" s="1"/>
      <c r="S366" s="1"/>
      <c r="T366" s="1"/>
      <c r="U366" s="1"/>
      <c r="V366" s="1"/>
      <c r="W366" s="1"/>
      <c r="X366" s="1"/>
      <c r="Y366" s="1"/>
      <c r="Z366" s="1"/>
      <c r="AA366" s="1"/>
      <c r="AB366" s="1"/>
    </row>
    <row r="367" spans="2:28" ht="11.25" customHeight="1" x14ac:dyDescent="0.25">
      <c r="B367" s="16"/>
      <c r="C367" s="1"/>
      <c r="D367" s="1"/>
      <c r="E367" s="1"/>
      <c r="F367" s="1"/>
      <c r="G367" s="22"/>
      <c r="H367" s="22"/>
      <c r="I367" s="1"/>
      <c r="J367" s="1"/>
      <c r="K367" s="1"/>
      <c r="L367" s="1"/>
      <c r="M367" s="262"/>
      <c r="N367" s="1"/>
      <c r="O367" s="1"/>
      <c r="P367" s="1"/>
      <c r="Q367" s="1"/>
      <c r="R367" s="1"/>
      <c r="S367" s="1"/>
      <c r="T367" s="1"/>
      <c r="U367" s="1"/>
      <c r="V367" s="1"/>
      <c r="W367" s="1"/>
      <c r="X367" s="1"/>
      <c r="Y367" s="1"/>
      <c r="Z367" s="1"/>
      <c r="AA367" s="1"/>
      <c r="AB367" s="1"/>
    </row>
    <row r="368" spans="2:28" ht="11.25" customHeight="1" x14ac:dyDescent="0.25">
      <c r="B368" s="16"/>
      <c r="C368" s="1"/>
      <c r="D368" s="1"/>
      <c r="E368" s="1"/>
      <c r="F368" s="1"/>
      <c r="G368" s="22"/>
      <c r="H368" s="22"/>
      <c r="I368" s="1"/>
      <c r="J368" s="1"/>
      <c r="K368" s="1"/>
      <c r="L368" s="1"/>
      <c r="M368" s="262"/>
      <c r="N368" s="1"/>
      <c r="O368" s="1"/>
      <c r="P368" s="1"/>
      <c r="Q368" s="1"/>
      <c r="R368" s="1"/>
      <c r="S368" s="1"/>
      <c r="T368" s="1"/>
      <c r="U368" s="1"/>
      <c r="V368" s="1"/>
      <c r="W368" s="1"/>
      <c r="X368" s="1"/>
      <c r="Y368" s="1"/>
      <c r="Z368" s="1"/>
      <c r="AA368" s="1"/>
      <c r="AB368" s="1"/>
    </row>
    <row r="369" spans="2:28" ht="11.25" customHeight="1" x14ac:dyDescent="0.25">
      <c r="B369" s="16"/>
      <c r="C369" s="1"/>
      <c r="D369" s="1"/>
      <c r="E369" s="1"/>
      <c r="F369" s="1"/>
      <c r="G369" s="22"/>
      <c r="H369" s="22"/>
      <c r="I369" s="1"/>
      <c r="J369" s="1"/>
      <c r="K369" s="1"/>
      <c r="L369" s="1"/>
      <c r="M369" s="262"/>
      <c r="N369" s="1"/>
      <c r="O369" s="1"/>
      <c r="P369" s="1"/>
      <c r="Q369" s="1"/>
      <c r="R369" s="1"/>
      <c r="S369" s="1"/>
      <c r="T369" s="1"/>
      <c r="U369" s="1"/>
      <c r="V369" s="1"/>
      <c r="W369" s="1"/>
      <c r="X369" s="1"/>
      <c r="Y369" s="1"/>
      <c r="Z369" s="1"/>
      <c r="AA369" s="1"/>
      <c r="AB369" s="1"/>
    </row>
    <row r="370" spans="2:28" ht="11.25" customHeight="1" x14ac:dyDescent="0.25">
      <c r="B370" s="16"/>
      <c r="C370" s="1"/>
      <c r="D370" s="1"/>
      <c r="E370" s="1"/>
      <c r="F370" s="1"/>
      <c r="G370" s="22"/>
      <c r="H370" s="22"/>
      <c r="I370" s="1"/>
      <c r="J370" s="1"/>
      <c r="K370" s="1"/>
      <c r="L370" s="1"/>
      <c r="M370" s="262"/>
      <c r="N370" s="1"/>
      <c r="O370" s="1"/>
      <c r="P370" s="1"/>
      <c r="Q370" s="1"/>
      <c r="R370" s="1"/>
      <c r="S370" s="1"/>
      <c r="T370" s="1"/>
      <c r="U370" s="1"/>
      <c r="V370" s="1"/>
      <c r="W370" s="1"/>
      <c r="X370" s="1"/>
      <c r="Y370" s="1"/>
      <c r="Z370" s="1"/>
      <c r="AA370" s="1"/>
      <c r="AB370" s="1"/>
    </row>
    <row r="371" spans="2:28" ht="11.25" customHeight="1" x14ac:dyDescent="0.25">
      <c r="B371" s="16"/>
      <c r="C371" s="1"/>
      <c r="D371" s="1"/>
      <c r="E371" s="1"/>
      <c r="F371" s="1"/>
      <c r="G371" s="22"/>
      <c r="H371" s="22"/>
      <c r="I371" s="1"/>
      <c r="J371" s="1"/>
      <c r="K371" s="1"/>
      <c r="L371" s="1"/>
      <c r="M371" s="262"/>
      <c r="N371" s="1"/>
      <c r="O371" s="1"/>
      <c r="P371" s="1"/>
      <c r="Q371" s="1"/>
      <c r="R371" s="1"/>
      <c r="S371" s="1"/>
      <c r="T371" s="1"/>
      <c r="U371" s="1"/>
      <c r="V371" s="1"/>
      <c r="W371" s="1"/>
      <c r="X371" s="1"/>
      <c r="Y371" s="1"/>
      <c r="Z371" s="1"/>
      <c r="AA371" s="1"/>
      <c r="AB371" s="1"/>
    </row>
    <row r="372" spans="2:28" ht="11.25" customHeight="1" x14ac:dyDescent="0.25">
      <c r="B372" s="16"/>
      <c r="C372" s="1"/>
      <c r="D372" s="1"/>
      <c r="E372" s="1"/>
      <c r="F372" s="1"/>
      <c r="G372" s="22"/>
      <c r="H372" s="22"/>
      <c r="I372" s="1"/>
      <c r="J372" s="1"/>
      <c r="K372" s="1"/>
      <c r="L372" s="1"/>
      <c r="M372" s="262"/>
      <c r="N372" s="1"/>
      <c r="O372" s="1"/>
      <c r="P372" s="1"/>
      <c r="Q372" s="1"/>
      <c r="R372" s="1"/>
      <c r="S372" s="1"/>
      <c r="T372" s="1"/>
      <c r="U372" s="1"/>
      <c r="V372" s="1"/>
      <c r="W372" s="1"/>
      <c r="X372" s="1"/>
      <c r="Y372" s="1"/>
      <c r="Z372" s="1"/>
      <c r="AA372" s="1"/>
      <c r="AB372" s="1"/>
    </row>
    <row r="373" spans="2:28" ht="11.25" customHeight="1" x14ac:dyDescent="0.25">
      <c r="B373" s="16"/>
      <c r="C373" s="1"/>
      <c r="D373" s="1"/>
      <c r="E373" s="1"/>
      <c r="F373" s="1"/>
      <c r="G373" s="22"/>
      <c r="H373" s="22"/>
      <c r="I373" s="1"/>
      <c r="J373" s="1"/>
      <c r="K373" s="1"/>
      <c r="L373" s="1"/>
      <c r="M373" s="262"/>
      <c r="N373" s="1"/>
      <c r="O373" s="1"/>
      <c r="P373" s="1"/>
      <c r="Q373" s="1"/>
      <c r="R373" s="1"/>
      <c r="S373" s="1"/>
      <c r="T373" s="1"/>
      <c r="U373" s="1"/>
      <c r="V373" s="1"/>
      <c r="W373" s="1"/>
      <c r="X373" s="1"/>
      <c r="Y373" s="1"/>
      <c r="Z373" s="1"/>
      <c r="AA373" s="1"/>
      <c r="AB373" s="1"/>
    </row>
    <row r="374" spans="2:28" ht="11.25" customHeight="1" x14ac:dyDescent="0.25">
      <c r="B374" s="16"/>
      <c r="C374" s="1"/>
      <c r="D374" s="1"/>
      <c r="E374" s="1"/>
      <c r="F374" s="1"/>
      <c r="G374" s="22"/>
      <c r="H374" s="22"/>
      <c r="I374" s="1"/>
      <c r="J374" s="1"/>
      <c r="K374" s="1"/>
      <c r="L374" s="1"/>
      <c r="M374" s="262"/>
      <c r="N374" s="1"/>
      <c r="O374" s="1"/>
      <c r="P374" s="1"/>
      <c r="Q374" s="1"/>
      <c r="R374" s="1"/>
      <c r="S374" s="1"/>
      <c r="T374" s="1"/>
      <c r="U374" s="1"/>
      <c r="V374" s="1"/>
      <c r="W374" s="1"/>
      <c r="X374" s="1"/>
      <c r="Y374" s="1"/>
      <c r="Z374" s="1"/>
      <c r="AA374" s="1"/>
      <c r="AB374" s="1"/>
    </row>
    <row r="375" spans="2:28" ht="11.25" customHeight="1" x14ac:dyDescent="0.25">
      <c r="B375" s="16"/>
      <c r="C375" s="1"/>
      <c r="D375" s="1"/>
      <c r="E375" s="1"/>
      <c r="F375" s="1"/>
      <c r="G375" s="22"/>
      <c r="H375" s="22"/>
      <c r="I375" s="1"/>
      <c r="J375" s="1"/>
      <c r="K375" s="1"/>
      <c r="L375" s="1"/>
      <c r="M375" s="262"/>
      <c r="N375" s="1"/>
      <c r="O375" s="1"/>
      <c r="P375" s="1"/>
      <c r="Q375" s="1"/>
      <c r="R375" s="1"/>
      <c r="S375" s="1"/>
      <c r="T375" s="1"/>
      <c r="U375" s="1"/>
      <c r="V375" s="1"/>
      <c r="W375" s="1"/>
      <c r="X375" s="1"/>
      <c r="Y375" s="1"/>
      <c r="Z375" s="1"/>
      <c r="AA375" s="1"/>
      <c r="AB375" s="1"/>
    </row>
    <row r="376" spans="2:28" ht="11.25" customHeight="1" x14ac:dyDescent="0.25">
      <c r="B376" s="16"/>
      <c r="C376" s="1"/>
      <c r="D376" s="1"/>
      <c r="E376" s="1"/>
      <c r="F376" s="1"/>
      <c r="G376" s="22"/>
      <c r="H376" s="22"/>
      <c r="I376" s="1"/>
      <c r="J376" s="1"/>
      <c r="K376" s="1"/>
      <c r="L376" s="1"/>
      <c r="M376" s="262"/>
      <c r="N376" s="1"/>
      <c r="O376" s="1"/>
      <c r="P376" s="1"/>
      <c r="Q376" s="1"/>
      <c r="R376" s="1"/>
      <c r="S376" s="1"/>
      <c r="T376" s="1"/>
      <c r="U376" s="1"/>
      <c r="V376" s="1"/>
      <c r="W376" s="1"/>
      <c r="X376" s="1"/>
      <c r="Y376" s="1"/>
      <c r="Z376" s="1"/>
      <c r="AA376" s="1"/>
      <c r="AB376" s="1"/>
    </row>
    <row r="377" spans="2:28" ht="11.25" customHeight="1" x14ac:dyDescent="0.25">
      <c r="B377" s="16"/>
      <c r="C377" s="1"/>
      <c r="D377" s="1"/>
      <c r="E377" s="1"/>
      <c r="F377" s="1"/>
      <c r="G377" s="22"/>
      <c r="H377" s="22"/>
      <c r="I377" s="1"/>
      <c r="J377" s="1"/>
      <c r="K377" s="1"/>
      <c r="L377" s="1"/>
      <c r="M377" s="262"/>
      <c r="N377" s="1"/>
      <c r="O377" s="1"/>
      <c r="P377" s="1"/>
      <c r="Q377" s="1"/>
      <c r="R377" s="1"/>
      <c r="S377" s="1"/>
      <c r="T377" s="1"/>
      <c r="U377" s="1"/>
      <c r="V377" s="1"/>
      <c r="W377" s="1"/>
      <c r="X377" s="1"/>
      <c r="Y377" s="1"/>
      <c r="Z377" s="1"/>
      <c r="AA377" s="1"/>
      <c r="AB377" s="1"/>
    </row>
    <row r="378" spans="2:28" ht="11.25" customHeight="1" x14ac:dyDescent="0.25">
      <c r="B378" s="16"/>
      <c r="C378" s="1"/>
      <c r="D378" s="1"/>
      <c r="E378" s="1"/>
      <c r="F378" s="1"/>
      <c r="G378" s="22"/>
      <c r="H378" s="22"/>
      <c r="I378" s="1"/>
      <c r="J378" s="1"/>
      <c r="K378" s="1"/>
      <c r="L378" s="1"/>
      <c r="M378" s="262"/>
      <c r="N378" s="1"/>
      <c r="O378" s="1"/>
      <c r="P378" s="1"/>
      <c r="Q378" s="1"/>
      <c r="R378" s="1"/>
      <c r="S378" s="1"/>
      <c r="T378" s="1"/>
      <c r="U378" s="1"/>
      <c r="V378" s="1"/>
      <c r="W378" s="1"/>
      <c r="X378" s="1"/>
      <c r="Y378" s="1"/>
      <c r="Z378" s="1"/>
      <c r="AA378" s="1"/>
      <c r="AB378" s="1"/>
    </row>
    <row r="379" spans="2:28" ht="11.25" customHeight="1" x14ac:dyDescent="0.25">
      <c r="B379" s="16"/>
      <c r="C379" s="1"/>
      <c r="D379" s="1"/>
      <c r="E379" s="1"/>
      <c r="F379" s="1"/>
      <c r="G379" s="22"/>
      <c r="H379" s="22"/>
      <c r="I379" s="1"/>
      <c r="J379" s="1"/>
      <c r="K379" s="1"/>
      <c r="L379" s="1"/>
      <c r="M379" s="262"/>
      <c r="N379" s="1"/>
      <c r="O379" s="1"/>
      <c r="P379" s="1"/>
      <c r="Q379" s="1"/>
      <c r="R379" s="1"/>
      <c r="S379" s="1"/>
      <c r="T379" s="1"/>
      <c r="U379" s="1"/>
      <c r="V379" s="1"/>
      <c r="W379" s="1"/>
      <c r="X379" s="1"/>
      <c r="Y379" s="1"/>
      <c r="Z379" s="1"/>
      <c r="AA379" s="1"/>
      <c r="AB379" s="1"/>
    </row>
    <row r="380" spans="2:28" ht="11.25" customHeight="1" x14ac:dyDescent="0.25">
      <c r="B380" s="16"/>
      <c r="C380" s="1"/>
      <c r="D380" s="1"/>
      <c r="E380" s="1"/>
      <c r="F380" s="1"/>
      <c r="G380" s="22"/>
      <c r="H380" s="22"/>
      <c r="I380" s="1"/>
      <c r="J380" s="1"/>
      <c r="K380" s="1"/>
      <c r="L380" s="1"/>
      <c r="M380" s="262"/>
      <c r="N380" s="1"/>
      <c r="O380" s="1"/>
      <c r="P380" s="1"/>
      <c r="Q380" s="1"/>
      <c r="R380" s="1"/>
      <c r="S380" s="1"/>
      <c r="T380" s="1"/>
      <c r="U380" s="1"/>
      <c r="V380" s="1"/>
      <c r="W380" s="1"/>
      <c r="X380" s="1"/>
      <c r="Y380" s="1"/>
      <c r="Z380" s="1"/>
      <c r="AA380" s="1"/>
      <c r="AB380" s="1"/>
    </row>
    <row r="381" spans="2:28" ht="11.25" customHeight="1" x14ac:dyDescent="0.25">
      <c r="B381" s="16"/>
      <c r="C381" s="1"/>
      <c r="D381" s="1"/>
      <c r="E381" s="1"/>
      <c r="F381" s="1"/>
      <c r="G381" s="22"/>
      <c r="H381" s="22"/>
      <c r="I381" s="1"/>
      <c r="J381" s="1"/>
      <c r="K381" s="1"/>
      <c r="L381" s="1"/>
      <c r="M381" s="262"/>
      <c r="N381" s="1"/>
      <c r="O381" s="1"/>
      <c r="P381" s="1"/>
      <c r="Q381" s="1"/>
      <c r="R381" s="1"/>
      <c r="S381" s="1"/>
      <c r="T381" s="1"/>
      <c r="U381" s="1"/>
      <c r="V381" s="1"/>
      <c r="W381" s="1"/>
      <c r="X381" s="1"/>
      <c r="Y381" s="1"/>
      <c r="Z381" s="1"/>
      <c r="AA381" s="1"/>
      <c r="AB381" s="1"/>
    </row>
    <row r="382" spans="2:28" ht="11.25" customHeight="1" x14ac:dyDescent="0.25">
      <c r="B382" s="16"/>
      <c r="C382" s="1"/>
      <c r="D382" s="1"/>
      <c r="E382" s="1"/>
      <c r="F382" s="1"/>
      <c r="G382" s="22"/>
      <c r="H382" s="22"/>
      <c r="I382" s="1"/>
      <c r="J382" s="1"/>
      <c r="K382" s="1"/>
      <c r="L382" s="1"/>
      <c r="M382" s="262"/>
      <c r="N382" s="1"/>
      <c r="O382" s="1"/>
      <c r="P382" s="1"/>
      <c r="Q382" s="1"/>
      <c r="R382" s="1"/>
      <c r="S382" s="1"/>
      <c r="T382" s="1"/>
      <c r="U382" s="1"/>
      <c r="V382" s="1"/>
      <c r="W382" s="1"/>
      <c r="X382" s="1"/>
      <c r="Y382" s="1"/>
      <c r="Z382" s="1"/>
      <c r="AA382" s="1"/>
      <c r="AB382" s="1"/>
    </row>
    <row r="383" spans="2:28" ht="11.25" customHeight="1" x14ac:dyDescent="0.25">
      <c r="B383" s="16"/>
      <c r="C383" s="1"/>
      <c r="D383" s="1"/>
      <c r="E383" s="1"/>
      <c r="F383" s="1"/>
      <c r="G383" s="22"/>
      <c r="H383" s="22"/>
      <c r="I383" s="1"/>
      <c r="J383" s="1"/>
      <c r="K383" s="1"/>
      <c r="L383" s="1"/>
      <c r="M383" s="262"/>
      <c r="N383" s="1"/>
      <c r="O383" s="1"/>
      <c r="P383" s="1"/>
      <c r="Q383" s="1"/>
      <c r="R383" s="1"/>
      <c r="S383" s="1"/>
      <c r="T383" s="1"/>
      <c r="U383" s="1"/>
      <c r="V383" s="1"/>
      <c r="W383" s="1"/>
      <c r="X383" s="1"/>
      <c r="Y383" s="1"/>
      <c r="Z383" s="1"/>
      <c r="AA383" s="1"/>
      <c r="AB383" s="1"/>
    </row>
    <row r="384" spans="2:28" ht="11.25" customHeight="1" x14ac:dyDescent="0.25">
      <c r="B384" s="16"/>
      <c r="C384" s="1"/>
      <c r="D384" s="1"/>
      <c r="E384" s="1"/>
      <c r="F384" s="1"/>
      <c r="G384" s="22"/>
      <c r="H384" s="22"/>
      <c r="I384" s="1"/>
      <c r="J384" s="1"/>
      <c r="K384" s="1"/>
      <c r="L384" s="1"/>
      <c r="M384" s="262"/>
      <c r="N384" s="1"/>
      <c r="O384" s="1"/>
      <c r="P384" s="1"/>
      <c r="Q384" s="1"/>
      <c r="R384" s="1"/>
      <c r="S384" s="1"/>
      <c r="T384" s="1"/>
      <c r="U384" s="1"/>
      <c r="V384" s="1"/>
      <c r="W384" s="1"/>
      <c r="X384" s="1"/>
      <c r="Y384" s="1"/>
      <c r="Z384" s="1"/>
      <c r="AA384" s="1"/>
      <c r="AB384" s="1"/>
    </row>
    <row r="385" spans="2:28" ht="11.25" customHeight="1" x14ac:dyDescent="0.25">
      <c r="B385" s="16"/>
      <c r="C385" s="1"/>
      <c r="D385" s="1"/>
      <c r="E385" s="1"/>
      <c r="F385" s="1"/>
      <c r="G385" s="22"/>
      <c r="H385" s="22"/>
      <c r="I385" s="1"/>
      <c r="J385" s="1"/>
      <c r="K385" s="1"/>
      <c r="L385" s="1"/>
      <c r="M385" s="262"/>
      <c r="N385" s="1"/>
      <c r="O385" s="1"/>
      <c r="P385" s="1"/>
      <c r="Q385" s="1"/>
      <c r="R385" s="1"/>
      <c r="S385" s="1"/>
      <c r="T385" s="1"/>
      <c r="U385" s="1"/>
      <c r="V385" s="1"/>
      <c r="W385" s="1"/>
      <c r="X385" s="1"/>
      <c r="Y385" s="1"/>
      <c r="Z385" s="1"/>
      <c r="AA385" s="1"/>
      <c r="AB385" s="1"/>
    </row>
    <row r="386" spans="2:28" ht="11.25" customHeight="1" x14ac:dyDescent="0.25">
      <c r="B386" s="16"/>
      <c r="C386" s="1"/>
      <c r="D386" s="1"/>
      <c r="E386" s="1"/>
      <c r="F386" s="1"/>
      <c r="G386" s="22"/>
      <c r="H386" s="22"/>
      <c r="I386" s="1"/>
      <c r="J386" s="1"/>
      <c r="K386" s="1"/>
      <c r="L386" s="1"/>
      <c r="M386" s="262"/>
      <c r="N386" s="1"/>
      <c r="O386" s="1"/>
      <c r="P386" s="1"/>
      <c r="Q386" s="1"/>
      <c r="R386" s="1"/>
      <c r="S386" s="1"/>
      <c r="T386" s="1"/>
      <c r="U386" s="1"/>
      <c r="V386" s="1"/>
      <c r="W386" s="1"/>
      <c r="X386" s="1"/>
      <c r="Y386" s="1"/>
      <c r="Z386" s="1"/>
      <c r="AA386" s="1"/>
      <c r="AB386" s="1"/>
    </row>
    <row r="387" spans="2:28" ht="11.25" customHeight="1" x14ac:dyDescent="0.25">
      <c r="B387" s="16"/>
      <c r="C387" s="1"/>
      <c r="D387" s="1"/>
      <c r="E387" s="1"/>
      <c r="F387" s="1"/>
      <c r="G387" s="22"/>
      <c r="H387" s="22"/>
      <c r="I387" s="1"/>
      <c r="J387" s="1"/>
      <c r="K387" s="1"/>
      <c r="L387" s="1"/>
      <c r="M387" s="262"/>
      <c r="N387" s="1"/>
      <c r="O387" s="1"/>
      <c r="P387" s="1"/>
      <c r="Q387" s="1"/>
      <c r="R387" s="1"/>
      <c r="S387" s="1"/>
      <c r="T387" s="1"/>
      <c r="U387" s="1"/>
      <c r="V387" s="1"/>
      <c r="W387" s="1"/>
      <c r="X387" s="1"/>
      <c r="Y387" s="1"/>
      <c r="Z387" s="1"/>
      <c r="AA387" s="1"/>
      <c r="AB387" s="1"/>
    </row>
    <row r="388" spans="2:28" ht="11.25" customHeight="1" x14ac:dyDescent="0.25">
      <c r="B388" s="16"/>
      <c r="C388" s="1"/>
      <c r="D388" s="1"/>
      <c r="E388" s="1"/>
      <c r="F388" s="1"/>
      <c r="G388" s="22"/>
      <c r="H388" s="22"/>
      <c r="I388" s="1"/>
      <c r="J388" s="1"/>
      <c r="K388" s="1"/>
      <c r="L388" s="1"/>
      <c r="M388" s="262"/>
      <c r="N388" s="1"/>
      <c r="O388" s="1"/>
      <c r="P388" s="1"/>
      <c r="Q388" s="1"/>
      <c r="R388" s="1"/>
      <c r="S388" s="1"/>
      <c r="T388" s="1"/>
      <c r="U388" s="1"/>
      <c r="V388" s="1"/>
      <c r="W388" s="1"/>
      <c r="X388" s="1"/>
      <c r="Y388" s="1"/>
      <c r="Z388" s="1"/>
      <c r="AA388" s="1"/>
      <c r="AB388" s="1"/>
    </row>
    <row r="389" spans="2:28" ht="11.25" customHeight="1" x14ac:dyDescent="0.25">
      <c r="B389" s="16"/>
      <c r="C389" s="1"/>
      <c r="D389" s="1"/>
      <c r="E389" s="1"/>
      <c r="F389" s="1"/>
      <c r="G389" s="22"/>
      <c r="H389" s="22"/>
      <c r="I389" s="1"/>
      <c r="J389" s="1"/>
      <c r="K389" s="1"/>
      <c r="L389" s="1"/>
      <c r="M389" s="262"/>
      <c r="N389" s="1"/>
      <c r="O389" s="1"/>
      <c r="P389" s="1"/>
      <c r="Q389" s="1"/>
      <c r="R389" s="1"/>
      <c r="S389" s="1"/>
      <c r="T389" s="1"/>
      <c r="U389" s="1"/>
      <c r="V389" s="1"/>
      <c r="W389" s="1"/>
      <c r="X389" s="1"/>
      <c r="Y389" s="1"/>
      <c r="Z389" s="1"/>
      <c r="AA389" s="1"/>
      <c r="AB389" s="1"/>
    </row>
    <row r="390" spans="2:28" ht="11.25" customHeight="1" x14ac:dyDescent="0.25">
      <c r="B390" s="16"/>
      <c r="C390" s="1"/>
      <c r="D390" s="1"/>
      <c r="E390" s="1"/>
      <c r="F390" s="1"/>
      <c r="G390" s="22"/>
      <c r="H390" s="22"/>
      <c r="I390" s="1"/>
      <c r="J390" s="1"/>
      <c r="K390" s="1"/>
      <c r="L390" s="1"/>
      <c r="M390" s="262"/>
      <c r="N390" s="1"/>
      <c r="O390" s="1"/>
      <c r="P390" s="1"/>
      <c r="Q390" s="1"/>
      <c r="R390" s="1"/>
      <c r="S390" s="1"/>
      <c r="T390" s="1"/>
      <c r="U390" s="1"/>
      <c r="V390" s="1"/>
      <c r="W390" s="1"/>
      <c r="X390" s="1"/>
      <c r="Y390" s="1"/>
      <c r="Z390" s="1"/>
      <c r="AA390" s="1"/>
      <c r="AB390" s="1"/>
    </row>
    <row r="391" spans="2:28" ht="11.25" customHeight="1" x14ac:dyDescent="0.25">
      <c r="B391" s="16"/>
      <c r="C391" s="1"/>
      <c r="D391" s="1"/>
      <c r="E391" s="1"/>
      <c r="F391" s="1"/>
      <c r="G391" s="22"/>
      <c r="H391" s="22"/>
      <c r="I391" s="1"/>
      <c r="J391" s="1"/>
      <c r="K391" s="1"/>
      <c r="L391" s="1"/>
      <c r="M391" s="262"/>
      <c r="N391" s="1"/>
      <c r="O391" s="1"/>
      <c r="P391" s="1"/>
      <c r="Q391" s="1"/>
      <c r="R391" s="1"/>
      <c r="S391" s="1"/>
      <c r="T391" s="1"/>
      <c r="U391" s="1"/>
      <c r="V391" s="1"/>
      <c r="W391" s="1"/>
      <c r="X391" s="1"/>
      <c r="Y391" s="1"/>
      <c r="Z391" s="1"/>
      <c r="AA391" s="1"/>
      <c r="AB391" s="1"/>
    </row>
    <row r="392" spans="2:28" ht="11.25" customHeight="1" x14ac:dyDescent="0.25">
      <c r="B392" s="16"/>
      <c r="C392" s="1"/>
      <c r="D392" s="1"/>
      <c r="E392" s="1"/>
      <c r="F392" s="1"/>
      <c r="G392" s="22"/>
      <c r="H392" s="22"/>
      <c r="I392" s="1"/>
      <c r="J392" s="1"/>
      <c r="K392" s="1"/>
      <c r="L392" s="1"/>
      <c r="M392" s="262"/>
      <c r="N392" s="1"/>
      <c r="O392" s="1"/>
      <c r="P392" s="1"/>
      <c r="Q392" s="1"/>
      <c r="R392" s="1"/>
      <c r="S392" s="1"/>
      <c r="T392" s="1"/>
      <c r="U392" s="1"/>
      <c r="V392" s="1"/>
      <c r="W392" s="1"/>
      <c r="X392" s="1"/>
      <c r="Y392" s="1"/>
      <c r="Z392" s="1"/>
      <c r="AA392" s="1"/>
      <c r="AB392" s="1"/>
    </row>
    <row r="393" spans="2:28" ht="11.25" customHeight="1" x14ac:dyDescent="0.25">
      <c r="B393" s="16"/>
      <c r="C393" s="1"/>
      <c r="D393" s="1"/>
      <c r="E393" s="1"/>
      <c r="F393" s="1"/>
      <c r="G393" s="22"/>
      <c r="H393" s="22"/>
      <c r="I393" s="1"/>
      <c r="J393" s="1"/>
      <c r="K393" s="1"/>
      <c r="L393" s="1"/>
      <c r="M393" s="262"/>
      <c r="N393" s="1"/>
      <c r="O393" s="1"/>
      <c r="P393" s="1"/>
      <c r="Q393" s="1"/>
      <c r="R393" s="1"/>
      <c r="S393" s="1"/>
      <c r="T393" s="1"/>
      <c r="U393" s="1"/>
      <c r="V393" s="1"/>
      <c r="W393" s="1"/>
      <c r="X393" s="1"/>
      <c r="Y393" s="1"/>
      <c r="Z393" s="1"/>
      <c r="AA393" s="1"/>
      <c r="AB393" s="1"/>
    </row>
    <row r="394" spans="2:28" ht="11.25" customHeight="1" x14ac:dyDescent="0.25">
      <c r="B394" s="16"/>
      <c r="C394" s="1"/>
      <c r="D394" s="1"/>
      <c r="E394" s="1"/>
      <c r="F394" s="1"/>
      <c r="G394" s="22"/>
      <c r="H394" s="22"/>
      <c r="I394" s="1"/>
      <c r="J394" s="1"/>
      <c r="K394" s="1"/>
      <c r="L394" s="1"/>
      <c r="M394" s="262"/>
      <c r="N394" s="1"/>
      <c r="O394" s="1"/>
      <c r="P394" s="1"/>
      <c r="Q394" s="1"/>
      <c r="R394" s="1"/>
      <c r="S394" s="1"/>
      <c r="T394" s="1"/>
      <c r="U394" s="1"/>
      <c r="V394" s="1"/>
      <c r="W394" s="1"/>
      <c r="X394" s="1"/>
      <c r="Y394" s="1"/>
      <c r="Z394" s="1"/>
      <c r="AA394" s="1"/>
      <c r="AB394" s="1"/>
    </row>
    <row r="395" spans="2:28" ht="11.25" customHeight="1" x14ac:dyDescent="0.25">
      <c r="B395" s="16"/>
      <c r="C395" s="1"/>
      <c r="D395" s="1"/>
      <c r="E395" s="1"/>
      <c r="F395" s="1"/>
      <c r="G395" s="22"/>
      <c r="H395" s="22"/>
      <c r="I395" s="1"/>
      <c r="J395" s="1"/>
      <c r="K395" s="1"/>
      <c r="L395" s="1"/>
      <c r="M395" s="262"/>
      <c r="N395" s="1"/>
      <c r="O395" s="1"/>
      <c r="P395" s="1"/>
      <c r="Q395" s="1"/>
      <c r="R395" s="1"/>
      <c r="S395" s="1"/>
      <c r="T395" s="1"/>
      <c r="U395" s="1"/>
      <c r="V395" s="1"/>
      <c r="W395" s="1"/>
      <c r="X395" s="1"/>
      <c r="Y395" s="1"/>
      <c r="Z395" s="1"/>
      <c r="AA395" s="1"/>
      <c r="AB395" s="1"/>
    </row>
    <row r="396" spans="2:28" ht="11.25" customHeight="1" x14ac:dyDescent="0.25">
      <c r="B396" s="16"/>
      <c r="C396" s="1"/>
      <c r="D396" s="1"/>
      <c r="E396" s="1"/>
      <c r="F396" s="1"/>
      <c r="G396" s="22"/>
      <c r="H396" s="22"/>
      <c r="I396" s="1"/>
      <c r="J396" s="1"/>
      <c r="K396" s="1"/>
      <c r="L396" s="1"/>
      <c r="M396" s="262"/>
      <c r="N396" s="1"/>
      <c r="O396" s="1"/>
      <c r="P396" s="1"/>
      <c r="Q396" s="1"/>
      <c r="R396" s="1"/>
      <c r="S396" s="1"/>
      <c r="T396" s="1"/>
      <c r="U396" s="1"/>
      <c r="V396" s="1"/>
      <c r="W396" s="1"/>
      <c r="X396" s="1"/>
      <c r="Y396" s="1"/>
      <c r="Z396" s="1"/>
      <c r="AA396" s="1"/>
      <c r="AB396" s="1"/>
    </row>
    <row r="397" spans="2:28" ht="11.25" customHeight="1" x14ac:dyDescent="0.25">
      <c r="B397" s="16"/>
      <c r="C397" s="1"/>
      <c r="D397" s="1"/>
      <c r="E397" s="1"/>
      <c r="F397" s="1"/>
      <c r="G397" s="22"/>
      <c r="H397" s="22"/>
      <c r="I397" s="1"/>
      <c r="J397" s="1"/>
      <c r="K397" s="1"/>
      <c r="L397" s="1"/>
      <c r="M397" s="262"/>
      <c r="N397" s="1"/>
      <c r="O397" s="1"/>
      <c r="P397" s="1"/>
      <c r="Q397" s="1"/>
      <c r="R397" s="1"/>
      <c r="S397" s="1"/>
      <c r="T397" s="1"/>
      <c r="U397" s="1"/>
      <c r="V397" s="1"/>
      <c r="W397" s="1"/>
      <c r="X397" s="1"/>
      <c r="Y397" s="1"/>
      <c r="Z397" s="1"/>
      <c r="AA397" s="1"/>
      <c r="AB397" s="1"/>
    </row>
    <row r="398" spans="2:28" ht="11.25" customHeight="1" x14ac:dyDescent="0.25">
      <c r="B398" s="16"/>
      <c r="C398" s="1"/>
      <c r="D398" s="1"/>
      <c r="E398" s="1"/>
      <c r="F398" s="1"/>
      <c r="G398" s="22"/>
      <c r="H398" s="22"/>
      <c r="I398" s="1"/>
      <c r="J398" s="1"/>
      <c r="K398" s="1"/>
      <c r="L398" s="1"/>
      <c r="M398" s="262"/>
      <c r="N398" s="1"/>
      <c r="O398" s="1"/>
      <c r="P398" s="1"/>
      <c r="Q398" s="1"/>
      <c r="R398" s="1"/>
      <c r="S398" s="1"/>
      <c r="T398" s="1"/>
      <c r="U398" s="1"/>
      <c r="V398" s="1"/>
      <c r="W398" s="1"/>
      <c r="X398" s="1"/>
      <c r="Y398" s="1"/>
      <c r="Z398" s="1"/>
      <c r="AA398" s="1"/>
      <c r="AB398" s="1"/>
    </row>
    <row r="399" spans="2:28" ht="11.25" customHeight="1" x14ac:dyDescent="0.25">
      <c r="B399" s="16"/>
      <c r="C399" s="1"/>
      <c r="D399" s="1"/>
      <c r="E399" s="1"/>
      <c r="F399" s="1"/>
      <c r="G399" s="22"/>
      <c r="H399" s="22"/>
      <c r="I399" s="1"/>
      <c r="J399" s="1"/>
      <c r="K399" s="1"/>
      <c r="L399" s="1"/>
      <c r="M399" s="262"/>
      <c r="N399" s="1"/>
      <c r="O399" s="1"/>
      <c r="P399" s="1"/>
      <c r="Q399" s="1"/>
      <c r="R399" s="1"/>
      <c r="S399" s="1"/>
      <c r="T399" s="1"/>
      <c r="U399" s="1"/>
      <c r="V399" s="1"/>
      <c r="W399" s="1"/>
      <c r="X399" s="1"/>
      <c r="Y399" s="1"/>
      <c r="Z399" s="1"/>
      <c r="AA399" s="1"/>
      <c r="AB399" s="1"/>
    </row>
    <row r="400" spans="2:28" ht="11.25" customHeight="1" x14ac:dyDescent="0.25">
      <c r="B400" s="16"/>
      <c r="C400" s="1"/>
      <c r="D400" s="1"/>
      <c r="E400" s="1"/>
      <c r="F400" s="1"/>
      <c r="G400" s="22"/>
      <c r="H400" s="22"/>
      <c r="I400" s="1"/>
      <c r="J400" s="1"/>
      <c r="K400" s="1"/>
      <c r="L400" s="1"/>
      <c r="M400" s="262"/>
      <c r="N400" s="1"/>
      <c r="O400" s="1"/>
      <c r="P400" s="1"/>
      <c r="Q400" s="1"/>
      <c r="R400" s="1"/>
      <c r="S400" s="1"/>
      <c r="T400" s="1"/>
      <c r="U400" s="1"/>
      <c r="V400" s="1"/>
      <c r="W400" s="1"/>
      <c r="X400" s="1"/>
      <c r="Y400" s="1"/>
      <c r="Z400" s="1"/>
      <c r="AA400" s="1"/>
      <c r="AB400" s="1"/>
    </row>
    <row r="401" spans="2:28" ht="11.25" customHeight="1" x14ac:dyDescent="0.25">
      <c r="B401" s="16"/>
      <c r="C401" s="1"/>
      <c r="D401" s="1"/>
      <c r="E401" s="1"/>
      <c r="F401" s="1"/>
      <c r="G401" s="22"/>
      <c r="H401" s="22"/>
      <c r="I401" s="1"/>
      <c r="J401" s="1"/>
      <c r="K401" s="1"/>
      <c r="L401" s="1"/>
      <c r="M401" s="262"/>
      <c r="N401" s="1"/>
      <c r="O401" s="1"/>
      <c r="P401" s="1"/>
      <c r="Q401" s="1"/>
      <c r="R401" s="1"/>
      <c r="S401" s="1"/>
      <c r="T401" s="1"/>
      <c r="U401" s="1"/>
      <c r="V401" s="1"/>
      <c r="W401" s="1"/>
      <c r="X401" s="1"/>
      <c r="Y401" s="1"/>
      <c r="Z401" s="1"/>
      <c r="AA401" s="1"/>
      <c r="AB401" s="1"/>
    </row>
    <row r="402" spans="2:28" ht="11.25" customHeight="1" x14ac:dyDescent="0.25">
      <c r="B402" s="16"/>
      <c r="C402" s="1"/>
      <c r="D402" s="1"/>
      <c r="E402" s="1"/>
      <c r="F402" s="1"/>
      <c r="G402" s="22"/>
      <c r="H402" s="22"/>
      <c r="I402" s="1"/>
      <c r="J402" s="1"/>
      <c r="K402" s="1"/>
      <c r="L402" s="1"/>
      <c r="M402" s="262"/>
      <c r="N402" s="1"/>
      <c r="O402" s="1"/>
      <c r="P402" s="1"/>
      <c r="Q402" s="1"/>
      <c r="R402" s="1"/>
      <c r="S402" s="1"/>
      <c r="T402" s="1"/>
      <c r="U402" s="1"/>
      <c r="V402" s="1"/>
      <c r="W402" s="1"/>
      <c r="X402" s="1"/>
      <c r="Y402" s="1"/>
      <c r="Z402" s="1"/>
      <c r="AA402" s="1"/>
      <c r="AB402" s="1"/>
    </row>
    <row r="403" spans="2:28" ht="11.25" customHeight="1" x14ac:dyDescent="0.25">
      <c r="B403" s="16"/>
      <c r="C403" s="1"/>
      <c r="D403" s="1"/>
      <c r="E403" s="1"/>
      <c r="F403" s="1"/>
      <c r="G403" s="22"/>
      <c r="H403" s="22"/>
      <c r="I403" s="1"/>
      <c r="J403" s="1"/>
      <c r="K403" s="1"/>
      <c r="L403" s="1"/>
      <c r="M403" s="262"/>
      <c r="N403" s="1"/>
      <c r="O403" s="1"/>
      <c r="P403" s="1"/>
      <c r="Q403" s="1"/>
      <c r="R403" s="1"/>
      <c r="S403" s="1"/>
      <c r="T403" s="1"/>
      <c r="U403" s="1"/>
      <c r="V403" s="1"/>
      <c r="W403" s="1"/>
      <c r="X403" s="1"/>
      <c r="Y403" s="1"/>
      <c r="Z403" s="1"/>
      <c r="AA403" s="1"/>
      <c r="AB403" s="1"/>
    </row>
    <row r="404" spans="2:28" ht="11.25" customHeight="1" x14ac:dyDescent="0.25">
      <c r="B404" s="16"/>
      <c r="C404" s="1"/>
      <c r="D404" s="1"/>
      <c r="E404" s="1"/>
      <c r="F404" s="1"/>
      <c r="G404" s="22"/>
      <c r="H404" s="22"/>
      <c r="I404" s="1"/>
      <c r="J404" s="1"/>
      <c r="K404" s="1"/>
      <c r="L404" s="1"/>
      <c r="M404" s="262"/>
      <c r="N404" s="1"/>
      <c r="O404" s="1"/>
      <c r="P404" s="1"/>
      <c r="Q404" s="1"/>
      <c r="R404" s="1"/>
      <c r="S404" s="1"/>
      <c r="T404" s="1"/>
      <c r="U404" s="1"/>
      <c r="V404" s="1"/>
      <c r="W404" s="1"/>
      <c r="X404" s="1"/>
      <c r="Y404" s="1"/>
      <c r="Z404" s="1"/>
      <c r="AA404" s="1"/>
      <c r="AB404" s="1"/>
    </row>
    <row r="405" spans="2:28" ht="11.25" customHeight="1" x14ac:dyDescent="0.25">
      <c r="B405" s="16"/>
      <c r="C405" s="1"/>
      <c r="D405" s="1"/>
      <c r="E405" s="1"/>
      <c r="F405" s="1"/>
      <c r="G405" s="22"/>
      <c r="H405" s="22"/>
      <c r="I405" s="1"/>
      <c r="J405" s="1"/>
      <c r="K405" s="1"/>
      <c r="L405" s="1"/>
      <c r="M405" s="262"/>
      <c r="N405" s="1"/>
      <c r="O405" s="1"/>
      <c r="P405" s="1"/>
      <c r="Q405" s="1"/>
      <c r="R405" s="1"/>
      <c r="S405" s="1"/>
      <c r="T405" s="1"/>
      <c r="U405" s="1"/>
      <c r="V405" s="1"/>
      <c r="W405" s="1"/>
      <c r="X405" s="1"/>
      <c r="Y405" s="1"/>
      <c r="Z405" s="1"/>
      <c r="AA405" s="1"/>
      <c r="AB405" s="1"/>
    </row>
    <row r="406" spans="2:28" ht="11.25" customHeight="1" x14ac:dyDescent="0.25">
      <c r="B406" s="16"/>
      <c r="C406" s="1"/>
      <c r="D406" s="1"/>
      <c r="E406" s="1"/>
      <c r="F406" s="1"/>
      <c r="G406" s="22"/>
      <c r="H406" s="22"/>
      <c r="I406" s="1"/>
      <c r="J406" s="1"/>
      <c r="K406" s="1"/>
      <c r="L406" s="1"/>
      <c r="M406" s="262"/>
      <c r="N406" s="1"/>
      <c r="O406" s="1"/>
      <c r="P406" s="1"/>
      <c r="Q406" s="1"/>
      <c r="R406" s="1"/>
      <c r="S406" s="1"/>
      <c r="T406" s="1"/>
      <c r="U406" s="1"/>
      <c r="V406" s="1"/>
      <c r="W406" s="1"/>
      <c r="X406" s="1"/>
      <c r="Y406" s="1"/>
      <c r="Z406" s="1"/>
      <c r="AA406" s="1"/>
      <c r="AB406" s="1"/>
    </row>
    <row r="407" spans="2:28" ht="11.25" customHeight="1" x14ac:dyDescent="0.25">
      <c r="B407" s="16"/>
      <c r="C407" s="1"/>
      <c r="D407" s="1"/>
      <c r="E407" s="1"/>
      <c r="F407" s="1"/>
      <c r="G407" s="22"/>
      <c r="H407" s="22"/>
      <c r="I407" s="1"/>
      <c r="J407" s="1"/>
      <c r="K407" s="1"/>
      <c r="L407" s="1"/>
      <c r="M407" s="262"/>
      <c r="N407" s="1"/>
      <c r="O407" s="1"/>
      <c r="P407" s="1"/>
      <c r="Q407" s="1"/>
      <c r="R407" s="1"/>
      <c r="S407" s="1"/>
      <c r="T407" s="1"/>
      <c r="U407" s="1"/>
      <c r="V407" s="1"/>
      <c r="W407" s="1"/>
      <c r="X407" s="1"/>
      <c r="Y407" s="1"/>
      <c r="Z407" s="1"/>
      <c r="AA407" s="1"/>
      <c r="AB407" s="1"/>
    </row>
    <row r="408" spans="2:28" ht="11.25" customHeight="1" x14ac:dyDescent="0.25">
      <c r="B408" s="16"/>
      <c r="C408" s="1"/>
      <c r="D408" s="1"/>
      <c r="E408" s="1"/>
      <c r="F408" s="1"/>
      <c r="G408" s="22"/>
      <c r="H408" s="22"/>
      <c r="I408" s="1"/>
      <c r="J408" s="1"/>
      <c r="K408" s="1"/>
      <c r="L408" s="1"/>
      <c r="M408" s="262"/>
      <c r="N408" s="1"/>
      <c r="O408" s="1"/>
      <c r="P408" s="1"/>
      <c r="Q408" s="1"/>
      <c r="R408" s="1"/>
      <c r="S408" s="1"/>
      <c r="T408" s="1"/>
      <c r="U408" s="1"/>
      <c r="V408" s="1"/>
      <c r="W408" s="1"/>
      <c r="X408" s="1"/>
      <c r="Y408" s="1"/>
      <c r="Z408" s="1"/>
      <c r="AA408" s="1"/>
      <c r="AB408" s="1"/>
    </row>
    <row r="409" spans="2:28" ht="11.25" customHeight="1" x14ac:dyDescent="0.25">
      <c r="B409" s="16"/>
      <c r="C409" s="1"/>
      <c r="D409" s="1"/>
      <c r="E409" s="1"/>
      <c r="F409" s="1"/>
      <c r="G409" s="22"/>
      <c r="H409" s="22"/>
      <c r="I409" s="1"/>
      <c r="J409" s="1"/>
      <c r="K409" s="1"/>
      <c r="L409" s="1"/>
      <c r="M409" s="262"/>
      <c r="N409" s="1"/>
      <c r="O409" s="1"/>
      <c r="P409" s="1"/>
      <c r="Q409" s="1"/>
      <c r="R409" s="1"/>
      <c r="S409" s="1"/>
      <c r="T409" s="1"/>
      <c r="U409" s="1"/>
      <c r="V409" s="1"/>
      <c r="W409" s="1"/>
      <c r="X409" s="1"/>
      <c r="Y409" s="1"/>
      <c r="Z409" s="1"/>
      <c r="AA409" s="1"/>
      <c r="AB409" s="1"/>
    </row>
    <row r="410" spans="2:28" ht="11.25" customHeight="1" x14ac:dyDescent="0.25">
      <c r="B410" s="16"/>
      <c r="C410" s="1"/>
      <c r="D410" s="1"/>
      <c r="E410" s="1"/>
      <c r="F410" s="1"/>
      <c r="G410" s="22"/>
      <c r="H410" s="22"/>
      <c r="I410" s="1"/>
      <c r="J410" s="1"/>
      <c r="K410" s="1"/>
      <c r="L410" s="1"/>
      <c r="M410" s="262"/>
      <c r="N410" s="1"/>
      <c r="O410" s="1"/>
      <c r="P410" s="1"/>
      <c r="Q410" s="1"/>
      <c r="R410" s="1"/>
      <c r="S410" s="1"/>
      <c r="T410" s="1"/>
      <c r="U410" s="1"/>
      <c r="V410" s="1"/>
      <c r="W410" s="1"/>
      <c r="X410" s="1"/>
      <c r="Y410" s="1"/>
      <c r="Z410" s="1"/>
      <c r="AA410" s="1"/>
      <c r="AB410" s="1"/>
    </row>
    <row r="411" spans="2:28" ht="11.25" customHeight="1" x14ac:dyDescent="0.25">
      <c r="B411" s="16"/>
      <c r="C411" s="1"/>
      <c r="D411" s="1"/>
      <c r="E411" s="1"/>
      <c r="F411" s="1"/>
      <c r="G411" s="22"/>
      <c r="H411" s="22"/>
      <c r="I411" s="1"/>
      <c r="J411" s="1"/>
      <c r="K411" s="1"/>
      <c r="L411" s="1"/>
      <c r="M411" s="262"/>
      <c r="N411" s="1"/>
      <c r="O411" s="1"/>
      <c r="P411" s="1"/>
      <c r="Q411" s="1"/>
      <c r="R411" s="1"/>
      <c r="S411" s="1"/>
      <c r="T411" s="1"/>
      <c r="U411" s="1"/>
      <c r="V411" s="1"/>
      <c r="W411" s="1"/>
      <c r="X411" s="1"/>
      <c r="Y411" s="1"/>
      <c r="Z411" s="1"/>
      <c r="AA411" s="1"/>
      <c r="AB411" s="1"/>
    </row>
    <row r="412" spans="2:28" ht="11.25" customHeight="1" x14ac:dyDescent="0.25">
      <c r="B412" s="16"/>
      <c r="C412" s="1"/>
      <c r="D412" s="1"/>
      <c r="E412" s="1"/>
      <c r="F412" s="1"/>
      <c r="G412" s="22"/>
      <c r="H412" s="22"/>
      <c r="I412" s="1"/>
      <c r="J412" s="1"/>
      <c r="K412" s="1"/>
      <c r="L412" s="1"/>
      <c r="M412" s="262"/>
      <c r="N412" s="1"/>
      <c r="O412" s="1"/>
      <c r="P412" s="1"/>
      <c r="Q412" s="1"/>
      <c r="R412" s="1"/>
      <c r="S412" s="1"/>
      <c r="T412" s="1"/>
      <c r="U412" s="1"/>
      <c r="V412" s="1"/>
      <c r="W412" s="1"/>
      <c r="X412" s="1"/>
      <c r="Y412" s="1"/>
      <c r="Z412" s="1"/>
      <c r="AA412" s="1"/>
      <c r="AB412" s="1"/>
    </row>
    <row r="413" spans="2:28" ht="11.25" customHeight="1" x14ac:dyDescent="0.25">
      <c r="B413" s="16"/>
      <c r="C413" s="1"/>
      <c r="D413" s="1"/>
      <c r="E413" s="1"/>
      <c r="F413" s="1"/>
      <c r="G413" s="22"/>
      <c r="H413" s="22"/>
      <c r="I413" s="1"/>
      <c r="J413" s="1"/>
      <c r="K413" s="1"/>
      <c r="L413" s="1"/>
      <c r="M413" s="262"/>
      <c r="N413" s="1"/>
      <c r="O413" s="1"/>
      <c r="P413" s="1"/>
      <c r="Q413" s="1"/>
      <c r="R413" s="1"/>
      <c r="S413" s="1"/>
      <c r="T413" s="1"/>
      <c r="U413" s="1"/>
      <c r="V413" s="1"/>
      <c r="W413" s="1"/>
      <c r="X413" s="1"/>
      <c r="Y413" s="1"/>
      <c r="Z413" s="1"/>
      <c r="AA413" s="1"/>
      <c r="AB413" s="1"/>
    </row>
    <row r="414" spans="2:28" ht="11.25" customHeight="1" x14ac:dyDescent="0.25">
      <c r="B414" s="16"/>
      <c r="C414" s="1"/>
      <c r="D414" s="1"/>
      <c r="E414" s="1"/>
      <c r="F414" s="1"/>
      <c r="G414" s="22"/>
      <c r="H414" s="22"/>
      <c r="I414" s="1"/>
      <c r="J414" s="1"/>
      <c r="K414" s="1"/>
      <c r="L414" s="1"/>
      <c r="M414" s="262"/>
      <c r="N414" s="1"/>
      <c r="O414" s="1"/>
      <c r="P414" s="1"/>
      <c r="Q414" s="1"/>
      <c r="R414" s="1"/>
      <c r="S414" s="1"/>
      <c r="T414" s="1"/>
      <c r="U414" s="1"/>
      <c r="V414" s="1"/>
      <c r="W414" s="1"/>
      <c r="X414" s="1"/>
      <c r="Y414" s="1"/>
      <c r="Z414" s="1"/>
      <c r="AA414" s="1"/>
      <c r="AB414" s="1"/>
    </row>
    <row r="415" spans="2:28" ht="11.25" customHeight="1" x14ac:dyDescent="0.25">
      <c r="B415" s="16"/>
      <c r="C415" s="1"/>
      <c r="D415" s="1"/>
      <c r="E415" s="1"/>
      <c r="F415" s="1"/>
      <c r="G415" s="22"/>
      <c r="H415" s="22"/>
      <c r="I415" s="1"/>
      <c r="J415" s="1"/>
      <c r="K415" s="1"/>
      <c r="L415" s="1"/>
      <c r="M415" s="262"/>
      <c r="N415" s="1"/>
      <c r="O415" s="1"/>
      <c r="P415" s="1"/>
      <c r="Q415" s="1"/>
      <c r="R415" s="1"/>
      <c r="S415" s="1"/>
      <c r="T415" s="1"/>
      <c r="U415" s="1"/>
      <c r="V415" s="1"/>
      <c r="W415" s="1"/>
      <c r="X415" s="1"/>
      <c r="Y415" s="1"/>
      <c r="Z415" s="1"/>
      <c r="AA415" s="1"/>
      <c r="AB415" s="1"/>
    </row>
    <row r="416" spans="2:28" ht="11.25" customHeight="1" x14ac:dyDescent="0.25">
      <c r="B416" s="16"/>
      <c r="C416" s="1"/>
      <c r="D416" s="1"/>
      <c r="E416" s="1"/>
      <c r="F416" s="1"/>
      <c r="G416" s="22"/>
      <c r="H416" s="22"/>
      <c r="I416" s="1"/>
      <c r="J416" s="1"/>
      <c r="K416" s="1"/>
      <c r="L416" s="1"/>
      <c r="M416" s="262"/>
      <c r="N416" s="1"/>
      <c r="O416" s="1"/>
      <c r="P416" s="1"/>
      <c r="Q416" s="1"/>
      <c r="R416" s="1"/>
      <c r="S416" s="1"/>
      <c r="T416" s="1"/>
      <c r="U416" s="1"/>
      <c r="V416" s="1"/>
      <c r="W416" s="1"/>
      <c r="X416" s="1"/>
      <c r="Y416" s="1"/>
      <c r="Z416" s="1"/>
      <c r="AA416" s="1"/>
      <c r="AB416" s="1"/>
    </row>
    <row r="417" spans="2:28" ht="11.25" customHeight="1" x14ac:dyDescent="0.25">
      <c r="B417" s="16"/>
      <c r="C417" s="1"/>
      <c r="D417" s="1"/>
      <c r="E417" s="1"/>
      <c r="F417" s="1"/>
      <c r="G417" s="22"/>
      <c r="H417" s="22"/>
      <c r="I417" s="1"/>
      <c r="J417" s="1"/>
      <c r="K417" s="1"/>
      <c r="L417" s="1"/>
      <c r="M417" s="262"/>
      <c r="N417" s="1"/>
      <c r="O417" s="1"/>
      <c r="P417" s="1"/>
      <c r="Q417" s="1"/>
      <c r="R417" s="1"/>
      <c r="S417" s="1"/>
      <c r="T417" s="1"/>
      <c r="U417" s="1"/>
      <c r="V417" s="1"/>
      <c r="W417" s="1"/>
      <c r="X417" s="1"/>
      <c r="Y417" s="1"/>
      <c r="Z417" s="1"/>
      <c r="AA417" s="1"/>
      <c r="AB417" s="1"/>
    </row>
    <row r="418" spans="2:28" ht="11.25" customHeight="1" x14ac:dyDescent="0.25">
      <c r="B418" s="16"/>
      <c r="C418" s="1"/>
      <c r="D418" s="1"/>
      <c r="E418" s="1"/>
      <c r="F418" s="1"/>
      <c r="G418" s="22"/>
      <c r="H418" s="22"/>
      <c r="I418" s="1"/>
      <c r="J418" s="1"/>
      <c r="K418" s="1"/>
      <c r="L418" s="1"/>
      <c r="M418" s="262"/>
      <c r="N418" s="1"/>
      <c r="O418" s="1"/>
      <c r="P418" s="1"/>
      <c r="Q418" s="1"/>
      <c r="R418" s="1"/>
      <c r="S418" s="1"/>
      <c r="T418" s="1"/>
      <c r="U418" s="1"/>
      <c r="V418" s="1"/>
      <c r="W418" s="1"/>
      <c r="X418" s="1"/>
      <c r="Y418" s="1"/>
      <c r="Z418" s="1"/>
      <c r="AA418" s="1"/>
      <c r="AB418" s="1"/>
    </row>
    <row r="419" spans="2:28" ht="11.25" customHeight="1" x14ac:dyDescent="0.25">
      <c r="B419" s="16"/>
      <c r="C419" s="1"/>
      <c r="D419" s="1"/>
      <c r="E419" s="1"/>
      <c r="F419" s="1"/>
      <c r="G419" s="22"/>
      <c r="H419" s="22"/>
      <c r="I419" s="1"/>
      <c r="J419" s="1"/>
      <c r="K419" s="1"/>
      <c r="L419" s="1"/>
      <c r="M419" s="262"/>
      <c r="N419" s="1"/>
      <c r="O419" s="1"/>
      <c r="P419" s="1"/>
      <c r="Q419" s="1"/>
      <c r="R419" s="1"/>
      <c r="S419" s="1"/>
      <c r="T419" s="1"/>
      <c r="U419" s="1"/>
      <c r="V419" s="1"/>
      <c r="W419" s="1"/>
      <c r="X419" s="1"/>
      <c r="Y419" s="1"/>
      <c r="Z419" s="1"/>
      <c r="AA419" s="1"/>
      <c r="AB419" s="1"/>
    </row>
    <row r="420" spans="2:28" ht="11.25" customHeight="1" x14ac:dyDescent="0.25">
      <c r="B420" s="16"/>
      <c r="C420" s="1"/>
      <c r="D420" s="1"/>
      <c r="E420" s="1"/>
      <c r="F420" s="1"/>
      <c r="G420" s="22"/>
      <c r="H420" s="22"/>
      <c r="I420" s="1"/>
      <c r="J420" s="1"/>
      <c r="K420" s="1"/>
      <c r="L420" s="1"/>
      <c r="M420" s="262"/>
      <c r="N420" s="1"/>
      <c r="O420" s="1"/>
      <c r="P420" s="1"/>
      <c r="Q420" s="1"/>
      <c r="R420" s="1"/>
      <c r="S420" s="1"/>
      <c r="T420" s="1"/>
      <c r="U420" s="1"/>
      <c r="V420" s="1"/>
      <c r="W420" s="1"/>
      <c r="X420" s="1"/>
      <c r="Y420" s="1"/>
      <c r="Z420" s="1"/>
      <c r="AA420" s="1"/>
      <c r="AB420" s="1"/>
    </row>
    <row r="421" spans="2:28" ht="11.25" customHeight="1" x14ac:dyDescent="0.25">
      <c r="B421" s="16"/>
      <c r="C421" s="1"/>
      <c r="D421" s="1"/>
      <c r="E421" s="1"/>
      <c r="F421" s="1"/>
      <c r="G421" s="22"/>
      <c r="H421" s="22"/>
      <c r="I421" s="1"/>
      <c r="J421" s="1"/>
      <c r="K421" s="1"/>
      <c r="L421" s="1"/>
      <c r="M421" s="262"/>
      <c r="N421" s="1"/>
      <c r="O421" s="1"/>
      <c r="P421" s="1"/>
      <c r="Q421" s="1"/>
      <c r="R421" s="1"/>
      <c r="S421" s="1"/>
      <c r="T421" s="1"/>
      <c r="U421" s="1"/>
      <c r="V421" s="1"/>
      <c r="W421" s="1"/>
      <c r="X421" s="1"/>
      <c r="Y421" s="1"/>
      <c r="Z421" s="1"/>
      <c r="AA421" s="1"/>
      <c r="AB421" s="1"/>
    </row>
    <row r="422" spans="2:28" ht="11.25" customHeight="1" x14ac:dyDescent="0.25">
      <c r="B422" s="16"/>
      <c r="C422" s="1"/>
      <c r="D422" s="1"/>
      <c r="E422" s="1"/>
      <c r="F422" s="1"/>
      <c r="G422" s="22"/>
      <c r="H422" s="22"/>
      <c r="I422" s="1"/>
      <c r="J422" s="1"/>
      <c r="K422" s="1"/>
      <c r="L422" s="1"/>
      <c r="M422" s="262"/>
      <c r="N422" s="1"/>
      <c r="O422" s="1"/>
      <c r="P422" s="1"/>
      <c r="Q422" s="1"/>
      <c r="R422" s="1"/>
      <c r="S422" s="1"/>
      <c r="T422" s="1"/>
      <c r="U422" s="1"/>
      <c r="V422" s="1"/>
      <c r="W422" s="1"/>
      <c r="X422" s="1"/>
      <c r="Y422" s="1"/>
      <c r="Z422" s="1"/>
      <c r="AA422" s="1"/>
      <c r="AB422" s="1"/>
    </row>
    <row r="423" spans="2:28" ht="11.25" customHeight="1" x14ac:dyDescent="0.25">
      <c r="B423" s="16"/>
      <c r="C423" s="1"/>
      <c r="D423" s="1"/>
      <c r="E423" s="1"/>
      <c r="F423" s="1"/>
      <c r="G423" s="22"/>
      <c r="H423" s="22"/>
      <c r="I423" s="1"/>
      <c r="J423" s="1"/>
      <c r="K423" s="1"/>
      <c r="L423" s="1"/>
      <c r="M423" s="262"/>
      <c r="N423" s="1"/>
      <c r="O423" s="1"/>
      <c r="P423" s="1"/>
      <c r="Q423" s="1"/>
      <c r="R423" s="1"/>
      <c r="S423" s="1"/>
      <c r="T423" s="1"/>
      <c r="U423" s="1"/>
      <c r="V423" s="1"/>
      <c r="W423" s="1"/>
      <c r="X423" s="1"/>
      <c r="Y423" s="1"/>
      <c r="Z423" s="1"/>
      <c r="AA423" s="1"/>
      <c r="AB423" s="1"/>
    </row>
    <row r="424" spans="2:28" ht="11.25" customHeight="1" x14ac:dyDescent="0.25">
      <c r="B424" s="16"/>
      <c r="C424" s="1"/>
      <c r="D424" s="1"/>
      <c r="E424" s="1"/>
      <c r="F424" s="1"/>
      <c r="G424" s="22"/>
      <c r="H424" s="22"/>
      <c r="I424" s="1"/>
      <c r="J424" s="1"/>
      <c r="K424" s="1"/>
      <c r="L424" s="1"/>
      <c r="M424" s="262"/>
      <c r="N424" s="1"/>
      <c r="O424" s="1"/>
      <c r="P424" s="1"/>
      <c r="Q424" s="1"/>
      <c r="R424" s="1"/>
      <c r="S424" s="1"/>
      <c r="T424" s="1"/>
      <c r="U424" s="1"/>
      <c r="V424" s="1"/>
      <c r="W424" s="1"/>
      <c r="X424" s="1"/>
      <c r="Y424" s="1"/>
      <c r="Z424" s="1"/>
      <c r="AA424" s="1"/>
      <c r="AB424" s="1"/>
    </row>
    <row r="425" spans="2:28" ht="11.25" customHeight="1" x14ac:dyDescent="0.25">
      <c r="B425" s="16"/>
      <c r="C425" s="1"/>
      <c r="D425" s="1"/>
      <c r="E425" s="1"/>
      <c r="F425" s="1"/>
      <c r="G425" s="22"/>
      <c r="H425" s="22"/>
      <c r="I425" s="1"/>
      <c r="J425" s="1"/>
      <c r="K425" s="1"/>
      <c r="L425" s="1"/>
      <c r="M425" s="262"/>
      <c r="N425" s="1"/>
      <c r="O425" s="1"/>
      <c r="P425" s="1"/>
      <c r="Q425" s="1"/>
      <c r="R425" s="1"/>
      <c r="S425" s="1"/>
      <c r="T425" s="1"/>
      <c r="U425" s="1"/>
      <c r="V425" s="1"/>
      <c r="W425" s="1"/>
      <c r="X425" s="1"/>
      <c r="Y425" s="1"/>
      <c r="Z425" s="1"/>
      <c r="AA425" s="1"/>
      <c r="AB425" s="1"/>
    </row>
    <row r="426" spans="2:28" ht="11.25" customHeight="1" x14ac:dyDescent="0.25">
      <c r="B426" s="16"/>
      <c r="C426" s="1"/>
      <c r="D426" s="1"/>
      <c r="E426" s="1"/>
      <c r="F426" s="1"/>
      <c r="G426" s="22"/>
      <c r="H426" s="22"/>
      <c r="I426" s="1"/>
      <c r="J426" s="1"/>
      <c r="K426" s="1"/>
      <c r="L426" s="1"/>
      <c r="M426" s="262"/>
      <c r="N426" s="1"/>
      <c r="O426" s="1"/>
      <c r="P426" s="1"/>
      <c r="Q426" s="1"/>
      <c r="R426" s="1"/>
      <c r="S426" s="1"/>
      <c r="T426" s="1"/>
      <c r="U426" s="1"/>
      <c r="V426" s="1"/>
      <c r="W426" s="1"/>
      <c r="X426" s="1"/>
      <c r="Y426" s="1"/>
      <c r="Z426" s="1"/>
      <c r="AA426" s="1"/>
      <c r="AB426" s="1"/>
    </row>
    <row r="427" spans="2:28" ht="11.25" customHeight="1" x14ac:dyDescent="0.25">
      <c r="B427" s="16"/>
      <c r="C427" s="1"/>
      <c r="D427" s="1"/>
      <c r="E427" s="1"/>
      <c r="F427" s="1"/>
      <c r="G427" s="22"/>
      <c r="H427" s="22"/>
      <c r="I427" s="1"/>
      <c r="J427" s="1"/>
      <c r="K427" s="1"/>
      <c r="L427" s="1"/>
      <c r="M427" s="262"/>
      <c r="N427" s="1"/>
      <c r="O427" s="1"/>
      <c r="P427" s="1"/>
      <c r="Q427" s="1"/>
      <c r="R427" s="1"/>
      <c r="S427" s="1"/>
      <c r="T427" s="1"/>
      <c r="U427" s="1"/>
      <c r="V427" s="1"/>
      <c r="W427" s="1"/>
      <c r="X427" s="1"/>
      <c r="Y427" s="1"/>
      <c r="Z427" s="1"/>
      <c r="AA427" s="1"/>
      <c r="AB427" s="1"/>
    </row>
    <row r="428" spans="2:28" ht="11.25" customHeight="1" x14ac:dyDescent="0.25">
      <c r="B428" s="16"/>
      <c r="C428" s="1"/>
      <c r="D428" s="1"/>
      <c r="E428" s="1"/>
      <c r="F428" s="1"/>
      <c r="G428" s="22"/>
      <c r="H428" s="22"/>
      <c r="I428" s="1"/>
      <c r="J428" s="1"/>
      <c r="K428" s="1"/>
      <c r="L428" s="1"/>
      <c r="M428" s="262"/>
      <c r="N428" s="1"/>
      <c r="O428" s="1"/>
      <c r="P428" s="1"/>
      <c r="Q428" s="1"/>
      <c r="R428" s="1"/>
      <c r="S428" s="1"/>
      <c r="T428" s="1"/>
      <c r="U428" s="1"/>
      <c r="V428" s="1"/>
      <c r="W428" s="1"/>
      <c r="X428" s="1"/>
      <c r="Y428" s="1"/>
      <c r="Z428" s="1"/>
      <c r="AA428" s="1"/>
      <c r="AB428" s="1"/>
    </row>
    <row r="429" spans="2:28" ht="11.25" customHeight="1" x14ac:dyDescent="0.25">
      <c r="B429" s="16"/>
      <c r="C429" s="1"/>
      <c r="D429" s="1"/>
      <c r="E429" s="1"/>
      <c r="F429" s="1"/>
      <c r="G429" s="22"/>
      <c r="H429" s="22"/>
      <c r="I429" s="1"/>
      <c r="J429" s="1"/>
      <c r="K429" s="1"/>
      <c r="L429" s="1"/>
      <c r="M429" s="262"/>
      <c r="N429" s="1"/>
      <c r="O429" s="1"/>
      <c r="P429" s="1"/>
      <c r="Q429" s="1"/>
      <c r="R429" s="1"/>
      <c r="S429" s="1"/>
      <c r="T429" s="1"/>
      <c r="U429" s="1"/>
      <c r="V429" s="1"/>
      <c r="W429" s="1"/>
      <c r="X429" s="1"/>
      <c r="Y429" s="1"/>
      <c r="Z429" s="1"/>
      <c r="AA429" s="1"/>
      <c r="AB429" s="1"/>
    </row>
    <row r="430" spans="2:28" ht="11.25" customHeight="1" x14ac:dyDescent="0.25">
      <c r="B430" s="16"/>
      <c r="C430" s="1"/>
      <c r="D430" s="1"/>
      <c r="E430" s="1"/>
      <c r="F430" s="1"/>
      <c r="G430" s="22"/>
      <c r="H430" s="22"/>
      <c r="I430" s="1"/>
      <c r="J430" s="1"/>
      <c r="K430" s="1"/>
      <c r="L430" s="1"/>
      <c r="M430" s="262"/>
      <c r="N430" s="1"/>
      <c r="O430" s="1"/>
      <c r="P430" s="1"/>
      <c r="Q430" s="1"/>
      <c r="R430" s="1"/>
      <c r="S430" s="1"/>
      <c r="T430" s="1"/>
      <c r="U430" s="1"/>
      <c r="V430" s="1"/>
      <c r="W430" s="1"/>
      <c r="X430" s="1"/>
      <c r="Y430" s="1"/>
      <c r="Z430" s="1"/>
      <c r="AA430" s="1"/>
      <c r="AB430" s="1"/>
    </row>
    <row r="431" spans="2:28" ht="11.25" customHeight="1" x14ac:dyDescent="0.25">
      <c r="B431" s="16"/>
      <c r="C431" s="1"/>
      <c r="D431" s="1"/>
      <c r="E431" s="1"/>
      <c r="F431" s="1"/>
      <c r="G431" s="22"/>
      <c r="H431" s="22"/>
      <c r="I431" s="1"/>
      <c r="J431" s="1"/>
      <c r="K431" s="1"/>
      <c r="L431" s="1"/>
      <c r="M431" s="262"/>
      <c r="N431" s="1"/>
      <c r="O431" s="1"/>
      <c r="P431" s="1"/>
      <c r="Q431" s="1"/>
      <c r="R431" s="1"/>
      <c r="S431" s="1"/>
      <c r="T431" s="1"/>
      <c r="U431" s="1"/>
      <c r="V431" s="1"/>
      <c r="W431" s="1"/>
      <c r="X431" s="1"/>
      <c r="Y431" s="1"/>
      <c r="Z431" s="1"/>
      <c r="AA431" s="1"/>
      <c r="AB431" s="1"/>
    </row>
    <row r="432" spans="2:28" ht="11.25" customHeight="1" x14ac:dyDescent="0.25">
      <c r="B432" s="16"/>
      <c r="C432" s="1"/>
      <c r="D432" s="1"/>
      <c r="E432" s="1"/>
      <c r="F432" s="1"/>
      <c r="G432" s="22"/>
      <c r="H432" s="22"/>
      <c r="I432" s="1"/>
      <c r="J432" s="1"/>
      <c r="K432" s="1"/>
      <c r="L432" s="1"/>
      <c r="M432" s="262"/>
      <c r="N432" s="1"/>
      <c r="O432" s="1"/>
      <c r="P432" s="1"/>
      <c r="Q432" s="1"/>
      <c r="R432" s="1"/>
      <c r="S432" s="1"/>
      <c r="T432" s="1"/>
      <c r="U432" s="1"/>
      <c r="V432" s="1"/>
      <c r="W432" s="1"/>
      <c r="X432" s="1"/>
      <c r="Y432" s="1"/>
      <c r="Z432" s="1"/>
      <c r="AA432" s="1"/>
      <c r="AB432" s="1"/>
    </row>
    <row r="433" spans="2:28" ht="11.25" customHeight="1" x14ac:dyDescent="0.25">
      <c r="B433" s="16"/>
      <c r="C433" s="1"/>
      <c r="D433" s="1"/>
      <c r="E433" s="1"/>
      <c r="F433" s="1"/>
      <c r="G433" s="22"/>
      <c r="H433" s="22"/>
      <c r="I433" s="1"/>
      <c r="J433" s="1"/>
      <c r="K433" s="1"/>
      <c r="L433" s="1"/>
      <c r="M433" s="262"/>
      <c r="N433" s="1"/>
      <c r="O433" s="1"/>
      <c r="P433" s="1"/>
      <c r="Q433" s="1"/>
      <c r="R433" s="1"/>
      <c r="S433" s="1"/>
      <c r="T433" s="1"/>
      <c r="U433" s="1"/>
      <c r="V433" s="1"/>
      <c r="W433" s="1"/>
      <c r="X433" s="1"/>
      <c r="Y433" s="1"/>
      <c r="Z433" s="1"/>
      <c r="AA433" s="1"/>
      <c r="AB433" s="1"/>
    </row>
    <row r="434" spans="2:28" ht="11.25" customHeight="1" x14ac:dyDescent="0.25">
      <c r="B434" s="16"/>
      <c r="C434" s="1"/>
      <c r="D434" s="1"/>
      <c r="E434" s="1"/>
      <c r="F434" s="1"/>
      <c r="G434" s="22"/>
      <c r="H434" s="22"/>
      <c r="I434" s="1"/>
      <c r="J434" s="1"/>
      <c r="K434" s="1"/>
      <c r="L434" s="1"/>
      <c r="M434" s="262"/>
      <c r="N434" s="1"/>
      <c r="O434" s="1"/>
      <c r="P434" s="1"/>
      <c r="Q434" s="1"/>
      <c r="R434" s="1"/>
      <c r="S434" s="1"/>
      <c r="T434" s="1"/>
      <c r="U434" s="1"/>
      <c r="V434" s="1"/>
      <c r="W434" s="1"/>
      <c r="X434" s="1"/>
      <c r="Y434" s="1"/>
      <c r="Z434" s="1"/>
      <c r="AA434" s="1"/>
      <c r="AB434" s="1"/>
    </row>
    <row r="435" spans="2:28" ht="11.25" customHeight="1" x14ac:dyDescent="0.25">
      <c r="B435" s="16"/>
      <c r="C435" s="1"/>
      <c r="D435" s="1"/>
      <c r="E435" s="1"/>
      <c r="F435" s="1"/>
      <c r="G435" s="22"/>
      <c r="H435" s="22"/>
      <c r="I435" s="1"/>
      <c r="J435" s="1"/>
      <c r="K435" s="1"/>
      <c r="L435" s="1"/>
      <c r="M435" s="262"/>
      <c r="N435" s="1"/>
      <c r="O435" s="1"/>
      <c r="P435" s="1"/>
      <c r="Q435" s="1"/>
      <c r="R435" s="1"/>
      <c r="S435" s="1"/>
      <c r="T435" s="1"/>
      <c r="U435" s="1"/>
      <c r="V435" s="1"/>
      <c r="W435" s="1"/>
      <c r="X435" s="1"/>
      <c r="Y435" s="1"/>
      <c r="Z435" s="1"/>
      <c r="AA435" s="1"/>
      <c r="AB435" s="1"/>
    </row>
    <row r="436" spans="2:28" ht="11.25" customHeight="1" x14ac:dyDescent="0.25">
      <c r="B436" s="16"/>
      <c r="C436" s="1"/>
      <c r="D436" s="1"/>
      <c r="E436" s="1"/>
      <c r="F436" s="1"/>
      <c r="G436" s="22"/>
      <c r="H436" s="22"/>
      <c r="I436" s="1"/>
      <c r="J436" s="1"/>
      <c r="K436" s="1"/>
      <c r="L436" s="1"/>
      <c r="M436" s="262"/>
      <c r="N436" s="1"/>
      <c r="O436" s="1"/>
      <c r="P436" s="1"/>
      <c r="Q436" s="1"/>
      <c r="R436" s="1"/>
      <c r="S436" s="1"/>
      <c r="T436" s="1"/>
      <c r="U436" s="1"/>
      <c r="V436" s="1"/>
      <c r="W436" s="1"/>
      <c r="X436" s="1"/>
      <c r="Y436" s="1"/>
      <c r="Z436" s="1"/>
      <c r="AA436" s="1"/>
      <c r="AB436" s="1"/>
    </row>
    <row r="437" spans="2:28" ht="11.25" customHeight="1" x14ac:dyDescent="0.25">
      <c r="B437" s="16"/>
      <c r="C437" s="1"/>
      <c r="D437" s="1"/>
      <c r="E437" s="1"/>
      <c r="F437" s="1"/>
      <c r="G437" s="22"/>
      <c r="H437" s="22"/>
      <c r="I437" s="1"/>
      <c r="J437" s="1"/>
      <c r="K437" s="1"/>
      <c r="L437" s="1"/>
      <c r="M437" s="262"/>
      <c r="N437" s="1"/>
      <c r="O437" s="1"/>
      <c r="P437" s="1"/>
      <c r="Q437" s="1"/>
      <c r="R437" s="1"/>
      <c r="S437" s="1"/>
      <c r="T437" s="1"/>
      <c r="U437" s="1"/>
      <c r="V437" s="1"/>
      <c r="W437" s="1"/>
      <c r="X437" s="1"/>
      <c r="Y437" s="1"/>
      <c r="Z437" s="1"/>
      <c r="AA437" s="1"/>
      <c r="AB437" s="1"/>
    </row>
    <row r="438" spans="2:28" ht="11.25" customHeight="1" x14ac:dyDescent="0.25">
      <c r="B438" s="16"/>
      <c r="C438" s="1"/>
      <c r="D438" s="1"/>
      <c r="E438" s="1"/>
      <c r="F438" s="1"/>
      <c r="G438" s="22"/>
      <c r="H438" s="22"/>
      <c r="I438" s="1"/>
      <c r="J438" s="1"/>
      <c r="K438" s="1"/>
      <c r="L438" s="1"/>
      <c r="M438" s="262"/>
      <c r="N438" s="1"/>
      <c r="O438" s="1"/>
      <c r="P438" s="1"/>
      <c r="Q438" s="1"/>
      <c r="R438" s="1"/>
      <c r="S438" s="1"/>
      <c r="T438" s="1"/>
      <c r="U438" s="1"/>
      <c r="V438" s="1"/>
      <c r="W438" s="1"/>
      <c r="X438" s="1"/>
      <c r="Y438" s="1"/>
      <c r="Z438" s="1"/>
      <c r="AA438" s="1"/>
      <c r="AB438" s="1"/>
    </row>
    <row r="439" spans="2:28" ht="11.25" customHeight="1" x14ac:dyDescent="0.25">
      <c r="B439" s="16"/>
      <c r="C439" s="1"/>
      <c r="D439" s="1"/>
      <c r="E439" s="1"/>
      <c r="F439" s="1"/>
      <c r="G439" s="22"/>
      <c r="H439" s="22"/>
      <c r="I439" s="1"/>
      <c r="J439" s="1"/>
      <c r="K439" s="1"/>
      <c r="L439" s="1"/>
      <c r="M439" s="262"/>
      <c r="N439" s="1"/>
      <c r="O439" s="1"/>
      <c r="P439" s="1"/>
      <c r="Q439" s="1"/>
      <c r="R439" s="1"/>
      <c r="S439" s="1"/>
      <c r="T439" s="1"/>
      <c r="U439" s="1"/>
      <c r="V439" s="1"/>
      <c r="W439" s="1"/>
      <c r="X439" s="1"/>
      <c r="Y439" s="1"/>
      <c r="Z439" s="1"/>
      <c r="AA439" s="1"/>
      <c r="AB439" s="1"/>
    </row>
    <row r="440" spans="2:28" ht="11.25" customHeight="1" x14ac:dyDescent="0.25">
      <c r="B440" s="16"/>
      <c r="C440" s="1"/>
      <c r="D440" s="1"/>
      <c r="E440" s="1"/>
      <c r="F440" s="1"/>
      <c r="G440" s="22"/>
      <c r="H440" s="22"/>
      <c r="I440" s="1"/>
      <c r="J440" s="1"/>
      <c r="K440" s="1"/>
      <c r="L440" s="1"/>
      <c r="M440" s="262"/>
      <c r="N440" s="1"/>
      <c r="O440" s="1"/>
      <c r="P440" s="1"/>
      <c r="Q440" s="1"/>
      <c r="R440" s="1"/>
      <c r="S440" s="1"/>
      <c r="T440" s="1"/>
      <c r="U440" s="1"/>
      <c r="V440" s="1"/>
      <c r="W440" s="1"/>
      <c r="X440" s="1"/>
      <c r="Y440" s="1"/>
      <c r="Z440" s="1"/>
      <c r="AA440" s="1"/>
      <c r="AB440" s="1"/>
    </row>
    <row r="441" spans="2:28" ht="11.25" customHeight="1" x14ac:dyDescent="0.25">
      <c r="B441" s="16"/>
      <c r="C441" s="1"/>
      <c r="D441" s="1"/>
      <c r="E441" s="1"/>
      <c r="F441" s="1"/>
      <c r="G441" s="22"/>
      <c r="H441" s="22"/>
      <c r="I441" s="1"/>
      <c r="J441" s="1"/>
      <c r="K441" s="1"/>
      <c r="L441" s="1"/>
      <c r="M441" s="262"/>
      <c r="N441" s="1"/>
      <c r="O441" s="1"/>
      <c r="P441" s="1"/>
      <c r="Q441" s="1"/>
      <c r="R441" s="1"/>
      <c r="S441" s="1"/>
      <c r="T441" s="1"/>
      <c r="U441" s="1"/>
      <c r="V441" s="1"/>
      <c r="W441" s="1"/>
      <c r="X441" s="1"/>
      <c r="Y441" s="1"/>
      <c r="Z441" s="1"/>
      <c r="AA441" s="1"/>
      <c r="AB441" s="1"/>
    </row>
    <row r="442" spans="2:28" ht="11.25" customHeight="1" x14ac:dyDescent="0.25">
      <c r="B442" s="16"/>
      <c r="C442" s="1"/>
      <c r="D442" s="1"/>
      <c r="E442" s="1"/>
      <c r="F442" s="1"/>
      <c r="G442" s="22"/>
      <c r="H442" s="22"/>
      <c r="I442" s="1"/>
      <c r="J442" s="1"/>
      <c r="K442" s="1"/>
      <c r="L442" s="1"/>
      <c r="M442" s="262"/>
      <c r="N442" s="1"/>
      <c r="O442" s="1"/>
      <c r="P442" s="1"/>
      <c r="Q442" s="1"/>
      <c r="R442" s="1"/>
      <c r="S442" s="1"/>
      <c r="T442" s="1"/>
      <c r="U442" s="1"/>
      <c r="V442" s="1"/>
      <c r="W442" s="1"/>
      <c r="X442" s="1"/>
      <c r="Y442" s="1"/>
      <c r="Z442" s="1"/>
      <c r="AA442" s="1"/>
      <c r="AB442" s="1"/>
    </row>
    <row r="443" spans="2:28" ht="11.25" customHeight="1" x14ac:dyDescent="0.25">
      <c r="B443" s="16"/>
      <c r="C443" s="1"/>
      <c r="D443" s="1"/>
      <c r="E443" s="1"/>
      <c r="F443" s="1"/>
      <c r="G443" s="22"/>
      <c r="H443" s="22"/>
      <c r="I443" s="1"/>
      <c r="J443" s="1"/>
      <c r="K443" s="1"/>
      <c r="L443" s="1"/>
      <c r="M443" s="262"/>
      <c r="N443" s="1"/>
      <c r="O443" s="1"/>
      <c r="P443" s="1"/>
      <c r="Q443" s="1"/>
      <c r="R443" s="1"/>
      <c r="S443" s="1"/>
      <c r="T443" s="1"/>
      <c r="U443" s="1"/>
      <c r="V443" s="1"/>
      <c r="W443" s="1"/>
      <c r="X443" s="1"/>
      <c r="Y443" s="1"/>
      <c r="Z443" s="1"/>
      <c r="AA443" s="1"/>
      <c r="AB443" s="1"/>
    </row>
    <row r="444" spans="2:28" ht="11.25" customHeight="1" x14ac:dyDescent="0.25">
      <c r="B444" s="16"/>
      <c r="C444" s="1"/>
      <c r="D444" s="1"/>
      <c r="E444" s="1"/>
      <c r="F444" s="1"/>
      <c r="G444" s="22"/>
      <c r="H444" s="22"/>
      <c r="I444" s="1"/>
      <c r="J444" s="1"/>
      <c r="K444" s="1"/>
      <c r="L444" s="1"/>
      <c r="M444" s="262"/>
      <c r="N444" s="1"/>
      <c r="O444" s="1"/>
      <c r="P444" s="1"/>
      <c r="Q444" s="1"/>
      <c r="R444" s="1"/>
      <c r="S444" s="1"/>
      <c r="T444" s="1"/>
      <c r="U444" s="1"/>
      <c r="V444" s="1"/>
      <c r="W444" s="1"/>
      <c r="X444" s="1"/>
      <c r="Y444" s="1"/>
      <c r="Z444" s="1"/>
      <c r="AA444" s="1"/>
      <c r="AB444" s="1"/>
    </row>
    <row r="445" spans="2:28" ht="11.25" customHeight="1" x14ac:dyDescent="0.25">
      <c r="B445" s="16"/>
      <c r="C445" s="1"/>
      <c r="D445" s="1"/>
      <c r="E445" s="1"/>
      <c r="F445" s="1"/>
      <c r="G445" s="22"/>
      <c r="H445" s="22"/>
      <c r="I445" s="1"/>
      <c r="J445" s="1"/>
      <c r="K445" s="1"/>
      <c r="L445" s="1"/>
      <c r="M445" s="262"/>
      <c r="N445" s="1"/>
      <c r="O445" s="1"/>
      <c r="P445" s="1"/>
      <c r="Q445" s="1"/>
      <c r="R445" s="1"/>
      <c r="S445" s="1"/>
      <c r="T445" s="1"/>
      <c r="U445" s="1"/>
      <c r="V445" s="1"/>
      <c r="W445" s="1"/>
      <c r="X445" s="1"/>
      <c r="Y445" s="1"/>
      <c r="Z445" s="1"/>
      <c r="AA445" s="1"/>
      <c r="AB445" s="1"/>
    </row>
    <row r="446" spans="2:28" ht="11.25" customHeight="1" x14ac:dyDescent="0.25">
      <c r="B446" s="16"/>
      <c r="C446" s="1"/>
      <c r="D446" s="1"/>
      <c r="E446" s="1"/>
      <c r="F446" s="1"/>
      <c r="G446" s="22"/>
      <c r="H446" s="22"/>
      <c r="I446" s="1"/>
      <c r="J446" s="1"/>
      <c r="K446" s="1"/>
      <c r="L446" s="1"/>
      <c r="M446" s="262"/>
      <c r="N446" s="1"/>
      <c r="O446" s="1"/>
      <c r="P446" s="1"/>
      <c r="Q446" s="1"/>
      <c r="R446" s="1"/>
      <c r="S446" s="1"/>
      <c r="T446" s="1"/>
      <c r="U446" s="1"/>
      <c r="V446" s="1"/>
      <c r="W446" s="1"/>
      <c r="X446" s="1"/>
      <c r="Y446" s="1"/>
      <c r="Z446" s="1"/>
      <c r="AA446" s="1"/>
      <c r="AB446" s="1"/>
    </row>
    <row r="447" spans="2:28" ht="11.25" customHeight="1" x14ac:dyDescent="0.25">
      <c r="B447" s="16"/>
      <c r="C447" s="1"/>
      <c r="D447" s="1"/>
      <c r="E447" s="1"/>
      <c r="F447" s="1"/>
      <c r="G447" s="22"/>
      <c r="H447" s="22"/>
      <c r="I447" s="1"/>
      <c r="J447" s="1"/>
      <c r="K447" s="1"/>
      <c r="L447" s="1"/>
      <c r="M447" s="262"/>
      <c r="N447" s="1"/>
      <c r="O447" s="1"/>
      <c r="P447" s="1"/>
      <c r="Q447" s="1"/>
      <c r="R447" s="1"/>
      <c r="S447" s="1"/>
      <c r="T447" s="1"/>
      <c r="U447" s="1"/>
      <c r="V447" s="1"/>
      <c r="W447" s="1"/>
      <c r="X447" s="1"/>
      <c r="Y447" s="1"/>
      <c r="Z447" s="1"/>
      <c r="AA447" s="1"/>
      <c r="AB447" s="1"/>
    </row>
    <row r="448" spans="2:28" ht="11.25" customHeight="1" x14ac:dyDescent="0.25">
      <c r="B448" s="16"/>
      <c r="C448" s="1"/>
      <c r="D448" s="1"/>
      <c r="E448" s="1"/>
      <c r="F448" s="1"/>
      <c r="G448" s="22"/>
      <c r="H448" s="22"/>
      <c r="I448" s="1"/>
      <c r="J448" s="1"/>
      <c r="K448" s="1"/>
      <c r="L448" s="1"/>
      <c r="M448" s="262"/>
      <c r="N448" s="1"/>
      <c r="O448" s="1"/>
      <c r="P448" s="1"/>
      <c r="Q448" s="1"/>
      <c r="R448" s="1"/>
      <c r="S448" s="1"/>
      <c r="T448" s="1"/>
      <c r="U448" s="1"/>
      <c r="V448" s="1"/>
      <c r="W448" s="1"/>
      <c r="X448" s="1"/>
      <c r="Y448" s="1"/>
      <c r="Z448" s="1"/>
      <c r="AA448" s="1"/>
      <c r="AB448" s="1"/>
    </row>
    <row r="449" spans="2:28" ht="11.25" customHeight="1" x14ac:dyDescent="0.25">
      <c r="B449" s="16"/>
      <c r="C449" s="1"/>
      <c r="D449" s="1"/>
      <c r="E449" s="1"/>
      <c r="F449" s="1"/>
      <c r="G449" s="22"/>
      <c r="H449" s="22"/>
      <c r="I449" s="1"/>
      <c r="J449" s="1"/>
      <c r="K449" s="1"/>
      <c r="L449" s="1"/>
      <c r="M449" s="262"/>
      <c r="N449" s="1"/>
      <c r="O449" s="1"/>
      <c r="P449" s="1"/>
      <c r="Q449" s="1"/>
      <c r="R449" s="1"/>
      <c r="S449" s="1"/>
      <c r="T449" s="1"/>
      <c r="U449" s="1"/>
      <c r="V449" s="1"/>
      <c r="W449" s="1"/>
      <c r="X449" s="1"/>
      <c r="Y449" s="1"/>
      <c r="Z449" s="1"/>
      <c r="AA449" s="1"/>
      <c r="AB449" s="1"/>
    </row>
    <row r="450" spans="2:28" ht="11.25" customHeight="1" x14ac:dyDescent="0.25">
      <c r="B450" s="16"/>
      <c r="C450" s="1"/>
      <c r="D450" s="1"/>
      <c r="E450" s="1"/>
      <c r="F450" s="1"/>
      <c r="G450" s="22"/>
      <c r="H450" s="22"/>
      <c r="I450" s="1"/>
      <c r="J450" s="1"/>
      <c r="K450" s="1"/>
      <c r="L450" s="1"/>
      <c r="M450" s="262"/>
      <c r="N450" s="1"/>
      <c r="O450" s="1"/>
      <c r="P450" s="1"/>
      <c r="Q450" s="1"/>
      <c r="R450" s="1"/>
      <c r="S450" s="1"/>
      <c r="T450" s="1"/>
      <c r="U450" s="1"/>
      <c r="V450" s="1"/>
      <c r="W450" s="1"/>
      <c r="X450" s="1"/>
      <c r="Y450" s="1"/>
      <c r="Z450" s="1"/>
      <c r="AA450" s="1"/>
      <c r="AB450" s="1"/>
    </row>
    <row r="451" spans="2:28" ht="11.25" customHeight="1" x14ac:dyDescent="0.25">
      <c r="B451" s="16"/>
      <c r="C451" s="1"/>
      <c r="D451" s="1"/>
      <c r="E451" s="1"/>
      <c r="F451" s="1"/>
      <c r="G451" s="22"/>
      <c r="H451" s="22"/>
      <c r="I451" s="1"/>
      <c r="J451" s="1"/>
      <c r="K451" s="1"/>
      <c r="L451" s="1"/>
      <c r="M451" s="262"/>
      <c r="N451" s="1"/>
      <c r="O451" s="1"/>
      <c r="P451" s="1"/>
      <c r="Q451" s="1"/>
      <c r="R451" s="1"/>
      <c r="S451" s="1"/>
      <c r="T451" s="1"/>
      <c r="U451" s="1"/>
      <c r="V451" s="1"/>
      <c r="W451" s="1"/>
      <c r="X451" s="1"/>
      <c r="Y451" s="1"/>
      <c r="Z451" s="1"/>
      <c r="AA451" s="1"/>
      <c r="AB451" s="1"/>
    </row>
    <row r="452" spans="2:28" ht="11.25" customHeight="1" x14ac:dyDescent="0.25">
      <c r="B452" s="16"/>
      <c r="C452" s="1"/>
      <c r="D452" s="1"/>
      <c r="E452" s="1"/>
      <c r="F452" s="1"/>
      <c r="G452" s="22"/>
      <c r="H452" s="22"/>
      <c r="I452" s="1"/>
      <c r="J452" s="1"/>
      <c r="K452" s="1"/>
      <c r="L452" s="1"/>
      <c r="M452" s="262"/>
      <c r="N452" s="1"/>
      <c r="O452" s="1"/>
      <c r="P452" s="1"/>
      <c r="Q452" s="1"/>
      <c r="R452" s="1"/>
      <c r="S452" s="1"/>
      <c r="T452" s="1"/>
      <c r="U452" s="1"/>
      <c r="V452" s="1"/>
      <c r="W452" s="1"/>
      <c r="X452" s="1"/>
      <c r="Y452" s="1"/>
      <c r="Z452" s="1"/>
      <c r="AA452" s="1"/>
      <c r="AB452" s="1"/>
    </row>
    <row r="453" spans="2:28" ht="11.25" customHeight="1" x14ac:dyDescent="0.25">
      <c r="B453" s="16"/>
      <c r="C453" s="1"/>
      <c r="D453" s="1"/>
      <c r="E453" s="1"/>
      <c r="F453" s="1"/>
      <c r="G453" s="22"/>
      <c r="H453" s="22"/>
      <c r="I453" s="1"/>
      <c r="J453" s="1"/>
      <c r="K453" s="1"/>
      <c r="L453" s="1"/>
      <c r="M453" s="262"/>
      <c r="N453" s="1"/>
      <c r="O453" s="1"/>
      <c r="P453" s="1"/>
      <c r="Q453" s="1"/>
      <c r="R453" s="1"/>
      <c r="S453" s="1"/>
      <c r="T453" s="1"/>
      <c r="U453" s="1"/>
      <c r="V453" s="1"/>
      <c r="W453" s="1"/>
      <c r="X453" s="1"/>
      <c r="Y453" s="1"/>
      <c r="Z453" s="1"/>
      <c r="AA453" s="1"/>
      <c r="AB453" s="1"/>
    </row>
    <row r="454" spans="2:28" ht="11.25" customHeight="1" x14ac:dyDescent="0.25">
      <c r="B454" s="16"/>
      <c r="C454" s="1"/>
      <c r="D454" s="1"/>
      <c r="E454" s="1"/>
      <c r="F454" s="1"/>
      <c r="G454" s="22"/>
      <c r="H454" s="22"/>
      <c r="I454" s="1"/>
      <c r="J454" s="1"/>
      <c r="K454" s="1"/>
      <c r="L454" s="1"/>
      <c r="M454" s="262"/>
      <c r="N454" s="1"/>
      <c r="O454" s="1"/>
      <c r="P454" s="1"/>
      <c r="Q454" s="1"/>
      <c r="R454" s="1"/>
      <c r="S454" s="1"/>
      <c r="T454" s="1"/>
      <c r="U454" s="1"/>
      <c r="V454" s="1"/>
      <c r="W454" s="1"/>
      <c r="X454" s="1"/>
      <c r="Y454" s="1"/>
      <c r="Z454" s="1"/>
      <c r="AA454" s="1"/>
      <c r="AB454" s="1"/>
    </row>
    <row r="455" spans="2:28" ht="11.25" customHeight="1" x14ac:dyDescent="0.25">
      <c r="B455" s="16"/>
      <c r="C455" s="1"/>
      <c r="D455" s="1"/>
      <c r="E455" s="1"/>
      <c r="F455" s="1"/>
      <c r="G455" s="22"/>
      <c r="H455" s="22"/>
      <c r="I455" s="1"/>
      <c r="J455" s="1"/>
      <c r="K455" s="1"/>
      <c r="L455" s="1"/>
      <c r="M455" s="262"/>
      <c r="N455" s="1"/>
      <c r="O455" s="1"/>
      <c r="P455" s="1"/>
      <c r="Q455" s="1"/>
      <c r="R455" s="1"/>
      <c r="S455" s="1"/>
      <c r="T455" s="1"/>
      <c r="U455" s="1"/>
      <c r="V455" s="1"/>
      <c r="W455" s="1"/>
      <c r="X455" s="1"/>
      <c r="Y455" s="1"/>
      <c r="Z455" s="1"/>
      <c r="AA455" s="1"/>
      <c r="AB455" s="1"/>
    </row>
    <row r="456" spans="2:28" ht="11.25" customHeight="1" x14ac:dyDescent="0.25">
      <c r="B456" s="16"/>
      <c r="C456" s="1"/>
      <c r="D456" s="1"/>
      <c r="E456" s="1"/>
      <c r="F456" s="1"/>
      <c r="G456" s="22"/>
      <c r="H456" s="22"/>
      <c r="I456" s="1"/>
      <c r="J456" s="1"/>
      <c r="K456" s="1"/>
      <c r="L456" s="1"/>
      <c r="M456" s="262"/>
      <c r="N456" s="1"/>
      <c r="O456" s="1"/>
      <c r="P456" s="1"/>
      <c r="Q456" s="1"/>
      <c r="R456" s="1"/>
      <c r="S456" s="1"/>
      <c r="T456" s="1"/>
      <c r="U456" s="1"/>
      <c r="V456" s="1"/>
      <c r="W456" s="1"/>
      <c r="X456" s="1"/>
      <c r="Y456" s="1"/>
      <c r="Z456" s="1"/>
      <c r="AA456" s="1"/>
      <c r="AB456" s="1"/>
    </row>
    <row r="457" spans="2:28" ht="11.25" customHeight="1" x14ac:dyDescent="0.25">
      <c r="B457" s="16"/>
      <c r="C457" s="1"/>
      <c r="D457" s="1"/>
      <c r="E457" s="1"/>
      <c r="F457" s="1"/>
      <c r="G457" s="22"/>
      <c r="H457" s="22"/>
      <c r="I457" s="1"/>
      <c r="J457" s="1"/>
      <c r="K457" s="1"/>
      <c r="L457" s="1"/>
      <c r="M457" s="262"/>
      <c r="N457" s="1"/>
      <c r="O457" s="1"/>
      <c r="P457" s="1"/>
      <c r="Q457" s="1"/>
      <c r="R457" s="1"/>
      <c r="S457" s="1"/>
      <c r="T457" s="1"/>
      <c r="U457" s="1"/>
      <c r="V457" s="1"/>
      <c r="W457" s="1"/>
      <c r="X457" s="1"/>
      <c r="Y457" s="1"/>
      <c r="Z457" s="1"/>
      <c r="AA457" s="1"/>
      <c r="AB457" s="1"/>
    </row>
    <row r="458" spans="2:28" ht="11.25" customHeight="1" x14ac:dyDescent="0.25">
      <c r="B458" s="16"/>
      <c r="C458" s="1"/>
      <c r="D458" s="1"/>
      <c r="E458" s="1"/>
      <c r="F458" s="1"/>
      <c r="G458" s="22"/>
      <c r="H458" s="22"/>
      <c r="I458" s="1"/>
      <c r="J458" s="1"/>
      <c r="K458" s="1"/>
      <c r="L458" s="1"/>
      <c r="M458" s="262"/>
      <c r="N458" s="1"/>
      <c r="O458" s="1"/>
      <c r="P458" s="1"/>
      <c r="Q458" s="1"/>
      <c r="R458" s="1"/>
      <c r="S458" s="1"/>
      <c r="T458" s="1"/>
      <c r="U458" s="1"/>
      <c r="V458" s="1"/>
      <c r="W458" s="1"/>
      <c r="X458" s="1"/>
      <c r="Y458" s="1"/>
      <c r="Z458" s="1"/>
      <c r="AA458" s="1"/>
      <c r="AB458" s="1"/>
    </row>
    <row r="459" spans="2:28" ht="11.25" customHeight="1" x14ac:dyDescent="0.25">
      <c r="B459" s="16"/>
      <c r="C459" s="1"/>
      <c r="D459" s="1"/>
      <c r="E459" s="1"/>
      <c r="F459" s="1"/>
      <c r="G459" s="22"/>
      <c r="H459" s="22"/>
      <c r="I459" s="1"/>
      <c r="J459" s="1"/>
      <c r="K459" s="1"/>
      <c r="L459" s="1"/>
      <c r="M459" s="262"/>
      <c r="N459" s="1"/>
      <c r="O459" s="1"/>
      <c r="P459" s="1"/>
      <c r="Q459" s="1"/>
      <c r="R459" s="1"/>
      <c r="S459" s="1"/>
      <c r="T459" s="1"/>
      <c r="U459" s="1"/>
      <c r="V459" s="1"/>
      <c r="W459" s="1"/>
      <c r="X459" s="1"/>
      <c r="Y459" s="1"/>
      <c r="Z459" s="1"/>
      <c r="AA459" s="1"/>
      <c r="AB459" s="1"/>
    </row>
    <row r="460" spans="2:28" ht="11.25" customHeight="1" x14ac:dyDescent="0.25">
      <c r="B460" s="16"/>
      <c r="C460" s="1"/>
      <c r="D460" s="1"/>
      <c r="E460" s="1"/>
      <c r="F460" s="1"/>
      <c r="G460" s="22"/>
      <c r="H460" s="22"/>
      <c r="I460" s="1"/>
      <c r="J460" s="1"/>
      <c r="K460" s="1"/>
      <c r="L460" s="1"/>
      <c r="M460" s="262"/>
      <c r="N460" s="1"/>
      <c r="O460" s="1"/>
      <c r="P460" s="1"/>
      <c r="Q460" s="1"/>
      <c r="R460" s="1"/>
      <c r="S460" s="1"/>
      <c r="T460" s="1"/>
      <c r="U460" s="1"/>
      <c r="V460" s="1"/>
      <c r="W460" s="1"/>
      <c r="X460" s="1"/>
      <c r="Y460" s="1"/>
      <c r="Z460" s="1"/>
      <c r="AA460" s="1"/>
      <c r="AB460" s="1"/>
    </row>
    <row r="461" spans="2:28" ht="11.25" customHeight="1" x14ac:dyDescent="0.25">
      <c r="B461" s="16"/>
      <c r="C461" s="1"/>
      <c r="D461" s="1"/>
      <c r="E461" s="1"/>
      <c r="F461" s="1"/>
      <c r="G461" s="22"/>
      <c r="H461" s="22"/>
      <c r="I461" s="1"/>
      <c r="J461" s="1"/>
      <c r="K461" s="1"/>
      <c r="L461" s="1"/>
      <c r="M461" s="262"/>
      <c r="N461" s="1"/>
      <c r="O461" s="1"/>
      <c r="P461" s="1"/>
      <c r="Q461" s="1"/>
      <c r="R461" s="1"/>
      <c r="S461" s="1"/>
      <c r="T461" s="1"/>
      <c r="U461" s="1"/>
      <c r="V461" s="1"/>
      <c r="W461" s="1"/>
      <c r="X461" s="1"/>
      <c r="Y461" s="1"/>
      <c r="Z461" s="1"/>
      <c r="AA461" s="1"/>
      <c r="AB461" s="1"/>
    </row>
    <row r="462" spans="2:28" ht="11.25" customHeight="1" x14ac:dyDescent="0.25">
      <c r="B462" s="16"/>
      <c r="C462" s="1"/>
      <c r="D462" s="1"/>
      <c r="E462" s="1"/>
      <c r="F462" s="1"/>
      <c r="G462" s="22"/>
      <c r="H462" s="22"/>
      <c r="I462" s="1"/>
      <c r="J462" s="1"/>
      <c r="K462" s="1"/>
      <c r="L462" s="1"/>
      <c r="M462" s="262"/>
      <c r="N462" s="1"/>
      <c r="O462" s="1"/>
      <c r="P462" s="1"/>
      <c r="Q462" s="1"/>
      <c r="R462" s="1"/>
      <c r="S462" s="1"/>
      <c r="T462" s="1"/>
      <c r="U462" s="1"/>
      <c r="V462" s="1"/>
      <c r="W462" s="1"/>
      <c r="X462" s="1"/>
      <c r="Y462" s="1"/>
      <c r="Z462" s="1"/>
      <c r="AA462" s="1"/>
      <c r="AB462" s="1"/>
    </row>
    <row r="463" spans="2:28" ht="11.25" customHeight="1" x14ac:dyDescent="0.25">
      <c r="B463" s="16"/>
      <c r="C463" s="1"/>
      <c r="D463" s="1"/>
      <c r="E463" s="1"/>
      <c r="F463" s="1"/>
      <c r="G463" s="22"/>
      <c r="H463" s="22"/>
      <c r="I463" s="1"/>
      <c r="J463" s="1"/>
      <c r="K463" s="1"/>
      <c r="L463" s="1"/>
      <c r="M463" s="262"/>
      <c r="N463" s="1"/>
      <c r="O463" s="1"/>
      <c r="P463" s="1"/>
      <c r="Q463" s="1"/>
      <c r="R463" s="1"/>
      <c r="S463" s="1"/>
      <c r="T463" s="1"/>
      <c r="U463" s="1"/>
      <c r="V463" s="1"/>
      <c r="W463" s="1"/>
      <c r="X463" s="1"/>
      <c r="Y463" s="1"/>
      <c r="Z463" s="1"/>
      <c r="AA463" s="1"/>
      <c r="AB463" s="1"/>
    </row>
    <row r="464" spans="2:28" ht="11.25" customHeight="1" x14ac:dyDescent="0.25">
      <c r="B464" s="16"/>
      <c r="C464" s="1"/>
      <c r="D464" s="1"/>
      <c r="E464" s="1"/>
      <c r="F464" s="1"/>
      <c r="G464" s="22"/>
      <c r="H464" s="22"/>
      <c r="I464" s="1"/>
      <c r="J464" s="1"/>
      <c r="K464" s="1"/>
      <c r="L464" s="1"/>
      <c r="M464" s="262"/>
      <c r="N464" s="1"/>
      <c r="O464" s="1"/>
      <c r="P464" s="1"/>
      <c r="Q464" s="1"/>
      <c r="R464" s="1"/>
      <c r="S464" s="1"/>
      <c r="T464" s="1"/>
      <c r="U464" s="1"/>
      <c r="V464" s="1"/>
      <c r="W464" s="1"/>
      <c r="X464" s="1"/>
      <c r="Y464" s="1"/>
      <c r="Z464" s="1"/>
      <c r="AA464" s="1"/>
      <c r="AB464" s="1"/>
    </row>
    <row r="465" spans="2:28" ht="11.25" customHeight="1" x14ac:dyDescent="0.25">
      <c r="B465" s="16"/>
      <c r="C465" s="1"/>
      <c r="D465" s="1"/>
      <c r="E465" s="1"/>
      <c r="F465" s="1"/>
      <c r="G465" s="22"/>
      <c r="H465" s="22"/>
      <c r="I465" s="1"/>
      <c r="J465" s="1"/>
      <c r="K465" s="1"/>
      <c r="L465" s="1"/>
      <c r="M465" s="262"/>
      <c r="N465" s="1"/>
      <c r="O465" s="1"/>
      <c r="P465" s="1"/>
      <c r="Q465" s="1"/>
      <c r="R465" s="1"/>
      <c r="S465" s="1"/>
      <c r="T465" s="1"/>
      <c r="U465" s="1"/>
      <c r="V465" s="1"/>
      <c r="W465" s="1"/>
      <c r="X465" s="1"/>
      <c r="Y465" s="1"/>
      <c r="Z465" s="1"/>
      <c r="AA465" s="1"/>
      <c r="AB465" s="1"/>
    </row>
    <row r="466" spans="2:28" ht="11.25" customHeight="1" x14ac:dyDescent="0.25">
      <c r="B466" s="16"/>
      <c r="C466" s="1"/>
      <c r="D466" s="1"/>
      <c r="E466" s="1"/>
      <c r="F466" s="1"/>
      <c r="G466" s="22"/>
      <c r="H466" s="22"/>
      <c r="I466" s="1"/>
      <c r="J466" s="1"/>
      <c r="K466" s="1"/>
      <c r="L466" s="1"/>
      <c r="M466" s="262"/>
      <c r="N466" s="1"/>
      <c r="O466" s="1"/>
      <c r="P466" s="1"/>
      <c r="Q466" s="1"/>
      <c r="R466" s="1"/>
      <c r="S466" s="1"/>
      <c r="T466" s="1"/>
      <c r="U466" s="1"/>
      <c r="V466" s="1"/>
      <c r="W466" s="1"/>
      <c r="X466" s="1"/>
      <c r="Y466" s="1"/>
      <c r="Z466" s="1"/>
      <c r="AA466" s="1"/>
      <c r="AB466" s="1"/>
    </row>
    <row r="467" spans="2:28" ht="11.25" customHeight="1" x14ac:dyDescent="0.25">
      <c r="B467" s="16"/>
      <c r="C467" s="1"/>
      <c r="D467" s="1"/>
      <c r="E467" s="1"/>
      <c r="F467" s="1"/>
      <c r="G467" s="22"/>
      <c r="H467" s="22"/>
      <c r="I467" s="1"/>
      <c r="J467" s="1"/>
      <c r="K467" s="1"/>
      <c r="L467" s="1"/>
      <c r="M467" s="262"/>
      <c r="N467" s="1"/>
      <c r="O467" s="1"/>
      <c r="P467" s="1"/>
      <c r="Q467" s="1"/>
      <c r="R467" s="1"/>
      <c r="S467" s="1"/>
      <c r="T467" s="1"/>
      <c r="U467" s="1"/>
      <c r="V467" s="1"/>
      <c r="W467" s="1"/>
      <c r="X467" s="1"/>
      <c r="Y467" s="1"/>
      <c r="Z467" s="1"/>
      <c r="AA467" s="1"/>
      <c r="AB467" s="1"/>
    </row>
    <row r="468" spans="2:28" ht="11.25" customHeight="1" x14ac:dyDescent="0.25">
      <c r="B468" s="16"/>
      <c r="C468" s="1"/>
      <c r="D468" s="1"/>
      <c r="E468" s="1"/>
      <c r="F468" s="1"/>
      <c r="G468" s="22"/>
      <c r="H468" s="22"/>
      <c r="I468" s="1"/>
      <c r="J468" s="1"/>
      <c r="K468" s="1"/>
      <c r="L468" s="1"/>
      <c r="M468" s="262"/>
      <c r="N468" s="1"/>
      <c r="O468" s="1"/>
      <c r="P468" s="1"/>
      <c r="Q468" s="1"/>
      <c r="R468" s="1"/>
      <c r="S468" s="1"/>
      <c r="T468" s="1"/>
      <c r="U468" s="1"/>
      <c r="V468" s="1"/>
      <c r="W468" s="1"/>
      <c r="X468" s="1"/>
      <c r="Y468" s="1"/>
      <c r="Z468" s="1"/>
      <c r="AA468" s="1"/>
      <c r="AB468" s="1"/>
    </row>
    <row r="469" spans="2:28" ht="11.25" customHeight="1" x14ac:dyDescent="0.25">
      <c r="B469" s="16"/>
      <c r="C469" s="1"/>
      <c r="D469" s="1"/>
      <c r="E469" s="1"/>
      <c r="F469" s="1"/>
      <c r="G469" s="22"/>
      <c r="H469" s="22"/>
      <c r="I469" s="1"/>
      <c r="J469" s="1"/>
      <c r="K469" s="1"/>
      <c r="L469" s="1"/>
      <c r="M469" s="262"/>
      <c r="N469" s="1"/>
      <c r="O469" s="1"/>
      <c r="P469" s="1"/>
      <c r="Q469" s="1"/>
      <c r="R469" s="1"/>
      <c r="S469" s="1"/>
      <c r="T469" s="1"/>
      <c r="U469" s="1"/>
      <c r="V469" s="1"/>
      <c r="W469" s="1"/>
      <c r="X469" s="1"/>
      <c r="Y469" s="1"/>
      <c r="Z469" s="1"/>
      <c r="AA469" s="1"/>
      <c r="AB469" s="1"/>
    </row>
    <row r="470" spans="2:28" ht="11.25" customHeight="1" x14ac:dyDescent="0.25">
      <c r="B470" s="16"/>
      <c r="C470" s="1"/>
      <c r="D470" s="1"/>
      <c r="E470" s="1"/>
      <c r="F470" s="1"/>
      <c r="G470" s="22"/>
      <c r="H470" s="22"/>
      <c r="I470" s="1"/>
      <c r="J470" s="1"/>
      <c r="K470" s="1"/>
      <c r="L470" s="1"/>
      <c r="M470" s="262"/>
      <c r="N470" s="1"/>
      <c r="O470" s="1"/>
      <c r="P470" s="1"/>
      <c r="Q470" s="1"/>
      <c r="R470" s="1"/>
      <c r="S470" s="1"/>
      <c r="T470" s="1"/>
      <c r="U470" s="1"/>
      <c r="V470" s="1"/>
      <c r="W470" s="1"/>
      <c r="X470" s="1"/>
      <c r="Y470" s="1"/>
      <c r="Z470" s="1"/>
      <c r="AA470" s="1"/>
      <c r="AB470" s="1"/>
    </row>
    <row r="471" spans="2:28" ht="11.25" customHeight="1" x14ac:dyDescent="0.25">
      <c r="B471" s="16"/>
      <c r="C471" s="1"/>
      <c r="D471" s="1"/>
      <c r="E471" s="1"/>
      <c r="F471" s="1"/>
      <c r="G471" s="22"/>
      <c r="H471" s="22"/>
      <c r="I471" s="1"/>
      <c r="J471" s="1"/>
      <c r="K471" s="1"/>
      <c r="L471" s="1"/>
      <c r="M471" s="262"/>
      <c r="N471" s="1"/>
      <c r="O471" s="1"/>
      <c r="P471" s="1"/>
      <c r="Q471" s="1"/>
      <c r="R471" s="1"/>
      <c r="S471" s="1"/>
      <c r="T471" s="1"/>
      <c r="U471" s="1"/>
      <c r="V471" s="1"/>
      <c r="W471" s="1"/>
      <c r="X471" s="1"/>
      <c r="Y471" s="1"/>
      <c r="Z471" s="1"/>
      <c r="AA471" s="1"/>
      <c r="AB471" s="1"/>
    </row>
    <row r="472" spans="2:28" ht="11.25" customHeight="1" x14ac:dyDescent="0.25">
      <c r="B472" s="16"/>
      <c r="C472" s="1"/>
      <c r="D472" s="1"/>
      <c r="E472" s="1"/>
      <c r="F472" s="1"/>
      <c r="G472" s="22"/>
      <c r="H472" s="22"/>
      <c r="I472" s="1"/>
      <c r="J472" s="1"/>
      <c r="K472" s="1"/>
      <c r="L472" s="1"/>
      <c r="M472" s="262"/>
      <c r="N472" s="1"/>
      <c r="O472" s="1"/>
      <c r="P472" s="1"/>
      <c r="Q472" s="1"/>
      <c r="R472" s="1"/>
      <c r="S472" s="1"/>
      <c r="T472" s="1"/>
      <c r="U472" s="1"/>
      <c r="V472" s="1"/>
      <c r="W472" s="1"/>
      <c r="X472" s="1"/>
      <c r="Y472" s="1"/>
      <c r="Z472" s="1"/>
      <c r="AA472" s="1"/>
      <c r="AB472" s="1"/>
    </row>
    <row r="473" spans="2:28" ht="11.25" customHeight="1" x14ac:dyDescent="0.25">
      <c r="B473" s="16"/>
      <c r="C473" s="1"/>
      <c r="D473" s="1"/>
      <c r="E473" s="1"/>
      <c r="F473" s="1"/>
      <c r="G473" s="22"/>
      <c r="H473" s="22"/>
      <c r="I473" s="1"/>
      <c r="J473" s="1"/>
      <c r="K473" s="1"/>
      <c r="L473" s="1"/>
      <c r="M473" s="262"/>
      <c r="N473" s="1"/>
      <c r="O473" s="1"/>
      <c r="P473" s="1"/>
      <c r="Q473" s="1"/>
      <c r="R473" s="1"/>
      <c r="S473" s="1"/>
      <c r="T473" s="1"/>
      <c r="U473" s="1"/>
      <c r="V473" s="1"/>
      <c r="W473" s="1"/>
      <c r="X473" s="1"/>
      <c r="Y473" s="1"/>
      <c r="Z473" s="1"/>
      <c r="AA473" s="1"/>
      <c r="AB473" s="1"/>
    </row>
    <row r="474" spans="2:28" ht="11.25" customHeight="1" x14ac:dyDescent="0.25">
      <c r="B474" s="16"/>
      <c r="C474" s="1"/>
      <c r="D474" s="1"/>
      <c r="E474" s="1"/>
      <c r="F474" s="1"/>
      <c r="G474" s="22"/>
      <c r="H474" s="22"/>
      <c r="I474" s="1"/>
      <c r="J474" s="1"/>
      <c r="K474" s="1"/>
      <c r="L474" s="1"/>
      <c r="M474" s="262"/>
      <c r="N474" s="1"/>
      <c r="O474" s="1"/>
      <c r="P474" s="1"/>
      <c r="Q474" s="1"/>
      <c r="R474" s="1"/>
      <c r="S474" s="1"/>
      <c r="T474" s="1"/>
      <c r="U474" s="1"/>
      <c r="V474" s="1"/>
      <c r="W474" s="1"/>
      <c r="X474" s="1"/>
      <c r="Y474" s="1"/>
      <c r="Z474" s="1"/>
      <c r="AA474" s="1"/>
      <c r="AB474" s="1"/>
    </row>
    <row r="475" spans="2:28" ht="11.25" customHeight="1" x14ac:dyDescent="0.25">
      <c r="B475" s="16"/>
      <c r="C475" s="1"/>
      <c r="D475" s="1"/>
      <c r="E475" s="1"/>
      <c r="F475" s="1"/>
      <c r="G475" s="22"/>
      <c r="H475" s="22"/>
      <c r="I475" s="1"/>
      <c r="J475" s="1"/>
      <c r="K475" s="1"/>
      <c r="L475" s="1"/>
      <c r="M475" s="262"/>
      <c r="N475" s="1"/>
      <c r="O475" s="1"/>
      <c r="P475" s="1"/>
      <c r="Q475" s="1"/>
      <c r="R475" s="1"/>
      <c r="S475" s="1"/>
      <c r="T475" s="1"/>
      <c r="U475" s="1"/>
      <c r="V475" s="1"/>
      <c r="W475" s="1"/>
      <c r="X475" s="1"/>
      <c r="Y475" s="1"/>
      <c r="Z475" s="1"/>
      <c r="AA475" s="1"/>
      <c r="AB475" s="1"/>
    </row>
    <row r="476" spans="2:28" ht="11.25" customHeight="1" x14ac:dyDescent="0.25">
      <c r="B476" s="16"/>
      <c r="C476" s="1"/>
      <c r="D476" s="1"/>
      <c r="E476" s="1"/>
      <c r="F476" s="1"/>
      <c r="G476" s="22"/>
      <c r="H476" s="22"/>
      <c r="I476" s="1"/>
      <c r="J476" s="1"/>
      <c r="K476" s="1"/>
      <c r="L476" s="1"/>
      <c r="M476" s="262"/>
      <c r="N476" s="1"/>
      <c r="O476" s="1"/>
      <c r="P476" s="1"/>
      <c r="Q476" s="1"/>
      <c r="R476" s="1"/>
      <c r="S476" s="1"/>
      <c r="T476" s="1"/>
      <c r="U476" s="1"/>
      <c r="V476" s="1"/>
      <c r="W476" s="1"/>
      <c r="X476" s="1"/>
      <c r="Y476" s="1"/>
      <c r="Z476" s="1"/>
      <c r="AA476" s="1"/>
      <c r="AB476" s="1"/>
    </row>
    <row r="477" spans="2:28" ht="11.25" customHeight="1" x14ac:dyDescent="0.25">
      <c r="B477" s="16"/>
      <c r="C477" s="1"/>
      <c r="D477" s="1"/>
      <c r="E477" s="1"/>
      <c r="F477" s="1"/>
      <c r="G477" s="22"/>
      <c r="H477" s="22"/>
      <c r="I477" s="1"/>
      <c r="J477" s="1"/>
      <c r="K477" s="1"/>
      <c r="L477" s="1"/>
      <c r="M477" s="262"/>
      <c r="N477" s="1"/>
      <c r="O477" s="1"/>
      <c r="P477" s="1"/>
      <c r="Q477" s="1"/>
      <c r="R477" s="1"/>
      <c r="S477" s="1"/>
      <c r="T477" s="1"/>
      <c r="U477" s="1"/>
      <c r="V477" s="1"/>
      <c r="W477" s="1"/>
      <c r="X477" s="1"/>
      <c r="Y477" s="1"/>
      <c r="Z477" s="1"/>
      <c r="AA477" s="1"/>
      <c r="AB477" s="1"/>
    </row>
    <row r="478" spans="2:28" ht="11.25" customHeight="1" x14ac:dyDescent="0.25">
      <c r="B478" s="16"/>
      <c r="C478" s="1"/>
      <c r="D478" s="1"/>
      <c r="E478" s="1"/>
      <c r="F478" s="1"/>
      <c r="G478" s="22"/>
      <c r="H478" s="22"/>
      <c r="I478" s="1"/>
      <c r="J478" s="1"/>
      <c r="K478" s="1"/>
      <c r="L478" s="1"/>
      <c r="M478" s="262"/>
      <c r="N478" s="1"/>
      <c r="O478" s="1"/>
      <c r="P478" s="1"/>
      <c r="Q478" s="1"/>
      <c r="R478" s="1"/>
      <c r="S478" s="1"/>
      <c r="T478" s="1"/>
      <c r="U478" s="1"/>
      <c r="V478" s="1"/>
      <c r="W478" s="1"/>
      <c r="X478" s="1"/>
      <c r="Y478" s="1"/>
      <c r="Z478" s="1"/>
      <c r="AA478" s="1"/>
      <c r="AB478" s="1"/>
    </row>
    <row r="479" spans="2:28" ht="11.25" customHeight="1" x14ac:dyDescent="0.25">
      <c r="B479" s="16"/>
      <c r="C479" s="1"/>
      <c r="D479" s="1"/>
      <c r="E479" s="1"/>
      <c r="F479" s="1"/>
      <c r="G479" s="22"/>
      <c r="H479" s="22"/>
      <c r="I479" s="1"/>
      <c r="J479" s="1"/>
      <c r="K479" s="1"/>
      <c r="L479" s="1"/>
      <c r="M479" s="262"/>
      <c r="N479" s="1"/>
      <c r="O479" s="1"/>
      <c r="P479" s="1"/>
      <c r="Q479" s="1"/>
      <c r="R479" s="1"/>
      <c r="S479" s="1"/>
      <c r="T479" s="1"/>
      <c r="U479" s="1"/>
      <c r="V479" s="1"/>
      <c r="W479" s="1"/>
      <c r="X479" s="1"/>
      <c r="Y479" s="1"/>
      <c r="Z479" s="1"/>
      <c r="AA479" s="1"/>
      <c r="AB479" s="1"/>
    </row>
    <row r="480" spans="2:28" ht="11.25" customHeight="1" x14ac:dyDescent="0.25">
      <c r="B480" s="16"/>
      <c r="C480" s="1"/>
      <c r="D480" s="1"/>
      <c r="E480" s="1"/>
      <c r="F480" s="1"/>
      <c r="G480" s="22"/>
      <c r="H480" s="22"/>
      <c r="I480" s="1"/>
      <c r="J480" s="1"/>
      <c r="K480" s="1"/>
      <c r="L480" s="1"/>
      <c r="M480" s="262"/>
      <c r="N480" s="1"/>
      <c r="O480" s="1"/>
      <c r="P480" s="1"/>
      <c r="Q480" s="1"/>
      <c r="R480" s="1"/>
      <c r="S480" s="1"/>
      <c r="T480" s="1"/>
      <c r="U480" s="1"/>
      <c r="V480" s="1"/>
      <c r="W480" s="1"/>
      <c r="X480" s="1"/>
      <c r="Y480" s="1"/>
      <c r="Z480" s="1"/>
      <c r="AA480" s="1"/>
      <c r="AB480" s="1"/>
    </row>
    <row r="481" spans="2:28" ht="11.25" customHeight="1" x14ac:dyDescent="0.25">
      <c r="B481" s="16"/>
      <c r="C481" s="1"/>
      <c r="D481" s="1"/>
      <c r="E481" s="1"/>
      <c r="F481" s="1"/>
      <c r="G481" s="22"/>
      <c r="H481" s="22"/>
      <c r="I481" s="1"/>
      <c r="J481" s="1"/>
      <c r="K481" s="1"/>
      <c r="L481" s="1"/>
      <c r="M481" s="262"/>
      <c r="N481" s="1"/>
      <c r="O481" s="1"/>
      <c r="P481" s="1"/>
      <c r="Q481" s="1"/>
      <c r="R481" s="1"/>
      <c r="S481" s="1"/>
      <c r="T481" s="1"/>
      <c r="U481" s="1"/>
      <c r="V481" s="1"/>
      <c r="W481" s="1"/>
      <c r="X481" s="1"/>
      <c r="Y481" s="1"/>
      <c r="Z481" s="1"/>
      <c r="AA481" s="1"/>
      <c r="AB481" s="1"/>
    </row>
    <row r="482" spans="2:28" ht="11.25" customHeight="1" x14ac:dyDescent="0.25">
      <c r="B482" s="16"/>
      <c r="C482" s="1"/>
      <c r="D482" s="1"/>
      <c r="E482" s="1"/>
      <c r="F482" s="1"/>
      <c r="G482" s="22"/>
      <c r="H482" s="22"/>
      <c r="I482" s="1"/>
      <c r="J482" s="1"/>
      <c r="K482" s="1"/>
      <c r="L482" s="1"/>
      <c r="M482" s="262"/>
      <c r="N482" s="1"/>
      <c r="O482" s="1"/>
      <c r="P482" s="1"/>
      <c r="Q482" s="1"/>
      <c r="R482" s="1"/>
      <c r="S482" s="1"/>
      <c r="T482" s="1"/>
      <c r="U482" s="1"/>
      <c r="V482" s="1"/>
      <c r="W482" s="1"/>
      <c r="X482" s="1"/>
      <c r="Y482" s="1"/>
      <c r="Z482" s="1"/>
      <c r="AA482" s="1"/>
      <c r="AB482" s="1"/>
    </row>
    <row r="483" spans="2:28" ht="11.25" customHeight="1" x14ac:dyDescent="0.25">
      <c r="B483" s="16"/>
      <c r="C483" s="1"/>
      <c r="D483" s="1"/>
      <c r="E483" s="1"/>
      <c r="F483" s="1"/>
      <c r="G483" s="22"/>
      <c r="H483" s="22"/>
      <c r="I483" s="1"/>
      <c r="J483" s="1"/>
      <c r="K483" s="1"/>
      <c r="L483" s="1"/>
      <c r="M483" s="262"/>
      <c r="N483" s="1"/>
      <c r="O483" s="1"/>
      <c r="P483" s="1"/>
      <c r="Q483" s="1"/>
      <c r="R483" s="1"/>
      <c r="S483" s="1"/>
      <c r="T483" s="1"/>
      <c r="U483" s="1"/>
      <c r="V483" s="1"/>
      <c r="W483" s="1"/>
      <c r="X483" s="1"/>
      <c r="Y483" s="1"/>
      <c r="Z483" s="1"/>
      <c r="AA483" s="1"/>
      <c r="AB483" s="1"/>
    </row>
    <row r="484" spans="2:28" ht="11.25" customHeight="1" x14ac:dyDescent="0.25">
      <c r="B484" s="16"/>
      <c r="C484" s="1"/>
      <c r="D484" s="1"/>
      <c r="E484" s="1"/>
      <c r="F484" s="1"/>
      <c r="G484" s="22"/>
      <c r="H484" s="22"/>
      <c r="I484" s="1"/>
      <c r="J484" s="1"/>
      <c r="K484" s="1"/>
      <c r="L484" s="1"/>
      <c r="M484" s="262"/>
      <c r="N484" s="1"/>
      <c r="O484" s="1"/>
      <c r="P484" s="1"/>
      <c r="Q484" s="1"/>
      <c r="R484" s="1"/>
      <c r="S484" s="1"/>
      <c r="T484" s="1"/>
      <c r="U484" s="1"/>
      <c r="V484" s="1"/>
      <c r="W484" s="1"/>
      <c r="X484" s="1"/>
      <c r="Y484" s="1"/>
      <c r="Z484" s="1"/>
      <c r="AA484" s="1"/>
      <c r="AB484" s="1"/>
    </row>
    <row r="485" spans="2:28" ht="11.25" customHeight="1" x14ac:dyDescent="0.25">
      <c r="B485" s="16"/>
      <c r="C485" s="1"/>
      <c r="D485" s="1"/>
      <c r="E485" s="1"/>
      <c r="F485" s="1"/>
      <c r="G485" s="22"/>
      <c r="H485" s="22"/>
      <c r="I485" s="1"/>
      <c r="J485" s="1"/>
      <c r="K485" s="1"/>
      <c r="L485" s="1"/>
      <c r="M485" s="262"/>
      <c r="N485" s="1"/>
      <c r="O485" s="1"/>
      <c r="P485" s="1"/>
      <c r="Q485" s="1"/>
      <c r="R485" s="1"/>
      <c r="S485" s="1"/>
      <c r="T485" s="1"/>
      <c r="U485" s="1"/>
      <c r="V485" s="1"/>
      <c r="W485" s="1"/>
      <c r="X485" s="1"/>
      <c r="Y485" s="1"/>
      <c r="Z485" s="1"/>
      <c r="AA485" s="1"/>
      <c r="AB485" s="1"/>
    </row>
    <row r="486" spans="2:28" ht="11.25" customHeight="1" x14ac:dyDescent="0.25">
      <c r="B486" s="16"/>
      <c r="C486" s="1"/>
      <c r="D486" s="1"/>
      <c r="E486" s="1"/>
      <c r="F486" s="1"/>
      <c r="G486" s="22"/>
      <c r="H486" s="22"/>
      <c r="I486" s="1"/>
      <c r="J486" s="1"/>
      <c r="K486" s="1"/>
      <c r="L486" s="1"/>
      <c r="M486" s="262"/>
      <c r="N486" s="1"/>
      <c r="O486" s="1"/>
      <c r="P486" s="1"/>
      <c r="Q486" s="1"/>
      <c r="R486" s="1"/>
      <c r="S486" s="1"/>
      <c r="T486" s="1"/>
      <c r="U486" s="1"/>
      <c r="V486" s="1"/>
      <c r="W486" s="1"/>
      <c r="X486" s="1"/>
      <c r="Y486" s="1"/>
      <c r="Z486" s="1"/>
      <c r="AA486" s="1"/>
      <c r="AB486" s="1"/>
    </row>
    <row r="487" spans="2:28" ht="11.25" customHeight="1" x14ac:dyDescent="0.25">
      <c r="B487" s="16"/>
      <c r="C487" s="1"/>
      <c r="D487" s="1"/>
      <c r="E487" s="1"/>
      <c r="F487" s="1"/>
      <c r="G487" s="22"/>
      <c r="H487" s="22"/>
      <c r="I487" s="1"/>
      <c r="J487" s="1"/>
      <c r="K487" s="1"/>
      <c r="L487" s="1"/>
      <c r="M487" s="262"/>
      <c r="N487" s="1"/>
      <c r="O487" s="1"/>
      <c r="P487" s="1"/>
      <c r="Q487" s="1"/>
      <c r="R487" s="1"/>
      <c r="S487" s="1"/>
      <c r="T487" s="1"/>
      <c r="U487" s="1"/>
      <c r="V487" s="1"/>
      <c r="W487" s="1"/>
      <c r="X487" s="1"/>
      <c r="Y487" s="1"/>
      <c r="Z487" s="1"/>
      <c r="AA487" s="1"/>
      <c r="AB487" s="1"/>
    </row>
    <row r="488" spans="2:28" ht="11.25" customHeight="1" x14ac:dyDescent="0.25">
      <c r="B488" s="16"/>
      <c r="C488" s="1"/>
      <c r="D488" s="1"/>
      <c r="E488" s="1"/>
      <c r="F488" s="1"/>
      <c r="G488" s="22"/>
      <c r="H488" s="22"/>
      <c r="I488" s="1"/>
      <c r="J488" s="1"/>
      <c r="K488" s="1"/>
      <c r="L488" s="1"/>
      <c r="M488" s="262"/>
      <c r="N488" s="1"/>
      <c r="O488" s="1"/>
      <c r="P488" s="1"/>
      <c r="Q488" s="1"/>
      <c r="R488" s="1"/>
      <c r="S488" s="1"/>
      <c r="T488" s="1"/>
      <c r="U488" s="1"/>
      <c r="V488" s="1"/>
      <c r="W488" s="1"/>
      <c r="X488" s="1"/>
      <c r="Y488" s="1"/>
      <c r="Z488" s="1"/>
      <c r="AA488" s="1"/>
      <c r="AB488" s="1"/>
    </row>
    <row r="489" spans="2:28" ht="11.25" customHeight="1" x14ac:dyDescent="0.25">
      <c r="B489" s="16"/>
      <c r="C489" s="1"/>
      <c r="D489" s="1"/>
      <c r="E489" s="1"/>
      <c r="F489" s="1"/>
      <c r="G489" s="22"/>
      <c r="H489" s="22"/>
      <c r="I489" s="1"/>
      <c r="J489" s="1"/>
      <c r="K489" s="1"/>
      <c r="L489" s="1"/>
      <c r="M489" s="262"/>
      <c r="N489" s="1"/>
      <c r="O489" s="1"/>
      <c r="P489" s="1"/>
      <c r="Q489" s="1"/>
      <c r="R489" s="1"/>
      <c r="S489" s="1"/>
      <c r="T489" s="1"/>
      <c r="U489" s="1"/>
      <c r="V489" s="1"/>
      <c r="W489" s="1"/>
      <c r="X489" s="1"/>
      <c r="Y489" s="1"/>
      <c r="Z489" s="1"/>
      <c r="AA489" s="1"/>
      <c r="AB489" s="1"/>
    </row>
    <row r="490" spans="2:28" ht="11.25" customHeight="1" x14ac:dyDescent="0.25">
      <c r="B490" s="16"/>
      <c r="C490" s="1"/>
      <c r="D490" s="1"/>
      <c r="E490" s="1"/>
      <c r="F490" s="1"/>
      <c r="G490" s="22"/>
      <c r="H490" s="22"/>
      <c r="I490" s="1"/>
      <c r="J490" s="1"/>
      <c r="K490" s="1"/>
      <c r="L490" s="1"/>
      <c r="M490" s="262"/>
      <c r="N490" s="1"/>
      <c r="O490" s="1"/>
      <c r="P490" s="1"/>
      <c r="Q490" s="1"/>
      <c r="R490" s="1"/>
      <c r="S490" s="1"/>
      <c r="T490" s="1"/>
      <c r="U490" s="1"/>
      <c r="V490" s="1"/>
      <c r="W490" s="1"/>
      <c r="X490" s="1"/>
      <c r="Y490" s="1"/>
      <c r="Z490" s="1"/>
      <c r="AA490" s="1"/>
      <c r="AB490" s="1"/>
    </row>
    <row r="491" spans="2:28" ht="11.25" customHeight="1" x14ac:dyDescent="0.25">
      <c r="B491" s="16"/>
      <c r="C491" s="1"/>
      <c r="D491" s="1"/>
      <c r="E491" s="1"/>
      <c r="F491" s="1"/>
      <c r="G491" s="22"/>
      <c r="H491" s="22"/>
      <c r="I491" s="1"/>
      <c r="J491" s="1"/>
      <c r="K491" s="1"/>
      <c r="L491" s="1"/>
      <c r="M491" s="262"/>
      <c r="N491" s="1"/>
      <c r="O491" s="1"/>
      <c r="P491" s="1"/>
      <c r="Q491" s="1"/>
      <c r="R491" s="1"/>
      <c r="S491" s="1"/>
      <c r="T491" s="1"/>
      <c r="U491" s="1"/>
      <c r="V491" s="1"/>
      <c r="W491" s="1"/>
      <c r="X491" s="1"/>
      <c r="Y491" s="1"/>
      <c r="Z491" s="1"/>
      <c r="AA491" s="1"/>
      <c r="AB491" s="1"/>
    </row>
    <row r="492" spans="2:28" ht="11.25" customHeight="1" x14ac:dyDescent="0.25">
      <c r="B492" s="16"/>
      <c r="C492" s="1"/>
      <c r="D492" s="1"/>
      <c r="E492" s="1"/>
      <c r="F492" s="1"/>
      <c r="G492" s="22"/>
      <c r="H492" s="22"/>
      <c r="I492" s="1"/>
      <c r="J492" s="1"/>
      <c r="K492" s="1"/>
      <c r="L492" s="1"/>
      <c r="M492" s="262"/>
      <c r="N492" s="1"/>
      <c r="O492" s="1"/>
      <c r="P492" s="1"/>
      <c r="Q492" s="1"/>
      <c r="R492" s="1"/>
      <c r="S492" s="1"/>
      <c r="T492" s="1"/>
      <c r="U492" s="1"/>
      <c r="V492" s="1"/>
      <c r="W492" s="1"/>
      <c r="X492" s="1"/>
      <c r="Y492" s="1"/>
      <c r="Z492" s="1"/>
      <c r="AA492" s="1"/>
      <c r="AB492" s="1"/>
    </row>
    <row r="493" spans="2:28" ht="11.25" customHeight="1" x14ac:dyDescent="0.25">
      <c r="B493" s="16"/>
      <c r="C493" s="1"/>
      <c r="D493" s="1"/>
      <c r="E493" s="1"/>
      <c r="F493" s="1"/>
      <c r="G493" s="22"/>
      <c r="H493" s="22"/>
      <c r="I493" s="1"/>
      <c r="J493" s="1"/>
      <c r="K493" s="1"/>
      <c r="L493" s="1"/>
      <c r="M493" s="262"/>
      <c r="N493" s="1"/>
      <c r="O493" s="1"/>
      <c r="P493" s="1"/>
      <c r="Q493" s="1"/>
      <c r="R493" s="1"/>
      <c r="S493" s="1"/>
      <c r="T493" s="1"/>
      <c r="U493" s="1"/>
      <c r="V493" s="1"/>
      <c r="W493" s="1"/>
      <c r="X493" s="1"/>
      <c r="Y493" s="1"/>
      <c r="Z493" s="1"/>
      <c r="AA493" s="1"/>
      <c r="AB493" s="1"/>
    </row>
    <row r="494" spans="2:28" ht="11.25" customHeight="1" x14ac:dyDescent="0.25">
      <c r="B494" s="16"/>
      <c r="C494" s="1"/>
      <c r="D494" s="1"/>
      <c r="E494" s="1"/>
      <c r="F494" s="1"/>
      <c r="G494" s="22"/>
      <c r="H494" s="22"/>
      <c r="I494" s="1"/>
      <c r="J494" s="1"/>
      <c r="K494" s="1"/>
      <c r="L494" s="1"/>
      <c r="M494" s="262"/>
      <c r="N494" s="1"/>
      <c r="O494" s="1"/>
      <c r="P494" s="1"/>
      <c r="Q494" s="1"/>
      <c r="R494" s="1"/>
      <c r="S494" s="1"/>
      <c r="T494" s="1"/>
      <c r="U494" s="1"/>
      <c r="V494" s="1"/>
      <c r="W494" s="1"/>
      <c r="X494" s="1"/>
      <c r="Y494" s="1"/>
      <c r="Z494" s="1"/>
      <c r="AA494" s="1"/>
      <c r="AB494" s="1"/>
    </row>
    <row r="495" spans="2:28" ht="11.25" customHeight="1" x14ac:dyDescent="0.25">
      <c r="B495" s="16"/>
      <c r="C495" s="1"/>
      <c r="D495" s="1"/>
      <c r="E495" s="1"/>
      <c r="F495" s="1"/>
      <c r="G495" s="22"/>
      <c r="H495" s="22"/>
      <c r="I495" s="1"/>
      <c r="J495" s="1"/>
      <c r="K495" s="1"/>
      <c r="L495" s="1"/>
      <c r="M495" s="262"/>
      <c r="N495" s="1"/>
      <c r="O495" s="1"/>
      <c r="P495" s="1"/>
      <c r="Q495" s="1"/>
      <c r="R495" s="1"/>
      <c r="S495" s="1"/>
      <c r="T495" s="1"/>
      <c r="U495" s="1"/>
      <c r="V495" s="1"/>
      <c r="W495" s="1"/>
      <c r="X495" s="1"/>
      <c r="Y495" s="1"/>
      <c r="Z495" s="1"/>
      <c r="AA495" s="1"/>
      <c r="AB495" s="1"/>
    </row>
    <row r="496" spans="2:28" ht="11.25" customHeight="1" x14ac:dyDescent="0.25">
      <c r="B496" s="16"/>
      <c r="C496" s="1"/>
      <c r="D496" s="1"/>
      <c r="E496" s="1"/>
      <c r="F496" s="1"/>
      <c r="G496" s="22"/>
      <c r="H496" s="22"/>
      <c r="I496" s="1"/>
      <c r="J496" s="1"/>
      <c r="K496" s="1"/>
      <c r="L496" s="1"/>
      <c r="M496" s="262"/>
      <c r="N496" s="1"/>
      <c r="O496" s="1"/>
      <c r="P496" s="1"/>
      <c r="Q496" s="1"/>
      <c r="R496" s="1"/>
      <c r="S496" s="1"/>
      <c r="T496" s="1"/>
      <c r="U496" s="1"/>
      <c r="V496" s="1"/>
      <c r="W496" s="1"/>
      <c r="X496" s="1"/>
      <c r="Y496" s="1"/>
      <c r="Z496" s="1"/>
      <c r="AA496" s="1"/>
      <c r="AB496" s="1"/>
    </row>
    <row r="497" spans="2:28" ht="11.25" customHeight="1" x14ac:dyDescent="0.25">
      <c r="B497" s="16"/>
      <c r="C497" s="1"/>
      <c r="D497" s="1"/>
      <c r="E497" s="1"/>
      <c r="F497" s="1"/>
      <c r="G497" s="22"/>
      <c r="H497" s="22"/>
      <c r="I497" s="1"/>
      <c r="J497" s="1"/>
      <c r="K497" s="1"/>
      <c r="L497" s="1"/>
      <c r="M497" s="262"/>
      <c r="N497" s="1"/>
      <c r="O497" s="1"/>
      <c r="P497" s="1"/>
      <c r="Q497" s="1"/>
      <c r="R497" s="1"/>
      <c r="S497" s="1"/>
      <c r="T497" s="1"/>
      <c r="U497" s="1"/>
      <c r="V497" s="1"/>
      <c r="W497" s="1"/>
      <c r="X497" s="1"/>
      <c r="Y497" s="1"/>
      <c r="Z497" s="1"/>
      <c r="AA497" s="1"/>
      <c r="AB497" s="1"/>
    </row>
    <row r="498" spans="2:28" ht="11.25" customHeight="1" x14ac:dyDescent="0.25">
      <c r="B498" s="16"/>
      <c r="C498" s="1"/>
      <c r="D498" s="1"/>
      <c r="E498" s="1"/>
      <c r="F498" s="1"/>
      <c r="G498" s="22"/>
      <c r="H498" s="22"/>
      <c r="I498" s="1"/>
      <c r="J498" s="1"/>
      <c r="K498" s="1"/>
      <c r="L498" s="1"/>
      <c r="M498" s="262"/>
      <c r="N498" s="1"/>
      <c r="O498" s="1"/>
      <c r="P498" s="1"/>
      <c r="Q498" s="1"/>
      <c r="R498" s="1"/>
      <c r="S498" s="1"/>
      <c r="T498" s="1"/>
      <c r="U498" s="1"/>
      <c r="V498" s="1"/>
      <c r="W498" s="1"/>
      <c r="X498" s="1"/>
      <c r="Y498" s="1"/>
      <c r="Z498" s="1"/>
      <c r="AA498" s="1"/>
      <c r="AB498" s="1"/>
    </row>
    <row r="499" spans="2:28" ht="11.25" customHeight="1" x14ac:dyDescent="0.25">
      <c r="B499" s="16"/>
      <c r="C499" s="1"/>
      <c r="D499" s="1"/>
      <c r="E499" s="1"/>
      <c r="F499" s="1"/>
      <c r="G499" s="22"/>
      <c r="H499" s="22"/>
      <c r="I499" s="1"/>
      <c r="J499" s="1"/>
      <c r="K499" s="1"/>
      <c r="L499" s="1"/>
      <c r="M499" s="262"/>
      <c r="N499" s="1"/>
      <c r="O499" s="1"/>
      <c r="P499" s="1"/>
      <c r="Q499" s="1"/>
      <c r="R499" s="1"/>
      <c r="S499" s="1"/>
      <c r="T499" s="1"/>
      <c r="U499" s="1"/>
      <c r="V499" s="1"/>
      <c r="W499" s="1"/>
      <c r="X499" s="1"/>
      <c r="Y499" s="1"/>
      <c r="Z499" s="1"/>
      <c r="AA499" s="1"/>
      <c r="AB499" s="1"/>
    </row>
    <row r="500" spans="2:28" ht="11.25" customHeight="1" x14ac:dyDescent="0.25">
      <c r="B500" s="16"/>
      <c r="C500" s="1"/>
      <c r="D500" s="1"/>
      <c r="E500" s="1"/>
      <c r="F500" s="1"/>
      <c r="G500" s="22"/>
      <c r="H500" s="22"/>
      <c r="I500" s="1"/>
      <c r="J500" s="1"/>
      <c r="K500" s="1"/>
      <c r="L500" s="1"/>
      <c r="M500" s="262"/>
      <c r="N500" s="1"/>
      <c r="O500" s="1"/>
      <c r="P500" s="1"/>
      <c r="Q500" s="1"/>
      <c r="R500" s="1"/>
      <c r="S500" s="1"/>
      <c r="T500" s="1"/>
      <c r="U500" s="1"/>
      <c r="V500" s="1"/>
      <c r="W500" s="1"/>
      <c r="X500" s="1"/>
      <c r="Y500" s="1"/>
      <c r="Z500" s="1"/>
      <c r="AA500" s="1"/>
      <c r="AB500" s="1"/>
    </row>
    <row r="501" spans="2:28" ht="11.25" customHeight="1" x14ac:dyDescent="0.25">
      <c r="B501" s="16"/>
      <c r="C501" s="1"/>
      <c r="D501" s="1"/>
      <c r="E501" s="1"/>
      <c r="F501" s="1"/>
      <c r="G501" s="22"/>
      <c r="H501" s="22"/>
      <c r="I501" s="1"/>
      <c r="J501" s="1"/>
      <c r="K501" s="1"/>
      <c r="L501" s="1"/>
      <c r="M501" s="262"/>
      <c r="N501" s="1"/>
      <c r="O501" s="1"/>
      <c r="P501" s="1"/>
      <c r="Q501" s="1"/>
      <c r="R501" s="1"/>
      <c r="S501" s="1"/>
      <c r="T501" s="1"/>
      <c r="U501" s="1"/>
      <c r="V501" s="1"/>
      <c r="W501" s="1"/>
      <c r="X501" s="1"/>
      <c r="Y501" s="1"/>
      <c r="Z501" s="1"/>
      <c r="AA501" s="1"/>
      <c r="AB501" s="1"/>
    </row>
    <row r="502" spans="2:28" ht="11.25" customHeight="1" x14ac:dyDescent="0.25">
      <c r="B502" s="16"/>
      <c r="C502" s="1"/>
      <c r="D502" s="1"/>
      <c r="E502" s="1"/>
      <c r="F502" s="1"/>
      <c r="G502" s="22"/>
      <c r="H502" s="22"/>
      <c r="I502" s="1"/>
      <c r="J502" s="1"/>
      <c r="K502" s="1"/>
      <c r="L502" s="1"/>
      <c r="M502" s="262"/>
      <c r="N502" s="1"/>
      <c r="O502" s="1"/>
      <c r="P502" s="1"/>
      <c r="Q502" s="1"/>
      <c r="R502" s="1"/>
      <c r="S502" s="1"/>
      <c r="T502" s="1"/>
      <c r="U502" s="1"/>
      <c r="V502" s="1"/>
      <c r="W502" s="1"/>
      <c r="X502" s="1"/>
      <c r="Y502" s="1"/>
      <c r="Z502" s="1"/>
      <c r="AA502" s="1"/>
      <c r="AB502" s="1"/>
    </row>
    <row r="503" spans="2:28" ht="11.25" customHeight="1" x14ac:dyDescent="0.25">
      <c r="B503" s="16"/>
      <c r="C503" s="1"/>
      <c r="D503" s="1"/>
      <c r="E503" s="1"/>
      <c r="F503" s="1"/>
      <c r="G503" s="22"/>
      <c r="H503" s="22"/>
      <c r="I503" s="1"/>
      <c r="J503" s="1"/>
      <c r="K503" s="1"/>
      <c r="L503" s="1"/>
      <c r="M503" s="262"/>
      <c r="N503" s="1"/>
      <c r="O503" s="1"/>
      <c r="P503" s="1"/>
      <c r="Q503" s="1"/>
      <c r="R503" s="1"/>
      <c r="S503" s="1"/>
      <c r="T503" s="1"/>
      <c r="U503" s="1"/>
      <c r="V503" s="1"/>
      <c r="W503" s="1"/>
      <c r="X503" s="1"/>
      <c r="Y503" s="1"/>
      <c r="Z503" s="1"/>
      <c r="AA503" s="1"/>
      <c r="AB503" s="1"/>
    </row>
    <row r="504" spans="2:28" ht="11.25" customHeight="1" x14ac:dyDescent="0.25">
      <c r="B504" s="16"/>
      <c r="C504" s="1"/>
      <c r="D504" s="1"/>
      <c r="E504" s="1"/>
      <c r="F504" s="1"/>
      <c r="G504" s="22"/>
      <c r="H504" s="22"/>
      <c r="I504" s="1"/>
      <c r="J504" s="1"/>
      <c r="K504" s="1"/>
      <c r="L504" s="1"/>
      <c r="M504" s="262"/>
      <c r="N504" s="1"/>
      <c r="O504" s="1"/>
      <c r="P504" s="1"/>
      <c r="Q504" s="1"/>
      <c r="R504" s="1"/>
      <c r="S504" s="1"/>
      <c r="T504" s="1"/>
      <c r="U504" s="1"/>
      <c r="V504" s="1"/>
      <c r="W504" s="1"/>
      <c r="X504" s="1"/>
      <c r="Y504" s="1"/>
      <c r="Z504" s="1"/>
      <c r="AA504" s="1"/>
      <c r="AB504" s="1"/>
    </row>
    <row r="505" spans="2:28" ht="11.25" customHeight="1" x14ac:dyDescent="0.25">
      <c r="B505" s="16"/>
      <c r="C505" s="1"/>
      <c r="D505" s="1"/>
      <c r="E505" s="1"/>
      <c r="F505" s="1"/>
      <c r="G505" s="22"/>
      <c r="H505" s="22"/>
      <c r="I505" s="1"/>
      <c r="J505" s="1"/>
      <c r="K505" s="1"/>
      <c r="L505" s="1"/>
      <c r="M505" s="262"/>
      <c r="N505" s="1"/>
      <c r="O505" s="1"/>
      <c r="P505" s="1"/>
      <c r="Q505" s="1"/>
      <c r="R505" s="1"/>
      <c r="S505" s="1"/>
      <c r="T505" s="1"/>
      <c r="U505" s="1"/>
      <c r="V505" s="1"/>
      <c r="W505" s="1"/>
      <c r="X505" s="1"/>
      <c r="Y505" s="1"/>
      <c r="Z505" s="1"/>
      <c r="AA505" s="1"/>
      <c r="AB505" s="1"/>
    </row>
    <row r="506" spans="2:28" ht="11.25" customHeight="1" x14ac:dyDescent="0.25">
      <c r="B506" s="16"/>
      <c r="C506" s="1"/>
      <c r="D506" s="1"/>
      <c r="E506" s="1"/>
      <c r="F506" s="1"/>
      <c r="G506" s="22"/>
      <c r="H506" s="22"/>
      <c r="I506" s="1"/>
      <c r="J506" s="1"/>
      <c r="K506" s="1"/>
      <c r="L506" s="1"/>
      <c r="M506" s="262"/>
      <c r="N506" s="1"/>
      <c r="O506" s="1"/>
      <c r="P506" s="1"/>
      <c r="Q506" s="1"/>
      <c r="R506" s="1"/>
      <c r="S506" s="1"/>
      <c r="T506" s="1"/>
      <c r="U506" s="1"/>
      <c r="V506" s="1"/>
      <c r="W506" s="1"/>
      <c r="X506" s="1"/>
      <c r="Y506" s="1"/>
      <c r="Z506" s="1"/>
      <c r="AA506" s="1"/>
      <c r="AB506" s="1"/>
    </row>
    <row r="507" spans="2:28" ht="11.25" customHeight="1" x14ac:dyDescent="0.25">
      <c r="B507" s="16"/>
      <c r="C507" s="1"/>
      <c r="D507" s="1"/>
      <c r="E507" s="1"/>
      <c r="F507" s="1"/>
      <c r="G507" s="22"/>
      <c r="H507" s="22"/>
      <c r="I507" s="1"/>
      <c r="J507" s="1"/>
      <c r="K507" s="1"/>
      <c r="L507" s="1"/>
      <c r="M507" s="262"/>
      <c r="N507" s="1"/>
      <c r="O507" s="1"/>
      <c r="P507" s="1"/>
      <c r="Q507" s="1"/>
      <c r="R507" s="1"/>
      <c r="S507" s="1"/>
      <c r="T507" s="1"/>
      <c r="U507" s="1"/>
      <c r="V507" s="1"/>
      <c r="W507" s="1"/>
      <c r="X507" s="1"/>
      <c r="Y507" s="1"/>
      <c r="Z507" s="1"/>
      <c r="AA507" s="1"/>
      <c r="AB507" s="1"/>
    </row>
    <row r="508" spans="2:28" ht="11.25" customHeight="1" x14ac:dyDescent="0.25">
      <c r="B508" s="16"/>
      <c r="C508" s="1"/>
      <c r="D508" s="1"/>
      <c r="E508" s="1"/>
      <c r="F508" s="1"/>
      <c r="G508" s="22"/>
      <c r="H508" s="22"/>
      <c r="I508" s="1"/>
      <c r="J508" s="1"/>
      <c r="K508" s="1"/>
      <c r="L508" s="1"/>
      <c r="M508" s="262"/>
      <c r="N508" s="1"/>
      <c r="O508" s="1"/>
      <c r="P508" s="1"/>
      <c r="Q508" s="1"/>
      <c r="R508" s="1"/>
      <c r="S508" s="1"/>
      <c r="T508" s="1"/>
      <c r="U508" s="1"/>
      <c r="V508" s="1"/>
      <c r="W508" s="1"/>
      <c r="X508" s="1"/>
      <c r="Y508" s="1"/>
      <c r="Z508" s="1"/>
      <c r="AA508" s="1"/>
      <c r="AB508" s="1"/>
    </row>
    <row r="509" spans="2:28" ht="11.25" customHeight="1" x14ac:dyDescent="0.25">
      <c r="B509" s="16"/>
      <c r="C509" s="1"/>
      <c r="D509" s="1"/>
      <c r="E509" s="1"/>
      <c r="F509" s="1"/>
      <c r="G509" s="22"/>
      <c r="H509" s="22"/>
      <c r="I509" s="1"/>
      <c r="J509" s="1"/>
      <c r="K509" s="1"/>
      <c r="L509" s="1"/>
      <c r="M509" s="262"/>
      <c r="N509" s="1"/>
      <c r="O509" s="1"/>
      <c r="P509" s="1"/>
      <c r="Q509" s="1"/>
      <c r="R509" s="1"/>
      <c r="S509" s="1"/>
      <c r="T509" s="1"/>
      <c r="U509" s="1"/>
      <c r="V509" s="1"/>
      <c r="W509" s="1"/>
      <c r="X509" s="1"/>
      <c r="Y509" s="1"/>
      <c r="Z509" s="1"/>
      <c r="AA509" s="1"/>
      <c r="AB509" s="1"/>
    </row>
    <row r="510" spans="2:28" ht="11.25" customHeight="1" x14ac:dyDescent="0.25">
      <c r="B510" s="16"/>
      <c r="C510" s="1"/>
      <c r="D510" s="1"/>
      <c r="E510" s="1"/>
      <c r="F510" s="1"/>
      <c r="G510" s="22"/>
      <c r="H510" s="22"/>
      <c r="I510" s="1"/>
      <c r="J510" s="1"/>
      <c r="K510" s="1"/>
      <c r="L510" s="1"/>
      <c r="M510" s="262"/>
      <c r="N510" s="1"/>
      <c r="O510" s="1"/>
      <c r="P510" s="1"/>
      <c r="Q510" s="1"/>
      <c r="R510" s="1"/>
      <c r="S510" s="1"/>
      <c r="T510" s="1"/>
      <c r="U510" s="1"/>
      <c r="V510" s="1"/>
      <c r="W510" s="1"/>
      <c r="X510" s="1"/>
      <c r="Y510" s="1"/>
      <c r="Z510" s="1"/>
      <c r="AA510" s="1"/>
      <c r="AB510" s="1"/>
    </row>
    <row r="511" spans="2:28" ht="11.25" customHeight="1" x14ac:dyDescent="0.25">
      <c r="B511" s="16"/>
      <c r="C511" s="1"/>
      <c r="D511" s="1"/>
      <c r="E511" s="1"/>
      <c r="F511" s="1"/>
      <c r="G511" s="22"/>
      <c r="H511" s="22"/>
      <c r="I511" s="1"/>
      <c r="J511" s="1"/>
      <c r="K511" s="1"/>
      <c r="L511" s="1"/>
      <c r="M511" s="262"/>
      <c r="N511" s="1"/>
      <c r="O511" s="1"/>
      <c r="P511" s="1"/>
      <c r="Q511" s="1"/>
      <c r="R511" s="1"/>
      <c r="S511" s="1"/>
      <c r="T511" s="1"/>
      <c r="U511" s="1"/>
      <c r="V511" s="1"/>
      <c r="W511" s="1"/>
      <c r="X511" s="1"/>
      <c r="Y511" s="1"/>
      <c r="Z511" s="1"/>
      <c r="AA511" s="1"/>
      <c r="AB511" s="1"/>
    </row>
    <row r="512" spans="2:28" ht="11.25" customHeight="1" x14ac:dyDescent="0.25">
      <c r="B512" s="16"/>
      <c r="C512" s="1"/>
      <c r="D512" s="1"/>
      <c r="E512" s="1"/>
      <c r="F512" s="1"/>
      <c r="G512" s="22"/>
      <c r="H512" s="22"/>
      <c r="I512" s="1"/>
      <c r="J512" s="1"/>
      <c r="K512" s="1"/>
      <c r="L512" s="1"/>
      <c r="M512" s="262"/>
      <c r="N512" s="1"/>
      <c r="O512" s="1"/>
      <c r="P512" s="1"/>
      <c r="Q512" s="1"/>
      <c r="R512" s="1"/>
      <c r="S512" s="1"/>
      <c r="T512" s="1"/>
      <c r="U512" s="1"/>
      <c r="V512" s="1"/>
      <c r="W512" s="1"/>
      <c r="X512" s="1"/>
      <c r="Y512" s="1"/>
      <c r="Z512" s="1"/>
      <c r="AA512" s="1"/>
      <c r="AB512" s="1"/>
    </row>
    <row r="513" spans="2:28" ht="11.25" customHeight="1" x14ac:dyDescent="0.25">
      <c r="B513" s="16"/>
      <c r="C513" s="1"/>
      <c r="D513" s="1"/>
      <c r="E513" s="1"/>
      <c r="F513" s="1"/>
      <c r="G513" s="22"/>
      <c r="H513" s="22"/>
      <c r="I513" s="1"/>
      <c r="J513" s="1"/>
      <c r="K513" s="1"/>
      <c r="L513" s="1"/>
      <c r="M513" s="262"/>
      <c r="N513" s="1"/>
      <c r="O513" s="1"/>
      <c r="P513" s="1"/>
      <c r="Q513" s="1"/>
      <c r="R513" s="1"/>
      <c r="S513" s="1"/>
      <c r="T513" s="1"/>
      <c r="U513" s="1"/>
      <c r="V513" s="1"/>
      <c r="W513" s="1"/>
      <c r="X513" s="1"/>
      <c r="Y513" s="1"/>
      <c r="Z513" s="1"/>
      <c r="AA513" s="1"/>
      <c r="AB513" s="1"/>
    </row>
    <row r="514" spans="2:28" ht="11.25" customHeight="1" x14ac:dyDescent="0.25">
      <c r="B514" s="16"/>
      <c r="C514" s="1"/>
      <c r="D514" s="1"/>
      <c r="E514" s="1"/>
      <c r="F514" s="1"/>
      <c r="G514" s="22"/>
      <c r="H514" s="22"/>
      <c r="I514" s="1"/>
      <c r="J514" s="1"/>
      <c r="K514" s="1"/>
      <c r="L514" s="1"/>
      <c r="M514" s="262"/>
      <c r="N514" s="1"/>
      <c r="O514" s="1"/>
      <c r="P514" s="1"/>
      <c r="Q514" s="1"/>
      <c r="R514" s="1"/>
      <c r="S514" s="1"/>
      <c r="T514" s="1"/>
      <c r="U514" s="1"/>
      <c r="V514" s="1"/>
      <c r="W514" s="1"/>
      <c r="X514" s="1"/>
      <c r="Y514" s="1"/>
      <c r="Z514" s="1"/>
      <c r="AA514" s="1"/>
      <c r="AB514" s="1"/>
    </row>
    <row r="515" spans="2:28" ht="11.25" customHeight="1" x14ac:dyDescent="0.25">
      <c r="B515" s="16"/>
      <c r="C515" s="1"/>
      <c r="D515" s="1"/>
      <c r="E515" s="1"/>
      <c r="F515" s="1"/>
      <c r="G515" s="22"/>
      <c r="H515" s="22"/>
      <c r="I515" s="1"/>
      <c r="J515" s="1"/>
      <c r="K515" s="1"/>
      <c r="L515" s="1"/>
      <c r="M515" s="262"/>
      <c r="N515" s="1"/>
      <c r="O515" s="1"/>
      <c r="P515" s="1"/>
      <c r="Q515" s="1"/>
      <c r="R515" s="1"/>
      <c r="S515" s="1"/>
      <c r="T515" s="1"/>
      <c r="U515" s="1"/>
      <c r="V515" s="1"/>
      <c r="W515" s="1"/>
      <c r="X515" s="1"/>
      <c r="Y515" s="1"/>
      <c r="Z515" s="1"/>
      <c r="AA515" s="1"/>
      <c r="AB515" s="1"/>
    </row>
    <row r="516" spans="2:28" ht="11.25" customHeight="1" x14ac:dyDescent="0.25">
      <c r="B516" s="16"/>
      <c r="C516" s="1"/>
      <c r="D516" s="1"/>
      <c r="E516" s="1"/>
      <c r="F516" s="1"/>
      <c r="G516" s="22"/>
      <c r="H516" s="22"/>
      <c r="I516" s="1"/>
      <c r="J516" s="1"/>
      <c r="K516" s="1"/>
      <c r="L516" s="1"/>
      <c r="M516" s="262"/>
      <c r="N516" s="1"/>
      <c r="O516" s="1"/>
      <c r="P516" s="1"/>
      <c r="Q516" s="1"/>
      <c r="R516" s="1"/>
      <c r="S516" s="1"/>
      <c r="T516" s="1"/>
      <c r="U516" s="1"/>
      <c r="V516" s="1"/>
      <c r="W516" s="1"/>
      <c r="X516" s="1"/>
      <c r="Y516" s="1"/>
      <c r="Z516" s="1"/>
      <c r="AA516" s="1"/>
      <c r="AB516" s="1"/>
    </row>
    <row r="517" spans="2:28" ht="11.25" customHeight="1" x14ac:dyDescent="0.25">
      <c r="B517" s="16"/>
      <c r="C517" s="1"/>
      <c r="D517" s="1"/>
      <c r="E517" s="1"/>
      <c r="F517" s="1"/>
      <c r="G517" s="22"/>
      <c r="H517" s="22"/>
      <c r="I517" s="1"/>
      <c r="J517" s="1"/>
      <c r="K517" s="1"/>
      <c r="L517" s="1"/>
      <c r="M517" s="262"/>
      <c r="N517" s="1"/>
      <c r="O517" s="1"/>
      <c r="P517" s="1"/>
      <c r="Q517" s="1"/>
      <c r="R517" s="1"/>
      <c r="S517" s="1"/>
      <c r="T517" s="1"/>
      <c r="U517" s="1"/>
      <c r="V517" s="1"/>
      <c r="W517" s="1"/>
      <c r="X517" s="1"/>
      <c r="Y517" s="1"/>
      <c r="Z517" s="1"/>
      <c r="AA517" s="1"/>
      <c r="AB517" s="1"/>
    </row>
    <row r="518" spans="2:28" ht="11.25" customHeight="1" x14ac:dyDescent="0.25">
      <c r="B518" s="16"/>
      <c r="C518" s="1"/>
      <c r="D518" s="1"/>
      <c r="E518" s="1"/>
      <c r="F518" s="1"/>
      <c r="G518" s="22"/>
      <c r="H518" s="22"/>
      <c r="I518" s="1"/>
      <c r="J518" s="1"/>
      <c r="K518" s="1"/>
      <c r="L518" s="1"/>
      <c r="M518" s="262"/>
      <c r="N518" s="1"/>
      <c r="O518" s="1"/>
      <c r="P518" s="1"/>
      <c r="Q518" s="1"/>
      <c r="R518" s="1"/>
      <c r="S518" s="1"/>
      <c r="T518" s="1"/>
      <c r="U518" s="1"/>
      <c r="V518" s="1"/>
      <c r="W518" s="1"/>
      <c r="X518" s="1"/>
      <c r="Y518" s="1"/>
      <c r="Z518" s="1"/>
      <c r="AA518" s="1"/>
      <c r="AB518" s="1"/>
    </row>
    <row r="519" spans="2:28" ht="11.25" customHeight="1" x14ac:dyDescent="0.25">
      <c r="B519" s="16"/>
      <c r="C519" s="1"/>
      <c r="D519" s="1"/>
      <c r="E519" s="1"/>
      <c r="F519" s="1"/>
      <c r="G519" s="22"/>
      <c r="H519" s="22"/>
      <c r="I519" s="1"/>
      <c r="J519" s="1"/>
      <c r="K519" s="1"/>
      <c r="L519" s="1"/>
      <c r="M519" s="262"/>
      <c r="N519" s="1"/>
      <c r="O519" s="1"/>
      <c r="P519" s="1"/>
      <c r="Q519" s="1"/>
      <c r="R519" s="1"/>
      <c r="S519" s="1"/>
      <c r="T519" s="1"/>
      <c r="U519" s="1"/>
      <c r="V519" s="1"/>
      <c r="W519" s="1"/>
      <c r="X519" s="1"/>
      <c r="Y519" s="1"/>
      <c r="Z519" s="1"/>
      <c r="AA519" s="1"/>
      <c r="AB519" s="1"/>
    </row>
    <row r="520" spans="2:28" ht="11.25" customHeight="1" x14ac:dyDescent="0.25">
      <c r="B520" s="16"/>
      <c r="C520" s="1"/>
      <c r="D520" s="1"/>
      <c r="E520" s="1"/>
      <c r="F520" s="1"/>
      <c r="G520" s="22"/>
      <c r="H520" s="22"/>
      <c r="I520" s="1"/>
      <c r="J520" s="1"/>
      <c r="K520" s="1"/>
      <c r="L520" s="1"/>
      <c r="M520" s="262"/>
      <c r="N520" s="1"/>
      <c r="O520" s="1"/>
      <c r="P520" s="1"/>
      <c r="Q520" s="1"/>
      <c r="R520" s="1"/>
      <c r="S520" s="1"/>
      <c r="T520" s="1"/>
      <c r="U520" s="1"/>
      <c r="V520" s="1"/>
      <c r="W520" s="1"/>
      <c r="X520" s="1"/>
      <c r="Y520" s="1"/>
      <c r="Z520" s="1"/>
      <c r="AA520" s="1"/>
      <c r="AB520" s="1"/>
    </row>
    <row r="521" spans="2:28" ht="11.25" customHeight="1" x14ac:dyDescent="0.25">
      <c r="B521" s="16"/>
      <c r="C521" s="1"/>
      <c r="D521" s="1"/>
      <c r="E521" s="1"/>
      <c r="F521" s="1"/>
      <c r="G521" s="22"/>
      <c r="H521" s="22"/>
      <c r="I521" s="1"/>
      <c r="J521" s="1"/>
      <c r="K521" s="1"/>
      <c r="L521" s="1"/>
      <c r="M521" s="262"/>
      <c r="N521" s="1"/>
      <c r="O521" s="1"/>
      <c r="P521" s="1"/>
      <c r="Q521" s="1"/>
      <c r="R521" s="1"/>
      <c r="S521" s="1"/>
      <c r="T521" s="1"/>
      <c r="U521" s="1"/>
      <c r="V521" s="1"/>
      <c r="W521" s="1"/>
      <c r="X521" s="1"/>
      <c r="Y521" s="1"/>
      <c r="Z521" s="1"/>
      <c r="AA521" s="1"/>
      <c r="AB521" s="1"/>
    </row>
    <row r="522" spans="2:28" ht="11.25" customHeight="1" x14ac:dyDescent="0.25">
      <c r="B522" s="16"/>
      <c r="C522" s="1"/>
      <c r="D522" s="1"/>
      <c r="E522" s="1"/>
      <c r="F522" s="1"/>
      <c r="G522" s="22"/>
      <c r="H522" s="22"/>
      <c r="I522" s="1"/>
      <c r="J522" s="1"/>
      <c r="K522" s="1"/>
      <c r="L522" s="1"/>
      <c r="M522" s="262"/>
      <c r="N522" s="1"/>
      <c r="O522" s="1"/>
      <c r="P522" s="1"/>
      <c r="Q522" s="1"/>
      <c r="R522" s="1"/>
      <c r="S522" s="1"/>
      <c r="T522" s="1"/>
      <c r="U522" s="1"/>
      <c r="V522" s="1"/>
      <c r="W522" s="1"/>
      <c r="X522" s="1"/>
      <c r="Y522" s="1"/>
      <c r="Z522" s="1"/>
      <c r="AA522" s="1"/>
      <c r="AB522" s="1"/>
    </row>
    <row r="523" spans="2:28" ht="11.25" customHeight="1" x14ac:dyDescent="0.25">
      <c r="B523" s="16"/>
      <c r="C523" s="1"/>
      <c r="D523" s="1"/>
      <c r="E523" s="1"/>
      <c r="F523" s="1"/>
      <c r="G523" s="22"/>
      <c r="H523" s="22"/>
      <c r="I523" s="1"/>
      <c r="J523" s="1"/>
      <c r="K523" s="1"/>
      <c r="L523" s="1"/>
      <c r="M523" s="262"/>
      <c r="N523" s="1"/>
      <c r="O523" s="1"/>
      <c r="P523" s="1"/>
      <c r="Q523" s="1"/>
      <c r="R523" s="1"/>
      <c r="S523" s="1"/>
      <c r="T523" s="1"/>
      <c r="U523" s="1"/>
      <c r="V523" s="1"/>
      <c r="W523" s="1"/>
      <c r="X523" s="1"/>
      <c r="Y523" s="1"/>
      <c r="Z523" s="1"/>
      <c r="AA523" s="1"/>
      <c r="AB523" s="1"/>
    </row>
    <row r="524" spans="2:28" ht="11.25" customHeight="1" x14ac:dyDescent="0.25">
      <c r="B524" s="16"/>
      <c r="C524" s="1"/>
      <c r="D524" s="1"/>
      <c r="E524" s="1"/>
      <c r="F524" s="1"/>
      <c r="G524" s="22"/>
      <c r="H524" s="22"/>
      <c r="I524" s="1"/>
      <c r="J524" s="1"/>
      <c r="K524" s="1"/>
      <c r="L524" s="1"/>
      <c r="M524" s="262"/>
      <c r="N524" s="1"/>
      <c r="O524" s="1"/>
      <c r="P524" s="1"/>
      <c r="Q524" s="1"/>
      <c r="R524" s="1"/>
      <c r="S524" s="1"/>
      <c r="T524" s="1"/>
      <c r="U524" s="1"/>
      <c r="V524" s="1"/>
      <c r="W524" s="1"/>
      <c r="X524" s="1"/>
      <c r="Y524" s="1"/>
      <c r="Z524" s="1"/>
      <c r="AA524" s="1"/>
      <c r="AB524" s="1"/>
    </row>
    <row r="525" spans="2:28" ht="11.25" customHeight="1" x14ac:dyDescent="0.25">
      <c r="B525" s="16"/>
      <c r="C525" s="1"/>
      <c r="D525" s="1"/>
      <c r="E525" s="1"/>
      <c r="F525" s="1"/>
      <c r="G525" s="22"/>
      <c r="H525" s="22"/>
      <c r="I525" s="1"/>
      <c r="J525" s="1"/>
      <c r="K525" s="1"/>
      <c r="L525" s="1"/>
      <c r="M525" s="262"/>
      <c r="N525" s="1"/>
      <c r="O525" s="1"/>
      <c r="P525" s="1"/>
      <c r="Q525" s="1"/>
      <c r="R525" s="1"/>
      <c r="S525" s="1"/>
      <c r="T525" s="1"/>
      <c r="U525" s="1"/>
      <c r="V525" s="1"/>
      <c r="W525" s="1"/>
      <c r="X525" s="1"/>
      <c r="Y525" s="1"/>
      <c r="Z525" s="1"/>
      <c r="AA525" s="1"/>
      <c r="AB525" s="1"/>
    </row>
    <row r="526" spans="2:28" ht="11.25" customHeight="1" x14ac:dyDescent="0.25">
      <c r="B526" s="16"/>
      <c r="C526" s="1"/>
      <c r="D526" s="1"/>
      <c r="E526" s="1"/>
      <c r="F526" s="1"/>
      <c r="G526" s="22"/>
      <c r="H526" s="22"/>
      <c r="I526" s="1"/>
      <c r="J526" s="1"/>
      <c r="K526" s="1"/>
      <c r="L526" s="1"/>
      <c r="M526" s="262"/>
      <c r="N526" s="1"/>
      <c r="O526" s="1"/>
      <c r="P526" s="1"/>
      <c r="Q526" s="1"/>
      <c r="R526" s="1"/>
      <c r="S526" s="1"/>
      <c r="T526" s="1"/>
      <c r="U526" s="1"/>
      <c r="V526" s="1"/>
      <c r="W526" s="1"/>
      <c r="X526" s="1"/>
      <c r="Y526" s="1"/>
      <c r="Z526" s="1"/>
      <c r="AA526" s="1"/>
      <c r="AB526" s="1"/>
    </row>
    <row r="527" spans="2:28" ht="11.25" customHeight="1" x14ac:dyDescent="0.25">
      <c r="B527" s="16"/>
      <c r="C527" s="1"/>
      <c r="D527" s="1"/>
      <c r="E527" s="1"/>
      <c r="F527" s="1"/>
      <c r="G527" s="22"/>
      <c r="H527" s="22"/>
      <c r="I527" s="1"/>
      <c r="J527" s="1"/>
      <c r="K527" s="1"/>
      <c r="L527" s="1"/>
      <c r="M527" s="262"/>
      <c r="N527" s="1"/>
      <c r="O527" s="1"/>
      <c r="P527" s="1"/>
      <c r="Q527" s="1"/>
      <c r="R527" s="1"/>
      <c r="S527" s="1"/>
      <c r="T527" s="1"/>
      <c r="U527" s="1"/>
      <c r="V527" s="1"/>
      <c r="W527" s="1"/>
      <c r="X527" s="1"/>
      <c r="Y527" s="1"/>
      <c r="Z527" s="1"/>
      <c r="AA527" s="1"/>
      <c r="AB527" s="1"/>
    </row>
    <row r="528" spans="2:28" ht="11.25" customHeight="1" x14ac:dyDescent="0.25">
      <c r="B528" s="16"/>
      <c r="C528" s="1"/>
      <c r="D528" s="1"/>
      <c r="E528" s="1"/>
      <c r="F528" s="1"/>
      <c r="G528" s="22"/>
      <c r="H528" s="22"/>
      <c r="I528" s="1"/>
      <c r="J528" s="1"/>
      <c r="K528" s="1"/>
      <c r="L528" s="1"/>
      <c r="M528" s="262"/>
      <c r="N528" s="1"/>
      <c r="O528" s="1"/>
      <c r="P528" s="1"/>
      <c r="Q528" s="1"/>
      <c r="R528" s="1"/>
      <c r="S528" s="1"/>
      <c r="T528" s="1"/>
      <c r="U528" s="1"/>
      <c r="V528" s="1"/>
      <c r="W528" s="1"/>
      <c r="X528" s="1"/>
      <c r="Y528" s="1"/>
      <c r="Z528" s="1"/>
      <c r="AA528" s="1"/>
      <c r="AB528" s="1"/>
    </row>
    <row r="529" spans="2:28" ht="11.25" customHeight="1" x14ac:dyDescent="0.25">
      <c r="B529" s="16"/>
      <c r="C529" s="1"/>
      <c r="D529" s="1"/>
      <c r="E529" s="1"/>
      <c r="F529" s="1"/>
      <c r="G529" s="22"/>
      <c r="H529" s="22"/>
      <c r="I529" s="1"/>
      <c r="J529" s="1"/>
      <c r="K529" s="1"/>
      <c r="L529" s="1"/>
      <c r="M529" s="262"/>
      <c r="N529" s="1"/>
      <c r="O529" s="1"/>
      <c r="P529" s="1"/>
      <c r="Q529" s="1"/>
      <c r="R529" s="1"/>
      <c r="S529" s="1"/>
      <c r="T529" s="1"/>
      <c r="U529" s="1"/>
      <c r="V529" s="1"/>
      <c r="W529" s="1"/>
      <c r="X529" s="1"/>
      <c r="Y529" s="1"/>
      <c r="Z529" s="1"/>
      <c r="AA529" s="1"/>
      <c r="AB529" s="1"/>
    </row>
    <row r="530" spans="2:28" ht="11.25" customHeight="1" x14ac:dyDescent="0.25">
      <c r="B530" s="16"/>
      <c r="C530" s="1"/>
      <c r="D530" s="1"/>
      <c r="E530" s="1"/>
      <c r="F530" s="1"/>
      <c r="G530" s="22"/>
      <c r="H530" s="22"/>
      <c r="I530" s="1"/>
      <c r="J530" s="1"/>
      <c r="K530" s="1"/>
      <c r="L530" s="1"/>
      <c r="M530" s="262"/>
      <c r="N530" s="1"/>
      <c r="O530" s="1"/>
      <c r="P530" s="1"/>
      <c r="Q530" s="1"/>
      <c r="R530" s="1"/>
      <c r="S530" s="1"/>
      <c r="T530" s="1"/>
      <c r="U530" s="1"/>
      <c r="V530" s="1"/>
      <c r="W530" s="1"/>
      <c r="X530" s="1"/>
      <c r="Y530" s="1"/>
      <c r="Z530" s="1"/>
      <c r="AA530" s="1"/>
      <c r="AB530" s="1"/>
    </row>
    <row r="531" spans="2:28" ht="11.25" customHeight="1" x14ac:dyDescent="0.25">
      <c r="B531" s="16"/>
      <c r="C531" s="1"/>
      <c r="D531" s="1"/>
      <c r="E531" s="1"/>
      <c r="F531" s="1"/>
      <c r="G531" s="22"/>
      <c r="H531" s="22"/>
      <c r="I531" s="1"/>
      <c r="J531" s="1"/>
      <c r="K531" s="1"/>
      <c r="L531" s="1"/>
      <c r="M531" s="262"/>
      <c r="N531" s="1"/>
      <c r="O531" s="1"/>
      <c r="P531" s="1"/>
      <c r="Q531" s="1"/>
      <c r="R531" s="1"/>
      <c r="S531" s="1"/>
      <c r="T531" s="1"/>
      <c r="U531" s="1"/>
      <c r="V531" s="1"/>
      <c r="W531" s="1"/>
      <c r="X531" s="1"/>
      <c r="Y531" s="1"/>
      <c r="Z531" s="1"/>
      <c r="AA531" s="1"/>
      <c r="AB531" s="1"/>
    </row>
    <row r="532" spans="2:28" ht="11.25" customHeight="1" x14ac:dyDescent="0.25">
      <c r="B532" s="16"/>
      <c r="C532" s="1"/>
      <c r="D532" s="1"/>
      <c r="E532" s="1"/>
      <c r="F532" s="1"/>
      <c r="G532" s="22"/>
      <c r="H532" s="22"/>
      <c r="I532" s="1"/>
      <c r="J532" s="1"/>
      <c r="K532" s="1"/>
      <c r="L532" s="1"/>
      <c r="M532" s="262"/>
      <c r="N532" s="1"/>
      <c r="O532" s="1"/>
      <c r="P532" s="1"/>
      <c r="Q532" s="1"/>
      <c r="R532" s="1"/>
      <c r="S532" s="1"/>
      <c r="T532" s="1"/>
      <c r="U532" s="1"/>
      <c r="V532" s="1"/>
      <c r="W532" s="1"/>
      <c r="X532" s="1"/>
      <c r="Y532" s="1"/>
      <c r="Z532" s="1"/>
      <c r="AA532" s="1"/>
      <c r="AB532" s="1"/>
    </row>
    <row r="533" spans="2:28" ht="11.25" customHeight="1" x14ac:dyDescent="0.25">
      <c r="B533" s="16"/>
      <c r="C533" s="1"/>
      <c r="D533" s="1"/>
      <c r="E533" s="1"/>
      <c r="F533" s="1"/>
      <c r="G533" s="22"/>
      <c r="H533" s="22"/>
      <c r="I533" s="1"/>
      <c r="J533" s="1"/>
      <c r="K533" s="1"/>
      <c r="L533" s="1"/>
      <c r="M533" s="262"/>
      <c r="N533" s="1"/>
      <c r="O533" s="1"/>
      <c r="P533" s="1"/>
      <c r="Q533" s="1"/>
      <c r="R533" s="1"/>
      <c r="S533" s="1"/>
      <c r="T533" s="1"/>
      <c r="U533" s="1"/>
      <c r="V533" s="1"/>
      <c r="W533" s="1"/>
      <c r="X533" s="1"/>
      <c r="Y533" s="1"/>
      <c r="Z533" s="1"/>
      <c r="AA533" s="1"/>
      <c r="AB533" s="1"/>
    </row>
    <row r="534" spans="2:28" ht="11.25" customHeight="1" x14ac:dyDescent="0.25">
      <c r="B534" s="16"/>
      <c r="C534" s="1"/>
      <c r="D534" s="1"/>
      <c r="E534" s="1"/>
      <c r="F534" s="1"/>
      <c r="G534" s="22"/>
      <c r="H534" s="22"/>
      <c r="I534" s="1"/>
      <c r="J534" s="1"/>
      <c r="K534" s="1"/>
      <c r="L534" s="1"/>
      <c r="M534" s="262"/>
      <c r="N534" s="1"/>
      <c r="O534" s="1"/>
      <c r="P534" s="1"/>
      <c r="Q534" s="1"/>
      <c r="R534" s="1"/>
      <c r="S534" s="1"/>
      <c r="T534" s="1"/>
      <c r="U534" s="1"/>
      <c r="V534" s="1"/>
      <c r="W534" s="1"/>
      <c r="X534" s="1"/>
      <c r="Y534" s="1"/>
      <c r="Z534" s="1"/>
      <c r="AA534" s="1"/>
      <c r="AB534" s="1"/>
    </row>
    <row r="535" spans="2:28" ht="11.25" customHeight="1" x14ac:dyDescent="0.25">
      <c r="B535" s="16"/>
      <c r="C535" s="1"/>
      <c r="D535" s="1"/>
      <c r="E535" s="1"/>
      <c r="F535" s="1"/>
      <c r="G535" s="22"/>
      <c r="H535" s="22"/>
      <c r="I535" s="1"/>
      <c r="J535" s="1"/>
      <c r="K535" s="1"/>
      <c r="L535" s="1"/>
      <c r="M535" s="262"/>
      <c r="N535" s="1"/>
      <c r="O535" s="1"/>
      <c r="P535" s="1"/>
      <c r="Q535" s="1"/>
      <c r="R535" s="1"/>
      <c r="S535" s="1"/>
      <c r="T535" s="1"/>
      <c r="U535" s="1"/>
      <c r="V535" s="1"/>
      <c r="W535" s="1"/>
      <c r="X535" s="1"/>
      <c r="Y535" s="1"/>
      <c r="Z535" s="1"/>
      <c r="AA535" s="1"/>
      <c r="AB535" s="1"/>
    </row>
    <row r="536" spans="2:28" ht="11.25" customHeight="1" x14ac:dyDescent="0.25">
      <c r="B536" s="16"/>
      <c r="C536" s="1"/>
      <c r="D536" s="1"/>
      <c r="E536" s="1"/>
      <c r="F536" s="1"/>
      <c r="G536" s="22"/>
      <c r="H536" s="22"/>
      <c r="I536" s="1"/>
      <c r="J536" s="1"/>
      <c r="K536" s="1"/>
      <c r="L536" s="1"/>
      <c r="M536" s="262"/>
      <c r="N536" s="1"/>
      <c r="O536" s="1"/>
      <c r="P536" s="1"/>
      <c r="Q536" s="1"/>
      <c r="R536" s="1"/>
      <c r="S536" s="1"/>
      <c r="T536" s="1"/>
      <c r="U536" s="1"/>
      <c r="V536" s="1"/>
      <c r="W536" s="1"/>
      <c r="X536" s="1"/>
      <c r="Y536" s="1"/>
      <c r="Z536" s="1"/>
      <c r="AA536" s="1"/>
      <c r="AB536" s="1"/>
    </row>
    <row r="537" spans="2:28" ht="11.25" customHeight="1" x14ac:dyDescent="0.25">
      <c r="B537" s="16"/>
      <c r="C537" s="1"/>
      <c r="D537" s="1"/>
      <c r="E537" s="1"/>
      <c r="F537" s="1"/>
      <c r="G537" s="22"/>
      <c r="H537" s="22"/>
      <c r="I537" s="1"/>
      <c r="J537" s="1"/>
      <c r="K537" s="1"/>
      <c r="L537" s="1"/>
      <c r="M537" s="262"/>
      <c r="N537" s="1"/>
      <c r="O537" s="1"/>
      <c r="P537" s="1"/>
      <c r="Q537" s="1"/>
      <c r="R537" s="1"/>
      <c r="S537" s="1"/>
      <c r="T537" s="1"/>
      <c r="U537" s="1"/>
      <c r="V537" s="1"/>
      <c r="W537" s="1"/>
      <c r="X537" s="1"/>
      <c r="Y537" s="1"/>
      <c r="Z537" s="1"/>
      <c r="AA537" s="1"/>
      <c r="AB537" s="1"/>
    </row>
    <row r="538" spans="2:28" ht="11.25" customHeight="1" x14ac:dyDescent="0.25">
      <c r="B538" s="16"/>
      <c r="C538" s="1"/>
      <c r="D538" s="1"/>
      <c r="E538" s="1"/>
      <c r="F538" s="1"/>
      <c r="G538" s="22"/>
      <c r="H538" s="22"/>
      <c r="I538" s="1"/>
      <c r="J538" s="1"/>
      <c r="K538" s="1"/>
      <c r="L538" s="1"/>
      <c r="M538" s="262"/>
      <c r="N538" s="1"/>
      <c r="O538" s="1"/>
      <c r="P538" s="1"/>
      <c r="Q538" s="1"/>
      <c r="R538" s="1"/>
      <c r="S538" s="1"/>
      <c r="T538" s="1"/>
      <c r="U538" s="1"/>
      <c r="V538" s="1"/>
      <c r="W538" s="1"/>
      <c r="X538" s="1"/>
      <c r="Y538" s="1"/>
      <c r="Z538" s="1"/>
      <c r="AA538" s="1"/>
      <c r="AB538" s="1"/>
    </row>
    <row r="539" spans="2:28" ht="11.25" customHeight="1" x14ac:dyDescent="0.25">
      <c r="B539" s="16"/>
      <c r="C539" s="1"/>
      <c r="D539" s="1"/>
      <c r="E539" s="1"/>
      <c r="F539" s="1"/>
      <c r="G539" s="22"/>
      <c r="H539" s="22"/>
      <c r="I539" s="1"/>
      <c r="J539" s="1"/>
      <c r="K539" s="1"/>
      <c r="L539" s="1"/>
      <c r="M539" s="262"/>
      <c r="N539" s="1"/>
      <c r="O539" s="1"/>
      <c r="P539" s="1"/>
      <c r="Q539" s="1"/>
      <c r="R539" s="1"/>
      <c r="S539" s="1"/>
      <c r="T539" s="1"/>
      <c r="U539" s="1"/>
      <c r="V539" s="1"/>
      <c r="W539" s="1"/>
      <c r="X539" s="1"/>
      <c r="Y539" s="1"/>
      <c r="Z539" s="1"/>
      <c r="AA539" s="1"/>
      <c r="AB539" s="1"/>
    </row>
    <row r="540" spans="2:28" ht="11.25" customHeight="1" x14ac:dyDescent="0.25">
      <c r="B540" s="16"/>
      <c r="C540" s="1"/>
      <c r="D540" s="1"/>
      <c r="E540" s="1"/>
      <c r="F540" s="1"/>
      <c r="G540" s="22"/>
      <c r="H540" s="22"/>
      <c r="I540" s="1"/>
      <c r="J540" s="1"/>
      <c r="K540" s="1"/>
      <c r="L540" s="1"/>
      <c r="M540" s="262"/>
      <c r="N540" s="1"/>
      <c r="O540" s="1"/>
      <c r="P540" s="1"/>
      <c r="Q540" s="1"/>
      <c r="R540" s="1"/>
      <c r="S540" s="1"/>
      <c r="T540" s="1"/>
      <c r="U540" s="1"/>
      <c r="V540" s="1"/>
      <c r="W540" s="1"/>
      <c r="X540" s="1"/>
      <c r="Y540" s="1"/>
      <c r="Z540" s="1"/>
      <c r="AA540" s="1"/>
      <c r="AB540" s="1"/>
    </row>
    <row r="541" spans="2:28" ht="11.25" customHeight="1" x14ac:dyDescent="0.25">
      <c r="B541" s="16"/>
      <c r="C541" s="1"/>
      <c r="D541" s="1"/>
      <c r="E541" s="1"/>
      <c r="F541" s="1"/>
      <c r="G541" s="22"/>
      <c r="H541" s="22"/>
      <c r="I541" s="1"/>
      <c r="J541" s="1"/>
      <c r="K541" s="1"/>
      <c r="L541" s="1"/>
      <c r="M541" s="262"/>
      <c r="N541" s="1"/>
      <c r="O541" s="1"/>
      <c r="P541" s="1"/>
      <c r="Q541" s="1"/>
      <c r="R541" s="1"/>
      <c r="S541" s="1"/>
      <c r="T541" s="1"/>
      <c r="U541" s="1"/>
      <c r="V541" s="1"/>
      <c r="W541" s="1"/>
      <c r="X541" s="1"/>
      <c r="Y541" s="1"/>
      <c r="Z541" s="1"/>
      <c r="AA541" s="1"/>
      <c r="AB541" s="1"/>
    </row>
    <row r="542" spans="2:28" ht="11.25" customHeight="1" x14ac:dyDescent="0.25">
      <c r="B542" s="16"/>
      <c r="C542" s="1"/>
      <c r="D542" s="1"/>
      <c r="E542" s="1"/>
      <c r="F542" s="1"/>
      <c r="G542" s="22"/>
      <c r="H542" s="22"/>
      <c r="I542" s="1"/>
      <c r="J542" s="1"/>
      <c r="K542" s="1"/>
      <c r="L542" s="1"/>
      <c r="M542" s="262"/>
      <c r="N542" s="1"/>
      <c r="O542" s="1"/>
      <c r="P542" s="1"/>
      <c r="Q542" s="1"/>
      <c r="R542" s="1"/>
      <c r="S542" s="1"/>
      <c r="T542" s="1"/>
      <c r="U542" s="1"/>
      <c r="V542" s="1"/>
      <c r="W542" s="1"/>
      <c r="X542" s="1"/>
      <c r="Y542" s="1"/>
      <c r="Z542" s="1"/>
      <c r="AA542" s="1"/>
      <c r="AB542" s="1"/>
    </row>
    <row r="543" spans="2:28" ht="11.25" customHeight="1" x14ac:dyDescent="0.25">
      <c r="B543" s="16"/>
      <c r="C543" s="1"/>
      <c r="D543" s="1"/>
      <c r="E543" s="1"/>
      <c r="F543" s="1"/>
      <c r="G543" s="22"/>
      <c r="H543" s="22"/>
      <c r="I543" s="1"/>
      <c r="J543" s="1"/>
      <c r="K543" s="1"/>
      <c r="L543" s="1"/>
      <c r="M543" s="262"/>
      <c r="N543" s="1"/>
      <c r="O543" s="1"/>
      <c r="P543" s="1"/>
      <c r="Q543" s="1"/>
      <c r="R543" s="1"/>
      <c r="S543" s="1"/>
      <c r="T543" s="1"/>
      <c r="U543" s="1"/>
      <c r="V543" s="1"/>
      <c r="W543" s="1"/>
      <c r="X543" s="1"/>
      <c r="Y543" s="1"/>
      <c r="Z543" s="1"/>
      <c r="AA543" s="1"/>
      <c r="AB543" s="1"/>
    </row>
    <row r="544" spans="2:28" ht="11.25" customHeight="1" x14ac:dyDescent="0.25">
      <c r="B544" s="16"/>
      <c r="C544" s="1"/>
      <c r="D544" s="1"/>
      <c r="E544" s="1"/>
      <c r="F544" s="1"/>
      <c r="G544" s="22"/>
      <c r="H544" s="22"/>
      <c r="I544" s="1"/>
      <c r="J544" s="1"/>
      <c r="K544" s="1"/>
      <c r="L544" s="1"/>
      <c r="M544" s="262"/>
      <c r="N544" s="1"/>
      <c r="O544" s="1"/>
      <c r="P544" s="1"/>
      <c r="Q544" s="1"/>
      <c r="R544" s="1"/>
      <c r="S544" s="1"/>
      <c r="T544" s="1"/>
      <c r="U544" s="1"/>
      <c r="V544" s="1"/>
      <c r="W544" s="1"/>
      <c r="X544" s="1"/>
      <c r="Y544" s="1"/>
      <c r="Z544" s="1"/>
      <c r="AA544" s="1"/>
      <c r="AB544" s="1"/>
    </row>
    <row r="545" spans="2:28" ht="11.25" customHeight="1" x14ac:dyDescent="0.25">
      <c r="B545" s="16"/>
      <c r="C545" s="1"/>
      <c r="D545" s="1"/>
      <c r="E545" s="1"/>
      <c r="F545" s="1"/>
      <c r="G545" s="22"/>
      <c r="H545" s="22"/>
      <c r="I545" s="1"/>
      <c r="J545" s="1"/>
      <c r="K545" s="1"/>
      <c r="L545" s="1"/>
      <c r="M545" s="262"/>
      <c r="N545" s="1"/>
      <c r="O545" s="1"/>
      <c r="P545" s="1"/>
      <c r="Q545" s="1"/>
      <c r="R545" s="1"/>
      <c r="S545" s="1"/>
      <c r="T545" s="1"/>
      <c r="U545" s="1"/>
      <c r="V545" s="1"/>
      <c r="W545" s="1"/>
      <c r="X545" s="1"/>
      <c r="Y545" s="1"/>
      <c r="Z545" s="1"/>
      <c r="AA545" s="1"/>
      <c r="AB545" s="1"/>
    </row>
    <row r="546" spans="2:28" ht="11.25" customHeight="1" x14ac:dyDescent="0.25">
      <c r="B546" s="16"/>
      <c r="C546" s="1"/>
      <c r="D546" s="1"/>
      <c r="E546" s="1"/>
      <c r="F546" s="1"/>
      <c r="G546" s="22"/>
      <c r="H546" s="22"/>
      <c r="I546" s="1"/>
      <c r="J546" s="1"/>
      <c r="K546" s="1"/>
      <c r="L546" s="1"/>
      <c r="M546" s="262"/>
      <c r="N546" s="1"/>
      <c r="O546" s="1"/>
      <c r="P546" s="1"/>
      <c r="Q546" s="1"/>
      <c r="R546" s="1"/>
      <c r="S546" s="1"/>
      <c r="T546" s="1"/>
      <c r="U546" s="1"/>
      <c r="V546" s="1"/>
      <c r="W546" s="1"/>
      <c r="X546" s="1"/>
      <c r="Y546" s="1"/>
      <c r="Z546" s="1"/>
      <c r="AA546" s="1"/>
      <c r="AB546" s="1"/>
    </row>
    <row r="547" spans="2:28" ht="11.25" customHeight="1" x14ac:dyDescent="0.25">
      <c r="B547" s="16"/>
      <c r="C547" s="1"/>
      <c r="D547" s="1"/>
      <c r="E547" s="1"/>
      <c r="F547" s="1"/>
      <c r="G547" s="22"/>
      <c r="H547" s="22"/>
      <c r="I547" s="1"/>
      <c r="J547" s="1"/>
      <c r="K547" s="1"/>
      <c r="L547" s="1"/>
      <c r="M547" s="262"/>
      <c r="N547" s="1"/>
      <c r="O547" s="1"/>
      <c r="P547" s="1"/>
      <c r="Q547" s="1"/>
      <c r="R547" s="1"/>
      <c r="S547" s="1"/>
      <c r="T547" s="1"/>
      <c r="U547" s="1"/>
      <c r="V547" s="1"/>
      <c r="W547" s="1"/>
      <c r="X547" s="1"/>
      <c r="Y547" s="1"/>
      <c r="Z547" s="1"/>
      <c r="AA547" s="1"/>
      <c r="AB547" s="1"/>
    </row>
    <row r="548" spans="2:28" ht="11.25" customHeight="1" x14ac:dyDescent="0.25">
      <c r="B548" s="16"/>
      <c r="C548" s="1"/>
      <c r="D548" s="1"/>
      <c r="E548" s="1"/>
      <c r="F548" s="1"/>
      <c r="G548" s="22"/>
      <c r="H548" s="22"/>
      <c r="I548" s="1"/>
      <c r="J548" s="1"/>
      <c r="K548" s="1"/>
      <c r="L548" s="1"/>
      <c r="M548" s="262"/>
      <c r="N548" s="1"/>
      <c r="O548" s="1"/>
      <c r="P548" s="1"/>
      <c r="Q548" s="1"/>
      <c r="R548" s="1"/>
      <c r="S548" s="1"/>
      <c r="T548" s="1"/>
      <c r="U548" s="1"/>
      <c r="V548" s="1"/>
      <c r="W548" s="1"/>
      <c r="X548" s="1"/>
      <c r="Y548" s="1"/>
      <c r="Z548" s="1"/>
      <c r="AA548" s="1"/>
      <c r="AB548" s="1"/>
    </row>
    <row r="549" spans="2:28" ht="11.25" customHeight="1" x14ac:dyDescent="0.25">
      <c r="B549" s="16"/>
      <c r="C549" s="1"/>
      <c r="D549" s="1"/>
      <c r="E549" s="1"/>
      <c r="F549" s="1"/>
      <c r="G549" s="22"/>
      <c r="H549" s="22"/>
      <c r="I549" s="1"/>
      <c r="J549" s="1"/>
      <c r="K549" s="1"/>
      <c r="L549" s="1"/>
      <c r="M549" s="262"/>
      <c r="N549" s="1"/>
      <c r="O549" s="1"/>
      <c r="P549" s="1"/>
      <c r="Q549" s="1"/>
      <c r="R549" s="1"/>
      <c r="S549" s="1"/>
      <c r="T549" s="1"/>
      <c r="U549" s="1"/>
      <c r="V549" s="1"/>
      <c r="W549" s="1"/>
      <c r="X549" s="1"/>
      <c r="Y549" s="1"/>
      <c r="Z549" s="1"/>
      <c r="AA549" s="1"/>
      <c r="AB549" s="1"/>
    </row>
    <row r="550" spans="2:28" ht="11.25" customHeight="1" x14ac:dyDescent="0.25">
      <c r="B550" s="16"/>
      <c r="C550" s="1"/>
      <c r="D550" s="1"/>
      <c r="E550" s="1"/>
      <c r="F550" s="1"/>
      <c r="G550" s="22"/>
      <c r="H550" s="22"/>
      <c r="I550" s="1"/>
      <c r="J550" s="1"/>
      <c r="K550" s="1"/>
      <c r="L550" s="1"/>
      <c r="M550" s="262"/>
      <c r="N550" s="1"/>
      <c r="O550" s="1"/>
      <c r="P550" s="1"/>
      <c r="Q550" s="1"/>
      <c r="R550" s="1"/>
      <c r="S550" s="1"/>
      <c r="T550" s="1"/>
      <c r="U550" s="1"/>
      <c r="V550" s="1"/>
      <c r="W550" s="1"/>
      <c r="X550" s="1"/>
      <c r="Y550" s="1"/>
      <c r="Z550" s="1"/>
      <c r="AA550" s="1"/>
      <c r="AB550" s="1"/>
    </row>
    <row r="551" spans="2:28" ht="11.25" customHeight="1" x14ac:dyDescent="0.25">
      <c r="B551" s="16"/>
      <c r="C551" s="1"/>
      <c r="D551" s="1"/>
      <c r="E551" s="1"/>
      <c r="F551" s="1"/>
      <c r="G551" s="22"/>
      <c r="H551" s="22"/>
      <c r="I551" s="1"/>
      <c r="J551" s="1"/>
      <c r="K551" s="1"/>
      <c r="L551" s="1"/>
      <c r="M551" s="262"/>
      <c r="N551" s="1"/>
      <c r="O551" s="1"/>
      <c r="P551" s="1"/>
      <c r="Q551" s="1"/>
      <c r="R551" s="1"/>
      <c r="S551" s="1"/>
      <c r="T551" s="1"/>
      <c r="U551" s="1"/>
      <c r="V551" s="1"/>
      <c r="W551" s="1"/>
      <c r="X551" s="1"/>
      <c r="Y551" s="1"/>
      <c r="Z551" s="1"/>
      <c r="AA551" s="1"/>
      <c r="AB551" s="1"/>
    </row>
    <row r="552" spans="2:28" ht="11.25" customHeight="1" x14ac:dyDescent="0.25">
      <c r="B552" s="16"/>
      <c r="C552" s="1"/>
      <c r="D552" s="1"/>
      <c r="E552" s="1"/>
      <c r="F552" s="1"/>
      <c r="G552" s="22"/>
      <c r="H552" s="22"/>
      <c r="I552" s="1"/>
      <c r="J552" s="1"/>
      <c r="K552" s="1"/>
      <c r="L552" s="1"/>
      <c r="M552" s="262"/>
      <c r="N552" s="1"/>
      <c r="O552" s="1"/>
      <c r="P552" s="1"/>
      <c r="Q552" s="1"/>
      <c r="R552" s="1"/>
      <c r="S552" s="1"/>
      <c r="T552" s="1"/>
      <c r="U552" s="1"/>
      <c r="V552" s="1"/>
      <c r="W552" s="1"/>
      <c r="X552" s="1"/>
      <c r="Y552" s="1"/>
      <c r="Z552" s="1"/>
      <c r="AA552" s="1"/>
      <c r="AB552" s="1"/>
    </row>
    <row r="553" spans="2:28" ht="11.25" customHeight="1" x14ac:dyDescent="0.25">
      <c r="B553" s="16"/>
      <c r="C553" s="1"/>
      <c r="D553" s="1"/>
      <c r="E553" s="1"/>
      <c r="F553" s="1"/>
      <c r="G553" s="22"/>
      <c r="H553" s="22"/>
      <c r="I553" s="1"/>
      <c r="J553" s="1"/>
      <c r="K553" s="1"/>
      <c r="L553" s="1"/>
      <c r="M553" s="262"/>
      <c r="N553" s="1"/>
      <c r="O553" s="1"/>
      <c r="P553" s="1"/>
      <c r="Q553" s="1"/>
      <c r="R553" s="1"/>
      <c r="S553" s="1"/>
      <c r="T553" s="1"/>
      <c r="U553" s="1"/>
      <c r="V553" s="1"/>
      <c r="W553" s="1"/>
      <c r="X553" s="1"/>
      <c r="Y553" s="1"/>
      <c r="Z553" s="1"/>
      <c r="AA553" s="1"/>
      <c r="AB553" s="1"/>
    </row>
    <row r="554" spans="2:28" ht="11.25" customHeight="1" x14ac:dyDescent="0.25">
      <c r="B554" s="16"/>
      <c r="C554" s="1"/>
      <c r="D554" s="1"/>
      <c r="E554" s="1"/>
      <c r="F554" s="1"/>
      <c r="G554" s="22"/>
      <c r="H554" s="22"/>
      <c r="I554" s="1"/>
      <c r="J554" s="1"/>
      <c r="K554" s="1"/>
      <c r="L554" s="1"/>
      <c r="M554" s="262"/>
      <c r="N554" s="1"/>
      <c r="O554" s="1"/>
      <c r="P554" s="1"/>
      <c r="Q554" s="1"/>
      <c r="R554" s="1"/>
      <c r="S554" s="1"/>
      <c r="T554" s="1"/>
      <c r="U554" s="1"/>
      <c r="V554" s="1"/>
      <c r="W554" s="1"/>
      <c r="X554" s="1"/>
      <c r="Y554" s="1"/>
      <c r="Z554" s="1"/>
      <c r="AA554" s="1"/>
      <c r="AB554" s="1"/>
    </row>
    <row r="555" spans="2:28" ht="11.25" customHeight="1" x14ac:dyDescent="0.25">
      <c r="B555" s="16"/>
      <c r="C555" s="1"/>
      <c r="D555" s="1"/>
      <c r="E555" s="1"/>
      <c r="F555" s="1"/>
      <c r="G555" s="22"/>
      <c r="H555" s="22"/>
      <c r="I555" s="1"/>
      <c r="J555" s="1"/>
      <c r="K555" s="1"/>
      <c r="L555" s="1"/>
      <c r="M555" s="262"/>
      <c r="N555" s="1"/>
      <c r="O555" s="1"/>
      <c r="P555" s="1"/>
      <c r="Q555" s="1"/>
      <c r="R555" s="1"/>
      <c r="S555" s="1"/>
      <c r="T555" s="1"/>
      <c r="U555" s="1"/>
      <c r="V555" s="1"/>
      <c r="W555" s="1"/>
      <c r="X555" s="1"/>
      <c r="Y555" s="1"/>
      <c r="Z555" s="1"/>
      <c r="AA555" s="1"/>
      <c r="AB555" s="1"/>
    </row>
    <row r="556" spans="2:28" ht="11.25" customHeight="1" x14ac:dyDescent="0.25">
      <c r="B556" s="16"/>
      <c r="C556" s="1"/>
      <c r="D556" s="1"/>
      <c r="E556" s="1"/>
      <c r="F556" s="1"/>
      <c r="G556" s="22"/>
      <c r="H556" s="22"/>
      <c r="I556" s="1"/>
      <c r="J556" s="1"/>
      <c r="K556" s="1"/>
      <c r="L556" s="1"/>
      <c r="M556" s="262"/>
      <c r="N556" s="1"/>
      <c r="O556" s="1"/>
      <c r="P556" s="1"/>
      <c r="Q556" s="1"/>
      <c r="R556" s="1"/>
      <c r="S556" s="1"/>
      <c r="T556" s="1"/>
      <c r="U556" s="1"/>
      <c r="V556" s="1"/>
      <c r="W556" s="1"/>
      <c r="X556" s="1"/>
      <c r="Y556" s="1"/>
      <c r="Z556" s="1"/>
      <c r="AA556" s="1"/>
      <c r="AB556" s="1"/>
    </row>
    <row r="557" spans="2:28" ht="11.25" customHeight="1" x14ac:dyDescent="0.25">
      <c r="B557" s="16"/>
      <c r="C557" s="1"/>
      <c r="D557" s="1"/>
      <c r="E557" s="1"/>
      <c r="F557" s="1"/>
      <c r="G557" s="22"/>
      <c r="H557" s="22"/>
      <c r="I557" s="1"/>
      <c r="J557" s="1"/>
      <c r="K557" s="1"/>
      <c r="L557" s="1"/>
      <c r="M557" s="262"/>
      <c r="N557" s="1"/>
      <c r="O557" s="1"/>
      <c r="P557" s="1"/>
      <c r="Q557" s="1"/>
      <c r="R557" s="1"/>
      <c r="S557" s="1"/>
      <c r="T557" s="1"/>
      <c r="U557" s="1"/>
      <c r="V557" s="1"/>
      <c r="W557" s="1"/>
      <c r="X557" s="1"/>
      <c r="Y557" s="1"/>
      <c r="Z557" s="1"/>
      <c r="AA557" s="1"/>
      <c r="AB557" s="1"/>
    </row>
    <row r="558" spans="2:28" ht="11.25" customHeight="1" x14ac:dyDescent="0.25">
      <c r="B558" s="16"/>
      <c r="C558" s="1"/>
      <c r="D558" s="1"/>
      <c r="E558" s="1"/>
      <c r="F558" s="1"/>
      <c r="G558" s="22"/>
      <c r="H558" s="22"/>
      <c r="I558" s="1"/>
      <c r="J558" s="1"/>
      <c r="K558" s="1"/>
      <c r="L558" s="1"/>
      <c r="M558" s="262"/>
      <c r="N558" s="1"/>
      <c r="O558" s="1"/>
      <c r="P558" s="1"/>
      <c r="Q558" s="1"/>
      <c r="R558" s="1"/>
      <c r="S558" s="1"/>
      <c r="T558" s="1"/>
      <c r="U558" s="1"/>
      <c r="V558" s="1"/>
      <c r="W558" s="1"/>
      <c r="X558" s="1"/>
      <c r="Y558" s="1"/>
      <c r="Z558" s="1"/>
      <c r="AA558" s="1"/>
      <c r="AB558" s="1"/>
    </row>
    <row r="559" spans="2:28" ht="11.25" customHeight="1" x14ac:dyDescent="0.25">
      <c r="B559" s="16"/>
      <c r="C559" s="1"/>
      <c r="D559" s="1"/>
      <c r="E559" s="1"/>
      <c r="F559" s="1"/>
      <c r="G559" s="22"/>
      <c r="H559" s="22"/>
      <c r="I559" s="1"/>
      <c r="J559" s="1"/>
      <c r="K559" s="1"/>
      <c r="L559" s="1"/>
      <c r="M559" s="262"/>
      <c r="N559" s="1"/>
      <c r="O559" s="1"/>
      <c r="P559" s="1"/>
      <c r="Q559" s="1"/>
      <c r="R559" s="1"/>
      <c r="S559" s="1"/>
      <c r="T559" s="1"/>
      <c r="U559" s="1"/>
      <c r="V559" s="1"/>
      <c r="W559" s="1"/>
      <c r="X559" s="1"/>
      <c r="Y559" s="1"/>
      <c r="Z559" s="1"/>
      <c r="AA559" s="1"/>
      <c r="AB559" s="1"/>
    </row>
    <row r="560" spans="2:28" ht="11.25" customHeight="1" x14ac:dyDescent="0.25">
      <c r="B560" s="16"/>
      <c r="C560" s="1"/>
      <c r="D560" s="1"/>
      <c r="E560" s="1"/>
      <c r="F560" s="1"/>
      <c r="G560" s="22"/>
      <c r="H560" s="22"/>
      <c r="I560" s="1"/>
      <c r="J560" s="1"/>
      <c r="K560" s="1"/>
      <c r="L560" s="1"/>
      <c r="M560" s="262"/>
      <c r="N560" s="1"/>
      <c r="O560" s="1"/>
      <c r="P560" s="1"/>
      <c r="Q560" s="1"/>
      <c r="R560" s="1"/>
      <c r="S560" s="1"/>
      <c r="T560" s="1"/>
      <c r="U560" s="1"/>
      <c r="V560" s="1"/>
      <c r="W560" s="1"/>
      <c r="X560" s="1"/>
      <c r="Y560" s="1"/>
      <c r="Z560" s="1"/>
      <c r="AA560" s="1"/>
      <c r="AB560" s="1"/>
    </row>
    <row r="561" spans="2:28" ht="11.25" customHeight="1" x14ac:dyDescent="0.25">
      <c r="B561" s="16"/>
      <c r="C561" s="1"/>
      <c r="D561" s="1"/>
      <c r="E561" s="1"/>
      <c r="F561" s="1"/>
      <c r="G561" s="22"/>
      <c r="H561" s="22"/>
      <c r="I561" s="1"/>
      <c r="J561" s="1"/>
      <c r="K561" s="1"/>
      <c r="L561" s="1"/>
      <c r="M561" s="262"/>
      <c r="N561" s="1"/>
      <c r="O561" s="1"/>
      <c r="P561" s="1"/>
      <c r="Q561" s="1"/>
      <c r="R561" s="1"/>
      <c r="S561" s="1"/>
      <c r="T561" s="1"/>
      <c r="U561" s="1"/>
      <c r="V561" s="1"/>
      <c r="W561" s="1"/>
      <c r="X561" s="1"/>
      <c r="Y561" s="1"/>
      <c r="Z561" s="1"/>
      <c r="AA561" s="1"/>
      <c r="AB561" s="1"/>
    </row>
    <row r="562" spans="2:28" ht="11.25" customHeight="1" x14ac:dyDescent="0.25">
      <c r="B562" s="16"/>
      <c r="C562" s="1"/>
      <c r="D562" s="1"/>
      <c r="E562" s="1"/>
      <c r="F562" s="1"/>
      <c r="G562" s="22"/>
      <c r="H562" s="22"/>
      <c r="I562" s="1"/>
      <c r="J562" s="1"/>
      <c r="K562" s="1"/>
      <c r="L562" s="1"/>
      <c r="M562" s="262"/>
      <c r="N562" s="1"/>
      <c r="O562" s="1"/>
      <c r="P562" s="1"/>
      <c r="Q562" s="1"/>
      <c r="R562" s="1"/>
      <c r="S562" s="1"/>
      <c r="T562" s="1"/>
      <c r="U562" s="1"/>
      <c r="V562" s="1"/>
      <c r="W562" s="1"/>
      <c r="X562" s="1"/>
      <c r="Y562" s="1"/>
      <c r="Z562" s="1"/>
      <c r="AA562" s="1"/>
      <c r="AB562" s="1"/>
    </row>
    <row r="563" spans="2:28" ht="11.25" customHeight="1" x14ac:dyDescent="0.25">
      <c r="B563" s="16"/>
      <c r="C563" s="1"/>
      <c r="D563" s="1"/>
      <c r="E563" s="1"/>
      <c r="F563" s="1"/>
      <c r="G563" s="22"/>
      <c r="H563" s="22"/>
      <c r="I563" s="1"/>
      <c r="J563" s="1"/>
      <c r="K563" s="1"/>
      <c r="L563" s="1"/>
      <c r="M563" s="262"/>
      <c r="N563" s="1"/>
      <c r="O563" s="1"/>
      <c r="P563" s="1"/>
      <c r="Q563" s="1"/>
      <c r="R563" s="1"/>
      <c r="S563" s="1"/>
      <c r="T563" s="1"/>
      <c r="U563" s="1"/>
      <c r="V563" s="1"/>
      <c r="W563" s="1"/>
      <c r="X563" s="1"/>
      <c r="Y563" s="1"/>
      <c r="Z563" s="1"/>
      <c r="AA563" s="1"/>
      <c r="AB563" s="1"/>
    </row>
    <row r="564" spans="2:28" ht="11.25" customHeight="1" x14ac:dyDescent="0.25">
      <c r="B564" s="16"/>
      <c r="C564" s="1"/>
      <c r="D564" s="1"/>
      <c r="E564" s="1"/>
      <c r="F564" s="1"/>
      <c r="G564" s="22"/>
      <c r="H564" s="22"/>
      <c r="I564" s="1"/>
      <c r="J564" s="1"/>
      <c r="K564" s="1"/>
      <c r="L564" s="1"/>
      <c r="M564" s="262"/>
      <c r="N564" s="1"/>
      <c r="O564" s="1"/>
      <c r="P564" s="1"/>
      <c r="Q564" s="1"/>
      <c r="R564" s="1"/>
      <c r="S564" s="1"/>
      <c r="T564" s="1"/>
      <c r="U564" s="1"/>
      <c r="V564" s="1"/>
      <c r="W564" s="1"/>
      <c r="X564" s="1"/>
      <c r="Y564" s="1"/>
      <c r="Z564" s="1"/>
      <c r="AA564" s="1"/>
      <c r="AB564" s="1"/>
    </row>
    <row r="565" spans="2:28" ht="11.25" customHeight="1" x14ac:dyDescent="0.25">
      <c r="B565" s="16"/>
      <c r="C565" s="1"/>
      <c r="D565" s="1"/>
      <c r="E565" s="1"/>
      <c r="F565" s="1"/>
      <c r="G565" s="22"/>
      <c r="H565" s="22"/>
      <c r="I565" s="1"/>
      <c r="J565" s="1"/>
      <c r="K565" s="1"/>
      <c r="L565" s="1"/>
      <c r="M565" s="262"/>
      <c r="N565" s="1"/>
      <c r="O565" s="1"/>
      <c r="P565" s="1"/>
      <c r="Q565" s="1"/>
      <c r="R565" s="1"/>
      <c r="S565" s="1"/>
      <c r="T565" s="1"/>
      <c r="U565" s="1"/>
      <c r="V565" s="1"/>
      <c r="W565" s="1"/>
      <c r="X565" s="1"/>
      <c r="Y565" s="1"/>
      <c r="Z565" s="1"/>
      <c r="AA565" s="1"/>
      <c r="AB565" s="1"/>
    </row>
    <row r="566" spans="2:28" ht="11.25" customHeight="1" x14ac:dyDescent="0.25">
      <c r="B566" s="16"/>
      <c r="C566" s="1"/>
      <c r="D566" s="1"/>
      <c r="E566" s="1"/>
      <c r="F566" s="1"/>
      <c r="G566" s="22"/>
      <c r="H566" s="22"/>
      <c r="I566" s="1"/>
      <c r="J566" s="1"/>
      <c r="K566" s="1"/>
      <c r="L566" s="1"/>
      <c r="M566" s="262"/>
      <c r="N566" s="1"/>
      <c r="O566" s="1"/>
      <c r="P566" s="1"/>
      <c r="Q566" s="1"/>
      <c r="R566" s="1"/>
      <c r="S566" s="1"/>
      <c r="T566" s="1"/>
      <c r="U566" s="1"/>
      <c r="V566" s="1"/>
      <c r="W566" s="1"/>
      <c r="X566" s="1"/>
      <c r="Y566" s="1"/>
      <c r="Z566" s="1"/>
      <c r="AA566" s="1"/>
      <c r="AB566" s="1"/>
    </row>
    <row r="567" spans="2:28" ht="11.25" customHeight="1" x14ac:dyDescent="0.25">
      <c r="B567" s="16"/>
      <c r="C567" s="1"/>
      <c r="D567" s="1"/>
      <c r="E567" s="1"/>
      <c r="F567" s="1"/>
      <c r="G567" s="22"/>
      <c r="H567" s="22"/>
      <c r="I567" s="1"/>
      <c r="J567" s="1"/>
      <c r="K567" s="1"/>
      <c r="L567" s="1"/>
      <c r="M567" s="262"/>
      <c r="N567" s="1"/>
      <c r="O567" s="1"/>
      <c r="P567" s="1"/>
      <c r="Q567" s="1"/>
      <c r="R567" s="1"/>
      <c r="S567" s="1"/>
      <c r="T567" s="1"/>
      <c r="U567" s="1"/>
      <c r="V567" s="1"/>
      <c r="W567" s="1"/>
      <c r="X567" s="1"/>
      <c r="Y567" s="1"/>
      <c r="Z567" s="1"/>
      <c r="AA567" s="1"/>
      <c r="AB567" s="1"/>
    </row>
    <row r="568" spans="2:28" ht="11.25" customHeight="1" x14ac:dyDescent="0.25">
      <c r="B568" s="16"/>
      <c r="C568" s="1"/>
      <c r="D568" s="1"/>
      <c r="E568" s="1"/>
      <c r="F568" s="1"/>
      <c r="G568" s="22"/>
      <c r="H568" s="22"/>
      <c r="I568" s="1"/>
      <c r="J568" s="1"/>
      <c r="K568" s="1"/>
      <c r="L568" s="1"/>
      <c r="M568" s="262"/>
      <c r="N568" s="1"/>
      <c r="O568" s="1"/>
      <c r="P568" s="1"/>
      <c r="Q568" s="1"/>
      <c r="R568" s="1"/>
      <c r="S568" s="1"/>
      <c r="T568" s="1"/>
      <c r="U568" s="1"/>
      <c r="V568" s="1"/>
      <c r="W568" s="1"/>
      <c r="X568" s="1"/>
      <c r="Y568" s="1"/>
      <c r="Z568" s="1"/>
      <c r="AA568" s="1"/>
      <c r="AB568" s="1"/>
    </row>
    <row r="569" spans="2:28" ht="11.25" customHeight="1" x14ac:dyDescent="0.25">
      <c r="B569" s="16"/>
      <c r="C569" s="1"/>
      <c r="D569" s="1"/>
      <c r="E569" s="1"/>
      <c r="F569" s="1"/>
      <c r="G569" s="22"/>
      <c r="H569" s="22"/>
      <c r="I569" s="1"/>
      <c r="J569" s="1"/>
      <c r="K569" s="1"/>
      <c r="L569" s="1"/>
      <c r="M569" s="262"/>
      <c r="N569" s="1"/>
      <c r="O569" s="1"/>
      <c r="P569" s="1"/>
      <c r="Q569" s="1"/>
      <c r="R569" s="1"/>
      <c r="S569" s="1"/>
      <c r="T569" s="1"/>
      <c r="U569" s="1"/>
      <c r="V569" s="1"/>
      <c r="W569" s="1"/>
      <c r="X569" s="1"/>
      <c r="Y569" s="1"/>
      <c r="Z569" s="1"/>
      <c r="AA569" s="1"/>
      <c r="AB569" s="1"/>
    </row>
    <row r="570" spans="2:28" ht="11.25" customHeight="1" x14ac:dyDescent="0.25">
      <c r="B570" s="16"/>
      <c r="C570" s="1"/>
      <c r="D570" s="1"/>
      <c r="E570" s="1"/>
      <c r="F570" s="1"/>
      <c r="G570" s="22"/>
      <c r="H570" s="22"/>
      <c r="I570" s="1"/>
      <c r="J570" s="1"/>
      <c r="K570" s="1"/>
      <c r="L570" s="1"/>
      <c r="M570" s="262"/>
      <c r="N570" s="1"/>
      <c r="O570" s="1"/>
      <c r="P570" s="1"/>
      <c r="Q570" s="1"/>
      <c r="R570" s="1"/>
      <c r="S570" s="1"/>
      <c r="T570" s="1"/>
      <c r="U570" s="1"/>
      <c r="V570" s="1"/>
      <c r="W570" s="1"/>
      <c r="X570" s="1"/>
      <c r="Y570" s="1"/>
      <c r="Z570" s="1"/>
      <c r="AA570" s="1"/>
      <c r="AB570" s="1"/>
    </row>
    <row r="571" spans="2:28" ht="11.25" customHeight="1" x14ac:dyDescent="0.25">
      <c r="B571" s="16"/>
      <c r="C571" s="1"/>
      <c r="D571" s="1"/>
      <c r="E571" s="1"/>
      <c r="F571" s="1"/>
      <c r="G571" s="22"/>
      <c r="H571" s="22"/>
      <c r="I571" s="1"/>
      <c r="J571" s="1"/>
      <c r="K571" s="1"/>
      <c r="L571" s="1"/>
      <c r="M571" s="262"/>
      <c r="N571" s="1"/>
      <c r="O571" s="1"/>
      <c r="P571" s="1"/>
      <c r="Q571" s="1"/>
      <c r="R571" s="1"/>
      <c r="S571" s="1"/>
      <c r="T571" s="1"/>
      <c r="U571" s="1"/>
      <c r="V571" s="1"/>
      <c r="W571" s="1"/>
      <c r="X571" s="1"/>
      <c r="Y571" s="1"/>
      <c r="Z571" s="1"/>
      <c r="AA571" s="1"/>
      <c r="AB571" s="1"/>
    </row>
    <row r="572" spans="2:28" ht="11.25" customHeight="1" x14ac:dyDescent="0.25">
      <c r="B572" s="16"/>
      <c r="C572" s="1"/>
      <c r="D572" s="1"/>
      <c r="E572" s="1"/>
      <c r="F572" s="1"/>
      <c r="G572" s="22"/>
      <c r="H572" s="22"/>
      <c r="I572" s="1"/>
      <c r="J572" s="1"/>
      <c r="K572" s="1"/>
      <c r="L572" s="1"/>
      <c r="M572" s="262"/>
      <c r="N572" s="1"/>
      <c r="O572" s="1"/>
      <c r="P572" s="1"/>
      <c r="Q572" s="1"/>
      <c r="R572" s="1"/>
      <c r="S572" s="1"/>
      <c r="T572" s="1"/>
      <c r="U572" s="1"/>
      <c r="V572" s="1"/>
      <c r="W572" s="1"/>
      <c r="X572" s="1"/>
      <c r="Y572" s="1"/>
      <c r="Z572" s="1"/>
      <c r="AA572" s="1"/>
      <c r="AB572" s="1"/>
    </row>
    <row r="573" spans="2:28" ht="11.25" customHeight="1" x14ac:dyDescent="0.25">
      <c r="B573" s="16"/>
      <c r="C573" s="1"/>
      <c r="D573" s="1"/>
      <c r="E573" s="1"/>
      <c r="F573" s="1"/>
      <c r="G573" s="22"/>
      <c r="H573" s="22"/>
      <c r="I573" s="1"/>
      <c r="J573" s="1"/>
      <c r="K573" s="1"/>
      <c r="L573" s="1"/>
      <c r="M573" s="262"/>
      <c r="N573" s="1"/>
      <c r="O573" s="1"/>
      <c r="P573" s="1"/>
      <c r="Q573" s="1"/>
      <c r="R573" s="1"/>
      <c r="S573" s="1"/>
      <c r="T573" s="1"/>
      <c r="U573" s="1"/>
      <c r="V573" s="1"/>
      <c r="W573" s="1"/>
      <c r="X573" s="1"/>
      <c r="Y573" s="1"/>
      <c r="Z573" s="1"/>
      <c r="AA573" s="1"/>
      <c r="AB573" s="1"/>
    </row>
    <row r="574" spans="2:28" ht="11.25" customHeight="1" x14ac:dyDescent="0.25">
      <c r="B574" s="16"/>
      <c r="C574" s="1"/>
      <c r="D574" s="1"/>
      <c r="E574" s="1"/>
      <c r="F574" s="1"/>
      <c r="G574" s="22"/>
      <c r="H574" s="22"/>
      <c r="I574" s="1"/>
      <c r="J574" s="1"/>
      <c r="K574" s="1"/>
      <c r="L574" s="1"/>
      <c r="M574" s="262"/>
      <c r="N574" s="1"/>
      <c r="O574" s="1"/>
      <c r="P574" s="1"/>
      <c r="Q574" s="1"/>
      <c r="R574" s="1"/>
      <c r="S574" s="1"/>
      <c r="T574" s="1"/>
      <c r="U574" s="1"/>
      <c r="V574" s="1"/>
      <c r="W574" s="1"/>
      <c r="X574" s="1"/>
      <c r="Y574" s="1"/>
      <c r="Z574" s="1"/>
      <c r="AA574" s="1"/>
      <c r="AB574" s="1"/>
    </row>
    <row r="575" spans="2:28" ht="11.25" customHeight="1" x14ac:dyDescent="0.25">
      <c r="B575" s="16"/>
      <c r="C575" s="1"/>
      <c r="D575" s="1"/>
      <c r="E575" s="1"/>
      <c r="F575" s="1"/>
      <c r="G575" s="22"/>
      <c r="H575" s="22"/>
      <c r="I575" s="1"/>
      <c r="J575" s="1"/>
      <c r="K575" s="1"/>
      <c r="L575" s="1"/>
      <c r="M575" s="262"/>
      <c r="N575" s="1"/>
      <c r="O575" s="1"/>
      <c r="P575" s="1"/>
      <c r="Q575" s="1"/>
      <c r="R575" s="1"/>
      <c r="S575" s="1"/>
      <c r="T575" s="1"/>
      <c r="U575" s="1"/>
      <c r="V575" s="1"/>
      <c r="W575" s="1"/>
      <c r="X575" s="1"/>
      <c r="Y575" s="1"/>
      <c r="Z575" s="1"/>
      <c r="AA575" s="1"/>
      <c r="AB575" s="1"/>
    </row>
    <row r="576" spans="2:28" ht="11.25" customHeight="1" x14ac:dyDescent="0.25">
      <c r="B576" s="16"/>
      <c r="C576" s="1"/>
      <c r="D576" s="1"/>
      <c r="E576" s="1"/>
      <c r="F576" s="1"/>
      <c r="G576" s="22"/>
      <c r="H576" s="22"/>
      <c r="I576" s="1"/>
      <c r="J576" s="1"/>
      <c r="K576" s="1"/>
      <c r="L576" s="1"/>
      <c r="M576" s="262"/>
      <c r="N576" s="1"/>
      <c r="O576" s="1"/>
      <c r="P576" s="1"/>
      <c r="Q576" s="1"/>
      <c r="R576" s="1"/>
      <c r="S576" s="1"/>
      <c r="T576" s="1"/>
      <c r="U576" s="1"/>
      <c r="V576" s="1"/>
      <c r="W576" s="1"/>
      <c r="X576" s="1"/>
      <c r="Y576" s="1"/>
      <c r="Z576" s="1"/>
      <c r="AA576" s="1"/>
      <c r="AB576" s="1"/>
    </row>
    <row r="577" spans="2:28" ht="11.25" customHeight="1" x14ac:dyDescent="0.25">
      <c r="B577" s="16"/>
      <c r="C577" s="1"/>
      <c r="D577" s="1"/>
      <c r="E577" s="1"/>
      <c r="F577" s="1"/>
      <c r="G577" s="22"/>
      <c r="H577" s="22"/>
      <c r="I577" s="1"/>
      <c r="J577" s="1"/>
      <c r="K577" s="1"/>
      <c r="L577" s="1"/>
      <c r="M577" s="262"/>
      <c r="N577" s="1"/>
      <c r="O577" s="1"/>
      <c r="P577" s="1"/>
      <c r="Q577" s="1"/>
      <c r="R577" s="1"/>
      <c r="S577" s="1"/>
      <c r="T577" s="1"/>
      <c r="U577" s="1"/>
      <c r="V577" s="1"/>
      <c r="W577" s="1"/>
      <c r="X577" s="1"/>
      <c r="Y577" s="1"/>
      <c r="Z577" s="1"/>
      <c r="AA577" s="1"/>
      <c r="AB577" s="1"/>
    </row>
    <row r="578" spans="2:28" ht="11.25" customHeight="1" x14ac:dyDescent="0.25">
      <c r="B578" s="16"/>
      <c r="C578" s="1"/>
      <c r="D578" s="1"/>
      <c r="E578" s="1"/>
      <c r="F578" s="1"/>
      <c r="G578" s="22"/>
      <c r="H578" s="22"/>
      <c r="I578" s="1"/>
      <c r="J578" s="1"/>
      <c r="K578" s="1"/>
      <c r="L578" s="1"/>
      <c r="M578" s="262"/>
      <c r="N578" s="1"/>
      <c r="O578" s="1"/>
      <c r="P578" s="1"/>
      <c r="Q578" s="1"/>
      <c r="R578" s="1"/>
      <c r="S578" s="1"/>
      <c r="T578" s="1"/>
      <c r="U578" s="1"/>
      <c r="V578" s="1"/>
      <c r="W578" s="1"/>
      <c r="X578" s="1"/>
      <c r="Y578" s="1"/>
      <c r="Z578" s="1"/>
      <c r="AA578" s="1"/>
      <c r="AB578" s="1"/>
    </row>
    <row r="579" spans="2:28" ht="11.25" customHeight="1" x14ac:dyDescent="0.25">
      <c r="B579" s="16"/>
      <c r="C579" s="1"/>
      <c r="D579" s="1"/>
      <c r="E579" s="1"/>
      <c r="F579" s="1"/>
      <c r="G579" s="22"/>
      <c r="H579" s="22"/>
      <c r="I579" s="1"/>
      <c r="J579" s="1"/>
      <c r="K579" s="1"/>
      <c r="L579" s="1"/>
      <c r="M579" s="262"/>
      <c r="N579" s="1"/>
      <c r="O579" s="1"/>
      <c r="P579" s="1"/>
      <c r="Q579" s="1"/>
      <c r="R579" s="1"/>
      <c r="S579" s="1"/>
      <c r="T579" s="1"/>
      <c r="U579" s="1"/>
      <c r="V579" s="1"/>
      <c r="W579" s="1"/>
      <c r="X579" s="1"/>
      <c r="Y579" s="1"/>
      <c r="Z579" s="1"/>
      <c r="AA579" s="1"/>
      <c r="AB579" s="1"/>
    </row>
    <row r="580" spans="2:28" ht="11.25" customHeight="1" x14ac:dyDescent="0.25">
      <c r="B580" s="16"/>
      <c r="C580" s="1"/>
      <c r="D580" s="1"/>
      <c r="E580" s="1"/>
      <c r="F580" s="1"/>
      <c r="G580" s="22"/>
      <c r="H580" s="22"/>
      <c r="I580" s="1"/>
      <c r="J580" s="1"/>
      <c r="K580" s="1"/>
      <c r="L580" s="1"/>
      <c r="M580" s="262"/>
      <c r="N580" s="1"/>
      <c r="O580" s="1"/>
      <c r="P580" s="1"/>
      <c r="Q580" s="1"/>
      <c r="R580" s="1"/>
      <c r="S580" s="1"/>
      <c r="T580" s="1"/>
      <c r="U580" s="1"/>
      <c r="V580" s="1"/>
      <c r="W580" s="1"/>
      <c r="X580" s="1"/>
      <c r="Y580" s="1"/>
      <c r="Z580" s="1"/>
      <c r="AA580" s="1"/>
      <c r="AB580" s="1"/>
    </row>
    <row r="581" spans="2:28" ht="11.25" customHeight="1" x14ac:dyDescent="0.25">
      <c r="B581" s="16"/>
      <c r="C581" s="1"/>
      <c r="D581" s="1"/>
      <c r="E581" s="1"/>
      <c r="F581" s="1"/>
      <c r="G581" s="22"/>
      <c r="H581" s="22"/>
      <c r="I581" s="1"/>
      <c r="J581" s="1"/>
      <c r="K581" s="1"/>
      <c r="L581" s="1"/>
      <c r="M581" s="262"/>
      <c r="N581" s="1"/>
      <c r="O581" s="1"/>
      <c r="P581" s="1"/>
      <c r="Q581" s="1"/>
      <c r="R581" s="1"/>
      <c r="S581" s="1"/>
      <c r="T581" s="1"/>
      <c r="U581" s="1"/>
      <c r="V581" s="1"/>
      <c r="W581" s="1"/>
      <c r="X581" s="1"/>
      <c r="Y581" s="1"/>
      <c r="Z581" s="1"/>
      <c r="AA581" s="1"/>
      <c r="AB581" s="1"/>
    </row>
    <row r="582" spans="2:28" ht="11.25" customHeight="1" x14ac:dyDescent="0.25">
      <c r="B582" s="16"/>
      <c r="C582" s="1"/>
      <c r="D582" s="1"/>
      <c r="E582" s="1"/>
      <c r="F582" s="1"/>
      <c r="G582" s="22"/>
      <c r="H582" s="22"/>
      <c r="I582" s="1"/>
      <c r="J582" s="1"/>
      <c r="K582" s="1"/>
      <c r="L582" s="1"/>
      <c r="M582" s="262"/>
      <c r="N582" s="1"/>
      <c r="O582" s="1"/>
      <c r="P582" s="1"/>
      <c r="Q582" s="1"/>
      <c r="R582" s="1"/>
      <c r="S582" s="1"/>
      <c r="T582" s="1"/>
      <c r="U582" s="1"/>
      <c r="V582" s="1"/>
      <c r="W582" s="1"/>
      <c r="X582" s="1"/>
      <c r="Y582" s="1"/>
      <c r="Z582" s="1"/>
      <c r="AA582" s="1"/>
      <c r="AB582" s="1"/>
    </row>
    <row r="583" spans="2:28" ht="11.25" customHeight="1" x14ac:dyDescent="0.25">
      <c r="B583" s="16"/>
      <c r="C583" s="1"/>
      <c r="D583" s="1"/>
      <c r="E583" s="1"/>
      <c r="F583" s="1"/>
      <c r="G583" s="22"/>
      <c r="H583" s="22"/>
      <c r="I583" s="1"/>
      <c r="J583" s="1"/>
      <c r="K583" s="1"/>
      <c r="L583" s="1"/>
      <c r="M583" s="262"/>
      <c r="N583" s="1"/>
      <c r="O583" s="1"/>
      <c r="P583" s="1"/>
      <c r="Q583" s="1"/>
      <c r="R583" s="1"/>
      <c r="S583" s="1"/>
      <c r="T583" s="1"/>
      <c r="U583" s="1"/>
      <c r="V583" s="1"/>
      <c r="W583" s="1"/>
      <c r="X583" s="1"/>
      <c r="Y583" s="1"/>
      <c r="Z583" s="1"/>
      <c r="AA583" s="1"/>
      <c r="AB583" s="1"/>
    </row>
    <row r="584" spans="2:28" ht="11.25" customHeight="1" x14ac:dyDescent="0.25">
      <c r="B584" s="16"/>
      <c r="C584" s="1"/>
      <c r="D584" s="1"/>
      <c r="E584" s="1"/>
      <c r="F584" s="1"/>
      <c r="G584" s="22"/>
      <c r="H584" s="22"/>
      <c r="I584" s="1"/>
      <c r="J584" s="1"/>
      <c r="K584" s="1"/>
      <c r="L584" s="1"/>
      <c r="M584" s="262"/>
      <c r="N584" s="1"/>
      <c r="O584" s="1"/>
      <c r="P584" s="1"/>
      <c r="Q584" s="1"/>
      <c r="R584" s="1"/>
      <c r="S584" s="1"/>
      <c r="T584" s="1"/>
      <c r="U584" s="1"/>
      <c r="V584" s="1"/>
      <c r="W584" s="1"/>
      <c r="X584" s="1"/>
      <c r="Y584" s="1"/>
      <c r="Z584" s="1"/>
      <c r="AA584" s="1"/>
      <c r="AB584" s="1"/>
    </row>
    <row r="585" spans="2:28" ht="11.25" customHeight="1" x14ac:dyDescent="0.25">
      <c r="B585" s="16"/>
      <c r="C585" s="1"/>
      <c r="D585" s="1"/>
      <c r="E585" s="1"/>
      <c r="F585" s="1"/>
      <c r="G585" s="22"/>
      <c r="H585" s="22"/>
      <c r="I585" s="1"/>
      <c r="J585" s="1"/>
      <c r="K585" s="1"/>
      <c r="L585" s="1"/>
      <c r="M585" s="262"/>
      <c r="N585" s="1"/>
      <c r="O585" s="1"/>
      <c r="P585" s="1"/>
      <c r="Q585" s="1"/>
      <c r="R585" s="1"/>
      <c r="S585" s="1"/>
      <c r="T585" s="1"/>
      <c r="U585" s="1"/>
      <c r="V585" s="1"/>
      <c r="W585" s="1"/>
      <c r="X585" s="1"/>
      <c r="Y585" s="1"/>
      <c r="Z585" s="1"/>
      <c r="AA585" s="1"/>
      <c r="AB585" s="1"/>
    </row>
    <row r="586" spans="2:28" ht="11.25" customHeight="1" x14ac:dyDescent="0.25">
      <c r="B586" s="16"/>
      <c r="C586" s="1"/>
      <c r="D586" s="1"/>
      <c r="E586" s="1"/>
      <c r="F586" s="1"/>
      <c r="G586" s="22"/>
      <c r="H586" s="22"/>
      <c r="I586" s="1"/>
      <c r="J586" s="1"/>
      <c r="K586" s="1"/>
      <c r="L586" s="1"/>
      <c r="M586" s="262"/>
      <c r="N586" s="1"/>
      <c r="O586" s="1"/>
      <c r="P586" s="1"/>
      <c r="Q586" s="1"/>
      <c r="R586" s="1"/>
      <c r="S586" s="1"/>
      <c r="T586" s="1"/>
      <c r="U586" s="1"/>
      <c r="V586" s="1"/>
      <c r="W586" s="1"/>
      <c r="X586" s="1"/>
      <c r="Y586" s="1"/>
      <c r="Z586" s="1"/>
      <c r="AA586" s="1"/>
      <c r="AB586" s="1"/>
    </row>
    <row r="587" spans="2:28" ht="11.25" customHeight="1" x14ac:dyDescent="0.25">
      <c r="B587" s="16"/>
      <c r="C587" s="1"/>
      <c r="D587" s="1"/>
      <c r="E587" s="1"/>
      <c r="F587" s="1"/>
      <c r="G587" s="22"/>
      <c r="H587" s="22"/>
      <c r="I587" s="1"/>
      <c r="J587" s="1"/>
      <c r="K587" s="1"/>
      <c r="L587" s="1"/>
      <c r="M587" s="262"/>
      <c r="N587" s="1"/>
      <c r="O587" s="1"/>
      <c r="P587" s="1"/>
      <c r="Q587" s="1"/>
      <c r="R587" s="1"/>
      <c r="S587" s="1"/>
      <c r="T587" s="1"/>
      <c r="U587" s="1"/>
      <c r="V587" s="1"/>
      <c r="W587" s="1"/>
      <c r="X587" s="1"/>
      <c r="Y587" s="1"/>
      <c r="Z587" s="1"/>
      <c r="AA587" s="1"/>
      <c r="AB587" s="1"/>
    </row>
    <row r="588" spans="2:28" ht="11.25" customHeight="1" x14ac:dyDescent="0.25">
      <c r="B588" s="16"/>
      <c r="C588" s="1"/>
      <c r="D588" s="1"/>
      <c r="E588" s="1"/>
      <c r="F588" s="1"/>
      <c r="G588" s="22"/>
      <c r="H588" s="22"/>
      <c r="I588" s="1"/>
      <c r="J588" s="1"/>
      <c r="K588" s="1"/>
      <c r="L588" s="1"/>
      <c r="M588" s="262"/>
      <c r="N588" s="1"/>
      <c r="O588" s="1"/>
      <c r="P588" s="1"/>
      <c r="Q588" s="1"/>
      <c r="R588" s="1"/>
      <c r="S588" s="1"/>
      <c r="T588" s="1"/>
      <c r="U588" s="1"/>
      <c r="V588" s="1"/>
      <c r="W588" s="1"/>
      <c r="X588" s="1"/>
      <c r="Y588" s="1"/>
      <c r="Z588" s="1"/>
      <c r="AA588" s="1"/>
      <c r="AB588" s="1"/>
    </row>
    <row r="589" spans="2:28" ht="11.25" customHeight="1" x14ac:dyDescent="0.25">
      <c r="B589" s="16"/>
      <c r="C589" s="1"/>
      <c r="D589" s="1"/>
      <c r="E589" s="1"/>
      <c r="F589" s="1"/>
      <c r="G589" s="22"/>
      <c r="H589" s="22"/>
      <c r="I589" s="1"/>
      <c r="J589" s="1"/>
      <c r="K589" s="1"/>
      <c r="L589" s="1"/>
      <c r="M589" s="262"/>
      <c r="N589" s="1"/>
      <c r="O589" s="1"/>
      <c r="P589" s="1"/>
      <c r="Q589" s="1"/>
      <c r="R589" s="1"/>
      <c r="S589" s="1"/>
      <c r="T589" s="1"/>
      <c r="U589" s="1"/>
      <c r="V589" s="1"/>
      <c r="W589" s="1"/>
      <c r="X589" s="1"/>
      <c r="Y589" s="1"/>
      <c r="Z589" s="1"/>
      <c r="AA589" s="1"/>
      <c r="AB589" s="1"/>
    </row>
    <row r="590" spans="2:28" ht="11.25" customHeight="1" x14ac:dyDescent="0.25">
      <c r="B590" s="16"/>
      <c r="C590" s="1"/>
      <c r="D590" s="1"/>
      <c r="E590" s="1"/>
      <c r="F590" s="1"/>
      <c r="G590" s="22"/>
      <c r="H590" s="22"/>
      <c r="I590" s="1"/>
      <c r="J590" s="1"/>
      <c r="K590" s="1"/>
      <c r="L590" s="1"/>
      <c r="M590" s="262"/>
      <c r="N590" s="1"/>
      <c r="O590" s="1"/>
      <c r="P590" s="1"/>
      <c r="Q590" s="1"/>
      <c r="R590" s="1"/>
      <c r="S590" s="1"/>
      <c r="T590" s="1"/>
      <c r="U590" s="1"/>
      <c r="V590" s="1"/>
      <c r="W590" s="1"/>
      <c r="X590" s="1"/>
      <c r="Y590" s="1"/>
      <c r="Z590" s="1"/>
      <c r="AA590" s="1"/>
      <c r="AB590" s="1"/>
    </row>
    <row r="591" spans="2:28" ht="11.25" customHeight="1" x14ac:dyDescent="0.25">
      <c r="B591" s="16"/>
      <c r="C591" s="1"/>
      <c r="D591" s="1"/>
      <c r="E591" s="1"/>
      <c r="F591" s="1"/>
      <c r="G591" s="22"/>
      <c r="H591" s="22"/>
      <c r="I591" s="1"/>
      <c r="J591" s="1"/>
      <c r="K591" s="1"/>
      <c r="L591" s="1"/>
      <c r="M591" s="262"/>
      <c r="N591" s="1"/>
      <c r="O591" s="1"/>
      <c r="P591" s="1"/>
      <c r="Q591" s="1"/>
      <c r="R591" s="1"/>
      <c r="S591" s="1"/>
      <c r="T591" s="1"/>
      <c r="U591" s="1"/>
      <c r="V591" s="1"/>
      <c r="W591" s="1"/>
      <c r="X591" s="1"/>
      <c r="Y591" s="1"/>
      <c r="Z591" s="1"/>
      <c r="AA591" s="1"/>
      <c r="AB591" s="1"/>
    </row>
    <row r="592" spans="2:28" ht="11.25" customHeight="1" x14ac:dyDescent="0.25">
      <c r="B592" s="16"/>
      <c r="C592" s="1"/>
      <c r="D592" s="1"/>
      <c r="E592" s="1"/>
      <c r="F592" s="1"/>
      <c r="G592" s="22"/>
      <c r="H592" s="22"/>
      <c r="I592" s="1"/>
      <c r="J592" s="1"/>
      <c r="K592" s="1"/>
      <c r="L592" s="1"/>
      <c r="M592" s="262"/>
      <c r="N592" s="1"/>
      <c r="O592" s="1"/>
      <c r="P592" s="1"/>
      <c r="Q592" s="1"/>
      <c r="R592" s="1"/>
      <c r="S592" s="1"/>
      <c r="T592" s="1"/>
      <c r="U592" s="1"/>
      <c r="V592" s="1"/>
      <c r="W592" s="1"/>
      <c r="X592" s="1"/>
      <c r="Y592" s="1"/>
      <c r="Z592" s="1"/>
      <c r="AA592" s="1"/>
      <c r="AB592" s="1"/>
    </row>
    <row r="593" spans="2:28" ht="11.25" customHeight="1" x14ac:dyDescent="0.25">
      <c r="B593" s="16"/>
      <c r="C593" s="1"/>
      <c r="D593" s="1"/>
      <c r="E593" s="1"/>
      <c r="F593" s="1"/>
      <c r="G593" s="22"/>
      <c r="H593" s="22"/>
      <c r="I593" s="1"/>
      <c r="J593" s="1"/>
      <c r="K593" s="1"/>
      <c r="L593" s="1"/>
      <c r="M593" s="262"/>
      <c r="N593" s="1"/>
      <c r="O593" s="1"/>
      <c r="P593" s="1"/>
      <c r="Q593" s="1"/>
      <c r="R593" s="1"/>
      <c r="S593" s="1"/>
      <c r="T593" s="1"/>
      <c r="U593" s="1"/>
      <c r="V593" s="1"/>
      <c r="W593" s="1"/>
      <c r="X593" s="1"/>
      <c r="Y593" s="1"/>
      <c r="Z593" s="1"/>
      <c r="AA593" s="1"/>
      <c r="AB593" s="1"/>
    </row>
    <row r="594" spans="2:28" ht="11.25" customHeight="1" x14ac:dyDescent="0.25">
      <c r="B594" s="16"/>
      <c r="C594" s="1"/>
      <c r="D594" s="1"/>
      <c r="E594" s="1"/>
      <c r="F594" s="1"/>
      <c r="G594" s="22"/>
      <c r="H594" s="22"/>
      <c r="I594" s="1"/>
      <c r="J594" s="1"/>
      <c r="K594" s="1"/>
      <c r="L594" s="1"/>
      <c r="M594" s="262"/>
      <c r="N594" s="1"/>
      <c r="O594" s="1"/>
      <c r="P594" s="1"/>
      <c r="Q594" s="1"/>
      <c r="R594" s="1"/>
      <c r="S594" s="1"/>
      <c r="T594" s="1"/>
      <c r="U594" s="1"/>
      <c r="V594" s="1"/>
      <c r="W594" s="1"/>
      <c r="X594" s="1"/>
      <c r="Y594" s="1"/>
      <c r="Z594" s="1"/>
      <c r="AA594" s="1"/>
      <c r="AB594" s="1"/>
    </row>
    <row r="595" spans="2:28" ht="11.25" customHeight="1" x14ac:dyDescent="0.25">
      <c r="B595" s="16"/>
      <c r="C595" s="1"/>
      <c r="D595" s="1"/>
      <c r="E595" s="1"/>
      <c r="F595" s="1"/>
      <c r="G595" s="22"/>
      <c r="H595" s="22"/>
      <c r="I595" s="1"/>
      <c r="J595" s="1"/>
      <c r="K595" s="1"/>
      <c r="L595" s="1"/>
      <c r="M595" s="262"/>
      <c r="N595" s="1"/>
      <c r="O595" s="1"/>
      <c r="P595" s="1"/>
      <c r="Q595" s="1"/>
      <c r="R595" s="1"/>
      <c r="S595" s="1"/>
      <c r="T595" s="1"/>
      <c r="U595" s="1"/>
      <c r="V595" s="1"/>
      <c r="W595" s="1"/>
      <c r="X595" s="1"/>
      <c r="Y595" s="1"/>
      <c r="Z595" s="1"/>
      <c r="AA595" s="1"/>
      <c r="AB595" s="1"/>
    </row>
    <row r="596" spans="2:28" ht="11.25" customHeight="1" x14ac:dyDescent="0.25">
      <c r="B596" s="16"/>
      <c r="C596" s="1"/>
      <c r="D596" s="1"/>
      <c r="E596" s="1"/>
      <c r="F596" s="1"/>
      <c r="G596" s="22"/>
      <c r="H596" s="22"/>
      <c r="I596" s="1"/>
      <c r="J596" s="1"/>
      <c r="K596" s="1"/>
      <c r="L596" s="1"/>
      <c r="M596" s="262"/>
      <c r="N596" s="1"/>
      <c r="O596" s="1"/>
      <c r="P596" s="1"/>
      <c r="Q596" s="1"/>
      <c r="R596" s="1"/>
      <c r="S596" s="1"/>
      <c r="T596" s="1"/>
      <c r="U596" s="1"/>
      <c r="V596" s="1"/>
      <c r="W596" s="1"/>
      <c r="X596" s="1"/>
      <c r="Y596" s="1"/>
      <c r="Z596" s="1"/>
      <c r="AA596" s="1"/>
      <c r="AB596" s="1"/>
    </row>
    <row r="597" spans="2:28" ht="11.25" customHeight="1" x14ac:dyDescent="0.25">
      <c r="B597" s="16"/>
      <c r="C597" s="1"/>
      <c r="D597" s="1"/>
      <c r="E597" s="1"/>
      <c r="F597" s="1"/>
      <c r="G597" s="22"/>
      <c r="H597" s="22"/>
      <c r="I597" s="1"/>
      <c r="J597" s="1"/>
      <c r="K597" s="1"/>
      <c r="L597" s="1"/>
      <c r="M597" s="262"/>
      <c r="N597" s="1"/>
      <c r="O597" s="1"/>
      <c r="P597" s="1"/>
      <c r="Q597" s="1"/>
      <c r="R597" s="1"/>
      <c r="S597" s="1"/>
      <c r="T597" s="1"/>
      <c r="U597" s="1"/>
      <c r="V597" s="1"/>
      <c r="W597" s="1"/>
      <c r="X597" s="1"/>
      <c r="Y597" s="1"/>
      <c r="Z597" s="1"/>
      <c r="AA597" s="1"/>
      <c r="AB597" s="1"/>
    </row>
    <row r="598" spans="2:28" ht="11.25" customHeight="1" x14ac:dyDescent="0.25">
      <c r="B598" s="16"/>
      <c r="C598" s="1"/>
      <c r="D598" s="1"/>
      <c r="E598" s="1"/>
      <c r="F598" s="1"/>
      <c r="G598" s="22"/>
      <c r="H598" s="22"/>
      <c r="I598" s="1"/>
      <c r="J598" s="1"/>
      <c r="K598" s="1"/>
      <c r="L598" s="1"/>
      <c r="M598" s="262"/>
      <c r="N598" s="1"/>
      <c r="O598" s="1"/>
      <c r="P598" s="1"/>
      <c r="Q598" s="1"/>
      <c r="R598" s="1"/>
      <c r="S598" s="1"/>
      <c r="T598" s="1"/>
      <c r="U598" s="1"/>
      <c r="V598" s="1"/>
      <c r="W598" s="1"/>
      <c r="X598" s="1"/>
      <c r="Y598" s="1"/>
      <c r="Z598" s="1"/>
      <c r="AA598" s="1"/>
      <c r="AB598" s="1"/>
    </row>
    <row r="599" spans="2:28" ht="11.25" customHeight="1" x14ac:dyDescent="0.25">
      <c r="B599" s="16"/>
      <c r="C599" s="1"/>
      <c r="D599" s="1"/>
      <c r="E599" s="1"/>
      <c r="F599" s="1"/>
      <c r="G599" s="22"/>
      <c r="H599" s="22"/>
      <c r="I599" s="1"/>
      <c r="J599" s="1"/>
      <c r="K599" s="1"/>
      <c r="L599" s="1"/>
      <c r="M599" s="262"/>
      <c r="N599" s="1"/>
      <c r="O599" s="1"/>
      <c r="P599" s="1"/>
      <c r="Q599" s="1"/>
      <c r="R599" s="1"/>
      <c r="S599" s="1"/>
      <c r="T599" s="1"/>
      <c r="U599" s="1"/>
      <c r="V599" s="1"/>
      <c r="W599" s="1"/>
      <c r="X599" s="1"/>
      <c r="Y599" s="1"/>
      <c r="Z599" s="1"/>
      <c r="AA599" s="1"/>
      <c r="AB599" s="1"/>
    </row>
    <row r="600" spans="2:28" ht="11.25" customHeight="1" x14ac:dyDescent="0.25">
      <c r="B600" s="16"/>
      <c r="C600" s="1"/>
      <c r="D600" s="1"/>
      <c r="E600" s="1"/>
      <c r="F600" s="1"/>
      <c r="G600" s="22"/>
      <c r="H600" s="22"/>
      <c r="I600" s="1"/>
      <c r="J600" s="1"/>
      <c r="K600" s="1"/>
      <c r="L600" s="1"/>
      <c r="M600" s="262"/>
      <c r="N600" s="1"/>
      <c r="O600" s="1"/>
      <c r="P600" s="1"/>
      <c r="Q600" s="1"/>
      <c r="R600" s="1"/>
      <c r="S600" s="1"/>
      <c r="T600" s="1"/>
      <c r="U600" s="1"/>
      <c r="V600" s="1"/>
      <c r="W600" s="1"/>
      <c r="X600" s="1"/>
      <c r="Y600" s="1"/>
      <c r="Z600" s="1"/>
      <c r="AA600" s="1"/>
      <c r="AB600" s="1"/>
    </row>
    <row r="601" spans="2:28" ht="11.25" customHeight="1" x14ac:dyDescent="0.25">
      <c r="B601" s="16"/>
      <c r="C601" s="1"/>
      <c r="D601" s="1"/>
      <c r="E601" s="1"/>
      <c r="F601" s="1"/>
      <c r="G601" s="22"/>
      <c r="H601" s="22"/>
      <c r="I601" s="1"/>
      <c r="J601" s="1"/>
      <c r="K601" s="1"/>
      <c r="L601" s="1"/>
      <c r="M601" s="262"/>
      <c r="N601" s="1"/>
      <c r="O601" s="1"/>
      <c r="P601" s="1"/>
      <c r="Q601" s="1"/>
      <c r="R601" s="1"/>
      <c r="S601" s="1"/>
      <c r="T601" s="1"/>
      <c r="U601" s="1"/>
      <c r="V601" s="1"/>
      <c r="W601" s="1"/>
      <c r="X601" s="1"/>
      <c r="Y601" s="1"/>
      <c r="Z601" s="1"/>
      <c r="AA601" s="1"/>
      <c r="AB601" s="1"/>
    </row>
    <row r="602" spans="2:28" ht="11.25" customHeight="1" x14ac:dyDescent="0.25">
      <c r="B602" s="16"/>
      <c r="C602" s="1"/>
      <c r="D602" s="1"/>
      <c r="E602" s="1"/>
      <c r="F602" s="1"/>
      <c r="G602" s="22"/>
      <c r="H602" s="22"/>
      <c r="I602" s="1"/>
      <c r="J602" s="1"/>
      <c r="K602" s="1"/>
      <c r="L602" s="1"/>
      <c r="M602" s="262"/>
      <c r="N602" s="1"/>
      <c r="O602" s="1"/>
      <c r="P602" s="1"/>
      <c r="Q602" s="1"/>
      <c r="R602" s="1"/>
      <c r="S602" s="1"/>
      <c r="T602" s="1"/>
      <c r="U602" s="1"/>
      <c r="V602" s="1"/>
      <c r="W602" s="1"/>
      <c r="X602" s="1"/>
      <c r="Y602" s="1"/>
      <c r="Z602" s="1"/>
      <c r="AA602" s="1"/>
      <c r="AB602" s="1"/>
    </row>
    <row r="603" spans="2:28" ht="11.25" customHeight="1" x14ac:dyDescent="0.25">
      <c r="B603" s="16"/>
      <c r="C603" s="1"/>
      <c r="D603" s="1"/>
      <c r="E603" s="1"/>
      <c r="F603" s="1"/>
      <c r="G603" s="22"/>
      <c r="H603" s="22"/>
      <c r="I603" s="1"/>
      <c r="J603" s="1"/>
      <c r="K603" s="1"/>
      <c r="L603" s="1"/>
      <c r="M603" s="262"/>
      <c r="N603" s="1"/>
      <c r="O603" s="1"/>
      <c r="P603" s="1"/>
      <c r="Q603" s="1"/>
      <c r="R603" s="1"/>
      <c r="S603" s="1"/>
      <c r="T603" s="1"/>
      <c r="U603" s="1"/>
      <c r="V603" s="1"/>
      <c r="W603" s="1"/>
      <c r="X603" s="1"/>
      <c r="Y603" s="1"/>
      <c r="Z603" s="1"/>
      <c r="AA603" s="1"/>
      <c r="AB603" s="1"/>
    </row>
    <row r="604" spans="2:28" ht="11.25" customHeight="1" x14ac:dyDescent="0.25">
      <c r="B604" s="16"/>
      <c r="C604" s="1"/>
      <c r="D604" s="1"/>
      <c r="E604" s="1"/>
      <c r="F604" s="1"/>
      <c r="G604" s="22"/>
      <c r="H604" s="22"/>
      <c r="I604" s="1"/>
      <c r="J604" s="1"/>
      <c r="K604" s="1"/>
      <c r="L604" s="1"/>
      <c r="M604" s="262"/>
      <c r="N604" s="1"/>
      <c r="O604" s="1"/>
      <c r="P604" s="1"/>
      <c r="Q604" s="1"/>
      <c r="R604" s="1"/>
      <c r="S604" s="1"/>
      <c r="T604" s="1"/>
      <c r="U604" s="1"/>
      <c r="V604" s="1"/>
      <c r="W604" s="1"/>
      <c r="X604" s="1"/>
      <c r="Y604" s="1"/>
      <c r="Z604" s="1"/>
      <c r="AA604" s="1"/>
      <c r="AB604" s="1"/>
    </row>
    <row r="605" spans="2:28" ht="11.25" customHeight="1" x14ac:dyDescent="0.25">
      <c r="B605" s="16"/>
      <c r="C605" s="1"/>
      <c r="D605" s="1"/>
      <c r="E605" s="1"/>
      <c r="F605" s="1"/>
      <c r="G605" s="22"/>
      <c r="H605" s="22"/>
      <c r="I605" s="1"/>
      <c r="J605" s="1"/>
      <c r="K605" s="1"/>
      <c r="L605" s="1"/>
      <c r="M605" s="262"/>
      <c r="N605" s="1"/>
      <c r="O605" s="1"/>
      <c r="P605" s="1"/>
      <c r="Q605" s="1"/>
      <c r="R605" s="1"/>
      <c r="S605" s="1"/>
      <c r="T605" s="1"/>
      <c r="U605" s="1"/>
      <c r="V605" s="1"/>
      <c r="W605" s="1"/>
      <c r="X605" s="1"/>
      <c r="Y605" s="1"/>
      <c r="Z605" s="1"/>
      <c r="AA605" s="1"/>
      <c r="AB605" s="1"/>
    </row>
    <row r="606" spans="2:28" ht="11.25" customHeight="1" x14ac:dyDescent="0.25">
      <c r="B606" s="16"/>
      <c r="C606" s="1"/>
      <c r="D606" s="1"/>
      <c r="E606" s="1"/>
      <c r="F606" s="1"/>
      <c r="G606" s="22"/>
      <c r="H606" s="22"/>
      <c r="I606" s="1"/>
      <c r="J606" s="1"/>
      <c r="K606" s="1"/>
      <c r="L606" s="1"/>
      <c r="M606" s="262"/>
      <c r="N606" s="1"/>
      <c r="O606" s="1"/>
      <c r="P606" s="1"/>
      <c r="Q606" s="1"/>
      <c r="R606" s="1"/>
      <c r="S606" s="1"/>
      <c r="T606" s="1"/>
      <c r="U606" s="1"/>
      <c r="V606" s="1"/>
      <c r="W606" s="1"/>
      <c r="X606" s="1"/>
      <c r="Y606" s="1"/>
      <c r="Z606" s="1"/>
      <c r="AA606" s="1"/>
      <c r="AB606" s="1"/>
    </row>
    <row r="607" spans="2:28" ht="11.25" customHeight="1" x14ac:dyDescent="0.25">
      <c r="B607" s="16"/>
      <c r="C607" s="1"/>
      <c r="D607" s="1"/>
      <c r="E607" s="1"/>
      <c r="F607" s="1"/>
      <c r="G607" s="22"/>
      <c r="H607" s="22"/>
      <c r="I607" s="1"/>
      <c r="J607" s="1"/>
      <c r="K607" s="1"/>
      <c r="L607" s="1"/>
      <c r="M607" s="262"/>
      <c r="N607" s="1"/>
      <c r="O607" s="1"/>
      <c r="P607" s="1"/>
      <c r="Q607" s="1"/>
      <c r="R607" s="1"/>
      <c r="S607" s="1"/>
      <c r="T607" s="1"/>
      <c r="U607" s="1"/>
      <c r="V607" s="1"/>
      <c r="W607" s="1"/>
      <c r="X607" s="1"/>
      <c r="Y607" s="1"/>
      <c r="Z607" s="1"/>
      <c r="AA607" s="1"/>
      <c r="AB607" s="1"/>
    </row>
    <row r="608" spans="2:28" ht="11.25" customHeight="1" x14ac:dyDescent="0.25">
      <c r="B608" s="16"/>
      <c r="C608" s="1"/>
      <c r="D608" s="1"/>
      <c r="E608" s="1"/>
      <c r="F608" s="1"/>
      <c r="G608" s="22"/>
      <c r="H608" s="22"/>
      <c r="I608" s="1"/>
      <c r="J608" s="1"/>
      <c r="K608" s="1"/>
      <c r="L608" s="1"/>
      <c r="M608" s="262"/>
      <c r="N608" s="1"/>
      <c r="O608" s="1"/>
      <c r="P608" s="1"/>
      <c r="Q608" s="1"/>
      <c r="R608" s="1"/>
      <c r="S608" s="1"/>
      <c r="T608" s="1"/>
      <c r="U608" s="1"/>
      <c r="V608" s="1"/>
      <c r="W608" s="1"/>
      <c r="X608" s="1"/>
      <c r="Y608" s="1"/>
      <c r="Z608" s="1"/>
      <c r="AA608" s="1"/>
      <c r="AB608" s="1"/>
    </row>
    <row r="609" spans="2:28" ht="11.25" customHeight="1" x14ac:dyDescent="0.25">
      <c r="B609" s="16"/>
      <c r="C609" s="1"/>
      <c r="D609" s="1"/>
      <c r="E609" s="1"/>
      <c r="F609" s="1"/>
      <c r="G609" s="22"/>
      <c r="H609" s="22"/>
      <c r="I609" s="1"/>
      <c r="J609" s="1"/>
      <c r="K609" s="1"/>
      <c r="L609" s="1"/>
      <c r="M609" s="262"/>
      <c r="N609" s="1"/>
      <c r="O609" s="1"/>
      <c r="P609" s="1"/>
      <c r="Q609" s="1"/>
      <c r="R609" s="1"/>
      <c r="S609" s="1"/>
      <c r="T609" s="1"/>
      <c r="U609" s="1"/>
      <c r="V609" s="1"/>
      <c r="W609" s="1"/>
      <c r="X609" s="1"/>
      <c r="Y609" s="1"/>
      <c r="Z609" s="1"/>
      <c r="AA609" s="1"/>
      <c r="AB609" s="1"/>
    </row>
    <row r="610" spans="2:28" ht="11.25" customHeight="1" x14ac:dyDescent="0.25">
      <c r="B610" s="16"/>
      <c r="C610" s="1"/>
      <c r="D610" s="1"/>
      <c r="E610" s="1"/>
      <c r="F610" s="1"/>
      <c r="G610" s="22"/>
      <c r="H610" s="22"/>
      <c r="I610" s="1"/>
      <c r="J610" s="1"/>
      <c r="K610" s="1"/>
      <c r="L610" s="1"/>
      <c r="M610" s="262"/>
      <c r="N610" s="1"/>
      <c r="O610" s="1"/>
      <c r="P610" s="1"/>
      <c r="Q610" s="1"/>
      <c r="R610" s="1"/>
      <c r="S610" s="1"/>
      <c r="T610" s="1"/>
      <c r="U610" s="1"/>
      <c r="V610" s="1"/>
      <c r="W610" s="1"/>
      <c r="X610" s="1"/>
      <c r="Y610" s="1"/>
      <c r="Z610" s="1"/>
      <c r="AA610" s="1"/>
      <c r="AB610" s="1"/>
    </row>
    <row r="611" spans="2:28" ht="11.25" customHeight="1" x14ac:dyDescent="0.25">
      <c r="B611" s="16"/>
      <c r="C611" s="1"/>
      <c r="D611" s="1"/>
      <c r="E611" s="1"/>
      <c r="F611" s="1"/>
      <c r="G611" s="22"/>
      <c r="H611" s="22"/>
      <c r="I611" s="1"/>
      <c r="J611" s="1"/>
      <c r="K611" s="1"/>
      <c r="L611" s="1"/>
      <c r="M611" s="262"/>
      <c r="N611" s="1"/>
      <c r="O611" s="1"/>
      <c r="P611" s="1"/>
      <c r="Q611" s="1"/>
      <c r="R611" s="1"/>
      <c r="S611" s="1"/>
      <c r="T611" s="1"/>
      <c r="U611" s="1"/>
      <c r="V611" s="1"/>
      <c r="W611" s="1"/>
      <c r="X611" s="1"/>
      <c r="Y611" s="1"/>
      <c r="Z611" s="1"/>
      <c r="AA611" s="1"/>
      <c r="AB611" s="1"/>
    </row>
    <row r="612" spans="2:28" ht="11.25" customHeight="1" x14ac:dyDescent="0.25">
      <c r="B612" s="16"/>
      <c r="C612" s="1"/>
      <c r="D612" s="1"/>
      <c r="E612" s="1"/>
      <c r="F612" s="1"/>
      <c r="G612" s="22"/>
      <c r="H612" s="22"/>
      <c r="I612" s="1"/>
      <c r="J612" s="1"/>
      <c r="K612" s="1"/>
      <c r="L612" s="1"/>
      <c r="M612" s="262"/>
      <c r="N612" s="1"/>
      <c r="O612" s="1"/>
      <c r="P612" s="1"/>
      <c r="Q612" s="1"/>
      <c r="R612" s="1"/>
      <c r="S612" s="1"/>
      <c r="T612" s="1"/>
      <c r="U612" s="1"/>
      <c r="V612" s="1"/>
      <c r="W612" s="1"/>
      <c r="X612" s="1"/>
      <c r="Y612" s="1"/>
      <c r="Z612" s="1"/>
      <c r="AA612" s="1"/>
      <c r="AB612" s="1"/>
    </row>
    <row r="613" spans="2:28" ht="11.25" customHeight="1" x14ac:dyDescent="0.25">
      <c r="B613" s="16"/>
      <c r="C613" s="1"/>
      <c r="D613" s="1"/>
      <c r="E613" s="1"/>
      <c r="F613" s="1"/>
      <c r="G613" s="22"/>
      <c r="H613" s="22"/>
      <c r="I613" s="1"/>
      <c r="J613" s="1"/>
      <c r="K613" s="1"/>
      <c r="L613" s="1"/>
      <c r="M613" s="262"/>
      <c r="N613" s="1"/>
      <c r="O613" s="1"/>
      <c r="P613" s="1"/>
      <c r="Q613" s="1"/>
      <c r="R613" s="1"/>
      <c r="S613" s="1"/>
      <c r="T613" s="1"/>
      <c r="U613" s="1"/>
      <c r="V613" s="1"/>
      <c r="W613" s="1"/>
      <c r="X613" s="1"/>
      <c r="Y613" s="1"/>
      <c r="Z613" s="1"/>
      <c r="AA613" s="1"/>
      <c r="AB613" s="1"/>
    </row>
    <row r="614" spans="2:28" ht="11.25" customHeight="1" x14ac:dyDescent="0.25">
      <c r="B614" s="16"/>
      <c r="C614" s="1"/>
      <c r="D614" s="1"/>
      <c r="E614" s="1"/>
      <c r="F614" s="1"/>
      <c r="G614" s="22"/>
      <c r="H614" s="22"/>
      <c r="I614" s="1"/>
      <c r="J614" s="1"/>
      <c r="K614" s="1"/>
      <c r="L614" s="1"/>
      <c r="M614" s="262"/>
      <c r="N614" s="1"/>
      <c r="O614" s="1"/>
      <c r="P614" s="1"/>
      <c r="Q614" s="1"/>
      <c r="R614" s="1"/>
      <c r="S614" s="1"/>
      <c r="T614" s="1"/>
      <c r="U614" s="1"/>
      <c r="V614" s="1"/>
      <c r="W614" s="1"/>
      <c r="X614" s="1"/>
      <c r="Y614" s="1"/>
      <c r="Z614" s="1"/>
      <c r="AA614" s="1"/>
      <c r="AB614" s="1"/>
    </row>
    <row r="615" spans="2:28" ht="11.25" customHeight="1" x14ac:dyDescent="0.25">
      <c r="B615" s="16"/>
      <c r="C615" s="1"/>
      <c r="D615" s="1"/>
      <c r="E615" s="1"/>
      <c r="F615" s="1"/>
      <c r="G615" s="22"/>
      <c r="H615" s="22"/>
      <c r="I615" s="1"/>
      <c r="J615" s="1"/>
      <c r="K615" s="1"/>
      <c r="L615" s="1"/>
      <c r="M615" s="262"/>
      <c r="N615" s="1"/>
      <c r="O615" s="1"/>
      <c r="P615" s="1"/>
      <c r="Q615" s="1"/>
      <c r="R615" s="1"/>
      <c r="S615" s="1"/>
      <c r="T615" s="1"/>
      <c r="U615" s="1"/>
      <c r="V615" s="1"/>
      <c r="W615" s="1"/>
      <c r="X615" s="1"/>
      <c r="Y615" s="1"/>
      <c r="Z615" s="1"/>
      <c r="AA615" s="1"/>
      <c r="AB615" s="1"/>
    </row>
    <row r="616" spans="2:28" ht="11.25" customHeight="1" x14ac:dyDescent="0.25">
      <c r="B616" s="16"/>
      <c r="C616" s="1"/>
      <c r="D616" s="1"/>
      <c r="E616" s="1"/>
      <c r="F616" s="1"/>
      <c r="G616" s="22"/>
      <c r="H616" s="22"/>
      <c r="I616" s="1"/>
      <c r="J616" s="1"/>
      <c r="K616" s="1"/>
      <c r="L616" s="1"/>
      <c r="M616" s="262"/>
      <c r="N616" s="1"/>
      <c r="O616" s="1"/>
      <c r="P616" s="1"/>
      <c r="Q616" s="1"/>
      <c r="R616" s="1"/>
      <c r="S616" s="1"/>
      <c r="T616" s="1"/>
      <c r="U616" s="1"/>
      <c r="V616" s="1"/>
      <c r="W616" s="1"/>
      <c r="X616" s="1"/>
      <c r="Y616" s="1"/>
      <c r="Z616" s="1"/>
      <c r="AA616" s="1"/>
      <c r="AB616" s="1"/>
    </row>
    <row r="617" spans="2:28" ht="11.25" customHeight="1" x14ac:dyDescent="0.25">
      <c r="B617" s="16"/>
      <c r="C617" s="1"/>
      <c r="D617" s="1"/>
      <c r="E617" s="1"/>
      <c r="F617" s="1"/>
      <c r="G617" s="22"/>
      <c r="H617" s="22"/>
      <c r="I617" s="1"/>
      <c r="J617" s="1"/>
      <c r="K617" s="1"/>
      <c r="L617" s="1"/>
      <c r="M617" s="262"/>
      <c r="N617" s="1"/>
      <c r="O617" s="1"/>
      <c r="P617" s="1"/>
      <c r="Q617" s="1"/>
      <c r="R617" s="1"/>
      <c r="S617" s="1"/>
      <c r="T617" s="1"/>
      <c r="U617" s="1"/>
      <c r="V617" s="1"/>
      <c r="W617" s="1"/>
      <c r="X617" s="1"/>
      <c r="Y617" s="1"/>
      <c r="Z617" s="1"/>
      <c r="AA617" s="1"/>
      <c r="AB617" s="1"/>
    </row>
    <row r="618" spans="2:28" ht="11.25" customHeight="1" x14ac:dyDescent="0.25">
      <c r="B618" s="16"/>
      <c r="C618" s="1"/>
      <c r="D618" s="1"/>
      <c r="E618" s="1"/>
      <c r="F618" s="1"/>
      <c r="G618" s="22"/>
      <c r="H618" s="22"/>
      <c r="I618" s="1"/>
      <c r="J618" s="1"/>
      <c r="K618" s="1"/>
      <c r="L618" s="1"/>
      <c r="M618" s="262"/>
      <c r="N618" s="1"/>
      <c r="O618" s="1"/>
      <c r="P618" s="1"/>
      <c r="Q618" s="1"/>
      <c r="R618" s="1"/>
      <c r="S618" s="1"/>
      <c r="T618" s="1"/>
      <c r="U618" s="1"/>
      <c r="V618" s="1"/>
      <c r="W618" s="1"/>
      <c r="X618" s="1"/>
      <c r="Y618" s="1"/>
      <c r="Z618" s="1"/>
      <c r="AA618" s="1"/>
      <c r="AB618" s="1"/>
    </row>
    <row r="619" spans="2:28" ht="11.25" customHeight="1" x14ac:dyDescent="0.25">
      <c r="B619" s="16"/>
      <c r="C619" s="1"/>
      <c r="D619" s="1"/>
      <c r="E619" s="1"/>
      <c r="F619" s="1"/>
      <c r="G619" s="22"/>
      <c r="H619" s="22"/>
      <c r="I619" s="1"/>
      <c r="J619" s="1"/>
      <c r="K619" s="1"/>
      <c r="L619" s="1"/>
      <c r="M619" s="262"/>
      <c r="N619" s="1"/>
      <c r="O619" s="1"/>
      <c r="P619" s="1"/>
      <c r="Q619" s="1"/>
      <c r="R619" s="1"/>
      <c r="S619" s="1"/>
      <c r="T619" s="1"/>
      <c r="U619" s="1"/>
      <c r="V619" s="1"/>
      <c r="W619" s="1"/>
      <c r="X619" s="1"/>
      <c r="Y619" s="1"/>
      <c r="Z619" s="1"/>
      <c r="AA619" s="1"/>
      <c r="AB619" s="1"/>
    </row>
    <row r="620" spans="2:28" ht="11.25" customHeight="1" x14ac:dyDescent="0.25">
      <c r="B620" s="16"/>
      <c r="C620" s="1"/>
      <c r="D620" s="1"/>
      <c r="E620" s="1"/>
      <c r="F620" s="1"/>
      <c r="G620" s="22"/>
      <c r="H620" s="22"/>
      <c r="I620" s="1"/>
      <c r="J620" s="1"/>
      <c r="K620" s="1"/>
      <c r="L620" s="1"/>
      <c r="M620" s="262"/>
      <c r="N620" s="1"/>
      <c r="O620" s="1"/>
      <c r="P620" s="1"/>
      <c r="Q620" s="1"/>
      <c r="R620" s="1"/>
      <c r="S620" s="1"/>
      <c r="T620" s="1"/>
      <c r="U620" s="1"/>
      <c r="V620" s="1"/>
      <c r="W620" s="1"/>
      <c r="X620" s="1"/>
      <c r="Y620" s="1"/>
      <c r="Z620" s="1"/>
      <c r="AA620" s="1"/>
      <c r="AB620" s="1"/>
    </row>
    <row r="621" spans="2:28" ht="11.25" customHeight="1" x14ac:dyDescent="0.25">
      <c r="B621" s="16"/>
      <c r="C621" s="1"/>
      <c r="D621" s="1"/>
      <c r="E621" s="1"/>
      <c r="F621" s="1"/>
      <c r="G621" s="22"/>
      <c r="H621" s="22"/>
      <c r="I621" s="1"/>
      <c r="J621" s="1"/>
      <c r="K621" s="1"/>
      <c r="L621" s="1"/>
      <c r="M621" s="262"/>
      <c r="N621" s="1"/>
      <c r="O621" s="1"/>
      <c r="P621" s="1"/>
      <c r="Q621" s="1"/>
      <c r="R621" s="1"/>
      <c r="S621" s="1"/>
      <c r="T621" s="1"/>
      <c r="U621" s="1"/>
      <c r="V621" s="1"/>
      <c r="W621" s="1"/>
      <c r="X621" s="1"/>
      <c r="Y621" s="1"/>
      <c r="Z621" s="1"/>
      <c r="AA621" s="1"/>
      <c r="AB621" s="1"/>
    </row>
    <row r="622" spans="2:28" ht="11.25" customHeight="1" x14ac:dyDescent="0.25">
      <c r="B622" s="16"/>
      <c r="C622" s="1"/>
      <c r="D622" s="1"/>
      <c r="E622" s="1"/>
      <c r="F622" s="1"/>
      <c r="G622" s="22"/>
      <c r="H622" s="22"/>
      <c r="I622" s="1"/>
      <c r="J622" s="1"/>
      <c r="K622" s="1"/>
      <c r="L622" s="1"/>
      <c r="M622" s="262"/>
      <c r="N622" s="1"/>
      <c r="O622" s="1"/>
      <c r="P622" s="1"/>
      <c r="Q622" s="1"/>
      <c r="R622" s="1"/>
      <c r="S622" s="1"/>
      <c r="T622" s="1"/>
      <c r="U622" s="1"/>
      <c r="V622" s="1"/>
      <c r="W622" s="1"/>
      <c r="X622" s="1"/>
      <c r="Y622" s="1"/>
      <c r="Z622" s="1"/>
      <c r="AA622" s="1"/>
      <c r="AB622" s="1"/>
    </row>
    <row r="623" spans="2:28" ht="11.25" customHeight="1" x14ac:dyDescent="0.25">
      <c r="B623" s="16"/>
      <c r="C623" s="1"/>
      <c r="D623" s="1"/>
      <c r="E623" s="1"/>
      <c r="F623" s="1"/>
      <c r="G623" s="22"/>
      <c r="H623" s="22"/>
      <c r="I623" s="1"/>
      <c r="J623" s="1"/>
      <c r="K623" s="1"/>
      <c r="L623" s="1"/>
      <c r="M623" s="262"/>
      <c r="N623" s="1"/>
      <c r="O623" s="1"/>
      <c r="P623" s="1"/>
      <c r="Q623" s="1"/>
      <c r="R623" s="1"/>
      <c r="S623" s="1"/>
      <c r="T623" s="1"/>
      <c r="U623" s="1"/>
      <c r="V623" s="1"/>
      <c r="W623" s="1"/>
      <c r="X623" s="1"/>
      <c r="Y623" s="1"/>
      <c r="Z623" s="1"/>
      <c r="AA623" s="1"/>
      <c r="AB623" s="1"/>
    </row>
    <row r="624" spans="2:28" ht="11.25" customHeight="1" x14ac:dyDescent="0.25">
      <c r="B624" s="16"/>
      <c r="C624" s="1"/>
      <c r="D624" s="1"/>
      <c r="E624" s="1"/>
      <c r="F624" s="1"/>
      <c r="G624" s="22"/>
      <c r="H624" s="22"/>
      <c r="I624" s="1"/>
      <c r="J624" s="1"/>
      <c r="K624" s="1"/>
      <c r="L624" s="1"/>
      <c r="M624" s="262"/>
      <c r="N624" s="1"/>
      <c r="O624" s="1"/>
      <c r="P624" s="1"/>
      <c r="Q624" s="1"/>
      <c r="R624" s="1"/>
      <c r="S624" s="1"/>
      <c r="T624" s="1"/>
      <c r="U624" s="1"/>
      <c r="V624" s="1"/>
      <c r="W624" s="1"/>
      <c r="X624" s="1"/>
      <c r="Y624" s="1"/>
      <c r="Z624" s="1"/>
      <c r="AA624" s="1"/>
      <c r="AB624" s="1"/>
    </row>
    <row r="625" spans="2:28" ht="11.25" customHeight="1" x14ac:dyDescent="0.25">
      <c r="B625" s="16"/>
      <c r="C625" s="1"/>
      <c r="D625" s="1"/>
      <c r="E625" s="1"/>
      <c r="F625" s="1"/>
      <c r="G625" s="22"/>
      <c r="H625" s="22"/>
      <c r="I625" s="1"/>
      <c r="J625" s="1"/>
      <c r="K625" s="1"/>
      <c r="L625" s="1"/>
      <c r="M625" s="262"/>
      <c r="N625" s="1"/>
      <c r="O625" s="1"/>
      <c r="P625" s="1"/>
      <c r="Q625" s="1"/>
      <c r="R625" s="1"/>
      <c r="S625" s="1"/>
      <c r="T625" s="1"/>
      <c r="U625" s="1"/>
      <c r="V625" s="1"/>
      <c r="W625" s="1"/>
      <c r="X625" s="1"/>
      <c r="Y625" s="1"/>
      <c r="Z625" s="1"/>
      <c r="AA625" s="1"/>
      <c r="AB625" s="1"/>
    </row>
    <row r="626" spans="2:28" ht="11.25" customHeight="1" x14ac:dyDescent="0.25">
      <c r="B626" s="16"/>
      <c r="C626" s="1"/>
      <c r="D626" s="1"/>
      <c r="E626" s="1"/>
      <c r="F626" s="1"/>
      <c r="G626" s="22"/>
      <c r="H626" s="22"/>
      <c r="I626" s="1"/>
      <c r="J626" s="1"/>
      <c r="K626" s="1"/>
      <c r="L626" s="1"/>
      <c r="M626" s="262"/>
      <c r="N626" s="1"/>
      <c r="O626" s="1"/>
      <c r="P626" s="1"/>
      <c r="Q626" s="1"/>
      <c r="R626" s="1"/>
      <c r="S626" s="1"/>
      <c r="T626" s="1"/>
      <c r="U626" s="1"/>
      <c r="V626" s="1"/>
      <c r="W626" s="1"/>
      <c r="X626" s="1"/>
      <c r="Y626" s="1"/>
      <c r="Z626" s="1"/>
      <c r="AA626" s="1"/>
      <c r="AB626" s="1"/>
    </row>
    <row r="627" spans="2:28" ht="11.25" customHeight="1" x14ac:dyDescent="0.25">
      <c r="B627" s="16"/>
      <c r="C627" s="1"/>
      <c r="D627" s="1"/>
      <c r="E627" s="1"/>
      <c r="F627" s="1"/>
      <c r="G627" s="22"/>
      <c r="H627" s="22"/>
      <c r="I627" s="1"/>
      <c r="J627" s="1"/>
      <c r="K627" s="1"/>
      <c r="L627" s="1"/>
      <c r="M627" s="262"/>
      <c r="N627" s="1"/>
      <c r="O627" s="1"/>
      <c r="P627" s="1"/>
      <c r="Q627" s="1"/>
      <c r="R627" s="1"/>
      <c r="S627" s="1"/>
      <c r="T627" s="1"/>
      <c r="U627" s="1"/>
      <c r="V627" s="1"/>
      <c r="W627" s="1"/>
      <c r="X627" s="1"/>
      <c r="Y627" s="1"/>
      <c r="Z627" s="1"/>
      <c r="AA627" s="1"/>
      <c r="AB627" s="1"/>
    </row>
    <row r="628" spans="2:28" ht="11.25" customHeight="1" x14ac:dyDescent="0.25">
      <c r="B628" s="16"/>
      <c r="C628" s="1"/>
      <c r="D628" s="1"/>
      <c r="E628" s="1"/>
      <c r="F628" s="1"/>
      <c r="G628" s="22"/>
      <c r="H628" s="22"/>
      <c r="I628" s="1"/>
      <c r="J628" s="1"/>
      <c r="K628" s="1"/>
      <c r="L628" s="1"/>
      <c r="M628" s="262"/>
      <c r="N628" s="1"/>
      <c r="O628" s="1"/>
      <c r="P628" s="1"/>
      <c r="Q628" s="1"/>
      <c r="R628" s="1"/>
      <c r="S628" s="1"/>
      <c r="T628" s="1"/>
      <c r="U628" s="1"/>
      <c r="V628" s="1"/>
      <c r="W628" s="1"/>
      <c r="X628" s="1"/>
      <c r="Y628" s="1"/>
      <c r="Z628" s="1"/>
      <c r="AA628" s="1"/>
      <c r="AB628" s="1"/>
    </row>
    <row r="629" spans="2:28" ht="11.25" customHeight="1" x14ac:dyDescent="0.25">
      <c r="B629" s="16"/>
      <c r="C629" s="1"/>
      <c r="D629" s="1"/>
      <c r="E629" s="1"/>
      <c r="F629" s="1"/>
      <c r="G629" s="22"/>
      <c r="H629" s="22"/>
      <c r="I629" s="1"/>
      <c r="J629" s="1"/>
      <c r="K629" s="1"/>
      <c r="L629" s="1"/>
      <c r="M629" s="262"/>
      <c r="N629" s="1"/>
      <c r="O629" s="1"/>
      <c r="P629" s="1"/>
      <c r="Q629" s="1"/>
      <c r="R629" s="1"/>
      <c r="S629" s="1"/>
      <c r="T629" s="1"/>
      <c r="U629" s="1"/>
      <c r="V629" s="1"/>
      <c r="W629" s="1"/>
      <c r="X629" s="1"/>
      <c r="Y629" s="1"/>
      <c r="Z629" s="1"/>
      <c r="AA629" s="1"/>
      <c r="AB629" s="1"/>
    </row>
    <row r="630" spans="2:28" ht="11.25" customHeight="1" x14ac:dyDescent="0.25">
      <c r="B630" s="16"/>
      <c r="C630" s="1"/>
      <c r="D630" s="1"/>
      <c r="E630" s="1"/>
      <c r="F630" s="1"/>
      <c r="G630" s="22"/>
      <c r="H630" s="22"/>
      <c r="I630" s="1"/>
      <c r="J630" s="1"/>
      <c r="K630" s="1"/>
      <c r="L630" s="1"/>
      <c r="M630" s="262"/>
      <c r="N630" s="1"/>
      <c r="O630" s="1"/>
      <c r="P630" s="1"/>
      <c r="Q630" s="1"/>
      <c r="R630" s="1"/>
      <c r="S630" s="1"/>
      <c r="T630" s="1"/>
      <c r="U630" s="1"/>
      <c r="V630" s="1"/>
      <c r="W630" s="1"/>
      <c r="X630" s="1"/>
      <c r="Y630" s="1"/>
      <c r="Z630" s="1"/>
      <c r="AA630" s="1"/>
      <c r="AB630" s="1"/>
    </row>
    <row r="631" spans="2:28" ht="11.25" customHeight="1" x14ac:dyDescent="0.25">
      <c r="B631" s="16"/>
      <c r="C631" s="1"/>
      <c r="D631" s="1"/>
      <c r="E631" s="1"/>
      <c r="F631" s="1"/>
      <c r="G631" s="22"/>
      <c r="H631" s="22"/>
      <c r="I631" s="1"/>
      <c r="J631" s="1"/>
      <c r="K631" s="1"/>
      <c r="L631" s="1"/>
      <c r="M631" s="262"/>
      <c r="N631" s="1"/>
      <c r="O631" s="1"/>
      <c r="P631" s="1"/>
      <c r="Q631" s="1"/>
      <c r="R631" s="1"/>
      <c r="S631" s="1"/>
      <c r="T631" s="1"/>
      <c r="U631" s="1"/>
      <c r="V631" s="1"/>
      <c r="W631" s="1"/>
      <c r="X631" s="1"/>
      <c r="Y631" s="1"/>
      <c r="Z631" s="1"/>
      <c r="AA631" s="1"/>
      <c r="AB631" s="1"/>
    </row>
    <row r="632" spans="2:28" ht="11.25" customHeight="1" x14ac:dyDescent="0.25">
      <c r="B632" s="16"/>
      <c r="C632" s="1"/>
      <c r="D632" s="1"/>
      <c r="E632" s="1"/>
      <c r="F632" s="1"/>
      <c r="G632" s="22"/>
      <c r="H632" s="22"/>
      <c r="I632" s="1"/>
      <c r="J632" s="1"/>
      <c r="K632" s="1"/>
      <c r="L632" s="1"/>
      <c r="M632" s="262"/>
      <c r="N632" s="1"/>
      <c r="O632" s="1"/>
      <c r="P632" s="1"/>
      <c r="Q632" s="1"/>
      <c r="R632" s="1"/>
      <c r="S632" s="1"/>
      <c r="T632" s="1"/>
      <c r="U632" s="1"/>
      <c r="V632" s="1"/>
      <c r="W632" s="1"/>
      <c r="X632" s="1"/>
      <c r="Y632" s="1"/>
      <c r="Z632" s="1"/>
      <c r="AA632" s="1"/>
      <c r="AB632" s="1"/>
    </row>
    <row r="633" spans="2:28" ht="11.25" customHeight="1" x14ac:dyDescent="0.25">
      <c r="B633" s="16"/>
      <c r="C633" s="1"/>
      <c r="D633" s="1"/>
      <c r="E633" s="1"/>
      <c r="F633" s="1"/>
      <c r="G633" s="22"/>
      <c r="H633" s="22"/>
      <c r="I633" s="1"/>
      <c r="J633" s="1"/>
      <c r="K633" s="1"/>
      <c r="L633" s="1"/>
      <c r="M633" s="262"/>
      <c r="N633" s="1"/>
      <c r="O633" s="1"/>
      <c r="P633" s="1"/>
      <c r="Q633" s="1"/>
      <c r="R633" s="1"/>
      <c r="S633" s="1"/>
      <c r="T633" s="1"/>
      <c r="U633" s="1"/>
      <c r="V633" s="1"/>
      <c r="W633" s="1"/>
      <c r="X633" s="1"/>
      <c r="Y633" s="1"/>
      <c r="Z633" s="1"/>
      <c r="AA633" s="1"/>
      <c r="AB633" s="1"/>
    </row>
    <row r="634" spans="2:28" ht="11.25" customHeight="1" x14ac:dyDescent="0.25">
      <c r="B634" s="16"/>
      <c r="C634" s="1"/>
      <c r="D634" s="1"/>
      <c r="E634" s="1"/>
      <c r="F634" s="1"/>
      <c r="G634" s="22"/>
      <c r="H634" s="22"/>
      <c r="I634" s="1"/>
      <c r="J634" s="1"/>
      <c r="K634" s="1"/>
      <c r="L634" s="1"/>
      <c r="M634" s="262"/>
      <c r="N634" s="1"/>
      <c r="O634" s="1"/>
      <c r="P634" s="1"/>
      <c r="Q634" s="1"/>
      <c r="R634" s="1"/>
      <c r="S634" s="1"/>
      <c r="T634" s="1"/>
      <c r="U634" s="1"/>
      <c r="V634" s="1"/>
      <c r="W634" s="1"/>
      <c r="X634" s="1"/>
      <c r="Y634" s="1"/>
      <c r="Z634" s="1"/>
      <c r="AA634" s="1"/>
      <c r="AB634" s="1"/>
    </row>
    <row r="635" spans="2:28" ht="11.25" customHeight="1" x14ac:dyDescent="0.25">
      <c r="B635" s="16"/>
      <c r="C635" s="1"/>
      <c r="D635" s="1"/>
      <c r="E635" s="1"/>
      <c r="F635" s="1"/>
      <c r="G635" s="22"/>
      <c r="H635" s="22"/>
      <c r="I635" s="1"/>
      <c r="J635" s="1"/>
      <c r="K635" s="1"/>
      <c r="L635" s="1"/>
      <c r="M635" s="262"/>
      <c r="N635" s="1"/>
      <c r="O635" s="1"/>
      <c r="P635" s="1"/>
      <c r="Q635" s="1"/>
      <c r="R635" s="1"/>
      <c r="S635" s="1"/>
      <c r="T635" s="1"/>
      <c r="U635" s="1"/>
      <c r="V635" s="1"/>
      <c r="W635" s="1"/>
      <c r="X635" s="1"/>
      <c r="Y635" s="1"/>
      <c r="Z635" s="1"/>
      <c r="AA635" s="1"/>
      <c r="AB635" s="1"/>
    </row>
    <row r="636" spans="2:28" ht="11.25" customHeight="1" x14ac:dyDescent="0.25">
      <c r="B636" s="16"/>
      <c r="C636" s="1"/>
      <c r="D636" s="1"/>
      <c r="E636" s="1"/>
      <c r="F636" s="1"/>
      <c r="G636" s="22"/>
      <c r="H636" s="22"/>
      <c r="I636" s="1"/>
      <c r="J636" s="1"/>
      <c r="K636" s="1"/>
      <c r="L636" s="1"/>
      <c r="M636" s="262"/>
      <c r="N636" s="1"/>
      <c r="O636" s="1"/>
      <c r="P636" s="1"/>
      <c r="Q636" s="1"/>
      <c r="R636" s="1"/>
      <c r="S636" s="1"/>
      <c r="T636" s="1"/>
      <c r="U636" s="1"/>
      <c r="V636" s="1"/>
      <c r="W636" s="1"/>
      <c r="X636" s="1"/>
      <c r="Y636" s="1"/>
      <c r="Z636" s="1"/>
      <c r="AA636" s="1"/>
      <c r="AB636" s="1"/>
    </row>
    <row r="637" spans="2:28" ht="11.25" customHeight="1" x14ac:dyDescent="0.25">
      <c r="B637" s="16"/>
      <c r="C637" s="1"/>
      <c r="D637" s="1"/>
      <c r="E637" s="1"/>
      <c r="F637" s="1"/>
      <c r="G637" s="22"/>
      <c r="H637" s="22"/>
      <c r="I637" s="1"/>
      <c r="J637" s="1"/>
      <c r="K637" s="1"/>
      <c r="L637" s="1"/>
      <c r="M637" s="262"/>
      <c r="N637" s="1"/>
      <c r="O637" s="1"/>
      <c r="P637" s="1"/>
      <c r="Q637" s="1"/>
      <c r="R637" s="1"/>
      <c r="S637" s="1"/>
      <c r="T637" s="1"/>
      <c r="U637" s="1"/>
      <c r="V637" s="1"/>
      <c r="W637" s="1"/>
      <c r="X637" s="1"/>
      <c r="Y637" s="1"/>
      <c r="Z637" s="1"/>
      <c r="AA637" s="1"/>
      <c r="AB637" s="1"/>
    </row>
    <row r="638" spans="2:28" ht="11.25" customHeight="1" x14ac:dyDescent="0.25">
      <c r="B638" s="16"/>
      <c r="C638" s="1"/>
      <c r="D638" s="1"/>
      <c r="E638" s="1"/>
      <c r="F638" s="1"/>
      <c r="G638" s="22"/>
      <c r="H638" s="22"/>
      <c r="I638" s="1"/>
      <c r="J638" s="1"/>
      <c r="K638" s="1"/>
      <c r="L638" s="1"/>
      <c r="M638" s="262"/>
      <c r="N638" s="1"/>
      <c r="O638" s="1"/>
      <c r="P638" s="1"/>
      <c r="Q638" s="1"/>
      <c r="R638" s="1"/>
      <c r="S638" s="1"/>
      <c r="T638" s="1"/>
      <c r="U638" s="1"/>
      <c r="V638" s="1"/>
      <c r="W638" s="1"/>
      <c r="X638" s="1"/>
      <c r="Y638" s="1"/>
      <c r="Z638" s="1"/>
      <c r="AA638" s="1"/>
      <c r="AB638" s="1"/>
    </row>
    <row r="639" spans="2:28" ht="11.25" customHeight="1" x14ac:dyDescent="0.25">
      <c r="B639" s="16"/>
      <c r="C639" s="1"/>
      <c r="D639" s="1"/>
      <c r="E639" s="1"/>
      <c r="F639" s="1"/>
      <c r="G639" s="22"/>
      <c r="H639" s="22"/>
      <c r="I639" s="1"/>
      <c r="J639" s="1"/>
      <c r="K639" s="1"/>
      <c r="L639" s="1"/>
      <c r="M639" s="262"/>
      <c r="N639" s="1"/>
      <c r="O639" s="1"/>
      <c r="P639" s="1"/>
      <c r="Q639" s="1"/>
      <c r="R639" s="1"/>
      <c r="S639" s="1"/>
      <c r="T639" s="1"/>
      <c r="U639" s="1"/>
      <c r="V639" s="1"/>
      <c r="W639" s="1"/>
      <c r="X639" s="1"/>
      <c r="Y639" s="1"/>
      <c r="Z639" s="1"/>
      <c r="AA639" s="1"/>
      <c r="AB639" s="1"/>
    </row>
    <row r="640" spans="2:28" ht="11.25" customHeight="1" x14ac:dyDescent="0.25">
      <c r="B640" s="16"/>
      <c r="C640" s="1"/>
      <c r="D640" s="1"/>
      <c r="E640" s="1"/>
      <c r="F640" s="1"/>
      <c r="G640" s="22"/>
      <c r="H640" s="22"/>
      <c r="I640" s="1"/>
      <c r="J640" s="1"/>
      <c r="K640" s="1"/>
      <c r="L640" s="1"/>
      <c r="M640" s="262"/>
      <c r="N640" s="1"/>
      <c r="O640" s="1"/>
      <c r="P640" s="1"/>
      <c r="Q640" s="1"/>
      <c r="R640" s="1"/>
      <c r="S640" s="1"/>
      <c r="T640" s="1"/>
      <c r="U640" s="1"/>
      <c r="V640" s="1"/>
      <c r="W640" s="1"/>
      <c r="X640" s="1"/>
      <c r="Y640" s="1"/>
      <c r="Z640" s="1"/>
      <c r="AA640" s="1"/>
      <c r="AB640" s="1"/>
    </row>
    <row r="641" spans="2:28" ht="11.25" customHeight="1" x14ac:dyDescent="0.25">
      <c r="B641" s="16"/>
      <c r="C641" s="1"/>
      <c r="D641" s="1"/>
      <c r="E641" s="1"/>
      <c r="F641" s="1"/>
      <c r="G641" s="22"/>
      <c r="H641" s="22"/>
      <c r="I641" s="1"/>
      <c r="J641" s="1"/>
      <c r="K641" s="1"/>
      <c r="L641" s="1"/>
      <c r="M641" s="262"/>
      <c r="N641" s="1"/>
      <c r="O641" s="1"/>
      <c r="P641" s="1"/>
      <c r="Q641" s="1"/>
      <c r="R641" s="1"/>
      <c r="S641" s="1"/>
      <c r="T641" s="1"/>
      <c r="U641" s="1"/>
      <c r="V641" s="1"/>
      <c r="W641" s="1"/>
      <c r="X641" s="1"/>
      <c r="Y641" s="1"/>
      <c r="Z641" s="1"/>
      <c r="AA641" s="1"/>
      <c r="AB641" s="1"/>
    </row>
    <row r="642" spans="2:28" ht="11.25" customHeight="1" x14ac:dyDescent="0.25">
      <c r="B642" s="16"/>
      <c r="C642" s="1"/>
      <c r="D642" s="1"/>
      <c r="E642" s="1"/>
      <c r="F642" s="1"/>
      <c r="G642" s="22"/>
      <c r="H642" s="22"/>
      <c r="I642" s="1"/>
      <c r="J642" s="1"/>
      <c r="K642" s="1"/>
      <c r="L642" s="1"/>
      <c r="M642" s="262"/>
      <c r="N642" s="1"/>
      <c r="O642" s="1"/>
      <c r="P642" s="1"/>
      <c r="Q642" s="1"/>
      <c r="R642" s="1"/>
      <c r="S642" s="1"/>
      <c r="T642" s="1"/>
      <c r="U642" s="1"/>
      <c r="V642" s="1"/>
      <c r="W642" s="1"/>
      <c r="X642" s="1"/>
      <c r="Y642" s="1"/>
      <c r="Z642" s="1"/>
      <c r="AA642" s="1"/>
      <c r="AB642" s="1"/>
    </row>
    <row r="643" spans="2:28" ht="11.25" customHeight="1" x14ac:dyDescent="0.25">
      <c r="B643" s="16"/>
      <c r="C643" s="1"/>
      <c r="D643" s="1"/>
      <c r="E643" s="1"/>
      <c r="F643" s="1"/>
      <c r="G643" s="22"/>
      <c r="H643" s="22"/>
      <c r="I643" s="1"/>
      <c r="J643" s="1"/>
      <c r="K643" s="1"/>
      <c r="L643" s="1"/>
      <c r="M643" s="262"/>
      <c r="N643" s="1"/>
      <c r="O643" s="1"/>
      <c r="P643" s="1"/>
      <c r="Q643" s="1"/>
      <c r="R643" s="1"/>
      <c r="S643" s="1"/>
      <c r="T643" s="1"/>
      <c r="U643" s="1"/>
      <c r="V643" s="1"/>
      <c r="W643" s="1"/>
      <c r="X643" s="1"/>
      <c r="Y643" s="1"/>
      <c r="Z643" s="1"/>
      <c r="AA643" s="1"/>
      <c r="AB643" s="1"/>
    </row>
    <row r="644" spans="2:28" ht="11.25" customHeight="1" x14ac:dyDescent="0.25">
      <c r="B644" s="16"/>
      <c r="C644" s="1"/>
      <c r="D644" s="1"/>
      <c r="E644" s="1"/>
      <c r="F644" s="1"/>
      <c r="G644" s="22"/>
      <c r="H644" s="22"/>
      <c r="I644" s="1"/>
      <c r="J644" s="1"/>
      <c r="K644" s="1"/>
      <c r="L644" s="1"/>
      <c r="M644" s="262"/>
      <c r="N644" s="1"/>
      <c r="O644" s="1"/>
      <c r="P644" s="1"/>
      <c r="Q644" s="1"/>
      <c r="R644" s="1"/>
      <c r="S644" s="1"/>
      <c r="T644" s="1"/>
      <c r="U644" s="1"/>
      <c r="V644" s="1"/>
      <c r="W644" s="1"/>
      <c r="X644" s="1"/>
      <c r="Y644" s="1"/>
      <c r="Z644" s="1"/>
      <c r="AA644" s="1"/>
      <c r="AB644" s="1"/>
    </row>
    <row r="645" spans="2:28" ht="11.25" customHeight="1" x14ac:dyDescent="0.25">
      <c r="B645" s="16"/>
      <c r="C645" s="1"/>
      <c r="D645" s="1"/>
      <c r="E645" s="1"/>
      <c r="F645" s="1"/>
      <c r="G645" s="22"/>
      <c r="H645" s="22"/>
      <c r="I645" s="1"/>
      <c r="J645" s="1"/>
      <c r="K645" s="1"/>
      <c r="L645" s="1"/>
      <c r="M645" s="262"/>
      <c r="N645" s="1"/>
      <c r="O645" s="1"/>
      <c r="P645" s="1"/>
      <c r="Q645" s="1"/>
      <c r="R645" s="1"/>
      <c r="S645" s="1"/>
      <c r="T645" s="1"/>
      <c r="U645" s="1"/>
      <c r="V645" s="1"/>
      <c r="W645" s="1"/>
      <c r="X645" s="1"/>
      <c r="Y645" s="1"/>
      <c r="Z645" s="1"/>
      <c r="AA645" s="1"/>
      <c r="AB645" s="1"/>
    </row>
    <row r="646" spans="2:28" ht="11.25" customHeight="1" x14ac:dyDescent="0.25">
      <c r="B646" s="16"/>
      <c r="C646" s="1"/>
      <c r="D646" s="1"/>
      <c r="E646" s="1"/>
      <c r="F646" s="1"/>
      <c r="G646" s="22"/>
      <c r="H646" s="22"/>
      <c r="I646" s="1"/>
      <c r="J646" s="1"/>
      <c r="K646" s="1"/>
      <c r="L646" s="1"/>
      <c r="M646" s="262"/>
      <c r="N646" s="1"/>
      <c r="O646" s="1"/>
      <c r="P646" s="1"/>
      <c r="Q646" s="1"/>
      <c r="R646" s="1"/>
      <c r="S646" s="1"/>
      <c r="T646" s="1"/>
      <c r="U646" s="1"/>
      <c r="V646" s="1"/>
      <c r="W646" s="1"/>
      <c r="X646" s="1"/>
      <c r="Y646" s="1"/>
      <c r="Z646" s="1"/>
      <c r="AA646" s="1"/>
      <c r="AB646" s="1"/>
    </row>
    <row r="647" spans="2:28" ht="11.25" customHeight="1" x14ac:dyDescent="0.25">
      <c r="B647" s="16"/>
      <c r="C647" s="1"/>
      <c r="D647" s="1"/>
      <c r="E647" s="1"/>
      <c r="F647" s="1"/>
      <c r="G647" s="22"/>
      <c r="H647" s="22"/>
      <c r="I647" s="1"/>
      <c r="J647" s="1"/>
      <c r="K647" s="1"/>
      <c r="L647" s="1"/>
      <c r="M647" s="262"/>
      <c r="N647" s="1"/>
      <c r="O647" s="1"/>
      <c r="P647" s="1"/>
      <c r="Q647" s="1"/>
      <c r="R647" s="1"/>
      <c r="S647" s="1"/>
      <c r="T647" s="1"/>
      <c r="U647" s="1"/>
      <c r="V647" s="1"/>
      <c r="W647" s="1"/>
      <c r="X647" s="1"/>
      <c r="Y647" s="1"/>
      <c r="Z647" s="1"/>
      <c r="AA647" s="1"/>
      <c r="AB647" s="1"/>
    </row>
    <row r="648" spans="2:28" ht="11.25" customHeight="1" x14ac:dyDescent="0.25">
      <c r="B648" s="16"/>
      <c r="C648" s="1"/>
      <c r="D648" s="1"/>
      <c r="E648" s="1"/>
      <c r="F648" s="1"/>
      <c r="G648" s="22"/>
      <c r="H648" s="22"/>
      <c r="I648" s="1"/>
      <c r="J648" s="1"/>
      <c r="K648" s="1"/>
      <c r="L648" s="1"/>
      <c r="M648" s="262"/>
      <c r="N648" s="1"/>
      <c r="O648" s="1"/>
      <c r="P648" s="1"/>
      <c r="Q648" s="1"/>
      <c r="R648" s="1"/>
      <c r="S648" s="1"/>
      <c r="T648" s="1"/>
      <c r="U648" s="1"/>
      <c r="V648" s="1"/>
      <c r="W648" s="1"/>
      <c r="X648" s="1"/>
      <c r="Y648" s="1"/>
      <c r="Z648" s="1"/>
      <c r="AA648" s="1"/>
      <c r="AB648" s="1"/>
    </row>
    <row r="649" spans="2:28" ht="11.25" customHeight="1" x14ac:dyDescent="0.25">
      <c r="B649" s="16"/>
      <c r="C649" s="1"/>
      <c r="D649" s="1"/>
      <c r="E649" s="1"/>
      <c r="F649" s="1"/>
      <c r="G649" s="22"/>
      <c r="H649" s="22"/>
      <c r="I649" s="1"/>
      <c r="J649" s="1"/>
      <c r="K649" s="1"/>
      <c r="L649" s="1"/>
      <c r="M649" s="262"/>
      <c r="N649" s="1"/>
      <c r="O649" s="1"/>
      <c r="P649" s="1"/>
      <c r="Q649" s="1"/>
      <c r="R649" s="1"/>
      <c r="S649" s="1"/>
      <c r="T649" s="1"/>
      <c r="U649" s="1"/>
      <c r="V649" s="1"/>
      <c r="W649" s="1"/>
      <c r="X649" s="1"/>
      <c r="Y649" s="1"/>
      <c r="Z649" s="1"/>
      <c r="AA649" s="1"/>
      <c r="AB649" s="1"/>
    </row>
    <row r="650" spans="2:28" ht="11.25" customHeight="1" x14ac:dyDescent="0.25">
      <c r="B650" s="16"/>
      <c r="C650" s="1"/>
      <c r="D650" s="1"/>
      <c r="E650" s="1"/>
      <c r="F650" s="1"/>
      <c r="G650" s="22"/>
      <c r="H650" s="22"/>
      <c r="I650" s="1"/>
      <c r="J650" s="1"/>
      <c r="K650" s="1"/>
      <c r="L650" s="1"/>
      <c r="M650" s="262"/>
      <c r="N650" s="1"/>
      <c r="O650" s="1"/>
      <c r="P650" s="1"/>
      <c r="Q650" s="1"/>
      <c r="R650" s="1"/>
      <c r="S650" s="1"/>
      <c r="T650" s="1"/>
      <c r="U650" s="1"/>
      <c r="V650" s="1"/>
      <c r="W650" s="1"/>
      <c r="X650" s="1"/>
      <c r="Y650" s="1"/>
      <c r="Z650" s="1"/>
      <c r="AA650" s="1"/>
      <c r="AB650" s="1"/>
    </row>
    <row r="651" spans="2:28" ht="11.25" customHeight="1" x14ac:dyDescent="0.25">
      <c r="B651" s="16"/>
      <c r="C651" s="1"/>
      <c r="D651" s="1"/>
      <c r="E651" s="1"/>
      <c r="F651" s="1"/>
      <c r="G651" s="22"/>
      <c r="H651" s="22"/>
      <c r="I651" s="1"/>
      <c r="J651" s="1"/>
      <c r="K651" s="1"/>
      <c r="L651" s="1"/>
      <c r="M651" s="262"/>
      <c r="N651" s="1"/>
      <c r="O651" s="1"/>
      <c r="P651" s="1"/>
      <c r="Q651" s="1"/>
      <c r="R651" s="1"/>
      <c r="S651" s="1"/>
      <c r="T651" s="1"/>
      <c r="U651" s="1"/>
      <c r="V651" s="1"/>
      <c r="W651" s="1"/>
      <c r="X651" s="1"/>
      <c r="Y651" s="1"/>
      <c r="Z651" s="1"/>
      <c r="AA651" s="1"/>
      <c r="AB651" s="1"/>
    </row>
    <row r="652" spans="2:28" ht="11.25" customHeight="1" x14ac:dyDescent="0.25">
      <c r="B652" s="16"/>
      <c r="C652" s="1"/>
      <c r="D652" s="1"/>
      <c r="E652" s="1"/>
      <c r="F652" s="1"/>
      <c r="G652" s="22"/>
      <c r="H652" s="22"/>
      <c r="I652" s="1"/>
      <c r="J652" s="1"/>
      <c r="K652" s="1"/>
      <c r="L652" s="1"/>
      <c r="M652" s="262"/>
      <c r="N652" s="1"/>
      <c r="O652" s="1"/>
      <c r="P652" s="1"/>
      <c r="Q652" s="1"/>
      <c r="R652" s="1"/>
      <c r="S652" s="1"/>
      <c r="T652" s="1"/>
      <c r="U652" s="1"/>
      <c r="V652" s="1"/>
      <c r="W652" s="1"/>
      <c r="X652" s="1"/>
      <c r="Y652" s="1"/>
      <c r="Z652" s="1"/>
      <c r="AA652" s="1"/>
      <c r="AB652" s="1"/>
    </row>
    <row r="653" spans="2:28" ht="11.25" customHeight="1" x14ac:dyDescent="0.25">
      <c r="B653" s="16"/>
      <c r="C653" s="1"/>
      <c r="D653" s="1"/>
      <c r="E653" s="1"/>
      <c r="F653" s="1"/>
      <c r="G653" s="22"/>
      <c r="H653" s="22"/>
      <c r="I653" s="1"/>
      <c r="J653" s="1"/>
      <c r="K653" s="1"/>
      <c r="L653" s="1"/>
      <c r="M653" s="262"/>
      <c r="N653" s="1"/>
      <c r="O653" s="1"/>
      <c r="P653" s="1"/>
      <c r="Q653" s="1"/>
      <c r="R653" s="1"/>
      <c r="S653" s="1"/>
      <c r="T653" s="1"/>
      <c r="U653" s="1"/>
      <c r="V653" s="1"/>
      <c r="W653" s="1"/>
      <c r="X653" s="1"/>
      <c r="Y653" s="1"/>
      <c r="Z653" s="1"/>
      <c r="AA653" s="1"/>
      <c r="AB653" s="1"/>
    </row>
    <row r="654" spans="2:28" ht="11.25" customHeight="1" x14ac:dyDescent="0.25">
      <c r="B654" s="16"/>
      <c r="C654" s="1"/>
      <c r="D654" s="1"/>
      <c r="E654" s="1"/>
      <c r="F654" s="1"/>
      <c r="G654" s="22"/>
      <c r="H654" s="22"/>
      <c r="I654" s="1"/>
      <c r="J654" s="1"/>
      <c r="K654" s="1"/>
      <c r="L654" s="1"/>
      <c r="M654" s="262"/>
      <c r="N654" s="1"/>
      <c r="O654" s="1"/>
      <c r="P654" s="1"/>
      <c r="Q654" s="1"/>
      <c r="R654" s="1"/>
      <c r="S654" s="1"/>
      <c r="T654" s="1"/>
      <c r="U654" s="1"/>
      <c r="V654" s="1"/>
      <c r="W654" s="1"/>
      <c r="X654" s="1"/>
      <c r="Y654" s="1"/>
      <c r="Z654" s="1"/>
      <c r="AA654" s="1"/>
      <c r="AB654" s="1"/>
    </row>
    <row r="655" spans="2:28" ht="11.25" customHeight="1" x14ac:dyDescent="0.25">
      <c r="B655" s="16"/>
      <c r="C655" s="1"/>
      <c r="D655" s="1"/>
      <c r="E655" s="1"/>
      <c r="F655" s="1"/>
      <c r="G655" s="22"/>
      <c r="H655" s="22"/>
      <c r="I655" s="1"/>
      <c r="J655" s="1"/>
      <c r="K655" s="1"/>
      <c r="L655" s="1"/>
      <c r="M655" s="262"/>
      <c r="N655" s="1"/>
      <c r="O655" s="1"/>
      <c r="P655" s="1"/>
      <c r="Q655" s="1"/>
      <c r="R655" s="1"/>
      <c r="S655" s="1"/>
      <c r="T655" s="1"/>
      <c r="U655" s="1"/>
      <c r="V655" s="1"/>
      <c r="W655" s="1"/>
      <c r="X655" s="1"/>
      <c r="Y655" s="1"/>
      <c r="Z655" s="1"/>
      <c r="AA655" s="1"/>
      <c r="AB655" s="1"/>
    </row>
    <row r="656" spans="2:28" ht="11.25" customHeight="1" x14ac:dyDescent="0.25">
      <c r="B656" s="16"/>
      <c r="C656" s="1"/>
      <c r="D656" s="1"/>
      <c r="E656" s="1"/>
      <c r="F656" s="1"/>
      <c r="G656" s="22"/>
      <c r="H656" s="22"/>
      <c r="I656" s="1"/>
      <c r="J656" s="1"/>
      <c r="K656" s="1"/>
      <c r="L656" s="1"/>
      <c r="M656" s="262"/>
      <c r="N656" s="1"/>
      <c r="O656" s="1"/>
      <c r="P656" s="1"/>
      <c r="Q656" s="1"/>
      <c r="R656" s="1"/>
      <c r="S656" s="1"/>
      <c r="T656" s="1"/>
      <c r="U656" s="1"/>
      <c r="V656" s="1"/>
      <c r="W656" s="1"/>
      <c r="X656" s="1"/>
      <c r="Y656" s="1"/>
      <c r="Z656" s="1"/>
      <c r="AA656" s="1"/>
      <c r="AB656" s="1"/>
    </row>
    <row r="657" spans="2:28" ht="11.25" customHeight="1" x14ac:dyDescent="0.25">
      <c r="B657" s="16"/>
      <c r="C657" s="1"/>
      <c r="D657" s="1"/>
      <c r="E657" s="1"/>
      <c r="F657" s="1"/>
      <c r="G657" s="22"/>
      <c r="H657" s="22"/>
      <c r="I657" s="1"/>
      <c r="J657" s="1"/>
      <c r="K657" s="1"/>
      <c r="L657" s="1"/>
      <c r="M657" s="262"/>
      <c r="N657" s="1"/>
      <c r="O657" s="1"/>
      <c r="P657" s="1"/>
      <c r="Q657" s="1"/>
      <c r="R657" s="1"/>
      <c r="S657" s="1"/>
      <c r="T657" s="1"/>
      <c r="U657" s="1"/>
      <c r="V657" s="1"/>
      <c r="W657" s="1"/>
      <c r="X657" s="1"/>
      <c r="Y657" s="1"/>
      <c r="Z657" s="1"/>
      <c r="AA657" s="1"/>
      <c r="AB657" s="1"/>
    </row>
    <row r="658" spans="2:28" ht="11.25" customHeight="1" x14ac:dyDescent="0.25">
      <c r="B658" s="16"/>
      <c r="C658" s="1"/>
      <c r="D658" s="1"/>
      <c r="E658" s="1"/>
      <c r="F658" s="1"/>
      <c r="G658" s="22"/>
      <c r="H658" s="22"/>
      <c r="I658" s="1"/>
      <c r="J658" s="1"/>
      <c r="K658" s="1"/>
      <c r="L658" s="1"/>
      <c r="M658" s="262"/>
      <c r="N658" s="1"/>
      <c r="O658" s="1"/>
      <c r="P658" s="1"/>
      <c r="Q658" s="1"/>
      <c r="R658" s="1"/>
      <c r="S658" s="1"/>
      <c r="T658" s="1"/>
      <c r="U658" s="1"/>
      <c r="V658" s="1"/>
      <c r="W658" s="1"/>
      <c r="X658" s="1"/>
      <c r="Y658" s="1"/>
      <c r="Z658" s="1"/>
      <c r="AA658" s="1"/>
      <c r="AB658" s="1"/>
    </row>
    <row r="659" spans="2:28" ht="11.25" customHeight="1" x14ac:dyDescent="0.25">
      <c r="B659" s="16"/>
      <c r="C659" s="1"/>
      <c r="D659" s="1"/>
      <c r="E659" s="1"/>
      <c r="F659" s="1"/>
      <c r="G659" s="22"/>
      <c r="H659" s="22"/>
      <c r="I659" s="1"/>
      <c r="J659" s="1"/>
      <c r="K659" s="1"/>
      <c r="L659" s="1"/>
      <c r="M659" s="262"/>
      <c r="N659" s="1"/>
      <c r="O659" s="1"/>
      <c r="P659" s="1"/>
      <c r="Q659" s="1"/>
      <c r="R659" s="1"/>
      <c r="S659" s="1"/>
      <c r="T659" s="1"/>
      <c r="U659" s="1"/>
      <c r="V659" s="1"/>
      <c r="W659" s="1"/>
      <c r="X659" s="1"/>
      <c r="Y659" s="1"/>
      <c r="Z659" s="1"/>
      <c r="AA659" s="1"/>
      <c r="AB659" s="1"/>
    </row>
    <row r="660" spans="2:28" ht="11.25" customHeight="1" x14ac:dyDescent="0.25">
      <c r="B660" s="16"/>
      <c r="C660" s="1"/>
      <c r="D660" s="1"/>
      <c r="E660" s="1"/>
      <c r="F660" s="1"/>
      <c r="G660" s="22"/>
      <c r="H660" s="22"/>
      <c r="I660" s="1"/>
      <c r="J660" s="1"/>
      <c r="K660" s="1"/>
      <c r="L660" s="1"/>
      <c r="M660" s="262"/>
      <c r="N660" s="1"/>
      <c r="O660" s="1"/>
      <c r="P660" s="1"/>
      <c r="Q660" s="1"/>
      <c r="R660" s="1"/>
      <c r="S660" s="1"/>
      <c r="T660" s="1"/>
      <c r="U660" s="1"/>
      <c r="V660" s="1"/>
      <c r="W660" s="1"/>
      <c r="X660" s="1"/>
      <c r="Y660" s="1"/>
      <c r="Z660" s="1"/>
      <c r="AA660" s="1"/>
      <c r="AB660" s="1"/>
    </row>
    <row r="661" spans="2:28" ht="11.25" customHeight="1" x14ac:dyDescent="0.25">
      <c r="B661" s="16"/>
      <c r="C661" s="1"/>
      <c r="D661" s="1"/>
      <c r="E661" s="1"/>
      <c r="F661" s="1"/>
      <c r="G661" s="22"/>
      <c r="H661" s="22"/>
      <c r="I661" s="1"/>
      <c r="J661" s="1"/>
      <c r="K661" s="1"/>
      <c r="L661" s="1"/>
      <c r="M661" s="262"/>
      <c r="N661" s="1"/>
      <c r="O661" s="1"/>
      <c r="P661" s="1"/>
      <c r="Q661" s="1"/>
      <c r="R661" s="1"/>
      <c r="S661" s="1"/>
      <c r="T661" s="1"/>
      <c r="U661" s="1"/>
      <c r="V661" s="1"/>
      <c r="W661" s="1"/>
      <c r="X661" s="1"/>
      <c r="Y661" s="1"/>
      <c r="Z661" s="1"/>
      <c r="AA661" s="1"/>
      <c r="AB661" s="1"/>
    </row>
    <row r="662" spans="2:28" ht="11.25" customHeight="1" x14ac:dyDescent="0.25">
      <c r="B662" s="16"/>
      <c r="C662" s="1"/>
      <c r="D662" s="1"/>
      <c r="E662" s="1"/>
      <c r="F662" s="1"/>
      <c r="G662" s="22"/>
      <c r="H662" s="22"/>
      <c r="I662" s="1"/>
      <c r="J662" s="1"/>
      <c r="K662" s="1"/>
      <c r="L662" s="1"/>
      <c r="M662" s="262"/>
      <c r="N662" s="1"/>
      <c r="O662" s="1"/>
      <c r="P662" s="1"/>
      <c r="Q662" s="1"/>
      <c r="R662" s="1"/>
      <c r="S662" s="1"/>
      <c r="T662" s="1"/>
      <c r="U662" s="1"/>
      <c r="V662" s="1"/>
      <c r="W662" s="1"/>
      <c r="X662" s="1"/>
      <c r="Y662" s="1"/>
      <c r="Z662" s="1"/>
      <c r="AA662" s="1"/>
      <c r="AB662" s="1"/>
    </row>
    <row r="663" spans="2:28" ht="11.25" customHeight="1" x14ac:dyDescent="0.25">
      <c r="B663" s="16"/>
      <c r="C663" s="1"/>
      <c r="D663" s="1"/>
      <c r="E663" s="1"/>
      <c r="F663" s="1"/>
      <c r="G663" s="22"/>
      <c r="H663" s="22"/>
      <c r="I663" s="1"/>
      <c r="J663" s="1"/>
      <c r="K663" s="1"/>
      <c r="L663" s="1"/>
      <c r="M663" s="262"/>
      <c r="N663" s="1"/>
      <c r="O663" s="1"/>
      <c r="P663" s="1"/>
      <c r="Q663" s="1"/>
      <c r="R663" s="1"/>
      <c r="S663" s="1"/>
      <c r="T663" s="1"/>
      <c r="U663" s="1"/>
      <c r="V663" s="1"/>
      <c r="W663" s="1"/>
      <c r="X663" s="1"/>
      <c r="Y663" s="1"/>
      <c r="Z663" s="1"/>
      <c r="AA663" s="1"/>
      <c r="AB663" s="1"/>
    </row>
    <row r="664" spans="2:28" ht="11.25" customHeight="1" x14ac:dyDescent="0.25">
      <c r="B664" s="16"/>
      <c r="C664" s="1"/>
      <c r="D664" s="1"/>
      <c r="E664" s="1"/>
      <c r="F664" s="1"/>
      <c r="G664" s="22"/>
      <c r="H664" s="22"/>
      <c r="I664" s="1"/>
      <c r="J664" s="1"/>
      <c r="K664" s="1"/>
      <c r="L664" s="1"/>
      <c r="M664" s="262"/>
      <c r="N664" s="1"/>
      <c r="O664" s="1"/>
      <c r="P664" s="1"/>
      <c r="Q664" s="1"/>
      <c r="R664" s="1"/>
      <c r="S664" s="1"/>
      <c r="T664" s="1"/>
      <c r="U664" s="1"/>
      <c r="V664" s="1"/>
      <c r="W664" s="1"/>
      <c r="X664" s="1"/>
      <c r="Y664" s="1"/>
      <c r="Z664" s="1"/>
      <c r="AA664" s="1"/>
      <c r="AB664" s="1"/>
    </row>
    <row r="665" spans="2:28" ht="11.25" customHeight="1" x14ac:dyDescent="0.25">
      <c r="B665" s="16"/>
      <c r="C665" s="1"/>
      <c r="D665" s="1"/>
      <c r="E665" s="1"/>
      <c r="F665" s="1"/>
      <c r="G665" s="22"/>
      <c r="H665" s="22"/>
      <c r="I665" s="1"/>
      <c r="J665" s="1"/>
      <c r="K665" s="1"/>
      <c r="L665" s="1"/>
      <c r="M665" s="262"/>
      <c r="N665" s="1"/>
      <c r="O665" s="1"/>
      <c r="P665" s="1"/>
      <c r="Q665" s="1"/>
      <c r="R665" s="1"/>
      <c r="S665" s="1"/>
      <c r="T665" s="1"/>
      <c r="U665" s="1"/>
      <c r="V665" s="1"/>
      <c r="W665" s="1"/>
      <c r="X665" s="1"/>
      <c r="Y665" s="1"/>
      <c r="Z665" s="1"/>
      <c r="AA665" s="1"/>
      <c r="AB665" s="1"/>
    </row>
    <row r="666" spans="2:28" ht="11.25" customHeight="1" x14ac:dyDescent="0.25">
      <c r="B666" s="16"/>
      <c r="C666" s="1"/>
      <c r="D666" s="1"/>
      <c r="E666" s="1"/>
      <c r="F666" s="1"/>
      <c r="G666" s="22"/>
      <c r="H666" s="22"/>
      <c r="I666" s="1"/>
      <c r="J666" s="1"/>
      <c r="K666" s="1"/>
      <c r="L666" s="1"/>
      <c r="M666" s="262"/>
      <c r="N666" s="1"/>
      <c r="O666" s="1"/>
      <c r="P666" s="1"/>
      <c r="Q666" s="1"/>
      <c r="R666" s="1"/>
      <c r="S666" s="1"/>
      <c r="T666" s="1"/>
      <c r="U666" s="1"/>
      <c r="V666" s="1"/>
      <c r="W666" s="1"/>
      <c r="X666" s="1"/>
      <c r="Y666" s="1"/>
      <c r="Z666" s="1"/>
      <c r="AA666" s="1"/>
      <c r="AB666" s="1"/>
    </row>
    <row r="667" spans="2:28" ht="11.25" customHeight="1" x14ac:dyDescent="0.25">
      <c r="B667" s="16"/>
      <c r="C667" s="1"/>
      <c r="D667" s="1"/>
      <c r="E667" s="1"/>
      <c r="F667" s="1"/>
      <c r="G667" s="22"/>
      <c r="H667" s="22"/>
      <c r="I667" s="1"/>
      <c r="J667" s="1"/>
      <c r="K667" s="1"/>
      <c r="L667" s="1"/>
      <c r="M667" s="262"/>
      <c r="N667" s="1"/>
      <c r="O667" s="1"/>
      <c r="P667" s="1"/>
      <c r="Q667" s="1"/>
      <c r="R667" s="1"/>
      <c r="S667" s="1"/>
      <c r="T667" s="1"/>
      <c r="U667" s="1"/>
      <c r="V667" s="1"/>
      <c r="W667" s="1"/>
      <c r="X667" s="1"/>
      <c r="Y667" s="1"/>
      <c r="Z667" s="1"/>
      <c r="AA667" s="1"/>
      <c r="AB667" s="1"/>
    </row>
    <row r="668" spans="2:28" ht="11.25" customHeight="1" x14ac:dyDescent="0.25">
      <c r="B668" s="16"/>
      <c r="C668" s="1"/>
      <c r="D668" s="1"/>
      <c r="E668" s="1"/>
      <c r="F668" s="1"/>
      <c r="G668" s="22"/>
      <c r="H668" s="22"/>
      <c r="I668" s="1"/>
      <c r="J668" s="1"/>
      <c r="K668" s="1"/>
      <c r="L668" s="1"/>
      <c r="M668" s="262"/>
      <c r="N668" s="1"/>
      <c r="O668" s="1"/>
      <c r="P668" s="1"/>
      <c r="Q668" s="1"/>
      <c r="R668" s="1"/>
      <c r="S668" s="1"/>
      <c r="T668" s="1"/>
      <c r="U668" s="1"/>
      <c r="V668" s="1"/>
      <c r="W668" s="1"/>
      <c r="X668" s="1"/>
      <c r="Y668" s="1"/>
      <c r="Z668" s="1"/>
      <c r="AA668" s="1"/>
      <c r="AB668" s="1"/>
    </row>
    <row r="669" spans="2:28" ht="11.25" customHeight="1" x14ac:dyDescent="0.25">
      <c r="B669" s="16"/>
      <c r="C669" s="1"/>
      <c r="D669" s="1"/>
      <c r="E669" s="1"/>
      <c r="F669" s="1"/>
      <c r="G669" s="22"/>
      <c r="H669" s="22"/>
      <c r="I669" s="1"/>
      <c r="J669" s="1"/>
      <c r="K669" s="1"/>
      <c r="L669" s="1"/>
      <c r="M669" s="262"/>
      <c r="N669" s="1"/>
      <c r="O669" s="1"/>
      <c r="P669" s="1"/>
      <c r="Q669" s="1"/>
      <c r="R669" s="1"/>
      <c r="S669" s="1"/>
      <c r="T669" s="1"/>
      <c r="U669" s="1"/>
      <c r="V669" s="1"/>
      <c r="W669" s="1"/>
      <c r="X669" s="1"/>
      <c r="Y669" s="1"/>
      <c r="Z669" s="1"/>
      <c r="AA669" s="1"/>
      <c r="AB669" s="1"/>
    </row>
    <row r="670" spans="2:28" ht="11.25" customHeight="1" x14ac:dyDescent="0.25">
      <c r="B670" s="16"/>
      <c r="C670" s="1"/>
      <c r="D670" s="1"/>
      <c r="E670" s="1"/>
      <c r="F670" s="1"/>
      <c r="G670" s="22"/>
      <c r="H670" s="22"/>
      <c r="I670" s="1"/>
      <c r="J670" s="1"/>
      <c r="K670" s="1"/>
      <c r="L670" s="1"/>
      <c r="M670" s="262"/>
      <c r="N670" s="1"/>
      <c r="O670" s="1"/>
      <c r="P670" s="1"/>
      <c r="Q670" s="1"/>
      <c r="R670" s="1"/>
      <c r="S670" s="1"/>
      <c r="T670" s="1"/>
      <c r="U670" s="1"/>
      <c r="V670" s="1"/>
      <c r="W670" s="1"/>
      <c r="X670" s="1"/>
      <c r="Y670" s="1"/>
      <c r="Z670" s="1"/>
      <c r="AA670" s="1"/>
      <c r="AB670" s="1"/>
    </row>
    <row r="671" spans="2:28" ht="11.25" customHeight="1" x14ac:dyDescent="0.25">
      <c r="B671" s="16"/>
      <c r="C671" s="1"/>
      <c r="D671" s="1"/>
      <c r="E671" s="1"/>
      <c r="F671" s="1"/>
      <c r="G671" s="22"/>
      <c r="H671" s="22"/>
      <c r="I671" s="1"/>
      <c r="J671" s="1"/>
      <c r="K671" s="1"/>
      <c r="L671" s="1"/>
      <c r="M671" s="262"/>
      <c r="N671" s="1"/>
      <c r="O671" s="1"/>
      <c r="P671" s="1"/>
      <c r="Q671" s="1"/>
      <c r="R671" s="1"/>
      <c r="S671" s="1"/>
      <c r="T671" s="1"/>
      <c r="U671" s="1"/>
      <c r="V671" s="1"/>
      <c r="W671" s="1"/>
      <c r="X671" s="1"/>
      <c r="Y671" s="1"/>
      <c r="Z671" s="1"/>
      <c r="AA671" s="1"/>
      <c r="AB671" s="1"/>
    </row>
    <row r="672" spans="2:28" ht="11.25" customHeight="1" x14ac:dyDescent="0.25">
      <c r="B672" s="16"/>
      <c r="C672" s="1"/>
      <c r="D672" s="1"/>
      <c r="E672" s="1"/>
      <c r="F672" s="1"/>
      <c r="G672" s="22"/>
      <c r="H672" s="22"/>
      <c r="I672" s="1"/>
      <c r="J672" s="1"/>
      <c r="K672" s="1"/>
      <c r="L672" s="1"/>
      <c r="M672" s="262"/>
      <c r="N672" s="1"/>
      <c r="O672" s="1"/>
      <c r="P672" s="1"/>
      <c r="Q672" s="1"/>
      <c r="R672" s="1"/>
      <c r="S672" s="1"/>
      <c r="T672" s="1"/>
      <c r="U672" s="1"/>
      <c r="V672" s="1"/>
      <c r="W672" s="1"/>
      <c r="X672" s="1"/>
      <c r="Y672" s="1"/>
      <c r="Z672" s="1"/>
      <c r="AA672" s="1"/>
      <c r="AB672" s="1"/>
    </row>
    <row r="673" spans="2:28" ht="11.25" customHeight="1" x14ac:dyDescent="0.25">
      <c r="B673" s="16"/>
      <c r="C673" s="1"/>
      <c r="D673" s="1"/>
      <c r="E673" s="1"/>
      <c r="F673" s="1"/>
      <c r="G673" s="22"/>
      <c r="H673" s="22"/>
      <c r="I673" s="1"/>
      <c r="J673" s="1"/>
      <c r="K673" s="1"/>
      <c r="L673" s="1"/>
      <c r="M673" s="262"/>
      <c r="N673" s="1"/>
      <c r="O673" s="1"/>
      <c r="P673" s="1"/>
      <c r="Q673" s="1"/>
      <c r="R673" s="1"/>
      <c r="S673" s="1"/>
      <c r="T673" s="1"/>
      <c r="U673" s="1"/>
      <c r="V673" s="1"/>
      <c r="W673" s="1"/>
      <c r="X673" s="1"/>
      <c r="Y673" s="1"/>
      <c r="Z673" s="1"/>
      <c r="AA673" s="1"/>
      <c r="AB673" s="1"/>
    </row>
    <row r="674" spans="2:28" ht="11.25" customHeight="1" x14ac:dyDescent="0.25">
      <c r="B674" s="16"/>
      <c r="C674" s="1"/>
      <c r="D674" s="1"/>
      <c r="E674" s="1"/>
      <c r="F674" s="1"/>
      <c r="G674" s="22"/>
      <c r="H674" s="22"/>
      <c r="I674" s="1"/>
      <c r="J674" s="1"/>
      <c r="K674" s="1"/>
      <c r="L674" s="1"/>
      <c r="M674" s="262"/>
      <c r="N674" s="1"/>
      <c r="O674" s="1"/>
      <c r="P674" s="1"/>
      <c r="Q674" s="1"/>
      <c r="R674" s="1"/>
      <c r="S674" s="1"/>
      <c r="T674" s="1"/>
      <c r="U674" s="1"/>
      <c r="V674" s="1"/>
      <c r="W674" s="1"/>
      <c r="X674" s="1"/>
      <c r="Y674" s="1"/>
      <c r="Z674" s="1"/>
      <c r="AA674" s="1"/>
      <c r="AB674" s="1"/>
    </row>
    <row r="675" spans="2:28" ht="11.25" customHeight="1" x14ac:dyDescent="0.25">
      <c r="B675" s="16"/>
      <c r="C675" s="1"/>
      <c r="D675" s="1"/>
      <c r="E675" s="1"/>
      <c r="F675" s="1"/>
      <c r="G675" s="22"/>
      <c r="H675" s="22"/>
      <c r="I675" s="1"/>
      <c r="J675" s="1"/>
      <c r="K675" s="1"/>
      <c r="L675" s="1"/>
      <c r="M675" s="262"/>
      <c r="N675" s="1"/>
      <c r="O675" s="1"/>
      <c r="P675" s="1"/>
      <c r="Q675" s="1"/>
      <c r="R675" s="1"/>
      <c r="S675" s="1"/>
      <c r="T675" s="1"/>
      <c r="U675" s="1"/>
      <c r="V675" s="1"/>
      <c r="W675" s="1"/>
      <c r="X675" s="1"/>
      <c r="Y675" s="1"/>
      <c r="Z675" s="1"/>
      <c r="AA675" s="1"/>
      <c r="AB675" s="1"/>
    </row>
    <row r="676" spans="2:28" ht="11.25" customHeight="1" x14ac:dyDescent="0.25">
      <c r="B676" s="16"/>
      <c r="C676" s="1"/>
      <c r="D676" s="1"/>
      <c r="E676" s="1"/>
      <c r="F676" s="1"/>
      <c r="G676" s="22"/>
      <c r="H676" s="22"/>
      <c r="I676" s="1"/>
      <c r="J676" s="1"/>
      <c r="K676" s="1"/>
      <c r="L676" s="1"/>
      <c r="M676" s="262"/>
      <c r="N676" s="1"/>
      <c r="O676" s="1"/>
      <c r="P676" s="1"/>
      <c r="Q676" s="1"/>
      <c r="R676" s="1"/>
      <c r="S676" s="1"/>
      <c r="T676" s="1"/>
      <c r="U676" s="1"/>
      <c r="V676" s="1"/>
      <c r="W676" s="1"/>
      <c r="X676" s="1"/>
      <c r="Y676" s="1"/>
      <c r="Z676" s="1"/>
      <c r="AA676" s="1"/>
      <c r="AB676" s="1"/>
    </row>
    <row r="677" spans="2:28" ht="11.25" customHeight="1" x14ac:dyDescent="0.25">
      <c r="B677" s="16"/>
      <c r="C677" s="1"/>
      <c r="D677" s="1"/>
      <c r="E677" s="1"/>
      <c r="F677" s="1"/>
      <c r="G677" s="22"/>
      <c r="H677" s="22"/>
      <c r="I677" s="1"/>
      <c r="J677" s="1"/>
      <c r="K677" s="1"/>
      <c r="L677" s="1"/>
      <c r="M677" s="262"/>
      <c r="N677" s="1"/>
      <c r="O677" s="1"/>
      <c r="P677" s="1"/>
      <c r="Q677" s="1"/>
      <c r="R677" s="1"/>
      <c r="S677" s="1"/>
      <c r="T677" s="1"/>
      <c r="U677" s="1"/>
      <c r="V677" s="1"/>
      <c r="W677" s="1"/>
      <c r="X677" s="1"/>
      <c r="Y677" s="1"/>
      <c r="Z677" s="1"/>
      <c r="AA677" s="1"/>
      <c r="AB677" s="1"/>
    </row>
    <row r="678" spans="2:28" ht="11.25" customHeight="1" x14ac:dyDescent="0.25">
      <c r="B678" s="16"/>
      <c r="C678" s="1"/>
      <c r="D678" s="1"/>
      <c r="E678" s="1"/>
      <c r="F678" s="1"/>
      <c r="G678" s="22"/>
      <c r="H678" s="22"/>
      <c r="I678" s="1"/>
      <c r="J678" s="1"/>
      <c r="K678" s="1"/>
      <c r="L678" s="1"/>
      <c r="M678" s="262"/>
      <c r="N678" s="1"/>
      <c r="O678" s="1"/>
      <c r="P678" s="1"/>
      <c r="Q678" s="1"/>
      <c r="R678" s="1"/>
      <c r="S678" s="1"/>
      <c r="T678" s="1"/>
      <c r="U678" s="1"/>
      <c r="V678" s="1"/>
      <c r="W678" s="1"/>
      <c r="X678" s="1"/>
      <c r="Y678" s="1"/>
      <c r="Z678" s="1"/>
      <c r="AA678" s="1"/>
      <c r="AB678" s="1"/>
    </row>
    <row r="679" spans="2:28" ht="11.25" customHeight="1" x14ac:dyDescent="0.25">
      <c r="B679" s="16"/>
      <c r="C679" s="1"/>
      <c r="D679" s="1"/>
      <c r="E679" s="1"/>
      <c r="F679" s="1"/>
      <c r="G679" s="22"/>
      <c r="H679" s="22"/>
      <c r="I679" s="1"/>
      <c r="J679" s="1"/>
      <c r="K679" s="1"/>
      <c r="L679" s="1"/>
      <c r="M679" s="262"/>
      <c r="N679" s="1"/>
      <c r="O679" s="1"/>
      <c r="P679" s="1"/>
      <c r="Q679" s="1"/>
      <c r="R679" s="1"/>
      <c r="S679" s="1"/>
      <c r="T679" s="1"/>
      <c r="U679" s="1"/>
      <c r="V679" s="1"/>
      <c r="W679" s="1"/>
      <c r="X679" s="1"/>
      <c r="Y679" s="1"/>
      <c r="Z679" s="1"/>
      <c r="AA679" s="1"/>
      <c r="AB679" s="1"/>
    </row>
    <row r="680" spans="2:28" ht="11.25" customHeight="1" x14ac:dyDescent="0.25">
      <c r="B680" s="16"/>
      <c r="C680" s="1"/>
      <c r="D680" s="1"/>
      <c r="E680" s="1"/>
      <c r="F680" s="1"/>
      <c r="G680" s="22"/>
      <c r="H680" s="22"/>
      <c r="I680" s="1"/>
      <c r="J680" s="1"/>
      <c r="K680" s="1"/>
      <c r="L680" s="1"/>
      <c r="M680" s="262"/>
      <c r="N680" s="1"/>
      <c r="O680" s="1"/>
      <c r="P680" s="1"/>
      <c r="Q680" s="1"/>
      <c r="R680" s="1"/>
      <c r="S680" s="1"/>
      <c r="T680" s="1"/>
      <c r="U680" s="1"/>
      <c r="V680" s="1"/>
      <c r="W680" s="1"/>
      <c r="X680" s="1"/>
      <c r="Y680" s="1"/>
      <c r="Z680" s="1"/>
      <c r="AA680" s="1"/>
      <c r="AB680" s="1"/>
    </row>
    <row r="681" spans="2:28" ht="11.25" customHeight="1" x14ac:dyDescent="0.25">
      <c r="B681" s="16"/>
      <c r="C681" s="1"/>
      <c r="D681" s="1"/>
      <c r="E681" s="1"/>
      <c r="F681" s="1"/>
      <c r="G681" s="22"/>
      <c r="H681" s="22"/>
      <c r="I681" s="1"/>
      <c r="J681" s="1"/>
      <c r="K681" s="1"/>
      <c r="L681" s="1"/>
      <c r="M681" s="262"/>
      <c r="N681" s="1"/>
      <c r="O681" s="1"/>
      <c r="P681" s="1"/>
      <c r="Q681" s="1"/>
      <c r="R681" s="1"/>
      <c r="S681" s="1"/>
      <c r="T681" s="1"/>
      <c r="U681" s="1"/>
      <c r="V681" s="1"/>
      <c r="W681" s="1"/>
      <c r="X681" s="1"/>
      <c r="Y681" s="1"/>
      <c r="Z681" s="1"/>
      <c r="AA681" s="1"/>
      <c r="AB681" s="1"/>
    </row>
    <row r="682" spans="2:28" ht="11.25" customHeight="1" x14ac:dyDescent="0.25">
      <c r="B682" s="16"/>
      <c r="C682" s="1"/>
      <c r="D682" s="1"/>
      <c r="E682" s="1"/>
      <c r="F682" s="1"/>
      <c r="G682" s="22"/>
      <c r="H682" s="22"/>
      <c r="I682" s="1"/>
      <c r="J682" s="1"/>
      <c r="K682" s="1"/>
      <c r="L682" s="1"/>
      <c r="M682" s="262"/>
      <c r="N682" s="1"/>
      <c r="O682" s="1"/>
      <c r="P682" s="1"/>
      <c r="Q682" s="1"/>
      <c r="R682" s="1"/>
      <c r="S682" s="1"/>
      <c r="T682" s="1"/>
      <c r="U682" s="1"/>
      <c r="V682" s="1"/>
      <c r="W682" s="1"/>
      <c r="X682" s="1"/>
      <c r="Y682" s="1"/>
      <c r="Z682" s="1"/>
      <c r="AA682" s="1"/>
      <c r="AB682" s="1"/>
    </row>
    <row r="683" spans="2:28" ht="11.25" customHeight="1" x14ac:dyDescent="0.25">
      <c r="B683" s="16"/>
      <c r="C683" s="1"/>
      <c r="D683" s="1"/>
      <c r="E683" s="1"/>
      <c r="F683" s="1"/>
      <c r="G683" s="22"/>
      <c r="H683" s="22"/>
      <c r="I683" s="1"/>
      <c r="J683" s="1"/>
      <c r="K683" s="1"/>
      <c r="L683" s="1"/>
      <c r="M683" s="262"/>
      <c r="N683" s="1"/>
      <c r="O683" s="1"/>
      <c r="P683" s="1"/>
      <c r="Q683" s="1"/>
      <c r="R683" s="1"/>
      <c r="S683" s="1"/>
      <c r="T683" s="1"/>
      <c r="U683" s="1"/>
      <c r="V683" s="1"/>
      <c r="W683" s="1"/>
      <c r="X683" s="1"/>
      <c r="Y683" s="1"/>
      <c r="Z683" s="1"/>
      <c r="AA683" s="1"/>
      <c r="AB683" s="1"/>
    </row>
    <row r="684" spans="2:28" ht="11.25" customHeight="1" x14ac:dyDescent="0.25">
      <c r="B684" s="16"/>
      <c r="C684" s="1"/>
      <c r="D684" s="1"/>
      <c r="E684" s="1"/>
      <c r="F684" s="1"/>
      <c r="G684" s="22"/>
      <c r="H684" s="22"/>
      <c r="I684" s="1"/>
      <c r="J684" s="1"/>
      <c r="K684" s="1"/>
      <c r="L684" s="1"/>
      <c r="M684" s="262"/>
      <c r="N684" s="1"/>
      <c r="O684" s="1"/>
      <c r="P684" s="1"/>
      <c r="Q684" s="1"/>
      <c r="R684" s="1"/>
      <c r="S684" s="1"/>
      <c r="T684" s="1"/>
      <c r="U684" s="1"/>
      <c r="V684" s="1"/>
      <c r="W684" s="1"/>
      <c r="X684" s="1"/>
      <c r="Y684" s="1"/>
      <c r="Z684" s="1"/>
      <c r="AA684" s="1"/>
      <c r="AB684" s="1"/>
    </row>
    <row r="685" spans="2:28" ht="11.25" customHeight="1" x14ac:dyDescent="0.25">
      <c r="B685" s="16"/>
      <c r="C685" s="1"/>
      <c r="D685" s="1"/>
      <c r="E685" s="1"/>
      <c r="F685" s="1"/>
      <c r="G685" s="22"/>
      <c r="H685" s="22"/>
      <c r="I685" s="1"/>
      <c r="J685" s="1"/>
      <c r="K685" s="1"/>
      <c r="L685" s="1"/>
      <c r="M685" s="262"/>
      <c r="N685" s="1"/>
      <c r="O685" s="1"/>
      <c r="P685" s="1"/>
      <c r="Q685" s="1"/>
      <c r="R685" s="1"/>
      <c r="S685" s="1"/>
      <c r="T685" s="1"/>
      <c r="U685" s="1"/>
      <c r="V685" s="1"/>
      <c r="W685" s="1"/>
      <c r="X685" s="1"/>
      <c r="Y685" s="1"/>
      <c r="Z685" s="1"/>
      <c r="AA685" s="1"/>
      <c r="AB685" s="1"/>
    </row>
    <row r="686" spans="2:28" ht="11.25" customHeight="1" x14ac:dyDescent="0.25">
      <c r="B686" s="16"/>
      <c r="C686" s="1"/>
      <c r="D686" s="1"/>
      <c r="E686" s="1"/>
      <c r="F686" s="1"/>
      <c r="G686" s="22"/>
      <c r="H686" s="22"/>
      <c r="I686" s="1"/>
      <c r="J686" s="1"/>
      <c r="K686" s="1"/>
      <c r="L686" s="1"/>
      <c r="M686" s="262"/>
      <c r="N686" s="1"/>
      <c r="O686" s="1"/>
      <c r="P686" s="1"/>
      <c r="Q686" s="1"/>
      <c r="R686" s="1"/>
      <c r="S686" s="1"/>
      <c r="T686" s="1"/>
      <c r="U686" s="1"/>
      <c r="V686" s="1"/>
      <c r="W686" s="1"/>
      <c r="X686" s="1"/>
      <c r="Y686" s="1"/>
      <c r="Z686" s="1"/>
      <c r="AA686" s="1"/>
      <c r="AB686" s="1"/>
    </row>
    <row r="687" spans="2:28" ht="11.25" customHeight="1" x14ac:dyDescent="0.25">
      <c r="B687" s="16"/>
      <c r="C687" s="1"/>
      <c r="D687" s="1"/>
      <c r="E687" s="1"/>
      <c r="F687" s="1"/>
      <c r="G687" s="22"/>
      <c r="H687" s="22"/>
      <c r="I687" s="1"/>
      <c r="J687" s="1"/>
      <c r="K687" s="1"/>
      <c r="L687" s="1"/>
      <c r="M687" s="262"/>
      <c r="N687" s="1"/>
      <c r="O687" s="1"/>
      <c r="P687" s="1"/>
      <c r="Q687" s="1"/>
      <c r="R687" s="1"/>
      <c r="S687" s="1"/>
      <c r="T687" s="1"/>
      <c r="U687" s="1"/>
      <c r="V687" s="1"/>
      <c r="W687" s="1"/>
      <c r="X687" s="1"/>
      <c r="Y687" s="1"/>
      <c r="Z687" s="1"/>
      <c r="AA687" s="1"/>
      <c r="AB687" s="1"/>
    </row>
    <row r="688" spans="2:28" ht="11.25" customHeight="1" x14ac:dyDescent="0.25">
      <c r="B688" s="16"/>
      <c r="C688" s="1"/>
      <c r="D688" s="1"/>
      <c r="E688" s="1"/>
      <c r="F688" s="1"/>
      <c r="G688" s="22"/>
      <c r="H688" s="22"/>
      <c r="I688" s="1"/>
      <c r="J688" s="1"/>
      <c r="K688" s="1"/>
      <c r="L688" s="1"/>
      <c r="M688" s="262"/>
      <c r="N688" s="1"/>
      <c r="O688" s="1"/>
      <c r="P688" s="1"/>
      <c r="Q688" s="1"/>
      <c r="R688" s="1"/>
      <c r="S688" s="1"/>
      <c r="T688" s="1"/>
      <c r="U688" s="1"/>
      <c r="V688" s="1"/>
      <c r="W688" s="1"/>
      <c r="X688" s="1"/>
      <c r="Y688" s="1"/>
      <c r="Z688" s="1"/>
      <c r="AA688" s="1"/>
      <c r="AB688" s="1"/>
    </row>
    <row r="689" spans="2:28" ht="11.25" customHeight="1" x14ac:dyDescent="0.25">
      <c r="B689" s="16"/>
      <c r="C689" s="1"/>
      <c r="D689" s="1"/>
      <c r="E689" s="1"/>
      <c r="F689" s="1"/>
      <c r="G689" s="22"/>
      <c r="H689" s="22"/>
      <c r="I689" s="1"/>
      <c r="J689" s="1"/>
      <c r="K689" s="1"/>
      <c r="L689" s="1"/>
      <c r="M689" s="262"/>
      <c r="N689" s="1"/>
      <c r="O689" s="1"/>
      <c r="P689" s="1"/>
      <c r="Q689" s="1"/>
      <c r="R689" s="1"/>
      <c r="S689" s="1"/>
      <c r="T689" s="1"/>
      <c r="U689" s="1"/>
      <c r="V689" s="1"/>
      <c r="W689" s="1"/>
      <c r="X689" s="1"/>
      <c r="Y689" s="1"/>
      <c r="Z689" s="1"/>
      <c r="AA689" s="1"/>
      <c r="AB689" s="1"/>
    </row>
    <row r="690" spans="2:28" ht="11.25" customHeight="1" x14ac:dyDescent="0.25">
      <c r="B690" s="16"/>
      <c r="C690" s="1"/>
      <c r="D690" s="1"/>
      <c r="E690" s="1"/>
      <c r="F690" s="1"/>
      <c r="G690" s="22"/>
      <c r="H690" s="22"/>
      <c r="I690" s="1"/>
      <c r="J690" s="1"/>
      <c r="K690" s="1"/>
      <c r="L690" s="1"/>
      <c r="M690" s="262"/>
      <c r="N690" s="1"/>
      <c r="O690" s="1"/>
      <c r="P690" s="1"/>
      <c r="Q690" s="1"/>
      <c r="R690" s="1"/>
      <c r="S690" s="1"/>
      <c r="T690" s="1"/>
      <c r="U690" s="1"/>
      <c r="V690" s="1"/>
      <c r="W690" s="1"/>
      <c r="X690" s="1"/>
      <c r="Y690" s="1"/>
      <c r="Z690" s="1"/>
      <c r="AA690" s="1"/>
      <c r="AB690" s="1"/>
    </row>
    <row r="691" spans="2:28" ht="11.25" customHeight="1" x14ac:dyDescent="0.25">
      <c r="B691" s="16"/>
      <c r="C691" s="1"/>
      <c r="D691" s="1"/>
      <c r="E691" s="1"/>
      <c r="F691" s="1"/>
      <c r="G691" s="22"/>
      <c r="H691" s="22"/>
      <c r="I691" s="1"/>
      <c r="J691" s="1"/>
      <c r="K691" s="1"/>
      <c r="L691" s="1"/>
      <c r="M691" s="262"/>
      <c r="N691" s="1"/>
      <c r="O691" s="1"/>
      <c r="P691" s="1"/>
      <c r="Q691" s="1"/>
      <c r="R691" s="1"/>
      <c r="S691" s="1"/>
      <c r="T691" s="1"/>
      <c r="U691" s="1"/>
      <c r="V691" s="1"/>
      <c r="W691" s="1"/>
      <c r="X691" s="1"/>
      <c r="Y691" s="1"/>
      <c r="Z691" s="1"/>
      <c r="AA691" s="1"/>
      <c r="AB691" s="1"/>
    </row>
    <row r="692" spans="2:28" ht="11.25" customHeight="1" x14ac:dyDescent="0.25">
      <c r="B692" s="16"/>
      <c r="C692" s="1"/>
      <c r="D692" s="1"/>
      <c r="E692" s="1"/>
      <c r="F692" s="1"/>
      <c r="G692" s="22"/>
      <c r="H692" s="22"/>
      <c r="I692" s="1"/>
      <c r="J692" s="1"/>
      <c r="K692" s="1"/>
      <c r="L692" s="1"/>
      <c r="M692" s="262"/>
      <c r="N692" s="1"/>
      <c r="O692" s="1"/>
      <c r="P692" s="1"/>
      <c r="Q692" s="1"/>
      <c r="R692" s="1"/>
      <c r="S692" s="1"/>
      <c r="T692" s="1"/>
      <c r="U692" s="1"/>
      <c r="V692" s="1"/>
      <c r="W692" s="1"/>
      <c r="X692" s="1"/>
      <c r="Y692" s="1"/>
      <c r="Z692" s="1"/>
      <c r="AA692" s="1"/>
      <c r="AB692" s="1"/>
    </row>
    <row r="693" spans="2:28" ht="11.25" customHeight="1" x14ac:dyDescent="0.25">
      <c r="B693" s="16"/>
      <c r="C693" s="1"/>
      <c r="D693" s="1"/>
      <c r="E693" s="1"/>
      <c r="F693" s="1"/>
      <c r="G693" s="22"/>
      <c r="H693" s="22"/>
      <c r="I693" s="1"/>
      <c r="J693" s="1"/>
      <c r="K693" s="1"/>
      <c r="L693" s="1"/>
      <c r="M693" s="262"/>
      <c r="N693" s="1"/>
      <c r="O693" s="1"/>
      <c r="P693" s="1"/>
      <c r="Q693" s="1"/>
      <c r="R693" s="1"/>
      <c r="S693" s="1"/>
      <c r="T693" s="1"/>
      <c r="U693" s="1"/>
      <c r="V693" s="1"/>
      <c r="W693" s="1"/>
      <c r="X693" s="1"/>
      <c r="Y693" s="1"/>
      <c r="Z693" s="1"/>
      <c r="AA693" s="1"/>
      <c r="AB693" s="1"/>
    </row>
    <row r="694" spans="2:28" ht="11.25" customHeight="1" x14ac:dyDescent="0.25">
      <c r="B694" s="16"/>
      <c r="C694" s="1"/>
      <c r="D694" s="1"/>
      <c r="E694" s="1"/>
      <c r="F694" s="1"/>
      <c r="G694" s="22"/>
      <c r="H694" s="22"/>
      <c r="I694" s="1"/>
      <c r="J694" s="1"/>
      <c r="K694" s="1"/>
      <c r="L694" s="1"/>
      <c r="M694" s="262"/>
      <c r="N694" s="1"/>
      <c r="O694" s="1"/>
      <c r="P694" s="1"/>
      <c r="Q694" s="1"/>
      <c r="R694" s="1"/>
      <c r="S694" s="1"/>
      <c r="T694" s="1"/>
      <c r="U694" s="1"/>
      <c r="V694" s="1"/>
      <c r="W694" s="1"/>
      <c r="X694" s="1"/>
      <c r="Y694" s="1"/>
      <c r="Z694" s="1"/>
      <c r="AA694" s="1"/>
      <c r="AB694" s="1"/>
    </row>
    <row r="695" spans="2:28" ht="11.25" customHeight="1" x14ac:dyDescent="0.25">
      <c r="B695" s="16"/>
      <c r="C695" s="1"/>
      <c r="D695" s="1"/>
      <c r="E695" s="1"/>
      <c r="F695" s="1"/>
      <c r="G695" s="22"/>
      <c r="H695" s="22"/>
      <c r="I695" s="1"/>
      <c r="J695" s="1"/>
      <c r="K695" s="1"/>
      <c r="L695" s="1"/>
      <c r="M695" s="262"/>
      <c r="N695" s="1"/>
      <c r="O695" s="1"/>
      <c r="P695" s="1"/>
      <c r="Q695" s="1"/>
      <c r="R695" s="1"/>
      <c r="S695" s="1"/>
      <c r="T695" s="1"/>
      <c r="U695" s="1"/>
      <c r="V695" s="1"/>
      <c r="W695" s="1"/>
      <c r="X695" s="1"/>
      <c r="Y695" s="1"/>
      <c r="Z695" s="1"/>
      <c r="AA695" s="1"/>
      <c r="AB695" s="1"/>
    </row>
    <row r="696" spans="2:28" ht="11.25" customHeight="1" x14ac:dyDescent="0.25">
      <c r="B696" s="16"/>
      <c r="C696" s="1"/>
      <c r="D696" s="1"/>
      <c r="E696" s="1"/>
      <c r="F696" s="1"/>
      <c r="G696" s="22"/>
      <c r="H696" s="22"/>
      <c r="I696" s="1"/>
      <c r="J696" s="1"/>
      <c r="K696" s="1"/>
      <c r="L696" s="1"/>
      <c r="M696" s="262"/>
      <c r="N696" s="1"/>
      <c r="O696" s="1"/>
      <c r="P696" s="1"/>
      <c r="Q696" s="1"/>
      <c r="R696" s="1"/>
      <c r="S696" s="1"/>
      <c r="T696" s="1"/>
      <c r="U696" s="1"/>
      <c r="V696" s="1"/>
      <c r="W696" s="1"/>
      <c r="X696" s="1"/>
      <c r="Y696" s="1"/>
      <c r="Z696" s="1"/>
      <c r="AA696" s="1"/>
      <c r="AB696" s="1"/>
    </row>
    <row r="697" spans="2:28" ht="11.25" customHeight="1" x14ac:dyDescent="0.25">
      <c r="B697" s="16"/>
      <c r="C697" s="1"/>
      <c r="D697" s="1"/>
      <c r="E697" s="1"/>
      <c r="F697" s="1"/>
      <c r="G697" s="22"/>
      <c r="H697" s="22"/>
      <c r="I697" s="1"/>
      <c r="J697" s="1"/>
      <c r="K697" s="1"/>
      <c r="L697" s="1"/>
      <c r="M697" s="262"/>
      <c r="N697" s="1"/>
      <c r="O697" s="1"/>
      <c r="P697" s="1"/>
      <c r="Q697" s="1"/>
      <c r="R697" s="1"/>
      <c r="S697" s="1"/>
      <c r="T697" s="1"/>
      <c r="U697" s="1"/>
      <c r="V697" s="1"/>
      <c r="W697" s="1"/>
      <c r="X697" s="1"/>
      <c r="Y697" s="1"/>
      <c r="Z697" s="1"/>
      <c r="AA697" s="1"/>
      <c r="AB697" s="1"/>
    </row>
    <row r="698" spans="2:28" ht="11.25" customHeight="1" x14ac:dyDescent="0.25">
      <c r="B698" s="16"/>
      <c r="C698" s="1"/>
      <c r="D698" s="1"/>
      <c r="E698" s="1"/>
      <c r="F698" s="1"/>
      <c r="G698" s="22"/>
      <c r="H698" s="22"/>
      <c r="I698" s="1"/>
      <c r="J698" s="1"/>
      <c r="K698" s="1"/>
      <c r="L698" s="1"/>
      <c r="M698" s="262"/>
      <c r="N698" s="1"/>
      <c r="O698" s="1"/>
      <c r="P698" s="1"/>
      <c r="Q698" s="1"/>
      <c r="R698" s="1"/>
      <c r="S698" s="1"/>
      <c r="T698" s="1"/>
      <c r="U698" s="1"/>
      <c r="V698" s="1"/>
      <c r="W698" s="1"/>
      <c r="X698" s="1"/>
      <c r="Y698" s="1"/>
      <c r="Z698" s="1"/>
      <c r="AA698" s="1"/>
      <c r="AB698" s="1"/>
    </row>
    <row r="699" spans="2:28" ht="11.25" customHeight="1" x14ac:dyDescent="0.25">
      <c r="B699" s="16"/>
      <c r="C699" s="1"/>
      <c r="D699" s="1"/>
      <c r="E699" s="1"/>
      <c r="F699" s="1"/>
      <c r="G699" s="22"/>
      <c r="H699" s="22"/>
      <c r="I699" s="1"/>
      <c r="J699" s="1"/>
      <c r="K699" s="1"/>
      <c r="L699" s="1"/>
      <c r="M699" s="262"/>
      <c r="N699" s="1"/>
      <c r="O699" s="1"/>
      <c r="P699" s="1"/>
      <c r="Q699" s="1"/>
      <c r="R699" s="1"/>
      <c r="S699" s="1"/>
      <c r="T699" s="1"/>
      <c r="U699" s="1"/>
      <c r="V699" s="1"/>
      <c r="W699" s="1"/>
      <c r="X699" s="1"/>
      <c r="Y699" s="1"/>
      <c r="Z699" s="1"/>
      <c r="AA699" s="1"/>
      <c r="AB699" s="1"/>
    </row>
    <row r="700" spans="2:28" ht="11.25" customHeight="1" x14ac:dyDescent="0.25">
      <c r="B700" s="16"/>
      <c r="C700" s="1"/>
      <c r="D700" s="1"/>
      <c r="E700" s="1"/>
      <c r="F700" s="1"/>
      <c r="G700" s="22"/>
      <c r="H700" s="22"/>
      <c r="I700" s="1"/>
      <c r="J700" s="1"/>
      <c r="K700" s="1"/>
      <c r="L700" s="1"/>
      <c r="M700" s="262"/>
      <c r="N700" s="1"/>
      <c r="O700" s="1"/>
      <c r="P700" s="1"/>
      <c r="Q700" s="1"/>
      <c r="R700" s="1"/>
      <c r="S700" s="1"/>
      <c r="T700" s="1"/>
      <c r="U700" s="1"/>
      <c r="V700" s="1"/>
      <c r="W700" s="1"/>
      <c r="X700" s="1"/>
      <c r="Y700" s="1"/>
      <c r="Z700" s="1"/>
      <c r="AA700" s="1"/>
      <c r="AB700" s="1"/>
    </row>
    <row r="701" spans="2:28" ht="11.25" customHeight="1" x14ac:dyDescent="0.25">
      <c r="B701" s="16"/>
      <c r="C701" s="1"/>
      <c r="D701" s="1"/>
      <c r="E701" s="1"/>
      <c r="F701" s="1"/>
      <c r="G701" s="22"/>
      <c r="H701" s="22"/>
      <c r="I701" s="1"/>
      <c r="J701" s="1"/>
      <c r="K701" s="1"/>
      <c r="L701" s="1"/>
      <c r="M701" s="262"/>
      <c r="N701" s="1"/>
      <c r="O701" s="1"/>
      <c r="P701" s="1"/>
      <c r="Q701" s="1"/>
      <c r="R701" s="1"/>
      <c r="S701" s="1"/>
      <c r="T701" s="1"/>
      <c r="U701" s="1"/>
      <c r="V701" s="1"/>
      <c r="W701" s="1"/>
      <c r="X701" s="1"/>
      <c r="Y701" s="1"/>
      <c r="Z701" s="1"/>
      <c r="AA701" s="1"/>
      <c r="AB701" s="1"/>
    </row>
    <row r="702" spans="2:28" ht="11.25" customHeight="1" x14ac:dyDescent="0.25">
      <c r="B702" s="16"/>
      <c r="C702" s="1"/>
      <c r="D702" s="1"/>
      <c r="E702" s="1"/>
      <c r="F702" s="1"/>
      <c r="G702" s="22"/>
      <c r="H702" s="22"/>
      <c r="I702" s="1"/>
      <c r="J702" s="1"/>
      <c r="K702" s="1"/>
      <c r="L702" s="1"/>
      <c r="M702" s="262"/>
      <c r="N702" s="1"/>
      <c r="O702" s="1"/>
      <c r="P702" s="1"/>
      <c r="Q702" s="1"/>
      <c r="R702" s="1"/>
      <c r="S702" s="1"/>
      <c r="T702" s="1"/>
      <c r="U702" s="1"/>
      <c r="V702" s="1"/>
      <c r="W702" s="1"/>
      <c r="X702" s="1"/>
      <c r="Y702" s="1"/>
      <c r="Z702" s="1"/>
      <c r="AA702" s="1"/>
      <c r="AB702" s="1"/>
    </row>
    <row r="703" spans="2:28" ht="11.25" customHeight="1" x14ac:dyDescent="0.25">
      <c r="B703" s="16"/>
      <c r="C703" s="1"/>
      <c r="D703" s="1"/>
      <c r="E703" s="1"/>
      <c r="F703" s="1"/>
      <c r="G703" s="22"/>
      <c r="H703" s="22"/>
      <c r="I703" s="1"/>
      <c r="J703" s="1"/>
      <c r="K703" s="1"/>
      <c r="L703" s="1"/>
      <c r="M703" s="262"/>
      <c r="N703" s="1"/>
      <c r="O703" s="1"/>
      <c r="P703" s="1"/>
      <c r="Q703" s="1"/>
      <c r="R703" s="1"/>
      <c r="S703" s="1"/>
      <c r="T703" s="1"/>
      <c r="U703" s="1"/>
      <c r="V703" s="1"/>
      <c r="W703" s="1"/>
      <c r="X703" s="1"/>
      <c r="Y703" s="1"/>
      <c r="Z703" s="1"/>
      <c r="AA703" s="1"/>
      <c r="AB703" s="1"/>
    </row>
    <row r="704" spans="2:28" ht="11.25" customHeight="1" x14ac:dyDescent="0.25">
      <c r="B704" s="16"/>
      <c r="C704" s="1"/>
      <c r="D704" s="1"/>
      <c r="E704" s="1"/>
      <c r="F704" s="1"/>
      <c r="G704" s="22"/>
      <c r="H704" s="22"/>
      <c r="I704" s="1"/>
      <c r="J704" s="1"/>
      <c r="K704" s="1"/>
      <c r="L704" s="1"/>
      <c r="M704" s="262"/>
      <c r="N704" s="1"/>
      <c r="O704" s="1"/>
      <c r="P704" s="1"/>
      <c r="Q704" s="1"/>
      <c r="R704" s="1"/>
      <c r="S704" s="1"/>
      <c r="T704" s="1"/>
      <c r="U704" s="1"/>
      <c r="V704" s="1"/>
      <c r="W704" s="1"/>
      <c r="X704" s="1"/>
      <c r="Y704" s="1"/>
      <c r="Z704" s="1"/>
      <c r="AA704" s="1"/>
      <c r="AB704" s="1"/>
    </row>
    <row r="705" spans="2:28" ht="11.25" customHeight="1" x14ac:dyDescent="0.25">
      <c r="B705" s="16"/>
      <c r="C705" s="1"/>
      <c r="D705" s="1"/>
      <c r="E705" s="1"/>
      <c r="F705" s="1"/>
      <c r="G705" s="22"/>
      <c r="H705" s="22"/>
      <c r="I705" s="1"/>
      <c r="J705" s="1"/>
      <c r="K705" s="1"/>
      <c r="L705" s="1"/>
      <c r="M705" s="262"/>
      <c r="N705" s="1"/>
      <c r="O705" s="1"/>
      <c r="P705" s="1"/>
      <c r="Q705" s="1"/>
      <c r="R705" s="1"/>
      <c r="S705" s="1"/>
      <c r="T705" s="1"/>
      <c r="U705" s="1"/>
      <c r="V705" s="1"/>
      <c r="W705" s="1"/>
      <c r="X705" s="1"/>
      <c r="Y705" s="1"/>
      <c r="Z705" s="1"/>
      <c r="AA705" s="1"/>
      <c r="AB705" s="1"/>
    </row>
    <row r="706" spans="2:28" ht="11.25" customHeight="1" x14ac:dyDescent="0.25">
      <c r="B706" s="16"/>
      <c r="C706" s="1"/>
      <c r="D706" s="1"/>
      <c r="E706" s="1"/>
      <c r="F706" s="1"/>
      <c r="G706" s="22"/>
      <c r="H706" s="22"/>
      <c r="I706" s="1"/>
      <c r="J706" s="1"/>
      <c r="K706" s="1"/>
      <c r="L706" s="1"/>
      <c r="M706" s="262"/>
      <c r="N706" s="1"/>
      <c r="O706" s="1"/>
      <c r="P706" s="1"/>
      <c r="Q706" s="1"/>
      <c r="R706" s="1"/>
      <c r="S706" s="1"/>
      <c r="T706" s="1"/>
      <c r="U706" s="1"/>
      <c r="V706" s="1"/>
      <c r="W706" s="1"/>
      <c r="X706" s="1"/>
      <c r="Y706" s="1"/>
      <c r="Z706" s="1"/>
      <c r="AA706" s="1"/>
      <c r="AB706" s="1"/>
    </row>
    <row r="707" spans="2:28" ht="11.25" customHeight="1" x14ac:dyDescent="0.25">
      <c r="B707" s="16"/>
      <c r="C707" s="1"/>
      <c r="D707" s="1"/>
      <c r="E707" s="1"/>
      <c r="F707" s="1"/>
      <c r="G707" s="22"/>
      <c r="H707" s="22"/>
      <c r="I707" s="1"/>
      <c r="J707" s="1"/>
      <c r="K707" s="1"/>
      <c r="L707" s="1"/>
      <c r="M707" s="262"/>
      <c r="N707" s="1"/>
      <c r="O707" s="1"/>
      <c r="P707" s="1"/>
      <c r="Q707" s="1"/>
      <c r="R707" s="1"/>
      <c r="S707" s="1"/>
      <c r="T707" s="1"/>
      <c r="U707" s="1"/>
      <c r="V707" s="1"/>
      <c r="W707" s="1"/>
      <c r="X707" s="1"/>
      <c r="Y707" s="1"/>
      <c r="Z707" s="1"/>
      <c r="AA707" s="1"/>
      <c r="AB707" s="1"/>
    </row>
    <row r="708" spans="2:28" ht="11.25" customHeight="1" x14ac:dyDescent="0.25">
      <c r="B708" s="16"/>
      <c r="C708" s="1"/>
      <c r="D708" s="1"/>
      <c r="E708" s="1"/>
      <c r="F708" s="1"/>
      <c r="G708" s="22"/>
      <c r="H708" s="22"/>
      <c r="I708" s="1"/>
      <c r="J708" s="1"/>
      <c r="K708" s="1"/>
      <c r="L708" s="1"/>
      <c r="M708" s="262"/>
      <c r="N708" s="1"/>
      <c r="O708" s="1"/>
      <c r="P708" s="1"/>
      <c r="Q708" s="1"/>
      <c r="R708" s="1"/>
      <c r="S708" s="1"/>
      <c r="T708" s="1"/>
      <c r="U708" s="1"/>
      <c r="V708" s="1"/>
      <c r="W708" s="1"/>
      <c r="X708" s="1"/>
      <c r="Y708" s="1"/>
      <c r="Z708" s="1"/>
      <c r="AA708" s="1"/>
      <c r="AB708" s="1"/>
    </row>
    <row r="709" spans="2:28" ht="11.25" customHeight="1" x14ac:dyDescent="0.25">
      <c r="B709" s="16"/>
      <c r="C709" s="1"/>
      <c r="D709" s="1"/>
      <c r="E709" s="1"/>
      <c r="F709" s="1"/>
      <c r="G709" s="22"/>
      <c r="H709" s="22"/>
      <c r="I709" s="1"/>
      <c r="J709" s="1"/>
      <c r="K709" s="1"/>
      <c r="L709" s="1"/>
      <c r="M709" s="262"/>
      <c r="N709" s="1"/>
      <c r="O709" s="1"/>
      <c r="P709" s="1"/>
      <c r="Q709" s="1"/>
      <c r="R709" s="1"/>
      <c r="S709" s="1"/>
      <c r="T709" s="1"/>
      <c r="U709" s="1"/>
      <c r="V709" s="1"/>
      <c r="W709" s="1"/>
      <c r="X709" s="1"/>
      <c r="Y709" s="1"/>
      <c r="Z709" s="1"/>
      <c r="AA709" s="1"/>
      <c r="AB709" s="1"/>
    </row>
    <row r="710" spans="2:28" ht="11.25" customHeight="1" x14ac:dyDescent="0.25">
      <c r="B710" s="16"/>
      <c r="C710" s="1"/>
      <c r="D710" s="1"/>
      <c r="E710" s="1"/>
      <c r="F710" s="1"/>
      <c r="G710" s="22"/>
      <c r="H710" s="22"/>
      <c r="I710" s="1"/>
      <c r="J710" s="1"/>
      <c r="K710" s="1"/>
      <c r="L710" s="1"/>
      <c r="M710" s="262"/>
      <c r="N710" s="1"/>
      <c r="O710" s="1"/>
      <c r="P710" s="1"/>
      <c r="Q710" s="1"/>
      <c r="R710" s="1"/>
      <c r="S710" s="1"/>
      <c r="T710" s="1"/>
      <c r="U710" s="1"/>
      <c r="V710" s="1"/>
      <c r="W710" s="1"/>
      <c r="X710" s="1"/>
      <c r="Y710" s="1"/>
      <c r="Z710" s="1"/>
      <c r="AA710" s="1"/>
      <c r="AB710" s="1"/>
    </row>
    <row r="711" spans="2:28" ht="11.25" customHeight="1" x14ac:dyDescent="0.25">
      <c r="B711" s="16"/>
      <c r="C711" s="1"/>
      <c r="D711" s="1"/>
      <c r="E711" s="1"/>
      <c r="F711" s="1"/>
      <c r="G711" s="22"/>
      <c r="H711" s="22"/>
      <c r="I711" s="1"/>
      <c r="J711" s="1"/>
      <c r="K711" s="1"/>
      <c r="L711" s="1"/>
      <c r="M711" s="262"/>
      <c r="N711" s="1"/>
      <c r="O711" s="1"/>
      <c r="P711" s="1"/>
      <c r="Q711" s="1"/>
      <c r="R711" s="1"/>
      <c r="S711" s="1"/>
      <c r="T711" s="1"/>
      <c r="U711" s="1"/>
      <c r="V711" s="1"/>
      <c r="W711" s="1"/>
      <c r="X711" s="1"/>
      <c r="Y711" s="1"/>
      <c r="Z711" s="1"/>
      <c r="AA711" s="1"/>
      <c r="AB711" s="1"/>
    </row>
    <row r="712" spans="2:28" ht="11.25" customHeight="1" x14ac:dyDescent="0.25">
      <c r="B712" s="16"/>
      <c r="C712" s="1"/>
      <c r="D712" s="1"/>
      <c r="E712" s="1"/>
      <c r="F712" s="1"/>
      <c r="G712" s="22"/>
      <c r="H712" s="22"/>
      <c r="I712" s="1"/>
      <c r="J712" s="1"/>
      <c r="K712" s="1"/>
      <c r="L712" s="1"/>
      <c r="M712" s="262"/>
      <c r="N712" s="1"/>
      <c r="O712" s="1"/>
      <c r="P712" s="1"/>
      <c r="Q712" s="1"/>
      <c r="R712" s="1"/>
      <c r="S712" s="1"/>
      <c r="T712" s="1"/>
      <c r="U712" s="1"/>
      <c r="V712" s="1"/>
      <c r="W712" s="1"/>
      <c r="X712" s="1"/>
      <c r="Y712" s="1"/>
      <c r="Z712" s="1"/>
      <c r="AA712" s="1"/>
      <c r="AB712" s="1"/>
    </row>
    <row r="713" spans="2:28" ht="11.25" customHeight="1" x14ac:dyDescent="0.25">
      <c r="B713" s="16"/>
      <c r="C713" s="1"/>
      <c r="D713" s="1"/>
      <c r="E713" s="1"/>
      <c r="F713" s="1"/>
      <c r="G713" s="22"/>
      <c r="H713" s="22"/>
      <c r="I713" s="1"/>
      <c r="J713" s="1"/>
      <c r="K713" s="1"/>
      <c r="L713" s="1"/>
      <c r="M713" s="262"/>
      <c r="N713" s="1"/>
      <c r="O713" s="1"/>
      <c r="P713" s="1"/>
      <c r="Q713" s="1"/>
      <c r="R713" s="1"/>
      <c r="S713" s="1"/>
      <c r="T713" s="1"/>
      <c r="U713" s="1"/>
      <c r="V713" s="1"/>
      <c r="W713" s="1"/>
      <c r="X713" s="1"/>
      <c r="Y713" s="1"/>
      <c r="Z713" s="1"/>
      <c r="AA713" s="1"/>
      <c r="AB713" s="1"/>
    </row>
    <row r="714" spans="2:28" ht="11.25" customHeight="1" x14ac:dyDescent="0.25">
      <c r="B714" s="16"/>
      <c r="C714" s="1"/>
      <c r="D714" s="1"/>
      <c r="E714" s="1"/>
      <c r="F714" s="1"/>
      <c r="G714" s="22"/>
      <c r="H714" s="22"/>
      <c r="I714" s="1"/>
      <c r="J714" s="1"/>
      <c r="K714" s="1"/>
      <c r="L714" s="1"/>
      <c r="M714" s="262"/>
      <c r="N714" s="1"/>
      <c r="O714" s="1"/>
      <c r="P714" s="1"/>
      <c r="Q714" s="1"/>
      <c r="R714" s="1"/>
      <c r="S714" s="1"/>
      <c r="T714" s="1"/>
      <c r="U714" s="1"/>
      <c r="V714" s="1"/>
      <c r="W714" s="1"/>
      <c r="X714" s="1"/>
      <c r="Y714" s="1"/>
      <c r="Z714" s="1"/>
      <c r="AA714" s="1"/>
      <c r="AB714" s="1"/>
    </row>
    <row r="715" spans="2:28" ht="11.25" customHeight="1" x14ac:dyDescent="0.25">
      <c r="B715" s="16"/>
      <c r="C715" s="1"/>
      <c r="D715" s="1"/>
      <c r="E715" s="1"/>
      <c r="F715" s="1"/>
      <c r="G715" s="22"/>
      <c r="H715" s="22"/>
      <c r="I715" s="1"/>
      <c r="J715" s="1"/>
      <c r="K715" s="1"/>
      <c r="L715" s="1"/>
      <c r="M715" s="262"/>
      <c r="N715" s="1"/>
      <c r="O715" s="1"/>
      <c r="P715" s="1"/>
      <c r="Q715" s="1"/>
      <c r="R715" s="1"/>
      <c r="S715" s="1"/>
      <c r="T715" s="1"/>
      <c r="U715" s="1"/>
      <c r="V715" s="1"/>
      <c r="W715" s="1"/>
      <c r="X715" s="1"/>
      <c r="Y715" s="1"/>
      <c r="Z715" s="1"/>
      <c r="AA715" s="1"/>
      <c r="AB715" s="1"/>
    </row>
    <row r="716" spans="2:28" ht="11.25" customHeight="1" x14ac:dyDescent="0.25">
      <c r="B716" s="16"/>
      <c r="C716" s="1"/>
      <c r="D716" s="1"/>
      <c r="E716" s="1"/>
      <c r="F716" s="1"/>
      <c r="G716" s="22"/>
      <c r="H716" s="22"/>
      <c r="I716" s="1"/>
      <c r="J716" s="1"/>
      <c r="K716" s="1"/>
      <c r="L716" s="1"/>
      <c r="M716" s="262"/>
      <c r="N716" s="1"/>
      <c r="O716" s="1"/>
      <c r="P716" s="1"/>
      <c r="Q716" s="1"/>
      <c r="R716" s="1"/>
      <c r="S716" s="1"/>
      <c r="T716" s="1"/>
      <c r="U716" s="1"/>
      <c r="V716" s="1"/>
      <c r="W716" s="1"/>
      <c r="X716" s="1"/>
      <c r="Y716" s="1"/>
      <c r="Z716" s="1"/>
      <c r="AA716" s="1"/>
      <c r="AB716" s="1"/>
    </row>
    <row r="717" spans="2:28" ht="11.25" customHeight="1" x14ac:dyDescent="0.25">
      <c r="B717" s="16"/>
      <c r="C717" s="1"/>
      <c r="D717" s="1"/>
      <c r="E717" s="1"/>
      <c r="F717" s="1"/>
      <c r="G717" s="22"/>
      <c r="H717" s="22"/>
      <c r="I717" s="1"/>
      <c r="J717" s="1"/>
      <c r="K717" s="1"/>
      <c r="L717" s="1"/>
      <c r="M717" s="262"/>
      <c r="N717" s="1"/>
      <c r="O717" s="1"/>
      <c r="P717" s="1"/>
      <c r="Q717" s="1"/>
      <c r="R717" s="1"/>
      <c r="S717" s="1"/>
      <c r="T717" s="1"/>
      <c r="U717" s="1"/>
      <c r="V717" s="1"/>
      <c r="W717" s="1"/>
      <c r="X717" s="1"/>
      <c r="Y717" s="1"/>
      <c r="Z717" s="1"/>
      <c r="AA717" s="1"/>
      <c r="AB717" s="1"/>
    </row>
    <row r="718" spans="2:28" ht="11.25" customHeight="1" x14ac:dyDescent="0.25">
      <c r="B718" s="16"/>
      <c r="C718" s="1"/>
      <c r="D718" s="1"/>
      <c r="E718" s="1"/>
      <c r="F718" s="1"/>
      <c r="G718" s="22"/>
      <c r="H718" s="22"/>
      <c r="I718" s="1"/>
      <c r="J718" s="1"/>
      <c r="K718" s="1"/>
      <c r="L718" s="1"/>
      <c r="M718" s="262"/>
      <c r="N718" s="1"/>
      <c r="O718" s="1"/>
      <c r="P718" s="1"/>
      <c r="Q718" s="1"/>
      <c r="R718" s="1"/>
      <c r="S718" s="1"/>
      <c r="T718" s="1"/>
      <c r="U718" s="1"/>
      <c r="V718" s="1"/>
      <c r="W718" s="1"/>
      <c r="X718" s="1"/>
      <c r="Y718" s="1"/>
      <c r="Z718" s="1"/>
      <c r="AA718" s="1"/>
      <c r="AB718" s="1"/>
    </row>
    <row r="719" spans="2:28" ht="11.25" customHeight="1" x14ac:dyDescent="0.25">
      <c r="B719" s="16"/>
      <c r="C719" s="1"/>
      <c r="D719" s="1"/>
      <c r="E719" s="1"/>
      <c r="F719" s="1"/>
      <c r="G719" s="22"/>
      <c r="H719" s="22"/>
      <c r="I719" s="1"/>
      <c r="J719" s="1"/>
      <c r="K719" s="1"/>
      <c r="L719" s="1"/>
      <c r="M719" s="262"/>
      <c r="N719" s="1"/>
      <c r="O719" s="1"/>
      <c r="P719" s="1"/>
      <c r="Q719" s="1"/>
      <c r="R719" s="1"/>
      <c r="S719" s="1"/>
      <c r="T719" s="1"/>
      <c r="U719" s="1"/>
      <c r="V719" s="1"/>
      <c r="W719" s="1"/>
      <c r="X719" s="1"/>
      <c r="Y719" s="1"/>
      <c r="Z719" s="1"/>
      <c r="AA719" s="1"/>
      <c r="AB719" s="1"/>
    </row>
    <row r="720" spans="2:28" ht="11.25" customHeight="1" x14ac:dyDescent="0.25">
      <c r="B720" s="16"/>
      <c r="C720" s="1"/>
      <c r="D720" s="1"/>
      <c r="E720" s="1"/>
      <c r="F720" s="1"/>
      <c r="G720" s="22"/>
      <c r="H720" s="22"/>
      <c r="I720" s="1"/>
      <c r="J720" s="1"/>
      <c r="K720" s="1"/>
      <c r="L720" s="1"/>
      <c r="M720" s="262"/>
      <c r="N720" s="1"/>
      <c r="O720" s="1"/>
      <c r="P720" s="1"/>
      <c r="Q720" s="1"/>
      <c r="R720" s="1"/>
      <c r="S720" s="1"/>
      <c r="T720" s="1"/>
      <c r="U720" s="1"/>
      <c r="V720" s="1"/>
      <c r="W720" s="1"/>
      <c r="X720" s="1"/>
      <c r="Y720" s="1"/>
      <c r="Z720" s="1"/>
      <c r="AA720" s="1"/>
      <c r="AB720" s="1"/>
    </row>
    <row r="721" spans="2:28" ht="11.25" customHeight="1" x14ac:dyDescent="0.25">
      <c r="B721" s="16"/>
      <c r="C721" s="1"/>
      <c r="D721" s="1"/>
      <c r="E721" s="1"/>
      <c r="F721" s="1"/>
      <c r="G721" s="22"/>
      <c r="H721" s="22"/>
      <c r="I721" s="1"/>
      <c r="J721" s="1"/>
      <c r="K721" s="1"/>
      <c r="L721" s="1"/>
      <c r="M721" s="262"/>
      <c r="N721" s="1"/>
      <c r="O721" s="1"/>
      <c r="P721" s="1"/>
      <c r="Q721" s="1"/>
      <c r="R721" s="1"/>
      <c r="S721" s="1"/>
      <c r="T721" s="1"/>
      <c r="U721" s="1"/>
      <c r="V721" s="1"/>
      <c r="W721" s="1"/>
      <c r="X721" s="1"/>
      <c r="Y721" s="1"/>
      <c r="Z721" s="1"/>
      <c r="AA721" s="1"/>
      <c r="AB721" s="1"/>
    </row>
    <row r="722" spans="2:28" ht="11.25" customHeight="1" x14ac:dyDescent="0.25">
      <c r="B722" s="16"/>
      <c r="C722" s="1"/>
      <c r="D722" s="1"/>
      <c r="E722" s="1"/>
      <c r="F722" s="1"/>
      <c r="G722" s="22"/>
      <c r="H722" s="22"/>
      <c r="I722" s="1"/>
      <c r="J722" s="1"/>
      <c r="K722" s="1"/>
      <c r="L722" s="1"/>
      <c r="M722" s="262"/>
      <c r="N722" s="1"/>
      <c r="O722" s="1"/>
      <c r="P722" s="1"/>
      <c r="Q722" s="1"/>
      <c r="R722" s="1"/>
      <c r="S722" s="1"/>
      <c r="T722" s="1"/>
      <c r="U722" s="1"/>
      <c r="V722" s="1"/>
      <c r="W722" s="1"/>
      <c r="X722" s="1"/>
      <c r="Y722" s="1"/>
      <c r="Z722" s="1"/>
      <c r="AA722" s="1"/>
      <c r="AB722" s="1"/>
    </row>
    <row r="723" spans="2:28" ht="11.25" customHeight="1" x14ac:dyDescent="0.25">
      <c r="B723" s="16"/>
      <c r="C723" s="1"/>
      <c r="D723" s="1"/>
      <c r="E723" s="1"/>
      <c r="F723" s="1"/>
      <c r="G723" s="22"/>
      <c r="H723" s="22"/>
      <c r="I723" s="1"/>
      <c r="J723" s="1"/>
      <c r="K723" s="1"/>
      <c r="L723" s="1"/>
      <c r="M723" s="262"/>
      <c r="N723" s="1"/>
      <c r="O723" s="1"/>
      <c r="P723" s="1"/>
      <c r="Q723" s="1"/>
      <c r="R723" s="1"/>
      <c r="S723" s="1"/>
      <c r="T723" s="1"/>
      <c r="U723" s="1"/>
      <c r="V723" s="1"/>
      <c r="W723" s="1"/>
      <c r="X723" s="1"/>
      <c r="Y723" s="1"/>
      <c r="Z723" s="1"/>
      <c r="AA723" s="1"/>
      <c r="AB723" s="1"/>
    </row>
    <row r="724" spans="2:28" ht="11.25" customHeight="1" x14ac:dyDescent="0.25">
      <c r="B724" s="16"/>
      <c r="C724" s="1"/>
      <c r="D724" s="1"/>
      <c r="E724" s="1"/>
      <c r="F724" s="1"/>
      <c r="G724" s="22"/>
      <c r="H724" s="22"/>
      <c r="I724" s="1"/>
      <c r="J724" s="1"/>
      <c r="K724" s="1"/>
      <c r="L724" s="1"/>
      <c r="M724" s="262"/>
      <c r="N724" s="1"/>
      <c r="O724" s="1"/>
      <c r="P724" s="1"/>
      <c r="Q724" s="1"/>
      <c r="R724" s="1"/>
      <c r="S724" s="1"/>
      <c r="T724" s="1"/>
      <c r="U724" s="1"/>
      <c r="V724" s="1"/>
      <c r="W724" s="1"/>
      <c r="X724" s="1"/>
      <c r="Y724" s="1"/>
      <c r="Z724" s="1"/>
      <c r="AA724" s="1"/>
      <c r="AB724" s="1"/>
    </row>
    <row r="725" spans="2:28" ht="11.25" customHeight="1" x14ac:dyDescent="0.25">
      <c r="B725" s="16"/>
      <c r="C725" s="1"/>
      <c r="D725" s="1"/>
      <c r="E725" s="1"/>
      <c r="F725" s="1"/>
      <c r="G725" s="22"/>
      <c r="H725" s="22"/>
      <c r="I725" s="1"/>
      <c r="J725" s="1"/>
      <c r="K725" s="1"/>
      <c r="L725" s="1"/>
      <c r="M725" s="262"/>
      <c r="N725" s="1"/>
      <c r="O725" s="1"/>
      <c r="P725" s="1"/>
      <c r="Q725" s="1"/>
      <c r="R725" s="1"/>
      <c r="S725" s="1"/>
      <c r="T725" s="1"/>
      <c r="U725" s="1"/>
      <c r="V725" s="1"/>
      <c r="W725" s="1"/>
      <c r="X725" s="1"/>
      <c r="Y725" s="1"/>
      <c r="Z725" s="1"/>
      <c r="AA725" s="1"/>
      <c r="AB725" s="1"/>
    </row>
    <row r="726" spans="2:28" ht="11.25" customHeight="1" x14ac:dyDescent="0.25">
      <c r="B726" s="16"/>
      <c r="C726" s="1"/>
      <c r="D726" s="1"/>
      <c r="E726" s="1"/>
      <c r="F726" s="1"/>
      <c r="G726" s="22"/>
      <c r="H726" s="22"/>
      <c r="I726" s="1"/>
      <c r="J726" s="1"/>
      <c r="K726" s="1"/>
      <c r="L726" s="1"/>
      <c r="M726" s="262"/>
      <c r="N726" s="1"/>
      <c r="O726" s="1"/>
      <c r="P726" s="1"/>
      <c r="Q726" s="1"/>
      <c r="R726" s="1"/>
      <c r="S726" s="1"/>
      <c r="T726" s="1"/>
      <c r="U726" s="1"/>
      <c r="V726" s="1"/>
      <c r="W726" s="1"/>
      <c r="X726" s="1"/>
      <c r="Y726" s="1"/>
      <c r="Z726" s="1"/>
      <c r="AA726" s="1"/>
      <c r="AB726" s="1"/>
    </row>
    <row r="727" spans="2:28" ht="11.25" customHeight="1" x14ac:dyDescent="0.25">
      <c r="B727" s="16"/>
      <c r="C727" s="1"/>
      <c r="D727" s="1"/>
      <c r="E727" s="1"/>
      <c r="F727" s="1"/>
      <c r="G727" s="22"/>
      <c r="H727" s="22"/>
      <c r="I727" s="1"/>
      <c r="J727" s="1"/>
      <c r="K727" s="1"/>
      <c r="L727" s="1"/>
      <c r="M727" s="262"/>
      <c r="N727" s="1"/>
      <c r="O727" s="1"/>
      <c r="P727" s="1"/>
      <c r="Q727" s="1"/>
      <c r="R727" s="1"/>
      <c r="S727" s="1"/>
      <c r="T727" s="1"/>
      <c r="U727" s="1"/>
      <c r="V727" s="1"/>
      <c r="W727" s="1"/>
      <c r="X727" s="1"/>
      <c r="Y727" s="1"/>
      <c r="Z727" s="1"/>
      <c r="AA727" s="1"/>
      <c r="AB727" s="1"/>
    </row>
    <row r="728" spans="2:28" ht="11.25" customHeight="1" x14ac:dyDescent="0.25">
      <c r="B728" s="16"/>
      <c r="C728" s="1"/>
      <c r="D728" s="1"/>
      <c r="E728" s="1"/>
      <c r="F728" s="1"/>
      <c r="G728" s="22"/>
      <c r="H728" s="22"/>
      <c r="I728" s="1"/>
      <c r="J728" s="1"/>
      <c r="K728" s="1"/>
      <c r="L728" s="1"/>
      <c r="M728" s="262"/>
      <c r="N728" s="1"/>
      <c r="O728" s="1"/>
      <c r="P728" s="1"/>
      <c r="Q728" s="1"/>
      <c r="R728" s="1"/>
      <c r="S728" s="1"/>
      <c r="T728" s="1"/>
      <c r="U728" s="1"/>
      <c r="V728" s="1"/>
      <c r="W728" s="1"/>
      <c r="X728" s="1"/>
      <c r="Y728" s="1"/>
      <c r="Z728" s="1"/>
      <c r="AA728" s="1"/>
      <c r="AB728" s="1"/>
    </row>
    <row r="729" spans="2:28" ht="11.25" customHeight="1" x14ac:dyDescent="0.25">
      <c r="B729" s="16"/>
      <c r="C729" s="1"/>
      <c r="D729" s="1"/>
      <c r="E729" s="1"/>
      <c r="F729" s="1"/>
      <c r="G729" s="22"/>
      <c r="H729" s="22"/>
      <c r="I729" s="1"/>
      <c r="J729" s="1"/>
      <c r="K729" s="1"/>
      <c r="L729" s="1"/>
      <c r="M729" s="262"/>
      <c r="N729" s="1"/>
      <c r="O729" s="1"/>
      <c r="P729" s="1"/>
      <c r="Q729" s="1"/>
      <c r="R729" s="1"/>
      <c r="S729" s="1"/>
      <c r="T729" s="1"/>
      <c r="U729" s="1"/>
      <c r="V729" s="1"/>
      <c r="W729" s="1"/>
      <c r="X729" s="1"/>
      <c r="Y729" s="1"/>
      <c r="Z729" s="1"/>
      <c r="AA729" s="1"/>
      <c r="AB729" s="1"/>
    </row>
    <row r="730" spans="2:28" ht="11.25" customHeight="1" x14ac:dyDescent="0.25">
      <c r="B730" s="16"/>
      <c r="C730" s="1"/>
      <c r="D730" s="1"/>
      <c r="E730" s="1"/>
      <c r="F730" s="1"/>
      <c r="G730" s="22"/>
      <c r="H730" s="22"/>
      <c r="I730" s="1"/>
      <c r="J730" s="1"/>
      <c r="K730" s="1"/>
      <c r="L730" s="1"/>
      <c r="M730" s="262"/>
      <c r="N730" s="1"/>
      <c r="O730" s="1"/>
      <c r="P730" s="1"/>
      <c r="Q730" s="1"/>
      <c r="R730" s="1"/>
      <c r="S730" s="1"/>
      <c r="T730" s="1"/>
      <c r="U730" s="1"/>
      <c r="V730" s="1"/>
      <c r="W730" s="1"/>
      <c r="X730" s="1"/>
      <c r="Y730" s="1"/>
      <c r="Z730" s="1"/>
      <c r="AA730" s="1"/>
      <c r="AB730" s="1"/>
    </row>
    <row r="731" spans="2:28" ht="11.25" customHeight="1" x14ac:dyDescent="0.25">
      <c r="B731" s="16"/>
      <c r="C731" s="1"/>
      <c r="D731" s="1"/>
      <c r="E731" s="1"/>
      <c r="F731" s="1"/>
      <c r="G731" s="22"/>
      <c r="H731" s="22"/>
      <c r="I731" s="1"/>
      <c r="J731" s="1"/>
      <c r="K731" s="1"/>
      <c r="L731" s="1"/>
      <c r="M731" s="262"/>
      <c r="N731" s="1"/>
      <c r="O731" s="1"/>
      <c r="P731" s="1"/>
      <c r="Q731" s="1"/>
      <c r="R731" s="1"/>
      <c r="S731" s="1"/>
      <c r="T731" s="1"/>
      <c r="U731" s="1"/>
      <c r="V731" s="1"/>
      <c r="W731" s="1"/>
      <c r="X731" s="1"/>
      <c r="Y731" s="1"/>
      <c r="Z731" s="1"/>
      <c r="AA731" s="1"/>
      <c r="AB731" s="1"/>
    </row>
    <row r="732" spans="2:28" ht="11.25" customHeight="1" x14ac:dyDescent="0.25">
      <c r="B732" s="16"/>
      <c r="C732" s="1"/>
      <c r="D732" s="1"/>
      <c r="E732" s="1"/>
      <c r="F732" s="1"/>
      <c r="G732" s="22"/>
      <c r="H732" s="22"/>
      <c r="I732" s="1"/>
      <c r="J732" s="1"/>
      <c r="K732" s="1"/>
      <c r="L732" s="1"/>
      <c r="M732" s="262"/>
      <c r="N732" s="1"/>
      <c r="O732" s="1"/>
      <c r="P732" s="1"/>
      <c r="Q732" s="1"/>
      <c r="R732" s="1"/>
      <c r="S732" s="1"/>
      <c r="T732" s="1"/>
      <c r="U732" s="1"/>
      <c r="V732" s="1"/>
      <c r="W732" s="1"/>
      <c r="X732" s="1"/>
      <c r="Y732" s="1"/>
      <c r="Z732" s="1"/>
      <c r="AA732" s="1"/>
      <c r="AB732" s="1"/>
    </row>
    <row r="733" spans="2:28" ht="11.25" customHeight="1" x14ac:dyDescent="0.25">
      <c r="B733" s="16"/>
      <c r="C733" s="1"/>
      <c r="D733" s="1"/>
      <c r="E733" s="1"/>
      <c r="F733" s="1"/>
      <c r="G733" s="22"/>
      <c r="H733" s="22"/>
      <c r="I733" s="1"/>
      <c r="J733" s="1"/>
      <c r="K733" s="1"/>
      <c r="L733" s="1"/>
      <c r="M733" s="262"/>
      <c r="N733" s="1"/>
      <c r="O733" s="1"/>
      <c r="P733" s="1"/>
      <c r="Q733" s="1"/>
      <c r="R733" s="1"/>
      <c r="S733" s="1"/>
      <c r="T733" s="1"/>
      <c r="U733" s="1"/>
      <c r="V733" s="1"/>
      <c r="W733" s="1"/>
      <c r="X733" s="1"/>
      <c r="Y733" s="1"/>
      <c r="Z733" s="1"/>
      <c r="AA733" s="1"/>
      <c r="AB733" s="1"/>
    </row>
    <row r="734" spans="2:28" ht="11.25" customHeight="1" x14ac:dyDescent="0.25">
      <c r="B734" s="16"/>
      <c r="C734" s="1"/>
      <c r="D734" s="1"/>
      <c r="E734" s="1"/>
      <c r="F734" s="1"/>
      <c r="G734" s="22"/>
      <c r="H734" s="22"/>
      <c r="I734" s="1"/>
      <c r="J734" s="1"/>
      <c r="K734" s="1"/>
      <c r="L734" s="1"/>
      <c r="M734" s="262"/>
      <c r="N734" s="1"/>
      <c r="O734" s="1"/>
      <c r="P734" s="1"/>
      <c r="Q734" s="1"/>
      <c r="R734" s="1"/>
      <c r="S734" s="1"/>
      <c r="T734" s="1"/>
      <c r="U734" s="1"/>
      <c r="V734" s="1"/>
      <c r="W734" s="1"/>
      <c r="X734" s="1"/>
      <c r="Y734" s="1"/>
      <c r="Z734" s="1"/>
      <c r="AA734" s="1"/>
      <c r="AB734" s="1"/>
    </row>
    <row r="735" spans="2:28" ht="11.25" customHeight="1" x14ac:dyDescent="0.25">
      <c r="B735" s="16"/>
      <c r="C735" s="1"/>
      <c r="D735" s="1"/>
      <c r="E735" s="1"/>
      <c r="F735" s="1"/>
      <c r="G735" s="22"/>
      <c r="H735" s="22"/>
      <c r="I735" s="1"/>
      <c r="J735" s="1"/>
      <c r="K735" s="1"/>
      <c r="L735" s="1"/>
      <c r="M735" s="262"/>
      <c r="N735" s="1"/>
      <c r="O735" s="1"/>
      <c r="P735" s="1"/>
      <c r="Q735" s="1"/>
      <c r="R735" s="1"/>
      <c r="S735" s="1"/>
      <c r="T735" s="1"/>
      <c r="U735" s="1"/>
      <c r="V735" s="1"/>
      <c r="W735" s="1"/>
      <c r="X735" s="1"/>
      <c r="Y735" s="1"/>
      <c r="Z735" s="1"/>
      <c r="AA735" s="1"/>
      <c r="AB735" s="1"/>
    </row>
    <row r="736" spans="2:28" ht="11.25" customHeight="1" x14ac:dyDescent="0.25">
      <c r="B736" s="16"/>
      <c r="C736" s="1"/>
      <c r="D736" s="1"/>
      <c r="E736" s="1"/>
      <c r="F736" s="1"/>
      <c r="G736" s="22"/>
      <c r="H736" s="22"/>
      <c r="I736" s="1"/>
      <c r="J736" s="1"/>
      <c r="K736" s="1"/>
      <c r="L736" s="1"/>
      <c r="M736" s="262"/>
      <c r="N736" s="1"/>
      <c r="O736" s="1"/>
      <c r="P736" s="1"/>
      <c r="Q736" s="1"/>
      <c r="R736" s="1"/>
      <c r="S736" s="1"/>
      <c r="T736" s="1"/>
      <c r="U736" s="1"/>
      <c r="V736" s="1"/>
      <c r="W736" s="1"/>
      <c r="X736" s="1"/>
      <c r="Y736" s="1"/>
      <c r="Z736" s="1"/>
      <c r="AA736" s="1"/>
      <c r="AB736" s="1"/>
    </row>
    <row r="737" spans="2:28" ht="11.25" customHeight="1" x14ac:dyDescent="0.25">
      <c r="B737" s="16"/>
      <c r="C737" s="1"/>
      <c r="D737" s="1"/>
      <c r="E737" s="1"/>
      <c r="F737" s="1"/>
      <c r="G737" s="22"/>
      <c r="H737" s="22"/>
      <c r="I737" s="1"/>
      <c r="J737" s="1"/>
      <c r="K737" s="1"/>
      <c r="L737" s="1"/>
      <c r="M737" s="262"/>
      <c r="N737" s="1"/>
      <c r="O737" s="1"/>
      <c r="P737" s="1"/>
      <c r="Q737" s="1"/>
      <c r="R737" s="1"/>
      <c r="S737" s="1"/>
      <c r="T737" s="1"/>
      <c r="U737" s="1"/>
      <c r="V737" s="1"/>
      <c r="W737" s="1"/>
      <c r="X737" s="1"/>
      <c r="Y737" s="1"/>
      <c r="Z737" s="1"/>
      <c r="AA737" s="1"/>
      <c r="AB737" s="1"/>
    </row>
    <row r="738" spans="2:28" ht="11.25" customHeight="1" x14ac:dyDescent="0.25">
      <c r="B738" s="16"/>
      <c r="C738" s="1"/>
      <c r="D738" s="1"/>
      <c r="E738" s="1"/>
      <c r="F738" s="1"/>
      <c r="G738" s="22"/>
      <c r="H738" s="22"/>
      <c r="I738" s="1"/>
      <c r="J738" s="1"/>
      <c r="K738" s="1"/>
      <c r="L738" s="1"/>
      <c r="M738" s="262"/>
      <c r="N738" s="1"/>
      <c r="O738" s="1"/>
      <c r="P738" s="1"/>
      <c r="Q738" s="1"/>
      <c r="R738" s="1"/>
      <c r="S738" s="1"/>
      <c r="T738" s="1"/>
      <c r="U738" s="1"/>
      <c r="V738" s="1"/>
      <c r="W738" s="1"/>
      <c r="X738" s="1"/>
      <c r="Y738" s="1"/>
      <c r="Z738" s="1"/>
      <c r="AA738" s="1"/>
      <c r="AB738" s="1"/>
    </row>
    <row r="739" spans="2:28" ht="11.25" customHeight="1" x14ac:dyDescent="0.25">
      <c r="B739" s="16"/>
      <c r="C739" s="1"/>
      <c r="D739" s="1"/>
      <c r="E739" s="1"/>
      <c r="F739" s="1"/>
      <c r="G739" s="22"/>
      <c r="H739" s="22"/>
      <c r="I739" s="1"/>
      <c r="J739" s="1"/>
      <c r="K739" s="1"/>
      <c r="L739" s="1"/>
      <c r="M739" s="262"/>
      <c r="N739" s="1"/>
      <c r="O739" s="1"/>
      <c r="P739" s="1"/>
      <c r="Q739" s="1"/>
      <c r="R739" s="1"/>
      <c r="S739" s="1"/>
      <c r="T739" s="1"/>
      <c r="U739" s="1"/>
      <c r="V739" s="1"/>
      <c r="W739" s="1"/>
      <c r="X739" s="1"/>
      <c r="Y739" s="1"/>
      <c r="Z739" s="1"/>
      <c r="AA739" s="1"/>
      <c r="AB739" s="1"/>
    </row>
    <row r="740" spans="2:28" ht="11.25" customHeight="1" x14ac:dyDescent="0.25">
      <c r="B740" s="16"/>
      <c r="C740" s="1"/>
      <c r="D740" s="1"/>
      <c r="E740" s="1"/>
      <c r="F740" s="1"/>
      <c r="G740" s="22"/>
      <c r="H740" s="22"/>
      <c r="I740" s="1"/>
      <c r="J740" s="1"/>
      <c r="K740" s="1"/>
      <c r="L740" s="1"/>
      <c r="M740" s="262"/>
      <c r="N740" s="1"/>
      <c r="O740" s="1"/>
      <c r="P740" s="1"/>
      <c r="Q740" s="1"/>
      <c r="R740" s="1"/>
      <c r="S740" s="1"/>
      <c r="T740" s="1"/>
      <c r="U740" s="1"/>
      <c r="V740" s="1"/>
      <c r="W740" s="1"/>
      <c r="X740" s="1"/>
      <c r="Y740" s="1"/>
      <c r="Z740" s="1"/>
      <c r="AA740" s="1"/>
      <c r="AB740" s="1"/>
    </row>
    <row r="741" spans="2:28" ht="11.25" customHeight="1" x14ac:dyDescent="0.25">
      <c r="B741" s="16"/>
      <c r="C741" s="1"/>
      <c r="D741" s="1"/>
      <c r="E741" s="1"/>
      <c r="F741" s="1"/>
      <c r="G741" s="22"/>
      <c r="H741" s="22"/>
      <c r="I741" s="1"/>
      <c r="J741" s="1"/>
      <c r="K741" s="1"/>
      <c r="L741" s="1"/>
      <c r="M741" s="262"/>
      <c r="N741" s="1"/>
      <c r="O741" s="1"/>
      <c r="P741" s="1"/>
      <c r="Q741" s="1"/>
      <c r="R741" s="1"/>
      <c r="S741" s="1"/>
      <c r="T741" s="1"/>
      <c r="U741" s="1"/>
      <c r="V741" s="1"/>
      <c r="W741" s="1"/>
      <c r="X741" s="1"/>
      <c r="Y741" s="1"/>
      <c r="Z741" s="1"/>
      <c r="AA741" s="1"/>
      <c r="AB741" s="1"/>
    </row>
    <row r="742" spans="2:28" ht="11.25" customHeight="1" x14ac:dyDescent="0.25">
      <c r="B742" s="16"/>
      <c r="C742" s="1"/>
      <c r="D742" s="1"/>
      <c r="E742" s="1"/>
      <c r="F742" s="1"/>
      <c r="G742" s="22"/>
      <c r="H742" s="22"/>
      <c r="I742" s="1"/>
      <c r="J742" s="1"/>
      <c r="K742" s="1"/>
      <c r="L742" s="1"/>
      <c r="M742" s="262"/>
      <c r="N742" s="1"/>
      <c r="O742" s="1"/>
      <c r="P742" s="1"/>
      <c r="Q742" s="1"/>
      <c r="R742" s="1"/>
      <c r="S742" s="1"/>
      <c r="T742" s="1"/>
      <c r="U742" s="1"/>
      <c r="V742" s="1"/>
      <c r="W742" s="1"/>
      <c r="X742" s="1"/>
      <c r="Y742" s="1"/>
      <c r="Z742" s="1"/>
      <c r="AA742" s="1"/>
      <c r="AB742" s="1"/>
    </row>
    <row r="743" spans="2:28" ht="11.25" customHeight="1" x14ac:dyDescent="0.25">
      <c r="B743" s="16"/>
      <c r="C743" s="1"/>
      <c r="D743" s="1"/>
      <c r="E743" s="1"/>
      <c r="F743" s="1"/>
      <c r="G743" s="22"/>
      <c r="H743" s="22"/>
      <c r="I743" s="1"/>
      <c r="J743" s="1"/>
      <c r="K743" s="1"/>
      <c r="L743" s="1"/>
      <c r="M743" s="262"/>
      <c r="N743" s="1"/>
      <c r="O743" s="1"/>
      <c r="P743" s="1"/>
      <c r="Q743" s="1"/>
      <c r="R743" s="1"/>
      <c r="S743" s="1"/>
      <c r="T743" s="1"/>
      <c r="U743" s="1"/>
      <c r="V743" s="1"/>
      <c r="W743" s="1"/>
      <c r="X743" s="1"/>
      <c r="Y743" s="1"/>
      <c r="Z743" s="1"/>
      <c r="AA743" s="1"/>
      <c r="AB743" s="1"/>
    </row>
    <row r="744" spans="2:28" ht="11.25" customHeight="1" x14ac:dyDescent="0.25">
      <c r="B744" s="16"/>
      <c r="C744" s="1"/>
      <c r="D744" s="1"/>
      <c r="E744" s="1"/>
      <c r="F744" s="1"/>
      <c r="G744" s="22"/>
      <c r="H744" s="22"/>
      <c r="I744" s="1"/>
      <c r="J744" s="1"/>
      <c r="K744" s="1"/>
      <c r="L744" s="1"/>
      <c r="M744" s="262"/>
      <c r="N744" s="1"/>
      <c r="O744" s="1"/>
      <c r="P744" s="1"/>
      <c r="Q744" s="1"/>
      <c r="R744" s="1"/>
      <c r="S744" s="1"/>
      <c r="T744" s="1"/>
      <c r="U744" s="1"/>
      <c r="V744" s="1"/>
      <c r="W744" s="1"/>
      <c r="X744" s="1"/>
      <c r="Y744" s="1"/>
      <c r="Z744" s="1"/>
      <c r="AA744" s="1"/>
      <c r="AB744" s="1"/>
    </row>
    <row r="745" spans="2:28" ht="11.25" customHeight="1" x14ac:dyDescent="0.25">
      <c r="B745" s="16"/>
      <c r="C745" s="1"/>
      <c r="D745" s="1"/>
      <c r="E745" s="1"/>
      <c r="F745" s="1"/>
      <c r="G745" s="22"/>
      <c r="H745" s="22"/>
      <c r="I745" s="1"/>
      <c r="J745" s="1"/>
      <c r="K745" s="1"/>
      <c r="L745" s="1"/>
      <c r="M745" s="262"/>
      <c r="N745" s="1"/>
      <c r="O745" s="1"/>
      <c r="P745" s="1"/>
      <c r="Q745" s="1"/>
      <c r="R745" s="1"/>
      <c r="S745" s="1"/>
      <c r="T745" s="1"/>
      <c r="U745" s="1"/>
      <c r="V745" s="1"/>
      <c r="W745" s="1"/>
      <c r="X745" s="1"/>
      <c r="Y745" s="1"/>
      <c r="Z745" s="1"/>
      <c r="AA745" s="1"/>
      <c r="AB745" s="1"/>
    </row>
    <row r="746" spans="2:28" ht="11.25" customHeight="1" x14ac:dyDescent="0.25">
      <c r="B746" s="16"/>
      <c r="C746" s="1"/>
      <c r="D746" s="1"/>
      <c r="E746" s="1"/>
      <c r="F746" s="1"/>
      <c r="G746" s="22"/>
      <c r="H746" s="22"/>
      <c r="I746" s="1"/>
      <c r="J746" s="1"/>
      <c r="K746" s="1"/>
      <c r="L746" s="1"/>
      <c r="M746" s="262"/>
      <c r="N746" s="1"/>
      <c r="O746" s="1"/>
      <c r="P746" s="1"/>
      <c r="Q746" s="1"/>
      <c r="R746" s="1"/>
      <c r="S746" s="1"/>
      <c r="T746" s="1"/>
      <c r="U746" s="1"/>
      <c r="V746" s="1"/>
      <c r="W746" s="1"/>
      <c r="X746" s="1"/>
      <c r="Y746" s="1"/>
      <c r="Z746" s="1"/>
      <c r="AA746" s="1"/>
      <c r="AB746" s="1"/>
    </row>
    <row r="747" spans="2:28" ht="11.25" customHeight="1" x14ac:dyDescent="0.25">
      <c r="B747" s="16"/>
      <c r="C747" s="1"/>
      <c r="D747" s="1"/>
      <c r="E747" s="1"/>
      <c r="F747" s="1"/>
      <c r="G747" s="22"/>
      <c r="H747" s="22"/>
      <c r="I747" s="1"/>
      <c r="J747" s="1"/>
      <c r="K747" s="1"/>
      <c r="L747" s="1"/>
      <c r="M747" s="262"/>
      <c r="N747" s="1"/>
      <c r="O747" s="1"/>
      <c r="P747" s="1"/>
      <c r="Q747" s="1"/>
      <c r="R747" s="1"/>
      <c r="S747" s="1"/>
      <c r="T747" s="1"/>
      <c r="U747" s="1"/>
      <c r="V747" s="1"/>
      <c r="W747" s="1"/>
      <c r="X747" s="1"/>
      <c r="Y747" s="1"/>
      <c r="Z747" s="1"/>
      <c r="AA747" s="1"/>
      <c r="AB747" s="1"/>
    </row>
    <row r="748" spans="2:28" ht="11.25" customHeight="1" x14ac:dyDescent="0.25">
      <c r="B748" s="16"/>
      <c r="C748" s="1"/>
      <c r="D748" s="1"/>
      <c r="E748" s="1"/>
      <c r="F748" s="1"/>
      <c r="G748" s="22"/>
      <c r="H748" s="22"/>
      <c r="I748" s="1"/>
      <c r="J748" s="1"/>
      <c r="K748" s="1"/>
      <c r="L748" s="1"/>
      <c r="M748" s="262"/>
      <c r="N748" s="1"/>
      <c r="O748" s="1"/>
      <c r="P748" s="1"/>
      <c r="Q748" s="1"/>
      <c r="R748" s="1"/>
      <c r="S748" s="1"/>
      <c r="T748" s="1"/>
      <c r="U748" s="1"/>
      <c r="V748" s="1"/>
      <c r="W748" s="1"/>
      <c r="X748" s="1"/>
      <c r="Y748" s="1"/>
      <c r="Z748" s="1"/>
      <c r="AA748" s="1"/>
      <c r="AB748" s="1"/>
    </row>
    <row r="749" spans="2:28" ht="11.25" customHeight="1" x14ac:dyDescent="0.25">
      <c r="B749" s="16"/>
      <c r="C749" s="1"/>
      <c r="D749" s="1"/>
      <c r="E749" s="1"/>
      <c r="F749" s="1"/>
      <c r="G749" s="22"/>
      <c r="H749" s="22"/>
      <c r="I749" s="1"/>
      <c r="J749" s="1"/>
      <c r="K749" s="1"/>
      <c r="L749" s="1"/>
      <c r="M749" s="262"/>
      <c r="N749" s="1"/>
      <c r="O749" s="1"/>
      <c r="P749" s="1"/>
      <c r="Q749" s="1"/>
      <c r="R749" s="1"/>
      <c r="S749" s="1"/>
      <c r="T749" s="1"/>
      <c r="U749" s="1"/>
      <c r="V749" s="1"/>
      <c r="W749" s="1"/>
      <c r="X749" s="1"/>
      <c r="Y749" s="1"/>
      <c r="Z749" s="1"/>
      <c r="AA749" s="1"/>
      <c r="AB749" s="1"/>
    </row>
    <row r="750" spans="2:28" ht="11.25" customHeight="1" x14ac:dyDescent="0.25">
      <c r="B750" s="16"/>
      <c r="C750" s="1"/>
      <c r="D750" s="1"/>
      <c r="E750" s="1"/>
      <c r="F750" s="1"/>
      <c r="G750" s="22"/>
      <c r="H750" s="22"/>
      <c r="I750" s="1"/>
      <c r="J750" s="1"/>
      <c r="K750" s="1"/>
      <c r="L750" s="1"/>
      <c r="M750" s="262"/>
      <c r="N750" s="1"/>
      <c r="O750" s="1"/>
      <c r="P750" s="1"/>
      <c r="Q750" s="1"/>
      <c r="R750" s="1"/>
      <c r="S750" s="1"/>
      <c r="T750" s="1"/>
      <c r="U750" s="1"/>
      <c r="V750" s="1"/>
      <c r="W750" s="1"/>
      <c r="X750" s="1"/>
      <c r="Y750" s="1"/>
      <c r="Z750" s="1"/>
      <c r="AA750" s="1"/>
      <c r="AB750" s="1"/>
    </row>
    <row r="751" spans="2:28" ht="11.25" customHeight="1" x14ac:dyDescent="0.25">
      <c r="B751" s="16"/>
      <c r="C751" s="1"/>
      <c r="D751" s="1"/>
      <c r="E751" s="1"/>
      <c r="F751" s="1"/>
      <c r="G751" s="22"/>
      <c r="H751" s="22"/>
      <c r="I751" s="1"/>
      <c r="J751" s="1"/>
      <c r="K751" s="1"/>
      <c r="L751" s="1"/>
      <c r="M751" s="262"/>
      <c r="N751" s="1"/>
      <c r="O751" s="1"/>
      <c r="P751" s="1"/>
      <c r="Q751" s="1"/>
      <c r="R751" s="1"/>
      <c r="S751" s="1"/>
      <c r="T751" s="1"/>
      <c r="U751" s="1"/>
      <c r="V751" s="1"/>
      <c r="W751" s="1"/>
      <c r="X751" s="1"/>
      <c r="Y751" s="1"/>
      <c r="Z751" s="1"/>
      <c r="AA751" s="1"/>
      <c r="AB751" s="1"/>
    </row>
    <row r="752" spans="2:28" ht="11.25" customHeight="1" x14ac:dyDescent="0.25">
      <c r="B752" s="16"/>
      <c r="C752" s="1"/>
      <c r="D752" s="1"/>
      <c r="E752" s="1"/>
      <c r="F752" s="1"/>
      <c r="G752" s="22"/>
      <c r="H752" s="22"/>
      <c r="I752" s="1"/>
      <c r="J752" s="1"/>
      <c r="K752" s="1"/>
      <c r="L752" s="1"/>
      <c r="M752" s="262"/>
      <c r="N752" s="1"/>
      <c r="O752" s="1"/>
      <c r="P752" s="1"/>
      <c r="Q752" s="1"/>
      <c r="R752" s="1"/>
      <c r="S752" s="1"/>
      <c r="T752" s="1"/>
      <c r="U752" s="1"/>
      <c r="V752" s="1"/>
      <c r="W752" s="1"/>
      <c r="X752" s="1"/>
      <c r="Y752" s="1"/>
      <c r="Z752" s="1"/>
      <c r="AA752" s="1"/>
      <c r="AB752" s="1"/>
    </row>
    <row r="753" spans="2:28" ht="11.25" customHeight="1" x14ac:dyDescent="0.25">
      <c r="B753" s="16"/>
      <c r="C753" s="1"/>
      <c r="D753" s="1"/>
      <c r="E753" s="1"/>
      <c r="F753" s="1"/>
      <c r="G753" s="22"/>
      <c r="H753" s="22"/>
      <c r="I753" s="1"/>
      <c r="J753" s="1"/>
      <c r="K753" s="1"/>
      <c r="L753" s="1"/>
      <c r="M753" s="262"/>
      <c r="N753" s="1"/>
      <c r="O753" s="1"/>
      <c r="P753" s="1"/>
      <c r="Q753" s="1"/>
      <c r="R753" s="1"/>
      <c r="S753" s="1"/>
      <c r="T753" s="1"/>
      <c r="U753" s="1"/>
      <c r="V753" s="1"/>
      <c r="W753" s="1"/>
      <c r="X753" s="1"/>
      <c r="Y753" s="1"/>
      <c r="Z753" s="1"/>
      <c r="AA753" s="1"/>
      <c r="AB753" s="1"/>
    </row>
    <row r="754" spans="2:28" ht="11.25" customHeight="1" x14ac:dyDescent="0.25">
      <c r="B754" s="16"/>
      <c r="C754" s="1"/>
      <c r="D754" s="1"/>
      <c r="E754" s="1"/>
      <c r="F754" s="1"/>
      <c r="G754" s="22"/>
      <c r="H754" s="22"/>
      <c r="I754" s="1"/>
      <c r="J754" s="1"/>
      <c r="K754" s="1"/>
      <c r="L754" s="1"/>
      <c r="M754" s="262"/>
      <c r="N754" s="1"/>
      <c r="O754" s="1"/>
      <c r="P754" s="1"/>
      <c r="Q754" s="1"/>
      <c r="R754" s="1"/>
      <c r="S754" s="1"/>
      <c r="T754" s="1"/>
      <c r="U754" s="1"/>
      <c r="V754" s="1"/>
      <c r="W754" s="1"/>
      <c r="X754" s="1"/>
      <c r="Y754" s="1"/>
      <c r="Z754" s="1"/>
      <c r="AA754" s="1"/>
      <c r="AB754" s="1"/>
    </row>
    <row r="755" spans="2:28" ht="11.25" customHeight="1" x14ac:dyDescent="0.25">
      <c r="B755" s="16"/>
      <c r="C755" s="1"/>
      <c r="D755" s="1"/>
      <c r="E755" s="1"/>
      <c r="F755" s="1"/>
      <c r="G755" s="22"/>
      <c r="H755" s="22"/>
      <c r="I755" s="1"/>
      <c r="J755" s="1"/>
      <c r="K755" s="1"/>
      <c r="L755" s="1"/>
      <c r="M755" s="262"/>
      <c r="N755" s="1"/>
      <c r="O755" s="1"/>
      <c r="P755" s="1"/>
      <c r="Q755" s="1"/>
      <c r="R755" s="1"/>
      <c r="S755" s="1"/>
      <c r="T755" s="1"/>
      <c r="U755" s="1"/>
      <c r="V755" s="1"/>
      <c r="W755" s="1"/>
      <c r="X755" s="1"/>
      <c r="Y755" s="1"/>
      <c r="Z755" s="1"/>
      <c r="AA755" s="1"/>
      <c r="AB755" s="1"/>
    </row>
    <row r="756" spans="2:28" ht="11.25" customHeight="1" x14ac:dyDescent="0.25">
      <c r="B756" s="16"/>
      <c r="C756" s="1"/>
      <c r="D756" s="1"/>
      <c r="E756" s="1"/>
      <c r="F756" s="1"/>
      <c r="G756" s="22"/>
      <c r="H756" s="22"/>
      <c r="I756" s="1"/>
      <c r="J756" s="1"/>
      <c r="K756" s="1"/>
      <c r="L756" s="1"/>
      <c r="M756" s="262"/>
      <c r="N756" s="1"/>
      <c r="O756" s="1"/>
      <c r="P756" s="1"/>
      <c r="Q756" s="1"/>
      <c r="R756" s="1"/>
      <c r="S756" s="1"/>
      <c r="T756" s="1"/>
      <c r="U756" s="1"/>
      <c r="V756" s="1"/>
      <c r="W756" s="1"/>
      <c r="X756" s="1"/>
      <c r="Y756" s="1"/>
      <c r="Z756" s="1"/>
      <c r="AA756" s="1"/>
      <c r="AB756" s="1"/>
    </row>
    <row r="757" spans="2:28" ht="11.25" customHeight="1" x14ac:dyDescent="0.25">
      <c r="B757" s="16"/>
      <c r="C757" s="1"/>
      <c r="D757" s="1"/>
      <c r="E757" s="1"/>
      <c r="F757" s="1"/>
      <c r="G757" s="22"/>
      <c r="H757" s="22"/>
      <c r="I757" s="1"/>
      <c r="J757" s="1"/>
      <c r="K757" s="1"/>
      <c r="L757" s="1"/>
      <c r="M757" s="262"/>
      <c r="N757" s="1"/>
      <c r="O757" s="1"/>
      <c r="P757" s="1"/>
      <c r="Q757" s="1"/>
      <c r="R757" s="1"/>
      <c r="S757" s="1"/>
      <c r="T757" s="1"/>
      <c r="U757" s="1"/>
      <c r="V757" s="1"/>
      <c r="W757" s="1"/>
      <c r="X757" s="1"/>
      <c r="Y757" s="1"/>
      <c r="Z757" s="1"/>
      <c r="AA757" s="1"/>
      <c r="AB757" s="1"/>
    </row>
    <row r="758" spans="2:28" ht="11.25" customHeight="1" x14ac:dyDescent="0.25">
      <c r="B758" s="16"/>
      <c r="C758" s="1"/>
      <c r="D758" s="1"/>
      <c r="E758" s="1"/>
      <c r="F758" s="1"/>
      <c r="G758" s="22"/>
      <c r="H758" s="22"/>
      <c r="I758" s="1"/>
      <c r="J758" s="1"/>
      <c r="K758" s="1"/>
      <c r="L758" s="1"/>
      <c r="M758" s="262"/>
      <c r="N758" s="1"/>
      <c r="O758" s="1"/>
      <c r="P758" s="1"/>
      <c r="Q758" s="1"/>
      <c r="R758" s="1"/>
      <c r="S758" s="1"/>
      <c r="T758" s="1"/>
      <c r="U758" s="1"/>
      <c r="V758" s="1"/>
      <c r="W758" s="1"/>
      <c r="X758" s="1"/>
      <c r="Y758" s="1"/>
      <c r="Z758" s="1"/>
      <c r="AA758" s="1"/>
      <c r="AB758" s="1"/>
    </row>
    <row r="759" spans="2:28" ht="11.25" customHeight="1" x14ac:dyDescent="0.25">
      <c r="B759" s="16"/>
      <c r="C759" s="1"/>
      <c r="D759" s="1"/>
      <c r="E759" s="1"/>
      <c r="F759" s="1"/>
      <c r="G759" s="22"/>
      <c r="H759" s="22"/>
      <c r="I759" s="1"/>
      <c r="J759" s="1"/>
      <c r="K759" s="1"/>
      <c r="L759" s="1"/>
      <c r="M759" s="262"/>
      <c r="N759" s="1"/>
      <c r="O759" s="1"/>
      <c r="P759" s="1"/>
      <c r="Q759" s="1"/>
      <c r="R759" s="1"/>
      <c r="S759" s="1"/>
      <c r="T759" s="1"/>
      <c r="U759" s="1"/>
      <c r="V759" s="1"/>
      <c r="W759" s="1"/>
      <c r="X759" s="1"/>
      <c r="Y759" s="1"/>
      <c r="Z759" s="1"/>
      <c r="AA759" s="1"/>
      <c r="AB759" s="1"/>
    </row>
    <row r="760" spans="2:28" ht="11.25" customHeight="1" x14ac:dyDescent="0.25">
      <c r="B760" s="16"/>
      <c r="C760" s="1"/>
      <c r="D760" s="1"/>
      <c r="E760" s="1"/>
      <c r="F760" s="1"/>
      <c r="G760" s="22"/>
      <c r="H760" s="22"/>
      <c r="I760" s="1"/>
      <c r="J760" s="1"/>
      <c r="K760" s="1"/>
      <c r="L760" s="1"/>
      <c r="M760" s="262"/>
      <c r="N760" s="1"/>
      <c r="O760" s="1"/>
      <c r="P760" s="1"/>
      <c r="Q760" s="1"/>
      <c r="R760" s="1"/>
      <c r="S760" s="1"/>
      <c r="T760" s="1"/>
      <c r="U760" s="1"/>
      <c r="V760" s="1"/>
      <c r="W760" s="1"/>
      <c r="X760" s="1"/>
      <c r="Y760" s="1"/>
      <c r="Z760" s="1"/>
      <c r="AA760" s="1"/>
      <c r="AB760" s="1"/>
    </row>
    <row r="761" spans="2:28" ht="11.25" customHeight="1" x14ac:dyDescent="0.25">
      <c r="B761" s="16"/>
      <c r="C761" s="1"/>
      <c r="D761" s="1"/>
      <c r="E761" s="1"/>
      <c r="F761" s="1"/>
      <c r="G761" s="22"/>
      <c r="H761" s="22"/>
      <c r="I761" s="1"/>
      <c r="J761" s="1"/>
      <c r="K761" s="1"/>
      <c r="L761" s="1"/>
      <c r="M761" s="262"/>
      <c r="N761" s="1"/>
      <c r="O761" s="1"/>
      <c r="P761" s="1"/>
      <c r="Q761" s="1"/>
      <c r="R761" s="1"/>
      <c r="S761" s="1"/>
      <c r="T761" s="1"/>
      <c r="U761" s="1"/>
      <c r="V761" s="1"/>
      <c r="W761" s="1"/>
      <c r="X761" s="1"/>
      <c r="Y761" s="1"/>
      <c r="Z761" s="1"/>
      <c r="AA761" s="1"/>
      <c r="AB761" s="1"/>
    </row>
    <row r="762" spans="2:28" ht="11.25" customHeight="1" x14ac:dyDescent="0.25">
      <c r="B762" s="16"/>
      <c r="C762" s="1"/>
      <c r="D762" s="1"/>
      <c r="E762" s="1"/>
      <c r="F762" s="1"/>
      <c r="G762" s="22"/>
      <c r="H762" s="22"/>
      <c r="I762" s="1"/>
      <c r="J762" s="1"/>
      <c r="K762" s="1"/>
      <c r="L762" s="1"/>
      <c r="M762" s="262"/>
      <c r="N762" s="1"/>
      <c r="O762" s="1"/>
      <c r="P762" s="1"/>
      <c r="Q762" s="1"/>
      <c r="R762" s="1"/>
      <c r="S762" s="1"/>
      <c r="T762" s="1"/>
      <c r="U762" s="1"/>
      <c r="V762" s="1"/>
      <c r="W762" s="1"/>
      <c r="X762" s="1"/>
      <c r="Y762" s="1"/>
      <c r="Z762" s="1"/>
      <c r="AA762" s="1"/>
      <c r="AB762" s="1"/>
    </row>
    <row r="763" spans="2:28" ht="11.25" customHeight="1" x14ac:dyDescent="0.25">
      <c r="B763" s="16"/>
      <c r="C763" s="1"/>
      <c r="D763" s="1"/>
      <c r="E763" s="1"/>
      <c r="F763" s="1"/>
      <c r="G763" s="22"/>
      <c r="H763" s="22"/>
      <c r="I763" s="1"/>
      <c r="J763" s="1"/>
      <c r="K763" s="1"/>
      <c r="L763" s="1"/>
      <c r="M763" s="262"/>
      <c r="N763" s="1"/>
      <c r="O763" s="1"/>
      <c r="P763" s="1"/>
      <c r="Q763" s="1"/>
      <c r="R763" s="1"/>
      <c r="S763" s="1"/>
      <c r="T763" s="1"/>
      <c r="U763" s="1"/>
      <c r="V763" s="1"/>
      <c r="W763" s="1"/>
      <c r="X763" s="1"/>
      <c r="Y763" s="1"/>
      <c r="Z763" s="1"/>
      <c r="AA763" s="1"/>
      <c r="AB763" s="1"/>
    </row>
    <row r="764" spans="2:28" ht="11.25" customHeight="1" x14ac:dyDescent="0.25">
      <c r="B764" s="16"/>
      <c r="C764" s="1"/>
      <c r="D764" s="1"/>
      <c r="E764" s="1"/>
      <c r="F764" s="1"/>
      <c r="G764" s="22"/>
      <c r="H764" s="22"/>
      <c r="I764" s="1"/>
      <c r="J764" s="1"/>
      <c r="K764" s="1"/>
      <c r="L764" s="1"/>
      <c r="M764" s="262"/>
      <c r="N764" s="1"/>
      <c r="O764" s="1"/>
      <c r="P764" s="1"/>
      <c r="Q764" s="1"/>
      <c r="R764" s="1"/>
      <c r="S764" s="1"/>
      <c r="T764" s="1"/>
      <c r="U764" s="1"/>
      <c r="V764" s="1"/>
      <c r="W764" s="1"/>
      <c r="X764" s="1"/>
      <c r="Y764" s="1"/>
      <c r="Z764" s="1"/>
      <c r="AA764" s="1"/>
      <c r="AB764" s="1"/>
    </row>
    <row r="765" spans="2:28" ht="11.25" customHeight="1" x14ac:dyDescent="0.25">
      <c r="B765" s="16"/>
      <c r="C765" s="1"/>
      <c r="D765" s="1"/>
      <c r="E765" s="1"/>
      <c r="F765" s="1"/>
      <c r="G765" s="22"/>
      <c r="H765" s="22"/>
      <c r="I765" s="1"/>
      <c r="J765" s="1"/>
      <c r="K765" s="1"/>
      <c r="L765" s="1"/>
      <c r="M765" s="262"/>
      <c r="N765" s="1"/>
      <c r="O765" s="1"/>
      <c r="P765" s="1"/>
      <c r="Q765" s="1"/>
      <c r="R765" s="1"/>
      <c r="S765" s="1"/>
      <c r="T765" s="1"/>
      <c r="U765" s="1"/>
      <c r="V765" s="1"/>
      <c r="W765" s="1"/>
      <c r="X765" s="1"/>
      <c r="Y765" s="1"/>
      <c r="Z765" s="1"/>
      <c r="AA765" s="1"/>
      <c r="AB765" s="1"/>
    </row>
    <row r="766" spans="2:28" ht="11.25" customHeight="1" x14ac:dyDescent="0.25">
      <c r="B766" s="16"/>
      <c r="C766" s="1"/>
      <c r="D766" s="1"/>
      <c r="E766" s="1"/>
      <c r="F766" s="1"/>
      <c r="G766" s="22"/>
      <c r="H766" s="22"/>
      <c r="I766" s="1"/>
      <c r="J766" s="1"/>
      <c r="K766" s="1"/>
      <c r="L766" s="1"/>
      <c r="M766" s="262"/>
      <c r="N766" s="1"/>
      <c r="O766" s="1"/>
      <c r="P766" s="1"/>
      <c r="Q766" s="1"/>
      <c r="R766" s="1"/>
      <c r="S766" s="1"/>
      <c r="T766" s="1"/>
      <c r="U766" s="1"/>
      <c r="V766" s="1"/>
      <c r="W766" s="1"/>
      <c r="X766" s="1"/>
      <c r="Y766" s="1"/>
      <c r="Z766" s="1"/>
      <c r="AA766" s="1"/>
      <c r="AB766" s="1"/>
    </row>
    <row r="767" spans="2:28" ht="11.25" customHeight="1" x14ac:dyDescent="0.25">
      <c r="B767" s="16"/>
      <c r="C767" s="1"/>
      <c r="D767" s="1"/>
      <c r="E767" s="1"/>
      <c r="F767" s="1"/>
      <c r="G767" s="22"/>
      <c r="H767" s="22"/>
      <c r="I767" s="1"/>
      <c r="J767" s="1"/>
      <c r="K767" s="1"/>
      <c r="L767" s="1"/>
      <c r="M767" s="262"/>
      <c r="N767" s="1"/>
      <c r="O767" s="1"/>
      <c r="P767" s="1"/>
      <c r="Q767" s="1"/>
      <c r="R767" s="1"/>
      <c r="S767" s="1"/>
      <c r="T767" s="1"/>
      <c r="U767" s="1"/>
      <c r="V767" s="1"/>
      <c r="W767" s="1"/>
      <c r="X767" s="1"/>
      <c r="Y767" s="1"/>
      <c r="Z767" s="1"/>
      <c r="AA767" s="1"/>
      <c r="AB767" s="1"/>
    </row>
    <row r="768" spans="2:28" ht="11.25" customHeight="1" x14ac:dyDescent="0.25">
      <c r="B768" s="16"/>
      <c r="C768" s="1"/>
      <c r="D768" s="1"/>
      <c r="E768" s="1"/>
      <c r="F768" s="1"/>
      <c r="G768" s="22"/>
      <c r="H768" s="22"/>
      <c r="I768" s="1"/>
      <c r="J768" s="1"/>
      <c r="K768" s="1"/>
      <c r="L768" s="1"/>
      <c r="M768" s="262"/>
      <c r="N768" s="1"/>
      <c r="O768" s="1"/>
      <c r="P768" s="1"/>
      <c r="Q768" s="1"/>
      <c r="R768" s="1"/>
      <c r="S768" s="1"/>
      <c r="T768" s="1"/>
      <c r="U768" s="1"/>
      <c r="V768" s="1"/>
      <c r="W768" s="1"/>
      <c r="X768" s="1"/>
      <c r="Y768" s="1"/>
      <c r="Z768" s="1"/>
      <c r="AA768" s="1"/>
      <c r="AB768" s="1"/>
    </row>
    <row r="769" spans="2:28" ht="11.25" customHeight="1" x14ac:dyDescent="0.25">
      <c r="B769" s="16"/>
      <c r="C769" s="1"/>
      <c r="D769" s="1"/>
      <c r="E769" s="1"/>
      <c r="F769" s="1"/>
      <c r="G769" s="22"/>
      <c r="H769" s="22"/>
      <c r="I769" s="1"/>
      <c r="J769" s="1"/>
      <c r="K769" s="1"/>
      <c r="L769" s="1"/>
      <c r="M769" s="262"/>
      <c r="N769" s="1"/>
      <c r="O769" s="1"/>
      <c r="P769" s="1"/>
      <c r="Q769" s="1"/>
      <c r="R769" s="1"/>
      <c r="S769" s="1"/>
      <c r="T769" s="1"/>
      <c r="U769" s="1"/>
      <c r="V769" s="1"/>
      <c r="W769" s="1"/>
      <c r="X769" s="1"/>
      <c r="Y769" s="1"/>
      <c r="Z769" s="1"/>
      <c r="AA769" s="1"/>
      <c r="AB769" s="1"/>
    </row>
    <row r="770" spans="2:28" ht="11.25" customHeight="1" x14ac:dyDescent="0.25">
      <c r="B770" s="16"/>
      <c r="C770" s="1"/>
      <c r="D770" s="1"/>
      <c r="E770" s="1"/>
      <c r="F770" s="1"/>
      <c r="G770" s="22"/>
      <c r="H770" s="22"/>
      <c r="I770" s="1"/>
      <c r="J770" s="1"/>
      <c r="K770" s="1"/>
      <c r="L770" s="1"/>
      <c r="M770" s="262"/>
      <c r="N770" s="1"/>
      <c r="O770" s="1"/>
      <c r="P770" s="1"/>
      <c r="Q770" s="1"/>
      <c r="R770" s="1"/>
      <c r="S770" s="1"/>
      <c r="T770" s="1"/>
      <c r="U770" s="1"/>
      <c r="V770" s="1"/>
      <c r="W770" s="1"/>
      <c r="X770" s="1"/>
      <c r="Y770" s="1"/>
      <c r="Z770" s="1"/>
      <c r="AA770" s="1"/>
      <c r="AB770" s="1"/>
    </row>
    <row r="771" spans="2:28" ht="11.25" customHeight="1" x14ac:dyDescent="0.25">
      <c r="B771" s="16"/>
      <c r="C771" s="1"/>
      <c r="D771" s="1"/>
      <c r="E771" s="1"/>
      <c r="F771" s="1"/>
      <c r="G771" s="22"/>
      <c r="H771" s="22"/>
      <c r="I771" s="1"/>
      <c r="J771" s="1"/>
      <c r="K771" s="1"/>
      <c r="L771" s="1"/>
      <c r="M771" s="262"/>
      <c r="N771" s="1"/>
      <c r="O771" s="1"/>
      <c r="P771" s="1"/>
      <c r="Q771" s="1"/>
      <c r="R771" s="1"/>
      <c r="S771" s="1"/>
      <c r="T771" s="1"/>
      <c r="U771" s="1"/>
      <c r="V771" s="1"/>
      <c r="W771" s="1"/>
      <c r="X771" s="1"/>
      <c r="Y771" s="1"/>
      <c r="Z771" s="1"/>
      <c r="AA771" s="1"/>
      <c r="AB771" s="1"/>
    </row>
    <row r="772" spans="2:28" ht="11.25" customHeight="1" x14ac:dyDescent="0.25">
      <c r="B772" s="16"/>
      <c r="C772" s="1"/>
      <c r="D772" s="1"/>
      <c r="E772" s="1"/>
      <c r="F772" s="1"/>
      <c r="G772" s="22"/>
      <c r="H772" s="22"/>
      <c r="I772" s="1"/>
      <c r="J772" s="1"/>
      <c r="K772" s="1"/>
      <c r="L772" s="1"/>
      <c r="M772" s="262"/>
      <c r="N772" s="1"/>
      <c r="O772" s="1"/>
      <c r="P772" s="1"/>
      <c r="Q772" s="1"/>
      <c r="R772" s="1"/>
      <c r="S772" s="1"/>
      <c r="T772" s="1"/>
      <c r="U772" s="1"/>
      <c r="V772" s="1"/>
      <c r="W772" s="1"/>
      <c r="X772" s="1"/>
      <c r="Y772" s="1"/>
      <c r="Z772" s="1"/>
      <c r="AA772" s="1"/>
      <c r="AB772" s="1"/>
    </row>
    <row r="773" spans="2:28" ht="11.25" customHeight="1" x14ac:dyDescent="0.25">
      <c r="B773" s="16"/>
      <c r="C773" s="1"/>
      <c r="D773" s="1"/>
      <c r="E773" s="1"/>
      <c r="F773" s="1"/>
      <c r="G773" s="22"/>
      <c r="H773" s="22"/>
      <c r="I773" s="1"/>
      <c r="J773" s="1"/>
      <c r="K773" s="1"/>
      <c r="L773" s="1"/>
      <c r="M773" s="262"/>
      <c r="N773" s="1"/>
      <c r="O773" s="1"/>
      <c r="P773" s="1"/>
      <c r="Q773" s="1"/>
      <c r="R773" s="1"/>
      <c r="S773" s="1"/>
      <c r="T773" s="1"/>
      <c r="U773" s="1"/>
      <c r="V773" s="1"/>
      <c r="W773" s="1"/>
      <c r="X773" s="1"/>
      <c r="Y773" s="1"/>
      <c r="Z773" s="1"/>
      <c r="AA773" s="1"/>
      <c r="AB773" s="1"/>
    </row>
    <row r="774" spans="2:28" ht="11.25" customHeight="1" x14ac:dyDescent="0.25">
      <c r="B774" s="16"/>
      <c r="C774" s="1"/>
      <c r="D774" s="1"/>
      <c r="E774" s="1"/>
      <c r="F774" s="1"/>
      <c r="G774" s="22"/>
      <c r="H774" s="22"/>
      <c r="I774" s="1"/>
      <c r="J774" s="1"/>
      <c r="K774" s="1"/>
      <c r="L774" s="1"/>
      <c r="M774" s="262"/>
      <c r="N774" s="1"/>
      <c r="O774" s="1"/>
      <c r="P774" s="1"/>
      <c r="Q774" s="1"/>
      <c r="R774" s="1"/>
      <c r="S774" s="1"/>
      <c r="T774" s="1"/>
      <c r="U774" s="1"/>
      <c r="V774" s="1"/>
      <c r="W774" s="1"/>
      <c r="X774" s="1"/>
      <c r="Y774" s="1"/>
      <c r="Z774" s="1"/>
      <c r="AA774" s="1"/>
      <c r="AB774" s="1"/>
    </row>
    <row r="775" spans="2:28" ht="11.25" customHeight="1" x14ac:dyDescent="0.25">
      <c r="B775" s="16"/>
      <c r="C775" s="1"/>
      <c r="D775" s="1"/>
      <c r="E775" s="1"/>
      <c r="F775" s="1"/>
      <c r="G775" s="22"/>
      <c r="H775" s="22"/>
      <c r="I775" s="1"/>
      <c r="J775" s="1"/>
      <c r="K775" s="1"/>
      <c r="L775" s="1"/>
      <c r="M775" s="262"/>
      <c r="N775" s="1"/>
      <c r="O775" s="1"/>
      <c r="P775" s="1"/>
      <c r="Q775" s="1"/>
      <c r="R775" s="1"/>
      <c r="S775" s="1"/>
      <c r="T775" s="1"/>
      <c r="U775" s="1"/>
      <c r="V775" s="1"/>
      <c r="W775" s="1"/>
      <c r="X775" s="1"/>
      <c r="Y775" s="1"/>
      <c r="Z775" s="1"/>
      <c r="AA775" s="1"/>
      <c r="AB775" s="1"/>
    </row>
    <row r="776" spans="2:28" ht="11.25" customHeight="1" x14ac:dyDescent="0.25">
      <c r="B776" s="16"/>
      <c r="C776" s="1"/>
      <c r="D776" s="1"/>
      <c r="E776" s="1"/>
      <c r="F776" s="1"/>
      <c r="G776" s="22"/>
      <c r="H776" s="22"/>
      <c r="I776" s="1"/>
      <c r="J776" s="1"/>
      <c r="K776" s="1"/>
      <c r="L776" s="1"/>
      <c r="M776" s="262"/>
      <c r="N776" s="1"/>
      <c r="O776" s="1"/>
      <c r="P776" s="1"/>
      <c r="Q776" s="1"/>
      <c r="R776" s="1"/>
      <c r="S776" s="1"/>
      <c r="T776" s="1"/>
      <c r="U776" s="1"/>
      <c r="V776" s="1"/>
      <c r="W776" s="1"/>
      <c r="X776" s="1"/>
      <c r="Y776" s="1"/>
      <c r="Z776" s="1"/>
      <c r="AA776" s="1"/>
      <c r="AB776" s="1"/>
    </row>
    <row r="777" spans="2:28" ht="11.25" customHeight="1" x14ac:dyDescent="0.25">
      <c r="B777" s="16"/>
      <c r="C777" s="1"/>
      <c r="D777" s="1"/>
      <c r="E777" s="1"/>
      <c r="F777" s="1"/>
      <c r="G777" s="22"/>
      <c r="H777" s="22"/>
      <c r="I777" s="1"/>
      <c r="J777" s="1"/>
      <c r="K777" s="1"/>
      <c r="L777" s="1"/>
      <c r="M777" s="262"/>
      <c r="N777" s="1"/>
      <c r="O777" s="1"/>
      <c r="P777" s="1"/>
      <c r="Q777" s="1"/>
      <c r="R777" s="1"/>
      <c r="S777" s="1"/>
      <c r="T777" s="1"/>
      <c r="U777" s="1"/>
      <c r="V777" s="1"/>
      <c r="W777" s="1"/>
      <c r="X777" s="1"/>
      <c r="Y777" s="1"/>
      <c r="Z777" s="1"/>
      <c r="AA777" s="1"/>
      <c r="AB777" s="1"/>
    </row>
    <row r="778" spans="2:28" ht="11.25" customHeight="1" x14ac:dyDescent="0.25">
      <c r="B778" s="16"/>
      <c r="C778" s="1"/>
      <c r="D778" s="1"/>
      <c r="E778" s="1"/>
      <c r="F778" s="1"/>
      <c r="G778" s="22"/>
      <c r="H778" s="22"/>
      <c r="I778" s="1"/>
      <c r="J778" s="1"/>
      <c r="K778" s="1"/>
      <c r="L778" s="1"/>
      <c r="M778" s="262"/>
      <c r="N778" s="1"/>
      <c r="O778" s="1"/>
      <c r="P778" s="1"/>
      <c r="Q778" s="1"/>
      <c r="R778" s="1"/>
      <c r="S778" s="1"/>
      <c r="T778" s="1"/>
      <c r="U778" s="1"/>
      <c r="V778" s="1"/>
      <c r="W778" s="1"/>
      <c r="X778" s="1"/>
      <c r="Y778" s="1"/>
      <c r="Z778" s="1"/>
      <c r="AA778" s="1"/>
      <c r="AB778" s="1"/>
    </row>
    <row r="779" spans="2:28" ht="11.25" customHeight="1" x14ac:dyDescent="0.25">
      <c r="B779" s="16"/>
      <c r="C779" s="1"/>
      <c r="D779" s="1"/>
      <c r="E779" s="1"/>
      <c r="F779" s="1"/>
      <c r="G779" s="22"/>
      <c r="H779" s="22"/>
      <c r="I779" s="1"/>
      <c r="J779" s="1"/>
      <c r="K779" s="1"/>
      <c r="L779" s="1"/>
      <c r="M779" s="262"/>
      <c r="N779" s="1"/>
      <c r="O779" s="1"/>
      <c r="P779" s="1"/>
      <c r="Q779" s="1"/>
      <c r="R779" s="1"/>
      <c r="S779" s="1"/>
      <c r="T779" s="1"/>
      <c r="U779" s="1"/>
      <c r="V779" s="1"/>
      <c r="W779" s="1"/>
      <c r="X779" s="1"/>
      <c r="Y779" s="1"/>
      <c r="Z779" s="1"/>
      <c r="AA779" s="1"/>
      <c r="AB779" s="1"/>
    </row>
    <row r="780" spans="2:28" ht="11.25" customHeight="1" x14ac:dyDescent="0.25">
      <c r="B780" s="16"/>
      <c r="C780" s="1"/>
      <c r="D780" s="1"/>
      <c r="E780" s="1"/>
      <c r="F780" s="1"/>
      <c r="G780" s="22"/>
      <c r="H780" s="22"/>
      <c r="I780" s="1"/>
      <c r="J780" s="1"/>
      <c r="K780" s="1"/>
      <c r="L780" s="1"/>
      <c r="M780" s="262"/>
      <c r="N780" s="1"/>
      <c r="O780" s="1"/>
      <c r="P780" s="1"/>
      <c r="Q780" s="1"/>
      <c r="R780" s="1"/>
      <c r="S780" s="1"/>
      <c r="T780" s="1"/>
      <c r="U780" s="1"/>
      <c r="V780" s="1"/>
      <c r="W780" s="1"/>
      <c r="X780" s="1"/>
      <c r="Y780" s="1"/>
      <c r="Z780" s="1"/>
      <c r="AA780" s="1"/>
      <c r="AB780" s="1"/>
    </row>
    <row r="781" spans="2:28" ht="11.25" customHeight="1" x14ac:dyDescent="0.25">
      <c r="B781" s="16"/>
      <c r="C781" s="1"/>
      <c r="D781" s="1"/>
      <c r="E781" s="1"/>
      <c r="F781" s="1"/>
      <c r="G781" s="22"/>
      <c r="H781" s="22"/>
      <c r="I781" s="1"/>
      <c r="J781" s="1"/>
      <c r="K781" s="1"/>
      <c r="L781" s="1"/>
      <c r="M781" s="262"/>
      <c r="N781" s="1"/>
      <c r="O781" s="1"/>
      <c r="P781" s="1"/>
      <c r="Q781" s="1"/>
      <c r="R781" s="1"/>
      <c r="S781" s="1"/>
      <c r="T781" s="1"/>
      <c r="U781" s="1"/>
      <c r="V781" s="1"/>
      <c r="W781" s="1"/>
      <c r="X781" s="1"/>
      <c r="Y781" s="1"/>
      <c r="Z781" s="1"/>
      <c r="AA781" s="1"/>
      <c r="AB781" s="1"/>
    </row>
    <row r="782" spans="2:28" ht="11.25" customHeight="1" x14ac:dyDescent="0.25">
      <c r="B782" s="16"/>
      <c r="C782" s="1"/>
      <c r="D782" s="1"/>
      <c r="E782" s="1"/>
      <c r="F782" s="1"/>
      <c r="G782" s="22"/>
      <c r="H782" s="22"/>
      <c r="I782" s="1"/>
      <c r="J782" s="1"/>
      <c r="K782" s="1"/>
      <c r="L782" s="1"/>
      <c r="M782" s="262"/>
      <c r="N782" s="1"/>
      <c r="O782" s="1"/>
      <c r="P782" s="1"/>
      <c r="Q782" s="1"/>
      <c r="R782" s="1"/>
      <c r="S782" s="1"/>
      <c r="T782" s="1"/>
      <c r="U782" s="1"/>
      <c r="V782" s="1"/>
      <c r="W782" s="1"/>
      <c r="X782" s="1"/>
      <c r="Y782" s="1"/>
      <c r="Z782" s="1"/>
      <c r="AA782" s="1"/>
      <c r="AB782" s="1"/>
    </row>
    <row r="783" spans="2:28" ht="11.25" customHeight="1" x14ac:dyDescent="0.25">
      <c r="B783" s="16"/>
      <c r="C783" s="1"/>
      <c r="D783" s="1"/>
      <c r="E783" s="1"/>
      <c r="F783" s="1"/>
      <c r="G783" s="22"/>
      <c r="H783" s="22"/>
      <c r="I783" s="1"/>
      <c r="J783" s="1"/>
      <c r="K783" s="1"/>
      <c r="L783" s="1"/>
      <c r="M783" s="262"/>
      <c r="N783" s="1"/>
      <c r="O783" s="1"/>
      <c r="P783" s="1"/>
      <c r="Q783" s="1"/>
      <c r="R783" s="1"/>
      <c r="S783" s="1"/>
      <c r="T783" s="1"/>
      <c r="U783" s="1"/>
      <c r="V783" s="1"/>
      <c r="W783" s="1"/>
      <c r="X783" s="1"/>
      <c r="Y783" s="1"/>
      <c r="Z783" s="1"/>
      <c r="AA783" s="1"/>
      <c r="AB783" s="1"/>
    </row>
    <row r="784" spans="2:28" ht="11.25" customHeight="1" x14ac:dyDescent="0.25">
      <c r="B784" s="16"/>
      <c r="C784" s="1"/>
      <c r="D784" s="1"/>
      <c r="E784" s="1"/>
      <c r="F784" s="1"/>
      <c r="G784" s="22"/>
      <c r="H784" s="22"/>
      <c r="I784" s="1"/>
      <c r="J784" s="1"/>
      <c r="K784" s="1"/>
      <c r="L784" s="1"/>
      <c r="M784" s="262"/>
      <c r="N784" s="1"/>
      <c r="O784" s="1"/>
      <c r="P784" s="1"/>
      <c r="Q784" s="1"/>
      <c r="R784" s="1"/>
      <c r="S784" s="1"/>
      <c r="T784" s="1"/>
      <c r="U784" s="1"/>
      <c r="V784" s="1"/>
      <c r="W784" s="1"/>
      <c r="X784" s="1"/>
      <c r="Y784" s="1"/>
      <c r="Z784" s="1"/>
      <c r="AA784" s="1"/>
      <c r="AB784" s="1"/>
    </row>
    <row r="785" spans="2:28" ht="11.25" customHeight="1" x14ac:dyDescent="0.25">
      <c r="B785" s="16"/>
      <c r="C785" s="1"/>
      <c r="D785" s="1"/>
      <c r="E785" s="1"/>
      <c r="F785" s="1"/>
      <c r="G785" s="22"/>
      <c r="H785" s="22"/>
      <c r="I785" s="1"/>
      <c r="J785" s="1"/>
      <c r="K785" s="1"/>
      <c r="L785" s="1"/>
      <c r="M785" s="262"/>
      <c r="N785" s="1"/>
      <c r="O785" s="1"/>
      <c r="P785" s="1"/>
      <c r="Q785" s="1"/>
      <c r="R785" s="1"/>
      <c r="S785" s="1"/>
      <c r="T785" s="1"/>
      <c r="U785" s="1"/>
      <c r="V785" s="1"/>
      <c r="W785" s="1"/>
      <c r="X785" s="1"/>
      <c r="Y785" s="1"/>
      <c r="Z785" s="1"/>
      <c r="AA785" s="1"/>
      <c r="AB785" s="1"/>
    </row>
    <row r="786" spans="2:28" ht="11.25" customHeight="1" x14ac:dyDescent="0.25">
      <c r="B786" s="16"/>
      <c r="C786" s="1"/>
      <c r="D786" s="1"/>
      <c r="E786" s="1"/>
      <c r="F786" s="1"/>
      <c r="G786" s="22"/>
      <c r="H786" s="22"/>
      <c r="I786" s="1"/>
      <c r="J786" s="1"/>
      <c r="K786" s="1"/>
      <c r="L786" s="1"/>
      <c r="M786" s="262"/>
      <c r="N786" s="1"/>
      <c r="O786" s="1"/>
      <c r="P786" s="1"/>
      <c r="Q786" s="1"/>
      <c r="R786" s="1"/>
      <c r="S786" s="1"/>
      <c r="T786" s="1"/>
      <c r="U786" s="1"/>
      <c r="V786" s="1"/>
      <c r="W786" s="1"/>
      <c r="X786" s="1"/>
      <c r="Y786" s="1"/>
      <c r="Z786" s="1"/>
      <c r="AA786" s="1"/>
      <c r="AB786" s="1"/>
    </row>
    <row r="787" spans="2:28" ht="11.25" customHeight="1" x14ac:dyDescent="0.25">
      <c r="B787" s="16"/>
      <c r="C787" s="1"/>
      <c r="D787" s="1"/>
      <c r="E787" s="1"/>
      <c r="F787" s="1"/>
      <c r="G787" s="22"/>
      <c r="H787" s="22"/>
      <c r="I787" s="1"/>
      <c r="J787" s="1"/>
      <c r="K787" s="1"/>
      <c r="L787" s="1"/>
      <c r="M787" s="262"/>
      <c r="N787" s="1"/>
      <c r="O787" s="1"/>
      <c r="P787" s="1"/>
      <c r="Q787" s="1"/>
      <c r="R787" s="1"/>
      <c r="S787" s="1"/>
      <c r="T787" s="1"/>
      <c r="U787" s="1"/>
      <c r="V787" s="1"/>
      <c r="W787" s="1"/>
      <c r="X787" s="1"/>
      <c r="Y787" s="1"/>
      <c r="Z787" s="1"/>
      <c r="AA787" s="1"/>
      <c r="AB787" s="1"/>
    </row>
    <row r="788" spans="2:28" ht="11.25" customHeight="1" x14ac:dyDescent="0.25">
      <c r="B788" s="16"/>
      <c r="C788" s="1"/>
      <c r="D788" s="1"/>
      <c r="E788" s="1"/>
      <c r="F788" s="1"/>
      <c r="G788" s="22"/>
      <c r="H788" s="22"/>
      <c r="I788" s="1"/>
      <c r="J788" s="1"/>
      <c r="K788" s="1"/>
      <c r="L788" s="1"/>
      <c r="M788" s="262"/>
      <c r="N788" s="1"/>
      <c r="O788" s="1"/>
      <c r="P788" s="1"/>
      <c r="Q788" s="1"/>
      <c r="R788" s="1"/>
      <c r="S788" s="1"/>
      <c r="T788" s="1"/>
      <c r="U788" s="1"/>
      <c r="V788" s="1"/>
      <c r="W788" s="1"/>
      <c r="X788" s="1"/>
      <c r="Y788" s="1"/>
      <c r="Z788" s="1"/>
      <c r="AA788" s="1"/>
      <c r="AB788" s="1"/>
    </row>
    <row r="789" spans="2:28" ht="11.25" customHeight="1" x14ac:dyDescent="0.25">
      <c r="B789" s="16"/>
      <c r="C789" s="1"/>
      <c r="D789" s="1"/>
      <c r="E789" s="1"/>
      <c r="F789" s="1"/>
      <c r="G789" s="22"/>
      <c r="H789" s="22"/>
      <c r="I789" s="1"/>
      <c r="J789" s="1"/>
      <c r="K789" s="1"/>
      <c r="L789" s="1"/>
      <c r="M789" s="262"/>
      <c r="N789" s="1"/>
      <c r="O789" s="1"/>
      <c r="P789" s="1"/>
      <c r="Q789" s="1"/>
      <c r="R789" s="1"/>
      <c r="S789" s="1"/>
      <c r="T789" s="1"/>
      <c r="U789" s="1"/>
      <c r="V789" s="1"/>
      <c r="W789" s="1"/>
      <c r="X789" s="1"/>
      <c r="Y789" s="1"/>
      <c r="Z789" s="1"/>
      <c r="AA789" s="1"/>
      <c r="AB789" s="1"/>
    </row>
    <row r="790" spans="2:28" ht="11.25" customHeight="1" x14ac:dyDescent="0.25">
      <c r="B790" s="16"/>
      <c r="C790" s="1"/>
      <c r="D790" s="1"/>
      <c r="E790" s="1"/>
      <c r="F790" s="1"/>
      <c r="G790" s="22"/>
      <c r="H790" s="22"/>
      <c r="I790" s="1"/>
      <c r="J790" s="1"/>
      <c r="K790" s="1"/>
      <c r="L790" s="1"/>
      <c r="M790" s="262"/>
      <c r="N790" s="1"/>
      <c r="O790" s="1"/>
      <c r="P790" s="1"/>
      <c r="Q790" s="1"/>
      <c r="R790" s="1"/>
      <c r="S790" s="1"/>
      <c r="T790" s="1"/>
      <c r="U790" s="1"/>
      <c r="V790" s="1"/>
      <c r="W790" s="1"/>
      <c r="X790" s="1"/>
      <c r="Y790" s="1"/>
      <c r="Z790" s="1"/>
      <c r="AA790" s="1"/>
      <c r="AB790" s="1"/>
    </row>
    <row r="791" spans="2:28" ht="11.25" customHeight="1" x14ac:dyDescent="0.25">
      <c r="B791" s="16"/>
      <c r="C791" s="1"/>
      <c r="D791" s="1"/>
      <c r="E791" s="1"/>
      <c r="F791" s="1"/>
      <c r="G791" s="22"/>
      <c r="H791" s="22"/>
      <c r="I791" s="1"/>
      <c r="J791" s="1"/>
      <c r="K791" s="1"/>
      <c r="L791" s="1"/>
      <c r="M791" s="262"/>
      <c r="N791" s="1"/>
      <c r="O791" s="1"/>
      <c r="P791" s="1"/>
      <c r="Q791" s="1"/>
      <c r="R791" s="1"/>
      <c r="S791" s="1"/>
      <c r="T791" s="1"/>
      <c r="U791" s="1"/>
      <c r="V791" s="1"/>
      <c r="W791" s="1"/>
      <c r="X791" s="1"/>
      <c r="Y791" s="1"/>
      <c r="Z791" s="1"/>
      <c r="AA791" s="1"/>
      <c r="AB791" s="1"/>
    </row>
    <row r="792" spans="2:28" ht="11.25" customHeight="1" x14ac:dyDescent="0.25">
      <c r="B792" s="16"/>
      <c r="C792" s="1"/>
      <c r="D792" s="1"/>
      <c r="E792" s="1"/>
      <c r="F792" s="1"/>
      <c r="G792" s="22"/>
      <c r="H792" s="22"/>
      <c r="I792" s="1"/>
      <c r="J792" s="1"/>
      <c r="K792" s="1"/>
      <c r="L792" s="1"/>
      <c r="M792" s="262"/>
      <c r="N792" s="1"/>
      <c r="O792" s="1"/>
      <c r="P792" s="1"/>
      <c r="Q792" s="1"/>
      <c r="R792" s="1"/>
      <c r="S792" s="1"/>
      <c r="T792" s="1"/>
      <c r="U792" s="1"/>
      <c r="V792" s="1"/>
      <c r="W792" s="1"/>
      <c r="X792" s="1"/>
      <c r="Y792" s="1"/>
      <c r="Z792" s="1"/>
      <c r="AA792" s="1"/>
      <c r="AB792" s="1"/>
    </row>
    <row r="793" spans="2:28" ht="11.25" customHeight="1" x14ac:dyDescent="0.25">
      <c r="B793" s="16"/>
      <c r="C793" s="1"/>
      <c r="D793" s="1"/>
      <c r="E793" s="1"/>
      <c r="F793" s="1"/>
      <c r="G793" s="22"/>
      <c r="H793" s="22"/>
      <c r="I793" s="1"/>
      <c r="J793" s="1"/>
      <c r="K793" s="1"/>
      <c r="L793" s="1"/>
      <c r="M793" s="262"/>
      <c r="N793" s="1"/>
      <c r="O793" s="1"/>
      <c r="P793" s="1"/>
      <c r="Q793" s="1"/>
      <c r="R793" s="1"/>
      <c r="S793" s="1"/>
      <c r="T793" s="1"/>
      <c r="U793" s="1"/>
      <c r="V793" s="1"/>
      <c r="W793" s="1"/>
      <c r="X793" s="1"/>
      <c r="Y793" s="1"/>
      <c r="Z793" s="1"/>
      <c r="AA793" s="1"/>
      <c r="AB793" s="1"/>
    </row>
    <row r="794" spans="2:28" ht="11.25" customHeight="1" x14ac:dyDescent="0.25">
      <c r="B794" s="16"/>
      <c r="C794" s="1"/>
      <c r="D794" s="1"/>
      <c r="E794" s="1"/>
      <c r="F794" s="1"/>
      <c r="G794" s="22"/>
      <c r="H794" s="22"/>
      <c r="I794" s="1"/>
      <c r="J794" s="1"/>
      <c r="K794" s="1"/>
      <c r="L794" s="1"/>
      <c r="M794" s="262"/>
      <c r="N794" s="1"/>
      <c r="O794" s="1"/>
      <c r="P794" s="1"/>
      <c r="Q794" s="1"/>
      <c r="R794" s="1"/>
      <c r="S794" s="1"/>
      <c r="T794" s="1"/>
      <c r="U794" s="1"/>
      <c r="V794" s="1"/>
      <c r="W794" s="1"/>
      <c r="X794" s="1"/>
      <c r="Y794" s="1"/>
      <c r="Z794" s="1"/>
      <c r="AA794" s="1"/>
      <c r="AB794" s="1"/>
    </row>
    <row r="795" spans="2:28" ht="11.25" customHeight="1" x14ac:dyDescent="0.25">
      <c r="B795" s="16"/>
      <c r="C795" s="1"/>
      <c r="D795" s="1"/>
      <c r="E795" s="1"/>
      <c r="F795" s="1"/>
      <c r="G795" s="22"/>
      <c r="H795" s="22"/>
      <c r="I795" s="1"/>
      <c r="J795" s="1"/>
      <c r="K795" s="1"/>
      <c r="L795" s="1"/>
      <c r="M795" s="262"/>
      <c r="N795" s="1"/>
      <c r="O795" s="1"/>
      <c r="P795" s="1"/>
      <c r="Q795" s="1"/>
      <c r="R795" s="1"/>
      <c r="S795" s="1"/>
      <c r="T795" s="1"/>
      <c r="U795" s="1"/>
      <c r="V795" s="1"/>
      <c r="W795" s="1"/>
      <c r="X795" s="1"/>
      <c r="Y795" s="1"/>
      <c r="Z795" s="1"/>
      <c r="AA795" s="1"/>
      <c r="AB795" s="1"/>
    </row>
    <row r="796" spans="2:28" ht="11.25" customHeight="1" x14ac:dyDescent="0.25">
      <c r="B796" s="16"/>
      <c r="C796" s="1"/>
      <c r="D796" s="1"/>
      <c r="E796" s="1"/>
      <c r="F796" s="1"/>
      <c r="G796" s="22"/>
      <c r="H796" s="22"/>
      <c r="I796" s="1"/>
      <c r="J796" s="1"/>
      <c r="K796" s="1"/>
      <c r="L796" s="1"/>
      <c r="M796" s="262"/>
      <c r="N796" s="1"/>
      <c r="O796" s="1"/>
      <c r="P796" s="1"/>
      <c r="Q796" s="1"/>
      <c r="R796" s="1"/>
      <c r="S796" s="1"/>
      <c r="T796" s="1"/>
      <c r="U796" s="1"/>
      <c r="V796" s="1"/>
      <c r="W796" s="1"/>
      <c r="X796" s="1"/>
      <c r="Y796" s="1"/>
      <c r="Z796" s="1"/>
      <c r="AA796" s="1"/>
      <c r="AB796" s="1"/>
    </row>
    <row r="797" spans="2:28" ht="11.25" customHeight="1" x14ac:dyDescent="0.25">
      <c r="B797" s="16"/>
      <c r="C797" s="1"/>
      <c r="D797" s="1"/>
      <c r="E797" s="1"/>
      <c r="F797" s="1"/>
      <c r="G797" s="22"/>
      <c r="H797" s="22"/>
      <c r="I797" s="1"/>
      <c r="J797" s="1"/>
      <c r="K797" s="1"/>
      <c r="L797" s="1"/>
      <c r="M797" s="262"/>
      <c r="N797" s="1"/>
      <c r="O797" s="1"/>
      <c r="P797" s="1"/>
      <c r="Q797" s="1"/>
      <c r="R797" s="1"/>
      <c r="S797" s="1"/>
      <c r="T797" s="1"/>
      <c r="U797" s="1"/>
      <c r="V797" s="1"/>
      <c r="W797" s="1"/>
      <c r="X797" s="1"/>
      <c r="Y797" s="1"/>
      <c r="Z797" s="1"/>
      <c r="AA797" s="1"/>
      <c r="AB797" s="1"/>
    </row>
    <row r="798" spans="2:28" ht="11.25" customHeight="1" x14ac:dyDescent="0.25">
      <c r="B798" s="16"/>
      <c r="C798" s="1"/>
      <c r="D798" s="1"/>
      <c r="E798" s="1"/>
      <c r="F798" s="1"/>
      <c r="G798" s="22"/>
      <c r="H798" s="22"/>
      <c r="I798" s="1"/>
      <c r="J798" s="1"/>
      <c r="K798" s="1"/>
      <c r="L798" s="1"/>
      <c r="M798" s="262"/>
      <c r="N798" s="1"/>
      <c r="O798" s="1"/>
      <c r="P798" s="1"/>
      <c r="Q798" s="1"/>
      <c r="R798" s="1"/>
      <c r="S798" s="1"/>
      <c r="T798" s="1"/>
      <c r="U798" s="1"/>
      <c r="V798" s="1"/>
      <c r="W798" s="1"/>
      <c r="X798" s="1"/>
      <c r="Y798" s="1"/>
      <c r="Z798" s="1"/>
      <c r="AA798" s="1"/>
      <c r="AB798" s="1"/>
    </row>
    <row r="799" spans="2:28" ht="11.25" customHeight="1" x14ac:dyDescent="0.25">
      <c r="B799" s="16"/>
      <c r="C799" s="1"/>
      <c r="D799" s="1"/>
      <c r="E799" s="1"/>
      <c r="F799" s="1"/>
      <c r="G799" s="22"/>
      <c r="H799" s="22"/>
      <c r="I799" s="1"/>
      <c r="J799" s="1"/>
      <c r="K799" s="1"/>
      <c r="L799" s="1"/>
      <c r="M799" s="262"/>
      <c r="N799" s="1"/>
      <c r="O799" s="1"/>
      <c r="P799" s="1"/>
      <c r="Q799" s="1"/>
      <c r="R799" s="1"/>
      <c r="S799" s="1"/>
      <c r="T799" s="1"/>
      <c r="U799" s="1"/>
      <c r="V799" s="1"/>
      <c r="W799" s="1"/>
      <c r="X799" s="1"/>
      <c r="Y799" s="1"/>
      <c r="Z799" s="1"/>
      <c r="AA799" s="1"/>
      <c r="AB799" s="1"/>
    </row>
    <row r="800" spans="2:28" ht="11.25" customHeight="1" x14ac:dyDescent="0.25">
      <c r="B800" s="16"/>
      <c r="C800" s="1"/>
      <c r="D800" s="1"/>
      <c r="E800" s="1"/>
      <c r="F800" s="1"/>
      <c r="G800" s="22"/>
      <c r="H800" s="22"/>
      <c r="I800" s="1"/>
      <c r="J800" s="1"/>
      <c r="K800" s="1"/>
      <c r="L800" s="1"/>
      <c r="M800" s="262"/>
      <c r="N800" s="1"/>
      <c r="O800" s="1"/>
      <c r="P800" s="1"/>
      <c r="Q800" s="1"/>
      <c r="R800" s="1"/>
      <c r="S800" s="1"/>
      <c r="T800" s="1"/>
      <c r="U800" s="1"/>
      <c r="V800" s="1"/>
      <c r="W800" s="1"/>
      <c r="X800" s="1"/>
      <c r="Y800" s="1"/>
      <c r="Z800" s="1"/>
      <c r="AA800" s="1"/>
      <c r="AB800" s="1"/>
    </row>
    <row r="801" spans="2:28" ht="11.25" customHeight="1" x14ac:dyDescent="0.25">
      <c r="B801" s="16"/>
      <c r="C801" s="1"/>
      <c r="D801" s="1"/>
      <c r="E801" s="1"/>
      <c r="F801" s="1"/>
      <c r="G801" s="22"/>
      <c r="H801" s="22"/>
      <c r="I801" s="1"/>
      <c r="J801" s="1"/>
      <c r="K801" s="1"/>
      <c r="L801" s="1"/>
      <c r="M801" s="262"/>
      <c r="N801" s="1"/>
      <c r="O801" s="1"/>
      <c r="P801" s="1"/>
      <c r="Q801" s="1"/>
      <c r="R801" s="1"/>
      <c r="S801" s="1"/>
      <c r="T801" s="1"/>
      <c r="U801" s="1"/>
      <c r="V801" s="1"/>
      <c r="W801" s="1"/>
      <c r="X801" s="1"/>
      <c r="Y801" s="1"/>
      <c r="Z801" s="1"/>
      <c r="AA801" s="1"/>
      <c r="AB801" s="1"/>
    </row>
    <row r="802" spans="2:28" ht="11.25" customHeight="1" x14ac:dyDescent="0.25">
      <c r="B802" s="16"/>
      <c r="C802" s="1"/>
      <c r="D802" s="1"/>
      <c r="E802" s="1"/>
      <c r="F802" s="1"/>
      <c r="G802" s="22"/>
      <c r="H802" s="22"/>
      <c r="I802" s="1"/>
      <c r="J802" s="1"/>
      <c r="K802" s="1"/>
      <c r="L802" s="1"/>
      <c r="M802" s="262"/>
      <c r="N802" s="1"/>
      <c r="O802" s="1"/>
      <c r="P802" s="1"/>
      <c r="Q802" s="1"/>
      <c r="R802" s="1"/>
      <c r="S802" s="1"/>
      <c r="T802" s="1"/>
      <c r="U802" s="1"/>
      <c r="V802" s="1"/>
      <c r="W802" s="1"/>
      <c r="X802" s="1"/>
      <c r="Y802" s="1"/>
      <c r="Z802" s="1"/>
      <c r="AA802" s="1"/>
      <c r="AB802" s="1"/>
    </row>
    <row r="803" spans="2:28" ht="11.25" customHeight="1" x14ac:dyDescent="0.25">
      <c r="B803" s="16"/>
      <c r="C803" s="1"/>
      <c r="D803" s="1"/>
      <c r="E803" s="1"/>
      <c r="F803" s="1"/>
      <c r="G803" s="22"/>
      <c r="H803" s="22"/>
      <c r="I803" s="1"/>
      <c r="J803" s="1"/>
      <c r="K803" s="1"/>
      <c r="L803" s="1"/>
      <c r="M803" s="262"/>
      <c r="N803" s="1"/>
      <c r="O803" s="1"/>
      <c r="P803" s="1"/>
      <c r="Q803" s="1"/>
      <c r="R803" s="1"/>
      <c r="S803" s="1"/>
      <c r="T803" s="1"/>
      <c r="U803" s="1"/>
      <c r="V803" s="1"/>
      <c r="W803" s="1"/>
      <c r="X803" s="1"/>
      <c r="Y803" s="1"/>
      <c r="Z803" s="1"/>
      <c r="AA803" s="1"/>
      <c r="AB803" s="1"/>
    </row>
    <row r="804" spans="2:28" ht="11.25" customHeight="1" x14ac:dyDescent="0.25">
      <c r="B804" s="16"/>
      <c r="C804" s="1"/>
      <c r="D804" s="1"/>
      <c r="E804" s="1"/>
      <c r="F804" s="1"/>
      <c r="G804" s="22"/>
      <c r="H804" s="22"/>
      <c r="I804" s="1"/>
      <c r="J804" s="1"/>
      <c r="K804" s="1"/>
      <c r="L804" s="1"/>
      <c r="M804" s="262"/>
      <c r="N804" s="1"/>
      <c r="O804" s="1"/>
      <c r="P804" s="1"/>
      <c r="Q804" s="1"/>
      <c r="R804" s="1"/>
      <c r="S804" s="1"/>
      <c r="T804" s="1"/>
      <c r="U804" s="1"/>
      <c r="V804" s="1"/>
      <c r="W804" s="1"/>
      <c r="X804" s="1"/>
      <c r="Y804" s="1"/>
      <c r="Z804" s="1"/>
      <c r="AA804" s="1"/>
      <c r="AB804" s="1"/>
    </row>
    <row r="805" spans="2:28" ht="11.25" customHeight="1" x14ac:dyDescent="0.25">
      <c r="B805" s="16"/>
      <c r="C805" s="1"/>
      <c r="D805" s="1"/>
      <c r="E805" s="1"/>
      <c r="F805" s="1"/>
      <c r="G805" s="22"/>
      <c r="H805" s="22"/>
      <c r="I805" s="1"/>
      <c r="J805" s="1"/>
      <c r="K805" s="1"/>
      <c r="L805" s="1"/>
      <c r="M805" s="262"/>
      <c r="N805" s="1"/>
      <c r="O805" s="1"/>
      <c r="P805" s="1"/>
      <c r="Q805" s="1"/>
      <c r="R805" s="1"/>
      <c r="S805" s="1"/>
      <c r="T805" s="1"/>
      <c r="U805" s="1"/>
      <c r="V805" s="1"/>
      <c r="W805" s="1"/>
      <c r="X805" s="1"/>
      <c r="Y805" s="1"/>
      <c r="Z805" s="1"/>
      <c r="AA805" s="1"/>
      <c r="AB805" s="1"/>
    </row>
    <row r="806" spans="2:28" ht="11.25" customHeight="1" x14ac:dyDescent="0.25">
      <c r="B806" s="16"/>
      <c r="C806" s="1"/>
      <c r="D806" s="1"/>
      <c r="E806" s="1"/>
      <c r="F806" s="1"/>
      <c r="G806" s="22"/>
      <c r="H806" s="22"/>
      <c r="I806" s="1"/>
      <c r="J806" s="1"/>
      <c r="K806" s="1"/>
      <c r="L806" s="1"/>
      <c r="M806" s="262"/>
      <c r="N806" s="1"/>
      <c r="O806" s="1"/>
      <c r="P806" s="1"/>
      <c r="Q806" s="1"/>
      <c r="R806" s="1"/>
      <c r="S806" s="1"/>
      <c r="T806" s="1"/>
      <c r="U806" s="1"/>
      <c r="V806" s="1"/>
      <c r="W806" s="1"/>
      <c r="X806" s="1"/>
      <c r="Y806" s="1"/>
      <c r="Z806" s="1"/>
      <c r="AA806" s="1"/>
      <c r="AB806" s="1"/>
    </row>
    <row r="807" spans="2:28" ht="11.25" customHeight="1" x14ac:dyDescent="0.25">
      <c r="B807" s="16"/>
      <c r="C807" s="1"/>
      <c r="D807" s="1"/>
      <c r="E807" s="1"/>
      <c r="F807" s="1"/>
      <c r="G807" s="22"/>
      <c r="H807" s="22"/>
      <c r="I807" s="1"/>
      <c r="J807" s="1"/>
      <c r="K807" s="1"/>
      <c r="L807" s="1"/>
      <c r="M807" s="262"/>
      <c r="N807" s="1"/>
      <c r="O807" s="1"/>
      <c r="P807" s="1"/>
      <c r="Q807" s="1"/>
      <c r="R807" s="1"/>
      <c r="S807" s="1"/>
      <c r="T807" s="1"/>
      <c r="U807" s="1"/>
      <c r="V807" s="1"/>
      <c r="W807" s="1"/>
      <c r="X807" s="1"/>
      <c r="Y807" s="1"/>
      <c r="Z807" s="1"/>
      <c r="AA807" s="1"/>
      <c r="AB807" s="1"/>
    </row>
    <row r="808" spans="2:28" ht="11.25" customHeight="1" x14ac:dyDescent="0.25">
      <c r="B808" s="16"/>
      <c r="C808" s="1"/>
      <c r="D808" s="1"/>
      <c r="E808" s="1"/>
      <c r="F808" s="1"/>
      <c r="G808" s="22"/>
      <c r="H808" s="22"/>
      <c r="I808" s="1"/>
      <c r="J808" s="1"/>
      <c r="K808" s="1"/>
      <c r="L808" s="1"/>
      <c r="M808" s="262"/>
      <c r="N808" s="1"/>
      <c r="O808" s="1"/>
      <c r="P808" s="1"/>
      <c r="Q808" s="1"/>
      <c r="R808" s="1"/>
      <c r="S808" s="1"/>
      <c r="T808" s="1"/>
      <c r="U808" s="1"/>
      <c r="V808" s="1"/>
      <c r="W808" s="1"/>
      <c r="X808" s="1"/>
      <c r="Y808" s="1"/>
      <c r="Z808" s="1"/>
      <c r="AA808" s="1"/>
      <c r="AB808" s="1"/>
    </row>
    <row r="809" spans="2:28" ht="11.25" customHeight="1" x14ac:dyDescent="0.25">
      <c r="B809" s="16"/>
      <c r="C809" s="1"/>
      <c r="D809" s="1"/>
      <c r="E809" s="1"/>
      <c r="F809" s="1"/>
      <c r="G809" s="22"/>
      <c r="H809" s="22"/>
      <c r="I809" s="1"/>
      <c r="J809" s="1"/>
      <c r="K809" s="1"/>
      <c r="L809" s="1"/>
      <c r="M809" s="262"/>
      <c r="N809" s="1"/>
      <c r="O809" s="1"/>
      <c r="P809" s="1"/>
      <c r="Q809" s="1"/>
      <c r="R809" s="1"/>
      <c r="S809" s="1"/>
      <c r="T809" s="1"/>
      <c r="U809" s="1"/>
      <c r="V809" s="1"/>
      <c r="W809" s="1"/>
      <c r="X809" s="1"/>
      <c r="Y809" s="1"/>
      <c r="Z809" s="1"/>
      <c r="AA809" s="1"/>
      <c r="AB809" s="1"/>
    </row>
    <row r="810" spans="2:28" ht="11.25" customHeight="1" x14ac:dyDescent="0.25">
      <c r="B810" s="16"/>
      <c r="C810" s="1"/>
      <c r="D810" s="1"/>
      <c r="E810" s="1"/>
      <c r="F810" s="1"/>
      <c r="G810" s="22"/>
      <c r="H810" s="22"/>
      <c r="I810" s="1"/>
      <c r="J810" s="1"/>
      <c r="K810" s="1"/>
      <c r="L810" s="1"/>
      <c r="M810" s="262"/>
      <c r="N810" s="1"/>
      <c r="O810" s="1"/>
      <c r="P810" s="1"/>
      <c r="Q810" s="1"/>
      <c r="R810" s="1"/>
      <c r="S810" s="1"/>
      <c r="T810" s="1"/>
      <c r="U810" s="1"/>
      <c r="V810" s="1"/>
      <c r="W810" s="1"/>
      <c r="X810" s="1"/>
      <c r="Y810" s="1"/>
      <c r="Z810" s="1"/>
      <c r="AA810" s="1"/>
      <c r="AB810" s="1"/>
    </row>
    <row r="811" spans="2:28" ht="11.25" customHeight="1" x14ac:dyDescent="0.25">
      <c r="B811" s="16"/>
      <c r="C811" s="1"/>
      <c r="D811" s="1"/>
      <c r="E811" s="1"/>
      <c r="F811" s="1"/>
      <c r="G811" s="22"/>
      <c r="H811" s="22"/>
      <c r="I811" s="1"/>
      <c r="J811" s="1"/>
      <c r="K811" s="1"/>
      <c r="L811" s="1"/>
      <c r="M811" s="262"/>
      <c r="N811" s="1"/>
      <c r="O811" s="1"/>
      <c r="P811" s="1"/>
      <c r="Q811" s="1"/>
      <c r="R811" s="1"/>
      <c r="S811" s="1"/>
      <c r="T811" s="1"/>
      <c r="U811" s="1"/>
      <c r="V811" s="1"/>
      <c r="W811" s="1"/>
      <c r="X811" s="1"/>
      <c r="Y811" s="1"/>
      <c r="Z811" s="1"/>
      <c r="AA811" s="1"/>
      <c r="AB811" s="1"/>
    </row>
    <row r="812" spans="2:28" ht="11.25" customHeight="1" x14ac:dyDescent="0.25">
      <c r="B812" s="16"/>
      <c r="C812" s="1"/>
      <c r="D812" s="1"/>
      <c r="E812" s="1"/>
      <c r="F812" s="1"/>
      <c r="G812" s="22"/>
      <c r="H812" s="22"/>
      <c r="I812" s="1"/>
      <c r="J812" s="1"/>
      <c r="K812" s="1"/>
      <c r="L812" s="1"/>
      <c r="M812" s="262"/>
      <c r="N812" s="1"/>
      <c r="O812" s="1"/>
      <c r="P812" s="1"/>
      <c r="Q812" s="1"/>
      <c r="R812" s="1"/>
      <c r="S812" s="1"/>
      <c r="T812" s="1"/>
      <c r="U812" s="1"/>
      <c r="V812" s="1"/>
      <c r="W812" s="1"/>
      <c r="X812" s="1"/>
      <c r="Y812" s="1"/>
      <c r="Z812" s="1"/>
      <c r="AA812" s="1"/>
      <c r="AB812" s="1"/>
    </row>
    <row r="813" spans="2:28" ht="11.25" customHeight="1" x14ac:dyDescent="0.25">
      <c r="B813" s="16"/>
      <c r="C813" s="1"/>
      <c r="D813" s="1"/>
      <c r="E813" s="1"/>
      <c r="F813" s="1"/>
      <c r="G813" s="22"/>
      <c r="H813" s="22"/>
      <c r="I813" s="1"/>
      <c r="J813" s="1"/>
      <c r="K813" s="1"/>
      <c r="L813" s="1"/>
      <c r="M813" s="262"/>
      <c r="N813" s="1"/>
      <c r="O813" s="1"/>
      <c r="P813" s="1"/>
      <c r="Q813" s="1"/>
      <c r="R813" s="1"/>
      <c r="S813" s="1"/>
      <c r="T813" s="1"/>
      <c r="U813" s="1"/>
      <c r="V813" s="1"/>
      <c r="W813" s="1"/>
      <c r="X813" s="1"/>
      <c r="Y813" s="1"/>
      <c r="Z813" s="1"/>
      <c r="AA813" s="1"/>
      <c r="AB813" s="1"/>
    </row>
    <row r="814" spans="2:28" ht="11.25" customHeight="1" x14ac:dyDescent="0.25">
      <c r="B814" s="16"/>
      <c r="C814" s="1"/>
      <c r="D814" s="1"/>
      <c r="E814" s="1"/>
      <c r="F814" s="1"/>
      <c r="G814" s="22"/>
      <c r="H814" s="22"/>
      <c r="I814" s="1"/>
      <c r="J814" s="1"/>
      <c r="K814" s="1"/>
      <c r="L814" s="1"/>
      <c r="M814" s="262"/>
      <c r="N814" s="1"/>
      <c r="O814" s="1"/>
      <c r="P814" s="1"/>
      <c r="Q814" s="1"/>
      <c r="R814" s="1"/>
      <c r="S814" s="1"/>
      <c r="T814" s="1"/>
      <c r="U814" s="1"/>
      <c r="V814" s="1"/>
      <c r="W814" s="1"/>
      <c r="X814" s="1"/>
      <c r="Y814" s="1"/>
      <c r="Z814" s="1"/>
      <c r="AA814" s="1"/>
      <c r="AB814" s="1"/>
    </row>
    <row r="815" spans="2:28" ht="11.25" customHeight="1" x14ac:dyDescent="0.25">
      <c r="B815" s="16"/>
      <c r="C815" s="1"/>
      <c r="D815" s="1"/>
      <c r="E815" s="1"/>
      <c r="F815" s="1"/>
      <c r="G815" s="22"/>
      <c r="H815" s="22"/>
      <c r="I815" s="1"/>
      <c r="J815" s="1"/>
      <c r="K815" s="1"/>
      <c r="L815" s="1"/>
      <c r="M815" s="262"/>
      <c r="N815" s="1"/>
      <c r="O815" s="1"/>
      <c r="P815" s="1"/>
      <c r="Q815" s="1"/>
      <c r="R815" s="1"/>
      <c r="S815" s="1"/>
      <c r="T815" s="1"/>
      <c r="U815" s="1"/>
      <c r="V815" s="1"/>
      <c r="W815" s="1"/>
      <c r="X815" s="1"/>
      <c r="Y815" s="1"/>
      <c r="Z815" s="1"/>
      <c r="AA815" s="1"/>
      <c r="AB815" s="1"/>
    </row>
    <row r="816" spans="2:28" ht="11.25" customHeight="1" x14ac:dyDescent="0.25">
      <c r="B816" s="16"/>
      <c r="C816" s="1"/>
      <c r="D816" s="1"/>
      <c r="E816" s="1"/>
      <c r="F816" s="1"/>
      <c r="G816" s="22"/>
      <c r="H816" s="22"/>
      <c r="I816" s="1"/>
      <c r="J816" s="1"/>
      <c r="K816" s="1"/>
      <c r="L816" s="1"/>
      <c r="M816" s="262"/>
      <c r="N816" s="1"/>
      <c r="O816" s="1"/>
      <c r="P816" s="1"/>
      <c r="Q816" s="1"/>
      <c r="R816" s="1"/>
      <c r="S816" s="1"/>
      <c r="T816" s="1"/>
      <c r="U816" s="1"/>
      <c r="V816" s="1"/>
      <c r="W816" s="1"/>
      <c r="X816" s="1"/>
      <c r="Y816" s="1"/>
      <c r="Z816" s="1"/>
      <c r="AA816" s="1"/>
      <c r="AB816" s="1"/>
    </row>
    <row r="817" spans="2:28" ht="11.25" customHeight="1" x14ac:dyDescent="0.25">
      <c r="B817" s="16"/>
      <c r="C817" s="1"/>
      <c r="D817" s="1"/>
      <c r="E817" s="1"/>
      <c r="F817" s="1"/>
      <c r="G817" s="22"/>
      <c r="H817" s="22"/>
      <c r="I817" s="1"/>
      <c r="J817" s="1"/>
      <c r="K817" s="1"/>
      <c r="L817" s="1"/>
      <c r="M817" s="262"/>
      <c r="N817" s="1"/>
      <c r="O817" s="1"/>
      <c r="P817" s="1"/>
      <c r="Q817" s="1"/>
      <c r="R817" s="1"/>
      <c r="S817" s="1"/>
      <c r="T817" s="1"/>
      <c r="U817" s="1"/>
      <c r="V817" s="1"/>
      <c r="W817" s="1"/>
      <c r="X817" s="1"/>
      <c r="Y817" s="1"/>
      <c r="Z817" s="1"/>
      <c r="AA817" s="1"/>
      <c r="AB817" s="1"/>
    </row>
    <row r="818" spans="2:28" ht="11.25" customHeight="1" x14ac:dyDescent="0.25">
      <c r="B818" s="16"/>
      <c r="C818" s="1"/>
      <c r="D818" s="1"/>
      <c r="E818" s="1"/>
      <c r="F818" s="1"/>
      <c r="G818" s="22"/>
      <c r="H818" s="22"/>
      <c r="I818" s="1"/>
      <c r="J818" s="1"/>
      <c r="K818" s="1"/>
      <c r="L818" s="1"/>
      <c r="M818" s="262"/>
      <c r="N818" s="1"/>
      <c r="O818" s="1"/>
      <c r="P818" s="1"/>
      <c r="Q818" s="1"/>
      <c r="R818" s="1"/>
      <c r="S818" s="1"/>
      <c r="T818" s="1"/>
      <c r="U818" s="1"/>
      <c r="V818" s="1"/>
      <c r="W818" s="1"/>
      <c r="X818" s="1"/>
      <c r="Y818" s="1"/>
      <c r="Z818" s="1"/>
      <c r="AA818" s="1"/>
      <c r="AB818" s="1"/>
    </row>
    <row r="819" spans="2:28" ht="11.25" customHeight="1" x14ac:dyDescent="0.25">
      <c r="B819" s="16"/>
      <c r="C819" s="1"/>
      <c r="D819" s="1"/>
      <c r="E819" s="1"/>
      <c r="F819" s="1"/>
      <c r="G819" s="22"/>
      <c r="H819" s="22"/>
      <c r="I819" s="1"/>
      <c r="J819" s="1"/>
      <c r="K819" s="1"/>
      <c r="L819" s="1"/>
      <c r="M819" s="262"/>
      <c r="N819" s="1"/>
      <c r="O819" s="1"/>
      <c r="P819" s="1"/>
      <c r="Q819" s="1"/>
      <c r="R819" s="1"/>
      <c r="S819" s="1"/>
      <c r="T819" s="1"/>
      <c r="U819" s="1"/>
      <c r="V819" s="1"/>
      <c r="W819" s="1"/>
      <c r="X819" s="1"/>
      <c r="Y819" s="1"/>
      <c r="Z819" s="1"/>
      <c r="AA819" s="1"/>
      <c r="AB819" s="1"/>
    </row>
    <row r="820" spans="2:28" ht="11.25" customHeight="1" x14ac:dyDescent="0.25">
      <c r="B820" s="16"/>
      <c r="C820" s="1"/>
      <c r="D820" s="1"/>
      <c r="E820" s="1"/>
      <c r="F820" s="1"/>
      <c r="G820" s="22"/>
      <c r="H820" s="22"/>
      <c r="I820" s="1"/>
      <c r="J820" s="1"/>
      <c r="K820" s="1"/>
      <c r="L820" s="1"/>
      <c r="M820" s="262"/>
      <c r="N820" s="1"/>
      <c r="O820" s="1"/>
      <c r="P820" s="1"/>
      <c r="Q820" s="1"/>
      <c r="R820" s="1"/>
      <c r="S820" s="1"/>
      <c r="T820" s="1"/>
      <c r="U820" s="1"/>
      <c r="V820" s="1"/>
      <c r="W820" s="1"/>
      <c r="X820" s="1"/>
      <c r="Y820" s="1"/>
      <c r="Z820" s="1"/>
      <c r="AA820" s="1"/>
      <c r="AB820" s="1"/>
    </row>
    <row r="821" spans="2:28" ht="11.25" customHeight="1" x14ac:dyDescent="0.25">
      <c r="B821" s="16"/>
      <c r="C821" s="1"/>
      <c r="D821" s="1"/>
      <c r="E821" s="1"/>
      <c r="F821" s="1"/>
      <c r="G821" s="22"/>
      <c r="H821" s="22"/>
      <c r="I821" s="1"/>
      <c r="J821" s="1"/>
      <c r="K821" s="1"/>
      <c r="L821" s="1"/>
      <c r="M821" s="262"/>
      <c r="N821" s="1"/>
      <c r="O821" s="1"/>
      <c r="P821" s="1"/>
      <c r="Q821" s="1"/>
      <c r="R821" s="1"/>
      <c r="S821" s="1"/>
      <c r="T821" s="1"/>
      <c r="U821" s="1"/>
      <c r="V821" s="1"/>
      <c r="W821" s="1"/>
      <c r="X821" s="1"/>
      <c r="Y821" s="1"/>
      <c r="Z821" s="1"/>
      <c r="AA821" s="1"/>
      <c r="AB821" s="1"/>
    </row>
    <row r="822" spans="2:28" ht="11.25" customHeight="1" x14ac:dyDescent="0.25">
      <c r="B822" s="16"/>
      <c r="C822" s="1"/>
      <c r="D822" s="1"/>
      <c r="E822" s="1"/>
      <c r="F822" s="1"/>
      <c r="G822" s="22"/>
      <c r="H822" s="22"/>
      <c r="I822" s="1"/>
      <c r="J822" s="1"/>
      <c r="K822" s="1"/>
      <c r="L822" s="1"/>
      <c r="M822" s="262"/>
      <c r="N822" s="1"/>
      <c r="O822" s="1"/>
      <c r="P822" s="1"/>
      <c r="Q822" s="1"/>
      <c r="R822" s="1"/>
      <c r="S822" s="1"/>
      <c r="T822" s="1"/>
      <c r="U822" s="1"/>
      <c r="V822" s="1"/>
      <c r="W822" s="1"/>
      <c r="X822" s="1"/>
      <c r="Y822" s="1"/>
      <c r="Z822" s="1"/>
      <c r="AA822" s="1"/>
      <c r="AB822" s="1"/>
    </row>
    <row r="823" spans="2:28" ht="11.25" customHeight="1" x14ac:dyDescent="0.25">
      <c r="B823" s="16"/>
      <c r="C823" s="1"/>
      <c r="D823" s="1"/>
      <c r="E823" s="1"/>
      <c r="F823" s="1"/>
      <c r="G823" s="22"/>
      <c r="H823" s="22"/>
      <c r="I823" s="1"/>
      <c r="J823" s="1"/>
      <c r="K823" s="1"/>
      <c r="L823" s="1"/>
      <c r="M823" s="262"/>
      <c r="N823" s="1"/>
      <c r="O823" s="1"/>
      <c r="P823" s="1"/>
      <c r="Q823" s="1"/>
      <c r="R823" s="1"/>
      <c r="S823" s="1"/>
      <c r="T823" s="1"/>
      <c r="U823" s="1"/>
      <c r="V823" s="1"/>
      <c r="W823" s="1"/>
      <c r="X823" s="1"/>
      <c r="Y823" s="1"/>
      <c r="Z823" s="1"/>
      <c r="AA823" s="1"/>
      <c r="AB823" s="1"/>
    </row>
    <row r="824" spans="2:28" ht="11.25" customHeight="1" x14ac:dyDescent="0.25">
      <c r="B824" s="16"/>
      <c r="C824" s="1"/>
      <c r="D824" s="1"/>
      <c r="E824" s="1"/>
      <c r="F824" s="1"/>
      <c r="G824" s="22"/>
      <c r="H824" s="22"/>
      <c r="I824" s="1"/>
      <c r="J824" s="1"/>
      <c r="K824" s="1"/>
      <c r="L824" s="1"/>
      <c r="M824" s="262"/>
      <c r="N824" s="1"/>
      <c r="O824" s="1"/>
      <c r="P824" s="1"/>
      <c r="Q824" s="1"/>
      <c r="R824" s="1"/>
      <c r="S824" s="1"/>
      <c r="T824" s="1"/>
      <c r="U824" s="1"/>
      <c r="V824" s="1"/>
      <c r="W824" s="1"/>
      <c r="X824" s="1"/>
      <c r="Y824" s="1"/>
      <c r="Z824" s="1"/>
      <c r="AA824" s="1"/>
      <c r="AB824" s="1"/>
    </row>
    <row r="825" spans="2:28" ht="11.25" customHeight="1" x14ac:dyDescent="0.25">
      <c r="B825" s="16"/>
      <c r="C825" s="1"/>
      <c r="D825" s="1"/>
      <c r="E825" s="1"/>
      <c r="F825" s="1"/>
      <c r="G825" s="22"/>
      <c r="H825" s="22"/>
      <c r="I825" s="1"/>
      <c r="J825" s="1"/>
      <c r="K825" s="1"/>
      <c r="L825" s="1"/>
      <c r="M825" s="262"/>
      <c r="N825" s="1"/>
      <c r="O825" s="1"/>
      <c r="P825" s="1"/>
      <c r="Q825" s="1"/>
      <c r="R825" s="1"/>
      <c r="S825" s="1"/>
      <c r="T825" s="1"/>
      <c r="U825" s="1"/>
      <c r="V825" s="1"/>
      <c r="W825" s="1"/>
      <c r="X825" s="1"/>
      <c r="Y825" s="1"/>
      <c r="Z825" s="1"/>
      <c r="AA825" s="1"/>
      <c r="AB825" s="1"/>
    </row>
    <row r="826" spans="2:28" ht="11.25" customHeight="1" x14ac:dyDescent="0.25">
      <c r="B826" s="16"/>
      <c r="C826" s="1"/>
      <c r="D826" s="1"/>
      <c r="E826" s="1"/>
      <c r="F826" s="1"/>
      <c r="G826" s="22"/>
      <c r="H826" s="22"/>
      <c r="I826" s="1"/>
      <c r="J826" s="1"/>
      <c r="K826" s="1"/>
      <c r="L826" s="1"/>
      <c r="M826" s="262"/>
      <c r="N826" s="1"/>
      <c r="O826" s="1"/>
      <c r="P826" s="1"/>
      <c r="Q826" s="1"/>
      <c r="R826" s="1"/>
      <c r="S826" s="1"/>
      <c r="T826" s="1"/>
      <c r="U826" s="1"/>
      <c r="V826" s="1"/>
      <c r="W826" s="1"/>
      <c r="X826" s="1"/>
      <c r="Y826" s="1"/>
      <c r="Z826" s="1"/>
      <c r="AA826" s="1"/>
      <c r="AB826" s="1"/>
    </row>
    <row r="827" spans="2:28" ht="11.25" customHeight="1" x14ac:dyDescent="0.25">
      <c r="B827" s="16"/>
      <c r="C827" s="1"/>
      <c r="D827" s="1"/>
      <c r="E827" s="1"/>
      <c r="F827" s="1"/>
      <c r="G827" s="22"/>
      <c r="H827" s="22"/>
      <c r="I827" s="1"/>
      <c r="J827" s="1"/>
      <c r="K827" s="1"/>
      <c r="L827" s="1"/>
      <c r="M827" s="262"/>
      <c r="N827" s="1"/>
      <c r="O827" s="1"/>
      <c r="P827" s="1"/>
      <c r="Q827" s="1"/>
      <c r="R827" s="1"/>
      <c r="S827" s="1"/>
      <c r="T827" s="1"/>
      <c r="U827" s="1"/>
      <c r="V827" s="1"/>
      <c r="W827" s="1"/>
      <c r="X827" s="1"/>
      <c r="Y827" s="1"/>
      <c r="Z827" s="1"/>
      <c r="AA827" s="1"/>
      <c r="AB827" s="1"/>
    </row>
    <row r="828" spans="2:28" ht="11.25" customHeight="1" x14ac:dyDescent="0.25">
      <c r="B828" s="16"/>
      <c r="C828" s="1"/>
      <c r="D828" s="1"/>
      <c r="E828" s="1"/>
      <c r="F828" s="1"/>
      <c r="G828" s="22"/>
      <c r="H828" s="22"/>
      <c r="I828" s="1"/>
      <c r="J828" s="1"/>
      <c r="K828" s="1"/>
      <c r="L828" s="1"/>
      <c r="M828" s="262"/>
      <c r="N828" s="1"/>
      <c r="O828" s="1"/>
      <c r="P828" s="1"/>
      <c r="Q828" s="1"/>
      <c r="R828" s="1"/>
      <c r="S828" s="1"/>
      <c r="T828" s="1"/>
      <c r="U828" s="1"/>
      <c r="V828" s="1"/>
      <c r="W828" s="1"/>
      <c r="X828" s="1"/>
      <c r="Y828" s="1"/>
      <c r="Z828" s="1"/>
      <c r="AA828" s="1"/>
      <c r="AB828" s="1"/>
    </row>
    <row r="829" spans="2:28" ht="11.25" customHeight="1" x14ac:dyDescent="0.25">
      <c r="B829" s="16"/>
      <c r="C829" s="1"/>
      <c r="D829" s="1"/>
      <c r="E829" s="1"/>
      <c r="F829" s="1"/>
      <c r="G829" s="22"/>
      <c r="H829" s="22"/>
      <c r="I829" s="1"/>
      <c r="J829" s="1"/>
      <c r="K829" s="1"/>
      <c r="L829" s="1"/>
      <c r="M829" s="262"/>
      <c r="N829" s="1"/>
      <c r="O829" s="1"/>
      <c r="P829" s="1"/>
      <c r="Q829" s="1"/>
      <c r="R829" s="1"/>
      <c r="S829" s="1"/>
      <c r="T829" s="1"/>
      <c r="U829" s="1"/>
      <c r="V829" s="1"/>
      <c r="W829" s="1"/>
      <c r="X829" s="1"/>
      <c r="Y829" s="1"/>
      <c r="Z829" s="1"/>
      <c r="AA829" s="1"/>
      <c r="AB829" s="1"/>
    </row>
    <row r="830" spans="2:28" ht="11.25" customHeight="1" x14ac:dyDescent="0.25">
      <c r="B830" s="16"/>
      <c r="C830" s="1"/>
      <c r="D830" s="1"/>
      <c r="E830" s="1"/>
      <c r="F830" s="1"/>
      <c r="G830" s="22"/>
      <c r="H830" s="22"/>
      <c r="I830" s="1"/>
      <c r="J830" s="1"/>
      <c r="K830" s="1"/>
      <c r="L830" s="1"/>
      <c r="M830" s="262"/>
      <c r="N830" s="1"/>
      <c r="O830" s="1"/>
      <c r="P830" s="1"/>
      <c r="Q830" s="1"/>
      <c r="R830" s="1"/>
      <c r="S830" s="1"/>
      <c r="T830" s="1"/>
      <c r="U830" s="1"/>
      <c r="V830" s="1"/>
      <c r="W830" s="1"/>
      <c r="X830" s="1"/>
      <c r="Y830" s="1"/>
      <c r="Z830" s="1"/>
      <c r="AA830" s="1"/>
      <c r="AB830" s="1"/>
    </row>
    <row r="831" spans="2:28" ht="11.25" customHeight="1" x14ac:dyDescent="0.25">
      <c r="B831" s="16"/>
      <c r="C831" s="1"/>
      <c r="D831" s="1"/>
      <c r="E831" s="1"/>
      <c r="F831" s="1"/>
      <c r="G831" s="22"/>
      <c r="H831" s="22"/>
      <c r="I831" s="1"/>
      <c r="J831" s="1"/>
      <c r="K831" s="1"/>
      <c r="L831" s="1"/>
      <c r="M831" s="262"/>
      <c r="N831" s="1"/>
      <c r="O831" s="1"/>
      <c r="P831" s="1"/>
      <c r="Q831" s="1"/>
      <c r="R831" s="1"/>
      <c r="S831" s="1"/>
      <c r="T831" s="1"/>
      <c r="U831" s="1"/>
      <c r="V831" s="1"/>
      <c r="W831" s="1"/>
      <c r="X831" s="1"/>
      <c r="Y831" s="1"/>
      <c r="Z831" s="1"/>
      <c r="AA831" s="1"/>
      <c r="AB831" s="1"/>
    </row>
    <row r="832" spans="2:28" ht="11.25" customHeight="1" x14ac:dyDescent="0.25">
      <c r="B832" s="16"/>
      <c r="C832" s="1"/>
      <c r="D832" s="1"/>
      <c r="E832" s="1"/>
      <c r="F832" s="1"/>
      <c r="G832" s="22"/>
      <c r="H832" s="22"/>
      <c r="I832" s="1"/>
      <c r="J832" s="1"/>
      <c r="K832" s="1"/>
      <c r="L832" s="1"/>
      <c r="M832" s="262"/>
      <c r="N832" s="1"/>
      <c r="O832" s="1"/>
      <c r="P832" s="1"/>
      <c r="Q832" s="1"/>
      <c r="R832" s="1"/>
      <c r="S832" s="1"/>
      <c r="T832" s="1"/>
      <c r="U832" s="1"/>
      <c r="V832" s="1"/>
      <c r="W832" s="1"/>
      <c r="X832" s="1"/>
      <c r="Y832" s="1"/>
      <c r="Z832" s="1"/>
      <c r="AA832" s="1"/>
      <c r="AB832" s="1"/>
    </row>
    <row r="833" spans="2:28" ht="11.25" customHeight="1" x14ac:dyDescent="0.25">
      <c r="B833" s="16"/>
      <c r="C833" s="1"/>
      <c r="D833" s="1"/>
      <c r="E833" s="1"/>
      <c r="F833" s="1"/>
      <c r="G833" s="22"/>
      <c r="H833" s="22"/>
      <c r="I833" s="1"/>
      <c r="J833" s="1"/>
      <c r="K833" s="1"/>
      <c r="L833" s="1"/>
      <c r="M833" s="262"/>
      <c r="N833" s="1"/>
      <c r="O833" s="1"/>
      <c r="P833" s="1"/>
      <c r="Q833" s="1"/>
      <c r="R833" s="1"/>
      <c r="S833" s="1"/>
      <c r="T833" s="1"/>
      <c r="U833" s="1"/>
      <c r="V833" s="1"/>
      <c r="W833" s="1"/>
      <c r="X833" s="1"/>
      <c r="Y833" s="1"/>
      <c r="Z833" s="1"/>
      <c r="AA833" s="1"/>
      <c r="AB833" s="1"/>
    </row>
    <row r="834" spans="2:28" ht="11.25" customHeight="1" x14ac:dyDescent="0.25">
      <c r="B834" s="16"/>
      <c r="C834" s="1"/>
      <c r="D834" s="1"/>
      <c r="E834" s="1"/>
      <c r="F834" s="1"/>
      <c r="G834" s="22"/>
      <c r="H834" s="22"/>
      <c r="I834" s="1"/>
      <c r="J834" s="1"/>
      <c r="K834" s="1"/>
      <c r="L834" s="1"/>
      <c r="M834" s="262"/>
      <c r="N834" s="1"/>
      <c r="O834" s="1"/>
      <c r="P834" s="1"/>
      <c r="Q834" s="1"/>
      <c r="R834" s="1"/>
      <c r="S834" s="1"/>
      <c r="T834" s="1"/>
      <c r="U834" s="1"/>
      <c r="V834" s="1"/>
      <c r="W834" s="1"/>
      <c r="X834" s="1"/>
      <c r="Y834" s="1"/>
      <c r="Z834" s="1"/>
      <c r="AA834" s="1"/>
      <c r="AB834" s="1"/>
    </row>
    <row r="835" spans="2:28" ht="11.25" customHeight="1" x14ac:dyDescent="0.25">
      <c r="B835" s="16"/>
      <c r="C835" s="1"/>
      <c r="D835" s="1"/>
      <c r="E835" s="1"/>
      <c r="F835" s="1"/>
      <c r="G835" s="22"/>
      <c r="H835" s="22"/>
      <c r="I835" s="1"/>
      <c r="J835" s="1"/>
      <c r="K835" s="1"/>
      <c r="L835" s="1"/>
      <c r="M835" s="262"/>
      <c r="N835" s="1"/>
      <c r="O835" s="1"/>
      <c r="P835" s="1"/>
      <c r="Q835" s="1"/>
      <c r="R835" s="1"/>
      <c r="S835" s="1"/>
      <c r="T835" s="1"/>
      <c r="U835" s="1"/>
      <c r="V835" s="1"/>
      <c r="W835" s="1"/>
      <c r="X835" s="1"/>
      <c r="Y835" s="1"/>
      <c r="Z835" s="1"/>
      <c r="AA835" s="1"/>
      <c r="AB835" s="1"/>
    </row>
    <row r="836" spans="2:28" ht="11.25" customHeight="1" x14ac:dyDescent="0.25">
      <c r="B836" s="16"/>
      <c r="C836" s="1"/>
      <c r="D836" s="1"/>
      <c r="E836" s="1"/>
      <c r="F836" s="1"/>
      <c r="G836" s="22"/>
      <c r="H836" s="22"/>
      <c r="I836" s="1"/>
      <c r="J836" s="1"/>
      <c r="K836" s="1"/>
      <c r="L836" s="1"/>
      <c r="M836" s="262"/>
      <c r="N836" s="1"/>
      <c r="O836" s="1"/>
      <c r="P836" s="1"/>
      <c r="Q836" s="1"/>
      <c r="R836" s="1"/>
      <c r="S836" s="1"/>
      <c r="T836" s="1"/>
      <c r="U836" s="1"/>
      <c r="V836" s="1"/>
      <c r="W836" s="1"/>
      <c r="X836" s="1"/>
      <c r="Y836" s="1"/>
      <c r="Z836" s="1"/>
      <c r="AA836" s="1"/>
      <c r="AB836" s="1"/>
    </row>
    <row r="837" spans="2:28" ht="11.25" customHeight="1" x14ac:dyDescent="0.25">
      <c r="B837" s="16"/>
      <c r="C837" s="1"/>
      <c r="D837" s="1"/>
      <c r="E837" s="1"/>
      <c r="F837" s="1"/>
      <c r="G837" s="22"/>
      <c r="H837" s="22"/>
      <c r="I837" s="1"/>
      <c r="J837" s="1"/>
      <c r="K837" s="1"/>
      <c r="L837" s="1"/>
      <c r="M837" s="262"/>
      <c r="N837" s="1"/>
      <c r="O837" s="1"/>
      <c r="P837" s="1"/>
      <c r="Q837" s="1"/>
      <c r="R837" s="1"/>
      <c r="S837" s="1"/>
      <c r="T837" s="1"/>
      <c r="U837" s="1"/>
      <c r="V837" s="1"/>
      <c r="W837" s="1"/>
      <c r="X837" s="1"/>
      <c r="Y837" s="1"/>
      <c r="Z837" s="1"/>
      <c r="AA837" s="1"/>
      <c r="AB837" s="1"/>
    </row>
    <row r="838" spans="2:28" ht="11.25" customHeight="1" x14ac:dyDescent="0.25">
      <c r="B838" s="16"/>
      <c r="C838" s="1"/>
      <c r="D838" s="1"/>
      <c r="E838" s="1"/>
      <c r="F838" s="1"/>
      <c r="G838" s="22"/>
      <c r="H838" s="22"/>
      <c r="I838" s="1"/>
      <c r="J838" s="1"/>
      <c r="K838" s="1"/>
      <c r="L838" s="1"/>
      <c r="M838" s="262"/>
      <c r="N838" s="1"/>
      <c r="O838" s="1"/>
      <c r="P838" s="1"/>
      <c r="Q838" s="1"/>
      <c r="R838" s="1"/>
      <c r="S838" s="1"/>
      <c r="T838" s="1"/>
      <c r="U838" s="1"/>
      <c r="V838" s="1"/>
      <c r="W838" s="1"/>
      <c r="X838" s="1"/>
      <c r="Y838" s="1"/>
      <c r="Z838" s="1"/>
      <c r="AA838" s="1"/>
      <c r="AB838" s="1"/>
    </row>
    <row r="839" spans="2:28" ht="11.25" customHeight="1" x14ac:dyDescent="0.25">
      <c r="B839" s="16"/>
      <c r="C839" s="1"/>
      <c r="D839" s="1"/>
      <c r="E839" s="1"/>
      <c r="F839" s="1"/>
      <c r="G839" s="22"/>
      <c r="H839" s="22"/>
      <c r="I839" s="1"/>
      <c r="J839" s="1"/>
      <c r="K839" s="1"/>
      <c r="L839" s="1"/>
      <c r="M839" s="262"/>
      <c r="N839" s="1"/>
      <c r="O839" s="1"/>
      <c r="P839" s="1"/>
      <c r="Q839" s="1"/>
      <c r="R839" s="1"/>
      <c r="S839" s="1"/>
      <c r="T839" s="1"/>
      <c r="U839" s="1"/>
      <c r="V839" s="1"/>
      <c r="W839" s="1"/>
      <c r="X839" s="1"/>
      <c r="Y839" s="1"/>
      <c r="Z839" s="1"/>
      <c r="AA839" s="1"/>
      <c r="AB839" s="1"/>
    </row>
    <row r="840" spans="2:28" ht="11.25" customHeight="1" x14ac:dyDescent="0.25">
      <c r="B840" s="16"/>
      <c r="C840" s="1"/>
      <c r="D840" s="1"/>
      <c r="E840" s="1"/>
      <c r="F840" s="1"/>
      <c r="G840" s="22"/>
      <c r="H840" s="22"/>
      <c r="I840" s="1"/>
      <c r="J840" s="1"/>
      <c r="K840" s="1"/>
      <c r="L840" s="1"/>
      <c r="M840" s="262"/>
      <c r="N840" s="1"/>
      <c r="O840" s="1"/>
      <c r="P840" s="1"/>
      <c r="Q840" s="1"/>
      <c r="R840" s="1"/>
      <c r="S840" s="1"/>
      <c r="T840" s="1"/>
      <c r="U840" s="1"/>
      <c r="V840" s="1"/>
      <c r="W840" s="1"/>
      <c r="X840" s="1"/>
      <c r="Y840" s="1"/>
      <c r="Z840" s="1"/>
      <c r="AA840" s="1"/>
      <c r="AB840" s="1"/>
    </row>
    <row r="841" spans="2:28" ht="11.25" customHeight="1" x14ac:dyDescent="0.25">
      <c r="B841" s="16"/>
      <c r="C841" s="1"/>
      <c r="D841" s="1"/>
      <c r="E841" s="1"/>
      <c r="F841" s="1"/>
      <c r="G841" s="22"/>
      <c r="H841" s="22"/>
      <c r="I841" s="1"/>
      <c r="J841" s="1"/>
      <c r="K841" s="1"/>
      <c r="L841" s="1"/>
      <c r="M841" s="262"/>
      <c r="N841" s="1"/>
      <c r="O841" s="1"/>
      <c r="P841" s="1"/>
      <c r="Q841" s="1"/>
      <c r="R841" s="1"/>
      <c r="S841" s="1"/>
      <c r="T841" s="1"/>
      <c r="U841" s="1"/>
      <c r="V841" s="1"/>
      <c r="W841" s="1"/>
      <c r="X841" s="1"/>
      <c r="Y841" s="1"/>
      <c r="Z841" s="1"/>
      <c r="AA841" s="1"/>
      <c r="AB841" s="1"/>
    </row>
    <row r="842" spans="2:28" ht="11.25" customHeight="1" x14ac:dyDescent="0.25">
      <c r="B842" s="16"/>
      <c r="C842" s="1"/>
      <c r="D842" s="1"/>
      <c r="E842" s="1"/>
      <c r="F842" s="1"/>
      <c r="G842" s="22"/>
      <c r="H842" s="22"/>
      <c r="I842" s="1"/>
      <c r="J842" s="1"/>
      <c r="K842" s="1"/>
      <c r="L842" s="1"/>
      <c r="M842" s="262"/>
      <c r="N842" s="1"/>
      <c r="O842" s="1"/>
      <c r="P842" s="1"/>
      <c r="Q842" s="1"/>
      <c r="R842" s="1"/>
      <c r="S842" s="1"/>
      <c r="T842" s="1"/>
      <c r="U842" s="1"/>
      <c r="V842" s="1"/>
      <c r="W842" s="1"/>
      <c r="X842" s="1"/>
      <c r="Y842" s="1"/>
      <c r="Z842" s="1"/>
      <c r="AA842" s="1"/>
      <c r="AB842" s="1"/>
    </row>
    <row r="843" spans="2:28" ht="11.25" customHeight="1" x14ac:dyDescent="0.25">
      <c r="B843" s="16"/>
      <c r="C843" s="1"/>
      <c r="D843" s="1"/>
      <c r="E843" s="1"/>
      <c r="F843" s="1"/>
      <c r="G843" s="22"/>
      <c r="H843" s="22"/>
      <c r="I843" s="1"/>
      <c r="J843" s="1"/>
      <c r="K843" s="1"/>
      <c r="L843" s="1"/>
      <c r="M843" s="262"/>
      <c r="N843" s="1"/>
      <c r="O843" s="1"/>
      <c r="P843" s="1"/>
      <c r="Q843" s="1"/>
      <c r="R843" s="1"/>
      <c r="S843" s="1"/>
      <c r="T843" s="1"/>
      <c r="U843" s="1"/>
      <c r="V843" s="1"/>
      <c r="W843" s="1"/>
      <c r="X843" s="1"/>
      <c r="Y843" s="1"/>
      <c r="Z843" s="1"/>
      <c r="AA843" s="1"/>
      <c r="AB843" s="1"/>
    </row>
    <row r="844" spans="2:28" ht="11.25" customHeight="1" x14ac:dyDescent="0.25">
      <c r="B844" s="16"/>
      <c r="C844" s="1"/>
      <c r="D844" s="1"/>
      <c r="E844" s="1"/>
      <c r="F844" s="1"/>
      <c r="G844" s="22"/>
      <c r="H844" s="22"/>
      <c r="I844" s="1"/>
      <c r="J844" s="1"/>
      <c r="K844" s="1"/>
      <c r="L844" s="1"/>
      <c r="M844" s="262"/>
      <c r="N844" s="1"/>
      <c r="O844" s="1"/>
      <c r="P844" s="1"/>
      <c r="Q844" s="1"/>
      <c r="R844" s="1"/>
      <c r="S844" s="1"/>
      <c r="T844" s="1"/>
      <c r="U844" s="1"/>
      <c r="V844" s="1"/>
      <c r="W844" s="1"/>
      <c r="X844" s="1"/>
      <c r="Y844" s="1"/>
      <c r="Z844" s="1"/>
      <c r="AA844" s="1"/>
      <c r="AB844" s="1"/>
    </row>
    <row r="845" spans="2:28" ht="11.25" customHeight="1" x14ac:dyDescent="0.25">
      <c r="B845" s="16"/>
      <c r="C845" s="1"/>
      <c r="D845" s="1"/>
      <c r="E845" s="1"/>
      <c r="F845" s="1"/>
      <c r="G845" s="22"/>
      <c r="H845" s="22"/>
      <c r="I845" s="1"/>
      <c r="J845" s="1"/>
      <c r="K845" s="1"/>
      <c r="L845" s="1"/>
      <c r="M845" s="262"/>
      <c r="N845" s="1"/>
      <c r="O845" s="1"/>
      <c r="P845" s="1"/>
      <c r="Q845" s="1"/>
      <c r="R845" s="1"/>
      <c r="S845" s="1"/>
      <c r="T845" s="1"/>
      <c r="U845" s="1"/>
      <c r="V845" s="1"/>
      <c r="W845" s="1"/>
      <c r="X845" s="1"/>
      <c r="Y845" s="1"/>
      <c r="Z845" s="1"/>
      <c r="AA845" s="1"/>
      <c r="AB845" s="1"/>
    </row>
    <row r="846" spans="2:28" ht="11.25" customHeight="1" x14ac:dyDescent="0.25">
      <c r="B846" s="16"/>
      <c r="C846" s="1"/>
      <c r="D846" s="1"/>
      <c r="E846" s="1"/>
      <c r="F846" s="1"/>
      <c r="G846" s="22"/>
      <c r="H846" s="22"/>
      <c r="I846" s="1"/>
      <c r="J846" s="1"/>
      <c r="K846" s="1"/>
      <c r="L846" s="1"/>
      <c r="M846" s="262"/>
      <c r="N846" s="1"/>
      <c r="O846" s="1"/>
      <c r="P846" s="1"/>
      <c r="Q846" s="1"/>
      <c r="R846" s="1"/>
      <c r="S846" s="1"/>
      <c r="T846" s="1"/>
      <c r="U846" s="1"/>
      <c r="V846" s="1"/>
      <c r="W846" s="1"/>
      <c r="X846" s="1"/>
      <c r="Y846" s="1"/>
      <c r="Z846" s="1"/>
      <c r="AA846" s="1"/>
      <c r="AB846" s="1"/>
    </row>
    <row r="847" spans="2:28" ht="11.25" customHeight="1" x14ac:dyDescent="0.25">
      <c r="B847" s="16"/>
      <c r="C847" s="1"/>
      <c r="D847" s="1"/>
      <c r="E847" s="1"/>
      <c r="F847" s="1"/>
      <c r="G847" s="22"/>
      <c r="H847" s="22"/>
      <c r="I847" s="1"/>
      <c r="J847" s="1"/>
      <c r="K847" s="1"/>
      <c r="L847" s="1"/>
      <c r="M847" s="262"/>
      <c r="N847" s="1"/>
      <c r="O847" s="1"/>
      <c r="P847" s="1"/>
      <c r="Q847" s="1"/>
      <c r="R847" s="1"/>
      <c r="S847" s="1"/>
      <c r="T847" s="1"/>
      <c r="U847" s="1"/>
      <c r="V847" s="1"/>
      <c r="W847" s="1"/>
      <c r="X847" s="1"/>
      <c r="Y847" s="1"/>
      <c r="Z847" s="1"/>
      <c r="AA847" s="1"/>
      <c r="AB847" s="1"/>
    </row>
    <row r="848" spans="2:28" ht="11.25" customHeight="1" x14ac:dyDescent="0.25">
      <c r="B848" s="16"/>
      <c r="C848" s="1"/>
      <c r="D848" s="1"/>
      <c r="E848" s="1"/>
      <c r="F848" s="1"/>
      <c r="G848" s="22"/>
      <c r="H848" s="22"/>
      <c r="I848" s="1"/>
      <c r="J848" s="1"/>
      <c r="K848" s="1"/>
      <c r="L848" s="1"/>
      <c r="M848" s="262"/>
      <c r="N848" s="1"/>
      <c r="O848" s="1"/>
      <c r="P848" s="1"/>
      <c r="Q848" s="1"/>
      <c r="R848" s="1"/>
      <c r="S848" s="1"/>
      <c r="T848" s="1"/>
      <c r="U848" s="1"/>
      <c r="V848" s="1"/>
      <c r="W848" s="1"/>
      <c r="X848" s="1"/>
      <c r="Y848" s="1"/>
      <c r="Z848" s="1"/>
      <c r="AA848" s="1"/>
      <c r="AB848" s="1"/>
    </row>
    <row r="849" spans="2:28" ht="11.25" customHeight="1" x14ac:dyDescent="0.25">
      <c r="B849" s="16"/>
      <c r="C849" s="1"/>
      <c r="D849" s="1"/>
      <c r="E849" s="1"/>
      <c r="F849" s="1"/>
      <c r="G849" s="22"/>
      <c r="H849" s="22"/>
      <c r="I849" s="1"/>
      <c r="J849" s="1"/>
      <c r="K849" s="1"/>
      <c r="L849" s="1"/>
      <c r="M849" s="262"/>
      <c r="N849" s="1"/>
      <c r="O849" s="1"/>
      <c r="P849" s="1"/>
      <c r="Q849" s="1"/>
      <c r="R849" s="1"/>
      <c r="S849" s="1"/>
      <c r="T849" s="1"/>
      <c r="U849" s="1"/>
      <c r="V849" s="1"/>
      <c r="W849" s="1"/>
      <c r="X849" s="1"/>
      <c r="Y849" s="1"/>
      <c r="Z849" s="1"/>
      <c r="AA849" s="1"/>
      <c r="AB849" s="1"/>
    </row>
    <row r="850" spans="2:28" ht="11.25" customHeight="1" x14ac:dyDescent="0.25">
      <c r="B850" s="16"/>
      <c r="C850" s="1"/>
      <c r="D850" s="1"/>
      <c r="E850" s="1"/>
      <c r="F850" s="1"/>
      <c r="G850" s="22"/>
      <c r="H850" s="22"/>
      <c r="I850" s="1"/>
      <c r="J850" s="1"/>
      <c r="K850" s="1"/>
      <c r="L850" s="1"/>
      <c r="M850" s="262"/>
      <c r="N850" s="1"/>
      <c r="O850" s="1"/>
      <c r="P850" s="1"/>
      <c r="Q850" s="1"/>
      <c r="R850" s="1"/>
      <c r="S850" s="1"/>
      <c r="T850" s="1"/>
      <c r="U850" s="1"/>
      <c r="V850" s="1"/>
      <c r="W850" s="1"/>
      <c r="X850" s="1"/>
      <c r="Y850" s="1"/>
      <c r="Z850" s="1"/>
      <c r="AA850" s="1"/>
      <c r="AB850" s="1"/>
    </row>
    <row r="851" spans="2:28" ht="11.25" customHeight="1" x14ac:dyDescent="0.25">
      <c r="B851" s="16"/>
      <c r="C851" s="1"/>
      <c r="D851" s="1"/>
      <c r="E851" s="1"/>
      <c r="F851" s="1"/>
      <c r="G851" s="22"/>
      <c r="H851" s="22"/>
      <c r="I851" s="1"/>
      <c r="J851" s="1"/>
      <c r="K851" s="1"/>
      <c r="L851" s="1"/>
      <c r="M851" s="262"/>
      <c r="N851" s="1"/>
      <c r="O851" s="1"/>
      <c r="P851" s="1"/>
      <c r="Q851" s="1"/>
      <c r="R851" s="1"/>
      <c r="S851" s="1"/>
      <c r="T851" s="1"/>
      <c r="U851" s="1"/>
      <c r="V851" s="1"/>
      <c r="W851" s="1"/>
      <c r="X851" s="1"/>
      <c r="Y851" s="1"/>
      <c r="Z851" s="1"/>
      <c r="AA851" s="1"/>
      <c r="AB851" s="1"/>
    </row>
    <row r="852" spans="2:28" ht="11.25" customHeight="1" x14ac:dyDescent="0.25">
      <c r="B852" s="16"/>
      <c r="C852" s="1"/>
      <c r="D852" s="1"/>
      <c r="E852" s="1"/>
      <c r="F852" s="1"/>
      <c r="G852" s="22"/>
      <c r="H852" s="22"/>
      <c r="I852" s="1"/>
      <c r="J852" s="1"/>
      <c r="K852" s="1"/>
      <c r="L852" s="1"/>
      <c r="M852" s="262"/>
      <c r="N852" s="1"/>
      <c r="O852" s="1"/>
      <c r="P852" s="1"/>
      <c r="Q852" s="1"/>
      <c r="R852" s="1"/>
      <c r="S852" s="1"/>
      <c r="T852" s="1"/>
      <c r="U852" s="1"/>
      <c r="V852" s="1"/>
      <c r="W852" s="1"/>
      <c r="X852" s="1"/>
      <c r="Y852" s="1"/>
      <c r="Z852" s="1"/>
      <c r="AA852" s="1"/>
      <c r="AB852" s="1"/>
    </row>
    <row r="853" spans="2:28" ht="11.25" customHeight="1" x14ac:dyDescent="0.25">
      <c r="B853" s="16"/>
      <c r="C853" s="1"/>
      <c r="D853" s="1"/>
      <c r="E853" s="1"/>
      <c r="F853" s="1"/>
      <c r="G853" s="22"/>
      <c r="H853" s="22"/>
      <c r="I853" s="1"/>
      <c r="J853" s="1"/>
      <c r="K853" s="1"/>
      <c r="L853" s="1"/>
      <c r="M853" s="262"/>
      <c r="N853" s="1"/>
      <c r="O853" s="1"/>
      <c r="P853" s="1"/>
      <c r="Q853" s="1"/>
      <c r="R853" s="1"/>
      <c r="S853" s="1"/>
      <c r="T853" s="1"/>
      <c r="U853" s="1"/>
      <c r="V853" s="1"/>
      <c r="W853" s="1"/>
      <c r="X853" s="1"/>
      <c r="Y853" s="1"/>
      <c r="Z853" s="1"/>
      <c r="AA853" s="1"/>
      <c r="AB853" s="1"/>
    </row>
    <row r="854" spans="2:28" ht="11.25" customHeight="1" x14ac:dyDescent="0.25">
      <c r="B854" s="16"/>
      <c r="C854" s="1"/>
      <c r="D854" s="1"/>
      <c r="E854" s="1"/>
      <c r="F854" s="1"/>
      <c r="G854" s="22"/>
      <c r="H854" s="22"/>
      <c r="I854" s="1"/>
      <c r="J854" s="1"/>
      <c r="K854" s="1"/>
      <c r="L854" s="1"/>
      <c r="M854" s="262"/>
      <c r="N854" s="1"/>
      <c r="O854" s="1"/>
      <c r="P854" s="1"/>
      <c r="Q854" s="1"/>
      <c r="R854" s="1"/>
      <c r="S854" s="1"/>
      <c r="T854" s="1"/>
      <c r="U854" s="1"/>
      <c r="V854" s="1"/>
      <c r="W854" s="1"/>
      <c r="X854" s="1"/>
      <c r="Y854" s="1"/>
      <c r="Z854" s="1"/>
      <c r="AA854" s="1"/>
      <c r="AB854" s="1"/>
    </row>
    <row r="855" spans="2:28" ht="11.25" customHeight="1" x14ac:dyDescent="0.25">
      <c r="B855" s="16"/>
      <c r="C855" s="1"/>
      <c r="D855" s="1"/>
      <c r="E855" s="1"/>
      <c r="F855" s="1"/>
      <c r="G855" s="22"/>
      <c r="H855" s="22"/>
      <c r="I855" s="1"/>
      <c r="J855" s="1"/>
      <c r="K855" s="1"/>
      <c r="L855" s="1"/>
      <c r="M855" s="262"/>
      <c r="N855" s="1"/>
      <c r="O855" s="1"/>
      <c r="P855" s="1"/>
      <c r="Q855" s="1"/>
      <c r="R855" s="1"/>
      <c r="S855" s="1"/>
      <c r="T855" s="1"/>
      <c r="U855" s="1"/>
      <c r="V855" s="1"/>
      <c r="W855" s="1"/>
      <c r="X855" s="1"/>
      <c r="Y855" s="1"/>
      <c r="Z855" s="1"/>
      <c r="AA855" s="1"/>
      <c r="AB855" s="1"/>
    </row>
    <row r="856" spans="2:28" ht="11.25" customHeight="1" x14ac:dyDescent="0.25">
      <c r="B856" s="16"/>
      <c r="C856" s="1"/>
      <c r="D856" s="1"/>
      <c r="E856" s="1"/>
      <c r="F856" s="1"/>
      <c r="G856" s="22"/>
      <c r="H856" s="22"/>
      <c r="I856" s="1"/>
      <c r="J856" s="1"/>
      <c r="K856" s="1"/>
      <c r="L856" s="1"/>
      <c r="M856" s="262"/>
      <c r="N856" s="1"/>
      <c r="O856" s="1"/>
      <c r="P856" s="1"/>
      <c r="Q856" s="1"/>
      <c r="R856" s="1"/>
      <c r="S856" s="1"/>
      <c r="T856" s="1"/>
      <c r="U856" s="1"/>
      <c r="V856" s="1"/>
      <c r="W856" s="1"/>
      <c r="X856" s="1"/>
      <c r="Y856" s="1"/>
      <c r="Z856" s="1"/>
      <c r="AA856" s="1"/>
      <c r="AB856" s="1"/>
    </row>
    <row r="857" spans="2:28" ht="11.25" customHeight="1" x14ac:dyDescent="0.25">
      <c r="B857" s="16"/>
      <c r="C857" s="1"/>
      <c r="D857" s="1"/>
      <c r="E857" s="1"/>
      <c r="F857" s="1"/>
      <c r="G857" s="22"/>
      <c r="H857" s="22"/>
      <c r="I857" s="1"/>
      <c r="J857" s="1"/>
      <c r="K857" s="1"/>
      <c r="L857" s="1"/>
      <c r="M857" s="262"/>
      <c r="N857" s="1"/>
      <c r="O857" s="1"/>
      <c r="P857" s="1"/>
      <c r="Q857" s="1"/>
      <c r="R857" s="1"/>
      <c r="S857" s="1"/>
      <c r="T857" s="1"/>
      <c r="U857" s="1"/>
      <c r="V857" s="1"/>
      <c r="W857" s="1"/>
      <c r="X857" s="1"/>
      <c r="Y857" s="1"/>
      <c r="Z857" s="1"/>
      <c r="AA857" s="1"/>
      <c r="AB857" s="1"/>
    </row>
    <row r="858" spans="2:28" ht="11.25" customHeight="1" x14ac:dyDescent="0.25">
      <c r="B858" s="16"/>
      <c r="C858" s="1"/>
      <c r="D858" s="1"/>
      <c r="E858" s="1"/>
      <c r="F858" s="1"/>
      <c r="G858" s="22"/>
      <c r="H858" s="22"/>
      <c r="I858" s="1"/>
      <c r="J858" s="1"/>
      <c r="K858" s="1"/>
      <c r="L858" s="1"/>
      <c r="M858" s="262"/>
      <c r="N858" s="1"/>
      <c r="O858" s="1"/>
      <c r="P858" s="1"/>
      <c r="Q858" s="1"/>
      <c r="R858" s="1"/>
      <c r="S858" s="1"/>
      <c r="T858" s="1"/>
      <c r="U858" s="1"/>
      <c r="V858" s="1"/>
      <c r="W858" s="1"/>
      <c r="X858" s="1"/>
      <c r="Y858" s="1"/>
      <c r="Z858" s="1"/>
      <c r="AA858" s="1"/>
      <c r="AB858" s="1"/>
    </row>
    <row r="859" spans="2:28" ht="11.25" customHeight="1" x14ac:dyDescent="0.25">
      <c r="B859" s="16"/>
      <c r="C859" s="1"/>
      <c r="D859" s="1"/>
      <c r="E859" s="1"/>
      <c r="F859" s="1"/>
      <c r="G859" s="22"/>
      <c r="H859" s="22"/>
      <c r="I859" s="1"/>
      <c r="J859" s="1"/>
      <c r="K859" s="1"/>
      <c r="L859" s="1"/>
      <c r="M859" s="262"/>
      <c r="N859" s="1"/>
      <c r="O859" s="1"/>
      <c r="P859" s="1"/>
      <c r="Q859" s="1"/>
      <c r="R859" s="1"/>
      <c r="S859" s="1"/>
      <c r="T859" s="1"/>
      <c r="U859" s="1"/>
      <c r="V859" s="1"/>
      <c r="W859" s="1"/>
      <c r="X859" s="1"/>
      <c r="Y859" s="1"/>
      <c r="Z859" s="1"/>
      <c r="AA859" s="1"/>
      <c r="AB859" s="1"/>
    </row>
    <row r="860" spans="2:28" ht="11.25" customHeight="1" x14ac:dyDescent="0.25">
      <c r="B860" s="16"/>
      <c r="C860" s="1"/>
      <c r="D860" s="1"/>
      <c r="E860" s="1"/>
      <c r="F860" s="1"/>
      <c r="G860" s="22"/>
      <c r="H860" s="22"/>
      <c r="I860" s="1"/>
      <c r="J860" s="1"/>
      <c r="K860" s="1"/>
      <c r="L860" s="1"/>
      <c r="M860" s="262"/>
      <c r="N860" s="1"/>
      <c r="O860" s="1"/>
      <c r="P860" s="1"/>
      <c r="Q860" s="1"/>
      <c r="R860" s="1"/>
      <c r="S860" s="1"/>
      <c r="T860" s="1"/>
      <c r="U860" s="1"/>
      <c r="V860" s="1"/>
      <c r="W860" s="1"/>
      <c r="X860" s="1"/>
      <c r="Y860" s="1"/>
      <c r="Z860" s="1"/>
      <c r="AA860" s="1"/>
      <c r="AB860" s="1"/>
    </row>
    <row r="861" spans="2:28" ht="11.25" customHeight="1" x14ac:dyDescent="0.25">
      <c r="B861" s="16"/>
      <c r="C861" s="1"/>
      <c r="D861" s="1"/>
      <c r="E861" s="1"/>
      <c r="F861" s="1"/>
      <c r="G861" s="22"/>
      <c r="H861" s="22"/>
      <c r="I861" s="1"/>
      <c r="J861" s="1"/>
      <c r="K861" s="1"/>
      <c r="L861" s="1"/>
      <c r="M861" s="262"/>
      <c r="N861" s="1"/>
      <c r="O861" s="1"/>
      <c r="P861" s="1"/>
      <c r="Q861" s="1"/>
      <c r="R861" s="1"/>
      <c r="S861" s="1"/>
      <c r="T861" s="1"/>
      <c r="U861" s="1"/>
      <c r="V861" s="1"/>
      <c r="W861" s="1"/>
      <c r="X861" s="1"/>
      <c r="Y861" s="1"/>
      <c r="Z861" s="1"/>
      <c r="AA861" s="1"/>
      <c r="AB861" s="1"/>
    </row>
    <row r="862" spans="2:28" ht="11.25" customHeight="1" x14ac:dyDescent="0.25">
      <c r="B862" s="16"/>
      <c r="C862" s="1"/>
      <c r="D862" s="1"/>
      <c r="E862" s="1"/>
      <c r="F862" s="1"/>
      <c r="G862" s="22"/>
      <c r="H862" s="22"/>
      <c r="I862" s="1"/>
      <c r="J862" s="1"/>
      <c r="K862" s="1"/>
      <c r="L862" s="1"/>
      <c r="M862" s="262"/>
      <c r="N862" s="1"/>
      <c r="O862" s="1"/>
      <c r="P862" s="1"/>
      <c r="Q862" s="1"/>
      <c r="R862" s="1"/>
      <c r="S862" s="1"/>
      <c r="T862" s="1"/>
      <c r="U862" s="1"/>
      <c r="V862" s="1"/>
      <c r="W862" s="1"/>
      <c r="X862" s="1"/>
      <c r="Y862" s="1"/>
      <c r="Z862" s="1"/>
      <c r="AA862" s="1"/>
      <c r="AB862" s="1"/>
    </row>
    <row r="863" spans="2:28" ht="11.25" customHeight="1" x14ac:dyDescent="0.25">
      <c r="B863" s="16"/>
      <c r="C863" s="1"/>
      <c r="D863" s="1"/>
      <c r="E863" s="1"/>
      <c r="F863" s="1"/>
      <c r="G863" s="22"/>
      <c r="H863" s="22"/>
      <c r="I863" s="1"/>
      <c r="J863" s="1"/>
      <c r="K863" s="1"/>
      <c r="L863" s="1"/>
      <c r="M863" s="262"/>
      <c r="N863" s="1"/>
      <c r="O863" s="1"/>
      <c r="P863" s="1"/>
      <c r="Q863" s="1"/>
      <c r="R863" s="1"/>
      <c r="S863" s="1"/>
      <c r="T863" s="1"/>
      <c r="U863" s="1"/>
      <c r="V863" s="1"/>
      <c r="W863" s="1"/>
      <c r="X863" s="1"/>
      <c r="Y863" s="1"/>
      <c r="Z863" s="1"/>
      <c r="AA863" s="1"/>
      <c r="AB863" s="1"/>
    </row>
    <row r="864" spans="2:28" ht="11.25" customHeight="1" x14ac:dyDescent="0.25">
      <c r="B864" s="16"/>
      <c r="C864" s="1"/>
      <c r="D864" s="1"/>
      <c r="E864" s="1"/>
      <c r="F864" s="1"/>
      <c r="G864" s="22"/>
      <c r="H864" s="22"/>
      <c r="I864" s="1"/>
      <c r="J864" s="1"/>
      <c r="K864" s="1"/>
      <c r="L864" s="1"/>
      <c r="M864" s="262"/>
      <c r="N864" s="1"/>
      <c r="O864" s="1"/>
      <c r="P864" s="1"/>
      <c r="Q864" s="1"/>
      <c r="R864" s="1"/>
      <c r="S864" s="1"/>
      <c r="T864" s="1"/>
      <c r="U864" s="1"/>
      <c r="V864" s="1"/>
      <c r="W864" s="1"/>
      <c r="X864" s="1"/>
      <c r="Y864" s="1"/>
      <c r="Z864" s="1"/>
      <c r="AA864" s="1"/>
      <c r="AB864" s="1"/>
    </row>
    <row r="865" spans="2:28" ht="11.25" customHeight="1" x14ac:dyDescent="0.25">
      <c r="B865" s="16"/>
      <c r="C865" s="1"/>
      <c r="D865" s="1"/>
      <c r="E865" s="1"/>
      <c r="F865" s="1"/>
      <c r="G865" s="22"/>
      <c r="H865" s="22"/>
      <c r="I865" s="1"/>
      <c r="J865" s="1"/>
      <c r="K865" s="1"/>
      <c r="L865" s="1"/>
      <c r="M865" s="262"/>
      <c r="N865" s="1"/>
      <c r="O865" s="1"/>
      <c r="P865" s="1"/>
      <c r="Q865" s="1"/>
      <c r="R865" s="1"/>
      <c r="S865" s="1"/>
      <c r="T865" s="1"/>
      <c r="U865" s="1"/>
      <c r="V865" s="1"/>
      <c r="W865" s="1"/>
      <c r="X865" s="1"/>
      <c r="Y865" s="1"/>
      <c r="Z865" s="1"/>
      <c r="AA865" s="1"/>
      <c r="AB865" s="1"/>
    </row>
    <row r="866" spans="2:28" ht="11.25" customHeight="1" x14ac:dyDescent="0.25">
      <c r="B866" s="16"/>
      <c r="C866" s="1"/>
      <c r="D866" s="1"/>
      <c r="E866" s="1"/>
      <c r="F866" s="1"/>
      <c r="G866" s="22"/>
      <c r="H866" s="22"/>
      <c r="I866" s="1"/>
      <c r="J866" s="1"/>
      <c r="K866" s="1"/>
      <c r="L866" s="1"/>
      <c r="M866" s="262"/>
      <c r="N866" s="1"/>
      <c r="O866" s="1"/>
      <c r="P866" s="1"/>
      <c r="Q866" s="1"/>
      <c r="R866" s="1"/>
      <c r="S866" s="1"/>
      <c r="T866" s="1"/>
      <c r="U866" s="1"/>
      <c r="V866" s="1"/>
      <c r="W866" s="1"/>
      <c r="X866" s="1"/>
      <c r="Y866" s="1"/>
      <c r="Z866" s="1"/>
      <c r="AA866" s="1"/>
      <c r="AB866" s="1"/>
    </row>
    <row r="867" spans="2:28" ht="11.25" customHeight="1" x14ac:dyDescent="0.25">
      <c r="B867" s="16"/>
      <c r="C867" s="1"/>
      <c r="D867" s="1"/>
      <c r="E867" s="1"/>
      <c r="F867" s="1"/>
      <c r="G867" s="22"/>
      <c r="H867" s="22"/>
      <c r="I867" s="1"/>
      <c r="J867" s="1"/>
      <c r="K867" s="1"/>
      <c r="L867" s="1"/>
      <c r="M867" s="262"/>
      <c r="N867" s="1"/>
      <c r="O867" s="1"/>
      <c r="P867" s="1"/>
      <c r="Q867" s="1"/>
      <c r="R867" s="1"/>
      <c r="S867" s="1"/>
      <c r="T867" s="1"/>
      <c r="U867" s="1"/>
      <c r="V867" s="1"/>
      <c r="W867" s="1"/>
      <c r="X867" s="1"/>
      <c r="Y867" s="1"/>
      <c r="Z867" s="1"/>
      <c r="AA867" s="1"/>
      <c r="AB867" s="1"/>
    </row>
    <row r="868" spans="2:28" ht="11.25" customHeight="1" x14ac:dyDescent="0.25">
      <c r="B868" s="16"/>
      <c r="C868" s="1"/>
      <c r="D868" s="1"/>
      <c r="E868" s="1"/>
      <c r="F868" s="1"/>
      <c r="G868" s="22"/>
      <c r="H868" s="22"/>
      <c r="I868" s="1"/>
      <c r="J868" s="1"/>
      <c r="K868" s="1"/>
      <c r="L868" s="1"/>
      <c r="M868" s="262"/>
      <c r="N868" s="1"/>
      <c r="O868" s="1"/>
      <c r="P868" s="1"/>
      <c r="Q868" s="1"/>
      <c r="R868" s="1"/>
      <c r="S868" s="1"/>
      <c r="T868" s="1"/>
      <c r="U868" s="1"/>
      <c r="V868" s="1"/>
      <c r="W868" s="1"/>
      <c r="X868" s="1"/>
      <c r="Y868" s="1"/>
      <c r="Z868" s="1"/>
      <c r="AA868" s="1"/>
      <c r="AB868" s="1"/>
    </row>
    <row r="869" spans="2:28" ht="11.25" customHeight="1" x14ac:dyDescent="0.25">
      <c r="B869" s="16"/>
      <c r="C869" s="1"/>
      <c r="D869" s="1"/>
      <c r="E869" s="1"/>
      <c r="F869" s="1"/>
      <c r="G869" s="22"/>
      <c r="H869" s="22"/>
      <c r="I869" s="1"/>
      <c r="J869" s="1"/>
      <c r="K869" s="1"/>
      <c r="L869" s="1"/>
      <c r="M869" s="262"/>
      <c r="N869" s="1"/>
      <c r="O869" s="1"/>
      <c r="P869" s="1"/>
      <c r="Q869" s="1"/>
      <c r="R869" s="1"/>
      <c r="S869" s="1"/>
      <c r="T869" s="1"/>
      <c r="U869" s="1"/>
      <c r="V869" s="1"/>
      <c r="W869" s="1"/>
      <c r="X869" s="1"/>
      <c r="Y869" s="1"/>
      <c r="Z869" s="1"/>
      <c r="AA869" s="1"/>
      <c r="AB869" s="1"/>
    </row>
    <row r="870" spans="2:28" ht="11.25" customHeight="1" x14ac:dyDescent="0.25">
      <c r="B870" s="16"/>
      <c r="C870" s="1"/>
      <c r="D870" s="1"/>
      <c r="E870" s="1"/>
      <c r="F870" s="1"/>
      <c r="G870" s="22"/>
      <c r="H870" s="22"/>
      <c r="I870" s="1"/>
      <c r="J870" s="1"/>
      <c r="K870" s="1"/>
      <c r="L870" s="1"/>
      <c r="M870" s="262"/>
      <c r="N870" s="1"/>
      <c r="O870" s="1"/>
      <c r="P870" s="1"/>
      <c r="Q870" s="1"/>
      <c r="R870" s="1"/>
      <c r="S870" s="1"/>
      <c r="T870" s="1"/>
      <c r="U870" s="1"/>
      <c r="V870" s="1"/>
      <c r="W870" s="1"/>
      <c r="X870" s="1"/>
      <c r="Y870" s="1"/>
      <c r="Z870" s="1"/>
      <c r="AA870" s="1"/>
      <c r="AB870" s="1"/>
    </row>
    <row r="871" spans="2:28" ht="11.25" customHeight="1" x14ac:dyDescent="0.25">
      <c r="B871" s="16"/>
      <c r="C871" s="1"/>
      <c r="D871" s="1"/>
      <c r="E871" s="1"/>
      <c r="F871" s="1"/>
      <c r="G871" s="22"/>
      <c r="H871" s="22"/>
      <c r="I871" s="1"/>
      <c r="J871" s="1"/>
      <c r="K871" s="1"/>
      <c r="L871" s="1"/>
      <c r="M871" s="262"/>
      <c r="N871" s="1"/>
      <c r="O871" s="1"/>
      <c r="P871" s="1"/>
      <c r="Q871" s="1"/>
      <c r="R871" s="1"/>
      <c r="S871" s="1"/>
      <c r="T871" s="1"/>
      <c r="U871" s="1"/>
      <c r="V871" s="1"/>
      <c r="W871" s="1"/>
      <c r="X871" s="1"/>
      <c r="Y871" s="1"/>
      <c r="Z871" s="1"/>
      <c r="AA871" s="1"/>
      <c r="AB871" s="1"/>
    </row>
    <row r="872" spans="2:28" ht="11.25" customHeight="1" x14ac:dyDescent="0.25">
      <c r="B872" s="16"/>
      <c r="C872" s="1"/>
      <c r="D872" s="1"/>
      <c r="E872" s="1"/>
      <c r="F872" s="1"/>
      <c r="G872" s="22"/>
      <c r="H872" s="22"/>
      <c r="I872" s="1"/>
      <c r="J872" s="1"/>
      <c r="K872" s="1"/>
      <c r="L872" s="1"/>
      <c r="M872" s="262"/>
      <c r="N872" s="1"/>
      <c r="O872" s="1"/>
      <c r="P872" s="1"/>
      <c r="Q872" s="1"/>
      <c r="R872" s="1"/>
      <c r="S872" s="1"/>
      <c r="T872" s="1"/>
      <c r="U872" s="1"/>
      <c r="V872" s="1"/>
      <c r="W872" s="1"/>
      <c r="X872" s="1"/>
      <c r="Y872" s="1"/>
      <c r="Z872" s="1"/>
      <c r="AA872" s="1"/>
      <c r="AB872" s="1"/>
    </row>
    <row r="873" spans="2:28" ht="11.25" customHeight="1" x14ac:dyDescent="0.25">
      <c r="B873" s="16"/>
      <c r="C873" s="1"/>
      <c r="D873" s="1"/>
      <c r="E873" s="1"/>
      <c r="F873" s="1"/>
      <c r="G873" s="22"/>
      <c r="H873" s="22"/>
      <c r="I873" s="1"/>
      <c r="J873" s="1"/>
      <c r="K873" s="1"/>
      <c r="L873" s="1"/>
      <c r="M873" s="262"/>
      <c r="N873" s="1"/>
      <c r="O873" s="1"/>
      <c r="P873" s="1"/>
      <c r="Q873" s="1"/>
      <c r="R873" s="1"/>
      <c r="S873" s="1"/>
      <c r="T873" s="1"/>
      <c r="U873" s="1"/>
      <c r="V873" s="1"/>
      <c r="W873" s="1"/>
      <c r="X873" s="1"/>
      <c r="Y873" s="1"/>
      <c r="Z873" s="1"/>
      <c r="AA873" s="1"/>
      <c r="AB873" s="1"/>
    </row>
    <row r="874" spans="2:28" ht="11.25" customHeight="1" x14ac:dyDescent="0.25">
      <c r="B874" s="16"/>
      <c r="C874" s="1"/>
      <c r="D874" s="1"/>
      <c r="E874" s="1"/>
      <c r="F874" s="1"/>
      <c r="G874" s="22"/>
      <c r="H874" s="22"/>
      <c r="I874" s="1"/>
      <c r="J874" s="1"/>
      <c r="K874" s="1"/>
      <c r="L874" s="1"/>
      <c r="M874" s="262"/>
      <c r="N874" s="1"/>
      <c r="O874" s="1"/>
      <c r="P874" s="1"/>
      <c r="Q874" s="1"/>
      <c r="R874" s="1"/>
      <c r="S874" s="1"/>
      <c r="T874" s="1"/>
      <c r="U874" s="1"/>
      <c r="V874" s="1"/>
      <c r="W874" s="1"/>
      <c r="X874" s="1"/>
      <c r="Y874" s="1"/>
      <c r="Z874" s="1"/>
      <c r="AA874" s="1"/>
      <c r="AB874" s="1"/>
    </row>
    <row r="875" spans="2:28" ht="11.25" customHeight="1" x14ac:dyDescent="0.25">
      <c r="B875" s="16"/>
      <c r="C875" s="1"/>
      <c r="D875" s="1"/>
      <c r="E875" s="1"/>
      <c r="F875" s="1"/>
      <c r="G875" s="22"/>
      <c r="H875" s="22"/>
      <c r="I875" s="1"/>
      <c r="J875" s="1"/>
      <c r="K875" s="1"/>
      <c r="L875" s="1"/>
      <c r="M875" s="262"/>
      <c r="N875" s="1"/>
      <c r="O875" s="1"/>
      <c r="P875" s="1"/>
      <c r="Q875" s="1"/>
      <c r="R875" s="1"/>
      <c r="S875" s="1"/>
      <c r="T875" s="1"/>
      <c r="U875" s="1"/>
      <c r="V875" s="1"/>
      <c r="W875" s="1"/>
      <c r="X875" s="1"/>
      <c r="Y875" s="1"/>
      <c r="Z875" s="1"/>
      <c r="AA875" s="1"/>
      <c r="AB875" s="1"/>
    </row>
    <row r="876" spans="2:28" ht="11.25" customHeight="1" x14ac:dyDescent="0.25">
      <c r="B876" s="16"/>
      <c r="C876" s="1"/>
      <c r="D876" s="1"/>
      <c r="E876" s="1"/>
      <c r="F876" s="1"/>
      <c r="G876" s="22"/>
      <c r="H876" s="22"/>
      <c r="I876" s="1"/>
      <c r="J876" s="1"/>
      <c r="K876" s="1"/>
      <c r="L876" s="1"/>
      <c r="M876" s="262"/>
      <c r="N876" s="1"/>
      <c r="O876" s="1"/>
      <c r="P876" s="1"/>
      <c r="Q876" s="1"/>
      <c r="R876" s="1"/>
      <c r="S876" s="1"/>
      <c r="T876" s="1"/>
      <c r="U876" s="1"/>
      <c r="V876" s="1"/>
      <c r="W876" s="1"/>
      <c r="X876" s="1"/>
      <c r="Y876" s="1"/>
      <c r="Z876" s="1"/>
      <c r="AA876" s="1"/>
      <c r="AB876" s="1"/>
    </row>
    <row r="877" spans="2:28" ht="11.25" customHeight="1" x14ac:dyDescent="0.25">
      <c r="B877" s="16"/>
      <c r="C877" s="1"/>
      <c r="D877" s="1"/>
      <c r="E877" s="1"/>
      <c r="F877" s="1"/>
      <c r="G877" s="22"/>
      <c r="H877" s="22"/>
      <c r="I877" s="1"/>
      <c r="J877" s="1"/>
      <c r="K877" s="1"/>
      <c r="L877" s="1"/>
      <c r="M877" s="262"/>
      <c r="N877" s="1"/>
      <c r="O877" s="1"/>
      <c r="P877" s="1"/>
      <c r="Q877" s="1"/>
      <c r="R877" s="1"/>
      <c r="S877" s="1"/>
      <c r="T877" s="1"/>
      <c r="U877" s="1"/>
      <c r="V877" s="1"/>
      <c r="W877" s="1"/>
      <c r="X877" s="1"/>
      <c r="Y877" s="1"/>
      <c r="Z877" s="1"/>
      <c r="AA877" s="1"/>
      <c r="AB877" s="1"/>
    </row>
    <row r="878" spans="2:28" ht="11.25" customHeight="1" x14ac:dyDescent="0.25">
      <c r="B878" s="16"/>
      <c r="C878" s="1"/>
      <c r="D878" s="1"/>
      <c r="E878" s="1"/>
      <c r="F878" s="1"/>
      <c r="G878" s="22"/>
      <c r="H878" s="22"/>
      <c r="I878" s="1"/>
      <c r="J878" s="1"/>
      <c r="K878" s="1"/>
      <c r="L878" s="1"/>
      <c r="M878" s="262"/>
      <c r="N878" s="1"/>
      <c r="O878" s="1"/>
      <c r="P878" s="1"/>
      <c r="Q878" s="1"/>
      <c r="R878" s="1"/>
      <c r="S878" s="1"/>
      <c r="T878" s="1"/>
      <c r="U878" s="1"/>
      <c r="V878" s="1"/>
      <c r="W878" s="1"/>
      <c r="X878" s="1"/>
      <c r="Y878" s="1"/>
      <c r="Z878" s="1"/>
      <c r="AA878" s="1"/>
      <c r="AB878" s="1"/>
    </row>
    <row r="879" spans="2:28" ht="11.25" customHeight="1" x14ac:dyDescent="0.25">
      <c r="B879" s="16"/>
      <c r="C879" s="1"/>
      <c r="D879" s="1"/>
      <c r="E879" s="1"/>
      <c r="F879" s="1"/>
      <c r="G879" s="22"/>
      <c r="H879" s="22"/>
      <c r="I879" s="1"/>
      <c r="J879" s="1"/>
      <c r="K879" s="1"/>
      <c r="L879" s="1"/>
      <c r="M879" s="262"/>
      <c r="N879" s="1"/>
      <c r="O879" s="1"/>
      <c r="P879" s="1"/>
      <c r="Q879" s="1"/>
      <c r="R879" s="1"/>
      <c r="S879" s="1"/>
      <c r="T879" s="1"/>
      <c r="U879" s="1"/>
      <c r="V879" s="1"/>
      <c r="W879" s="1"/>
      <c r="X879" s="1"/>
      <c r="Y879" s="1"/>
      <c r="Z879" s="1"/>
      <c r="AA879" s="1"/>
      <c r="AB879" s="1"/>
    </row>
    <row r="880" spans="2:28" ht="11.25" customHeight="1" x14ac:dyDescent="0.25">
      <c r="B880" s="16"/>
      <c r="C880" s="1"/>
      <c r="D880" s="1"/>
      <c r="E880" s="1"/>
      <c r="F880" s="1"/>
      <c r="G880" s="22"/>
      <c r="H880" s="22"/>
      <c r="I880" s="1"/>
      <c r="J880" s="1"/>
      <c r="K880" s="1"/>
      <c r="L880" s="1"/>
      <c r="M880" s="262"/>
      <c r="N880" s="1"/>
      <c r="O880" s="1"/>
      <c r="P880" s="1"/>
      <c r="Q880" s="1"/>
      <c r="R880" s="1"/>
      <c r="S880" s="1"/>
      <c r="T880" s="1"/>
      <c r="U880" s="1"/>
      <c r="V880" s="1"/>
      <c r="W880" s="1"/>
      <c r="X880" s="1"/>
      <c r="Y880" s="1"/>
      <c r="Z880" s="1"/>
      <c r="AA880" s="1"/>
      <c r="AB880" s="1"/>
    </row>
    <row r="881" spans="2:28" ht="11.25" customHeight="1" x14ac:dyDescent="0.25">
      <c r="B881" s="16"/>
      <c r="C881" s="1"/>
      <c r="D881" s="1"/>
      <c r="E881" s="1"/>
      <c r="F881" s="1"/>
      <c r="G881" s="22"/>
      <c r="H881" s="22"/>
      <c r="I881" s="1"/>
      <c r="J881" s="1"/>
      <c r="K881" s="1"/>
      <c r="L881" s="1"/>
      <c r="M881" s="262"/>
      <c r="N881" s="1"/>
      <c r="O881" s="1"/>
      <c r="P881" s="1"/>
      <c r="Q881" s="1"/>
      <c r="R881" s="1"/>
      <c r="S881" s="1"/>
      <c r="T881" s="1"/>
      <c r="U881" s="1"/>
      <c r="V881" s="1"/>
      <c r="W881" s="1"/>
      <c r="X881" s="1"/>
      <c r="Y881" s="1"/>
      <c r="Z881" s="1"/>
      <c r="AA881" s="1"/>
      <c r="AB881" s="1"/>
    </row>
    <row r="882" spans="2:28" ht="11.25" customHeight="1" x14ac:dyDescent="0.25">
      <c r="B882" s="16"/>
      <c r="C882" s="1"/>
      <c r="D882" s="1"/>
      <c r="E882" s="1"/>
      <c r="F882" s="1"/>
      <c r="G882" s="22"/>
      <c r="H882" s="22"/>
      <c r="I882" s="1"/>
      <c r="J882" s="1"/>
      <c r="K882" s="1"/>
      <c r="L882" s="1"/>
      <c r="M882" s="262"/>
      <c r="N882" s="1"/>
      <c r="O882" s="1"/>
      <c r="P882" s="1"/>
      <c r="Q882" s="1"/>
      <c r="R882" s="1"/>
      <c r="S882" s="1"/>
      <c r="T882" s="1"/>
      <c r="U882" s="1"/>
      <c r="V882" s="1"/>
      <c r="W882" s="1"/>
      <c r="X882" s="1"/>
      <c r="Y882" s="1"/>
      <c r="Z882" s="1"/>
      <c r="AA882" s="1"/>
      <c r="AB882" s="1"/>
    </row>
    <row r="883" spans="2:28" ht="11.25" customHeight="1" x14ac:dyDescent="0.25">
      <c r="B883" s="16"/>
      <c r="C883" s="1"/>
      <c r="D883" s="1"/>
      <c r="E883" s="1"/>
      <c r="F883" s="1"/>
      <c r="G883" s="22"/>
      <c r="H883" s="22"/>
      <c r="I883" s="1"/>
      <c r="J883" s="1"/>
      <c r="K883" s="1"/>
      <c r="L883" s="1"/>
      <c r="M883" s="262"/>
      <c r="N883" s="1"/>
      <c r="O883" s="1"/>
      <c r="P883" s="1"/>
      <c r="Q883" s="1"/>
      <c r="R883" s="1"/>
      <c r="S883" s="1"/>
      <c r="T883" s="1"/>
      <c r="U883" s="1"/>
      <c r="V883" s="1"/>
      <c r="W883" s="1"/>
      <c r="X883" s="1"/>
      <c r="Y883" s="1"/>
      <c r="Z883" s="1"/>
      <c r="AA883" s="1"/>
      <c r="AB883" s="1"/>
    </row>
    <row r="884" spans="2:28" ht="11.25" customHeight="1" x14ac:dyDescent="0.25">
      <c r="B884" s="16"/>
      <c r="C884" s="1"/>
      <c r="D884" s="1"/>
      <c r="E884" s="1"/>
      <c r="F884" s="1"/>
      <c r="G884" s="22"/>
      <c r="H884" s="22"/>
      <c r="I884" s="1"/>
      <c r="J884" s="1"/>
      <c r="K884" s="1"/>
      <c r="L884" s="1"/>
      <c r="M884" s="262"/>
      <c r="N884" s="1"/>
      <c r="O884" s="1"/>
      <c r="P884" s="1"/>
      <c r="Q884" s="1"/>
      <c r="R884" s="1"/>
      <c r="S884" s="1"/>
      <c r="T884" s="1"/>
      <c r="U884" s="1"/>
      <c r="V884" s="1"/>
      <c r="W884" s="1"/>
      <c r="X884" s="1"/>
      <c r="Y884" s="1"/>
      <c r="Z884" s="1"/>
      <c r="AA884" s="1"/>
      <c r="AB884" s="1"/>
    </row>
    <row r="885" spans="2:28" ht="11.25" customHeight="1" x14ac:dyDescent="0.25">
      <c r="B885" s="16"/>
      <c r="C885" s="1"/>
      <c r="D885" s="1"/>
      <c r="E885" s="1"/>
      <c r="F885" s="1"/>
      <c r="G885" s="22"/>
      <c r="H885" s="22"/>
      <c r="I885" s="1"/>
      <c r="J885" s="1"/>
      <c r="K885" s="1"/>
      <c r="L885" s="1"/>
      <c r="M885" s="262"/>
      <c r="N885" s="1"/>
      <c r="O885" s="1"/>
      <c r="P885" s="1"/>
      <c r="Q885" s="1"/>
      <c r="R885" s="1"/>
      <c r="S885" s="1"/>
      <c r="T885" s="1"/>
      <c r="U885" s="1"/>
      <c r="V885" s="1"/>
      <c r="W885" s="1"/>
      <c r="X885" s="1"/>
      <c r="Y885" s="1"/>
      <c r="Z885" s="1"/>
      <c r="AA885" s="1"/>
      <c r="AB885" s="1"/>
    </row>
    <row r="886" spans="2:28" ht="11.25" customHeight="1" x14ac:dyDescent="0.25">
      <c r="B886" s="16"/>
      <c r="C886" s="1"/>
      <c r="D886" s="1"/>
      <c r="E886" s="1"/>
      <c r="F886" s="1"/>
      <c r="G886" s="22"/>
      <c r="H886" s="22"/>
      <c r="I886" s="1"/>
      <c r="J886" s="1"/>
      <c r="K886" s="1"/>
      <c r="L886" s="1"/>
      <c r="M886" s="262"/>
      <c r="N886" s="1"/>
      <c r="O886" s="1"/>
      <c r="P886" s="1"/>
      <c r="Q886" s="1"/>
      <c r="R886" s="1"/>
      <c r="S886" s="1"/>
      <c r="T886" s="1"/>
      <c r="U886" s="1"/>
      <c r="V886" s="1"/>
      <c r="W886" s="1"/>
      <c r="X886" s="1"/>
      <c r="Y886" s="1"/>
      <c r="Z886" s="1"/>
      <c r="AA886" s="1"/>
      <c r="AB886" s="1"/>
    </row>
    <row r="887" spans="2:28" ht="11.25" customHeight="1" x14ac:dyDescent="0.25">
      <c r="B887" s="16"/>
      <c r="C887" s="1"/>
      <c r="D887" s="1"/>
      <c r="E887" s="1"/>
      <c r="F887" s="1"/>
      <c r="G887" s="22"/>
      <c r="H887" s="22"/>
      <c r="I887" s="1"/>
      <c r="J887" s="1"/>
      <c r="K887" s="1"/>
      <c r="L887" s="1"/>
      <c r="M887" s="262"/>
      <c r="N887" s="1"/>
      <c r="O887" s="1"/>
      <c r="P887" s="1"/>
      <c r="Q887" s="1"/>
      <c r="R887" s="1"/>
      <c r="S887" s="1"/>
      <c r="T887" s="1"/>
      <c r="U887" s="1"/>
      <c r="V887" s="1"/>
      <c r="W887" s="1"/>
      <c r="X887" s="1"/>
      <c r="Y887" s="1"/>
      <c r="Z887" s="1"/>
      <c r="AA887" s="1"/>
      <c r="AB887" s="1"/>
    </row>
    <row r="888" spans="2:28" ht="11.25" customHeight="1" x14ac:dyDescent="0.25">
      <c r="B888" s="16"/>
      <c r="C888" s="1"/>
      <c r="D888" s="1"/>
      <c r="E888" s="1"/>
      <c r="F888" s="1"/>
      <c r="G888" s="22"/>
      <c r="H888" s="22"/>
      <c r="I888" s="1"/>
      <c r="J888" s="1"/>
      <c r="K888" s="1"/>
      <c r="L888" s="1"/>
      <c r="M888" s="262"/>
      <c r="N888" s="1"/>
      <c r="O888" s="1"/>
      <c r="P888" s="1"/>
      <c r="Q888" s="1"/>
      <c r="R888" s="1"/>
      <c r="S888" s="1"/>
      <c r="T888" s="1"/>
      <c r="U888" s="1"/>
      <c r="V888" s="1"/>
      <c r="W888" s="1"/>
      <c r="X888" s="1"/>
      <c r="Y888" s="1"/>
      <c r="Z888" s="1"/>
      <c r="AA888" s="1"/>
      <c r="AB888" s="1"/>
    </row>
    <row r="889" spans="2:28" ht="11.25" customHeight="1" x14ac:dyDescent="0.25">
      <c r="B889" s="16"/>
      <c r="C889" s="1"/>
      <c r="D889" s="1"/>
      <c r="E889" s="1"/>
      <c r="F889" s="1"/>
      <c r="G889" s="22"/>
      <c r="H889" s="22"/>
      <c r="I889" s="1"/>
      <c r="J889" s="1"/>
      <c r="K889" s="1"/>
      <c r="L889" s="1"/>
      <c r="M889" s="262"/>
      <c r="N889" s="1"/>
      <c r="O889" s="1"/>
      <c r="P889" s="1"/>
      <c r="Q889" s="1"/>
      <c r="R889" s="1"/>
      <c r="S889" s="1"/>
      <c r="T889" s="1"/>
      <c r="U889" s="1"/>
      <c r="V889" s="1"/>
      <c r="W889" s="1"/>
      <c r="X889" s="1"/>
      <c r="Y889" s="1"/>
      <c r="Z889" s="1"/>
      <c r="AA889" s="1"/>
      <c r="AB889" s="1"/>
    </row>
    <row r="890" spans="2:28" ht="11.25" customHeight="1" x14ac:dyDescent="0.25">
      <c r="B890" s="16"/>
      <c r="C890" s="1"/>
      <c r="D890" s="1"/>
      <c r="E890" s="1"/>
      <c r="F890" s="1"/>
      <c r="G890" s="22"/>
      <c r="H890" s="22"/>
      <c r="I890" s="1"/>
      <c r="J890" s="1"/>
      <c r="K890" s="1"/>
      <c r="L890" s="1"/>
      <c r="M890" s="262"/>
      <c r="N890" s="1"/>
      <c r="O890" s="1"/>
      <c r="P890" s="1"/>
      <c r="Q890" s="1"/>
      <c r="R890" s="1"/>
      <c r="S890" s="1"/>
      <c r="T890" s="1"/>
      <c r="U890" s="1"/>
      <c r="V890" s="1"/>
      <c r="W890" s="1"/>
      <c r="X890" s="1"/>
      <c r="Y890" s="1"/>
      <c r="Z890" s="1"/>
      <c r="AA890" s="1"/>
      <c r="AB890" s="1"/>
    </row>
    <row r="891" spans="2:28" ht="11.25" customHeight="1" x14ac:dyDescent="0.25">
      <c r="B891" s="16"/>
      <c r="C891" s="1"/>
      <c r="D891" s="1"/>
      <c r="E891" s="1"/>
      <c r="F891" s="1"/>
      <c r="G891" s="22"/>
      <c r="H891" s="22"/>
      <c r="I891" s="1"/>
      <c r="J891" s="1"/>
      <c r="K891" s="1"/>
      <c r="L891" s="1"/>
      <c r="M891" s="262"/>
      <c r="N891" s="1"/>
      <c r="O891" s="1"/>
      <c r="P891" s="1"/>
      <c r="Q891" s="1"/>
      <c r="R891" s="1"/>
      <c r="S891" s="1"/>
      <c r="T891" s="1"/>
      <c r="U891" s="1"/>
      <c r="V891" s="1"/>
      <c r="W891" s="1"/>
      <c r="X891" s="1"/>
      <c r="Y891" s="1"/>
      <c r="Z891" s="1"/>
      <c r="AA891" s="1"/>
      <c r="AB891" s="1"/>
    </row>
    <row r="892" spans="2:28" ht="11.25" customHeight="1" x14ac:dyDescent="0.25">
      <c r="B892" s="16"/>
      <c r="C892" s="1"/>
      <c r="D892" s="1"/>
      <c r="E892" s="1"/>
      <c r="F892" s="1"/>
      <c r="G892" s="22"/>
      <c r="H892" s="22"/>
      <c r="I892" s="1"/>
      <c r="J892" s="1"/>
      <c r="K892" s="1"/>
      <c r="L892" s="1"/>
      <c r="M892" s="262"/>
      <c r="N892" s="1"/>
      <c r="O892" s="1"/>
      <c r="P892" s="1"/>
      <c r="Q892" s="1"/>
      <c r="R892" s="1"/>
      <c r="S892" s="1"/>
      <c r="T892" s="1"/>
      <c r="U892" s="1"/>
      <c r="V892" s="1"/>
      <c r="W892" s="1"/>
      <c r="X892" s="1"/>
      <c r="Y892" s="1"/>
      <c r="Z892" s="1"/>
      <c r="AA892" s="1"/>
      <c r="AB892" s="1"/>
    </row>
    <row r="893" spans="2:28" ht="11.25" customHeight="1" x14ac:dyDescent="0.25">
      <c r="B893" s="16"/>
      <c r="C893" s="1"/>
      <c r="D893" s="1"/>
      <c r="E893" s="1"/>
      <c r="F893" s="1"/>
      <c r="G893" s="22"/>
      <c r="H893" s="22"/>
      <c r="I893" s="1"/>
      <c r="J893" s="1"/>
      <c r="K893" s="1"/>
      <c r="L893" s="1"/>
      <c r="M893" s="262"/>
      <c r="N893" s="1"/>
      <c r="O893" s="1"/>
      <c r="P893" s="1"/>
      <c r="Q893" s="1"/>
      <c r="R893" s="1"/>
      <c r="S893" s="1"/>
      <c r="T893" s="1"/>
      <c r="U893" s="1"/>
      <c r="V893" s="1"/>
      <c r="W893" s="1"/>
      <c r="X893" s="1"/>
      <c r="Y893" s="1"/>
      <c r="Z893" s="1"/>
      <c r="AA893" s="1"/>
      <c r="AB893" s="1"/>
    </row>
    <row r="894" spans="2:28" ht="11.25" customHeight="1" x14ac:dyDescent="0.25">
      <c r="B894" s="16"/>
      <c r="C894" s="1"/>
      <c r="D894" s="1"/>
      <c r="E894" s="1"/>
      <c r="F894" s="1"/>
      <c r="G894" s="22"/>
      <c r="H894" s="22"/>
      <c r="I894" s="1"/>
      <c r="J894" s="1"/>
      <c r="K894" s="1"/>
      <c r="L894" s="1"/>
      <c r="M894" s="262"/>
      <c r="N894" s="1"/>
      <c r="O894" s="1"/>
      <c r="P894" s="1"/>
      <c r="Q894" s="1"/>
      <c r="R894" s="1"/>
      <c r="S894" s="1"/>
      <c r="T894" s="1"/>
      <c r="U894" s="1"/>
      <c r="V894" s="1"/>
      <c r="W894" s="1"/>
      <c r="X894" s="1"/>
      <c r="Y894" s="1"/>
      <c r="Z894" s="1"/>
      <c r="AA894" s="1"/>
      <c r="AB894" s="1"/>
    </row>
    <row r="895" spans="2:28" ht="11.25" customHeight="1" x14ac:dyDescent="0.25">
      <c r="B895" s="16"/>
      <c r="C895" s="1"/>
      <c r="D895" s="1"/>
      <c r="E895" s="1"/>
      <c r="F895" s="1"/>
      <c r="G895" s="22"/>
      <c r="H895" s="22"/>
      <c r="I895" s="1"/>
      <c r="J895" s="1"/>
      <c r="K895" s="1"/>
      <c r="L895" s="1"/>
      <c r="M895" s="262"/>
      <c r="N895" s="1"/>
      <c r="O895" s="1"/>
      <c r="P895" s="1"/>
      <c r="Q895" s="1"/>
      <c r="R895" s="1"/>
      <c r="S895" s="1"/>
      <c r="T895" s="1"/>
      <c r="U895" s="1"/>
      <c r="V895" s="1"/>
      <c r="W895" s="1"/>
      <c r="X895" s="1"/>
      <c r="Y895" s="1"/>
      <c r="Z895" s="1"/>
      <c r="AA895" s="1"/>
      <c r="AB895" s="1"/>
    </row>
    <row r="896" spans="2:28" ht="11.25" customHeight="1" x14ac:dyDescent="0.25">
      <c r="B896" s="16"/>
      <c r="C896" s="1"/>
      <c r="D896" s="1"/>
      <c r="E896" s="1"/>
      <c r="F896" s="1"/>
      <c r="G896" s="22"/>
      <c r="H896" s="22"/>
      <c r="I896" s="1"/>
      <c r="J896" s="1"/>
      <c r="K896" s="1"/>
      <c r="L896" s="1"/>
      <c r="M896" s="262"/>
      <c r="N896" s="1"/>
      <c r="O896" s="1"/>
      <c r="P896" s="1"/>
      <c r="Q896" s="1"/>
      <c r="R896" s="1"/>
      <c r="S896" s="1"/>
      <c r="T896" s="1"/>
      <c r="U896" s="1"/>
      <c r="V896" s="1"/>
      <c r="W896" s="1"/>
      <c r="X896" s="1"/>
      <c r="Y896" s="1"/>
      <c r="Z896" s="1"/>
      <c r="AA896" s="1"/>
      <c r="AB896" s="1"/>
    </row>
    <row r="897" spans="2:28" ht="11.25" customHeight="1" x14ac:dyDescent="0.25">
      <c r="B897" s="16"/>
      <c r="C897" s="1"/>
      <c r="D897" s="1"/>
      <c r="E897" s="1"/>
      <c r="F897" s="1"/>
      <c r="G897" s="22"/>
      <c r="H897" s="22"/>
      <c r="I897" s="1"/>
      <c r="J897" s="1"/>
      <c r="K897" s="1"/>
      <c r="L897" s="1"/>
      <c r="M897" s="262"/>
      <c r="N897" s="1"/>
      <c r="O897" s="1"/>
      <c r="P897" s="1"/>
      <c r="Q897" s="1"/>
      <c r="R897" s="1"/>
      <c r="S897" s="1"/>
      <c r="T897" s="1"/>
      <c r="U897" s="1"/>
      <c r="V897" s="1"/>
      <c r="W897" s="1"/>
      <c r="X897" s="1"/>
      <c r="Y897" s="1"/>
      <c r="Z897" s="1"/>
      <c r="AA897" s="1"/>
      <c r="AB897" s="1"/>
    </row>
    <row r="898" spans="2:28" ht="11.25" customHeight="1" x14ac:dyDescent="0.25">
      <c r="B898" s="16"/>
      <c r="C898" s="1"/>
      <c r="D898" s="1"/>
      <c r="E898" s="1"/>
      <c r="F898" s="1"/>
      <c r="G898" s="22"/>
      <c r="H898" s="22"/>
      <c r="I898" s="1"/>
      <c r="J898" s="1"/>
      <c r="K898" s="1"/>
      <c r="L898" s="1"/>
      <c r="M898" s="262"/>
      <c r="N898" s="1"/>
      <c r="O898" s="1"/>
      <c r="P898" s="1"/>
      <c r="Q898" s="1"/>
      <c r="R898" s="1"/>
      <c r="S898" s="1"/>
      <c r="T898" s="1"/>
      <c r="U898" s="1"/>
      <c r="V898" s="1"/>
      <c r="W898" s="1"/>
      <c r="X898" s="1"/>
      <c r="Y898" s="1"/>
      <c r="Z898" s="1"/>
      <c r="AA898" s="1"/>
      <c r="AB898" s="1"/>
    </row>
    <row r="899" spans="2:28" ht="11.25" customHeight="1" x14ac:dyDescent="0.25">
      <c r="B899" s="16"/>
      <c r="C899" s="1"/>
      <c r="D899" s="1"/>
      <c r="E899" s="1"/>
      <c r="F899" s="1"/>
      <c r="G899" s="22"/>
      <c r="H899" s="22"/>
      <c r="I899" s="1"/>
      <c r="J899" s="1"/>
      <c r="K899" s="1"/>
      <c r="L899" s="1"/>
      <c r="M899" s="262"/>
      <c r="N899" s="1"/>
      <c r="O899" s="1"/>
      <c r="P899" s="1"/>
      <c r="Q899" s="1"/>
      <c r="R899" s="1"/>
      <c r="S899" s="1"/>
      <c r="T899" s="1"/>
      <c r="U899" s="1"/>
      <c r="V899" s="1"/>
      <c r="W899" s="1"/>
      <c r="X899" s="1"/>
      <c r="Y899" s="1"/>
      <c r="Z899" s="1"/>
      <c r="AA899" s="1"/>
      <c r="AB899" s="1"/>
    </row>
    <row r="900" spans="2:28" ht="11.25" customHeight="1" x14ac:dyDescent="0.25">
      <c r="B900" s="16"/>
      <c r="C900" s="1"/>
      <c r="D900" s="1"/>
      <c r="E900" s="1"/>
      <c r="F900" s="1"/>
      <c r="G900" s="22"/>
      <c r="H900" s="22"/>
      <c r="I900" s="1"/>
      <c r="J900" s="1"/>
      <c r="K900" s="1"/>
      <c r="L900" s="1"/>
      <c r="M900" s="262"/>
      <c r="N900" s="1"/>
      <c r="O900" s="1"/>
      <c r="P900" s="1"/>
      <c r="Q900" s="1"/>
      <c r="R900" s="1"/>
      <c r="S900" s="1"/>
      <c r="T900" s="1"/>
      <c r="U900" s="1"/>
      <c r="V900" s="1"/>
      <c r="W900" s="1"/>
      <c r="X900" s="1"/>
      <c r="Y900" s="1"/>
      <c r="Z900" s="1"/>
      <c r="AA900" s="1"/>
      <c r="AB900" s="1"/>
    </row>
    <row r="901" spans="2:28" ht="11.25" customHeight="1" x14ac:dyDescent="0.25">
      <c r="B901" s="16"/>
      <c r="C901" s="1"/>
      <c r="D901" s="1"/>
      <c r="E901" s="1"/>
      <c r="F901" s="1"/>
      <c r="G901" s="22"/>
      <c r="H901" s="22"/>
      <c r="I901" s="1"/>
      <c r="J901" s="1"/>
      <c r="K901" s="1"/>
      <c r="L901" s="1"/>
      <c r="M901" s="262"/>
      <c r="N901" s="1"/>
      <c r="O901" s="1"/>
      <c r="P901" s="1"/>
      <c r="Q901" s="1"/>
      <c r="R901" s="1"/>
      <c r="S901" s="1"/>
      <c r="T901" s="1"/>
      <c r="U901" s="1"/>
      <c r="V901" s="1"/>
      <c r="W901" s="1"/>
      <c r="X901" s="1"/>
      <c r="Y901" s="1"/>
      <c r="Z901" s="1"/>
      <c r="AA901" s="1"/>
      <c r="AB901" s="1"/>
    </row>
    <row r="902" spans="2:28" ht="11.25" customHeight="1" x14ac:dyDescent="0.25">
      <c r="B902" s="16"/>
      <c r="C902" s="1"/>
      <c r="D902" s="1"/>
      <c r="E902" s="1"/>
      <c r="F902" s="1"/>
      <c r="G902" s="22"/>
      <c r="H902" s="22"/>
      <c r="I902" s="1"/>
      <c r="J902" s="1"/>
      <c r="K902" s="1"/>
      <c r="L902" s="1"/>
      <c r="M902" s="262"/>
      <c r="N902" s="1"/>
      <c r="O902" s="1"/>
      <c r="P902" s="1"/>
      <c r="Q902" s="1"/>
      <c r="R902" s="1"/>
      <c r="S902" s="1"/>
      <c r="T902" s="1"/>
      <c r="U902" s="1"/>
      <c r="V902" s="1"/>
      <c r="W902" s="1"/>
      <c r="X902" s="1"/>
      <c r="Y902" s="1"/>
      <c r="Z902" s="1"/>
      <c r="AA902" s="1"/>
      <c r="AB902" s="1"/>
    </row>
    <row r="903" spans="2:28" ht="11.25" customHeight="1" x14ac:dyDescent="0.25">
      <c r="B903" s="16"/>
      <c r="C903" s="1"/>
      <c r="D903" s="1"/>
      <c r="E903" s="1"/>
      <c r="F903" s="1"/>
      <c r="G903" s="22"/>
      <c r="H903" s="22"/>
      <c r="I903" s="1"/>
      <c r="J903" s="1"/>
      <c r="K903" s="1"/>
      <c r="L903" s="1"/>
      <c r="M903" s="262"/>
      <c r="N903" s="1"/>
      <c r="O903" s="1"/>
      <c r="P903" s="1"/>
      <c r="Q903" s="1"/>
      <c r="R903" s="1"/>
      <c r="S903" s="1"/>
      <c r="T903" s="1"/>
      <c r="U903" s="1"/>
      <c r="V903" s="1"/>
      <c r="W903" s="1"/>
      <c r="X903" s="1"/>
      <c r="Y903" s="1"/>
      <c r="Z903" s="1"/>
      <c r="AA903" s="1"/>
      <c r="AB903" s="1"/>
    </row>
    <row r="904" spans="2:28" ht="11.25" customHeight="1" x14ac:dyDescent="0.25">
      <c r="B904" s="16"/>
      <c r="C904" s="1"/>
      <c r="D904" s="1"/>
      <c r="E904" s="1"/>
      <c r="F904" s="1"/>
      <c r="G904" s="22"/>
      <c r="H904" s="22"/>
      <c r="I904" s="1"/>
      <c r="J904" s="1"/>
      <c r="K904" s="1"/>
      <c r="L904" s="1"/>
      <c r="M904" s="262"/>
      <c r="N904" s="1"/>
      <c r="O904" s="1"/>
      <c r="P904" s="1"/>
      <c r="Q904" s="1"/>
      <c r="R904" s="1"/>
      <c r="S904" s="1"/>
      <c r="T904" s="1"/>
      <c r="U904" s="1"/>
      <c r="V904" s="1"/>
      <c r="W904" s="1"/>
      <c r="X904" s="1"/>
      <c r="Y904" s="1"/>
      <c r="Z904" s="1"/>
      <c r="AA904" s="1"/>
      <c r="AB904" s="1"/>
    </row>
    <row r="905" spans="2:28" ht="11.25" customHeight="1" x14ac:dyDescent="0.25">
      <c r="B905" s="16"/>
      <c r="C905" s="1"/>
      <c r="D905" s="1"/>
      <c r="E905" s="1"/>
      <c r="F905" s="1"/>
      <c r="G905" s="22"/>
      <c r="H905" s="22"/>
      <c r="I905" s="1"/>
      <c r="J905" s="1"/>
      <c r="K905" s="1"/>
      <c r="L905" s="1"/>
      <c r="M905" s="262"/>
      <c r="N905" s="1"/>
      <c r="O905" s="1"/>
      <c r="P905" s="1"/>
      <c r="Q905" s="1"/>
      <c r="R905" s="1"/>
      <c r="S905" s="1"/>
      <c r="T905" s="1"/>
      <c r="U905" s="1"/>
      <c r="V905" s="1"/>
      <c r="W905" s="1"/>
      <c r="X905" s="1"/>
      <c r="Y905" s="1"/>
      <c r="Z905" s="1"/>
      <c r="AA905" s="1"/>
      <c r="AB905" s="1"/>
    </row>
    <row r="906" spans="2:28" ht="11.25" customHeight="1" x14ac:dyDescent="0.25">
      <c r="B906" s="16"/>
      <c r="C906" s="1"/>
      <c r="D906" s="1"/>
      <c r="E906" s="1"/>
      <c r="F906" s="1"/>
      <c r="G906" s="22"/>
      <c r="H906" s="22"/>
      <c r="I906" s="1"/>
      <c r="J906" s="1"/>
      <c r="K906" s="1"/>
      <c r="L906" s="1"/>
      <c r="M906" s="262"/>
      <c r="N906" s="1"/>
      <c r="O906" s="1"/>
      <c r="P906" s="1"/>
      <c r="Q906" s="1"/>
      <c r="R906" s="1"/>
      <c r="S906" s="1"/>
      <c r="T906" s="1"/>
      <c r="U906" s="1"/>
      <c r="V906" s="1"/>
      <c r="W906" s="1"/>
      <c r="X906" s="1"/>
      <c r="Y906" s="1"/>
      <c r="Z906" s="1"/>
      <c r="AA906" s="1"/>
      <c r="AB906" s="1"/>
    </row>
    <row r="907" spans="2:28" ht="11.25" customHeight="1" x14ac:dyDescent="0.25">
      <c r="B907" s="16"/>
      <c r="C907" s="1"/>
      <c r="D907" s="1"/>
      <c r="E907" s="1"/>
      <c r="F907" s="1"/>
      <c r="G907" s="22"/>
      <c r="H907" s="22"/>
      <c r="I907" s="1"/>
      <c r="J907" s="1"/>
      <c r="K907" s="1"/>
      <c r="L907" s="1"/>
      <c r="M907" s="262"/>
      <c r="N907" s="1"/>
      <c r="O907" s="1"/>
      <c r="P907" s="1"/>
      <c r="Q907" s="1"/>
      <c r="R907" s="1"/>
      <c r="S907" s="1"/>
      <c r="T907" s="1"/>
      <c r="U907" s="1"/>
      <c r="V907" s="1"/>
      <c r="W907" s="1"/>
      <c r="X907" s="1"/>
      <c r="Y907" s="1"/>
      <c r="Z907" s="1"/>
      <c r="AA907" s="1"/>
      <c r="AB907" s="1"/>
    </row>
    <row r="908" spans="2:28" ht="11.25" customHeight="1" x14ac:dyDescent="0.25">
      <c r="B908" s="16"/>
      <c r="C908" s="1"/>
      <c r="D908" s="1"/>
      <c r="E908" s="1"/>
      <c r="F908" s="1"/>
      <c r="G908" s="22"/>
      <c r="H908" s="22"/>
      <c r="I908" s="1"/>
      <c r="J908" s="1"/>
      <c r="K908" s="1"/>
      <c r="L908" s="1"/>
      <c r="M908" s="262"/>
      <c r="N908" s="1"/>
      <c r="O908" s="1"/>
      <c r="P908" s="1"/>
      <c r="Q908" s="1"/>
      <c r="R908" s="1"/>
      <c r="S908" s="1"/>
      <c r="T908" s="1"/>
      <c r="U908" s="1"/>
      <c r="V908" s="1"/>
      <c r="W908" s="1"/>
      <c r="X908" s="1"/>
      <c r="Y908" s="1"/>
      <c r="Z908" s="1"/>
      <c r="AA908" s="1"/>
      <c r="AB908" s="1"/>
    </row>
    <row r="909" spans="2:28" ht="11.25" customHeight="1" x14ac:dyDescent="0.25">
      <c r="B909" s="16"/>
      <c r="C909" s="1"/>
      <c r="D909" s="1"/>
      <c r="E909" s="1"/>
      <c r="F909" s="1"/>
      <c r="G909" s="22"/>
      <c r="H909" s="22"/>
      <c r="I909" s="1"/>
      <c r="J909" s="1"/>
      <c r="K909" s="1"/>
      <c r="L909" s="1"/>
      <c r="M909" s="262"/>
      <c r="N909" s="1"/>
      <c r="O909" s="1"/>
      <c r="P909" s="1"/>
      <c r="Q909" s="1"/>
      <c r="R909" s="1"/>
      <c r="S909" s="1"/>
      <c r="T909" s="1"/>
      <c r="U909" s="1"/>
      <c r="V909" s="1"/>
      <c r="W909" s="1"/>
      <c r="X909" s="1"/>
      <c r="Y909" s="1"/>
      <c r="Z909" s="1"/>
      <c r="AA909" s="1"/>
      <c r="AB909" s="1"/>
    </row>
    <row r="910" spans="2:28" ht="11.25" customHeight="1" x14ac:dyDescent="0.25">
      <c r="B910" s="16"/>
      <c r="C910" s="1"/>
      <c r="D910" s="1"/>
      <c r="E910" s="1"/>
      <c r="F910" s="1"/>
      <c r="G910" s="22"/>
      <c r="H910" s="22"/>
      <c r="I910" s="1"/>
      <c r="J910" s="1"/>
      <c r="K910" s="1"/>
      <c r="L910" s="1"/>
      <c r="M910" s="262"/>
      <c r="N910" s="1"/>
      <c r="O910" s="1"/>
      <c r="P910" s="1"/>
      <c r="Q910" s="1"/>
      <c r="R910" s="1"/>
      <c r="S910" s="1"/>
      <c r="T910" s="1"/>
      <c r="U910" s="1"/>
      <c r="V910" s="1"/>
      <c r="W910" s="1"/>
      <c r="X910" s="1"/>
      <c r="Y910" s="1"/>
      <c r="Z910" s="1"/>
      <c r="AA910" s="1"/>
      <c r="AB910" s="1"/>
    </row>
    <row r="911" spans="2:28" ht="11.25" customHeight="1" x14ac:dyDescent="0.25">
      <c r="B911" s="16"/>
      <c r="C911" s="1"/>
      <c r="D911" s="1"/>
      <c r="E911" s="1"/>
      <c r="F911" s="1"/>
      <c r="G911" s="22"/>
      <c r="H911" s="22"/>
      <c r="I911" s="1"/>
      <c r="J911" s="1"/>
      <c r="K911" s="1"/>
      <c r="L911" s="1"/>
      <c r="M911" s="262"/>
      <c r="N911" s="1"/>
      <c r="O911" s="1"/>
      <c r="P911" s="1"/>
      <c r="Q911" s="1"/>
      <c r="R911" s="1"/>
      <c r="S911" s="1"/>
      <c r="T911" s="1"/>
      <c r="U911" s="1"/>
      <c r="V911" s="1"/>
      <c r="W911" s="1"/>
      <c r="X911" s="1"/>
      <c r="Y911" s="1"/>
      <c r="Z911" s="1"/>
      <c r="AA911" s="1"/>
      <c r="AB911" s="1"/>
    </row>
    <row r="912" spans="2:28" ht="11.25" customHeight="1" x14ac:dyDescent="0.25">
      <c r="B912" s="16"/>
      <c r="C912" s="1"/>
      <c r="D912" s="1"/>
      <c r="E912" s="1"/>
      <c r="F912" s="1"/>
      <c r="G912" s="22"/>
      <c r="H912" s="22"/>
      <c r="I912" s="1"/>
      <c r="J912" s="1"/>
      <c r="K912" s="1"/>
      <c r="L912" s="1"/>
      <c r="M912" s="262"/>
      <c r="N912" s="1"/>
      <c r="O912" s="1"/>
      <c r="P912" s="1"/>
      <c r="Q912" s="1"/>
      <c r="R912" s="1"/>
      <c r="S912" s="1"/>
      <c r="T912" s="1"/>
      <c r="U912" s="1"/>
      <c r="V912" s="1"/>
      <c r="W912" s="1"/>
      <c r="X912" s="1"/>
      <c r="Y912" s="1"/>
      <c r="Z912" s="1"/>
      <c r="AA912" s="1"/>
      <c r="AB912" s="1"/>
    </row>
    <row r="913" spans="2:28" ht="11.25" customHeight="1" x14ac:dyDescent="0.25">
      <c r="B913" s="16"/>
      <c r="C913" s="1"/>
      <c r="D913" s="1"/>
      <c r="E913" s="1"/>
      <c r="F913" s="1"/>
      <c r="G913" s="22"/>
      <c r="H913" s="22"/>
      <c r="I913" s="1"/>
      <c r="J913" s="1"/>
      <c r="K913" s="1"/>
      <c r="L913" s="1"/>
      <c r="M913" s="262"/>
      <c r="N913" s="1"/>
      <c r="O913" s="1"/>
      <c r="P913" s="1"/>
      <c r="Q913" s="1"/>
      <c r="R913" s="1"/>
      <c r="S913" s="1"/>
      <c r="T913" s="1"/>
      <c r="U913" s="1"/>
      <c r="V913" s="1"/>
      <c r="W913" s="1"/>
      <c r="X913" s="1"/>
      <c r="Y913" s="1"/>
      <c r="Z913" s="1"/>
      <c r="AA913" s="1"/>
      <c r="AB913" s="1"/>
    </row>
    <row r="914" spans="2:28" ht="11.25" customHeight="1" x14ac:dyDescent="0.25">
      <c r="B914" s="16"/>
      <c r="C914" s="1"/>
      <c r="D914" s="1"/>
      <c r="E914" s="1"/>
      <c r="F914" s="1"/>
      <c r="G914" s="22"/>
      <c r="H914" s="22"/>
      <c r="I914" s="1"/>
      <c r="J914" s="1"/>
      <c r="K914" s="1"/>
      <c r="L914" s="1"/>
      <c r="M914" s="262"/>
      <c r="N914" s="1"/>
      <c r="O914" s="1"/>
      <c r="P914" s="1"/>
      <c r="Q914" s="1"/>
      <c r="R914" s="1"/>
      <c r="S914" s="1"/>
      <c r="T914" s="1"/>
      <c r="U914" s="1"/>
      <c r="V914" s="1"/>
      <c r="W914" s="1"/>
      <c r="X914" s="1"/>
      <c r="Y914" s="1"/>
      <c r="Z914" s="1"/>
      <c r="AA914" s="1"/>
      <c r="AB914" s="1"/>
    </row>
    <row r="915" spans="2:28" ht="11.25" customHeight="1" x14ac:dyDescent="0.25">
      <c r="B915" s="16"/>
      <c r="C915" s="1"/>
      <c r="D915" s="1"/>
      <c r="E915" s="1"/>
      <c r="F915" s="1"/>
      <c r="G915" s="22"/>
      <c r="H915" s="22"/>
      <c r="I915" s="1"/>
      <c r="J915" s="1"/>
      <c r="K915" s="1"/>
      <c r="L915" s="1"/>
      <c r="M915" s="262"/>
      <c r="N915" s="1"/>
      <c r="O915" s="1"/>
      <c r="P915" s="1"/>
      <c r="Q915" s="1"/>
      <c r="R915" s="1"/>
      <c r="S915" s="1"/>
      <c r="T915" s="1"/>
      <c r="U915" s="1"/>
      <c r="V915" s="1"/>
      <c r="W915" s="1"/>
      <c r="X915" s="1"/>
      <c r="Y915" s="1"/>
      <c r="Z915" s="1"/>
      <c r="AA915" s="1"/>
      <c r="AB915" s="1"/>
    </row>
    <row r="916" spans="2:28" ht="11.25" customHeight="1" x14ac:dyDescent="0.25">
      <c r="B916" s="16"/>
      <c r="C916" s="1"/>
      <c r="D916" s="1"/>
      <c r="E916" s="1"/>
      <c r="F916" s="1"/>
      <c r="G916" s="22"/>
      <c r="H916" s="22"/>
      <c r="I916" s="1"/>
      <c r="J916" s="1"/>
      <c r="K916" s="1"/>
      <c r="L916" s="1"/>
      <c r="M916" s="262"/>
      <c r="N916" s="1"/>
      <c r="O916" s="1"/>
      <c r="P916" s="1"/>
      <c r="Q916" s="1"/>
      <c r="R916" s="1"/>
      <c r="S916" s="1"/>
      <c r="T916" s="1"/>
      <c r="U916" s="1"/>
      <c r="V916" s="1"/>
      <c r="W916" s="1"/>
      <c r="X916" s="1"/>
      <c r="Y916" s="1"/>
      <c r="Z916" s="1"/>
      <c r="AA916" s="1"/>
      <c r="AB916" s="1"/>
    </row>
    <row r="917" spans="2:28" ht="11.25" customHeight="1" x14ac:dyDescent="0.25">
      <c r="B917" s="16"/>
      <c r="C917" s="1"/>
      <c r="D917" s="1"/>
      <c r="E917" s="1"/>
      <c r="F917" s="1"/>
      <c r="G917" s="22"/>
      <c r="H917" s="22"/>
      <c r="I917" s="1"/>
      <c r="J917" s="1"/>
      <c r="K917" s="1"/>
      <c r="L917" s="1"/>
      <c r="M917" s="262"/>
      <c r="N917" s="1"/>
      <c r="O917" s="1"/>
      <c r="P917" s="1"/>
      <c r="Q917" s="1"/>
      <c r="R917" s="1"/>
      <c r="S917" s="1"/>
      <c r="T917" s="1"/>
      <c r="U917" s="1"/>
      <c r="V917" s="1"/>
      <c r="W917" s="1"/>
      <c r="X917" s="1"/>
      <c r="Y917" s="1"/>
      <c r="Z917" s="1"/>
      <c r="AA917" s="1"/>
      <c r="AB917" s="1"/>
    </row>
    <row r="918" spans="2:28" ht="11.25" customHeight="1" x14ac:dyDescent="0.25">
      <c r="B918" s="16"/>
      <c r="C918" s="1"/>
      <c r="D918" s="1"/>
      <c r="E918" s="1"/>
      <c r="F918" s="1"/>
      <c r="G918" s="22"/>
      <c r="H918" s="22"/>
      <c r="I918" s="1"/>
      <c r="J918" s="1"/>
      <c r="K918" s="1"/>
      <c r="L918" s="1"/>
      <c r="M918" s="262"/>
      <c r="N918" s="1"/>
      <c r="O918" s="1"/>
      <c r="P918" s="1"/>
      <c r="Q918" s="1"/>
      <c r="R918" s="1"/>
      <c r="S918" s="1"/>
      <c r="T918" s="1"/>
      <c r="U918" s="1"/>
      <c r="V918" s="1"/>
      <c r="W918" s="1"/>
      <c r="X918" s="1"/>
      <c r="Y918" s="1"/>
      <c r="Z918" s="1"/>
      <c r="AA918" s="1"/>
      <c r="AB918" s="1"/>
    </row>
    <row r="919" spans="2:28" ht="11.25" customHeight="1" x14ac:dyDescent="0.25">
      <c r="B919" s="16"/>
      <c r="C919" s="1"/>
      <c r="D919" s="1"/>
      <c r="E919" s="1"/>
      <c r="F919" s="1"/>
      <c r="G919" s="22"/>
      <c r="H919" s="22"/>
      <c r="I919" s="1"/>
      <c r="J919" s="1"/>
      <c r="K919" s="1"/>
      <c r="L919" s="1"/>
      <c r="M919" s="262"/>
      <c r="N919" s="1"/>
      <c r="O919" s="1"/>
      <c r="P919" s="1"/>
      <c r="Q919" s="1"/>
      <c r="R919" s="1"/>
      <c r="S919" s="1"/>
      <c r="T919" s="1"/>
      <c r="U919" s="1"/>
      <c r="V919" s="1"/>
      <c r="W919" s="1"/>
      <c r="X919" s="1"/>
      <c r="Y919" s="1"/>
      <c r="Z919" s="1"/>
      <c r="AA919" s="1"/>
      <c r="AB919" s="1"/>
    </row>
    <row r="920" spans="2:28" ht="11.25" customHeight="1" x14ac:dyDescent="0.25">
      <c r="B920" s="16"/>
      <c r="C920" s="1"/>
      <c r="D920" s="1"/>
      <c r="E920" s="1"/>
      <c r="F920" s="1"/>
      <c r="G920" s="22"/>
      <c r="H920" s="22"/>
      <c r="I920" s="1"/>
      <c r="J920" s="1"/>
      <c r="K920" s="1"/>
      <c r="L920" s="1"/>
      <c r="M920" s="262"/>
      <c r="N920" s="1"/>
      <c r="O920" s="1"/>
      <c r="P920" s="1"/>
      <c r="Q920" s="1"/>
      <c r="R920" s="1"/>
      <c r="S920" s="1"/>
      <c r="T920" s="1"/>
      <c r="U920" s="1"/>
      <c r="V920" s="1"/>
      <c r="W920" s="1"/>
      <c r="X920" s="1"/>
      <c r="Y920" s="1"/>
      <c r="Z920" s="1"/>
      <c r="AA920" s="1"/>
      <c r="AB920" s="1"/>
    </row>
    <row r="921" spans="2:28" ht="11.25" customHeight="1" x14ac:dyDescent="0.25">
      <c r="B921" s="16"/>
      <c r="C921" s="1"/>
      <c r="D921" s="1"/>
      <c r="E921" s="1"/>
      <c r="F921" s="1"/>
      <c r="G921" s="22"/>
      <c r="H921" s="22"/>
      <c r="I921" s="1"/>
      <c r="J921" s="1"/>
      <c r="K921" s="1"/>
      <c r="L921" s="1"/>
      <c r="M921" s="262"/>
      <c r="N921" s="1"/>
      <c r="O921" s="1"/>
      <c r="P921" s="1"/>
      <c r="Q921" s="1"/>
      <c r="R921" s="1"/>
      <c r="S921" s="1"/>
      <c r="T921" s="1"/>
      <c r="U921" s="1"/>
      <c r="V921" s="1"/>
      <c r="W921" s="1"/>
      <c r="X921" s="1"/>
      <c r="Y921" s="1"/>
      <c r="Z921" s="1"/>
      <c r="AA921" s="1"/>
      <c r="AB921" s="1"/>
    </row>
    <row r="922" spans="2:28" ht="11.25" customHeight="1" x14ac:dyDescent="0.25">
      <c r="B922" s="16"/>
      <c r="C922" s="1"/>
      <c r="D922" s="1"/>
      <c r="E922" s="1"/>
      <c r="F922" s="1"/>
      <c r="G922" s="22"/>
      <c r="H922" s="22"/>
      <c r="I922" s="1"/>
      <c r="J922" s="1"/>
      <c r="K922" s="1"/>
      <c r="L922" s="1"/>
      <c r="M922" s="262"/>
      <c r="N922" s="1"/>
      <c r="O922" s="1"/>
      <c r="P922" s="1"/>
      <c r="Q922" s="1"/>
      <c r="R922" s="1"/>
      <c r="S922" s="1"/>
      <c r="T922" s="1"/>
      <c r="U922" s="1"/>
      <c r="V922" s="1"/>
      <c r="W922" s="1"/>
      <c r="X922" s="1"/>
      <c r="Y922" s="1"/>
      <c r="Z922" s="1"/>
      <c r="AA922" s="1"/>
      <c r="AB922" s="1"/>
    </row>
    <row r="923" spans="2:28" ht="11.25" customHeight="1" x14ac:dyDescent="0.25">
      <c r="B923" s="16"/>
      <c r="C923" s="1"/>
      <c r="D923" s="1"/>
      <c r="E923" s="1"/>
      <c r="F923" s="1"/>
      <c r="G923" s="22"/>
      <c r="H923" s="22"/>
      <c r="I923" s="1"/>
      <c r="J923" s="1"/>
      <c r="K923" s="1"/>
      <c r="L923" s="1"/>
      <c r="M923" s="262"/>
      <c r="N923" s="1"/>
      <c r="O923" s="1"/>
      <c r="P923" s="1"/>
      <c r="Q923" s="1"/>
      <c r="R923" s="1"/>
      <c r="S923" s="1"/>
      <c r="T923" s="1"/>
      <c r="U923" s="1"/>
      <c r="V923" s="1"/>
      <c r="W923" s="1"/>
      <c r="X923" s="1"/>
      <c r="Y923" s="1"/>
      <c r="Z923" s="1"/>
      <c r="AA923" s="1"/>
      <c r="AB923" s="1"/>
    </row>
    <row r="924" spans="2:28" ht="11.25" customHeight="1" x14ac:dyDescent="0.25">
      <c r="B924" s="16"/>
      <c r="C924" s="1"/>
      <c r="D924" s="1"/>
      <c r="E924" s="1"/>
      <c r="F924" s="1"/>
      <c r="G924" s="22"/>
      <c r="H924" s="22"/>
      <c r="I924" s="1"/>
      <c r="J924" s="1"/>
      <c r="K924" s="1"/>
      <c r="L924" s="1"/>
      <c r="M924" s="262"/>
      <c r="N924" s="1"/>
      <c r="O924" s="1"/>
      <c r="P924" s="1"/>
      <c r="Q924" s="1"/>
      <c r="R924" s="1"/>
      <c r="S924" s="1"/>
      <c r="T924" s="1"/>
      <c r="U924" s="1"/>
      <c r="V924" s="1"/>
      <c r="W924" s="1"/>
      <c r="X924" s="1"/>
      <c r="Y924" s="1"/>
      <c r="Z924" s="1"/>
      <c r="AA924" s="1"/>
      <c r="AB924" s="1"/>
    </row>
    <row r="925" spans="2:28" ht="11.25" customHeight="1" x14ac:dyDescent="0.25">
      <c r="B925" s="16"/>
      <c r="C925" s="1"/>
      <c r="D925" s="1"/>
      <c r="E925" s="1"/>
      <c r="F925" s="1"/>
      <c r="G925" s="22"/>
      <c r="H925" s="22"/>
      <c r="I925" s="1"/>
      <c r="J925" s="1"/>
      <c r="K925" s="1"/>
      <c r="L925" s="1"/>
      <c r="M925" s="262"/>
      <c r="N925" s="1"/>
      <c r="O925" s="1"/>
      <c r="P925" s="1"/>
      <c r="Q925" s="1"/>
      <c r="R925" s="1"/>
      <c r="S925" s="1"/>
      <c r="T925" s="1"/>
      <c r="U925" s="1"/>
      <c r="V925" s="1"/>
      <c r="W925" s="1"/>
      <c r="X925" s="1"/>
      <c r="Y925" s="1"/>
      <c r="Z925" s="1"/>
      <c r="AA925" s="1"/>
      <c r="AB925" s="1"/>
    </row>
    <row r="926" spans="2:28" ht="11.25" customHeight="1" x14ac:dyDescent="0.25">
      <c r="B926" s="16"/>
      <c r="C926" s="1"/>
      <c r="D926" s="1"/>
      <c r="E926" s="1"/>
      <c r="F926" s="1"/>
      <c r="G926" s="22"/>
      <c r="H926" s="22"/>
      <c r="I926" s="1"/>
      <c r="J926" s="1"/>
      <c r="K926" s="1"/>
      <c r="L926" s="1"/>
      <c r="M926" s="262"/>
      <c r="N926" s="1"/>
      <c r="O926" s="1"/>
      <c r="P926" s="1"/>
      <c r="Q926" s="1"/>
      <c r="R926" s="1"/>
      <c r="S926" s="1"/>
      <c r="T926" s="1"/>
      <c r="U926" s="1"/>
      <c r="V926" s="1"/>
      <c r="W926" s="1"/>
      <c r="X926" s="1"/>
      <c r="Y926" s="1"/>
      <c r="Z926" s="1"/>
      <c r="AA926" s="1"/>
      <c r="AB926" s="1"/>
    </row>
    <row r="927" spans="2:28" ht="11.25" customHeight="1" x14ac:dyDescent="0.25">
      <c r="B927" s="16"/>
      <c r="C927" s="1"/>
      <c r="D927" s="1"/>
      <c r="E927" s="1"/>
      <c r="F927" s="1"/>
      <c r="G927" s="22"/>
      <c r="H927" s="22"/>
      <c r="I927" s="1"/>
      <c r="J927" s="1"/>
      <c r="K927" s="1"/>
      <c r="L927" s="1"/>
      <c r="M927" s="262"/>
      <c r="N927" s="1"/>
      <c r="O927" s="1"/>
      <c r="P927" s="1"/>
      <c r="Q927" s="1"/>
      <c r="R927" s="1"/>
      <c r="S927" s="1"/>
      <c r="T927" s="1"/>
      <c r="U927" s="1"/>
      <c r="V927" s="1"/>
      <c r="W927" s="1"/>
      <c r="X927" s="1"/>
      <c r="Y927" s="1"/>
      <c r="Z927" s="1"/>
      <c r="AA927" s="1"/>
      <c r="AB927" s="1"/>
    </row>
    <row r="928" spans="2:28" ht="11.25" customHeight="1" x14ac:dyDescent="0.25">
      <c r="B928" s="16"/>
      <c r="C928" s="1"/>
      <c r="D928" s="1"/>
      <c r="E928" s="1"/>
      <c r="F928" s="1"/>
      <c r="G928" s="22"/>
      <c r="H928" s="22"/>
      <c r="I928" s="1"/>
      <c r="J928" s="1"/>
      <c r="K928" s="1"/>
      <c r="L928" s="1"/>
      <c r="M928" s="262"/>
      <c r="N928" s="1"/>
      <c r="O928" s="1"/>
      <c r="P928" s="1"/>
      <c r="Q928" s="1"/>
      <c r="R928" s="1"/>
      <c r="S928" s="1"/>
      <c r="T928" s="1"/>
      <c r="U928" s="1"/>
      <c r="V928" s="1"/>
      <c r="W928" s="1"/>
      <c r="X928" s="1"/>
      <c r="Y928" s="1"/>
      <c r="Z928" s="1"/>
      <c r="AA928" s="1"/>
      <c r="AB928" s="1"/>
    </row>
    <row r="929" spans="2:28" ht="11.25" customHeight="1" x14ac:dyDescent="0.25">
      <c r="B929" s="16"/>
      <c r="C929" s="1"/>
      <c r="D929" s="1"/>
      <c r="E929" s="1"/>
      <c r="F929" s="1"/>
      <c r="G929" s="22"/>
      <c r="H929" s="22"/>
      <c r="I929" s="1"/>
      <c r="J929" s="1"/>
      <c r="K929" s="1"/>
      <c r="L929" s="1"/>
      <c r="M929" s="262"/>
      <c r="N929" s="1"/>
      <c r="O929" s="1"/>
      <c r="P929" s="1"/>
      <c r="Q929" s="1"/>
      <c r="R929" s="1"/>
      <c r="S929" s="1"/>
      <c r="T929" s="1"/>
      <c r="U929" s="1"/>
      <c r="V929" s="1"/>
      <c r="W929" s="1"/>
      <c r="X929" s="1"/>
      <c r="Y929" s="1"/>
      <c r="Z929" s="1"/>
      <c r="AA929" s="1"/>
      <c r="AB929" s="1"/>
    </row>
    <row r="930" spans="2:28" ht="11.25" customHeight="1" x14ac:dyDescent="0.25">
      <c r="B930" s="16"/>
      <c r="C930" s="1"/>
      <c r="D930" s="1"/>
      <c r="E930" s="1"/>
      <c r="F930" s="1"/>
      <c r="G930" s="22"/>
      <c r="H930" s="22"/>
      <c r="I930" s="1"/>
      <c r="J930" s="1"/>
      <c r="K930" s="1"/>
      <c r="L930" s="1"/>
      <c r="M930" s="262"/>
      <c r="N930" s="1"/>
      <c r="O930" s="1"/>
      <c r="P930" s="1"/>
      <c r="Q930" s="1"/>
      <c r="R930" s="1"/>
      <c r="S930" s="1"/>
      <c r="T930" s="1"/>
      <c r="U930" s="1"/>
      <c r="V930" s="1"/>
      <c r="W930" s="1"/>
      <c r="X930" s="1"/>
      <c r="Y930" s="1"/>
      <c r="Z930" s="1"/>
      <c r="AA930" s="1"/>
      <c r="AB930" s="1"/>
    </row>
    <row r="931" spans="2:28" ht="11.25" customHeight="1" x14ac:dyDescent="0.25">
      <c r="B931" s="16"/>
      <c r="C931" s="1"/>
      <c r="D931" s="1"/>
      <c r="E931" s="1"/>
      <c r="F931" s="1"/>
      <c r="G931" s="22"/>
      <c r="H931" s="22"/>
      <c r="I931" s="1"/>
      <c r="J931" s="1"/>
      <c r="K931" s="1"/>
      <c r="L931" s="1"/>
      <c r="M931" s="262"/>
      <c r="N931" s="1"/>
      <c r="O931" s="1"/>
      <c r="P931" s="1"/>
      <c r="Q931" s="1"/>
      <c r="R931" s="1"/>
      <c r="S931" s="1"/>
      <c r="T931" s="1"/>
      <c r="U931" s="1"/>
      <c r="V931" s="1"/>
      <c r="W931" s="1"/>
      <c r="X931" s="1"/>
      <c r="Y931" s="1"/>
      <c r="Z931" s="1"/>
      <c r="AA931" s="1"/>
      <c r="AB931" s="1"/>
    </row>
    <row r="932" spans="2:28" ht="11.25" customHeight="1" x14ac:dyDescent="0.25">
      <c r="B932" s="16"/>
      <c r="C932" s="1"/>
      <c r="D932" s="1"/>
      <c r="E932" s="1"/>
      <c r="F932" s="1"/>
      <c r="G932" s="22"/>
      <c r="H932" s="22"/>
      <c r="I932" s="1"/>
      <c r="J932" s="1"/>
      <c r="K932" s="1"/>
      <c r="L932" s="1"/>
      <c r="M932" s="262"/>
      <c r="N932" s="1"/>
      <c r="O932" s="1"/>
      <c r="P932" s="1"/>
      <c r="Q932" s="1"/>
      <c r="R932" s="1"/>
      <c r="S932" s="1"/>
      <c r="T932" s="1"/>
      <c r="U932" s="1"/>
      <c r="V932" s="1"/>
      <c r="W932" s="1"/>
      <c r="X932" s="1"/>
      <c r="Y932" s="1"/>
      <c r="Z932" s="1"/>
      <c r="AA932" s="1"/>
      <c r="AB932" s="1"/>
    </row>
    <row r="933" spans="2:28" ht="11.25" customHeight="1" x14ac:dyDescent="0.25">
      <c r="B933" s="16"/>
      <c r="C933" s="1"/>
      <c r="D933" s="1"/>
      <c r="E933" s="1"/>
      <c r="F933" s="1"/>
      <c r="G933" s="22"/>
      <c r="H933" s="22"/>
      <c r="I933" s="1"/>
      <c r="J933" s="1"/>
      <c r="K933" s="1"/>
      <c r="L933" s="1"/>
      <c r="M933" s="262"/>
      <c r="N933" s="1"/>
      <c r="O933" s="1"/>
      <c r="P933" s="1"/>
      <c r="Q933" s="1"/>
      <c r="R933" s="1"/>
      <c r="S933" s="1"/>
      <c r="T933" s="1"/>
      <c r="U933" s="1"/>
      <c r="V933" s="1"/>
      <c r="W933" s="1"/>
      <c r="X933" s="1"/>
      <c r="Y933" s="1"/>
      <c r="Z933" s="1"/>
      <c r="AA933" s="1"/>
      <c r="AB933" s="1"/>
    </row>
    <row r="934" spans="2:28" ht="11.25" customHeight="1" x14ac:dyDescent="0.25">
      <c r="B934" s="16"/>
      <c r="C934" s="1"/>
      <c r="D934" s="1"/>
      <c r="E934" s="1"/>
      <c r="F934" s="1"/>
      <c r="G934" s="22"/>
      <c r="H934" s="22"/>
      <c r="I934" s="1"/>
      <c r="J934" s="1"/>
      <c r="K934" s="1"/>
      <c r="L934" s="1"/>
      <c r="M934" s="262"/>
      <c r="N934" s="1"/>
      <c r="O934" s="1"/>
      <c r="P934" s="1"/>
      <c r="Q934" s="1"/>
      <c r="R934" s="1"/>
      <c r="S934" s="1"/>
      <c r="T934" s="1"/>
      <c r="U934" s="1"/>
      <c r="V934" s="1"/>
      <c r="W934" s="1"/>
      <c r="X934" s="1"/>
      <c r="Y934" s="1"/>
      <c r="Z934" s="1"/>
      <c r="AA934" s="1"/>
      <c r="AB934" s="1"/>
    </row>
    <row r="935" spans="2:28" ht="11.25" customHeight="1" x14ac:dyDescent="0.25">
      <c r="B935" s="16"/>
      <c r="C935" s="1"/>
      <c r="D935" s="1"/>
      <c r="E935" s="1"/>
      <c r="F935" s="1"/>
      <c r="G935" s="22"/>
      <c r="H935" s="22"/>
      <c r="I935" s="1"/>
      <c r="J935" s="1"/>
      <c r="K935" s="1"/>
      <c r="L935" s="1"/>
      <c r="M935" s="262"/>
      <c r="N935" s="1"/>
      <c r="O935" s="1"/>
      <c r="P935" s="1"/>
      <c r="Q935" s="1"/>
      <c r="R935" s="1"/>
      <c r="S935" s="1"/>
      <c r="T935" s="1"/>
      <c r="U935" s="1"/>
      <c r="V935" s="1"/>
      <c r="W935" s="1"/>
      <c r="X935" s="1"/>
      <c r="Y935" s="1"/>
      <c r="Z935" s="1"/>
      <c r="AA935" s="1"/>
      <c r="AB935" s="1"/>
    </row>
    <row r="936" spans="2:28" ht="11.25" customHeight="1" x14ac:dyDescent="0.25">
      <c r="B936" s="16"/>
      <c r="C936" s="1"/>
      <c r="D936" s="1"/>
      <c r="E936" s="1"/>
      <c r="F936" s="1"/>
      <c r="G936" s="22"/>
      <c r="H936" s="22"/>
      <c r="I936" s="1"/>
      <c r="J936" s="1"/>
      <c r="K936" s="1"/>
      <c r="L936" s="1"/>
      <c r="M936" s="262"/>
      <c r="N936" s="1"/>
      <c r="O936" s="1"/>
      <c r="P936" s="1"/>
      <c r="Q936" s="1"/>
      <c r="R936" s="1"/>
      <c r="S936" s="1"/>
      <c r="T936" s="1"/>
      <c r="U936" s="1"/>
      <c r="V936" s="1"/>
      <c r="W936" s="1"/>
      <c r="X936" s="1"/>
      <c r="Y936" s="1"/>
      <c r="Z936" s="1"/>
      <c r="AA936" s="1"/>
      <c r="AB936" s="1"/>
    </row>
    <row r="937" spans="2:28" ht="11.25" customHeight="1" x14ac:dyDescent="0.25">
      <c r="B937" s="16"/>
      <c r="C937" s="1"/>
      <c r="D937" s="1"/>
      <c r="E937" s="1"/>
      <c r="F937" s="1"/>
      <c r="G937" s="22"/>
      <c r="H937" s="22"/>
      <c r="I937" s="1"/>
      <c r="J937" s="1"/>
      <c r="K937" s="1"/>
      <c r="L937" s="1"/>
      <c r="M937" s="262"/>
      <c r="N937" s="1"/>
      <c r="O937" s="1"/>
      <c r="P937" s="1"/>
      <c r="Q937" s="1"/>
      <c r="R937" s="1"/>
      <c r="S937" s="1"/>
      <c r="T937" s="1"/>
      <c r="U937" s="1"/>
      <c r="V937" s="1"/>
      <c r="W937" s="1"/>
      <c r="X937" s="1"/>
      <c r="Y937" s="1"/>
      <c r="Z937" s="1"/>
      <c r="AA937" s="1"/>
      <c r="AB937" s="1"/>
    </row>
    <row r="938" spans="2:28" ht="11.25" customHeight="1" x14ac:dyDescent="0.25">
      <c r="B938" s="16"/>
      <c r="C938" s="1"/>
      <c r="D938" s="1"/>
      <c r="E938" s="1"/>
      <c r="F938" s="1"/>
      <c r="G938" s="22"/>
      <c r="H938" s="22"/>
      <c r="I938" s="1"/>
      <c r="J938" s="1"/>
      <c r="K938" s="1"/>
      <c r="L938" s="1"/>
      <c r="M938" s="262"/>
      <c r="N938" s="1"/>
      <c r="O938" s="1"/>
      <c r="P938" s="1"/>
      <c r="Q938" s="1"/>
      <c r="R938" s="1"/>
      <c r="S938" s="1"/>
      <c r="T938" s="1"/>
      <c r="U938" s="1"/>
      <c r="V938" s="1"/>
      <c r="W938" s="1"/>
      <c r="X938" s="1"/>
      <c r="Y938" s="1"/>
      <c r="Z938" s="1"/>
      <c r="AA938" s="1"/>
      <c r="AB938" s="1"/>
    </row>
    <row r="939" spans="2:28" ht="11.25" customHeight="1" x14ac:dyDescent="0.25">
      <c r="B939" s="16"/>
      <c r="C939" s="1"/>
      <c r="D939" s="1"/>
      <c r="E939" s="1"/>
      <c r="F939" s="1"/>
      <c r="G939" s="22"/>
      <c r="H939" s="22"/>
      <c r="I939" s="1"/>
      <c r="J939" s="1"/>
      <c r="K939" s="1"/>
      <c r="L939" s="1"/>
      <c r="M939" s="262"/>
      <c r="N939" s="1"/>
      <c r="O939" s="1"/>
      <c r="P939" s="1"/>
      <c r="Q939" s="1"/>
      <c r="R939" s="1"/>
      <c r="S939" s="1"/>
      <c r="T939" s="1"/>
      <c r="U939" s="1"/>
      <c r="V939" s="1"/>
      <c r="W939" s="1"/>
      <c r="X939" s="1"/>
      <c r="Y939" s="1"/>
      <c r="Z939" s="1"/>
      <c r="AA939" s="1"/>
      <c r="AB939" s="1"/>
    </row>
    <row r="940" spans="2:28" ht="11.25" customHeight="1" x14ac:dyDescent="0.25">
      <c r="B940" s="16"/>
      <c r="C940" s="1"/>
      <c r="D940" s="1"/>
      <c r="E940" s="1"/>
      <c r="F940" s="1"/>
      <c r="G940" s="22"/>
      <c r="H940" s="22"/>
      <c r="I940" s="1"/>
      <c r="J940" s="1"/>
      <c r="K940" s="1"/>
      <c r="L940" s="1"/>
      <c r="M940" s="262"/>
      <c r="N940" s="1"/>
      <c r="O940" s="1"/>
      <c r="P940" s="1"/>
      <c r="Q940" s="1"/>
      <c r="R940" s="1"/>
      <c r="S940" s="1"/>
      <c r="T940" s="1"/>
      <c r="U940" s="1"/>
      <c r="V940" s="1"/>
      <c r="W940" s="1"/>
      <c r="X940" s="1"/>
      <c r="Y940" s="1"/>
      <c r="Z940" s="1"/>
      <c r="AA940" s="1"/>
      <c r="AB940" s="1"/>
    </row>
    <row r="941" spans="2:28" ht="11.25" customHeight="1" x14ac:dyDescent="0.25">
      <c r="B941" s="16"/>
      <c r="C941" s="1"/>
      <c r="D941" s="1"/>
      <c r="E941" s="1"/>
      <c r="F941" s="1"/>
      <c r="G941" s="22"/>
      <c r="H941" s="22"/>
      <c r="I941" s="1"/>
      <c r="J941" s="1"/>
      <c r="K941" s="1"/>
      <c r="L941" s="1"/>
      <c r="M941" s="262"/>
      <c r="N941" s="1"/>
      <c r="O941" s="1"/>
      <c r="P941" s="1"/>
      <c r="Q941" s="1"/>
      <c r="R941" s="1"/>
      <c r="S941" s="1"/>
      <c r="T941" s="1"/>
      <c r="U941" s="1"/>
      <c r="V941" s="1"/>
      <c r="W941" s="1"/>
      <c r="X941" s="1"/>
      <c r="Y941" s="1"/>
      <c r="Z941" s="1"/>
      <c r="AA941" s="1"/>
      <c r="AB941" s="1"/>
    </row>
    <row r="942" spans="2:28" ht="11.25" customHeight="1" x14ac:dyDescent="0.25">
      <c r="B942" s="16"/>
      <c r="C942" s="1"/>
      <c r="D942" s="1"/>
      <c r="E942" s="1"/>
      <c r="F942" s="1"/>
      <c r="G942" s="22"/>
      <c r="H942" s="22"/>
      <c r="I942" s="1"/>
      <c r="J942" s="1"/>
      <c r="K942" s="1"/>
      <c r="L942" s="1"/>
      <c r="M942" s="262"/>
      <c r="N942" s="1"/>
      <c r="O942" s="1"/>
      <c r="P942" s="1"/>
      <c r="Q942" s="1"/>
      <c r="R942" s="1"/>
      <c r="S942" s="1"/>
      <c r="T942" s="1"/>
      <c r="U942" s="1"/>
      <c r="V942" s="1"/>
      <c r="W942" s="1"/>
      <c r="X942" s="1"/>
      <c r="Y942" s="1"/>
      <c r="Z942" s="1"/>
      <c r="AA942" s="1"/>
      <c r="AB942" s="1"/>
    </row>
    <row r="943" spans="2:28" ht="11.25" customHeight="1" x14ac:dyDescent="0.25">
      <c r="B943" s="16"/>
      <c r="C943" s="1"/>
      <c r="D943" s="1"/>
      <c r="E943" s="1"/>
      <c r="F943" s="1"/>
      <c r="G943" s="22"/>
      <c r="H943" s="22"/>
      <c r="I943" s="1"/>
      <c r="J943" s="1"/>
      <c r="K943" s="1"/>
      <c r="L943" s="1"/>
      <c r="M943" s="262"/>
      <c r="N943" s="1"/>
      <c r="O943" s="1"/>
      <c r="P943" s="1"/>
      <c r="Q943" s="1"/>
      <c r="R943" s="1"/>
      <c r="S943" s="1"/>
      <c r="T943" s="1"/>
      <c r="U943" s="1"/>
      <c r="V943" s="1"/>
      <c r="W943" s="1"/>
      <c r="X943" s="1"/>
      <c r="Y943" s="1"/>
      <c r="Z943" s="1"/>
      <c r="AA943" s="1"/>
      <c r="AB943" s="1"/>
    </row>
    <row r="944" spans="2:28" ht="11.25" customHeight="1" x14ac:dyDescent="0.25">
      <c r="B944" s="16"/>
      <c r="C944" s="1"/>
      <c r="D944" s="1"/>
      <c r="E944" s="1"/>
      <c r="F944" s="1"/>
      <c r="G944" s="22"/>
      <c r="H944" s="22"/>
      <c r="I944" s="1"/>
      <c r="J944" s="1"/>
      <c r="K944" s="1"/>
      <c r="L944" s="1"/>
      <c r="M944" s="262"/>
      <c r="N944" s="1"/>
      <c r="O944" s="1"/>
      <c r="P944" s="1"/>
      <c r="Q944" s="1"/>
      <c r="R944" s="1"/>
      <c r="S944" s="1"/>
      <c r="T944" s="1"/>
      <c r="U944" s="1"/>
      <c r="V944" s="1"/>
      <c r="W944" s="1"/>
      <c r="X944" s="1"/>
      <c r="Y944" s="1"/>
      <c r="Z944" s="1"/>
      <c r="AA944" s="1"/>
      <c r="AB944" s="1"/>
    </row>
    <row r="945" spans="2:28" ht="11.25" customHeight="1" x14ac:dyDescent="0.25">
      <c r="B945" s="16"/>
      <c r="C945" s="1"/>
      <c r="D945" s="1"/>
      <c r="E945" s="1"/>
      <c r="F945" s="1"/>
      <c r="G945" s="22"/>
      <c r="H945" s="22"/>
      <c r="I945" s="1"/>
      <c r="J945" s="1"/>
      <c r="K945" s="1"/>
      <c r="L945" s="1"/>
      <c r="M945" s="262"/>
      <c r="N945" s="1"/>
      <c r="O945" s="1"/>
      <c r="P945" s="1"/>
      <c r="Q945" s="1"/>
      <c r="R945" s="1"/>
      <c r="S945" s="1"/>
      <c r="T945" s="1"/>
      <c r="U945" s="1"/>
      <c r="V945" s="1"/>
      <c r="W945" s="1"/>
      <c r="X945" s="1"/>
      <c r="Y945" s="1"/>
      <c r="Z945" s="1"/>
      <c r="AA945" s="1"/>
      <c r="AB945" s="1"/>
    </row>
    <row r="946" spans="2:28" ht="11.25" customHeight="1" x14ac:dyDescent="0.25">
      <c r="B946" s="16"/>
      <c r="C946" s="1"/>
      <c r="D946" s="1"/>
      <c r="E946" s="1"/>
      <c r="F946" s="1"/>
      <c r="G946" s="22"/>
      <c r="H946" s="22"/>
      <c r="I946" s="1"/>
      <c r="J946" s="1"/>
      <c r="K946" s="1"/>
      <c r="L946" s="1"/>
      <c r="M946" s="262"/>
      <c r="N946" s="1"/>
      <c r="O946" s="1"/>
      <c r="P946" s="1"/>
      <c r="Q946" s="1"/>
      <c r="R946" s="1"/>
      <c r="S946" s="1"/>
      <c r="T946" s="1"/>
      <c r="U946" s="1"/>
      <c r="V946" s="1"/>
      <c r="W946" s="1"/>
      <c r="X946" s="1"/>
      <c r="Y946" s="1"/>
      <c r="Z946" s="1"/>
      <c r="AA946" s="1"/>
      <c r="AB946" s="1"/>
    </row>
    <row r="947" spans="2:28" ht="11.25" customHeight="1" x14ac:dyDescent="0.25">
      <c r="B947" s="16"/>
      <c r="C947" s="1"/>
      <c r="D947" s="1"/>
      <c r="E947" s="1"/>
      <c r="F947" s="1"/>
      <c r="G947" s="22"/>
      <c r="H947" s="22"/>
      <c r="I947" s="1"/>
      <c r="J947" s="1"/>
      <c r="K947" s="1"/>
      <c r="L947" s="1"/>
      <c r="M947" s="262"/>
      <c r="N947" s="1"/>
      <c r="O947" s="1"/>
      <c r="P947" s="1"/>
      <c r="Q947" s="1"/>
      <c r="R947" s="1"/>
      <c r="S947" s="1"/>
      <c r="T947" s="1"/>
      <c r="U947" s="1"/>
      <c r="V947" s="1"/>
      <c r="W947" s="1"/>
      <c r="X947" s="1"/>
      <c r="Y947" s="1"/>
      <c r="Z947" s="1"/>
      <c r="AA947" s="1"/>
      <c r="AB947" s="1"/>
    </row>
    <row r="948" spans="2:28" ht="11.25" customHeight="1" x14ac:dyDescent="0.25">
      <c r="B948" s="16"/>
      <c r="C948" s="1"/>
      <c r="D948" s="1"/>
      <c r="E948" s="1"/>
      <c r="F948" s="1"/>
      <c r="G948" s="22"/>
      <c r="H948" s="22"/>
      <c r="I948" s="1"/>
      <c r="J948" s="1"/>
      <c r="K948" s="1"/>
      <c r="L948" s="1"/>
      <c r="M948" s="262"/>
      <c r="N948" s="1"/>
      <c r="O948" s="1"/>
      <c r="P948" s="1"/>
      <c r="Q948" s="1"/>
      <c r="R948" s="1"/>
      <c r="S948" s="1"/>
      <c r="T948" s="1"/>
      <c r="U948" s="1"/>
      <c r="V948" s="1"/>
      <c r="W948" s="1"/>
      <c r="X948" s="1"/>
      <c r="Y948" s="1"/>
      <c r="Z948" s="1"/>
      <c r="AA948" s="1"/>
      <c r="AB948" s="1"/>
    </row>
    <row r="949" spans="2:28" ht="11.25" customHeight="1" x14ac:dyDescent="0.25">
      <c r="B949" s="16"/>
      <c r="C949" s="1"/>
      <c r="D949" s="1"/>
      <c r="E949" s="1"/>
      <c r="F949" s="1"/>
      <c r="G949" s="22"/>
      <c r="H949" s="22"/>
      <c r="I949" s="1"/>
      <c r="J949" s="1"/>
      <c r="K949" s="1"/>
      <c r="L949" s="1"/>
      <c r="M949" s="262"/>
      <c r="N949" s="1"/>
      <c r="O949" s="1"/>
      <c r="P949" s="1"/>
      <c r="Q949" s="1"/>
      <c r="R949" s="1"/>
      <c r="S949" s="1"/>
      <c r="T949" s="1"/>
      <c r="U949" s="1"/>
      <c r="V949" s="1"/>
      <c r="W949" s="1"/>
      <c r="X949" s="1"/>
      <c r="Y949" s="1"/>
      <c r="Z949" s="1"/>
      <c r="AA949" s="1"/>
      <c r="AB949" s="1"/>
    </row>
    <row r="950" spans="2:28" ht="11.25" customHeight="1" x14ac:dyDescent="0.25">
      <c r="B950" s="16"/>
      <c r="C950" s="1"/>
      <c r="D950" s="1"/>
      <c r="E950" s="1"/>
      <c r="F950" s="1"/>
      <c r="G950" s="22"/>
      <c r="H950" s="22"/>
      <c r="I950" s="1"/>
      <c r="J950" s="1"/>
      <c r="K950" s="1"/>
      <c r="L950" s="1"/>
      <c r="M950" s="262"/>
      <c r="N950" s="1"/>
      <c r="O950" s="1"/>
      <c r="P950" s="1"/>
      <c r="Q950" s="1"/>
      <c r="R950" s="1"/>
      <c r="S950" s="1"/>
      <c r="T950" s="1"/>
      <c r="U950" s="1"/>
      <c r="V950" s="1"/>
      <c r="W950" s="1"/>
      <c r="X950" s="1"/>
      <c r="Y950" s="1"/>
      <c r="Z950" s="1"/>
      <c r="AA950" s="1"/>
      <c r="AB950" s="1"/>
    </row>
    <row r="951" spans="2:28" ht="11.25" customHeight="1" x14ac:dyDescent="0.25">
      <c r="B951" s="16"/>
      <c r="C951" s="1"/>
      <c r="D951" s="1"/>
      <c r="E951" s="1"/>
      <c r="F951" s="1"/>
      <c r="G951" s="22"/>
      <c r="H951" s="22"/>
      <c r="I951" s="1"/>
      <c r="J951" s="1"/>
      <c r="K951" s="1"/>
      <c r="L951" s="1"/>
      <c r="M951" s="262"/>
      <c r="N951" s="1"/>
      <c r="O951" s="1"/>
      <c r="P951" s="1"/>
      <c r="Q951" s="1"/>
      <c r="R951" s="1"/>
      <c r="S951" s="1"/>
      <c r="T951" s="1"/>
      <c r="U951" s="1"/>
      <c r="V951" s="1"/>
      <c r="W951" s="1"/>
      <c r="X951" s="1"/>
      <c r="Y951" s="1"/>
      <c r="Z951" s="1"/>
      <c r="AA951" s="1"/>
      <c r="AB951" s="1"/>
    </row>
    <row r="952" spans="2:28" ht="11.25" customHeight="1" x14ac:dyDescent="0.25">
      <c r="B952" s="16"/>
      <c r="C952" s="1"/>
      <c r="D952" s="1"/>
      <c r="E952" s="1"/>
      <c r="F952" s="1"/>
      <c r="G952" s="22"/>
      <c r="H952" s="22"/>
      <c r="I952" s="1"/>
      <c r="J952" s="1"/>
      <c r="K952" s="1"/>
      <c r="L952" s="1"/>
      <c r="M952" s="262"/>
      <c r="N952" s="1"/>
      <c r="O952" s="1"/>
      <c r="P952" s="1"/>
      <c r="Q952" s="1"/>
      <c r="R952" s="1"/>
      <c r="S952" s="1"/>
      <c r="T952" s="1"/>
      <c r="U952" s="1"/>
      <c r="V952" s="1"/>
      <c r="W952" s="1"/>
      <c r="X952" s="1"/>
      <c r="Y952" s="1"/>
      <c r="Z952" s="1"/>
      <c r="AA952" s="1"/>
      <c r="AB952" s="1"/>
    </row>
    <row r="953" spans="2:28" ht="11.25" customHeight="1" x14ac:dyDescent="0.25">
      <c r="B953" s="16"/>
      <c r="C953" s="1"/>
      <c r="D953" s="1"/>
      <c r="E953" s="1"/>
      <c r="F953" s="1"/>
      <c r="G953" s="22"/>
      <c r="H953" s="22"/>
      <c r="I953" s="1"/>
      <c r="J953" s="1"/>
      <c r="K953" s="1"/>
      <c r="L953" s="1"/>
      <c r="M953" s="262"/>
      <c r="N953" s="1"/>
      <c r="O953" s="1"/>
      <c r="P953" s="1"/>
      <c r="Q953" s="1"/>
      <c r="R953" s="1"/>
      <c r="S953" s="1"/>
      <c r="T953" s="1"/>
      <c r="U953" s="1"/>
      <c r="V953" s="1"/>
      <c r="W953" s="1"/>
      <c r="X953" s="1"/>
      <c r="Y953" s="1"/>
      <c r="Z953" s="1"/>
      <c r="AA953" s="1"/>
      <c r="AB953" s="1"/>
    </row>
    <row r="954" spans="2:28" ht="11.25" customHeight="1" x14ac:dyDescent="0.25">
      <c r="B954" s="16"/>
      <c r="C954" s="1"/>
      <c r="D954" s="1"/>
      <c r="E954" s="1"/>
      <c r="F954" s="1"/>
      <c r="G954" s="22"/>
      <c r="H954" s="22"/>
      <c r="I954" s="1"/>
      <c r="J954" s="1"/>
      <c r="K954" s="1"/>
      <c r="L954" s="1"/>
      <c r="M954" s="262"/>
      <c r="N954" s="1"/>
      <c r="O954" s="1"/>
      <c r="P954" s="1"/>
      <c r="Q954" s="1"/>
      <c r="R954" s="1"/>
      <c r="S954" s="1"/>
      <c r="T954" s="1"/>
      <c r="U954" s="1"/>
      <c r="V954" s="1"/>
      <c r="W954" s="1"/>
      <c r="X954" s="1"/>
      <c r="Y954" s="1"/>
      <c r="Z954" s="1"/>
      <c r="AA954" s="1"/>
      <c r="AB954" s="1"/>
    </row>
    <row r="955" spans="2:28" ht="11.25" customHeight="1" x14ac:dyDescent="0.25">
      <c r="B955" s="16"/>
      <c r="C955" s="1"/>
      <c r="D955" s="1"/>
      <c r="E955" s="1"/>
      <c r="F955" s="1"/>
      <c r="G955" s="22"/>
      <c r="H955" s="22"/>
      <c r="I955" s="1"/>
      <c r="J955" s="1"/>
      <c r="K955" s="1"/>
      <c r="L955" s="1"/>
      <c r="M955" s="262"/>
      <c r="N955" s="1"/>
      <c r="O955" s="1"/>
      <c r="P955" s="1"/>
      <c r="Q955" s="1"/>
      <c r="R955" s="1"/>
      <c r="S955" s="1"/>
      <c r="T955" s="1"/>
      <c r="U955" s="1"/>
      <c r="V955" s="1"/>
      <c r="W955" s="1"/>
      <c r="X955" s="1"/>
      <c r="Y955" s="1"/>
      <c r="Z955" s="1"/>
      <c r="AA955" s="1"/>
      <c r="AB955" s="1"/>
    </row>
    <row r="956" spans="2:28" ht="11.25" customHeight="1" x14ac:dyDescent="0.25">
      <c r="B956" s="16"/>
      <c r="C956" s="1"/>
      <c r="D956" s="1"/>
      <c r="E956" s="1"/>
      <c r="F956" s="1"/>
      <c r="G956" s="22"/>
      <c r="H956" s="22"/>
      <c r="I956" s="1"/>
      <c r="J956" s="1"/>
      <c r="K956" s="1"/>
      <c r="L956" s="1"/>
      <c r="M956" s="262"/>
      <c r="N956" s="1"/>
      <c r="O956" s="1"/>
      <c r="P956" s="1"/>
      <c r="Q956" s="1"/>
      <c r="R956" s="1"/>
      <c r="S956" s="1"/>
      <c r="T956" s="1"/>
      <c r="U956" s="1"/>
      <c r="V956" s="1"/>
      <c r="W956" s="1"/>
      <c r="X956" s="1"/>
      <c r="Y956" s="1"/>
      <c r="Z956" s="1"/>
      <c r="AA956" s="1"/>
      <c r="AB956" s="1"/>
    </row>
    <row r="957" spans="2:28" ht="11.25" customHeight="1" x14ac:dyDescent="0.25">
      <c r="B957" s="16"/>
      <c r="C957" s="1"/>
      <c r="D957" s="1"/>
      <c r="E957" s="1"/>
      <c r="F957" s="1"/>
      <c r="G957" s="22"/>
      <c r="H957" s="22"/>
      <c r="I957" s="1"/>
      <c r="J957" s="1"/>
      <c r="K957" s="1"/>
      <c r="L957" s="1"/>
      <c r="M957" s="262"/>
      <c r="N957" s="1"/>
      <c r="O957" s="1"/>
      <c r="P957" s="1"/>
      <c r="Q957" s="1"/>
      <c r="R957" s="1"/>
      <c r="S957" s="1"/>
      <c r="T957" s="1"/>
      <c r="U957" s="1"/>
      <c r="V957" s="1"/>
      <c r="W957" s="1"/>
      <c r="X957" s="1"/>
      <c r="Y957" s="1"/>
      <c r="Z957" s="1"/>
      <c r="AA957" s="1"/>
      <c r="AB957" s="1"/>
    </row>
    <row r="958" spans="2:28" ht="11.25" customHeight="1" x14ac:dyDescent="0.25">
      <c r="B958" s="16"/>
      <c r="C958" s="1"/>
      <c r="D958" s="1"/>
      <c r="E958" s="1"/>
      <c r="F958" s="1"/>
      <c r="G958" s="22"/>
      <c r="H958" s="22"/>
      <c r="I958" s="1"/>
      <c r="J958" s="1"/>
      <c r="K958" s="1"/>
      <c r="L958" s="1"/>
      <c r="M958" s="262"/>
      <c r="N958" s="1"/>
      <c r="O958" s="1"/>
      <c r="P958" s="1"/>
      <c r="Q958" s="1"/>
      <c r="R958" s="1"/>
      <c r="S958" s="1"/>
      <c r="T958" s="1"/>
      <c r="U958" s="1"/>
      <c r="V958" s="1"/>
      <c r="W958" s="1"/>
      <c r="X958" s="1"/>
      <c r="Y958" s="1"/>
      <c r="Z958" s="1"/>
      <c r="AA958" s="1"/>
      <c r="AB958" s="1"/>
    </row>
    <row r="959" spans="2:28" ht="11.25" customHeight="1" x14ac:dyDescent="0.25">
      <c r="B959" s="16"/>
      <c r="C959" s="1"/>
      <c r="D959" s="1"/>
      <c r="E959" s="1"/>
      <c r="F959" s="1"/>
      <c r="G959" s="22"/>
      <c r="H959" s="22"/>
      <c r="I959" s="1"/>
      <c r="J959" s="1"/>
      <c r="K959" s="1"/>
      <c r="L959" s="1"/>
      <c r="M959" s="262"/>
      <c r="N959" s="1"/>
      <c r="O959" s="1"/>
      <c r="P959" s="1"/>
      <c r="Q959" s="1"/>
      <c r="R959" s="1"/>
      <c r="S959" s="1"/>
      <c r="T959" s="1"/>
      <c r="U959" s="1"/>
      <c r="V959" s="1"/>
      <c r="W959" s="1"/>
      <c r="X959" s="1"/>
      <c r="Y959" s="1"/>
      <c r="Z959" s="1"/>
      <c r="AA959" s="1"/>
      <c r="AB959" s="1"/>
    </row>
    <row r="960" spans="2:28" ht="11.25" customHeight="1" x14ac:dyDescent="0.25">
      <c r="B960" s="16"/>
      <c r="C960" s="1"/>
      <c r="D960" s="1"/>
      <c r="E960" s="1"/>
      <c r="F960" s="1"/>
      <c r="G960" s="22"/>
      <c r="H960" s="22"/>
      <c r="I960" s="1"/>
      <c r="J960" s="1"/>
      <c r="K960" s="1"/>
      <c r="L960" s="1"/>
      <c r="M960" s="262"/>
      <c r="N960" s="1"/>
      <c r="O960" s="1"/>
      <c r="P960" s="1"/>
      <c r="Q960" s="1"/>
      <c r="R960" s="1"/>
      <c r="S960" s="1"/>
      <c r="T960" s="1"/>
      <c r="U960" s="1"/>
      <c r="V960" s="1"/>
      <c r="W960" s="1"/>
      <c r="X960" s="1"/>
      <c r="Y960" s="1"/>
      <c r="Z960" s="1"/>
      <c r="AA960" s="1"/>
      <c r="AB960" s="1"/>
    </row>
    <row r="961" spans="2:28" ht="11.25" customHeight="1" x14ac:dyDescent="0.25">
      <c r="B961" s="16"/>
      <c r="C961" s="1"/>
      <c r="D961" s="1"/>
      <c r="E961" s="1"/>
      <c r="F961" s="1"/>
      <c r="G961" s="22"/>
      <c r="H961" s="22"/>
      <c r="I961" s="1"/>
      <c r="J961" s="1"/>
      <c r="K961" s="1"/>
      <c r="L961" s="1"/>
      <c r="M961" s="262"/>
      <c r="N961" s="1"/>
      <c r="O961" s="1"/>
      <c r="P961" s="1"/>
      <c r="Q961" s="1"/>
      <c r="R961" s="1"/>
      <c r="S961" s="1"/>
      <c r="T961" s="1"/>
      <c r="U961" s="1"/>
      <c r="V961" s="1"/>
      <c r="W961" s="1"/>
      <c r="X961" s="1"/>
      <c r="Y961" s="1"/>
      <c r="Z961" s="1"/>
      <c r="AA961" s="1"/>
      <c r="AB961" s="1"/>
    </row>
    <row r="962" spans="2:28" ht="11.25" customHeight="1" x14ac:dyDescent="0.25">
      <c r="B962" s="16"/>
      <c r="C962" s="1"/>
      <c r="D962" s="1"/>
      <c r="E962" s="1"/>
      <c r="F962" s="1"/>
      <c r="G962" s="22"/>
      <c r="H962" s="22"/>
      <c r="I962" s="1"/>
      <c r="J962" s="1"/>
      <c r="K962" s="1"/>
      <c r="L962" s="1"/>
      <c r="M962" s="262"/>
      <c r="N962" s="1"/>
      <c r="O962" s="1"/>
      <c r="P962" s="1"/>
      <c r="Q962" s="1"/>
      <c r="R962" s="1"/>
      <c r="S962" s="1"/>
      <c r="T962" s="1"/>
      <c r="U962" s="1"/>
      <c r="V962" s="1"/>
      <c r="W962" s="1"/>
      <c r="X962" s="1"/>
      <c r="Y962" s="1"/>
      <c r="Z962" s="1"/>
      <c r="AA962" s="1"/>
      <c r="AB962" s="1"/>
    </row>
    <row r="963" spans="2:28" ht="11.25" customHeight="1" x14ac:dyDescent="0.25">
      <c r="B963" s="16"/>
      <c r="C963" s="1"/>
      <c r="D963" s="1"/>
      <c r="E963" s="1"/>
      <c r="F963" s="1"/>
      <c r="G963" s="22"/>
      <c r="H963" s="22"/>
      <c r="I963" s="1"/>
      <c r="J963" s="1"/>
      <c r="K963" s="1"/>
      <c r="L963" s="1"/>
      <c r="M963" s="262"/>
      <c r="N963" s="1"/>
      <c r="O963" s="1"/>
      <c r="P963" s="1"/>
      <c r="Q963" s="1"/>
      <c r="R963" s="1"/>
      <c r="S963" s="1"/>
      <c r="T963" s="1"/>
      <c r="U963" s="1"/>
      <c r="V963" s="1"/>
      <c r="W963" s="1"/>
      <c r="X963" s="1"/>
      <c r="Y963" s="1"/>
      <c r="Z963" s="1"/>
      <c r="AA963" s="1"/>
      <c r="AB963" s="1"/>
    </row>
    <row r="964" spans="2:28" ht="11.25" customHeight="1" x14ac:dyDescent="0.25">
      <c r="B964" s="16"/>
      <c r="C964" s="1"/>
      <c r="D964" s="1"/>
      <c r="E964" s="1"/>
      <c r="F964" s="1"/>
      <c r="G964" s="22"/>
      <c r="H964" s="22"/>
      <c r="I964" s="1"/>
      <c r="J964" s="1"/>
      <c r="K964" s="1"/>
      <c r="L964" s="1"/>
      <c r="M964" s="262"/>
      <c r="N964" s="1"/>
      <c r="O964" s="1"/>
      <c r="P964" s="1"/>
      <c r="Q964" s="1"/>
      <c r="R964" s="1"/>
      <c r="S964" s="1"/>
      <c r="T964" s="1"/>
      <c r="U964" s="1"/>
      <c r="V964" s="1"/>
      <c r="W964" s="1"/>
      <c r="X964" s="1"/>
      <c r="Y964" s="1"/>
      <c r="Z964" s="1"/>
      <c r="AA964" s="1"/>
      <c r="AB964" s="1"/>
    </row>
    <row r="965" spans="2:28" ht="11.25" customHeight="1" x14ac:dyDescent="0.25">
      <c r="B965" s="16"/>
      <c r="C965" s="1"/>
      <c r="D965" s="1"/>
      <c r="E965" s="1"/>
      <c r="F965" s="1"/>
      <c r="G965" s="22"/>
      <c r="H965" s="22"/>
      <c r="I965" s="1"/>
      <c r="J965" s="1"/>
      <c r="K965" s="1"/>
      <c r="L965" s="1"/>
      <c r="M965" s="262"/>
      <c r="N965" s="1"/>
      <c r="O965" s="1"/>
      <c r="P965" s="1"/>
      <c r="Q965" s="1"/>
      <c r="R965" s="1"/>
      <c r="S965" s="1"/>
      <c r="T965" s="1"/>
      <c r="U965" s="1"/>
      <c r="V965" s="1"/>
      <c r="W965" s="1"/>
      <c r="X965" s="1"/>
      <c r="Y965" s="1"/>
      <c r="Z965" s="1"/>
      <c r="AA965" s="1"/>
      <c r="AB965" s="1"/>
    </row>
    <row r="966" spans="2:28" ht="11.25" customHeight="1" x14ac:dyDescent="0.25">
      <c r="B966" s="16"/>
      <c r="C966" s="1"/>
      <c r="D966" s="1"/>
      <c r="E966" s="1"/>
      <c r="F966" s="1"/>
      <c r="G966" s="22"/>
      <c r="H966" s="22"/>
      <c r="I966" s="1"/>
      <c r="J966" s="1"/>
      <c r="K966" s="1"/>
      <c r="L966" s="1"/>
      <c r="M966" s="262"/>
      <c r="N966" s="1"/>
      <c r="O966" s="1"/>
      <c r="P966" s="1"/>
      <c r="Q966" s="1"/>
      <c r="R966" s="1"/>
      <c r="S966" s="1"/>
      <c r="T966" s="1"/>
      <c r="U966" s="1"/>
      <c r="V966" s="1"/>
      <c r="W966" s="1"/>
      <c r="X966" s="1"/>
      <c r="Y966" s="1"/>
      <c r="Z966" s="1"/>
      <c r="AA966" s="1"/>
      <c r="AB966" s="1"/>
    </row>
    <row r="967" spans="2:28" ht="11.25" customHeight="1" x14ac:dyDescent="0.25">
      <c r="B967" s="16"/>
      <c r="C967" s="1"/>
      <c r="D967" s="1"/>
      <c r="E967" s="1"/>
      <c r="F967" s="1"/>
      <c r="G967" s="22"/>
      <c r="H967" s="22"/>
      <c r="I967" s="1"/>
      <c r="J967" s="1"/>
      <c r="K967" s="1"/>
      <c r="L967" s="1"/>
      <c r="M967" s="262"/>
      <c r="N967" s="1"/>
      <c r="O967" s="1"/>
      <c r="P967" s="1"/>
      <c r="Q967" s="1"/>
      <c r="R967" s="1"/>
      <c r="S967" s="1"/>
      <c r="T967" s="1"/>
      <c r="U967" s="1"/>
      <c r="V967" s="1"/>
      <c r="W967" s="1"/>
      <c r="X967" s="1"/>
      <c r="Y967" s="1"/>
      <c r="Z967" s="1"/>
      <c r="AA967" s="1"/>
      <c r="AB967" s="1"/>
    </row>
    <row r="968" spans="2:28" ht="11.25" customHeight="1" x14ac:dyDescent="0.25">
      <c r="B968" s="16"/>
      <c r="C968" s="1"/>
      <c r="D968" s="1"/>
      <c r="E968" s="1"/>
      <c r="F968" s="1"/>
      <c r="G968" s="22"/>
      <c r="H968" s="22"/>
      <c r="I968" s="1"/>
      <c r="J968" s="1"/>
      <c r="K968" s="1"/>
      <c r="L968" s="1"/>
      <c r="M968" s="262"/>
      <c r="N968" s="1"/>
      <c r="O968" s="1"/>
      <c r="P968" s="1"/>
      <c r="Q968" s="1"/>
      <c r="R968" s="1"/>
      <c r="S968" s="1"/>
      <c r="T968" s="1"/>
      <c r="U968" s="1"/>
      <c r="V968" s="1"/>
      <c r="W968" s="1"/>
      <c r="X968" s="1"/>
      <c r="Y968" s="1"/>
      <c r="Z968" s="1"/>
      <c r="AA968" s="1"/>
      <c r="AB968" s="1"/>
    </row>
    <row r="969" spans="2:28" ht="11.25" customHeight="1" x14ac:dyDescent="0.25">
      <c r="B969" s="16"/>
      <c r="C969" s="1"/>
      <c r="D969" s="1"/>
      <c r="E969" s="1"/>
      <c r="F969" s="1"/>
      <c r="G969" s="22"/>
      <c r="H969" s="22"/>
      <c r="I969" s="1"/>
      <c r="J969" s="1"/>
      <c r="K969" s="1"/>
      <c r="L969" s="1"/>
      <c r="M969" s="262"/>
      <c r="N969" s="1"/>
      <c r="O969" s="1"/>
      <c r="P969" s="1"/>
      <c r="Q969" s="1"/>
      <c r="R969" s="1"/>
      <c r="S969" s="1"/>
      <c r="T969" s="1"/>
      <c r="U969" s="1"/>
      <c r="V969" s="1"/>
      <c r="W969" s="1"/>
      <c r="X969" s="1"/>
      <c r="Y969" s="1"/>
      <c r="Z969" s="1"/>
      <c r="AA969" s="1"/>
      <c r="AB969" s="1"/>
    </row>
    <row r="970" spans="2:28" ht="11.25" customHeight="1" x14ac:dyDescent="0.25">
      <c r="B970" s="16"/>
      <c r="C970" s="1"/>
      <c r="D970" s="1"/>
      <c r="E970" s="1"/>
      <c r="F970" s="1"/>
      <c r="G970" s="22"/>
      <c r="H970" s="22"/>
      <c r="I970" s="1"/>
      <c r="J970" s="1"/>
      <c r="K970" s="1"/>
      <c r="L970" s="1"/>
      <c r="M970" s="262"/>
      <c r="N970" s="1"/>
      <c r="O970" s="1"/>
      <c r="P970" s="1"/>
      <c r="Q970" s="1"/>
      <c r="R970" s="1"/>
      <c r="S970" s="1"/>
      <c r="T970" s="1"/>
      <c r="U970" s="1"/>
      <c r="V970" s="1"/>
      <c r="W970" s="1"/>
      <c r="X970" s="1"/>
      <c r="Y970" s="1"/>
      <c r="Z970" s="1"/>
      <c r="AA970" s="1"/>
      <c r="AB970" s="1"/>
    </row>
    <row r="971" spans="2:28" ht="11.25" customHeight="1" x14ac:dyDescent="0.25">
      <c r="B971" s="16"/>
      <c r="C971" s="1"/>
      <c r="D971" s="1"/>
      <c r="E971" s="1"/>
      <c r="F971" s="1"/>
      <c r="G971" s="22"/>
      <c r="H971" s="22"/>
      <c r="I971" s="1"/>
      <c r="J971" s="1"/>
      <c r="K971" s="1"/>
      <c r="L971" s="1"/>
      <c r="M971" s="262"/>
      <c r="N971" s="1"/>
      <c r="O971" s="1"/>
      <c r="P971" s="1"/>
      <c r="Q971" s="1"/>
      <c r="R971" s="1"/>
      <c r="S971" s="1"/>
      <c r="T971" s="1"/>
      <c r="U971" s="1"/>
      <c r="V971" s="1"/>
      <c r="W971" s="1"/>
      <c r="X971" s="1"/>
      <c r="Y971" s="1"/>
      <c r="Z971" s="1"/>
      <c r="AA971" s="1"/>
      <c r="AB971" s="1"/>
    </row>
    <row r="972" spans="2:28" ht="11.25" customHeight="1" x14ac:dyDescent="0.25">
      <c r="B972" s="16"/>
      <c r="C972" s="1"/>
      <c r="D972" s="1"/>
      <c r="E972" s="1"/>
      <c r="F972" s="1"/>
      <c r="G972" s="22"/>
      <c r="H972" s="22"/>
      <c r="I972" s="1"/>
      <c r="J972" s="1"/>
      <c r="K972" s="1"/>
      <c r="L972" s="1"/>
      <c r="M972" s="262"/>
      <c r="N972" s="1"/>
      <c r="O972" s="1"/>
      <c r="P972" s="1"/>
      <c r="Q972" s="1"/>
      <c r="R972" s="1"/>
      <c r="S972" s="1"/>
      <c r="T972" s="1"/>
      <c r="U972" s="1"/>
      <c r="V972" s="1"/>
      <c r="W972" s="1"/>
      <c r="X972" s="1"/>
      <c r="Y972" s="1"/>
      <c r="Z972" s="1"/>
      <c r="AA972" s="1"/>
      <c r="AB972" s="1"/>
    </row>
    <row r="973" spans="2:28" ht="11.25" customHeight="1" x14ac:dyDescent="0.25">
      <c r="B973" s="16"/>
      <c r="C973" s="1"/>
      <c r="D973" s="1"/>
      <c r="E973" s="1"/>
      <c r="F973" s="1"/>
      <c r="G973" s="22"/>
      <c r="H973" s="22"/>
      <c r="I973" s="1"/>
      <c r="J973" s="1"/>
      <c r="K973" s="1"/>
      <c r="L973" s="1"/>
      <c r="M973" s="262"/>
      <c r="N973" s="1"/>
      <c r="O973" s="1"/>
      <c r="P973" s="1"/>
      <c r="Q973" s="1"/>
      <c r="R973" s="1"/>
      <c r="S973" s="1"/>
      <c r="T973" s="1"/>
      <c r="U973" s="1"/>
      <c r="V973" s="1"/>
      <c r="W973" s="1"/>
      <c r="X973" s="1"/>
      <c r="Y973" s="1"/>
      <c r="Z973" s="1"/>
      <c r="AA973" s="1"/>
      <c r="AB973" s="1"/>
    </row>
    <row r="974" spans="2:28" ht="11.25" customHeight="1" x14ac:dyDescent="0.25">
      <c r="B974" s="16"/>
      <c r="C974" s="1"/>
      <c r="D974" s="1"/>
      <c r="E974" s="1"/>
      <c r="F974" s="1"/>
      <c r="G974" s="22"/>
      <c r="H974" s="22"/>
      <c r="I974" s="1"/>
      <c r="J974" s="1"/>
      <c r="K974" s="1"/>
      <c r="L974" s="1"/>
      <c r="M974" s="262"/>
      <c r="N974" s="1"/>
      <c r="O974" s="1"/>
      <c r="P974" s="1"/>
      <c r="Q974" s="1"/>
      <c r="R974" s="1"/>
      <c r="S974" s="1"/>
      <c r="T974" s="1"/>
      <c r="U974" s="1"/>
      <c r="V974" s="1"/>
      <c r="W974" s="1"/>
      <c r="X974" s="1"/>
      <c r="Y974" s="1"/>
      <c r="Z974" s="1"/>
      <c r="AA974" s="1"/>
      <c r="AB974" s="1"/>
    </row>
    <row r="975" spans="2:28" ht="11.25" customHeight="1" x14ac:dyDescent="0.25">
      <c r="B975" s="16"/>
      <c r="C975" s="1"/>
      <c r="D975" s="1"/>
      <c r="E975" s="1"/>
      <c r="F975" s="1"/>
      <c r="G975" s="22"/>
      <c r="H975" s="22"/>
      <c r="I975" s="1"/>
      <c r="J975" s="1"/>
      <c r="K975" s="1"/>
      <c r="L975" s="1"/>
      <c r="M975" s="262"/>
      <c r="N975" s="1"/>
      <c r="O975" s="1"/>
      <c r="P975" s="1"/>
      <c r="Q975" s="1"/>
      <c r="R975" s="1"/>
      <c r="S975" s="1"/>
      <c r="T975" s="1"/>
      <c r="U975" s="1"/>
      <c r="V975" s="1"/>
      <c r="W975" s="1"/>
      <c r="X975" s="1"/>
      <c r="Y975" s="1"/>
      <c r="Z975" s="1"/>
      <c r="AA975" s="1"/>
      <c r="AB975" s="1"/>
    </row>
    <row r="976" spans="2:28" ht="11.25" customHeight="1" x14ac:dyDescent="0.25">
      <c r="B976" s="16"/>
      <c r="C976" s="1"/>
      <c r="D976" s="1"/>
      <c r="E976" s="1"/>
      <c r="F976" s="1"/>
      <c r="G976" s="22"/>
      <c r="H976" s="22"/>
      <c r="I976" s="1"/>
      <c r="J976" s="1"/>
      <c r="K976" s="1"/>
      <c r="L976" s="1"/>
      <c r="M976" s="262"/>
      <c r="N976" s="1"/>
      <c r="O976" s="1"/>
      <c r="P976" s="1"/>
      <c r="Q976" s="1"/>
      <c r="R976" s="1"/>
      <c r="S976" s="1"/>
      <c r="T976" s="1"/>
      <c r="U976" s="1"/>
      <c r="V976" s="1"/>
      <c r="W976" s="1"/>
      <c r="X976" s="1"/>
      <c r="Y976" s="1"/>
      <c r="Z976" s="1"/>
      <c r="AA976" s="1"/>
      <c r="AB976" s="1"/>
    </row>
    <row r="977" spans="2:28" ht="11.25" customHeight="1" x14ac:dyDescent="0.25">
      <c r="B977" s="16"/>
      <c r="C977" s="1"/>
      <c r="D977" s="1"/>
      <c r="E977" s="1"/>
      <c r="F977" s="1"/>
      <c r="G977" s="22"/>
      <c r="H977" s="22"/>
      <c r="I977" s="1"/>
      <c r="J977" s="1"/>
      <c r="K977" s="1"/>
      <c r="L977" s="1"/>
      <c r="M977" s="262"/>
      <c r="N977" s="1"/>
      <c r="O977" s="1"/>
      <c r="P977" s="1"/>
      <c r="Q977" s="1"/>
      <c r="R977" s="1"/>
      <c r="S977" s="1"/>
      <c r="T977" s="1"/>
      <c r="U977" s="1"/>
      <c r="V977" s="1"/>
      <c r="W977" s="1"/>
      <c r="X977" s="1"/>
      <c r="Y977" s="1"/>
      <c r="Z977" s="1"/>
      <c r="AA977" s="1"/>
      <c r="AB977" s="1"/>
    </row>
    <row r="978" spans="2:28" ht="11.25" customHeight="1" x14ac:dyDescent="0.25">
      <c r="B978" s="16"/>
      <c r="C978" s="1"/>
      <c r="D978" s="1"/>
      <c r="E978" s="1"/>
      <c r="F978" s="1"/>
      <c r="G978" s="22"/>
      <c r="H978" s="22"/>
      <c r="I978" s="1"/>
      <c r="J978" s="1"/>
      <c r="K978" s="1"/>
      <c r="L978" s="1"/>
      <c r="M978" s="262"/>
      <c r="N978" s="1"/>
      <c r="O978" s="1"/>
      <c r="P978" s="1"/>
      <c r="Q978" s="1"/>
      <c r="R978" s="1"/>
      <c r="S978" s="1"/>
      <c r="T978" s="1"/>
      <c r="U978" s="1"/>
      <c r="V978" s="1"/>
      <c r="W978" s="1"/>
      <c r="X978" s="1"/>
      <c r="Y978" s="1"/>
      <c r="Z978" s="1"/>
      <c r="AA978" s="1"/>
      <c r="AB978" s="1"/>
    </row>
    <row r="979" spans="2:28" ht="11.25" customHeight="1" x14ac:dyDescent="0.25">
      <c r="B979" s="16"/>
      <c r="C979" s="1"/>
      <c r="D979" s="1"/>
      <c r="E979" s="1"/>
      <c r="F979" s="1"/>
      <c r="G979" s="22"/>
      <c r="H979" s="22"/>
      <c r="I979" s="1"/>
      <c r="J979" s="1"/>
      <c r="K979" s="1"/>
      <c r="L979" s="1"/>
      <c r="M979" s="262"/>
      <c r="N979" s="1"/>
      <c r="O979" s="1"/>
      <c r="P979" s="1"/>
      <c r="Q979" s="1"/>
      <c r="R979" s="1"/>
      <c r="S979" s="1"/>
      <c r="T979" s="1"/>
      <c r="U979" s="1"/>
      <c r="V979" s="1"/>
      <c r="W979" s="1"/>
      <c r="X979" s="1"/>
      <c r="Y979" s="1"/>
      <c r="Z979" s="1"/>
      <c r="AA979" s="1"/>
      <c r="AB979" s="1"/>
    </row>
    <row r="980" spans="2:28" ht="11.25" customHeight="1" x14ac:dyDescent="0.25">
      <c r="B980" s="16"/>
      <c r="C980" s="1"/>
      <c r="D980" s="1"/>
      <c r="E980" s="1"/>
      <c r="F980" s="1"/>
      <c r="G980" s="22"/>
      <c r="H980" s="22"/>
      <c r="I980" s="1"/>
      <c r="J980" s="1"/>
      <c r="K980" s="1"/>
      <c r="L980" s="1"/>
      <c r="M980" s="262"/>
      <c r="N980" s="1"/>
      <c r="O980" s="1"/>
      <c r="P980" s="1"/>
      <c r="Q980" s="1"/>
      <c r="R980" s="1"/>
      <c r="S980" s="1"/>
      <c r="T980" s="1"/>
      <c r="U980" s="1"/>
      <c r="V980" s="1"/>
      <c r="W980" s="1"/>
      <c r="X980" s="1"/>
      <c r="Y980" s="1"/>
      <c r="Z980" s="1"/>
      <c r="AA980" s="1"/>
      <c r="AB980" s="1"/>
    </row>
    <row r="981" spans="2:28" ht="11.25" customHeight="1" x14ac:dyDescent="0.25">
      <c r="B981" s="16"/>
      <c r="C981" s="1"/>
      <c r="D981" s="1"/>
      <c r="E981" s="1"/>
      <c r="F981" s="1"/>
      <c r="G981" s="22"/>
      <c r="H981" s="22"/>
      <c r="I981" s="1"/>
      <c r="J981" s="1"/>
      <c r="K981" s="1"/>
      <c r="L981" s="1"/>
      <c r="M981" s="262"/>
      <c r="N981" s="1"/>
      <c r="O981" s="1"/>
      <c r="P981" s="1"/>
      <c r="Q981" s="1"/>
      <c r="R981" s="1"/>
      <c r="S981" s="1"/>
      <c r="T981" s="1"/>
      <c r="U981" s="1"/>
      <c r="V981" s="1"/>
      <c r="W981" s="1"/>
      <c r="X981" s="1"/>
      <c r="Y981" s="1"/>
      <c r="Z981" s="1"/>
      <c r="AA981" s="1"/>
      <c r="AB981" s="1"/>
    </row>
    <row r="982" spans="2:28" ht="11.25" customHeight="1" x14ac:dyDescent="0.25">
      <c r="B982" s="16"/>
      <c r="C982" s="1"/>
      <c r="D982" s="1"/>
      <c r="E982" s="1"/>
      <c r="F982" s="1"/>
      <c r="G982" s="22"/>
      <c r="H982" s="22"/>
      <c r="I982" s="1"/>
      <c r="J982" s="1"/>
      <c r="K982" s="1"/>
      <c r="L982" s="1"/>
      <c r="M982" s="262"/>
      <c r="N982" s="1"/>
      <c r="O982" s="1"/>
      <c r="P982" s="1"/>
      <c r="Q982" s="1"/>
      <c r="R982" s="1"/>
      <c r="S982" s="1"/>
      <c r="T982" s="1"/>
      <c r="U982" s="1"/>
      <c r="V982" s="1"/>
      <c r="W982" s="1"/>
      <c r="X982" s="1"/>
      <c r="Y982" s="1"/>
      <c r="Z982" s="1"/>
      <c r="AA982" s="1"/>
      <c r="AB982" s="1"/>
    </row>
    <row r="983" spans="2:28" ht="11.25" customHeight="1" x14ac:dyDescent="0.25">
      <c r="B983" s="16"/>
      <c r="C983" s="1"/>
      <c r="D983" s="1"/>
      <c r="E983" s="1"/>
      <c r="F983" s="1"/>
      <c r="G983" s="22"/>
      <c r="H983" s="22"/>
      <c r="I983" s="1"/>
      <c r="J983" s="1"/>
      <c r="K983" s="1"/>
      <c r="L983" s="1"/>
      <c r="M983" s="262"/>
      <c r="N983" s="1"/>
      <c r="O983" s="1"/>
      <c r="P983" s="1"/>
      <c r="Q983" s="1"/>
      <c r="R983" s="1"/>
      <c r="S983" s="1"/>
      <c r="T983" s="1"/>
      <c r="U983" s="1"/>
      <c r="V983" s="1"/>
      <c r="W983" s="1"/>
      <c r="X983" s="1"/>
      <c r="Y983" s="1"/>
      <c r="Z983" s="1"/>
      <c r="AA983" s="1"/>
      <c r="AB983" s="1"/>
    </row>
    <row r="984" spans="2:28" ht="11.25" customHeight="1" x14ac:dyDescent="0.25">
      <c r="B984" s="16"/>
      <c r="C984" s="1"/>
      <c r="D984" s="1"/>
      <c r="E984" s="1"/>
      <c r="F984" s="1"/>
      <c r="G984" s="22"/>
      <c r="H984" s="22"/>
      <c r="I984" s="1"/>
      <c r="J984" s="1"/>
      <c r="K984" s="1"/>
      <c r="L984" s="1"/>
      <c r="M984" s="262"/>
      <c r="N984" s="1"/>
      <c r="O984" s="1"/>
      <c r="P984" s="1"/>
      <c r="Q984" s="1"/>
      <c r="R984" s="1"/>
      <c r="S984" s="1"/>
      <c r="T984" s="1"/>
      <c r="U984" s="1"/>
      <c r="V984" s="1"/>
      <c r="W984" s="1"/>
      <c r="X984" s="1"/>
      <c r="Y984" s="1"/>
      <c r="Z984" s="1"/>
      <c r="AA984" s="1"/>
      <c r="AB984" s="1"/>
    </row>
    <row r="985" spans="2:28" ht="11.25" customHeight="1" x14ac:dyDescent="0.25">
      <c r="B985" s="16"/>
      <c r="C985" s="1"/>
      <c r="D985" s="1"/>
      <c r="E985" s="1"/>
      <c r="F985" s="1"/>
      <c r="G985" s="22"/>
      <c r="H985" s="22"/>
      <c r="I985" s="1"/>
      <c r="J985" s="1"/>
      <c r="K985" s="1"/>
      <c r="L985" s="1"/>
      <c r="M985" s="262"/>
      <c r="N985" s="1"/>
      <c r="O985" s="1"/>
      <c r="P985" s="1"/>
      <c r="Q985" s="1"/>
      <c r="R985" s="1"/>
      <c r="S985" s="1"/>
      <c r="T985" s="1"/>
      <c r="U985" s="1"/>
      <c r="V985" s="1"/>
      <c r="W985" s="1"/>
      <c r="X985" s="1"/>
      <c r="Y985" s="1"/>
      <c r="Z985" s="1"/>
      <c r="AA985" s="1"/>
      <c r="AB985" s="1"/>
    </row>
    <row r="986" spans="2:28" ht="11.25" customHeight="1" x14ac:dyDescent="0.25">
      <c r="B986" s="16"/>
      <c r="C986" s="1"/>
      <c r="D986" s="1"/>
      <c r="E986" s="1"/>
      <c r="F986" s="1"/>
      <c r="G986" s="22"/>
      <c r="H986" s="22"/>
      <c r="I986" s="1"/>
      <c r="J986" s="1"/>
      <c r="K986" s="1"/>
      <c r="L986" s="1"/>
      <c r="M986" s="262"/>
      <c r="N986" s="1"/>
      <c r="O986" s="1"/>
      <c r="P986" s="1"/>
      <c r="Q986" s="1"/>
      <c r="R986" s="1"/>
      <c r="S986" s="1"/>
      <c r="T986" s="1"/>
      <c r="U986" s="1"/>
      <c r="V986" s="1"/>
      <c r="W986" s="1"/>
      <c r="X986" s="1"/>
      <c r="Y986" s="1"/>
      <c r="Z986" s="1"/>
      <c r="AA986" s="1"/>
      <c r="AB986" s="1"/>
    </row>
    <row r="987" spans="2:28" ht="11.25" customHeight="1" x14ac:dyDescent="0.25">
      <c r="B987" s="16"/>
      <c r="C987" s="1"/>
      <c r="D987" s="1"/>
      <c r="E987" s="1"/>
      <c r="F987" s="1"/>
      <c r="G987" s="22"/>
      <c r="H987" s="22"/>
      <c r="I987" s="1"/>
      <c r="J987" s="1"/>
      <c r="K987" s="1"/>
      <c r="L987" s="1"/>
      <c r="M987" s="262"/>
      <c r="N987" s="1"/>
      <c r="O987" s="1"/>
      <c r="P987" s="1"/>
      <c r="Q987" s="1"/>
      <c r="R987" s="1"/>
      <c r="S987" s="1"/>
      <c r="T987" s="1"/>
      <c r="U987" s="1"/>
      <c r="V987" s="1"/>
      <c r="W987" s="1"/>
      <c r="X987" s="1"/>
      <c r="Y987" s="1"/>
      <c r="Z987" s="1"/>
      <c r="AA987" s="1"/>
      <c r="AB987" s="1"/>
    </row>
    <row r="988" spans="2:28" ht="11.25" customHeight="1" x14ac:dyDescent="0.25">
      <c r="B988" s="16"/>
      <c r="C988" s="1"/>
      <c r="D988" s="1"/>
      <c r="E988" s="1"/>
      <c r="F988" s="1"/>
      <c r="G988" s="22"/>
      <c r="H988" s="22"/>
      <c r="I988" s="1"/>
      <c r="J988" s="1"/>
      <c r="K988" s="1"/>
      <c r="L988" s="1"/>
      <c r="M988" s="262"/>
      <c r="N988" s="1"/>
      <c r="O988" s="1"/>
      <c r="P988" s="1"/>
      <c r="Q988" s="1"/>
      <c r="R988" s="1"/>
      <c r="S988" s="1"/>
      <c r="T988" s="1"/>
      <c r="U988" s="1"/>
      <c r="V988" s="1"/>
      <c r="W988" s="1"/>
      <c r="X988" s="1"/>
      <c r="Y988" s="1"/>
      <c r="Z988" s="1"/>
      <c r="AA988" s="1"/>
      <c r="AB988" s="1"/>
    </row>
    <row r="989" spans="2:28" ht="11.25" customHeight="1" x14ac:dyDescent="0.25">
      <c r="B989" s="16"/>
      <c r="C989" s="1"/>
      <c r="D989" s="1"/>
      <c r="E989" s="1"/>
      <c r="F989" s="1"/>
      <c r="G989" s="22"/>
      <c r="H989" s="22"/>
      <c r="I989" s="1"/>
      <c r="J989" s="1"/>
      <c r="K989" s="1"/>
      <c r="L989" s="1"/>
      <c r="M989" s="262"/>
      <c r="N989" s="1"/>
      <c r="O989" s="1"/>
      <c r="P989" s="1"/>
      <c r="Q989" s="1"/>
      <c r="R989" s="1"/>
      <c r="S989" s="1"/>
      <c r="T989" s="1"/>
      <c r="U989" s="1"/>
      <c r="V989" s="1"/>
      <c r="W989" s="1"/>
      <c r="X989" s="1"/>
      <c r="Y989" s="1"/>
      <c r="Z989" s="1"/>
      <c r="AA989" s="1"/>
      <c r="AB989" s="1"/>
    </row>
    <row r="990" spans="2:28" ht="11.25" customHeight="1" x14ac:dyDescent="0.25">
      <c r="B990" s="16"/>
      <c r="C990" s="1"/>
      <c r="D990" s="1"/>
      <c r="E990" s="1"/>
      <c r="F990" s="1"/>
      <c r="G990" s="22"/>
      <c r="H990" s="22"/>
      <c r="I990" s="1"/>
      <c r="J990" s="1"/>
      <c r="K990" s="1"/>
      <c r="L990" s="1"/>
      <c r="M990" s="262"/>
      <c r="N990" s="1"/>
      <c r="O990" s="1"/>
      <c r="P990" s="1"/>
      <c r="Q990" s="1"/>
      <c r="R990" s="1"/>
      <c r="S990" s="1"/>
      <c r="T990" s="1"/>
      <c r="U990" s="1"/>
      <c r="V990" s="1"/>
      <c r="W990" s="1"/>
      <c r="X990" s="1"/>
      <c r="Y990" s="1"/>
      <c r="Z990" s="1"/>
      <c r="AA990" s="1"/>
      <c r="AB990" s="1"/>
    </row>
    <row r="991" spans="2:28" ht="11.25" customHeight="1" x14ac:dyDescent="0.25">
      <c r="B991" s="16"/>
      <c r="C991" s="1"/>
      <c r="D991" s="1"/>
      <c r="E991" s="1"/>
      <c r="F991" s="1"/>
      <c r="G991" s="22"/>
      <c r="H991" s="22"/>
      <c r="I991" s="1"/>
      <c r="J991" s="1"/>
      <c r="K991" s="1"/>
      <c r="L991" s="1"/>
      <c r="M991" s="262"/>
      <c r="N991" s="1"/>
      <c r="O991" s="1"/>
      <c r="P991" s="1"/>
      <c r="Q991" s="1"/>
      <c r="R991" s="1"/>
      <c r="S991" s="1"/>
      <c r="T991" s="1"/>
      <c r="U991" s="1"/>
      <c r="V991" s="1"/>
      <c r="W991" s="1"/>
      <c r="X991" s="1"/>
      <c r="Y991" s="1"/>
      <c r="Z991" s="1"/>
      <c r="AA991" s="1"/>
      <c r="AB991" s="1"/>
    </row>
    <row r="992" spans="2:28" ht="11.25" customHeight="1" x14ac:dyDescent="0.25">
      <c r="B992" s="16"/>
      <c r="C992" s="1"/>
      <c r="D992" s="1"/>
      <c r="E992" s="1"/>
      <c r="F992" s="1"/>
      <c r="G992" s="22"/>
      <c r="H992" s="22"/>
      <c r="I992" s="1"/>
      <c r="J992" s="1"/>
      <c r="K992" s="1"/>
      <c r="L992" s="1"/>
      <c r="M992" s="262"/>
      <c r="N992" s="1"/>
      <c r="O992" s="1"/>
      <c r="P992" s="1"/>
      <c r="Q992" s="1"/>
      <c r="R992" s="1"/>
      <c r="S992" s="1"/>
      <c r="T992" s="1"/>
      <c r="U992" s="1"/>
      <c r="V992" s="1"/>
      <c r="W992" s="1"/>
      <c r="X992" s="1"/>
      <c r="Y992" s="1"/>
      <c r="Z992" s="1"/>
      <c r="AA992" s="1"/>
      <c r="AB992" s="1"/>
    </row>
    <row r="993" spans="2:28" ht="11.25" customHeight="1" x14ac:dyDescent="0.25">
      <c r="B993" s="16"/>
      <c r="C993" s="1"/>
      <c r="D993" s="1"/>
      <c r="E993" s="1"/>
      <c r="F993" s="1"/>
      <c r="G993" s="22"/>
      <c r="H993" s="22"/>
      <c r="I993" s="1"/>
      <c r="J993" s="1"/>
      <c r="K993" s="1"/>
      <c r="L993" s="1"/>
      <c r="M993" s="262"/>
      <c r="N993" s="1"/>
      <c r="O993" s="1"/>
      <c r="P993" s="1"/>
      <c r="Q993" s="1"/>
      <c r="R993" s="1"/>
      <c r="S993" s="1"/>
      <c r="T993" s="1"/>
      <c r="U993" s="1"/>
      <c r="V993" s="1"/>
      <c r="W993" s="1"/>
      <c r="X993" s="1"/>
      <c r="Y993" s="1"/>
      <c r="Z993" s="1"/>
      <c r="AA993" s="1"/>
      <c r="AB993" s="1"/>
    </row>
    <row r="994" spans="2:28" ht="11.25" customHeight="1" x14ac:dyDescent="0.25">
      <c r="B994" s="16"/>
      <c r="C994" s="1"/>
      <c r="D994" s="1"/>
      <c r="E994" s="1"/>
      <c r="F994" s="1"/>
      <c r="G994" s="22"/>
      <c r="H994" s="22"/>
      <c r="I994" s="1"/>
      <c r="J994" s="1"/>
      <c r="K994" s="1"/>
      <c r="L994" s="1"/>
      <c r="M994" s="262"/>
      <c r="N994" s="1"/>
      <c r="O994" s="1"/>
      <c r="P994" s="1"/>
      <c r="Q994" s="1"/>
      <c r="R994" s="1"/>
      <c r="S994" s="1"/>
      <c r="T994" s="1"/>
      <c r="U994" s="1"/>
      <c r="V994" s="1"/>
      <c r="W994" s="1"/>
      <c r="X994" s="1"/>
      <c r="Y994" s="1"/>
      <c r="Z994" s="1"/>
      <c r="AA994" s="1"/>
      <c r="AB994" s="1"/>
    </row>
    <row r="995" spans="2:28" ht="11.25" customHeight="1" x14ac:dyDescent="0.25">
      <c r="B995" s="16"/>
      <c r="C995" s="1"/>
      <c r="D995" s="1"/>
      <c r="E995" s="1"/>
      <c r="F995" s="1"/>
      <c r="G995" s="22"/>
      <c r="H995" s="22"/>
      <c r="I995" s="1"/>
      <c r="J995" s="1"/>
      <c r="K995" s="1"/>
      <c r="L995" s="1"/>
      <c r="M995" s="262"/>
      <c r="N995" s="1"/>
      <c r="O995" s="1"/>
      <c r="P995" s="1"/>
      <c r="Q995" s="1"/>
      <c r="R995" s="1"/>
      <c r="S995" s="1"/>
      <c r="T995" s="1"/>
      <c r="U995" s="1"/>
      <c r="V995" s="1"/>
      <c r="W995" s="1"/>
      <c r="X995" s="1"/>
      <c r="Y995" s="1"/>
      <c r="Z995" s="1"/>
      <c r="AA995" s="1"/>
      <c r="AB995" s="1"/>
    </row>
    <row r="996" spans="2:28" ht="11.25" customHeight="1" x14ac:dyDescent="0.25">
      <c r="B996" s="16"/>
      <c r="C996" s="1"/>
      <c r="D996" s="1"/>
      <c r="E996" s="1"/>
      <c r="F996" s="1"/>
      <c r="G996" s="22"/>
      <c r="H996" s="22"/>
      <c r="I996" s="1"/>
      <c r="J996" s="1"/>
      <c r="K996" s="1"/>
      <c r="L996" s="1"/>
      <c r="M996" s="262"/>
      <c r="N996" s="1"/>
      <c r="O996" s="1"/>
      <c r="P996" s="1"/>
      <c r="Q996" s="1"/>
      <c r="R996" s="1"/>
      <c r="S996" s="1"/>
      <c r="T996" s="1"/>
      <c r="U996" s="1"/>
      <c r="V996" s="1"/>
      <c r="W996" s="1"/>
      <c r="X996" s="1"/>
      <c r="Y996" s="1"/>
      <c r="Z996" s="1"/>
      <c r="AA996" s="1"/>
      <c r="AB996" s="1"/>
    </row>
    <row r="997" spans="2:28" ht="11.25" customHeight="1" x14ac:dyDescent="0.25">
      <c r="B997" s="16"/>
      <c r="C997" s="1"/>
      <c r="D997" s="1"/>
      <c r="E997" s="1"/>
      <c r="F997" s="1"/>
      <c r="G997" s="22"/>
      <c r="H997" s="22"/>
      <c r="I997" s="1"/>
      <c r="J997" s="1"/>
      <c r="K997" s="1"/>
      <c r="L997" s="1"/>
      <c r="M997" s="262"/>
      <c r="N997" s="1"/>
      <c r="O997" s="1"/>
      <c r="P997" s="1"/>
      <c r="Q997" s="1"/>
      <c r="R997" s="1"/>
      <c r="S997" s="1"/>
      <c r="T997" s="1"/>
      <c r="U997" s="1"/>
      <c r="V997" s="1"/>
      <c r="W997" s="1"/>
      <c r="X997" s="1"/>
      <c r="Y997" s="1"/>
      <c r="Z997" s="1"/>
      <c r="AA997" s="1"/>
      <c r="AB997" s="1"/>
    </row>
    <row r="998" spans="2:28" ht="11.25" customHeight="1" x14ac:dyDescent="0.25">
      <c r="B998" s="16"/>
      <c r="C998" s="1"/>
      <c r="D998" s="1"/>
      <c r="E998" s="1"/>
      <c r="F998" s="1"/>
      <c r="G998" s="22"/>
      <c r="H998" s="22"/>
      <c r="I998" s="1"/>
      <c r="J998" s="1"/>
      <c r="K998" s="1"/>
      <c r="L998" s="1"/>
      <c r="M998" s="262"/>
      <c r="N998" s="1"/>
      <c r="O998" s="1"/>
      <c r="P998" s="1"/>
      <c r="Q998" s="1"/>
      <c r="R998" s="1"/>
      <c r="S998" s="1"/>
      <c r="T998" s="1"/>
      <c r="U998" s="1"/>
      <c r="V998" s="1"/>
      <c r="W998" s="1"/>
      <c r="X998" s="1"/>
      <c r="Y998" s="1"/>
      <c r="Z998" s="1"/>
      <c r="AA998" s="1"/>
      <c r="AB998" s="1"/>
    </row>
    <row r="999" spans="2:28" ht="11.25" customHeight="1" x14ac:dyDescent="0.25">
      <c r="B999" s="16"/>
      <c r="C999" s="1"/>
      <c r="D999" s="1"/>
      <c r="E999" s="1"/>
      <c r="F999" s="1"/>
      <c r="G999" s="22"/>
      <c r="H999" s="22"/>
      <c r="I999" s="1"/>
      <c r="J999" s="1"/>
      <c r="K999" s="1"/>
      <c r="L999" s="1"/>
      <c r="M999" s="262"/>
      <c r="N999" s="1"/>
      <c r="O999" s="1"/>
      <c r="P999" s="1"/>
      <c r="Q999" s="1"/>
      <c r="R999" s="1"/>
      <c r="S999" s="1"/>
      <c r="T999" s="1"/>
      <c r="U999" s="1"/>
      <c r="V999" s="1"/>
      <c r="W999" s="1"/>
      <c r="X999" s="1"/>
      <c r="Y999" s="1"/>
      <c r="Z999" s="1"/>
      <c r="AA999" s="1"/>
      <c r="AB999" s="1"/>
    </row>
    <row r="1000" spans="2:28" ht="11.25" customHeight="1" x14ac:dyDescent="0.25">
      <c r="B1000" s="16"/>
      <c r="C1000" s="1"/>
      <c r="D1000" s="1"/>
      <c r="E1000" s="1"/>
      <c r="F1000" s="1"/>
      <c r="G1000" s="22"/>
      <c r="H1000" s="22"/>
      <c r="I1000" s="1"/>
      <c r="J1000" s="1"/>
      <c r="K1000" s="1"/>
      <c r="L1000" s="1"/>
      <c r="M1000" s="262"/>
      <c r="N1000" s="1"/>
      <c r="O1000" s="1"/>
      <c r="P1000" s="1"/>
      <c r="Q1000" s="1"/>
      <c r="R1000" s="1"/>
      <c r="S1000" s="1"/>
      <c r="T1000" s="1"/>
      <c r="U1000" s="1"/>
      <c r="V1000" s="1"/>
      <c r="W1000" s="1"/>
      <c r="X1000" s="1"/>
      <c r="Y1000" s="1"/>
      <c r="Z1000" s="1"/>
      <c r="AA1000" s="1"/>
      <c r="AB1000" s="1"/>
    </row>
    <row r="1001" spans="2:28" ht="11.25" customHeight="1" x14ac:dyDescent="0.25">
      <c r="B1001" s="16"/>
      <c r="C1001" s="1"/>
      <c r="D1001" s="1"/>
      <c r="E1001" s="1"/>
      <c r="F1001" s="1"/>
      <c r="G1001" s="22"/>
      <c r="H1001" s="22"/>
      <c r="I1001" s="1"/>
      <c r="J1001" s="1"/>
      <c r="K1001" s="1"/>
      <c r="L1001" s="1"/>
      <c r="M1001" s="262"/>
      <c r="N1001" s="1"/>
      <c r="O1001" s="1"/>
      <c r="P1001" s="1"/>
      <c r="Q1001" s="1"/>
      <c r="R1001" s="1"/>
      <c r="S1001" s="1"/>
      <c r="T1001" s="1"/>
      <c r="U1001" s="1"/>
      <c r="V1001" s="1"/>
      <c r="W1001" s="1"/>
      <c r="X1001" s="1"/>
      <c r="Y1001" s="1"/>
      <c r="Z1001" s="1"/>
      <c r="AA1001" s="1"/>
      <c r="AB1001" s="1"/>
    </row>
    <row r="1002" spans="2:28" ht="11.25" customHeight="1" x14ac:dyDescent="0.25">
      <c r="B1002" s="16"/>
      <c r="C1002" s="1"/>
      <c r="D1002" s="1"/>
      <c r="E1002" s="1"/>
      <c r="F1002" s="1"/>
      <c r="G1002" s="22"/>
      <c r="H1002" s="22"/>
      <c r="I1002" s="1"/>
      <c r="J1002" s="1"/>
      <c r="K1002" s="1"/>
      <c r="L1002" s="1"/>
      <c r="M1002" s="262"/>
      <c r="N1002" s="1"/>
      <c r="O1002" s="1"/>
      <c r="P1002" s="1"/>
      <c r="Q1002" s="1"/>
      <c r="R1002" s="1"/>
      <c r="S1002" s="1"/>
      <c r="T1002" s="1"/>
      <c r="U1002" s="1"/>
      <c r="V1002" s="1"/>
      <c r="W1002" s="1"/>
      <c r="X1002" s="1"/>
      <c r="Y1002" s="1"/>
      <c r="Z1002" s="1"/>
      <c r="AA1002" s="1"/>
      <c r="AB1002" s="1"/>
    </row>
    <row r="1003" spans="2:28" ht="11.25" customHeight="1" x14ac:dyDescent="0.25">
      <c r="B1003" s="16"/>
      <c r="C1003" s="1"/>
      <c r="D1003" s="1"/>
      <c r="E1003" s="1"/>
      <c r="F1003" s="1"/>
      <c r="G1003" s="22"/>
      <c r="H1003" s="22"/>
      <c r="I1003" s="1"/>
      <c r="J1003" s="1"/>
      <c r="K1003" s="1"/>
      <c r="L1003" s="1"/>
      <c r="M1003" s="262"/>
      <c r="N1003" s="1"/>
      <c r="O1003" s="1"/>
      <c r="P1003" s="1"/>
      <c r="Q1003" s="1"/>
      <c r="R1003" s="1"/>
      <c r="S1003" s="1"/>
      <c r="T1003" s="1"/>
      <c r="U1003" s="1"/>
      <c r="V1003" s="1"/>
      <c r="W1003" s="1"/>
      <c r="X1003" s="1"/>
      <c r="Y1003" s="1"/>
      <c r="Z1003" s="1"/>
      <c r="AA1003" s="1"/>
      <c r="AB1003" s="1"/>
    </row>
    <row r="1004" spans="2:28" ht="11.25" customHeight="1" x14ac:dyDescent="0.25">
      <c r="B1004" s="16"/>
      <c r="C1004" s="1"/>
      <c r="D1004" s="1"/>
      <c r="E1004" s="1"/>
      <c r="F1004" s="1"/>
      <c r="G1004" s="22"/>
      <c r="H1004" s="22"/>
      <c r="I1004" s="1"/>
      <c r="J1004" s="1"/>
      <c r="K1004" s="1"/>
      <c r="L1004" s="1"/>
      <c r="M1004" s="262"/>
      <c r="N1004" s="1"/>
      <c r="O1004" s="1"/>
      <c r="P1004" s="1"/>
      <c r="Q1004" s="1"/>
      <c r="R1004" s="1"/>
      <c r="S1004" s="1"/>
      <c r="T1004" s="1"/>
      <c r="U1004" s="1"/>
      <c r="V1004" s="1"/>
      <c r="W1004" s="1"/>
      <c r="X1004" s="1"/>
      <c r="Y1004" s="1"/>
      <c r="Z1004" s="1"/>
      <c r="AA1004" s="1"/>
      <c r="AB1004" s="1"/>
    </row>
    <row r="1005" spans="2:28" ht="11.25" customHeight="1" x14ac:dyDescent="0.25">
      <c r="B1005" s="16"/>
      <c r="C1005" s="1"/>
      <c r="D1005" s="1"/>
      <c r="E1005" s="1"/>
      <c r="F1005" s="1"/>
      <c r="G1005" s="22"/>
      <c r="H1005" s="22"/>
      <c r="I1005" s="1"/>
      <c r="J1005" s="1"/>
      <c r="K1005" s="1"/>
      <c r="L1005" s="1"/>
      <c r="M1005" s="262"/>
      <c r="N1005" s="1"/>
      <c r="O1005" s="1"/>
      <c r="P1005" s="1"/>
      <c r="Q1005" s="1"/>
      <c r="R1005" s="1"/>
      <c r="S1005" s="1"/>
      <c r="T1005" s="1"/>
      <c r="U1005" s="1"/>
      <c r="V1005" s="1"/>
      <c r="W1005" s="1"/>
      <c r="X1005" s="1"/>
      <c r="Y1005" s="1"/>
      <c r="Z1005" s="1"/>
      <c r="AA1005" s="1"/>
      <c r="AB1005" s="1"/>
    </row>
    <row r="1006" spans="2:28" ht="11.25" customHeight="1" x14ac:dyDescent="0.25">
      <c r="B1006" s="16"/>
      <c r="C1006" s="1"/>
      <c r="D1006" s="1"/>
      <c r="E1006" s="1"/>
      <c r="F1006" s="1"/>
      <c r="G1006" s="22"/>
      <c r="H1006" s="22"/>
      <c r="I1006" s="1"/>
      <c r="J1006" s="1"/>
      <c r="K1006" s="1"/>
      <c r="L1006" s="1"/>
      <c r="M1006" s="262"/>
      <c r="N1006" s="1"/>
      <c r="O1006" s="1"/>
      <c r="P1006" s="1"/>
      <c r="Q1006" s="1"/>
      <c r="R1006" s="1"/>
      <c r="S1006" s="1"/>
      <c r="T1006" s="1"/>
      <c r="U1006" s="1"/>
      <c r="V1006" s="1"/>
      <c r="W1006" s="1"/>
      <c r="X1006" s="1"/>
      <c r="Y1006" s="1"/>
      <c r="Z1006" s="1"/>
      <c r="AA1006" s="1"/>
      <c r="AB1006" s="1"/>
    </row>
    <row r="1007" spans="2:28" ht="11.25" customHeight="1" x14ac:dyDescent="0.25">
      <c r="B1007" s="16"/>
      <c r="C1007" s="1"/>
      <c r="D1007" s="1"/>
      <c r="E1007" s="1"/>
      <c r="F1007" s="1"/>
      <c r="G1007" s="22"/>
      <c r="H1007" s="22"/>
      <c r="I1007" s="1"/>
      <c r="J1007" s="1"/>
      <c r="K1007" s="1"/>
      <c r="L1007" s="1"/>
      <c r="M1007" s="262"/>
      <c r="N1007" s="1"/>
      <c r="O1007" s="1"/>
      <c r="P1007" s="1"/>
      <c r="Q1007" s="1"/>
      <c r="R1007" s="1"/>
      <c r="S1007" s="1"/>
      <c r="T1007" s="1"/>
      <c r="U1007" s="1"/>
      <c r="V1007" s="1"/>
      <c r="W1007" s="1"/>
      <c r="X1007" s="1"/>
      <c r="Y1007" s="1"/>
      <c r="Z1007" s="1"/>
      <c r="AA1007" s="1"/>
      <c r="AB1007" s="1"/>
    </row>
    <row r="1008" spans="2:28" ht="11.25" customHeight="1" x14ac:dyDescent="0.25">
      <c r="B1008" s="16"/>
      <c r="C1008" s="1"/>
      <c r="D1008" s="1"/>
      <c r="E1008" s="1"/>
      <c r="F1008" s="1"/>
      <c r="G1008" s="22"/>
      <c r="H1008" s="22"/>
      <c r="I1008" s="1"/>
      <c r="J1008" s="1"/>
      <c r="K1008" s="1"/>
      <c r="L1008" s="1"/>
      <c r="M1008" s="262"/>
      <c r="N1008" s="1"/>
      <c r="O1008" s="1"/>
      <c r="P1008" s="1"/>
      <c r="Q1008" s="1"/>
      <c r="R1008" s="1"/>
      <c r="S1008" s="1"/>
      <c r="T1008" s="1"/>
      <c r="U1008" s="1"/>
      <c r="V1008" s="1"/>
      <c r="W1008" s="1"/>
      <c r="X1008" s="1"/>
      <c r="Y1008" s="1"/>
      <c r="Z1008" s="1"/>
      <c r="AA1008" s="1"/>
      <c r="AB1008" s="1"/>
    </row>
    <row r="1009" spans="2:28" ht="11.25" customHeight="1" x14ac:dyDescent="0.25">
      <c r="B1009" s="16"/>
      <c r="C1009" s="1"/>
      <c r="D1009" s="1"/>
      <c r="E1009" s="1"/>
      <c r="F1009" s="1"/>
      <c r="G1009" s="22"/>
      <c r="H1009" s="22"/>
      <c r="I1009" s="1"/>
      <c r="J1009" s="1"/>
      <c r="K1009" s="1"/>
      <c r="L1009" s="1"/>
      <c r="M1009" s="262"/>
      <c r="N1009" s="1"/>
      <c r="O1009" s="1"/>
      <c r="P1009" s="1"/>
      <c r="Q1009" s="1"/>
      <c r="R1009" s="1"/>
      <c r="S1009" s="1"/>
      <c r="T1009" s="1"/>
      <c r="U1009" s="1"/>
      <c r="V1009" s="1"/>
      <c r="W1009" s="1"/>
      <c r="X1009" s="1"/>
      <c r="Y1009" s="1"/>
      <c r="Z1009" s="1"/>
      <c r="AA1009" s="1"/>
      <c r="AB1009" s="1"/>
    </row>
    <row r="1010" spans="2:28" ht="11.25" customHeight="1" x14ac:dyDescent="0.25">
      <c r="B1010" s="16"/>
      <c r="C1010" s="1"/>
      <c r="D1010" s="1"/>
      <c r="E1010" s="1"/>
      <c r="F1010" s="1"/>
      <c r="G1010" s="22"/>
      <c r="H1010" s="22"/>
      <c r="I1010" s="1"/>
      <c r="J1010" s="1"/>
      <c r="K1010" s="1"/>
      <c r="L1010" s="1"/>
      <c r="M1010" s="262"/>
      <c r="N1010" s="1"/>
      <c r="O1010" s="1"/>
      <c r="P1010" s="1"/>
      <c r="Q1010" s="1"/>
      <c r="R1010" s="1"/>
      <c r="S1010" s="1"/>
      <c r="T1010" s="1"/>
      <c r="U1010" s="1"/>
      <c r="V1010" s="1"/>
      <c r="W1010" s="1"/>
      <c r="X1010" s="1"/>
      <c r="Y1010" s="1"/>
      <c r="Z1010" s="1"/>
      <c r="AA1010" s="1"/>
      <c r="AB1010" s="1"/>
    </row>
    <row r="1011" spans="2:28" ht="11.25" customHeight="1" x14ac:dyDescent="0.25">
      <c r="B1011" s="16"/>
      <c r="C1011" s="1"/>
      <c r="D1011" s="1"/>
      <c r="E1011" s="1"/>
      <c r="F1011" s="1"/>
      <c r="G1011" s="22"/>
      <c r="H1011" s="22"/>
      <c r="I1011" s="1"/>
      <c r="J1011" s="1"/>
      <c r="K1011" s="1"/>
      <c r="L1011" s="1"/>
      <c r="M1011" s="262"/>
      <c r="N1011" s="1"/>
      <c r="O1011" s="1"/>
      <c r="P1011" s="1"/>
      <c r="Q1011" s="1"/>
      <c r="R1011" s="1"/>
      <c r="S1011" s="1"/>
      <c r="T1011" s="1"/>
      <c r="U1011" s="1"/>
      <c r="V1011" s="1"/>
      <c r="W1011" s="1"/>
      <c r="X1011" s="1"/>
      <c r="Y1011" s="1"/>
      <c r="Z1011" s="1"/>
      <c r="AA1011" s="1"/>
      <c r="AB1011" s="1"/>
    </row>
    <row r="1012" spans="2:28" ht="11.25" customHeight="1" x14ac:dyDescent="0.25">
      <c r="B1012" s="16"/>
      <c r="C1012" s="1"/>
      <c r="D1012" s="1"/>
      <c r="E1012" s="1"/>
      <c r="F1012" s="1"/>
      <c r="G1012" s="22"/>
      <c r="H1012" s="22"/>
      <c r="I1012" s="1"/>
      <c r="J1012" s="1"/>
      <c r="K1012" s="1"/>
      <c r="L1012" s="1"/>
      <c r="M1012" s="262"/>
      <c r="N1012" s="1"/>
      <c r="O1012" s="1"/>
      <c r="P1012" s="1"/>
      <c r="Q1012" s="1"/>
      <c r="R1012" s="1"/>
      <c r="S1012" s="1"/>
      <c r="T1012" s="1"/>
      <c r="U1012" s="1"/>
      <c r="V1012" s="1"/>
      <c r="W1012" s="1"/>
      <c r="X1012" s="1"/>
      <c r="Y1012" s="1"/>
      <c r="Z1012" s="1"/>
      <c r="AA1012" s="1"/>
      <c r="AB1012" s="1"/>
    </row>
    <row r="1013" spans="2:28" ht="11.25" customHeight="1" x14ac:dyDescent="0.25">
      <c r="B1013" s="16"/>
      <c r="C1013" s="1"/>
      <c r="D1013" s="1"/>
      <c r="E1013" s="1"/>
      <c r="F1013" s="1"/>
      <c r="G1013" s="22"/>
      <c r="H1013" s="22"/>
      <c r="I1013" s="1"/>
      <c r="J1013" s="1"/>
      <c r="K1013" s="1"/>
      <c r="L1013" s="1"/>
      <c r="M1013" s="262"/>
      <c r="N1013" s="1"/>
      <c r="O1013" s="1"/>
      <c r="P1013" s="1"/>
      <c r="Q1013" s="1"/>
      <c r="R1013" s="1"/>
      <c r="S1013" s="1"/>
      <c r="T1013" s="1"/>
      <c r="U1013" s="1"/>
      <c r="V1013" s="1"/>
      <c r="W1013" s="1"/>
      <c r="X1013" s="1"/>
      <c r="Y1013" s="1"/>
      <c r="Z1013" s="1"/>
      <c r="AA1013" s="1"/>
      <c r="AB1013" s="1"/>
    </row>
    <row r="1014" spans="2:28" ht="11.25" customHeight="1" x14ac:dyDescent="0.25">
      <c r="B1014" s="16"/>
      <c r="C1014" s="1"/>
      <c r="D1014" s="1"/>
      <c r="E1014" s="1"/>
      <c r="F1014" s="1"/>
      <c r="G1014" s="22"/>
      <c r="H1014" s="22"/>
      <c r="I1014" s="1"/>
      <c r="J1014" s="1"/>
      <c r="K1014" s="1"/>
      <c r="L1014" s="1"/>
      <c r="M1014" s="262"/>
      <c r="N1014" s="1"/>
      <c r="O1014" s="1"/>
      <c r="P1014" s="1"/>
      <c r="Q1014" s="1"/>
      <c r="R1014" s="1"/>
      <c r="S1014" s="1"/>
      <c r="T1014" s="1"/>
      <c r="U1014" s="1"/>
      <c r="V1014" s="1"/>
      <c r="W1014" s="1"/>
      <c r="X1014" s="1"/>
      <c r="Y1014" s="1"/>
      <c r="Z1014" s="1"/>
      <c r="AA1014" s="1"/>
      <c r="AB1014" s="1"/>
    </row>
    <row r="1015" spans="2:28" ht="11.25" customHeight="1" x14ac:dyDescent="0.25">
      <c r="B1015" s="16"/>
      <c r="C1015" s="1"/>
      <c r="D1015" s="1"/>
      <c r="E1015" s="1"/>
      <c r="F1015" s="1"/>
      <c r="G1015" s="22"/>
      <c r="H1015" s="22"/>
      <c r="I1015" s="1"/>
      <c r="J1015" s="1"/>
      <c r="K1015" s="1"/>
      <c r="L1015" s="1"/>
      <c r="M1015" s="262"/>
      <c r="N1015" s="1"/>
      <c r="O1015" s="1"/>
      <c r="P1015" s="1"/>
      <c r="Q1015" s="1"/>
      <c r="R1015" s="1"/>
      <c r="S1015" s="1"/>
      <c r="T1015" s="1"/>
      <c r="U1015" s="1"/>
      <c r="V1015" s="1"/>
      <c r="W1015" s="1"/>
      <c r="X1015" s="1"/>
      <c r="Y1015" s="1"/>
      <c r="Z1015" s="1"/>
      <c r="AA1015" s="1"/>
      <c r="AB1015" s="1"/>
    </row>
    <row r="1016" spans="2:28" ht="11.25" customHeight="1" x14ac:dyDescent="0.25">
      <c r="B1016" s="16"/>
      <c r="C1016" s="1"/>
      <c r="D1016" s="1"/>
      <c r="E1016" s="1"/>
      <c r="F1016" s="1"/>
      <c r="G1016" s="22"/>
      <c r="H1016" s="22"/>
      <c r="I1016" s="1"/>
      <c r="J1016" s="1"/>
      <c r="K1016" s="1"/>
      <c r="L1016" s="1"/>
      <c r="M1016" s="262"/>
      <c r="N1016" s="1"/>
      <c r="O1016" s="1"/>
      <c r="P1016" s="1"/>
      <c r="Q1016" s="1"/>
      <c r="R1016" s="1"/>
      <c r="S1016" s="1"/>
      <c r="T1016" s="1"/>
      <c r="U1016" s="1"/>
      <c r="V1016" s="1"/>
      <c r="W1016" s="1"/>
      <c r="X1016" s="1"/>
      <c r="Y1016" s="1"/>
      <c r="Z1016" s="1"/>
      <c r="AA1016" s="1"/>
      <c r="AB1016" s="1"/>
    </row>
    <row r="1017" spans="2:28" ht="11.25" customHeight="1" x14ac:dyDescent="0.25">
      <c r="B1017" s="16"/>
      <c r="C1017" s="1"/>
      <c r="D1017" s="1"/>
      <c r="E1017" s="1"/>
      <c r="F1017" s="1"/>
      <c r="G1017" s="22"/>
      <c r="H1017" s="22"/>
      <c r="I1017" s="1"/>
      <c r="J1017" s="1"/>
      <c r="K1017" s="1"/>
      <c r="L1017" s="1"/>
      <c r="M1017" s="262"/>
      <c r="N1017" s="1"/>
      <c r="O1017" s="1"/>
      <c r="P1017" s="1"/>
      <c r="Q1017" s="1"/>
      <c r="R1017" s="1"/>
      <c r="S1017" s="1"/>
      <c r="T1017" s="1"/>
      <c r="U1017" s="1"/>
      <c r="V1017" s="1"/>
      <c r="W1017" s="1"/>
      <c r="X1017" s="1"/>
      <c r="Y1017" s="1"/>
      <c r="Z1017" s="1"/>
      <c r="AA1017" s="1"/>
      <c r="AB1017" s="1"/>
    </row>
    <row r="1018" spans="2:28" ht="11.25" customHeight="1" x14ac:dyDescent="0.25">
      <c r="B1018" s="16"/>
      <c r="C1018" s="1"/>
      <c r="D1018" s="1"/>
      <c r="E1018" s="1"/>
      <c r="F1018" s="1"/>
      <c r="G1018" s="22"/>
      <c r="H1018" s="22"/>
      <c r="I1018" s="1"/>
      <c r="J1018" s="1"/>
      <c r="K1018" s="1"/>
      <c r="L1018" s="1"/>
      <c r="M1018" s="262"/>
      <c r="N1018" s="1"/>
      <c r="O1018" s="1"/>
      <c r="P1018" s="1"/>
      <c r="Q1018" s="1"/>
      <c r="R1018" s="1"/>
      <c r="S1018" s="1"/>
      <c r="T1018" s="1"/>
      <c r="U1018" s="1"/>
      <c r="V1018" s="1"/>
      <c r="W1018" s="1"/>
      <c r="X1018" s="1"/>
      <c r="Y1018" s="1"/>
      <c r="Z1018" s="1"/>
      <c r="AA1018" s="1"/>
      <c r="AB1018" s="1"/>
    </row>
    <row r="1019" spans="2:28" ht="11.25" customHeight="1" x14ac:dyDescent="0.25">
      <c r="B1019" s="16"/>
      <c r="C1019" s="1"/>
      <c r="D1019" s="1"/>
      <c r="E1019" s="1"/>
      <c r="F1019" s="1"/>
      <c r="G1019" s="22"/>
      <c r="H1019" s="22"/>
      <c r="I1019" s="1"/>
      <c r="J1019" s="1"/>
      <c r="K1019" s="1"/>
      <c r="L1019" s="1"/>
      <c r="M1019" s="262"/>
      <c r="N1019" s="1"/>
      <c r="O1019" s="1"/>
      <c r="P1019" s="1"/>
      <c r="Q1019" s="1"/>
      <c r="R1019" s="1"/>
      <c r="S1019" s="1"/>
      <c r="T1019" s="1"/>
      <c r="U1019" s="1"/>
      <c r="V1019" s="1"/>
      <c r="W1019" s="1"/>
      <c r="X1019" s="1"/>
      <c r="Y1019" s="1"/>
      <c r="Z1019" s="1"/>
      <c r="AA1019" s="1"/>
      <c r="AB1019" s="1"/>
    </row>
    <row r="1020" spans="2:28" ht="11.25" customHeight="1" x14ac:dyDescent="0.25">
      <c r="B1020" s="16"/>
      <c r="C1020" s="1"/>
      <c r="D1020" s="1"/>
      <c r="E1020" s="1"/>
      <c r="F1020" s="1"/>
      <c r="G1020" s="22"/>
      <c r="H1020" s="22"/>
      <c r="I1020" s="1"/>
      <c r="J1020" s="1"/>
      <c r="K1020" s="1"/>
      <c r="L1020" s="1"/>
      <c r="M1020" s="262"/>
      <c r="N1020" s="1"/>
      <c r="O1020" s="1"/>
      <c r="P1020" s="1"/>
      <c r="Q1020" s="1"/>
      <c r="R1020" s="1"/>
      <c r="S1020" s="1"/>
      <c r="T1020" s="1"/>
      <c r="U1020" s="1"/>
      <c r="V1020" s="1"/>
      <c r="W1020" s="1"/>
      <c r="X1020" s="1"/>
      <c r="Y1020" s="1"/>
      <c r="Z1020" s="1"/>
      <c r="AA1020" s="1"/>
      <c r="AB1020" s="1"/>
    </row>
    <row r="1021" spans="2:28" ht="11.25" customHeight="1" x14ac:dyDescent="0.25">
      <c r="B1021" s="16"/>
      <c r="C1021" s="1"/>
      <c r="D1021" s="1"/>
      <c r="E1021" s="1"/>
      <c r="F1021" s="1"/>
      <c r="G1021" s="22"/>
      <c r="H1021" s="22"/>
      <c r="I1021" s="1"/>
      <c r="J1021" s="1"/>
      <c r="K1021" s="1"/>
      <c r="L1021" s="1"/>
      <c r="M1021" s="262"/>
      <c r="N1021" s="1"/>
      <c r="O1021" s="1"/>
      <c r="P1021" s="1"/>
      <c r="Q1021" s="1"/>
      <c r="R1021" s="1"/>
      <c r="S1021" s="1"/>
      <c r="T1021" s="1"/>
      <c r="U1021" s="1"/>
      <c r="V1021" s="1"/>
      <c r="W1021" s="1"/>
      <c r="X1021" s="1"/>
      <c r="Y1021" s="1"/>
      <c r="Z1021" s="1"/>
      <c r="AA1021" s="1"/>
      <c r="AB1021" s="1"/>
    </row>
    <row r="1022" spans="2:28" ht="11.25" customHeight="1" x14ac:dyDescent="0.25">
      <c r="B1022" s="16"/>
      <c r="C1022" s="1"/>
      <c r="D1022" s="1"/>
      <c r="E1022" s="1"/>
      <c r="F1022" s="1"/>
      <c r="G1022" s="22"/>
      <c r="H1022" s="22"/>
      <c r="I1022" s="1"/>
      <c r="J1022" s="1"/>
      <c r="K1022" s="1"/>
      <c r="L1022" s="1"/>
      <c r="M1022" s="262"/>
      <c r="N1022" s="1"/>
      <c r="O1022" s="1"/>
      <c r="P1022" s="1"/>
      <c r="Q1022" s="1"/>
      <c r="R1022" s="1"/>
      <c r="S1022" s="1"/>
      <c r="T1022" s="1"/>
      <c r="U1022" s="1"/>
      <c r="V1022" s="1"/>
      <c r="W1022" s="1"/>
      <c r="X1022" s="1"/>
      <c r="Y1022" s="1"/>
      <c r="Z1022" s="1"/>
      <c r="AA1022" s="1"/>
      <c r="AB1022" s="1"/>
    </row>
    <row r="1023" spans="2:28" ht="11.25" customHeight="1" x14ac:dyDescent="0.25">
      <c r="B1023" s="16"/>
      <c r="C1023" s="1"/>
      <c r="D1023" s="1"/>
      <c r="E1023" s="1"/>
      <c r="F1023" s="1"/>
      <c r="G1023" s="22"/>
      <c r="H1023" s="22"/>
      <c r="I1023" s="1"/>
      <c r="J1023" s="1"/>
      <c r="K1023" s="1"/>
      <c r="L1023" s="1"/>
      <c r="M1023" s="262"/>
      <c r="N1023" s="1"/>
      <c r="O1023" s="1"/>
      <c r="P1023" s="1"/>
      <c r="Q1023" s="1"/>
      <c r="R1023" s="1"/>
      <c r="S1023" s="1"/>
      <c r="T1023" s="1"/>
      <c r="U1023" s="1"/>
      <c r="V1023" s="1"/>
      <c r="W1023" s="1"/>
      <c r="X1023" s="1"/>
      <c r="Y1023" s="1"/>
      <c r="Z1023" s="1"/>
      <c r="AA1023" s="1"/>
      <c r="AB1023" s="1"/>
    </row>
    <row r="1024" spans="2:28" ht="11.25" customHeight="1" x14ac:dyDescent="0.25">
      <c r="B1024" s="16"/>
      <c r="C1024" s="1"/>
      <c r="D1024" s="1"/>
      <c r="E1024" s="1"/>
      <c r="F1024" s="1"/>
      <c r="G1024" s="22"/>
      <c r="H1024" s="22"/>
      <c r="I1024" s="1"/>
      <c r="J1024" s="1"/>
      <c r="K1024" s="1"/>
      <c r="L1024" s="1"/>
      <c r="M1024" s="262"/>
      <c r="N1024" s="1"/>
      <c r="O1024" s="1"/>
      <c r="P1024" s="1"/>
      <c r="Q1024" s="1"/>
      <c r="R1024" s="1"/>
      <c r="S1024" s="1"/>
      <c r="T1024" s="1"/>
      <c r="U1024" s="1"/>
      <c r="V1024" s="1"/>
      <c r="W1024" s="1"/>
      <c r="X1024" s="1"/>
      <c r="Y1024" s="1"/>
      <c r="Z1024" s="1"/>
      <c r="AA1024" s="1"/>
      <c r="AB1024" s="1"/>
    </row>
    <row r="1025" spans="2:28" ht="11.25" customHeight="1" x14ac:dyDescent="0.25">
      <c r="B1025" s="16"/>
      <c r="C1025" s="1"/>
      <c r="D1025" s="1"/>
      <c r="E1025" s="1"/>
      <c r="F1025" s="1"/>
      <c r="G1025" s="22"/>
      <c r="H1025" s="22"/>
      <c r="I1025" s="1"/>
      <c r="J1025" s="1"/>
      <c r="K1025" s="1"/>
      <c r="L1025" s="1"/>
      <c r="M1025" s="262"/>
      <c r="N1025" s="1"/>
      <c r="O1025" s="1"/>
      <c r="P1025" s="1"/>
      <c r="Q1025" s="1"/>
      <c r="R1025" s="1"/>
      <c r="S1025" s="1"/>
      <c r="T1025" s="1"/>
      <c r="U1025" s="1"/>
      <c r="V1025" s="1"/>
      <c r="W1025" s="1"/>
      <c r="X1025" s="1"/>
      <c r="Y1025" s="1"/>
      <c r="Z1025" s="1"/>
      <c r="AA1025" s="1"/>
      <c r="AB1025" s="1"/>
    </row>
  </sheetData>
  <mergeCells count="249">
    <mergeCell ref="A134:B134"/>
    <mergeCell ref="A135:B135"/>
    <mergeCell ref="A136:B136"/>
    <mergeCell ref="A137:B137"/>
    <mergeCell ref="C146:E146"/>
    <mergeCell ref="F146:AB146"/>
    <mergeCell ref="C147:C148"/>
    <mergeCell ref="D147:D148"/>
    <mergeCell ref="E147:E148"/>
    <mergeCell ref="F147:F148"/>
    <mergeCell ref="G147:G148"/>
    <mergeCell ref="H147:H148"/>
    <mergeCell ref="I147:I148"/>
    <mergeCell ref="J147:J148"/>
    <mergeCell ref="K147:K148"/>
    <mergeCell ref="L147:L148"/>
    <mergeCell ref="M147:M148"/>
    <mergeCell ref="N147:N148"/>
    <mergeCell ref="O147:P147"/>
    <mergeCell ref="Q147:U147"/>
    <mergeCell ref="V147:V148"/>
    <mergeCell ref="W147:Z147"/>
    <mergeCell ref="AB147:AB148"/>
    <mergeCell ref="C141:E141"/>
    <mergeCell ref="C142:E142"/>
    <mergeCell ref="F142:AB142"/>
    <mergeCell ref="C143:E143"/>
    <mergeCell ref="F143:AB143"/>
    <mergeCell ref="C144:E144"/>
    <mergeCell ref="F144:AB144"/>
    <mergeCell ref="C145:E145"/>
    <mergeCell ref="F145:AB145"/>
    <mergeCell ref="F9:AB9"/>
    <mergeCell ref="C41:E41"/>
    <mergeCell ref="C42:E42"/>
    <mergeCell ref="AB16:AB17"/>
    <mergeCell ref="D16:D17"/>
    <mergeCell ref="E16:E17"/>
    <mergeCell ref="C38:E38"/>
    <mergeCell ref="F13:AB13"/>
    <mergeCell ref="C14:E14"/>
    <mergeCell ref="C39:E39"/>
    <mergeCell ref="C40:E40"/>
    <mergeCell ref="F94:AB94"/>
    <mergeCell ref="F95:AB95"/>
    <mergeCell ref="F96:AB96"/>
    <mergeCell ref="O97:P97"/>
    <mergeCell ref="W97:Z97"/>
    <mergeCell ref="C8:AB8"/>
    <mergeCell ref="C10:E10"/>
    <mergeCell ref="C11:E11"/>
    <mergeCell ref="F11:AB11"/>
    <mergeCell ref="C12:E12"/>
    <mergeCell ref="F12:AB12"/>
    <mergeCell ref="F16:F17"/>
    <mergeCell ref="G16:G17"/>
    <mergeCell ref="H16:H17"/>
    <mergeCell ref="I16:I17"/>
    <mergeCell ref="J16:J17"/>
    <mergeCell ref="K16:K17"/>
    <mergeCell ref="L16:L17"/>
    <mergeCell ref="M16:M17"/>
    <mergeCell ref="N16:N17"/>
    <mergeCell ref="O16:P16"/>
    <mergeCell ref="Q16:U16"/>
    <mergeCell ref="V16:V17"/>
    <mergeCell ref="W16:Z16"/>
    <mergeCell ref="C13:E13"/>
    <mergeCell ref="F14:AB14"/>
    <mergeCell ref="C15:E15"/>
    <mergeCell ref="F15:AB15"/>
    <mergeCell ref="C16:C17"/>
    <mergeCell ref="F75:AB75"/>
    <mergeCell ref="F76:AB76"/>
    <mergeCell ref="F77:AB77"/>
    <mergeCell ref="AB97:AB98"/>
    <mergeCell ref="F39:AB39"/>
    <mergeCell ref="F40:AB40"/>
    <mergeCell ref="F41:AB41"/>
    <mergeCell ref="F42:AB42"/>
    <mergeCell ref="C43:E43"/>
    <mergeCell ref="C44:C45"/>
    <mergeCell ref="D44:D45"/>
    <mergeCell ref="E44:E45"/>
    <mergeCell ref="F44:F45"/>
    <mergeCell ref="G44:G45"/>
    <mergeCell ref="H44:H45"/>
    <mergeCell ref="Q44:U44"/>
    <mergeCell ref="V44:V45"/>
    <mergeCell ref="I44:I45"/>
    <mergeCell ref="J44:J45"/>
    <mergeCell ref="K44:K45"/>
    <mergeCell ref="L44:L45"/>
    <mergeCell ref="M44:M45"/>
    <mergeCell ref="F43:AB43"/>
    <mergeCell ref="F78:F79"/>
    <mergeCell ref="K63:K64"/>
    <mergeCell ref="L63:L64"/>
    <mergeCell ref="M63:M64"/>
    <mergeCell ref="N63:N64"/>
    <mergeCell ref="O63:P63"/>
    <mergeCell ref="Q63:U63"/>
    <mergeCell ref="V63:V64"/>
    <mergeCell ref="F73:AB73"/>
    <mergeCell ref="F74:AB74"/>
    <mergeCell ref="Q113:U113"/>
    <mergeCell ref="W113:Z113"/>
    <mergeCell ref="F108:AB108"/>
    <mergeCell ref="F109:AB109"/>
    <mergeCell ref="F110:AB110"/>
    <mergeCell ref="F111:AB111"/>
    <mergeCell ref="F112:AB112"/>
    <mergeCell ref="V113:V114"/>
    <mergeCell ref="AB113:AB114"/>
    <mergeCell ref="Q97:U97"/>
    <mergeCell ref="V97:V98"/>
    <mergeCell ref="K97:K98"/>
    <mergeCell ref="L97:L98"/>
    <mergeCell ref="M97:M98"/>
    <mergeCell ref="N97:N98"/>
    <mergeCell ref="O78:P78"/>
    <mergeCell ref="W78:Z78"/>
    <mergeCell ref="F93:AB93"/>
    <mergeCell ref="N78:N79"/>
    <mergeCell ref="J78:J79"/>
    <mergeCell ref="G78:G79"/>
    <mergeCell ref="H78:H79"/>
    <mergeCell ref="I78:I79"/>
    <mergeCell ref="C92:E92"/>
    <mergeCell ref="N44:N45"/>
    <mergeCell ref="O44:P44"/>
    <mergeCell ref="F63:F64"/>
    <mergeCell ref="G63:G64"/>
    <mergeCell ref="H63:H64"/>
    <mergeCell ref="I63:I64"/>
    <mergeCell ref="J63:J64"/>
    <mergeCell ref="F92:AB92"/>
    <mergeCell ref="W44:Z44"/>
    <mergeCell ref="AB44:AB45"/>
    <mergeCell ref="F58:AB58"/>
    <mergeCell ref="F59:AB59"/>
    <mergeCell ref="F60:AB60"/>
    <mergeCell ref="F61:AB61"/>
    <mergeCell ref="F62:AB62"/>
    <mergeCell ref="K78:K79"/>
    <mergeCell ref="L78:L79"/>
    <mergeCell ref="Q78:U78"/>
    <mergeCell ref="V78:V79"/>
    <mergeCell ref="AB78:AB79"/>
    <mergeCell ref="M78:M79"/>
    <mergeCell ref="W63:Z63"/>
    <mergeCell ref="AB63:AB64"/>
    <mergeCell ref="C93:E93"/>
    <mergeCell ref="C94:E94"/>
    <mergeCell ref="C95:E95"/>
    <mergeCell ref="C96:E96"/>
    <mergeCell ref="C97:C98"/>
    <mergeCell ref="C57:E57"/>
    <mergeCell ref="C58:E58"/>
    <mergeCell ref="C59:E59"/>
    <mergeCell ref="C60:E60"/>
    <mergeCell ref="C61:E61"/>
    <mergeCell ref="C62:E62"/>
    <mergeCell ref="C63:C64"/>
    <mergeCell ref="C72:E72"/>
    <mergeCell ref="C73:E73"/>
    <mergeCell ref="C74:E74"/>
    <mergeCell ref="C75:E75"/>
    <mergeCell ref="C76:E76"/>
    <mergeCell ref="C77:E77"/>
    <mergeCell ref="C78:C79"/>
    <mergeCell ref="D63:D64"/>
    <mergeCell ref="E63:E64"/>
    <mergeCell ref="D78:D79"/>
    <mergeCell ref="E78:E79"/>
    <mergeCell ref="C91:E91"/>
    <mergeCell ref="G132:G133"/>
    <mergeCell ref="H132:H133"/>
    <mergeCell ref="I132:I133"/>
    <mergeCell ref="J132:J133"/>
    <mergeCell ref="K132:K133"/>
    <mergeCell ref="D97:D98"/>
    <mergeCell ref="E97:E98"/>
    <mergeCell ref="F97:F98"/>
    <mergeCell ref="G97:G98"/>
    <mergeCell ref="H97:H98"/>
    <mergeCell ref="I97:I98"/>
    <mergeCell ref="J97:J98"/>
    <mergeCell ref="L158:L159"/>
    <mergeCell ref="M158:M159"/>
    <mergeCell ref="N158:N159"/>
    <mergeCell ref="M167:N167"/>
    <mergeCell ref="C158:C159"/>
    <mergeCell ref="D158:D159"/>
    <mergeCell ref="E158:E159"/>
    <mergeCell ref="F158:F159"/>
    <mergeCell ref="G158:G159"/>
    <mergeCell ref="H158:H159"/>
    <mergeCell ref="I158:I159"/>
    <mergeCell ref="J158:J159"/>
    <mergeCell ref="K158:K159"/>
    <mergeCell ref="V132:V133"/>
    <mergeCell ref="C157:AB157"/>
    <mergeCell ref="D113:D114"/>
    <mergeCell ref="E113:E114"/>
    <mergeCell ref="F113:F114"/>
    <mergeCell ref="G113:G114"/>
    <mergeCell ref="H113:H114"/>
    <mergeCell ref="I113:I114"/>
    <mergeCell ref="J113:J114"/>
    <mergeCell ref="F130:AB130"/>
    <mergeCell ref="F131:AB131"/>
    <mergeCell ref="W132:Z132"/>
    <mergeCell ref="AB132:AB133"/>
    <mergeCell ref="O132:P132"/>
    <mergeCell ref="C126:E126"/>
    <mergeCell ref="C127:E127"/>
    <mergeCell ref="C128:E128"/>
    <mergeCell ref="C129:E129"/>
    <mergeCell ref="C130:E130"/>
    <mergeCell ref="C131:E131"/>
    <mergeCell ref="C132:C133"/>
    <mergeCell ref="D132:D133"/>
    <mergeCell ref="E132:E133"/>
    <mergeCell ref="F132:F133"/>
    <mergeCell ref="O158:P158"/>
    <mergeCell ref="Q158:U158"/>
    <mergeCell ref="V158:V159"/>
    <mergeCell ref="W158:Z158"/>
    <mergeCell ref="AB158:AB159"/>
    <mergeCell ref="C107:E107"/>
    <mergeCell ref="C108:E108"/>
    <mergeCell ref="C109:E109"/>
    <mergeCell ref="C110:E110"/>
    <mergeCell ref="C111:E111"/>
    <mergeCell ref="C112:E112"/>
    <mergeCell ref="C113:C114"/>
    <mergeCell ref="F128:AB128"/>
    <mergeCell ref="F129:AB129"/>
    <mergeCell ref="K113:K114"/>
    <mergeCell ref="L113:L114"/>
    <mergeCell ref="M113:M114"/>
    <mergeCell ref="N113:N114"/>
    <mergeCell ref="O113:P113"/>
    <mergeCell ref="F127:AB127"/>
    <mergeCell ref="L132:L133"/>
    <mergeCell ref="M132:M133"/>
    <mergeCell ref="N132:N133"/>
    <mergeCell ref="Q132:U132"/>
  </mergeCells>
  <pageMargins left="0" right="0" top="0" bottom="0" header="0" footer="0"/>
  <pageSetup paperSize="9" orientation="portrait" r:id="rId1"/>
  <ignoredErrors>
    <ignoredError sqref="O162" formula="1"/>
  </ignoredError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C2:G46"/>
  <sheetViews>
    <sheetView showGridLines="0" zoomScale="80" zoomScaleNormal="80" workbookViewId="0">
      <selection activeCell="C30" sqref="C30"/>
    </sheetView>
  </sheetViews>
  <sheetFormatPr baseColWidth="10" defaultColWidth="11.59765625" defaultRowHeight="15.65" x14ac:dyDescent="0.25"/>
  <cols>
    <col min="1" max="1" width="3.09765625" style="428" customWidth="1"/>
    <col min="2" max="2" width="13.09765625" style="428" customWidth="1"/>
    <col min="3" max="3" width="43.8984375" style="428" customWidth="1"/>
    <col min="4" max="4" width="42.3984375" style="428" customWidth="1"/>
    <col min="5" max="5" width="22.296875" style="428" customWidth="1"/>
    <col min="6" max="6" width="21.8984375" style="428" customWidth="1"/>
    <col min="7" max="7" width="21.8984375" style="429" customWidth="1"/>
    <col min="8" max="16384" width="11.59765625" style="428"/>
  </cols>
  <sheetData>
    <row r="2" spans="3:7" x14ac:dyDescent="0.25">
      <c r="C2" s="445" t="s">
        <v>1895</v>
      </c>
      <c r="D2" s="444"/>
    </row>
    <row r="4" spans="3:7" ht="15.8" customHeight="1" x14ac:dyDescent="0.25">
      <c r="C4" s="446" t="s">
        <v>1896</v>
      </c>
      <c r="D4" s="446" t="s">
        <v>468</v>
      </c>
      <c r="E4" s="446" t="s">
        <v>1897</v>
      </c>
      <c r="F4" s="446" t="s">
        <v>1898</v>
      </c>
      <c r="G4" s="446" t="s">
        <v>1899</v>
      </c>
    </row>
    <row r="5" spans="3:7" x14ac:dyDescent="0.25">
      <c r="C5" s="1501" t="s">
        <v>1900</v>
      </c>
      <c r="D5" s="1502"/>
      <c r="E5" s="1502"/>
      <c r="F5" s="1502"/>
      <c r="G5" s="1503"/>
    </row>
    <row r="6" spans="3:7" ht="36.700000000000003" customHeight="1" x14ac:dyDescent="0.25">
      <c r="C6" s="440" t="s">
        <v>1901</v>
      </c>
      <c r="D6" s="441" t="s">
        <v>1902</v>
      </c>
      <c r="E6" s="438">
        <v>7000</v>
      </c>
      <c r="F6" s="438">
        <f>E6*60</f>
        <v>420000</v>
      </c>
      <c r="G6" s="437" t="s">
        <v>1903</v>
      </c>
    </row>
    <row r="7" spans="3:7" ht="46.9" x14ac:dyDescent="0.25">
      <c r="C7" s="440" t="s">
        <v>1904</v>
      </c>
      <c r="D7" s="441" t="s">
        <v>1905</v>
      </c>
      <c r="E7" s="438">
        <v>6500</v>
      </c>
      <c r="F7" s="438">
        <f>E7*60</f>
        <v>390000</v>
      </c>
      <c r="G7" s="437" t="s">
        <v>1903</v>
      </c>
    </row>
    <row r="8" spans="3:7" ht="62.5" x14ac:dyDescent="0.25">
      <c r="C8" s="440" t="s">
        <v>1906</v>
      </c>
      <c r="D8" s="441" t="s">
        <v>1907</v>
      </c>
      <c r="E8" s="438">
        <v>6500</v>
      </c>
      <c r="F8" s="438">
        <f>E8*60</f>
        <v>390000</v>
      </c>
      <c r="G8" s="437" t="s">
        <v>1903</v>
      </c>
    </row>
    <row r="9" spans="3:7" x14ac:dyDescent="0.25">
      <c r="C9" s="1494" t="s">
        <v>1908</v>
      </c>
      <c r="D9" s="1494"/>
      <c r="E9" s="1495"/>
      <c r="F9" s="1496">
        <f>SUM(F6:F8)</f>
        <v>1200000</v>
      </c>
      <c r="G9" s="1497"/>
    </row>
    <row r="10" spans="3:7" x14ac:dyDescent="0.25">
      <c r="C10" s="1501" t="s">
        <v>1909</v>
      </c>
      <c r="D10" s="1502"/>
      <c r="E10" s="1502"/>
      <c r="F10" s="1502"/>
      <c r="G10" s="1503"/>
    </row>
    <row r="11" spans="3:7" x14ac:dyDescent="0.25">
      <c r="C11" s="436" t="s">
        <v>1910</v>
      </c>
      <c r="D11" s="436" t="s">
        <v>1911</v>
      </c>
      <c r="E11" s="435">
        <v>6000</v>
      </c>
      <c r="F11" s="435">
        <f>E11*3</f>
        <v>18000</v>
      </c>
      <c r="G11" s="434" t="s">
        <v>1912</v>
      </c>
    </row>
    <row r="12" spans="3:7" x14ac:dyDescent="0.25">
      <c r="C12" s="436" t="s">
        <v>1913</v>
      </c>
      <c r="D12" s="436" t="s">
        <v>1914</v>
      </c>
      <c r="E12" s="435">
        <v>1500</v>
      </c>
      <c r="F12" s="435">
        <f>E12*1</f>
        <v>1500</v>
      </c>
      <c r="G12" s="434" t="s">
        <v>1912</v>
      </c>
    </row>
    <row r="13" spans="3:7" x14ac:dyDescent="0.25">
      <c r="C13" s="436" t="s">
        <v>1915</v>
      </c>
      <c r="D13" s="436" t="s">
        <v>1916</v>
      </c>
      <c r="E13" s="435">
        <v>650</v>
      </c>
      <c r="F13" s="435">
        <f>E13*3</f>
        <v>1950</v>
      </c>
      <c r="G13" s="434" t="s">
        <v>1917</v>
      </c>
    </row>
    <row r="14" spans="3:7" x14ac:dyDescent="0.25">
      <c r="C14" s="1494" t="s">
        <v>1908</v>
      </c>
      <c r="D14" s="1494"/>
      <c r="E14" s="1495"/>
      <c r="F14" s="1496">
        <f>SUM(F11:F13)</f>
        <v>21450</v>
      </c>
      <c r="G14" s="1497"/>
    </row>
    <row r="15" spans="3:7" x14ac:dyDescent="0.25">
      <c r="C15" s="1501" t="s">
        <v>1918</v>
      </c>
      <c r="D15" s="1502"/>
      <c r="E15" s="1502"/>
      <c r="F15" s="1502"/>
      <c r="G15" s="1503"/>
    </row>
    <row r="16" spans="3:7" x14ac:dyDescent="0.25">
      <c r="C16" s="433" t="s">
        <v>1919</v>
      </c>
      <c r="D16" s="433" t="s">
        <v>1920</v>
      </c>
      <c r="E16" s="431">
        <v>25000</v>
      </c>
      <c r="F16" s="431">
        <f>E16</f>
        <v>25000</v>
      </c>
      <c r="G16" s="430" t="s">
        <v>1921</v>
      </c>
    </row>
    <row r="17" spans="3:7" x14ac:dyDescent="0.25">
      <c r="C17" s="433" t="s">
        <v>1922</v>
      </c>
      <c r="D17" s="433" t="s">
        <v>1923</v>
      </c>
      <c r="E17" s="431">
        <v>50000</v>
      </c>
      <c r="F17" s="431">
        <f>E17</f>
        <v>50000</v>
      </c>
      <c r="G17" s="430" t="s">
        <v>1921</v>
      </c>
    </row>
    <row r="18" spans="3:7" x14ac:dyDescent="0.25">
      <c r="C18" s="433" t="s">
        <v>1924</v>
      </c>
      <c r="D18" s="433" t="s">
        <v>1925</v>
      </c>
      <c r="E18" s="431">
        <v>180</v>
      </c>
      <c r="F18" s="431">
        <f>E18*60</f>
        <v>10800</v>
      </c>
      <c r="G18" s="430" t="s">
        <v>1903</v>
      </c>
    </row>
    <row r="19" spans="3:7" x14ac:dyDescent="0.25">
      <c r="C19" s="432" t="s">
        <v>1926</v>
      </c>
      <c r="D19" s="432" t="s">
        <v>1927</v>
      </c>
      <c r="E19" s="431">
        <f>250+(30*12)+250</f>
        <v>860</v>
      </c>
      <c r="F19" s="431">
        <f>E19*5</f>
        <v>4300</v>
      </c>
      <c r="G19" s="430" t="s">
        <v>1928</v>
      </c>
    </row>
    <row r="20" spans="3:7" x14ac:dyDescent="0.25">
      <c r="C20" s="432" t="s">
        <v>1929</v>
      </c>
      <c r="D20" s="432" t="s">
        <v>1930</v>
      </c>
      <c r="E20" s="431">
        <v>400</v>
      </c>
      <c r="F20" s="431">
        <f>E20*60</f>
        <v>24000</v>
      </c>
      <c r="G20" s="430" t="s">
        <v>1903</v>
      </c>
    </row>
    <row r="21" spans="3:7" x14ac:dyDescent="0.25">
      <c r="C21" s="432" t="s">
        <v>1931</v>
      </c>
      <c r="D21" s="432" t="s">
        <v>1932</v>
      </c>
      <c r="E21" s="431">
        <f>4000</f>
        <v>4000</v>
      </c>
      <c r="F21" s="431">
        <f>E21*15</f>
        <v>60000</v>
      </c>
      <c r="G21" s="430" t="s">
        <v>1933</v>
      </c>
    </row>
    <row r="22" spans="3:7" x14ac:dyDescent="0.25">
      <c r="C22" s="1494" t="s">
        <v>1908</v>
      </c>
      <c r="D22" s="1494"/>
      <c r="E22" s="1495"/>
      <c r="F22" s="1496">
        <f>SUM(F19:F21)</f>
        <v>88300</v>
      </c>
      <c r="G22" s="1497"/>
    </row>
    <row r="23" spans="3:7" x14ac:dyDescent="0.25">
      <c r="C23" s="1498" t="s">
        <v>1934</v>
      </c>
      <c r="D23" s="1498"/>
      <c r="E23" s="1498"/>
      <c r="F23" s="1499">
        <f>F22+F14+F9</f>
        <v>1309750</v>
      </c>
      <c r="G23" s="1500"/>
    </row>
    <row r="25" spans="3:7" x14ac:dyDescent="0.25">
      <c r="C25" s="445" t="s">
        <v>1935</v>
      </c>
      <c r="D25" s="444"/>
    </row>
    <row r="27" spans="3:7" x14ac:dyDescent="0.25">
      <c r="C27" s="443" t="s">
        <v>1896</v>
      </c>
      <c r="D27" s="443" t="s">
        <v>468</v>
      </c>
      <c r="E27" s="443" t="s">
        <v>1897</v>
      </c>
      <c r="F27" s="443" t="s">
        <v>1898</v>
      </c>
      <c r="G27" s="443" t="s">
        <v>1899</v>
      </c>
    </row>
    <row r="28" spans="3:7" x14ac:dyDescent="0.25">
      <c r="C28" s="1501" t="s">
        <v>1900</v>
      </c>
      <c r="D28" s="1502"/>
      <c r="E28" s="1502"/>
      <c r="F28" s="1502"/>
      <c r="G28" s="1503"/>
    </row>
    <row r="29" spans="3:7" ht="31.25" x14ac:dyDescent="0.25">
      <c r="C29" s="440" t="s">
        <v>1936</v>
      </c>
      <c r="D29" s="441" t="s">
        <v>1937</v>
      </c>
      <c r="E29" s="442">
        <v>8000</v>
      </c>
      <c r="F29" s="442">
        <f>E29*60</f>
        <v>480000</v>
      </c>
      <c r="G29" s="437" t="s">
        <v>1903</v>
      </c>
    </row>
    <row r="30" spans="3:7" ht="31.25" x14ac:dyDescent="0.25">
      <c r="C30" s="441" t="s">
        <v>1938</v>
      </c>
      <c r="D30" s="441" t="s">
        <v>1939</v>
      </c>
      <c r="E30" s="438">
        <v>6500</v>
      </c>
      <c r="F30" s="438">
        <f>E30*60</f>
        <v>390000</v>
      </c>
      <c r="G30" s="437" t="s">
        <v>1903</v>
      </c>
    </row>
    <row r="31" spans="3:7" ht="31.25" x14ac:dyDescent="0.25">
      <c r="C31" s="440" t="s">
        <v>1940</v>
      </c>
      <c r="D31" s="441" t="s">
        <v>1941</v>
      </c>
      <c r="E31" s="438">
        <v>6500</v>
      </c>
      <c r="F31" s="438">
        <f>E31*60</f>
        <v>390000</v>
      </c>
      <c r="G31" s="437" t="s">
        <v>1903</v>
      </c>
    </row>
    <row r="32" spans="3:7" ht="31.25" x14ac:dyDescent="0.25">
      <c r="C32" s="440" t="s">
        <v>1942</v>
      </c>
      <c r="D32" s="441" t="s">
        <v>1943</v>
      </c>
      <c r="E32" s="438">
        <v>2500</v>
      </c>
      <c r="F32" s="438">
        <f>E32*60</f>
        <v>150000</v>
      </c>
      <c r="G32" s="437" t="s">
        <v>1903</v>
      </c>
    </row>
    <row r="33" spans="3:7" ht="46.9" x14ac:dyDescent="0.25">
      <c r="C33" s="440" t="s">
        <v>1944</v>
      </c>
      <c r="D33" s="439" t="s">
        <v>1945</v>
      </c>
      <c r="E33" s="438">
        <v>4000</v>
      </c>
      <c r="F33" s="438">
        <f>E33*60*4</f>
        <v>960000</v>
      </c>
      <c r="G33" s="437" t="s">
        <v>1903</v>
      </c>
    </row>
    <row r="34" spans="3:7" x14ac:dyDescent="0.25">
      <c r="C34" s="1494" t="s">
        <v>1908</v>
      </c>
      <c r="D34" s="1494"/>
      <c r="E34" s="1495"/>
      <c r="F34" s="1496">
        <f>SUM(F31:F33)</f>
        <v>1500000</v>
      </c>
      <c r="G34" s="1497"/>
    </row>
    <row r="35" spans="3:7" x14ac:dyDescent="0.25">
      <c r="C35" s="1501" t="s">
        <v>1909</v>
      </c>
      <c r="D35" s="1502"/>
      <c r="E35" s="1502"/>
      <c r="F35" s="1502"/>
      <c r="G35" s="1503"/>
    </row>
    <row r="36" spans="3:7" x14ac:dyDescent="0.25">
      <c r="C36" s="436" t="s">
        <v>1910</v>
      </c>
      <c r="D36" s="436" t="s">
        <v>1946</v>
      </c>
      <c r="E36" s="435">
        <v>3800</v>
      </c>
      <c r="F36" s="435">
        <f>E36*5</f>
        <v>19000</v>
      </c>
      <c r="G36" s="434" t="s">
        <v>1912</v>
      </c>
    </row>
    <row r="37" spans="3:7" x14ac:dyDescent="0.25">
      <c r="C37" s="436" t="s">
        <v>1913</v>
      </c>
      <c r="D37" s="436" t="s">
        <v>1914</v>
      </c>
      <c r="E37" s="435">
        <v>1500</v>
      </c>
      <c r="F37" s="435">
        <f>E37*1</f>
        <v>1500</v>
      </c>
      <c r="G37" s="434" t="s">
        <v>1912</v>
      </c>
    </row>
    <row r="38" spans="3:7" x14ac:dyDescent="0.25">
      <c r="C38" s="436" t="s">
        <v>1915</v>
      </c>
      <c r="D38" s="436" t="s">
        <v>1947</v>
      </c>
      <c r="E38" s="435">
        <v>650</v>
      </c>
      <c r="F38" s="435">
        <f>E38*5</f>
        <v>3250</v>
      </c>
      <c r="G38" s="434" t="s">
        <v>1917</v>
      </c>
    </row>
    <row r="39" spans="3:7" x14ac:dyDescent="0.25">
      <c r="C39" s="1494" t="s">
        <v>1908</v>
      </c>
      <c r="D39" s="1494"/>
      <c r="E39" s="1495"/>
      <c r="F39" s="1496">
        <f>SUM(F36:F38)</f>
        <v>23750</v>
      </c>
      <c r="G39" s="1497"/>
    </row>
    <row r="40" spans="3:7" x14ac:dyDescent="0.25">
      <c r="C40" s="1501" t="s">
        <v>1918</v>
      </c>
      <c r="D40" s="1502"/>
      <c r="E40" s="1502"/>
      <c r="F40" s="1502"/>
      <c r="G40" s="1503"/>
    </row>
    <row r="41" spans="3:7" x14ac:dyDescent="0.25">
      <c r="C41" s="433" t="s">
        <v>1924</v>
      </c>
      <c r="D41" s="433" t="s">
        <v>1925</v>
      </c>
      <c r="E41" s="431">
        <v>180</v>
      </c>
      <c r="F41" s="431">
        <f>E41*60</f>
        <v>10800</v>
      </c>
      <c r="G41" s="430" t="s">
        <v>1903</v>
      </c>
    </row>
    <row r="42" spans="3:7" x14ac:dyDescent="0.25">
      <c r="C42" s="432" t="s">
        <v>1926</v>
      </c>
      <c r="D42" s="432" t="s">
        <v>1927</v>
      </c>
      <c r="E42" s="431">
        <f>250+(30*12)+250</f>
        <v>860</v>
      </c>
      <c r="F42" s="431">
        <f>E42*5</f>
        <v>4300</v>
      </c>
      <c r="G42" s="430" t="s">
        <v>1928</v>
      </c>
    </row>
    <row r="43" spans="3:7" x14ac:dyDescent="0.25">
      <c r="C43" s="432" t="s">
        <v>1929</v>
      </c>
      <c r="D43" s="432" t="s">
        <v>1930</v>
      </c>
      <c r="E43" s="431">
        <v>400</v>
      </c>
      <c r="F43" s="431">
        <f>E43*60</f>
        <v>24000</v>
      </c>
      <c r="G43" s="430" t="s">
        <v>1903</v>
      </c>
    </row>
    <row r="44" spans="3:7" x14ac:dyDescent="0.25">
      <c r="C44" s="432" t="s">
        <v>1948</v>
      </c>
      <c r="D44" s="432" t="s">
        <v>766</v>
      </c>
      <c r="E44" s="431">
        <v>500</v>
      </c>
      <c r="F44" s="431">
        <f>E44*5*5</f>
        <v>12500</v>
      </c>
      <c r="G44" s="430" t="s">
        <v>1928</v>
      </c>
    </row>
    <row r="45" spans="3:7" x14ac:dyDescent="0.25">
      <c r="C45" s="1494" t="s">
        <v>1908</v>
      </c>
      <c r="D45" s="1494"/>
      <c r="E45" s="1495"/>
      <c r="F45" s="1496">
        <f>SUM(F42:F44)</f>
        <v>40800</v>
      </c>
      <c r="G45" s="1497"/>
    </row>
    <row r="46" spans="3:7" x14ac:dyDescent="0.25">
      <c r="C46" s="1498" t="s">
        <v>1934</v>
      </c>
      <c r="D46" s="1498"/>
      <c r="E46" s="1498"/>
      <c r="F46" s="1499">
        <f>F45+F39+F34</f>
        <v>1564550</v>
      </c>
      <c r="G46" s="1500"/>
    </row>
  </sheetData>
  <mergeCells count="22">
    <mergeCell ref="C28:G28"/>
    <mergeCell ref="C5:G5"/>
    <mergeCell ref="C9:E9"/>
    <mergeCell ref="F9:G9"/>
    <mergeCell ref="C10:G10"/>
    <mergeCell ref="C14:E14"/>
    <mergeCell ref="F14:G14"/>
    <mergeCell ref="C15:G15"/>
    <mergeCell ref="C22:E22"/>
    <mergeCell ref="F22:G22"/>
    <mergeCell ref="C23:E23"/>
    <mergeCell ref="F23:G23"/>
    <mergeCell ref="C45:E45"/>
    <mergeCell ref="F45:G45"/>
    <mergeCell ref="C46:E46"/>
    <mergeCell ref="F46:G46"/>
    <mergeCell ref="C34:E34"/>
    <mergeCell ref="F34:G34"/>
    <mergeCell ref="C35:G35"/>
    <mergeCell ref="C39:E39"/>
    <mergeCell ref="F39:G39"/>
    <mergeCell ref="C40:G4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3:B48"/>
  <sheetViews>
    <sheetView topLeftCell="A19" workbookViewId="0">
      <selection activeCell="A9" sqref="A9"/>
    </sheetView>
  </sheetViews>
  <sheetFormatPr baseColWidth="10" defaultColWidth="11.59765625" defaultRowHeight="15.65" x14ac:dyDescent="0.25"/>
  <cols>
    <col min="1" max="1" width="111" style="213" bestFit="1" customWidth="1"/>
    <col min="2" max="2" width="13.69921875" bestFit="1" customWidth="1"/>
    <col min="3" max="3" width="21.296875" bestFit="1" customWidth="1"/>
  </cols>
  <sheetData>
    <row r="3" spans="1:2" x14ac:dyDescent="0.25">
      <c r="A3" s="689" t="s">
        <v>118</v>
      </c>
      <c r="B3" s="690" t="s">
        <v>119</v>
      </c>
    </row>
    <row r="4" spans="1:2" x14ac:dyDescent="0.25">
      <c r="A4" s="238" t="s">
        <v>120</v>
      </c>
      <c r="B4" s="239">
        <v>70</v>
      </c>
    </row>
    <row r="5" spans="1:2" x14ac:dyDescent="0.25">
      <c r="A5" s="223" t="s">
        <v>121</v>
      </c>
      <c r="B5" s="194">
        <v>3</v>
      </c>
    </row>
    <row r="6" spans="1:2" x14ac:dyDescent="0.25">
      <c r="A6" s="223" t="s">
        <v>122</v>
      </c>
      <c r="B6" s="194">
        <v>4</v>
      </c>
    </row>
    <row r="7" spans="1:2" x14ac:dyDescent="0.25">
      <c r="A7" s="223" t="s">
        <v>123</v>
      </c>
      <c r="B7" s="194">
        <v>7</v>
      </c>
    </row>
    <row r="8" spans="1:2" x14ac:dyDescent="0.25">
      <c r="A8" s="223" t="s">
        <v>124</v>
      </c>
      <c r="B8" s="194">
        <v>5</v>
      </c>
    </row>
    <row r="9" spans="1:2" x14ac:dyDescent="0.25">
      <c r="A9" s="223" t="s">
        <v>125</v>
      </c>
      <c r="B9" s="194">
        <v>8</v>
      </c>
    </row>
    <row r="10" spans="1:2" x14ac:dyDescent="0.25">
      <c r="A10" s="223" t="s">
        <v>126</v>
      </c>
      <c r="B10" s="194">
        <v>8</v>
      </c>
    </row>
    <row r="11" spans="1:2" x14ac:dyDescent="0.25">
      <c r="A11" s="223" t="s">
        <v>127</v>
      </c>
      <c r="B11" s="194">
        <v>4</v>
      </c>
    </row>
    <row r="12" spans="1:2" s="231" customFormat="1" x14ac:dyDescent="0.25">
      <c r="A12" s="195" t="s">
        <v>128</v>
      </c>
      <c r="B12" s="194">
        <v>3</v>
      </c>
    </row>
    <row r="13" spans="1:2" x14ac:dyDescent="0.25">
      <c r="A13" s="195" t="s">
        <v>129</v>
      </c>
      <c r="B13" s="194">
        <v>15</v>
      </c>
    </row>
    <row r="14" spans="1:2" x14ac:dyDescent="0.25">
      <c r="A14" s="195" t="s">
        <v>130</v>
      </c>
      <c r="B14" s="194">
        <v>8</v>
      </c>
    </row>
    <row r="15" spans="1:2" x14ac:dyDescent="0.25">
      <c r="A15" s="195" t="s">
        <v>131</v>
      </c>
      <c r="B15" s="194">
        <v>5</v>
      </c>
    </row>
    <row r="16" spans="1:2" x14ac:dyDescent="0.25">
      <c r="A16" s="238" t="s">
        <v>132</v>
      </c>
      <c r="B16" s="239">
        <v>66</v>
      </c>
    </row>
    <row r="17" spans="1:2" x14ac:dyDescent="0.25">
      <c r="A17" s="223" t="s">
        <v>133</v>
      </c>
      <c r="B17" s="194">
        <v>7</v>
      </c>
    </row>
    <row r="18" spans="1:2" x14ac:dyDescent="0.25">
      <c r="A18" s="223" t="s">
        <v>122</v>
      </c>
      <c r="B18" s="194">
        <v>4</v>
      </c>
    </row>
    <row r="19" spans="1:2" x14ac:dyDescent="0.25">
      <c r="A19" s="223" t="s">
        <v>123</v>
      </c>
      <c r="B19" s="194">
        <v>7</v>
      </c>
    </row>
    <row r="20" spans="1:2" s="231" customFormat="1" x14ac:dyDescent="0.25">
      <c r="A20" s="223" t="s">
        <v>125</v>
      </c>
      <c r="B20" s="194">
        <v>8</v>
      </c>
    </row>
    <row r="21" spans="1:2" x14ac:dyDescent="0.25">
      <c r="A21" s="223" t="s">
        <v>126</v>
      </c>
      <c r="B21" s="194">
        <v>8</v>
      </c>
    </row>
    <row r="22" spans="1:2" x14ac:dyDescent="0.25">
      <c r="A22" s="223" t="s">
        <v>127</v>
      </c>
      <c r="B22" s="194">
        <v>4</v>
      </c>
    </row>
    <row r="23" spans="1:2" x14ac:dyDescent="0.25">
      <c r="A23" s="195" t="s">
        <v>129</v>
      </c>
      <c r="B23" s="194">
        <v>15</v>
      </c>
    </row>
    <row r="24" spans="1:2" x14ac:dyDescent="0.25">
      <c r="A24" s="195" t="s">
        <v>130</v>
      </c>
      <c r="B24" s="194">
        <v>8</v>
      </c>
    </row>
    <row r="25" spans="1:2" x14ac:dyDescent="0.25">
      <c r="A25" s="195" t="s">
        <v>131</v>
      </c>
      <c r="B25" s="194">
        <v>5</v>
      </c>
    </row>
    <row r="26" spans="1:2" x14ac:dyDescent="0.25">
      <c r="A26" s="238" t="s">
        <v>134</v>
      </c>
      <c r="B26" s="239">
        <v>64</v>
      </c>
    </row>
    <row r="27" spans="1:2" x14ac:dyDescent="0.25">
      <c r="A27" s="223" t="s">
        <v>135</v>
      </c>
      <c r="B27" s="194">
        <v>8</v>
      </c>
    </row>
    <row r="28" spans="1:2" x14ac:dyDescent="0.25">
      <c r="A28" s="223" t="s">
        <v>122</v>
      </c>
      <c r="B28" s="194">
        <v>4</v>
      </c>
    </row>
    <row r="29" spans="1:2" x14ac:dyDescent="0.25">
      <c r="A29" s="223" t="s">
        <v>136</v>
      </c>
      <c r="B29" s="194">
        <v>4</v>
      </c>
    </row>
    <row r="30" spans="1:2" s="231" customFormat="1" x14ac:dyDescent="0.25">
      <c r="A30" s="223" t="s">
        <v>123</v>
      </c>
      <c r="B30" s="194">
        <v>6</v>
      </c>
    </row>
    <row r="31" spans="1:2" x14ac:dyDescent="0.25">
      <c r="A31" s="223" t="s">
        <v>126</v>
      </c>
      <c r="B31" s="194">
        <v>8</v>
      </c>
    </row>
    <row r="32" spans="1:2" x14ac:dyDescent="0.25">
      <c r="A32" s="223" t="s">
        <v>127</v>
      </c>
      <c r="B32" s="194">
        <v>4</v>
      </c>
    </row>
    <row r="33" spans="1:2" x14ac:dyDescent="0.25">
      <c r="A33" s="195" t="s">
        <v>129</v>
      </c>
      <c r="B33" s="194">
        <v>17</v>
      </c>
    </row>
    <row r="34" spans="1:2" x14ac:dyDescent="0.25">
      <c r="A34" s="195" t="s">
        <v>130</v>
      </c>
      <c r="B34" s="194">
        <v>8</v>
      </c>
    </row>
    <row r="35" spans="1:2" x14ac:dyDescent="0.25">
      <c r="A35" s="195" t="s">
        <v>131</v>
      </c>
      <c r="B35" s="194">
        <v>5</v>
      </c>
    </row>
    <row r="36" spans="1:2" x14ac:dyDescent="0.25">
      <c r="A36" s="238" t="s">
        <v>137</v>
      </c>
      <c r="B36" s="239">
        <v>63</v>
      </c>
    </row>
    <row r="37" spans="1:2" x14ac:dyDescent="0.25">
      <c r="A37" s="223" t="s">
        <v>138</v>
      </c>
      <c r="B37" s="194">
        <v>8</v>
      </c>
    </row>
    <row r="38" spans="1:2" x14ac:dyDescent="0.25">
      <c r="A38" s="223" t="s">
        <v>121</v>
      </c>
      <c r="B38" s="194">
        <v>3</v>
      </c>
    </row>
    <row r="39" spans="1:2" s="231" customFormat="1" x14ac:dyDescent="0.25">
      <c r="A39" s="223" t="s">
        <v>122</v>
      </c>
      <c r="B39" s="194">
        <v>4</v>
      </c>
    </row>
    <row r="40" spans="1:2" x14ac:dyDescent="0.25">
      <c r="A40" s="223" t="s">
        <v>136</v>
      </c>
      <c r="B40" s="194">
        <v>4</v>
      </c>
    </row>
    <row r="41" spans="1:2" x14ac:dyDescent="0.25">
      <c r="A41" s="223" t="s">
        <v>123</v>
      </c>
      <c r="B41" s="194">
        <v>7</v>
      </c>
    </row>
    <row r="42" spans="1:2" x14ac:dyDescent="0.25">
      <c r="A42" s="223" t="s">
        <v>125</v>
      </c>
      <c r="B42" s="194">
        <v>8</v>
      </c>
    </row>
    <row r="43" spans="1:2" x14ac:dyDescent="0.25">
      <c r="A43" s="223" t="s">
        <v>126</v>
      </c>
      <c r="B43" s="194">
        <v>8</v>
      </c>
    </row>
    <row r="44" spans="1:2" x14ac:dyDescent="0.25">
      <c r="A44" s="195" t="s">
        <v>129</v>
      </c>
      <c r="B44" s="194">
        <v>16</v>
      </c>
    </row>
    <row r="45" spans="1:2" x14ac:dyDescent="0.25">
      <c r="A45" s="195" t="s">
        <v>131</v>
      </c>
      <c r="B45" s="194">
        <v>5</v>
      </c>
    </row>
    <row r="46" spans="1:2" x14ac:dyDescent="0.25">
      <c r="A46" s="223" t="s">
        <v>139</v>
      </c>
      <c r="B46" s="194">
        <v>39</v>
      </c>
    </row>
    <row r="47" spans="1:2" x14ac:dyDescent="0.25">
      <c r="A47" s="195" t="s">
        <v>140</v>
      </c>
      <c r="B47" s="194">
        <v>39</v>
      </c>
    </row>
    <row r="48" spans="1:2" x14ac:dyDescent="0.25">
      <c r="A48" s="689" t="s">
        <v>141</v>
      </c>
      <c r="B48" s="691">
        <v>302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FF0000"/>
  </sheetPr>
  <dimension ref="A1:AV1017"/>
  <sheetViews>
    <sheetView showGridLines="0" zoomScale="70" zoomScaleNormal="70" workbookViewId="0">
      <selection activeCell="L138" sqref="L138"/>
    </sheetView>
  </sheetViews>
  <sheetFormatPr baseColWidth="10" defaultColWidth="11.19921875" defaultRowHeight="14.95" customHeight="1" x14ac:dyDescent="0.25"/>
  <cols>
    <col min="1" max="1" width="4.19921875" customWidth="1"/>
    <col min="2" max="2" width="32.796875" bestFit="1" customWidth="1"/>
    <col min="3" max="3" width="40.3984375" customWidth="1"/>
    <col min="4" max="4" width="29.3984375" style="325" customWidth="1"/>
    <col min="5" max="5" width="6.8984375" style="231" customWidth="1"/>
    <col min="6" max="6" width="64.19921875" style="231" customWidth="1"/>
    <col min="7" max="7" width="73.19921875" hidden="1" customWidth="1"/>
    <col min="8" max="8" width="8.19921875" hidden="1" customWidth="1"/>
    <col min="9" max="9" width="13.296875" hidden="1" customWidth="1"/>
    <col min="10" max="10" width="8.8984375" style="195" hidden="1" customWidth="1"/>
    <col min="11" max="11" width="4.296875" style="874" hidden="1" customWidth="1"/>
    <col min="12" max="12" width="39.3984375" customWidth="1"/>
    <col min="13" max="13" width="31.3984375" customWidth="1"/>
    <col min="14" max="14" width="8.69921875" customWidth="1"/>
    <col min="15" max="15" width="22.8984375" customWidth="1"/>
    <col min="16" max="16" width="21.3984375" customWidth="1"/>
    <col min="17" max="17" width="37.796875" customWidth="1"/>
    <col min="18" max="18" width="25.69921875" style="192" customWidth="1"/>
    <col min="19" max="19" width="12.796875" customWidth="1"/>
    <col min="20" max="21" width="11.8984375" customWidth="1"/>
    <col min="22" max="22" width="15.3984375" customWidth="1"/>
    <col min="23" max="23" width="62.59765625" hidden="1" customWidth="1"/>
    <col min="24" max="24" width="17.296875" customWidth="1"/>
    <col min="25" max="25" width="17.296875" style="1277" customWidth="1"/>
    <col min="26" max="29" width="14.69921875" style="587" customWidth="1"/>
    <col min="30" max="30" width="10.69921875" style="587" bestFit="1" customWidth="1"/>
    <col min="31" max="31" width="10.69921875" style="587" customWidth="1"/>
    <col min="32" max="32" width="10.69921875" style="587" bestFit="1" customWidth="1"/>
    <col min="33" max="33" width="10.69921875" style="587" customWidth="1"/>
    <col min="34" max="34" width="10.69921875" style="587" bestFit="1" customWidth="1"/>
    <col min="35" max="35" width="10.69921875" style="587" customWidth="1"/>
    <col min="36" max="36" width="10.69921875" style="587" bestFit="1" customWidth="1"/>
    <col min="37" max="37" width="10.69921875" style="587" customWidth="1"/>
    <col min="38" max="38" width="10.69921875" style="587" bestFit="1" customWidth="1"/>
    <col min="39" max="39" width="11.3984375" hidden="1" customWidth="1"/>
    <col min="40" max="40" width="19.09765625" customWidth="1"/>
    <col min="41" max="41" width="22.59765625" customWidth="1"/>
    <col min="42" max="42" width="23.19921875" customWidth="1"/>
    <col min="43" max="43" width="15.3984375" customWidth="1"/>
    <col min="44" max="44" width="10.59765625" hidden="1" customWidth="1"/>
    <col min="45" max="45" width="12.296875" customWidth="1"/>
    <col min="46" max="46" width="10.59765625" hidden="1" customWidth="1"/>
  </cols>
  <sheetData>
    <row r="1" spans="1:48" s="1186" customFormat="1" ht="14.95" customHeight="1" x14ac:dyDescent="0.25">
      <c r="E1" s="231"/>
      <c r="F1" s="231"/>
      <c r="J1" s="195"/>
      <c r="Y1" s="1277"/>
      <c r="Z1" s="587"/>
      <c r="AA1" s="587"/>
      <c r="AB1" s="587"/>
      <c r="AC1" s="587"/>
      <c r="AD1" s="587"/>
      <c r="AE1" s="587"/>
      <c r="AF1" s="587"/>
      <c r="AG1" s="587"/>
      <c r="AH1" s="587"/>
      <c r="AI1" s="587"/>
      <c r="AJ1" s="587"/>
      <c r="AK1" s="587"/>
      <c r="AL1" s="587"/>
    </row>
    <row r="2" spans="1:48" ht="15.8" customHeight="1" x14ac:dyDescent="0.3">
      <c r="A2" s="825"/>
      <c r="B2" s="825"/>
      <c r="C2" s="825"/>
      <c r="D2" s="825"/>
      <c r="G2" s="825"/>
      <c r="H2" s="18"/>
      <c r="I2" s="825"/>
      <c r="L2" s="825"/>
      <c r="M2" s="825"/>
      <c r="N2" s="825"/>
      <c r="O2" s="825"/>
      <c r="P2" s="825"/>
      <c r="Q2" s="21"/>
      <c r="R2" s="21"/>
      <c r="S2" s="19"/>
      <c r="T2" s="19"/>
      <c r="U2" s="19"/>
      <c r="V2" s="19"/>
      <c r="W2" s="825"/>
      <c r="X2" s="825"/>
      <c r="AM2" s="825"/>
      <c r="AN2" s="825"/>
      <c r="AO2" s="825"/>
      <c r="AP2" s="825"/>
      <c r="AQ2" s="825"/>
      <c r="AR2" s="825"/>
      <c r="AS2" s="825"/>
      <c r="AT2" s="825"/>
      <c r="AU2" s="825"/>
      <c r="AV2" s="825"/>
    </row>
    <row r="3" spans="1:48" s="1186" customFormat="1" ht="25.15" customHeight="1" x14ac:dyDescent="0.4">
      <c r="E3" s="231"/>
      <c r="F3" s="231"/>
      <c r="H3" s="18"/>
      <c r="J3" s="195"/>
      <c r="Q3" s="21"/>
      <c r="R3" s="21"/>
      <c r="S3" s="19"/>
      <c r="T3" s="19"/>
      <c r="U3" s="19"/>
      <c r="V3" s="19"/>
      <c r="Y3" s="1280">
        <v>1.0500000000000001E-2</v>
      </c>
      <c r="Z3" s="1505" t="s">
        <v>2695</v>
      </c>
      <c r="AA3" s="1505"/>
      <c r="AB3" s="1505"/>
      <c r="AC3" s="1505"/>
      <c r="AD3" s="1505"/>
      <c r="AE3" s="587"/>
      <c r="AF3" s="587"/>
      <c r="AG3" s="587"/>
      <c r="AH3" s="587"/>
      <c r="AI3" s="587"/>
      <c r="AJ3" s="587"/>
      <c r="AK3" s="587"/>
      <c r="AL3" s="587"/>
    </row>
    <row r="4" spans="1:48" ht="23.8" x14ac:dyDescent="0.4">
      <c r="A4" s="825"/>
      <c r="B4" s="825"/>
      <c r="C4" s="1183" t="s">
        <v>2583</v>
      </c>
      <c r="D4" s="825"/>
      <c r="G4" s="825"/>
      <c r="H4" s="18"/>
      <c r="I4" s="825"/>
      <c r="L4" s="825"/>
      <c r="M4" s="825"/>
      <c r="N4" s="825"/>
      <c r="O4" s="825"/>
      <c r="P4" s="825"/>
      <c r="Q4" s="21"/>
      <c r="R4" s="21"/>
      <c r="S4" s="19"/>
      <c r="T4" s="19"/>
      <c r="U4" s="19"/>
      <c r="V4" s="19"/>
      <c r="W4" s="825"/>
      <c r="X4" s="825"/>
      <c r="AM4" s="825"/>
      <c r="AN4" s="825"/>
      <c r="AO4" s="825"/>
      <c r="AP4" s="825"/>
      <c r="AQ4" s="825"/>
      <c r="AR4" s="825"/>
      <c r="AS4" s="825"/>
      <c r="AT4" s="825"/>
      <c r="AU4" s="825"/>
      <c r="AV4" s="825"/>
    </row>
    <row r="5" spans="1:48" ht="18" customHeight="1" x14ac:dyDescent="0.25">
      <c r="A5" s="1"/>
      <c r="B5" s="1"/>
      <c r="C5" s="1"/>
      <c r="D5" s="1"/>
      <c r="E5" s="35"/>
      <c r="F5" s="35"/>
      <c r="G5" s="1"/>
      <c r="H5" s="1"/>
      <c r="I5" s="1"/>
      <c r="J5" s="262"/>
      <c r="K5" s="1"/>
      <c r="L5" s="1"/>
      <c r="M5" s="1"/>
      <c r="N5" s="1"/>
      <c r="O5" s="1"/>
      <c r="P5" s="1"/>
      <c r="Q5" s="16"/>
      <c r="R5" s="16"/>
      <c r="S5" s="25"/>
      <c r="T5" s="25"/>
      <c r="U5" s="25"/>
      <c r="V5" s="25"/>
      <c r="W5" s="1"/>
      <c r="X5" s="1504" t="s">
        <v>1848</v>
      </c>
      <c r="Y5" s="1504"/>
      <c r="Z5" s="1504"/>
      <c r="AA5" s="1278"/>
      <c r="AB5" s="1504" t="s">
        <v>1849</v>
      </c>
      <c r="AC5" s="1504"/>
      <c r="AD5" s="1504"/>
      <c r="AE5" s="1504"/>
      <c r="AF5" s="1504"/>
      <c r="AG5" s="1504"/>
      <c r="AH5" s="1504"/>
      <c r="AI5" s="1504"/>
      <c r="AJ5" s="1504"/>
      <c r="AK5" s="1278"/>
      <c r="AL5" s="1018"/>
      <c r="AM5" s="1"/>
      <c r="AN5" s="1468" t="s">
        <v>976</v>
      </c>
      <c r="AO5" s="1393"/>
      <c r="AP5" s="1393"/>
      <c r="AQ5" s="1394"/>
      <c r="AR5" s="23"/>
      <c r="AS5" s="1"/>
      <c r="AT5" s="1"/>
      <c r="AU5" s="825"/>
      <c r="AV5" s="825"/>
    </row>
    <row r="6" spans="1:48" s="584" customFormat="1" ht="72" customHeight="1" x14ac:dyDescent="0.2">
      <c r="A6" s="576"/>
      <c r="B6" s="577" t="s">
        <v>142</v>
      </c>
      <c r="C6" s="577" t="s">
        <v>351</v>
      </c>
      <c r="D6" s="578" t="s">
        <v>1850</v>
      </c>
      <c r="E6" s="579" t="s">
        <v>964</v>
      </c>
      <c r="F6" s="577" t="s">
        <v>965</v>
      </c>
      <c r="G6" s="580" t="s">
        <v>468</v>
      </c>
      <c r="H6" s="581" t="s">
        <v>1851</v>
      </c>
      <c r="I6" s="581" t="s">
        <v>1852</v>
      </c>
      <c r="J6" s="973" t="s">
        <v>2327</v>
      </c>
      <c r="K6" s="581" t="s">
        <v>2328</v>
      </c>
      <c r="L6" s="581" t="s">
        <v>1853</v>
      </c>
      <c r="M6" s="581" t="s">
        <v>1854</v>
      </c>
      <c r="N6" s="581" t="s">
        <v>1855</v>
      </c>
      <c r="O6" s="581" t="s">
        <v>966</v>
      </c>
      <c r="P6" s="581" t="s">
        <v>1856</v>
      </c>
      <c r="Q6" s="581" t="s">
        <v>470</v>
      </c>
      <c r="R6" s="582" t="s">
        <v>1180</v>
      </c>
      <c r="S6" s="582" t="s">
        <v>968</v>
      </c>
      <c r="T6" s="582" t="s">
        <v>969</v>
      </c>
      <c r="U6" s="582" t="s">
        <v>970</v>
      </c>
      <c r="V6" s="581" t="s">
        <v>971</v>
      </c>
      <c r="W6" s="581" t="s">
        <v>972</v>
      </c>
      <c r="X6" s="1279" t="s">
        <v>2688</v>
      </c>
      <c r="Y6" s="586" t="s">
        <v>978</v>
      </c>
      <c r="Z6" s="1279" t="s">
        <v>2689</v>
      </c>
      <c r="AA6" s="586" t="s">
        <v>979</v>
      </c>
      <c r="AB6" s="1279" t="s">
        <v>2690</v>
      </c>
      <c r="AC6" s="586" t="s">
        <v>980</v>
      </c>
      <c r="AD6" s="1279" t="s">
        <v>2691</v>
      </c>
      <c r="AE6" s="586" t="s">
        <v>981</v>
      </c>
      <c r="AF6" s="1279" t="s">
        <v>2692</v>
      </c>
      <c r="AG6" s="586" t="s">
        <v>982</v>
      </c>
      <c r="AH6" s="1279" t="s">
        <v>2693</v>
      </c>
      <c r="AI6" s="586" t="s">
        <v>983</v>
      </c>
      <c r="AJ6" s="1279" t="s">
        <v>2694</v>
      </c>
      <c r="AK6" s="586" t="s">
        <v>984</v>
      </c>
      <c r="AL6" s="581" t="s">
        <v>975</v>
      </c>
      <c r="AM6" s="583" t="s">
        <v>985</v>
      </c>
      <c r="AN6" s="583" t="s">
        <v>986</v>
      </c>
      <c r="AO6" s="583" t="s">
        <v>987</v>
      </c>
      <c r="AP6" s="583" t="s">
        <v>988</v>
      </c>
      <c r="AQ6" s="583" t="s">
        <v>253</v>
      </c>
      <c r="AR6" s="581" t="s">
        <v>977</v>
      </c>
      <c r="AS6" s="576" t="s">
        <v>1123</v>
      </c>
    </row>
    <row r="7" spans="1:48" s="195" customFormat="1" ht="16.3" hidden="1" x14ac:dyDescent="0.3">
      <c r="A7" s="402"/>
      <c r="B7" s="403" t="str">
        <f>'4. Intervenciones UDT - HCBM'!$C$8</f>
        <v>UDT HUALLAGA CENTRAL Y BAJO MAYO</v>
      </c>
      <c r="C7" s="403" t="str">
        <f>'4. Intervenciones UDT - HCBM'!$F$10</f>
        <v>Predios de agricultura familiar con producción destinada al autoconsumo y productos de exportación, con título o sin título de propiedad.</v>
      </c>
      <c r="D7" s="404" t="str">
        <f>+'4. Intervenciones UDT - HCBM'!A18</f>
        <v>Invasiones</v>
      </c>
      <c r="E7" s="404" t="str">
        <f>+'4. Intervenciones UDT - HCBM'!C18</f>
        <v>1.1.1</v>
      </c>
      <c r="F7" s="404" t="str">
        <f>+'4. Intervenciones UDT - HCBM'!D18</f>
        <v>Otorgamiento de derechos sobre la tierra/bosques</v>
      </c>
      <c r="G7" s="404" t="str">
        <f>+'4. Intervenciones UDT - HCBM'!E18</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7" s="948" t="s">
        <v>1857</v>
      </c>
      <c r="I7" s="949" t="s">
        <v>199</v>
      </c>
      <c r="J7" s="949" t="s">
        <v>2591</v>
      </c>
      <c r="K7" s="949" t="s">
        <v>2331</v>
      </c>
      <c r="L7" s="949" t="s">
        <v>202</v>
      </c>
      <c r="M7" s="949" t="s">
        <v>1858</v>
      </c>
      <c r="N7" s="948" t="s">
        <v>1859</v>
      </c>
      <c r="O7" s="948" t="s">
        <v>223</v>
      </c>
      <c r="P7" s="950" t="s">
        <v>1860</v>
      </c>
      <c r="Q7" s="948" t="str">
        <f>+'4. Intervenciones UDT - HCBM'!F18</f>
        <v>N° Títulos/Contratos otorgados</v>
      </c>
      <c r="R7" s="405">
        <f>+'4. Intervenciones UDT - HCBM'!I18</f>
        <v>51977.568789166602</v>
      </c>
      <c r="S7" s="405">
        <f>+'4. Intervenciones UDT - HCBM'!J18</f>
        <v>25988.784394583301</v>
      </c>
      <c r="T7" s="405">
        <f>+'4. Intervenciones UDT - HCBM'!K18</f>
        <v>25988.784394583301</v>
      </c>
      <c r="U7" s="405">
        <f>+'4. Intervenciones UDT - HCBM'!L18</f>
        <v>2000</v>
      </c>
      <c r="V7" s="403" t="str">
        <f>+'4. Intervenciones UDT - HCBM'!M18</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7" s="403" t="str">
        <f>+'4. Intervenciones UDT - HCBM'!N18</f>
        <v>Programa de titulación PTR 3 / ARA</v>
      </c>
      <c r="X7" s="588">
        <f>+'4. Intervenciones UDT - HCBM'!O18</f>
        <v>51977568.7891666</v>
      </c>
      <c r="Y7" s="588">
        <f>+Tabla1[[#This Row],[2025 Directo]]*(1+$Y$3)</f>
        <v>52523333.261452846</v>
      </c>
      <c r="Z7" s="588">
        <f>+'4. Intervenciones UDT - HCBM'!P18</f>
        <v>51977568.7891666</v>
      </c>
      <c r="AA7" s="588">
        <f>+Tabla1[[#This Row],[2030 Directo]]*(1+$Y$3)</f>
        <v>52523333.261452846</v>
      </c>
      <c r="AB7" s="588">
        <f>+'4. Intervenciones UDT - HCBM'!Q18</f>
        <v>5197756.8789166603</v>
      </c>
      <c r="AC7" s="588">
        <f>+Tabla1[[#This Row],[Año 1 Cto Directo]]*(1+$Y$3)</f>
        <v>5252333.3261452848</v>
      </c>
      <c r="AD7" s="588">
        <f>+'4. Intervenciones UDT - HCBM'!R18</f>
        <v>7796635.3183749896</v>
      </c>
      <c r="AE7" s="588">
        <f>+Tabla1[[#This Row],[Año 2 Cto. Directo]]*(1+$Y$3)</f>
        <v>7878499.9892179267</v>
      </c>
      <c r="AF7" s="588">
        <f>+'4. Intervenciones UDT - HCBM'!S18</f>
        <v>10395513.757833321</v>
      </c>
      <c r="AG7" s="588">
        <f>+Tabla1[[#This Row],[Año 3 Cto. Directo]]*(1+$Y$3)</f>
        <v>10504666.65229057</v>
      </c>
      <c r="AH7" s="588">
        <f>+'4. Intervenciones UDT - HCBM'!T18</f>
        <v>15593270.636749979</v>
      </c>
      <c r="AI7" s="588">
        <f>+Tabla1[[#This Row],[Año 4 Cto. Directo]]*(1+$Y$3)</f>
        <v>15756999.978435853</v>
      </c>
      <c r="AJ7" s="588">
        <f>+'4. Intervenciones UDT - HCBM'!U18</f>
        <v>12994392.19729165</v>
      </c>
      <c r="AK7" s="588">
        <f>+Tabla1[[#This Row],[Año 5 Cto. Directo]]*(1+$Y$3)</f>
        <v>13130833.315363212</v>
      </c>
      <c r="AL7" s="406">
        <f>+'4. Intervenciones UDT - HCBM'!V18</f>
        <v>0</v>
      </c>
      <c r="AM7" s="954"/>
      <c r="AN7" s="954"/>
      <c r="AO7" s="954" t="str">
        <f>+'4. Intervenciones UDT - HCBM'!Y18</f>
        <v>X</v>
      </c>
      <c r="AP7" s="954"/>
      <c r="AQ7" s="954" t="str">
        <f>+'4. Intervenciones UDT - HCBM'!AA18</f>
        <v>RE</v>
      </c>
      <c r="AR7" s="954">
        <f>+'4. Intervenciones UDT - HCBM'!AB18</f>
        <v>3</v>
      </c>
      <c r="AS7" s="403">
        <f t="shared" ref="AS7" si="0">COUNTIF(AM7:AP7, "X")</f>
        <v>1</v>
      </c>
    </row>
    <row r="8" spans="1:48" s="195" customFormat="1" ht="15.8" hidden="1" customHeight="1" x14ac:dyDescent="0.3">
      <c r="A8" s="403"/>
      <c r="B8" s="403" t="str">
        <f>'4. Intervenciones UDT - HCBM'!$C$8</f>
        <v>UDT HUALLAGA CENTRAL Y BAJO MAYO</v>
      </c>
      <c r="C8" s="403" t="str">
        <f>'4. Intervenciones UDT - HCBM'!$F$10</f>
        <v>Predios de agricultura familiar con producción destinada al autoconsumo y productos de exportación, con título o sin título de propiedad.</v>
      </c>
      <c r="D8" s="404" t="str">
        <f>+'4. Intervenciones UDT - HCBM'!A19</f>
        <v>Programas de inversión pública</v>
      </c>
      <c r="E8" s="404" t="str">
        <f>+'4. Intervenciones UDT - HCBM'!C19</f>
        <v>1.1.2</v>
      </c>
      <c r="F8" s="403" t="str">
        <f>+'4. Intervenciones UDT - HCBM'!D19</f>
        <v>Asistencia técnica con enfoque bajo en emisiones</v>
      </c>
      <c r="G8" s="403" t="str">
        <f>+'4. Intervenciones UDT - HCBM'!E19</f>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v>
      </c>
      <c r="H8" s="948" t="s">
        <v>1857</v>
      </c>
      <c r="I8" s="418" t="s">
        <v>193</v>
      </c>
      <c r="J8" s="418" t="s">
        <v>2592</v>
      </c>
      <c r="K8" s="418" t="s">
        <v>2329</v>
      </c>
      <c r="L8" s="418" t="s">
        <v>194</v>
      </c>
      <c r="M8" s="418" t="s">
        <v>1861</v>
      </c>
      <c r="N8" s="948" t="s">
        <v>1862</v>
      </c>
      <c r="O8" s="948" t="s">
        <v>224</v>
      </c>
      <c r="P8" s="951" t="s">
        <v>1863</v>
      </c>
      <c r="Q8" s="948" t="str">
        <f>+'4. Intervenciones UDT - HCBM'!F19</f>
        <v>Productores asistidos</v>
      </c>
      <c r="R8" s="405">
        <f>+'4. Intervenciones UDT - HCBM'!I19</f>
        <v>74562</v>
      </c>
      <c r="S8" s="405">
        <f>+'4. Intervenciones UDT - HCBM'!J19</f>
        <v>22368.6</v>
      </c>
      <c r="T8" s="405">
        <f>+'4. Intervenciones UDT - HCBM'!K19</f>
        <v>29824.800000000003</v>
      </c>
      <c r="U8" s="405">
        <f>+'4. Intervenciones UDT - HCBM'!L19</f>
        <v>560</v>
      </c>
      <c r="V8" s="403" t="str">
        <f>+'4. Intervenciones UDT - HCBM'!M19</f>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v>
      </c>
      <c r="W8" s="403" t="str">
        <f>+'4. Intervenciones UDT - HCBM'!N19</f>
        <v>DRASAM</v>
      </c>
      <c r="X8" s="588">
        <f>+'4. Intervenciones UDT - HCBM'!O19</f>
        <v>12526416</v>
      </c>
      <c r="Y8" s="588">
        <f>+Tabla1[[#This Row],[2025 Directo]]*(1+$Y$3)</f>
        <v>12657943.367999999</v>
      </c>
      <c r="Z8" s="588">
        <f>+'4. Intervenciones UDT - HCBM'!P19</f>
        <v>16701888.000000002</v>
      </c>
      <c r="AA8" s="588">
        <f>+Tabla1[[#This Row],[2030 Directo]]*(1+$Y$3)</f>
        <v>16877257.824000001</v>
      </c>
      <c r="AB8" s="588">
        <f>+'4. Intervenciones UDT - HCBM'!Q19</f>
        <v>2505283.2000000002</v>
      </c>
      <c r="AC8" s="588">
        <f>+Tabla1[[#This Row],[Año 1 Cto Directo]]*(1+$Y$3)</f>
        <v>2531588.6735999999</v>
      </c>
      <c r="AD8" s="588">
        <f>+'4. Intervenciones UDT - HCBM'!R19</f>
        <v>2505283.2000000002</v>
      </c>
      <c r="AE8" s="588">
        <f>+Tabla1[[#This Row],[Año 2 Cto. Directo]]*(1+$Y$3)</f>
        <v>2531588.6735999999</v>
      </c>
      <c r="AF8" s="588">
        <f>+'4. Intervenciones UDT - HCBM'!S19</f>
        <v>2505283.2000000002</v>
      </c>
      <c r="AG8" s="588">
        <f>+Tabla1[[#This Row],[Año 3 Cto. Directo]]*(1+$Y$3)</f>
        <v>2531588.6735999999</v>
      </c>
      <c r="AH8" s="588">
        <f>+'4. Intervenciones UDT - HCBM'!T19</f>
        <v>2505283.2000000002</v>
      </c>
      <c r="AI8" s="588">
        <f>+Tabla1[[#This Row],[Año 4 Cto. Directo]]*(1+$Y$3)</f>
        <v>2531588.6735999999</v>
      </c>
      <c r="AJ8" s="588">
        <f>+'4. Intervenciones UDT - HCBM'!U19</f>
        <v>2505283.2000000002</v>
      </c>
      <c r="AK8" s="588">
        <f>+Tabla1[[#This Row],[Año 5 Cto. Directo]]*(1+$Y$3)</f>
        <v>2531588.6735999999</v>
      </c>
      <c r="AL8" s="406">
        <f>+'4. Intervenciones UDT - HCBM'!V19</f>
        <v>0</v>
      </c>
      <c r="AM8" s="954"/>
      <c r="AN8" s="954"/>
      <c r="AO8" s="954" t="str">
        <f>+'4. Intervenciones UDT - HCBM'!Y19</f>
        <v>X</v>
      </c>
      <c r="AP8" s="954"/>
      <c r="AQ8" s="954" t="str">
        <f>+'4. Intervenciones UDT - HCBM'!AA19</f>
        <v>RE</v>
      </c>
      <c r="AR8" s="954">
        <f>+'4. Intervenciones UDT - HCBM'!AB19</f>
        <v>2</v>
      </c>
      <c r="AS8" s="403">
        <f t="shared" ref="AS8:AS284" si="1">COUNTIF(AM8:AP8, "X")</f>
        <v>1</v>
      </c>
    </row>
    <row r="9" spans="1:48" s="195" customFormat="1" ht="15.8" hidden="1" customHeight="1" x14ac:dyDescent="0.3">
      <c r="A9" s="403"/>
      <c r="B9" s="403" t="str">
        <f>'4. Intervenciones UDT - HCBM'!$C$8</f>
        <v>UDT HUALLAGA CENTRAL Y BAJO MAYO</v>
      </c>
      <c r="C9" s="403" t="str">
        <f>'4. Intervenciones UDT - HCBM'!$F$10</f>
        <v>Predios de agricultura familiar con producción destinada al autoconsumo y productos de exportación, con título o sin título de propiedad.</v>
      </c>
      <c r="D9" s="404" t="str">
        <f>+'4. Intervenciones UDT - HCBM'!A20</f>
        <v>Programas de inversión pública</v>
      </c>
      <c r="E9" s="404" t="str">
        <f>+'4. Intervenciones UDT - HCBM'!C20</f>
        <v>1.1.3</v>
      </c>
      <c r="F9" s="403" t="str">
        <f>+'4. Intervenciones UDT - HCBM'!D20</f>
        <v>Manejo, conservación y recuperación de suelos degradados</v>
      </c>
      <c r="G9" s="403" t="str">
        <f>+'4. Intervenciones UDT - HCBM'!E20</f>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v>
      </c>
      <c r="H9" s="948" t="s">
        <v>1864</v>
      </c>
      <c r="I9" s="418" t="s">
        <v>193</v>
      </c>
      <c r="J9" s="418" t="s">
        <v>2592</v>
      </c>
      <c r="K9" s="418" t="s">
        <v>2329</v>
      </c>
      <c r="L9" s="418" t="s">
        <v>194</v>
      </c>
      <c r="M9" s="418" t="s">
        <v>1861</v>
      </c>
      <c r="N9" s="948" t="s">
        <v>1862</v>
      </c>
      <c r="O9" s="948" t="s">
        <v>219</v>
      </c>
      <c r="P9" s="951" t="s">
        <v>1865</v>
      </c>
      <c r="Q9" s="952" t="str">
        <f>+'4. Intervenciones UDT - HCBM'!F20</f>
        <v>Hectáreas intervenidas</v>
      </c>
      <c r="R9" s="405">
        <f>+'4. Intervenciones UDT - HCBM'!I20</f>
        <v>155570</v>
      </c>
      <c r="S9" s="405">
        <f>+'4. Intervenciones UDT - HCBM'!J20</f>
        <v>46671</v>
      </c>
      <c r="T9" s="405">
        <f>+'4. Intervenciones UDT - HCBM'!K20</f>
        <v>46671</v>
      </c>
      <c r="U9" s="405">
        <f>+'4. Intervenciones UDT - HCBM'!L20</f>
        <v>500</v>
      </c>
      <c r="V9" s="403" t="str">
        <f>+'4. Intervenciones UDT - HCBM'!M20</f>
        <v>El costo incluye adquisición de semillas, insumos, fertilizantes, entre otras para la producción de plantas agroforestales o coberturas  verdes.</v>
      </c>
      <c r="W9" s="403" t="str">
        <f>+'4. Intervenciones UDT - HCBM'!N20</f>
        <v>DRASAM</v>
      </c>
      <c r="X9" s="588">
        <f>+'4. Intervenciones UDT - HCBM'!O20</f>
        <v>23335500</v>
      </c>
      <c r="Y9" s="588">
        <f>+Tabla1[[#This Row],[2025 Directo]]*(1+$Y$3)</f>
        <v>23580522.75</v>
      </c>
      <c r="Z9" s="588">
        <f>+'4. Intervenciones UDT - HCBM'!P20</f>
        <v>23335500</v>
      </c>
      <c r="AA9" s="588">
        <f>+Tabla1[[#This Row],[2030 Directo]]*(1+$Y$3)</f>
        <v>23580522.75</v>
      </c>
      <c r="AB9" s="588">
        <f>+'4. Intervenciones UDT - HCBM'!Q20</f>
        <v>7000650</v>
      </c>
      <c r="AC9" s="588">
        <f>+Tabla1[[#This Row],[Año 1 Cto Directo]]*(1+$Y$3)</f>
        <v>7074156.8249999993</v>
      </c>
      <c r="AD9" s="588">
        <f>+'4. Intervenciones UDT - HCBM'!R20</f>
        <v>5833875</v>
      </c>
      <c r="AE9" s="588">
        <f>+Tabla1[[#This Row],[Año 2 Cto. Directo]]*(1+$Y$3)</f>
        <v>5895130.6875</v>
      </c>
      <c r="AF9" s="588">
        <f>+'4. Intervenciones UDT - HCBM'!S20</f>
        <v>4667100</v>
      </c>
      <c r="AG9" s="588">
        <f>+Tabla1[[#This Row],[Año 3 Cto. Directo]]*(1+$Y$3)</f>
        <v>4716104.55</v>
      </c>
      <c r="AH9" s="588">
        <f>+'4. Intervenciones UDT - HCBM'!T20</f>
        <v>3500325</v>
      </c>
      <c r="AI9" s="588">
        <f>+Tabla1[[#This Row],[Año 4 Cto. Directo]]*(1+$Y$3)</f>
        <v>3537078.4124999996</v>
      </c>
      <c r="AJ9" s="588">
        <f>+'4. Intervenciones UDT - HCBM'!U20</f>
        <v>2333550</v>
      </c>
      <c r="AK9" s="588">
        <f>+Tabla1[[#This Row],[Año 5 Cto. Directo]]*(1+$Y$3)</f>
        <v>2358052.2749999999</v>
      </c>
      <c r="AL9" s="403">
        <f>+'4. Intervenciones UDT - HCBM'!V20</f>
        <v>0</v>
      </c>
      <c r="AM9" s="954"/>
      <c r="AN9" s="954"/>
      <c r="AO9" s="954" t="str">
        <f>+'4. Intervenciones UDT - HCBM'!Y20</f>
        <v>X</v>
      </c>
      <c r="AP9" s="954"/>
      <c r="AQ9" s="954"/>
      <c r="AR9" s="954">
        <f>+'4. Intervenciones UDT - HCBM'!AB20</f>
        <v>3</v>
      </c>
      <c r="AS9" s="403">
        <f t="shared" si="1"/>
        <v>1</v>
      </c>
    </row>
    <row r="10" spans="1:48" s="195" customFormat="1" ht="15.8" hidden="1" customHeight="1" x14ac:dyDescent="0.3">
      <c r="A10" s="403"/>
      <c r="B10" s="403" t="str">
        <f>'4. Intervenciones UDT - HCBM'!$C$8</f>
        <v>UDT HUALLAGA CENTRAL Y BAJO MAYO</v>
      </c>
      <c r="C10" s="403" t="str">
        <f>'4. Intervenciones UDT - HCBM'!$F$10</f>
        <v>Predios de agricultura familiar con producción destinada al autoconsumo y productos de exportación, con título o sin título de propiedad.</v>
      </c>
      <c r="D10" s="404" t="str">
        <f>+'4. Intervenciones UDT - HCBM'!A21</f>
        <v>Programas de inversión pública</v>
      </c>
      <c r="E10" s="404" t="str">
        <f>+'4. Intervenciones UDT - HCBM'!C21</f>
        <v>1.1.4</v>
      </c>
      <c r="F10" s="403" t="str">
        <f>+'4. Intervenciones UDT - HCBM'!D21</f>
        <v>Fertilización de áreas productivas de acuerdo a la etapa fenológica del cultivo</v>
      </c>
      <c r="G10" s="403" t="str">
        <f>+'4. Intervenciones UDT - HCBM'!E21</f>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v>
      </c>
      <c r="H10" s="948" t="s">
        <v>1864</v>
      </c>
      <c r="I10" s="418" t="s">
        <v>193</v>
      </c>
      <c r="J10" s="418" t="s">
        <v>2592</v>
      </c>
      <c r="K10" s="418" t="s">
        <v>2329</v>
      </c>
      <c r="L10" s="418" t="s">
        <v>194</v>
      </c>
      <c r="M10" s="418" t="s">
        <v>1861</v>
      </c>
      <c r="N10" s="948" t="s">
        <v>1862</v>
      </c>
      <c r="O10" s="948" t="s">
        <v>219</v>
      </c>
      <c r="P10" s="951" t="s">
        <v>1865</v>
      </c>
      <c r="Q10" s="948" t="str">
        <f>+'4. Intervenciones UDT - HCBM'!F21</f>
        <v>hectáreas fertilizadas</v>
      </c>
      <c r="R10" s="405">
        <f>+'4. Intervenciones UDT - HCBM'!I21</f>
        <v>155570</v>
      </c>
      <c r="S10" s="405">
        <f>+'4. Intervenciones UDT - HCBM'!J21</f>
        <v>31114</v>
      </c>
      <c r="T10" s="405">
        <f>+'4. Intervenciones UDT - HCBM'!K21</f>
        <v>46671</v>
      </c>
      <c r="U10" s="405">
        <f>+'4. Intervenciones UDT - HCBM'!L21</f>
        <v>2500</v>
      </c>
      <c r="V10" s="403" t="str">
        <f>+'4. Intervenciones UDT - HCBM'!M21</f>
        <v>El costo incluye un análisis de suelos, paquete de fertilización según los resultados del análisis y la adquisición de fertilizantes. El costo incluye los tres abonamientos requeridos en una campaña (1 año).</v>
      </c>
      <c r="W10" s="403" t="str">
        <f>+'4. Intervenciones UDT - HCBM'!N21</f>
        <v>DRASAM</v>
      </c>
      <c r="X10" s="588">
        <f>+'4. Intervenciones UDT - HCBM'!O21</f>
        <v>77785000</v>
      </c>
      <c r="Y10" s="588">
        <f>+Tabla1[[#This Row],[2025 Directo]]*(1+$Y$3)</f>
        <v>78601742.5</v>
      </c>
      <c r="Z10" s="588">
        <f>+'4. Intervenciones UDT - HCBM'!P21</f>
        <v>116677500</v>
      </c>
      <c r="AA10" s="588">
        <f>+Tabla1[[#This Row],[2030 Directo]]*(1+$Y$3)</f>
        <v>117902613.75</v>
      </c>
      <c r="AB10" s="588">
        <f>+'4. Intervenciones UDT - HCBM'!Q21</f>
        <v>15557000</v>
      </c>
      <c r="AC10" s="588">
        <f>+Tabla1[[#This Row],[Año 1 Cto Directo]]*(1+$Y$3)</f>
        <v>15720348.5</v>
      </c>
      <c r="AD10" s="588">
        <f>+'4. Intervenciones UDT - HCBM'!R21</f>
        <v>15557000</v>
      </c>
      <c r="AE10" s="588">
        <f>+Tabla1[[#This Row],[Año 2 Cto. Directo]]*(1+$Y$3)</f>
        <v>15720348.5</v>
      </c>
      <c r="AF10" s="588">
        <f>+'4. Intervenciones UDT - HCBM'!S21</f>
        <v>15557000</v>
      </c>
      <c r="AG10" s="588">
        <f>+Tabla1[[#This Row],[Año 3 Cto. Directo]]*(1+$Y$3)</f>
        <v>15720348.5</v>
      </c>
      <c r="AH10" s="588">
        <f>+'4. Intervenciones UDT - HCBM'!T21</f>
        <v>15557000</v>
      </c>
      <c r="AI10" s="588">
        <f>+Tabla1[[#This Row],[Año 4 Cto. Directo]]*(1+$Y$3)</f>
        <v>15720348.5</v>
      </c>
      <c r="AJ10" s="588">
        <f>+'4. Intervenciones UDT - HCBM'!U21</f>
        <v>15557000</v>
      </c>
      <c r="AK10" s="588">
        <f>+Tabla1[[#This Row],[Año 5 Cto. Directo]]*(1+$Y$3)</f>
        <v>15720348.5</v>
      </c>
      <c r="AL10" s="403">
        <f>+'4. Intervenciones UDT - HCBM'!V21</f>
        <v>0</v>
      </c>
      <c r="AM10" s="954"/>
      <c r="AN10" s="954"/>
      <c r="AO10" s="954" t="str">
        <f>+'4. Intervenciones UDT - HCBM'!Y21</f>
        <v>X</v>
      </c>
      <c r="AP10" s="954"/>
      <c r="AQ10" s="954" t="str">
        <f>+'4. Intervenciones UDT - HCBM'!AA21</f>
        <v>RE</v>
      </c>
      <c r="AR10" s="954">
        <f>+'4. Intervenciones UDT - HCBM'!AB21</f>
        <v>3</v>
      </c>
      <c r="AS10" s="403">
        <f t="shared" si="1"/>
        <v>1</v>
      </c>
    </row>
    <row r="11" spans="1:48" s="195" customFormat="1" ht="15.8" hidden="1" customHeight="1" x14ac:dyDescent="0.3">
      <c r="A11" s="403"/>
      <c r="B11" s="403" t="str">
        <f>'4. Intervenciones UDT - HCBM'!$C$8</f>
        <v>UDT HUALLAGA CENTRAL Y BAJO MAYO</v>
      </c>
      <c r="C11" s="403" t="str">
        <f>'4. Intervenciones UDT - HCBM'!$F$10</f>
        <v>Predios de agricultura familiar con producción destinada al autoconsumo y productos de exportación, con título o sin título de propiedad.</v>
      </c>
      <c r="D11" s="404" t="str">
        <f>+'4. Intervenciones UDT - HCBM'!A22</f>
        <v>Programas de inversión privada</v>
      </c>
      <c r="E11" s="404" t="str">
        <f>+'4. Intervenciones UDT - HCBM'!C22</f>
        <v>1.1.5</v>
      </c>
      <c r="F11" s="403" t="str">
        <f>+'4. Intervenciones UDT - HCBM'!D22</f>
        <v>Instalación de sistemas de fertirriego</v>
      </c>
      <c r="G11" s="403" t="str">
        <f>+'4. Intervenciones UDT - HCBM'!E22</f>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v>
      </c>
      <c r="H11" s="948" t="s">
        <v>1864</v>
      </c>
      <c r="I11" s="946" t="s">
        <v>193</v>
      </c>
      <c r="J11" s="946" t="s">
        <v>2592</v>
      </c>
      <c r="K11" s="946" t="s">
        <v>2329</v>
      </c>
      <c r="L11" s="946" t="s">
        <v>196</v>
      </c>
      <c r="M11" s="418" t="s">
        <v>1866</v>
      </c>
      <c r="N11" s="948" t="s">
        <v>1862</v>
      </c>
      <c r="O11" s="948" t="s">
        <v>219</v>
      </c>
      <c r="P11" s="951" t="s">
        <v>1865</v>
      </c>
      <c r="Q11" s="948" t="str">
        <f>+'4. Intervenciones UDT - HCBM'!F22</f>
        <v>Hectáreas con sistemas de riego</v>
      </c>
      <c r="R11" s="405">
        <f>+'4. Intervenciones UDT - HCBM'!I22</f>
        <v>155570</v>
      </c>
      <c r="S11" s="405">
        <f>+'4. Intervenciones UDT - HCBM'!J22</f>
        <v>7778.5</v>
      </c>
      <c r="T11" s="405">
        <f>+'4. Intervenciones UDT - HCBM'!K22</f>
        <v>15557</v>
      </c>
      <c r="U11" s="405">
        <f>+'4. Intervenciones UDT - HCBM'!L22</f>
        <v>11500</v>
      </c>
      <c r="V11" s="403" t="str">
        <f>+'4. Intervenciones UDT - HCBM'!M22</f>
        <v>El costo incluye la instalación de un sistema completo y un paquete de fertilización para la primera campaña. El costo va depender del tipo de cultivo, tipo de sistema y el tipo de materiales a usar en los sistemas de fertirriego.</v>
      </c>
      <c r="W11" s="403" t="str">
        <f>+'4. Intervenciones UDT - HCBM'!N22</f>
        <v>DRASAM</v>
      </c>
      <c r="X11" s="588">
        <f>+'4. Intervenciones UDT - HCBM'!O22</f>
        <v>89452750</v>
      </c>
      <c r="Y11" s="588">
        <f>+Tabla1[[#This Row],[2025 Directo]]*(1+$Y$3)</f>
        <v>90392003.875</v>
      </c>
      <c r="Z11" s="588">
        <f>+'4. Intervenciones UDT - HCBM'!P22</f>
        <v>178905500</v>
      </c>
      <c r="AA11" s="588">
        <f>+Tabla1[[#This Row],[2030 Directo]]*(1+$Y$3)</f>
        <v>180784007.75</v>
      </c>
      <c r="AB11" s="588">
        <f>+'4. Intervenciones UDT - HCBM'!Q22</f>
        <v>17890550</v>
      </c>
      <c r="AC11" s="588">
        <f>+Tabla1[[#This Row],[Año 1 Cto Directo]]*(1+$Y$3)</f>
        <v>18078400.774999999</v>
      </c>
      <c r="AD11" s="588">
        <f>+'4. Intervenciones UDT - HCBM'!R22</f>
        <v>17890550</v>
      </c>
      <c r="AE11" s="588">
        <f>+Tabla1[[#This Row],[Año 2 Cto. Directo]]*(1+$Y$3)</f>
        <v>18078400.774999999</v>
      </c>
      <c r="AF11" s="588">
        <f>+'4. Intervenciones UDT - HCBM'!S22</f>
        <v>17890550</v>
      </c>
      <c r="AG11" s="588">
        <f>+Tabla1[[#This Row],[Año 3 Cto. Directo]]*(1+$Y$3)</f>
        <v>18078400.774999999</v>
      </c>
      <c r="AH11" s="588">
        <f>+'4. Intervenciones UDT - HCBM'!T22</f>
        <v>17890550</v>
      </c>
      <c r="AI11" s="588">
        <f>+Tabla1[[#This Row],[Año 4 Cto. Directo]]*(1+$Y$3)</f>
        <v>18078400.774999999</v>
      </c>
      <c r="AJ11" s="588">
        <f>+'4. Intervenciones UDT - HCBM'!U22</f>
        <v>17890550</v>
      </c>
      <c r="AK11" s="588">
        <f>+Tabla1[[#This Row],[Año 5 Cto. Directo]]*(1+$Y$3)</f>
        <v>18078400.774999999</v>
      </c>
      <c r="AL11" s="403">
        <f>+'4. Intervenciones UDT - HCBM'!V22</f>
        <v>0</v>
      </c>
      <c r="AM11" s="954"/>
      <c r="AN11" s="954"/>
      <c r="AO11" s="954" t="str">
        <f>+'4. Intervenciones UDT - HCBM'!Y22</f>
        <v>X</v>
      </c>
      <c r="AP11" s="954"/>
      <c r="AQ11" s="954" t="str">
        <f>+'4. Intervenciones UDT - HCBM'!AA22</f>
        <v>RE</v>
      </c>
      <c r="AR11" s="954">
        <f>+'4. Intervenciones UDT - HCBM'!AB22</f>
        <v>3</v>
      </c>
      <c r="AS11" s="403">
        <f t="shared" si="1"/>
        <v>1</v>
      </c>
    </row>
    <row r="12" spans="1:48" s="195" customFormat="1" ht="15.8" hidden="1" customHeight="1" x14ac:dyDescent="0.3">
      <c r="A12" s="403"/>
      <c r="B12" s="403" t="str">
        <f>'4. Intervenciones UDT - HCBM'!$C$8</f>
        <v>UDT HUALLAGA CENTRAL Y BAJO MAYO</v>
      </c>
      <c r="C12" s="403" t="str">
        <f>'4. Intervenciones UDT - HCBM'!$F$10</f>
        <v>Predios de agricultura familiar con producción destinada al autoconsumo y productos de exportación, con título o sin título de propiedad.</v>
      </c>
      <c r="D12" s="404" t="str">
        <f>+'4. Intervenciones UDT - HCBM'!A23</f>
        <v>Programas de inversión privada</v>
      </c>
      <c r="E12" s="404" t="str">
        <f>+'4. Intervenciones UDT - HCBM'!C23</f>
        <v>1.1.6</v>
      </c>
      <c r="F12" s="403" t="str">
        <f>+'4. Intervenciones UDT - HCBM'!D23</f>
        <v xml:space="preserve">Reconversión y diversificación productiva </v>
      </c>
      <c r="G12" s="403" t="str">
        <f>+'4. Intervenciones UDT - HCBM'!E23</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H12" s="948" t="s">
        <v>1867</v>
      </c>
      <c r="I12" s="946" t="s">
        <v>193</v>
      </c>
      <c r="J12" s="946" t="s">
        <v>2592</v>
      </c>
      <c r="K12" s="946" t="s">
        <v>2329</v>
      </c>
      <c r="L12" s="946" t="s">
        <v>196</v>
      </c>
      <c r="M12" s="418" t="s">
        <v>1866</v>
      </c>
      <c r="N12" s="948" t="s">
        <v>1862</v>
      </c>
      <c r="O12" s="948" t="s">
        <v>222</v>
      </c>
      <c r="P12" s="951" t="s">
        <v>1868</v>
      </c>
      <c r="Q12" s="948" t="str">
        <f>+'4. Intervenciones UDT - HCBM'!F23</f>
        <v>Hectáreas reconvertidas/diversificadas</v>
      </c>
      <c r="R12" s="405">
        <f>+'4. Intervenciones UDT - HCBM'!I23</f>
        <v>31114</v>
      </c>
      <c r="S12" s="405">
        <f>+'4. Intervenciones UDT - HCBM'!J23</f>
        <v>3111.4</v>
      </c>
      <c r="T12" s="405">
        <f>+'4. Intervenciones UDT - HCBM'!K23</f>
        <v>3111.4</v>
      </c>
      <c r="U12" s="405">
        <f>+'4. Intervenciones UDT - HCBM'!L23</f>
        <v>15000</v>
      </c>
      <c r="V12" s="403" t="str">
        <f>+'4. Intervenciones UDT - HCBM'!M23</f>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v>
      </c>
      <c r="W12" s="403" t="str">
        <f>+'4. Intervenciones UDT - HCBM'!N23</f>
        <v>AGROIDEAS</v>
      </c>
      <c r="X12" s="588">
        <f>+'4. Intervenciones UDT - HCBM'!O23</f>
        <v>46671000</v>
      </c>
      <c r="Y12" s="588">
        <f>+Tabla1[[#This Row],[2025 Directo]]*(1+$Y$3)</f>
        <v>47161045.5</v>
      </c>
      <c r="Z12" s="588">
        <f>+'4. Intervenciones UDT - HCBM'!P23</f>
        <v>46671000</v>
      </c>
      <c r="AA12" s="588">
        <f>+Tabla1[[#This Row],[2030 Directo]]*(1+$Y$3)</f>
        <v>47161045.5</v>
      </c>
      <c r="AB12" s="588">
        <f>+'4. Intervenciones UDT - HCBM'!Q23</f>
        <v>9334200</v>
      </c>
      <c r="AC12" s="588">
        <f>+Tabla1[[#This Row],[Año 1 Cto Directo]]*(1+$Y$3)</f>
        <v>9432209.0999999996</v>
      </c>
      <c r="AD12" s="588">
        <f>+'4. Intervenciones UDT - HCBM'!R23</f>
        <v>9334200</v>
      </c>
      <c r="AE12" s="588">
        <f>+Tabla1[[#This Row],[Año 2 Cto. Directo]]*(1+$Y$3)</f>
        <v>9432209.0999999996</v>
      </c>
      <c r="AF12" s="588">
        <f>+'4. Intervenciones UDT - HCBM'!S23</f>
        <v>9334200</v>
      </c>
      <c r="AG12" s="588">
        <f>+Tabla1[[#This Row],[Año 3 Cto. Directo]]*(1+$Y$3)</f>
        <v>9432209.0999999996</v>
      </c>
      <c r="AH12" s="588">
        <f>+'4. Intervenciones UDT - HCBM'!T23</f>
        <v>9334200</v>
      </c>
      <c r="AI12" s="588">
        <f>+Tabla1[[#This Row],[Año 4 Cto. Directo]]*(1+$Y$3)</f>
        <v>9432209.0999999996</v>
      </c>
      <c r="AJ12" s="588">
        <f>+'4. Intervenciones UDT - HCBM'!U23</f>
        <v>9334200</v>
      </c>
      <c r="AK12" s="588">
        <f>+Tabla1[[#This Row],[Año 5 Cto. Directo]]*(1+$Y$3)</f>
        <v>9432209.0999999996</v>
      </c>
      <c r="AL12" s="403">
        <f>+'4. Intervenciones UDT - HCBM'!V23</f>
        <v>0</v>
      </c>
      <c r="AM12" s="954" t="str">
        <f>+'4. Intervenciones UDT - HCBM'!W23</f>
        <v>X</v>
      </c>
      <c r="AN12" s="954"/>
      <c r="AO12" s="954"/>
      <c r="AP12" s="954"/>
      <c r="AQ12" s="954" t="str">
        <f>+'4. Intervenciones UDT - HCBM'!AA23</f>
        <v>RE</v>
      </c>
      <c r="AR12" s="954">
        <f>+'4. Intervenciones UDT - HCBM'!AB23</f>
        <v>3</v>
      </c>
      <c r="AS12" s="403">
        <f t="shared" si="1"/>
        <v>1</v>
      </c>
    </row>
    <row r="13" spans="1:48" s="195" customFormat="1" ht="15.8" hidden="1" customHeight="1" x14ac:dyDescent="0.3">
      <c r="A13" s="403"/>
      <c r="B13" s="403" t="str">
        <f>'4. Intervenciones UDT - HCBM'!$C$8</f>
        <v>UDT HUALLAGA CENTRAL Y BAJO MAYO</v>
      </c>
      <c r="C13" s="403" t="str">
        <f>'4. Intervenciones UDT - HCBM'!$F$10</f>
        <v>Predios de agricultura familiar con producción destinada al autoconsumo y productos de exportación, con título o sin título de propiedad.</v>
      </c>
      <c r="D13" s="404" t="str">
        <f>+'4. Intervenciones UDT - HCBM'!A24</f>
        <v>Programas de inversión pública</v>
      </c>
      <c r="E13" s="404" t="str">
        <f>+'4. Intervenciones UDT - HCBM'!C24</f>
        <v>1.1.7</v>
      </c>
      <c r="F13" s="403" t="str">
        <f>+'4. Intervenciones UDT - HCBM'!D24</f>
        <v>Promoción de agricultura familiar con enfoque de mercado</v>
      </c>
      <c r="G13" s="403" t="str">
        <f>+'4. Intervenciones UDT - HCBM'!E24</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H13" s="948" t="s">
        <v>1869</v>
      </c>
      <c r="I13" s="946" t="s">
        <v>193</v>
      </c>
      <c r="J13" s="946" t="s">
        <v>2592</v>
      </c>
      <c r="K13" s="946" t="s">
        <v>2329</v>
      </c>
      <c r="L13" s="946" t="s">
        <v>194</v>
      </c>
      <c r="M13" s="418" t="s">
        <v>1861</v>
      </c>
      <c r="N13" s="948" t="s">
        <v>1862</v>
      </c>
      <c r="O13" s="948" t="s">
        <v>220</v>
      </c>
      <c r="P13" s="951" t="s">
        <v>1870</v>
      </c>
      <c r="Q13" s="948" t="str">
        <f>+'4. Intervenciones UDT - HCBM'!F24</f>
        <v>Productores beneficiados</v>
      </c>
      <c r="R13" s="405">
        <f>+'4. Intervenciones UDT - HCBM'!I24</f>
        <v>74562</v>
      </c>
      <c r="S13" s="405">
        <f>+'4. Intervenciones UDT - HCBM'!J24</f>
        <v>18640.5</v>
      </c>
      <c r="T13" s="405">
        <f>+'4. Intervenciones UDT - HCBM'!K24</f>
        <v>26096.699999999997</v>
      </c>
      <c r="U13" s="405">
        <f>+'4. Intervenciones UDT - HCBM'!L24</f>
        <v>12900</v>
      </c>
      <c r="V13" s="403" t="str">
        <f>+'4. Intervenciones UDT - HCBM'!M24</f>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v>
      </c>
      <c r="W13" s="403" t="str">
        <f>+'4. Intervenciones UDT - HCBM'!N24</f>
        <v>FONCODES</v>
      </c>
      <c r="X13" s="588">
        <f>+'4. Intervenciones UDT - HCBM'!O24</f>
        <v>240462450</v>
      </c>
      <c r="Y13" s="588">
        <f>+Tabla1[[#This Row],[2025 Directo]]*(1+$Y$3)</f>
        <v>242987305.72499999</v>
      </c>
      <c r="Z13" s="588">
        <f>+'4. Intervenciones UDT - HCBM'!P24</f>
        <v>336647429.99999994</v>
      </c>
      <c r="AA13" s="588">
        <f>+Tabla1[[#This Row],[2030 Directo]]*(1+$Y$3)</f>
        <v>340182228.01499993</v>
      </c>
      <c r="AB13" s="588">
        <f>+'4. Intervenciones UDT - HCBM'!Q24</f>
        <v>48092490</v>
      </c>
      <c r="AC13" s="588">
        <f>+Tabla1[[#This Row],[Año 1 Cto Directo]]*(1+$Y$3)</f>
        <v>48597461.144999996</v>
      </c>
      <c r="AD13" s="588">
        <f>+'4. Intervenciones UDT - HCBM'!R24</f>
        <v>48092490</v>
      </c>
      <c r="AE13" s="588">
        <f>+Tabla1[[#This Row],[Año 2 Cto. Directo]]*(1+$Y$3)</f>
        <v>48597461.144999996</v>
      </c>
      <c r="AF13" s="588">
        <f>+'4. Intervenciones UDT - HCBM'!S24</f>
        <v>48092490</v>
      </c>
      <c r="AG13" s="588">
        <f>+Tabla1[[#This Row],[Año 3 Cto. Directo]]*(1+$Y$3)</f>
        <v>48597461.144999996</v>
      </c>
      <c r="AH13" s="588">
        <f>+'4. Intervenciones UDT - HCBM'!T24</f>
        <v>48092490</v>
      </c>
      <c r="AI13" s="588">
        <f>+Tabla1[[#This Row],[Año 4 Cto. Directo]]*(1+$Y$3)</f>
        <v>48597461.144999996</v>
      </c>
      <c r="AJ13" s="588">
        <f>+'4. Intervenciones UDT - HCBM'!U24</f>
        <v>48092490</v>
      </c>
      <c r="AK13" s="588">
        <f>+Tabla1[[#This Row],[Año 5 Cto. Directo]]*(1+$Y$3)</f>
        <v>48597461.144999996</v>
      </c>
      <c r="AL13" s="403">
        <f>+'4. Intervenciones UDT - HCBM'!V24</f>
        <v>0</v>
      </c>
      <c r="AM13" s="954"/>
      <c r="AN13" s="954"/>
      <c r="AO13" s="954" t="str">
        <f>+'4. Intervenciones UDT - HCBM'!Y24</f>
        <v>X</v>
      </c>
      <c r="AP13" s="954"/>
      <c r="AQ13" s="954" t="str">
        <f>+'4. Intervenciones UDT - HCBM'!AA24</f>
        <v>RE</v>
      </c>
      <c r="AR13" s="954">
        <f>+'4. Intervenciones UDT - HCBM'!AB24</f>
        <v>2</v>
      </c>
      <c r="AS13" s="403">
        <f t="shared" si="1"/>
        <v>1</v>
      </c>
    </row>
    <row r="14" spans="1:48" s="195" customFormat="1" ht="15.8" hidden="1" customHeight="1" x14ac:dyDescent="0.3">
      <c r="A14" s="403"/>
      <c r="B14" s="403" t="str">
        <f>'4. Intervenciones UDT - HCBM'!$C$8</f>
        <v>UDT HUALLAGA CENTRAL Y BAJO MAYO</v>
      </c>
      <c r="C14" s="403" t="str">
        <f>'4. Intervenciones UDT - HCBM'!$F$10</f>
        <v>Predios de agricultura familiar con producción destinada al autoconsumo y productos de exportación, con título o sin título de propiedad.</v>
      </c>
      <c r="D14" s="404" t="str">
        <f>+'4. Intervenciones UDT - HCBM'!A25</f>
        <v>Programas de inversión pública</v>
      </c>
      <c r="E14" s="404" t="str">
        <f>+'4. Intervenciones UDT - HCBM'!C25</f>
        <v>1.1.8</v>
      </c>
      <c r="F14" s="403" t="str">
        <f>+'4. Intervenciones UDT - HCBM'!D25</f>
        <v>Asistencia técnica para el desarrollo de la acuicultura</v>
      </c>
      <c r="G14" s="403" t="str">
        <f>+'4. Intervenciones UDT - HCBM'!E25</f>
        <v>Capacitaciones a pequeños productores acuícolas en temas relacionados a: Asociatividad, Gestión y administración de piscigranjas, programación de la producción, formalización, gestión de la calidad entre otros temas que permitan la sostenibilidad de la actividad.</v>
      </c>
      <c r="H14" s="948" t="s">
        <v>1857</v>
      </c>
      <c r="I14" s="946" t="s">
        <v>193</v>
      </c>
      <c r="J14" s="946" t="s">
        <v>2592</v>
      </c>
      <c r="K14" s="946" t="s">
        <v>2329</v>
      </c>
      <c r="L14" s="946" t="s">
        <v>196</v>
      </c>
      <c r="M14" s="418" t="s">
        <v>1866</v>
      </c>
      <c r="N14" s="948" t="s">
        <v>1862</v>
      </c>
      <c r="O14" s="948" t="s">
        <v>224</v>
      </c>
      <c r="P14" s="951" t="s">
        <v>1863</v>
      </c>
      <c r="Q14" s="948" t="str">
        <f>+'4. Intervenciones UDT - HCBM'!F25</f>
        <v>Acuicultores atendidos</v>
      </c>
      <c r="R14" s="405">
        <f>+'4. Intervenciones UDT - HCBM'!I25</f>
        <v>668</v>
      </c>
      <c r="S14" s="405">
        <f>+'4. Intervenciones UDT - HCBM'!J25</f>
        <v>801.6</v>
      </c>
      <c r="T14" s="405">
        <f>+'4. Intervenciones UDT - HCBM'!K25</f>
        <v>935.2</v>
      </c>
      <c r="U14" s="405">
        <f>+'4. Intervenciones UDT - HCBM'!L25</f>
        <v>560</v>
      </c>
      <c r="V14" s="403" t="str">
        <f>+'4. Intervenciones UDT - HCBM'!M25</f>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v>
      </c>
      <c r="W14" s="403" t="str">
        <f>+'4. Intervenciones UDT - HCBM'!N25</f>
        <v>DIREPRO</v>
      </c>
      <c r="X14" s="588">
        <f>+'4. Intervenciones UDT - HCBM'!O25</f>
        <v>448896</v>
      </c>
      <c r="Y14" s="588">
        <f>+Tabla1[[#This Row],[2025 Directo]]*(1+$Y$3)</f>
        <v>453609.408</v>
      </c>
      <c r="Z14" s="588">
        <f>+'4. Intervenciones UDT - HCBM'!P25</f>
        <v>523712</v>
      </c>
      <c r="AA14" s="588">
        <f>+Tabla1[[#This Row],[2030 Directo]]*(1+$Y$3)</f>
        <v>529210.97600000002</v>
      </c>
      <c r="AB14" s="588">
        <f>+'4. Intervenciones UDT - HCBM'!Q25</f>
        <v>89779.200000000012</v>
      </c>
      <c r="AC14" s="588">
        <f>+Tabla1[[#This Row],[Año 1 Cto Directo]]*(1+$Y$3)</f>
        <v>90721.881600000008</v>
      </c>
      <c r="AD14" s="588">
        <f>+'4. Intervenciones UDT - HCBM'!R25</f>
        <v>89779.200000000012</v>
      </c>
      <c r="AE14" s="588">
        <f>+Tabla1[[#This Row],[Año 2 Cto. Directo]]*(1+$Y$3)</f>
        <v>90721.881600000008</v>
      </c>
      <c r="AF14" s="588">
        <f>+'4. Intervenciones UDT - HCBM'!S25</f>
        <v>89779.200000000012</v>
      </c>
      <c r="AG14" s="588">
        <f>+Tabla1[[#This Row],[Año 3 Cto. Directo]]*(1+$Y$3)</f>
        <v>90721.881600000008</v>
      </c>
      <c r="AH14" s="588">
        <f>+'4. Intervenciones UDT - HCBM'!T25</f>
        <v>89779.200000000012</v>
      </c>
      <c r="AI14" s="588">
        <f>+Tabla1[[#This Row],[Año 4 Cto. Directo]]*(1+$Y$3)</f>
        <v>90721.881600000008</v>
      </c>
      <c r="AJ14" s="588">
        <f>+'4. Intervenciones UDT - HCBM'!U25</f>
        <v>89779.200000000012</v>
      </c>
      <c r="AK14" s="588">
        <f>+Tabla1[[#This Row],[Año 5 Cto. Directo]]*(1+$Y$3)</f>
        <v>90721.881600000008</v>
      </c>
      <c r="AL14" s="403">
        <f>+'4. Intervenciones UDT - HCBM'!V25</f>
        <v>0</v>
      </c>
      <c r="AM14" s="954"/>
      <c r="AN14" s="954"/>
      <c r="AO14" s="954" t="str">
        <f>+'4. Intervenciones UDT - HCBM'!Y25</f>
        <v>X</v>
      </c>
      <c r="AP14" s="954"/>
      <c r="AQ14" s="954" t="str">
        <f>+'4. Intervenciones UDT - HCBM'!AA25</f>
        <v>RE</v>
      </c>
      <c r="AR14" s="954">
        <f>+'4. Intervenciones UDT - HCBM'!AB25</f>
        <v>3</v>
      </c>
      <c r="AS14" s="403">
        <f t="shared" si="1"/>
        <v>1</v>
      </c>
    </row>
    <row r="15" spans="1:48" s="195" customFormat="1" ht="15.8" hidden="1" customHeight="1" x14ac:dyDescent="0.3">
      <c r="A15" s="403"/>
      <c r="B15" s="403" t="str">
        <f>'4. Intervenciones UDT - HCBM'!$C$8</f>
        <v>UDT HUALLAGA CENTRAL Y BAJO MAYO</v>
      </c>
      <c r="C15" s="403" t="str">
        <f>'4. Intervenciones UDT - HCBM'!$F$10</f>
        <v>Predios de agricultura familiar con producción destinada al autoconsumo y productos de exportación, con título o sin título de propiedad.</v>
      </c>
      <c r="D15" s="404" t="str">
        <f>+'4. Intervenciones UDT - HCBM'!A26</f>
        <v>Ingresos y Capital</v>
      </c>
      <c r="E15" s="404" t="str">
        <f>+'4. Intervenciones UDT - HCBM'!C26</f>
        <v>1.1.9</v>
      </c>
      <c r="F15" s="403" t="str">
        <f>+'4. Intervenciones UDT - HCBM'!D26</f>
        <v xml:space="preserve">Incentivos financieros para la acuicultura </v>
      </c>
      <c r="G15" s="403" t="str">
        <f>+'4. Intervenciones UDT - HCBM'!E26</f>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H15" s="948" t="s">
        <v>1864</v>
      </c>
      <c r="I15" s="946" t="s">
        <v>193</v>
      </c>
      <c r="J15" s="946" t="s">
        <v>2593</v>
      </c>
      <c r="K15" s="946" t="s">
        <v>2330</v>
      </c>
      <c r="L15" s="946" t="s">
        <v>195</v>
      </c>
      <c r="M15" s="418" t="s">
        <v>1871</v>
      </c>
      <c r="N15" s="948" t="s">
        <v>1862</v>
      </c>
      <c r="O15" s="948" t="s">
        <v>218</v>
      </c>
      <c r="P15" s="951" t="s">
        <v>1872</v>
      </c>
      <c r="Q15" s="948" t="str">
        <f>+'4. Intervenciones UDT - HCBM'!F26</f>
        <v>Créditos otorgados</v>
      </c>
      <c r="R15" s="405">
        <f>+'4. Intervenciones UDT - HCBM'!I26</f>
        <v>668</v>
      </c>
      <c r="S15" s="405">
        <f>+'4. Intervenciones UDT - HCBM'!J26</f>
        <v>801.6</v>
      </c>
      <c r="T15" s="405">
        <f>+'4. Intervenciones UDT - HCBM'!K26</f>
        <v>935.2</v>
      </c>
      <c r="U15" s="405">
        <f>+'4. Intervenciones UDT - HCBM'!L26</f>
        <v>12900</v>
      </c>
      <c r="V15" s="403" t="str">
        <f>+'4. Intervenciones UDT - HCBM'!M26</f>
        <v>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v>
      </c>
      <c r="W15" s="403" t="str">
        <f>+'4. Intervenciones UDT - HCBM'!N26</f>
        <v>DIREPRO</v>
      </c>
      <c r="X15" s="588">
        <f>+'4. Intervenciones UDT - HCBM'!O26</f>
        <v>10340640</v>
      </c>
      <c r="Y15" s="588">
        <f>+Tabla1[[#This Row],[2025 Directo]]*(1+$Y$3)</f>
        <v>10449216.719999999</v>
      </c>
      <c r="Z15" s="588">
        <f>+'4. Intervenciones UDT - HCBM'!P26</f>
        <v>12064080</v>
      </c>
      <c r="AA15" s="588">
        <f>+Tabla1[[#This Row],[2030 Directo]]*(1+$Y$3)</f>
        <v>12190752.84</v>
      </c>
      <c r="AB15" s="588">
        <f>+'4. Intervenciones UDT - HCBM'!Q26</f>
        <v>2585160</v>
      </c>
      <c r="AC15" s="588">
        <f>+Tabla1[[#This Row],[Año 1 Cto Directo]]*(1+$Y$3)</f>
        <v>2612304.1799999997</v>
      </c>
      <c r="AD15" s="588">
        <f>+'4. Intervenciones UDT - HCBM'!R26</f>
        <v>2585160</v>
      </c>
      <c r="AE15" s="588">
        <f>+Tabla1[[#This Row],[Año 2 Cto. Directo]]*(1+$Y$3)</f>
        <v>2612304.1799999997</v>
      </c>
      <c r="AF15" s="588">
        <f>+'4. Intervenciones UDT - HCBM'!S26</f>
        <v>2068128</v>
      </c>
      <c r="AG15" s="588">
        <f>+Tabla1[[#This Row],[Año 3 Cto. Directo]]*(1+$Y$3)</f>
        <v>2089843.3439999998</v>
      </c>
      <c r="AH15" s="588">
        <f>+'4. Intervenciones UDT - HCBM'!T26</f>
        <v>1551096</v>
      </c>
      <c r="AI15" s="588">
        <f>+Tabla1[[#This Row],[Año 4 Cto. Directo]]*(1+$Y$3)</f>
        <v>1567382.5079999999</v>
      </c>
      <c r="AJ15" s="588">
        <f>+'4. Intervenciones UDT - HCBM'!U26</f>
        <v>1551096</v>
      </c>
      <c r="AK15" s="588">
        <f>+Tabla1[[#This Row],[Año 5 Cto. Directo]]*(1+$Y$3)</f>
        <v>1567382.5079999999</v>
      </c>
      <c r="AL15" s="403">
        <f>+'4. Intervenciones UDT - HCBM'!V26</f>
        <v>0</v>
      </c>
      <c r="AM15" s="954" t="str">
        <f>+'4. Intervenciones UDT - HCBM'!W26</f>
        <v>X</v>
      </c>
      <c r="AN15" s="954"/>
      <c r="AO15" s="954"/>
      <c r="AP15" s="954"/>
      <c r="AQ15" s="954" t="str">
        <f>+'4. Intervenciones UDT - HCBM'!AA26</f>
        <v>RE</v>
      </c>
      <c r="AR15" s="954">
        <f>+'4. Intervenciones UDT - HCBM'!AB26</f>
        <v>3</v>
      </c>
      <c r="AS15" s="403">
        <f t="shared" si="1"/>
        <v>1</v>
      </c>
    </row>
    <row r="16" spans="1:48" s="195" customFormat="1" ht="15.8" hidden="1" customHeight="1" x14ac:dyDescent="0.3">
      <c r="A16" s="403"/>
      <c r="B16" s="403" t="str">
        <f>'4. Intervenciones UDT - HCBM'!$C$8</f>
        <v>UDT HUALLAGA CENTRAL Y BAJO MAYO</v>
      </c>
      <c r="C16" s="403" t="str">
        <f>'4. Intervenciones UDT - HCBM'!$F$10</f>
        <v>Predios de agricultura familiar con producción destinada al autoconsumo y productos de exportación, con título o sin título de propiedad.</v>
      </c>
      <c r="D16" s="404" t="str">
        <f>+'4. Intervenciones UDT - HCBM'!A27</f>
        <v>Ingresos y Capital</v>
      </c>
      <c r="E16" s="404" t="str">
        <f>+'4. Intervenciones UDT - HCBM'!C27</f>
        <v>1.1.10</v>
      </c>
      <c r="F16" s="403" t="str">
        <f>+'4. Intervenciones UDT - HCBM'!D27</f>
        <v>Programa de acceso al financiamiento agropecuario condicionado</v>
      </c>
      <c r="G16" s="403" t="str">
        <f>+'4. Intervenciones UDT - HCBM'!E27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H16" s="948" t="s">
        <v>1864</v>
      </c>
      <c r="I16" s="946" t="s">
        <v>193</v>
      </c>
      <c r="J16" s="946" t="s">
        <v>2593</v>
      </c>
      <c r="K16" s="946" t="s">
        <v>2330</v>
      </c>
      <c r="L16" s="946" t="s">
        <v>195</v>
      </c>
      <c r="M16" s="418" t="s">
        <v>1871</v>
      </c>
      <c r="N16" s="948" t="s">
        <v>1862</v>
      </c>
      <c r="O16" s="948" t="s">
        <v>218</v>
      </c>
      <c r="P16" s="951" t="s">
        <v>1872</v>
      </c>
      <c r="Q16" s="948" t="str">
        <f>+'4. Intervenciones UDT - HCBM'!F27</f>
        <v>Créditos otorgados</v>
      </c>
      <c r="R16" s="405">
        <f>+'4. Intervenciones UDT - HCBM'!I27</f>
        <v>74562</v>
      </c>
      <c r="S16" s="405">
        <f>+'4. Intervenciones UDT - HCBM'!J27</f>
        <v>22368.6</v>
      </c>
      <c r="T16" s="405">
        <f>+'4. Intervenciones UDT - HCBM'!K27</f>
        <v>14912.400000000001</v>
      </c>
      <c r="U16" s="405">
        <f>+'4. Intervenciones UDT - HCBM'!L27</f>
        <v>10750</v>
      </c>
      <c r="V16" s="403" t="str">
        <f>+'4. Intervenciones UDT - HCBM'!M27</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16" s="403" t="str">
        <f>+'4. Intervenciones UDT - HCBM'!N27</f>
        <v>AGROBANCO, DRASAM</v>
      </c>
      <c r="X16" s="588">
        <f>+'4. Intervenciones UDT - HCBM'!O27</f>
        <v>240462449.99999997</v>
      </c>
      <c r="Y16" s="588">
        <f>+Tabla1[[#This Row],[2025 Directo]]*(1+$Y$3)</f>
        <v>242987305.72499996</v>
      </c>
      <c r="Z16" s="588">
        <f>+'4. Intervenciones UDT - HCBM'!P27</f>
        <v>160308300.00000003</v>
      </c>
      <c r="AA16" s="588">
        <f>+Tabla1[[#This Row],[2030 Directo]]*(1+$Y$3)</f>
        <v>161991537.15000004</v>
      </c>
      <c r="AB16" s="588">
        <f>+'4. Intervenciones UDT - HCBM'!Q27</f>
        <v>48092490</v>
      </c>
      <c r="AC16" s="588">
        <f>+Tabla1[[#This Row],[Año 1 Cto Directo]]*(1+$Y$3)</f>
        <v>48597461.144999996</v>
      </c>
      <c r="AD16" s="588">
        <f>+'4. Intervenciones UDT - HCBM'!R27</f>
        <v>48092490</v>
      </c>
      <c r="AE16" s="588">
        <f>+Tabla1[[#This Row],[Año 2 Cto. Directo]]*(1+$Y$3)</f>
        <v>48597461.144999996</v>
      </c>
      <c r="AF16" s="588">
        <f>+'4. Intervenciones UDT - HCBM'!S27</f>
        <v>48092490</v>
      </c>
      <c r="AG16" s="588">
        <f>+Tabla1[[#This Row],[Año 3 Cto. Directo]]*(1+$Y$3)</f>
        <v>48597461.144999996</v>
      </c>
      <c r="AH16" s="588">
        <f>+'4. Intervenciones UDT - HCBM'!T27</f>
        <v>48092490</v>
      </c>
      <c r="AI16" s="588">
        <f>+Tabla1[[#This Row],[Año 4 Cto. Directo]]*(1+$Y$3)</f>
        <v>48597461.144999996</v>
      </c>
      <c r="AJ16" s="588">
        <f>+'4. Intervenciones UDT - HCBM'!U27</f>
        <v>48092490</v>
      </c>
      <c r="AK16" s="588">
        <f>+Tabla1[[#This Row],[Año 5 Cto. Directo]]*(1+$Y$3)</f>
        <v>48597461.144999996</v>
      </c>
      <c r="AL16" s="403">
        <f>+'4. Intervenciones UDT - HCBM'!V27</f>
        <v>0</v>
      </c>
      <c r="AM16" s="954" t="str">
        <f>+'4. Intervenciones UDT - HCBM'!W27</f>
        <v>X</v>
      </c>
      <c r="AN16" s="954"/>
      <c r="AO16" s="954"/>
      <c r="AP16" s="954"/>
      <c r="AQ16" s="954" t="str">
        <f>+'4. Intervenciones UDT - HCBM'!AA27</f>
        <v>RE</v>
      </c>
      <c r="AR16" s="954">
        <f>+'4. Intervenciones UDT - HCBM'!AB27</f>
        <v>3</v>
      </c>
      <c r="AS16" s="403">
        <f t="shared" si="1"/>
        <v>1</v>
      </c>
    </row>
    <row r="17" spans="1:45" s="195" customFormat="1" ht="15.8" hidden="1" customHeight="1" x14ac:dyDescent="0.3">
      <c r="A17" s="403"/>
      <c r="B17" s="403" t="str">
        <f>'4. Intervenciones UDT - HCBM'!$C$8</f>
        <v>UDT HUALLAGA CENTRAL Y BAJO MAYO</v>
      </c>
      <c r="C17" s="403" t="str">
        <f>'4. Intervenciones UDT - HCBM'!$F$10</f>
        <v>Predios de agricultura familiar con producción destinada al autoconsumo y productos de exportación, con título o sin título de propiedad.</v>
      </c>
      <c r="D17" s="404" t="str">
        <f>+'4. Intervenciones UDT - HCBM'!A28</f>
        <v>Programas de inversión privada</v>
      </c>
      <c r="E17" s="404" t="str">
        <f>+'4. Intervenciones UDT - HCBM'!C28</f>
        <v>1.1.11</v>
      </c>
      <c r="F17" s="403" t="str">
        <f>+'4. Intervenciones UDT - HCBM'!D28</f>
        <v xml:space="preserve">Implementación de infraestructura productiva con énfasis a la agro exportación </v>
      </c>
      <c r="G17" s="403" t="str">
        <f>+'4. Intervenciones UDT - HCBM'!E28</f>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H17" s="948" t="s">
        <v>1864</v>
      </c>
      <c r="I17" s="946" t="s">
        <v>193</v>
      </c>
      <c r="J17" s="946" t="s">
        <v>2592</v>
      </c>
      <c r="K17" s="946" t="s">
        <v>2329</v>
      </c>
      <c r="L17" s="946" t="s">
        <v>196</v>
      </c>
      <c r="M17" s="418" t="s">
        <v>1866</v>
      </c>
      <c r="N17" s="948" t="s">
        <v>1862</v>
      </c>
      <c r="O17" s="948" t="s">
        <v>227</v>
      </c>
      <c r="P17" s="951" t="s">
        <v>1873</v>
      </c>
      <c r="Q17" s="948" t="str">
        <f>+'4. Intervenciones UDT - HCBM'!F28</f>
        <v>Planes de negocios/proyectos ejecutados</v>
      </c>
      <c r="R17" s="405">
        <f>+'4. Intervenciones UDT - HCBM'!I28</f>
        <v>48</v>
      </c>
      <c r="S17" s="405">
        <f>+'4. Intervenciones UDT - HCBM'!J28</f>
        <v>9.6000000000000014</v>
      </c>
      <c r="T17" s="405">
        <f>+'4. Intervenciones UDT - HCBM'!K28</f>
        <v>14.399999999999999</v>
      </c>
      <c r="U17" s="405">
        <f>+'4. Intervenciones UDT - HCBM'!L28</f>
        <v>800000</v>
      </c>
      <c r="V17" s="403" t="str">
        <f>+'4. Intervenciones UDT - HCBM'!M28</f>
        <v xml:space="preserve">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v>
      </c>
      <c r="W17" s="403" t="str">
        <f>+'4. Intervenciones UDT - HCBM'!N28</f>
        <v>AGROIDEAS, PNIA, INNOVATE PERÚ</v>
      </c>
      <c r="X17" s="588">
        <f>+'4. Intervenciones UDT - HCBM'!O28</f>
        <v>7680000.0000000009</v>
      </c>
      <c r="Y17" s="588">
        <f>+Tabla1[[#This Row],[2025 Directo]]*(1+$Y$3)</f>
        <v>7760640.0000000009</v>
      </c>
      <c r="Z17" s="588">
        <f>+'4. Intervenciones UDT - HCBM'!P28</f>
        <v>11519999.999999998</v>
      </c>
      <c r="AA17" s="588">
        <f>+Tabla1[[#This Row],[2030 Directo]]*(1+$Y$3)</f>
        <v>11640959.999999998</v>
      </c>
      <c r="AB17" s="588">
        <f>+'4. Intervenciones UDT - HCBM'!Q28</f>
        <v>768000.00000000012</v>
      </c>
      <c r="AC17" s="588">
        <f>+Tabla1[[#This Row],[Año 1 Cto Directo]]*(1+$Y$3)</f>
        <v>776064.00000000012</v>
      </c>
      <c r="AD17" s="588">
        <f>+'4. Intervenciones UDT - HCBM'!R28</f>
        <v>768000.00000000012</v>
      </c>
      <c r="AE17" s="588">
        <f>+Tabla1[[#This Row],[Año 2 Cto. Directo]]*(1+$Y$3)</f>
        <v>776064.00000000012</v>
      </c>
      <c r="AF17" s="588">
        <f>+'4. Intervenciones UDT - HCBM'!S28</f>
        <v>1920000.0000000002</v>
      </c>
      <c r="AG17" s="588">
        <f>+Tabla1[[#This Row],[Año 3 Cto. Directo]]*(1+$Y$3)</f>
        <v>1940160.0000000002</v>
      </c>
      <c r="AH17" s="588">
        <f>+'4. Intervenciones UDT - HCBM'!T28</f>
        <v>1920000.0000000002</v>
      </c>
      <c r="AI17" s="588">
        <f>+Tabla1[[#This Row],[Año 4 Cto. Directo]]*(1+$Y$3)</f>
        <v>1940160.0000000002</v>
      </c>
      <c r="AJ17" s="588">
        <f>+'4. Intervenciones UDT - HCBM'!U28</f>
        <v>2304000</v>
      </c>
      <c r="AK17" s="588">
        <f>+Tabla1[[#This Row],[Año 5 Cto. Directo]]*(1+$Y$3)</f>
        <v>2328192</v>
      </c>
      <c r="AL17" s="403">
        <f>+'4. Intervenciones UDT - HCBM'!V28</f>
        <v>0</v>
      </c>
      <c r="AM17" s="954" t="str">
        <f>+'4. Intervenciones UDT - HCBM'!W28</f>
        <v>X</v>
      </c>
      <c r="AN17" s="954"/>
      <c r="AO17" s="954"/>
      <c r="AP17" s="954"/>
      <c r="AQ17" s="954" t="str">
        <f>+'4. Intervenciones UDT - HCBM'!AA28</f>
        <v>RE</v>
      </c>
      <c r="AR17" s="954">
        <f>+'4. Intervenciones UDT - HCBM'!AB28</f>
        <v>3</v>
      </c>
      <c r="AS17" s="403">
        <f t="shared" si="1"/>
        <v>1</v>
      </c>
    </row>
    <row r="18" spans="1:45" s="195" customFormat="1" ht="15.8" hidden="1" customHeight="1" x14ac:dyDescent="0.3">
      <c r="A18" s="403"/>
      <c r="B18" s="403" t="str">
        <f>'4. Intervenciones UDT - HCBM'!$C$8</f>
        <v>UDT HUALLAGA CENTRAL Y BAJO MAYO</v>
      </c>
      <c r="C18" s="403" t="str">
        <f>'4. Intervenciones UDT - HCBM'!$F$10</f>
        <v>Predios de agricultura familiar con producción destinada al autoconsumo y productos de exportación, con título o sin título de propiedad.</v>
      </c>
      <c r="D18" s="404" t="str">
        <f>+'4. Intervenciones UDT - HCBM'!A29</f>
        <v>Programas de inversión privada</v>
      </c>
      <c r="E18" s="404" t="str">
        <f>+'4. Intervenciones UDT - HCBM'!C29</f>
        <v>1.1.12</v>
      </c>
      <c r="F18" s="403" t="str">
        <f>+'4. Intervenciones UDT - HCBM'!D29</f>
        <v xml:space="preserve">Fortalecimiento de capacidades en gestión de la calidad en las distintas cadenas de valor </v>
      </c>
      <c r="G18" s="403" t="str">
        <f>+'4. Intervenciones UDT - HCBM'!E29</f>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v>
      </c>
      <c r="H18" s="948" t="s">
        <v>1857</v>
      </c>
      <c r="I18" s="946" t="s">
        <v>193</v>
      </c>
      <c r="J18" s="946" t="s">
        <v>2592</v>
      </c>
      <c r="K18" s="946" t="s">
        <v>2329</v>
      </c>
      <c r="L18" s="946" t="s">
        <v>194</v>
      </c>
      <c r="M18" s="418" t="s">
        <v>1861</v>
      </c>
      <c r="N18" s="948" t="s">
        <v>1862</v>
      </c>
      <c r="O18" s="948" t="s">
        <v>220</v>
      </c>
      <c r="P18" s="951" t="s">
        <v>1870</v>
      </c>
      <c r="Q18" s="948" t="str">
        <f>+'4. Intervenciones UDT - HCBM'!F29</f>
        <v>Empresas y organizaciones atendidas</v>
      </c>
      <c r="R18" s="405">
        <f>+'4. Intervenciones UDT - HCBM'!I29</f>
        <v>48</v>
      </c>
      <c r="S18" s="405">
        <f>+'4. Intervenciones UDT - HCBM'!J29</f>
        <v>28.799999999999997</v>
      </c>
      <c r="T18" s="405">
        <f>+'4. Intervenciones UDT - HCBM'!K29</f>
        <v>14.399999999999999</v>
      </c>
      <c r="U18" s="405">
        <f>+'4. Intervenciones UDT - HCBM'!L29</f>
        <v>50000</v>
      </c>
      <c r="V18" s="403" t="str">
        <f>+'4. Intervenciones UDT - HCBM'!M29</f>
        <v>El costo incluye la contratación de especialistas para brindar Asistencia Técnica en los procesos de implementación de las certificaciones de calidad, materiales para la capacitación y pasantías.</v>
      </c>
      <c r="W18" s="403" t="str">
        <f>+'4. Intervenciones UDT - HCBM'!N29</f>
        <v>DIREPRO</v>
      </c>
      <c r="X18" s="588">
        <f>+'4. Intervenciones UDT - HCBM'!O29</f>
        <v>1439999.9999999998</v>
      </c>
      <c r="Y18" s="588">
        <f>+Tabla1[[#This Row],[2025 Directo]]*(1+$Y$3)</f>
        <v>1455119.9999999998</v>
      </c>
      <c r="Z18" s="588">
        <f>+'4. Intervenciones UDT - HCBM'!P29</f>
        <v>719999.99999999988</v>
      </c>
      <c r="AA18" s="588">
        <f>+Tabla1[[#This Row],[2030 Directo]]*(1+$Y$3)</f>
        <v>727559.99999999988</v>
      </c>
      <c r="AB18" s="588">
        <f>+'4. Intervenciones UDT - HCBM'!Q29</f>
        <v>287999.99999999994</v>
      </c>
      <c r="AC18" s="588">
        <f>+Tabla1[[#This Row],[Año 1 Cto Directo]]*(1+$Y$3)</f>
        <v>291023.99999999994</v>
      </c>
      <c r="AD18" s="588">
        <f>+'4. Intervenciones UDT - HCBM'!R29</f>
        <v>287999.99999999994</v>
      </c>
      <c r="AE18" s="588">
        <f>+Tabla1[[#This Row],[Año 2 Cto. Directo]]*(1+$Y$3)</f>
        <v>291023.99999999994</v>
      </c>
      <c r="AF18" s="588">
        <f>+'4. Intervenciones UDT - HCBM'!S29</f>
        <v>287999.99999999994</v>
      </c>
      <c r="AG18" s="588">
        <f>+Tabla1[[#This Row],[Año 3 Cto. Directo]]*(1+$Y$3)</f>
        <v>291023.99999999994</v>
      </c>
      <c r="AH18" s="588">
        <f>+'4. Intervenciones UDT - HCBM'!T29</f>
        <v>287999.99999999994</v>
      </c>
      <c r="AI18" s="588">
        <f>+Tabla1[[#This Row],[Año 4 Cto. Directo]]*(1+$Y$3)</f>
        <v>291023.99999999994</v>
      </c>
      <c r="AJ18" s="588">
        <f>+'4. Intervenciones UDT - HCBM'!U29</f>
        <v>287999.99999999994</v>
      </c>
      <c r="AK18" s="588">
        <f>+Tabla1[[#This Row],[Año 5 Cto. Directo]]*(1+$Y$3)</f>
        <v>291023.99999999994</v>
      </c>
      <c r="AL18" s="403">
        <f>+'4. Intervenciones UDT - HCBM'!V29</f>
        <v>0</v>
      </c>
      <c r="AM18" s="954"/>
      <c r="AN18" s="954"/>
      <c r="AO18" s="954" t="str">
        <f>+'4. Intervenciones UDT - HCBM'!Y29</f>
        <v>X</v>
      </c>
      <c r="AP18" s="954"/>
      <c r="AQ18" s="954" t="str">
        <f>+'4. Intervenciones UDT - HCBM'!AA29</f>
        <v>RE</v>
      </c>
      <c r="AR18" s="954">
        <f>+'4. Intervenciones UDT - HCBM'!AB29</f>
        <v>2</v>
      </c>
      <c r="AS18" s="403">
        <f t="shared" si="1"/>
        <v>1</v>
      </c>
    </row>
    <row r="19" spans="1:45" s="195" customFormat="1" ht="15.8" hidden="1" customHeight="1" x14ac:dyDescent="0.3">
      <c r="A19" s="403"/>
      <c r="B19" s="403" t="str">
        <f>'4. Intervenciones UDT - HCBM'!$C$8</f>
        <v>UDT HUALLAGA CENTRAL Y BAJO MAYO</v>
      </c>
      <c r="C19" s="403" t="str">
        <f>'4. Intervenciones UDT - HCBM'!$F$10</f>
        <v>Predios de agricultura familiar con producción destinada al autoconsumo y productos de exportación, con título o sin título de propiedad.</v>
      </c>
      <c r="D19" s="404" t="str">
        <f>+'4. Intervenciones UDT - HCBM'!A30</f>
        <v>Programas de inversión pública</v>
      </c>
      <c r="E19" s="404" t="str">
        <f>+'4. Intervenciones UDT - HCBM'!C30</f>
        <v>1.1.13</v>
      </c>
      <c r="F19" s="403" t="str">
        <f>+'4. Intervenciones UDT - HCBM'!D30</f>
        <v>Promoción de modelos asociativos sostenibles</v>
      </c>
      <c r="G19" s="403" t="str">
        <f>+'4. Intervenciones UDT - HCBM'!E30</f>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v>
      </c>
      <c r="H19" s="948" t="s">
        <v>1857</v>
      </c>
      <c r="I19" s="946" t="s">
        <v>193</v>
      </c>
      <c r="J19" s="946" t="s">
        <v>2594</v>
      </c>
      <c r="K19" s="946" t="s">
        <v>2332</v>
      </c>
      <c r="L19" s="946" t="s">
        <v>198</v>
      </c>
      <c r="M19" s="418" t="s">
        <v>1874</v>
      </c>
      <c r="N19" s="948" t="s">
        <v>1862</v>
      </c>
      <c r="O19" s="948" t="s">
        <v>230</v>
      </c>
      <c r="P19" s="951" t="s">
        <v>1875</v>
      </c>
      <c r="Q19" s="948" t="str">
        <f>+'4. Intervenciones UDT - HCBM'!F30</f>
        <v>Organizaciones auto sostenibles</v>
      </c>
      <c r="R19" s="405">
        <f>+'4. Intervenciones UDT - HCBM'!I30</f>
        <v>48</v>
      </c>
      <c r="S19" s="405">
        <f>+'4. Intervenciones UDT - HCBM'!J30</f>
        <v>9.6000000000000014</v>
      </c>
      <c r="T19" s="405">
        <f>+'4. Intervenciones UDT - HCBM'!K30</f>
        <v>12</v>
      </c>
      <c r="U19" s="405">
        <f>+'4. Intervenciones UDT - HCBM'!L30</f>
        <v>120000</v>
      </c>
      <c r="V19" s="403" t="str">
        <f>+'4. Intervenciones UDT - HCBM'!M30</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19" s="403" t="str">
        <f>+'4. Intervenciones UDT - HCBM'!N30</f>
        <v>DRASAM, MESA TÉCNICA DE CACAO Y CAFÉ, AVA</v>
      </c>
      <c r="X19" s="588">
        <f>+'4. Intervenciones UDT - HCBM'!O30</f>
        <v>1152000.0000000002</v>
      </c>
      <c r="Y19" s="588">
        <f>+Tabla1[[#This Row],[2025 Directo]]*(1+$Y$3)</f>
        <v>1164096.0000000002</v>
      </c>
      <c r="Z19" s="588">
        <f>+'4. Intervenciones UDT - HCBM'!P30</f>
        <v>1440000</v>
      </c>
      <c r="AA19" s="588">
        <f>+Tabla1[[#This Row],[2030 Directo]]*(1+$Y$3)</f>
        <v>1455120</v>
      </c>
      <c r="AB19" s="588">
        <f>+'4. Intervenciones UDT - HCBM'!Q30</f>
        <v>230400.00000000006</v>
      </c>
      <c r="AC19" s="588">
        <f>+Tabla1[[#This Row],[Año 1 Cto Directo]]*(1+$Y$3)</f>
        <v>232819.20000000004</v>
      </c>
      <c r="AD19" s="588">
        <f>+'4. Intervenciones UDT - HCBM'!R30</f>
        <v>230400.00000000006</v>
      </c>
      <c r="AE19" s="588">
        <f>+Tabla1[[#This Row],[Año 2 Cto. Directo]]*(1+$Y$3)</f>
        <v>232819.20000000004</v>
      </c>
      <c r="AF19" s="588">
        <f>+'4. Intervenciones UDT - HCBM'!S30</f>
        <v>230400.00000000006</v>
      </c>
      <c r="AG19" s="588">
        <f>+Tabla1[[#This Row],[Año 3 Cto. Directo]]*(1+$Y$3)</f>
        <v>232819.20000000004</v>
      </c>
      <c r="AH19" s="588">
        <f>+'4. Intervenciones UDT - HCBM'!T30</f>
        <v>230400.00000000006</v>
      </c>
      <c r="AI19" s="588">
        <f>+Tabla1[[#This Row],[Año 4 Cto. Directo]]*(1+$Y$3)</f>
        <v>232819.20000000004</v>
      </c>
      <c r="AJ19" s="588">
        <f>+'4. Intervenciones UDT - HCBM'!U30</f>
        <v>230400.00000000006</v>
      </c>
      <c r="AK19" s="588">
        <f>+Tabla1[[#This Row],[Año 5 Cto. Directo]]*(1+$Y$3)</f>
        <v>232819.20000000004</v>
      </c>
      <c r="AL19" s="403">
        <f>+'4. Intervenciones UDT - HCBM'!V30</f>
        <v>0</v>
      </c>
      <c r="AM19" s="954"/>
      <c r="AN19" s="954"/>
      <c r="AO19" s="954" t="str">
        <f>+'4. Intervenciones UDT - HCBM'!Y30</f>
        <v>X</v>
      </c>
      <c r="AP19" s="954"/>
      <c r="AQ19" s="954"/>
      <c r="AR19" s="954">
        <f>+'4. Intervenciones UDT - HCBM'!AB30</f>
        <v>3</v>
      </c>
      <c r="AS19" s="403">
        <f t="shared" si="1"/>
        <v>1</v>
      </c>
    </row>
    <row r="20" spans="1:45" s="195" customFormat="1" ht="15.8" hidden="1" customHeight="1" x14ac:dyDescent="0.3">
      <c r="A20" s="403"/>
      <c r="B20" s="403" t="str">
        <f>'4. Intervenciones UDT - HCBM'!$C$8</f>
        <v>UDT HUALLAGA CENTRAL Y BAJO MAYO</v>
      </c>
      <c r="C20" s="403" t="str">
        <f>'4. Intervenciones UDT - HCBM'!$F$10</f>
        <v>Predios de agricultura familiar con producción destinada al autoconsumo y productos de exportación, con título o sin título de propiedad.</v>
      </c>
      <c r="D20" s="404" t="str">
        <f>+'4. Intervenciones UDT - HCBM'!A31</f>
        <v>Programas de inversión privada</v>
      </c>
      <c r="E20" s="404" t="str">
        <f>+'4. Intervenciones UDT - HCBM'!C31</f>
        <v>1.1.14</v>
      </c>
      <c r="F20" s="403" t="str">
        <f>+'4. Intervenciones UDT - HCBM'!D31</f>
        <v>Certificación orgánica y  Comercio Justo</v>
      </c>
      <c r="G20" s="403" t="str">
        <f>+'4. Intervenciones UDT - HCBM'!E31</f>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v>
      </c>
      <c r="H20" s="948" t="s">
        <v>1857</v>
      </c>
      <c r="I20" s="946" t="s">
        <v>193</v>
      </c>
      <c r="J20" s="946" t="s">
        <v>2592</v>
      </c>
      <c r="K20" s="946" t="s">
        <v>2329</v>
      </c>
      <c r="L20" s="946" t="s">
        <v>197</v>
      </c>
      <c r="M20" s="418" t="s">
        <v>1876</v>
      </c>
      <c r="N20" s="948" t="s">
        <v>1862</v>
      </c>
      <c r="O20" s="948" t="s">
        <v>228</v>
      </c>
      <c r="P20" s="951" t="s">
        <v>1877</v>
      </c>
      <c r="Q20" s="948" t="str">
        <f>+'4. Intervenciones UDT - HCBM'!F31</f>
        <v>Organizaciones certificadas</v>
      </c>
      <c r="R20" s="405">
        <f>+'4. Intervenciones UDT - HCBM'!I31</f>
        <v>48</v>
      </c>
      <c r="S20" s="405">
        <f>+'4. Intervenciones UDT - HCBM'!J31</f>
        <v>19.200000000000003</v>
      </c>
      <c r="T20" s="405">
        <f>+'4. Intervenciones UDT - HCBM'!K31</f>
        <v>19.200000000000003</v>
      </c>
      <c r="U20" s="405">
        <f>+'4. Intervenciones UDT - HCBM'!L31</f>
        <v>40000</v>
      </c>
      <c r="V20" s="403" t="str">
        <f>+'4. Intervenciones UDT - HCBM'!M31</f>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v>
      </c>
      <c r="W20" s="403" t="str">
        <f>+'4. Intervenciones UDT - HCBM'!N31</f>
        <v>Certificadora CERES</v>
      </c>
      <c r="X20" s="588">
        <f>+'4. Intervenciones UDT - HCBM'!O31</f>
        <v>3840000.0000000005</v>
      </c>
      <c r="Y20" s="588">
        <f>+Tabla1[[#This Row],[2025 Directo]]*(1+$Y$3)</f>
        <v>3880320.0000000005</v>
      </c>
      <c r="Z20" s="588">
        <f>+'4. Intervenciones UDT - HCBM'!P31</f>
        <v>3840000.0000000005</v>
      </c>
      <c r="AA20" s="588">
        <f>+Tabla1[[#This Row],[2030 Directo]]*(1+$Y$3)</f>
        <v>3880320.0000000005</v>
      </c>
      <c r="AB20" s="588">
        <f>+'4. Intervenciones UDT - HCBM'!Q31</f>
        <v>768000.00000000012</v>
      </c>
      <c r="AC20" s="588">
        <f>+Tabla1[[#This Row],[Año 1 Cto Directo]]*(1+$Y$3)</f>
        <v>776064.00000000012</v>
      </c>
      <c r="AD20" s="588">
        <f>+'4. Intervenciones UDT - HCBM'!R31</f>
        <v>768000.00000000012</v>
      </c>
      <c r="AE20" s="588">
        <f>+Tabla1[[#This Row],[Año 2 Cto. Directo]]*(1+$Y$3)</f>
        <v>776064.00000000012</v>
      </c>
      <c r="AF20" s="588">
        <f>+'4. Intervenciones UDT - HCBM'!S31</f>
        <v>768000.00000000012</v>
      </c>
      <c r="AG20" s="588">
        <f>+Tabla1[[#This Row],[Año 3 Cto. Directo]]*(1+$Y$3)</f>
        <v>776064.00000000012</v>
      </c>
      <c r="AH20" s="588">
        <f>+'4. Intervenciones UDT - HCBM'!T31</f>
        <v>768000.00000000012</v>
      </c>
      <c r="AI20" s="588">
        <f>+Tabla1[[#This Row],[Año 4 Cto. Directo]]*(1+$Y$3)</f>
        <v>776064.00000000012</v>
      </c>
      <c r="AJ20" s="588">
        <f>+'4. Intervenciones UDT - HCBM'!U31</f>
        <v>768000.00000000012</v>
      </c>
      <c r="AK20" s="588">
        <f>+Tabla1[[#This Row],[Año 5 Cto. Directo]]*(1+$Y$3)</f>
        <v>776064.00000000012</v>
      </c>
      <c r="AL20" s="403">
        <f>+'4. Intervenciones UDT - HCBM'!V31</f>
        <v>0</v>
      </c>
      <c r="AM20" s="954"/>
      <c r="AN20" s="954"/>
      <c r="AO20" s="954" t="str">
        <f>+'4. Intervenciones UDT - HCBM'!Y31</f>
        <v>X</v>
      </c>
      <c r="AP20" s="954"/>
      <c r="AQ20" s="954"/>
      <c r="AR20" s="954">
        <f>+'4. Intervenciones UDT - HCBM'!AB31</f>
        <v>3</v>
      </c>
      <c r="AS20" s="403">
        <f t="shared" si="1"/>
        <v>1</v>
      </c>
    </row>
    <row r="21" spans="1:45" s="195" customFormat="1" ht="15.8" hidden="1" customHeight="1" x14ac:dyDescent="0.3">
      <c r="A21" s="403"/>
      <c r="B21" s="403" t="str">
        <f>'4. Intervenciones UDT - HCBM'!$C$8</f>
        <v>UDT HUALLAGA CENTRAL Y BAJO MAYO</v>
      </c>
      <c r="C21" s="403" t="str">
        <f>'4. Intervenciones UDT - HCBM'!$F$10</f>
        <v>Predios de agricultura familiar con producción destinada al autoconsumo y productos de exportación, con título o sin título de propiedad.</v>
      </c>
      <c r="D21" s="404" t="str">
        <f>+'4. Intervenciones UDT - HCBM'!A32</f>
        <v>Control y vigilancia</v>
      </c>
      <c r="E21" s="404" t="str">
        <f>+'4. Intervenciones UDT - HCBM'!C32</f>
        <v>1.1.15</v>
      </c>
      <c r="F21" s="403" t="str">
        <f>+'4. Intervenciones UDT - HCBM'!D32</f>
        <v>Promoción y acceso a los Mecanismos de Retribución por Servicios Eco sistémicos (MERESE)</v>
      </c>
      <c r="G21" s="403" t="str">
        <f>+'4. Intervenciones UDT - HCBM'!E32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21" s="948" t="s">
        <v>1857</v>
      </c>
      <c r="I21" s="946" t="s">
        <v>203</v>
      </c>
      <c r="J21" s="946" t="s">
        <v>2595</v>
      </c>
      <c r="K21" s="946" t="s">
        <v>2333</v>
      </c>
      <c r="L21" s="946" t="s">
        <v>204</v>
      </c>
      <c r="M21" s="418" t="s">
        <v>1878</v>
      </c>
      <c r="N21" s="948" t="s">
        <v>1879</v>
      </c>
      <c r="O21" s="948" t="s">
        <v>225</v>
      </c>
      <c r="P21" s="951" t="s">
        <v>1880</v>
      </c>
      <c r="Q21" s="948" t="str">
        <f>+'4. Intervenciones UDT - HCBM'!F32</f>
        <v>Campañas de difusión y promoción</v>
      </c>
      <c r="R21" s="405">
        <f>+'4. Intervenciones UDT - HCBM'!I32</f>
        <v>0</v>
      </c>
      <c r="S21" s="405">
        <f>+'4. Intervenciones UDT - HCBM'!J32</f>
        <v>175</v>
      </c>
      <c r="T21" s="405">
        <f>+'4. Intervenciones UDT - HCBM'!K32</f>
        <v>175</v>
      </c>
      <c r="U21" s="405">
        <f>+'4. Intervenciones UDT - HCBM'!L32</f>
        <v>10000</v>
      </c>
      <c r="V21" s="403" t="str">
        <f>+'4. Intervenciones UDT - HCBM'!M32</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21" s="403" t="str">
        <f>+'4. Intervenciones UDT - HCBM'!N32</f>
        <v>SUNASS</v>
      </c>
      <c r="X21" s="588">
        <f>+'4. Intervenciones UDT - HCBM'!O32</f>
        <v>1750000</v>
      </c>
      <c r="Y21" s="588">
        <f>+Tabla1[[#This Row],[2025 Directo]]*(1+$Y$3)</f>
        <v>1768375</v>
      </c>
      <c r="Z21" s="588">
        <f>+'4. Intervenciones UDT - HCBM'!P32</f>
        <v>1750000</v>
      </c>
      <c r="AA21" s="588">
        <f>+Tabla1[[#This Row],[2030 Directo]]*(1+$Y$3)</f>
        <v>1768375</v>
      </c>
      <c r="AB21" s="588">
        <f>+'4. Intervenciones UDT - HCBM'!Q32</f>
        <v>350000</v>
      </c>
      <c r="AC21" s="588">
        <f>+Tabla1[[#This Row],[Año 1 Cto Directo]]*(1+$Y$3)</f>
        <v>353675</v>
      </c>
      <c r="AD21" s="588">
        <f>+'4. Intervenciones UDT - HCBM'!R32</f>
        <v>350000</v>
      </c>
      <c r="AE21" s="588">
        <f>+Tabla1[[#This Row],[Año 2 Cto. Directo]]*(1+$Y$3)</f>
        <v>353675</v>
      </c>
      <c r="AF21" s="588">
        <f>+'4. Intervenciones UDT - HCBM'!S32</f>
        <v>350000</v>
      </c>
      <c r="AG21" s="588">
        <f>+Tabla1[[#This Row],[Año 3 Cto. Directo]]*(1+$Y$3)</f>
        <v>353675</v>
      </c>
      <c r="AH21" s="588">
        <f>+'4. Intervenciones UDT - HCBM'!T32</f>
        <v>350000</v>
      </c>
      <c r="AI21" s="588">
        <f>+Tabla1[[#This Row],[Año 4 Cto. Directo]]*(1+$Y$3)</f>
        <v>353675</v>
      </c>
      <c r="AJ21" s="588">
        <f>+'4. Intervenciones UDT - HCBM'!U32</f>
        <v>350000</v>
      </c>
      <c r="AK21" s="588">
        <f>+Tabla1[[#This Row],[Año 5 Cto. Directo]]*(1+$Y$3)</f>
        <v>353675</v>
      </c>
      <c r="AL21" s="403">
        <f>+'4. Intervenciones UDT - HCBM'!V32</f>
        <v>0</v>
      </c>
      <c r="AM21" s="954" t="str">
        <f>+'4. Intervenciones UDT - HCBM'!W32</f>
        <v>X</v>
      </c>
      <c r="AN21" s="954"/>
      <c r="AO21" s="954"/>
      <c r="AP21" s="954"/>
      <c r="AQ21" s="954"/>
      <c r="AR21" s="954">
        <f>+'4. Intervenciones UDT - HCBM'!AB32</f>
        <v>2</v>
      </c>
      <c r="AS21" s="403">
        <f t="shared" si="1"/>
        <v>1</v>
      </c>
    </row>
    <row r="22" spans="1:45" s="195" customFormat="1" ht="15.8" hidden="1" customHeight="1" x14ac:dyDescent="0.3">
      <c r="A22" s="403"/>
      <c r="B22" s="403" t="str">
        <f>'4. Intervenciones UDT - HCBM'!$C$8</f>
        <v>UDT HUALLAGA CENTRAL Y BAJO MAYO</v>
      </c>
      <c r="C22" s="403" t="str">
        <f>'4. Intervenciones UDT - HCBM'!$F$37</f>
        <v xml:space="preserve">Predios privados dedicados a la producción comercial (arroz) </v>
      </c>
      <c r="D22" s="404" t="str">
        <f>+'4. Intervenciones UDT - HCBM'!A45</f>
        <v>Invasiones</v>
      </c>
      <c r="E22" s="404" t="str">
        <f>+'4. Intervenciones UDT - HCBM'!C45</f>
        <v>1.2.1</v>
      </c>
      <c r="F22" s="403" t="str">
        <f>+'4. Intervenciones UDT - HCBM'!D45</f>
        <v>Otorgamiento de derechos sobre la tierra/bosques</v>
      </c>
      <c r="G22" s="403" t="str">
        <f>+'4. Intervenciones UDT - HCBM'!E45</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22" s="948" t="s">
        <v>1857</v>
      </c>
      <c r="I22" s="946" t="s">
        <v>199</v>
      </c>
      <c r="J22" s="946" t="s">
        <v>2591</v>
      </c>
      <c r="K22" s="946" t="s">
        <v>2331</v>
      </c>
      <c r="L22" s="946" t="s">
        <v>202</v>
      </c>
      <c r="M22" s="418" t="s">
        <v>1858</v>
      </c>
      <c r="N22" s="948" t="s">
        <v>1859</v>
      </c>
      <c r="O22" s="948" t="s">
        <v>223</v>
      </c>
      <c r="P22" s="951" t="s">
        <v>1860</v>
      </c>
      <c r="Q22" s="948" t="str">
        <f>+'4. Intervenciones UDT - HCBM'!F45</f>
        <v>N° Títulos/Contratos otorgados</v>
      </c>
      <c r="R22" s="405">
        <f>+'4. Intervenciones UDT - HCBM'!I45</f>
        <v>2572.6683236398999</v>
      </c>
      <c r="S22" s="405">
        <f>+'4. Intervenciones UDT - HCBM'!J45</f>
        <v>1286.3341618199499</v>
      </c>
      <c r="T22" s="405">
        <f>+'4. Intervenciones UDT - HCBM'!K45</f>
        <v>1286.3341618199499</v>
      </c>
      <c r="U22" s="405">
        <f>+'4. Intervenciones UDT - HCBM'!L45</f>
        <v>2000</v>
      </c>
      <c r="V22" s="403" t="str">
        <f>+'4. Intervenciones UDT - HCBM'!M45</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22" s="403" t="str">
        <f>+'4. Intervenciones UDT - HCBM'!N45</f>
        <v>Programa de titulación PTR 3 / ARA</v>
      </c>
      <c r="X22" s="588">
        <f>+'4. Intervenciones UDT - HCBM'!O45</f>
        <v>2572668.3236399</v>
      </c>
      <c r="Y22" s="588">
        <f>+Tabla1[[#This Row],[2025 Directo]]*(1+$Y$3)</f>
        <v>2599681.3410381186</v>
      </c>
      <c r="Z22" s="588">
        <f>+'4. Intervenciones UDT - HCBM'!P45</f>
        <v>2572668.3236399</v>
      </c>
      <c r="AA22" s="588">
        <f>+Tabla1[[#This Row],[2030 Directo]]*(1+$Y$3)</f>
        <v>2599681.3410381186</v>
      </c>
      <c r="AB22" s="588">
        <f>+'4. Intervenciones UDT - HCBM'!Q45</f>
        <v>257266.83236399002</v>
      </c>
      <c r="AC22" s="588">
        <f>+Tabla1[[#This Row],[Año 1 Cto Directo]]*(1+$Y$3)</f>
        <v>259968.1341038119</v>
      </c>
      <c r="AD22" s="588">
        <f>+'4. Intervenciones UDT - HCBM'!R45</f>
        <v>385900.24854598497</v>
      </c>
      <c r="AE22" s="588">
        <f>+Tabla1[[#This Row],[Año 2 Cto. Directo]]*(1+$Y$3)</f>
        <v>389952.20115571778</v>
      </c>
      <c r="AF22" s="588">
        <f>+'4. Intervenciones UDT - HCBM'!S45</f>
        <v>514533.66472798004</v>
      </c>
      <c r="AG22" s="588">
        <f>+Tabla1[[#This Row],[Año 3 Cto. Directo]]*(1+$Y$3)</f>
        <v>519936.2682076238</v>
      </c>
      <c r="AH22" s="588">
        <f>+'4. Intervenciones UDT - HCBM'!T45</f>
        <v>771800.49709196994</v>
      </c>
      <c r="AI22" s="588">
        <f>+Tabla1[[#This Row],[Año 4 Cto. Directo]]*(1+$Y$3)</f>
        <v>779904.40231143555</v>
      </c>
      <c r="AJ22" s="588">
        <f>+'4. Intervenciones UDT - HCBM'!U45</f>
        <v>643167.08090997499</v>
      </c>
      <c r="AK22" s="588">
        <f>+Tabla1[[#This Row],[Año 5 Cto. Directo]]*(1+$Y$3)</f>
        <v>649920.33525952965</v>
      </c>
      <c r="AL22" s="403">
        <f>+'4. Intervenciones UDT - HCBM'!V45</f>
        <v>0</v>
      </c>
      <c r="AM22" s="954"/>
      <c r="AN22" s="954"/>
      <c r="AO22" s="954" t="s">
        <v>148</v>
      </c>
      <c r="AP22" s="954"/>
      <c r="AQ22" s="954" t="str">
        <f>+'4. Intervenciones UDT - HCBM'!AA45</f>
        <v>RE</v>
      </c>
      <c r="AR22" s="954">
        <f>+'4. Intervenciones UDT - HCBM'!AB45</f>
        <v>3</v>
      </c>
      <c r="AS22" s="403">
        <f t="shared" ref="AS22" si="2">COUNTIF(AM22:AP22, "X")</f>
        <v>1</v>
      </c>
    </row>
    <row r="23" spans="1:45" s="195" customFormat="1" ht="15.8" hidden="1" customHeight="1" x14ac:dyDescent="0.3">
      <c r="A23" s="403"/>
      <c r="B23" s="403" t="str">
        <f>'4. Intervenciones UDT - HCBM'!$C$8</f>
        <v>UDT HUALLAGA CENTRAL Y BAJO MAYO</v>
      </c>
      <c r="C23" s="403" t="str">
        <f>'4. Intervenciones UDT - HCBM'!$F$37</f>
        <v xml:space="preserve">Predios privados dedicados a la producción comercial (arroz) </v>
      </c>
      <c r="D23" s="404" t="str">
        <f>+'4. Intervenciones UDT - HCBM'!A46</f>
        <v>Programas de inversión pública</v>
      </c>
      <c r="E23" s="404" t="str">
        <f>+'4. Intervenciones UDT - HCBM'!C46</f>
        <v>1.2.2</v>
      </c>
      <c r="F23" s="403" t="str">
        <f>+'4. Intervenciones UDT - HCBM'!D46</f>
        <v>Promoción y desarrollo de proveedores de semillas mejoradas</v>
      </c>
      <c r="G23" s="403" t="str">
        <f>+'4. Intervenciones UDT - HCBM'!E46</f>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v>
      </c>
      <c r="H23" s="948" t="s">
        <v>1857</v>
      </c>
      <c r="I23" s="946" t="s">
        <v>193</v>
      </c>
      <c r="J23" s="946" t="s">
        <v>2592</v>
      </c>
      <c r="K23" s="946" t="s">
        <v>2329</v>
      </c>
      <c r="L23" s="946" t="s">
        <v>196</v>
      </c>
      <c r="M23" s="418" t="s">
        <v>1866</v>
      </c>
      <c r="N23" s="948" t="s">
        <v>1862</v>
      </c>
      <c r="O23" s="948" t="s">
        <v>219</v>
      </c>
      <c r="P23" s="951" t="s">
        <v>1865</v>
      </c>
      <c r="Q23" s="948" t="str">
        <f>+'4. Intervenciones UDT - HCBM'!F46</f>
        <v>Unidades semilleristas</v>
      </c>
      <c r="R23" s="405">
        <f>+'4. Intervenciones UDT - HCBM'!I46</f>
        <v>15</v>
      </c>
      <c r="S23" s="405">
        <f>+'4. Intervenciones UDT - HCBM'!J46</f>
        <v>7.5</v>
      </c>
      <c r="T23" s="405">
        <f>+'4. Intervenciones UDT - HCBM'!K46</f>
        <v>7.5</v>
      </c>
      <c r="U23" s="405">
        <f>+'4. Intervenciones UDT - HCBM'!L46</f>
        <v>15000</v>
      </c>
      <c r="V23" s="403" t="str">
        <f>+'4. Intervenciones UDT - HCBM'!M46</f>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v>
      </c>
      <c r="W23" s="403" t="str">
        <f>+'4. Intervenciones UDT - HCBM'!N46</f>
        <v>DRASAM</v>
      </c>
      <c r="X23" s="588">
        <f>+'4. Intervenciones UDT - HCBM'!O46</f>
        <v>112500</v>
      </c>
      <c r="Y23" s="588">
        <f>+Tabla1[[#This Row],[2025 Directo]]*(1+$Y$3)</f>
        <v>113681.25</v>
      </c>
      <c r="Z23" s="588">
        <f>+'4. Intervenciones UDT - HCBM'!P46</f>
        <v>112500</v>
      </c>
      <c r="AA23" s="588">
        <f>+Tabla1[[#This Row],[2030 Directo]]*(1+$Y$3)</f>
        <v>113681.25</v>
      </c>
      <c r="AB23" s="588">
        <f>+'4. Intervenciones UDT - HCBM'!Q46</f>
        <v>16875</v>
      </c>
      <c r="AC23" s="588">
        <f>+Tabla1[[#This Row],[Año 1 Cto Directo]]*(1+$Y$3)</f>
        <v>17052.1875</v>
      </c>
      <c r="AD23" s="588">
        <f>+'4. Intervenciones UDT - HCBM'!R46</f>
        <v>22500</v>
      </c>
      <c r="AE23" s="588">
        <f>+Tabla1[[#This Row],[Año 2 Cto. Directo]]*(1+$Y$3)</f>
        <v>22736.25</v>
      </c>
      <c r="AF23" s="588">
        <f>+'4. Intervenciones UDT - HCBM'!S46</f>
        <v>22500</v>
      </c>
      <c r="AG23" s="588">
        <f>+Tabla1[[#This Row],[Año 3 Cto. Directo]]*(1+$Y$3)</f>
        <v>22736.25</v>
      </c>
      <c r="AH23" s="588">
        <f>+'4. Intervenciones UDT - HCBM'!T46</f>
        <v>28125</v>
      </c>
      <c r="AI23" s="588">
        <f>+Tabla1[[#This Row],[Año 4 Cto. Directo]]*(1+$Y$3)</f>
        <v>28420.3125</v>
      </c>
      <c r="AJ23" s="588">
        <f>+'4. Intervenciones UDT - HCBM'!U46</f>
        <v>22500</v>
      </c>
      <c r="AK23" s="588">
        <f>+Tabla1[[#This Row],[Año 5 Cto. Directo]]*(1+$Y$3)</f>
        <v>22736.25</v>
      </c>
      <c r="AL23" s="403">
        <f>+'4. Intervenciones UDT - HCBM'!V46</f>
        <v>0</v>
      </c>
      <c r="AM23" s="954"/>
      <c r="AN23" s="954" t="str">
        <f>+'4. Intervenciones UDT - HCBM'!X46</f>
        <v>X</v>
      </c>
      <c r="AO23" s="954"/>
      <c r="AP23" s="954"/>
      <c r="AQ23" s="954" t="str">
        <f>+'4. Intervenciones UDT - HCBM'!AA46</f>
        <v>RE</v>
      </c>
      <c r="AR23" s="954">
        <f>+'4. Intervenciones UDT - HCBM'!AB46</f>
        <v>3</v>
      </c>
      <c r="AS23" s="403">
        <f t="shared" si="1"/>
        <v>1</v>
      </c>
    </row>
    <row r="24" spans="1:45" s="195" customFormat="1" ht="15.8" hidden="1" customHeight="1" x14ac:dyDescent="0.3">
      <c r="A24" s="403"/>
      <c r="B24" s="403" t="str">
        <f>'4. Intervenciones UDT - HCBM'!$C$8</f>
        <v>UDT HUALLAGA CENTRAL Y BAJO MAYO</v>
      </c>
      <c r="C24" s="403" t="str">
        <f>'4. Intervenciones UDT - HCBM'!$F$37</f>
        <v xml:space="preserve">Predios privados dedicados a la producción comercial (arroz) </v>
      </c>
      <c r="D24" s="404" t="str">
        <f>+'4. Intervenciones UDT - HCBM'!A47</f>
        <v>Programas de inversión pública</v>
      </c>
      <c r="E24" s="404" t="str">
        <f>+'4. Intervenciones UDT - HCBM'!C47</f>
        <v>1.2.3</v>
      </c>
      <c r="F24" s="403" t="str">
        <f>+'4. Intervenciones UDT - HCBM'!D47</f>
        <v>Promoción de Sistemas de producción sostenibles</v>
      </c>
      <c r="G24" s="403" t="str">
        <f>+'4. Intervenciones UDT - HCBM'!E47</f>
        <v xml:space="preserve">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v>
      </c>
      <c r="H24" s="948" t="s">
        <v>1857</v>
      </c>
      <c r="I24" s="946" t="s">
        <v>193</v>
      </c>
      <c r="J24" s="946" t="s">
        <v>2592</v>
      </c>
      <c r="K24" s="946" t="s">
        <v>2329</v>
      </c>
      <c r="L24" s="946" t="s">
        <v>194</v>
      </c>
      <c r="M24" s="418" t="s">
        <v>1861</v>
      </c>
      <c r="N24" s="948" t="s">
        <v>1862</v>
      </c>
      <c r="O24" s="948" t="s">
        <v>220</v>
      </c>
      <c r="P24" s="951" t="s">
        <v>1870</v>
      </c>
      <c r="Q24" s="948" t="str">
        <f>+'4. Intervenciones UDT - HCBM'!F47</f>
        <v>Productores asistidos</v>
      </c>
      <c r="R24" s="405">
        <f>+'4. Intervenciones UDT - HCBM'!I47</f>
        <v>5747</v>
      </c>
      <c r="S24" s="405">
        <f>+'4. Intervenciones UDT - HCBM'!J47</f>
        <v>2586.15</v>
      </c>
      <c r="T24" s="405">
        <f>+'4. Intervenciones UDT - HCBM'!K47</f>
        <v>3160.8500000000004</v>
      </c>
      <c r="U24" s="405">
        <f>+'4. Intervenciones UDT - HCBM'!L47</f>
        <v>560</v>
      </c>
      <c r="V24" s="403" t="str">
        <f>+'4. Intervenciones UDT - HCBM'!M47</f>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v>
      </c>
      <c r="W24" s="403" t="str">
        <f>+'4. Intervenciones UDT - HCBM'!N47</f>
        <v>DRASAM</v>
      </c>
      <c r="X24" s="588">
        <f>+'4. Intervenciones UDT - HCBM'!O47</f>
        <v>1448244</v>
      </c>
      <c r="Y24" s="588">
        <f>+Tabla1[[#This Row],[2025 Directo]]*(1+$Y$3)</f>
        <v>1463450.5619999999</v>
      </c>
      <c r="Z24" s="588">
        <f>+'4. Intervenciones UDT - HCBM'!P47</f>
        <v>1770076.0000000002</v>
      </c>
      <c r="AA24" s="588">
        <f>+Tabla1[[#This Row],[2030 Directo]]*(1+$Y$3)</f>
        <v>1788661.7980000002</v>
      </c>
      <c r="AB24" s="588">
        <f>+'4. Intervenciones UDT - HCBM'!Q47</f>
        <v>289648.8</v>
      </c>
      <c r="AC24" s="588">
        <f>+Tabla1[[#This Row],[Año 1 Cto Directo]]*(1+$Y$3)</f>
        <v>292690.11239999998</v>
      </c>
      <c r="AD24" s="588">
        <f>+'4. Intervenciones UDT - HCBM'!R47</f>
        <v>289648.8</v>
      </c>
      <c r="AE24" s="588">
        <f>+Tabla1[[#This Row],[Año 2 Cto. Directo]]*(1+$Y$3)</f>
        <v>292690.11239999998</v>
      </c>
      <c r="AF24" s="588">
        <f>+'4. Intervenciones UDT - HCBM'!S47</f>
        <v>289648.8</v>
      </c>
      <c r="AG24" s="588">
        <f>+Tabla1[[#This Row],[Año 3 Cto. Directo]]*(1+$Y$3)</f>
        <v>292690.11239999998</v>
      </c>
      <c r="AH24" s="588">
        <f>+'4. Intervenciones UDT - HCBM'!T47</f>
        <v>289648.8</v>
      </c>
      <c r="AI24" s="588">
        <f>+Tabla1[[#This Row],[Año 4 Cto. Directo]]*(1+$Y$3)</f>
        <v>292690.11239999998</v>
      </c>
      <c r="AJ24" s="588">
        <f>+'4. Intervenciones UDT - HCBM'!U47</f>
        <v>289648.8</v>
      </c>
      <c r="AK24" s="588">
        <f>+Tabla1[[#This Row],[Año 5 Cto. Directo]]*(1+$Y$3)</f>
        <v>292690.11239999998</v>
      </c>
      <c r="AL24" s="403">
        <f>+'4. Intervenciones UDT - HCBM'!V47</f>
        <v>0</v>
      </c>
      <c r="AM24" s="954"/>
      <c r="AN24" s="954"/>
      <c r="AO24" s="954" t="str">
        <f>+'4. Intervenciones UDT - HCBM'!Y47</f>
        <v>X</v>
      </c>
      <c r="AP24" s="954"/>
      <c r="AQ24" s="954" t="str">
        <f>+'4. Intervenciones UDT - HCBM'!AA47</f>
        <v>RE</v>
      </c>
      <c r="AR24" s="954">
        <f>+'4. Intervenciones UDT - HCBM'!AB47</f>
        <v>3</v>
      </c>
      <c r="AS24" s="403">
        <f t="shared" si="1"/>
        <v>1</v>
      </c>
    </row>
    <row r="25" spans="1:45" s="195" customFormat="1" ht="15.8" hidden="1" customHeight="1" x14ac:dyDescent="0.3">
      <c r="A25" s="403"/>
      <c r="B25" s="403" t="str">
        <f>'4. Intervenciones UDT - HCBM'!$C$8</f>
        <v>UDT HUALLAGA CENTRAL Y BAJO MAYO</v>
      </c>
      <c r="C25" s="403" t="str">
        <f>'4. Intervenciones UDT - HCBM'!$F$37</f>
        <v xml:space="preserve">Predios privados dedicados a la producción comercial (arroz) </v>
      </c>
      <c r="D25" s="404" t="str">
        <f>+'4. Intervenciones UDT - HCBM'!A48</f>
        <v>Programas de inversión privada</v>
      </c>
      <c r="E25" s="404" t="str">
        <f>+'4. Intervenciones UDT - HCBM'!C48</f>
        <v>1.2.4</v>
      </c>
      <c r="F25" s="403" t="str">
        <f>+'4. Intervenciones UDT - HCBM'!D48</f>
        <v xml:space="preserve">Reconversión y diversificación productiva </v>
      </c>
      <c r="G25" s="403" t="str">
        <f>+'4. Intervenciones UDT - HCBM'!E48</f>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v>
      </c>
      <c r="H25" s="948" t="s">
        <v>1867</v>
      </c>
      <c r="I25" s="946" t="s">
        <v>193</v>
      </c>
      <c r="J25" s="946" t="s">
        <v>2592</v>
      </c>
      <c r="K25" s="946" t="s">
        <v>2329</v>
      </c>
      <c r="L25" s="946" t="s">
        <v>196</v>
      </c>
      <c r="M25" s="418" t="s">
        <v>1866</v>
      </c>
      <c r="N25" s="948" t="s">
        <v>1862</v>
      </c>
      <c r="O25" s="948" t="s">
        <v>222</v>
      </c>
      <c r="P25" s="951" t="s">
        <v>1868</v>
      </c>
      <c r="Q25" s="948" t="str">
        <f>+'4. Intervenciones UDT - HCBM'!F48</f>
        <v>Hectáreas reconvertidas</v>
      </c>
      <c r="R25" s="405">
        <f>+'4. Intervenciones UDT - HCBM'!I48</f>
        <v>5844</v>
      </c>
      <c r="S25" s="405">
        <f>+'4. Intervenciones UDT - HCBM'!J48</f>
        <v>584.4</v>
      </c>
      <c r="T25" s="405">
        <f>+'4. Intervenciones UDT - HCBM'!K48</f>
        <v>584.4</v>
      </c>
      <c r="U25" s="405">
        <f>+'4. Intervenciones UDT - HCBM'!L48</f>
        <v>15000</v>
      </c>
      <c r="V25" s="403" t="str">
        <f>+'4. Intervenciones UDT - HCBM'!M48</f>
        <v xml:space="preserve">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v>
      </c>
      <c r="W25" s="403" t="str">
        <f>+'4. Intervenciones UDT - HCBM'!N48</f>
        <v>AGROIDEAS</v>
      </c>
      <c r="X25" s="588">
        <f>+'4. Intervenciones UDT - HCBM'!O48</f>
        <v>8766000</v>
      </c>
      <c r="Y25" s="588">
        <f>+Tabla1[[#This Row],[2025 Directo]]*(1+$Y$3)</f>
        <v>8858043</v>
      </c>
      <c r="Z25" s="588">
        <f>+'4. Intervenciones UDT - HCBM'!P48</f>
        <v>8766000</v>
      </c>
      <c r="AA25" s="588">
        <f>+Tabla1[[#This Row],[2030 Directo]]*(1+$Y$3)</f>
        <v>8858043</v>
      </c>
      <c r="AB25" s="588">
        <f>+'4. Intervenciones UDT - HCBM'!Q48</f>
        <v>1753200</v>
      </c>
      <c r="AC25" s="588">
        <f>+Tabla1[[#This Row],[Año 1 Cto Directo]]*(1+$Y$3)</f>
        <v>1771608.5999999999</v>
      </c>
      <c r="AD25" s="588">
        <f>+'4. Intervenciones UDT - HCBM'!R48</f>
        <v>1753200</v>
      </c>
      <c r="AE25" s="588">
        <f>+Tabla1[[#This Row],[Año 2 Cto. Directo]]*(1+$Y$3)</f>
        <v>1771608.5999999999</v>
      </c>
      <c r="AF25" s="588">
        <f>+'4. Intervenciones UDT - HCBM'!S48</f>
        <v>1753200</v>
      </c>
      <c r="AG25" s="588">
        <f>+Tabla1[[#This Row],[Año 3 Cto. Directo]]*(1+$Y$3)</f>
        <v>1771608.5999999999</v>
      </c>
      <c r="AH25" s="588">
        <f>+'4. Intervenciones UDT - HCBM'!T48</f>
        <v>1753200</v>
      </c>
      <c r="AI25" s="588">
        <f>+Tabla1[[#This Row],[Año 4 Cto. Directo]]*(1+$Y$3)</f>
        <v>1771608.5999999999</v>
      </c>
      <c r="AJ25" s="588">
        <f>+'4. Intervenciones UDT - HCBM'!U48</f>
        <v>1753200</v>
      </c>
      <c r="AK25" s="588">
        <f>+Tabla1[[#This Row],[Año 5 Cto. Directo]]*(1+$Y$3)</f>
        <v>1771608.5999999999</v>
      </c>
      <c r="AL25" s="403">
        <f>+'4. Intervenciones UDT - HCBM'!V48</f>
        <v>0</v>
      </c>
      <c r="AM25" s="954"/>
      <c r="AN25" s="954"/>
      <c r="AO25" s="954" t="str">
        <f>+'4. Intervenciones UDT - HCBM'!Y48</f>
        <v>X</v>
      </c>
      <c r="AP25" s="954"/>
      <c r="AQ25" s="954" t="str">
        <f>+'4. Intervenciones UDT - HCBM'!AA48</f>
        <v>RE</v>
      </c>
      <c r="AR25" s="954">
        <f>+'4. Intervenciones UDT - HCBM'!AB48</f>
        <v>3</v>
      </c>
      <c r="AS25" s="403">
        <f t="shared" si="1"/>
        <v>1</v>
      </c>
    </row>
    <row r="26" spans="1:45" s="195" customFormat="1" ht="15.8" hidden="1" customHeight="1" x14ac:dyDescent="0.3">
      <c r="A26" s="403"/>
      <c r="B26" s="403" t="str">
        <f>'4. Intervenciones UDT - HCBM'!$C$8</f>
        <v>UDT HUALLAGA CENTRAL Y BAJO MAYO</v>
      </c>
      <c r="C26" s="403" t="str">
        <f>'4. Intervenciones UDT - HCBM'!$F$37</f>
        <v xml:space="preserve">Predios privados dedicados a la producción comercial (arroz) </v>
      </c>
      <c r="D26" s="404" t="str">
        <f>+'4. Intervenciones UDT - HCBM'!A49</f>
        <v>Ingresos y Capital</v>
      </c>
      <c r="E26" s="404" t="str">
        <f>+'4. Intervenciones UDT - HCBM'!C49</f>
        <v>1.2.5</v>
      </c>
      <c r="F26" s="403" t="str">
        <f>+'4. Intervenciones UDT - HCBM'!D49</f>
        <v>Programa de acceso al financiamiento agropecuario condicionado</v>
      </c>
      <c r="G26" s="403" t="str">
        <f>+'4. Intervenciones UDT - HCBM'!E49</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v>
      </c>
      <c r="H26" s="948" t="s">
        <v>1864</v>
      </c>
      <c r="I26" s="946" t="s">
        <v>193</v>
      </c>
      <c r="J26" s="946" t="s">
        <v>2593</v>
      </c>
      <c r="K26" s="946" t="s">
        <v>2330</v>
      </c>
      <c r="L26" s="946" t="s">
        <v>195</v>
      </c>
      <c r="M26" s="418" t="s">
        <v>1871</v>
      </c>
      <c r="N26" s="948" t="s">
        <v>1862</v>
      </c>
      <c r="O26" s="948" t="s">
        <v>218</v>
      </c>
      <c r="P26" s="951" t="s">
        <v>1872</v>
      </c>
      <c r="Q26" s="948" t="str">
        <f>+'4. Intervenciones UDT - HCBM'!F49</f>
        <v>Productores atendidos</v>
      </c>
      <c r="R26" s="405">
        <f>+'4. Intervenciones UDT - HCBM'!I49</f>
        <v>5747</v>
      </c>
      <c r="S26" s="405">
        <f>+'4. Intervenciones UDT - HCBM'!J49</f>
        <v>1724.1</v>
      </c>
      <c r="T26" s="405">
        <f>+'4. Intervenciones UDT - HCBM'!K49</f>
        <v>1149.4000000000001</v>
      </c>
      <c r="U26" s="405">
        <f>+'4. Intervenciones UDT - HCBM'!L49</f>
        <v>10750</v>
      </c>
      <c r="V26" s="403" t="str">
        <f>+'4. Intervenciones UDT - HCBM'!M49</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26" s="407" t="str">
        <f>+'4. Intervenciones UDT - HCBM'!N49</f>
        <v>DRASAM</v>
      </c>
      <c r="X26" s="588">
        <f>+'4. Intervenciones UDT - HCBM'!O49</f>
        <v>18534075</v>
      </c>
      <c r="Y26" s="588">
        <f>+Tabla1[[#This Row],[2025 Directo]]*(1+$Y$3)</f>
        <v>18728682.787499998</v>
      </c>
      <c r="Z26" s="588">
        <f>+'4. Intervenciones UDT - HCBM'!P49</f>
        <v>12356050.000000002</v>
      </c>
      <c r="AA26" s="588">
        <f>+Tabla1[[#This Row],[2030 Directo]]*(1+$Y$3)</f>
        <v>12485788.525000002</v>
      </c>
      <c r="AB26" s="588">
        <f>+'4. Intervenciones UDT - HCBM'!Q49</f>
        <v>1853407.5</v>
      </c>
      <c r="AC26" s="588">
        <f>+Tabla1[[#This Row],[Año 1 Cto Directo]]*(1+$Y$3)</f>
        <v>1872868.2787499998</v>
      </c>
      <c r="AD26" s="588">
        <f>+'4. Intervenciones UDT - HCBM'!R49</f>
        <v>2780111.25</v>
      </c>
      <c r="AE26" s="588">
        <f>+Tabla1[[#This Row],[Año 2 Cto. Directo]]*(1+$Y$3)</f>
        <v>2809302.4181249999</v>
      </c>
      <c r="AF26" s="588">
        <f>+'4. Intervenciones UDT - HCBM'!S49</f>
        <v>3706815</v>
      </c>
      <c r="AG26" s="588">
        <f>+Tabla1[[#This Row],[Año 3 Cto. Directo]]*(1+$Y$3)</f>
        <v>3745736.5574999996</v>
      </c>
      <c r="AH26" s="588">
        <f>+'4. Intervenciones UDT - HCBM'!T49</f>
        <v>4633518.75</v>
      </c>
      <c r="AI26" s="588">
        <f>+Tabla1[[#This Row],[Año 4 Cto. Directo]]*(1+$Y$3)</f>
        <v>4682170.6968749994</v>
      </c>
      <c r="AJ26" s="588">
        <f>+'4. Intervenciones UDT - HCBM'!U49</f>
        <v>5560222.5</v>
      </c>
      <c r="AK26" s="588">
        <f>+Tabla1[[#This Row],[Año 5 Cto. Directo]]*(1+$Y$3)</f>
        <v>5618604.8362499997</v>
      </c>
      <c r="AL26" s="403">
        <f>+'4. Intervenciones UDT - HCBM'!V49</f>
        <v>0</v>
      </c>
      <c r="AM26" s="954" t="str">
        <f>+'4. Intervenciones UDT - HCBM'!W49</f>
        <v>X</v>
      </c>
      <c r="AN26" s="954"/>
      <c r="AO26" s="954"/>
      <c r="AP26" s="954"/>
      <c r="AQ26" s="954" t="str">
        <f>+'4. Intervenciones UDT - HCBM'!AA49</f>
        <v>RE</v>
      </c>
      <c r="AR26" s="954">
        <f>+'4. Intervenciones UDT - HCBM'!AB49</f>
        <v>3</v>
      </c>
      <c r="AS26" s="403">
        <f t="shared" si="1"/>
        <v>1</v>
      </c>
    </row>
    <row r="27" spans="1:45" s="195" customFormat="1" ht="15.8" hidden="1" customHeight="1" x14ac:dyDescent="0.3">
      <c r="A27" s="403"/>
      <c r="B27" s="403" t="str">
        <f>'4. Intervenciones UDT - HCBM'!$C$8</f>
        <v>UDT HUALLAGA CENTRAL Y BAJO MAYO</v>
      </c>
      <c r="C27" s="403" t="str">
        <f>'4. Intervenciones UDT - HCBM'!$F$37</f>
        <v xml:space="preserve">Predios privados dedicados a la producción comercial (arroz) </v>
      </c>
      <c r="D27" s="404" t="str">
        <f>+'4. Intervenciones UDT - HCBM'!A50</f>
        <v>Programas de inversión pública</v>
      </c>
      <c r="E27" s="404" t="str">
        <f>+'4. Intervenciones UDT - HCBM'!C50</f>
        <v>1.2.6</v>
      </c>
      <c r="F27" s="403" t="str">
        <f>+'4. Intervenciones UDT - HCBM'!D50</f>
        <v>Promoción de modelos asociativos sostenibles</v>
      </c>
      <c r="G27" s="403" t="str">
        <f>+'4. Intervenciones UDT - HCBM'!E50</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v>
      </c>
      <c r="H27" s="948" t="s">
        <v>1857</v>
      </c>
      <c r="I27" s="946" t="s">
        <v>193</v>
      </c>
      <c r="J27" s="946" t="s">
        <v>2594</v>
      </c>
      <c r="K27" s="946" t="s">
        <v>2332</v>
      </c>
      <c r="L27" s="946" t="s">
        <v>198</v>
      </c>
      <c r="M27" s="418" t="s">
        <v>1874</v>
      </c>
      <c r="N27" s="948" t="s">
        <v>1862</v>
      </c>
      <c r="O27" s="948" t="s">
        <v>230</v>
      </c>
      <c r="P27" s="951" t="s">
        <v>1875</v>
      </c>
      <c r="Q27" s="948" t="str">
        <f>+'4. Intervenciones UDT - HCBM'!F50</f>
        <v>Organizaciones formalizadas y fortalecidas</v>
      </c>
      <c r="R27" s="405">
        <f>+'4. Intervenciones UDT - HCBM'!I50</f>
        <v>3</v>
      </c>
      <c r="S27" s="405">
        <f>+'4. Intervenciones UDT - HCBM'!J50</f>
        <v>3</v>
      </c>
      <c r="T27" s="405">
        <f>+'4. Intervenciones UDT - HCBM'!K50</f>
        <v>4</v>
      </c>
      <c r="U27" s="405">
        <f>+'4. Intervenciones UDT - HCBM'!L50</f>
        <v>120000</v>
      </c>
      <c r="V27" s="403" t="str">
        <f>+'4. Intervenciones UDT - HCBM'!M50</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27" s="407" t="str">
        <f>+'4. Intervenciones UDT - HCBM'!N50</f>
        <v>DRASAM, DIRCETUR</v>
      </c>
      <c r="X27" s="588">
        <f>+'4. Intervenciones UDT - HCBM'!O50</f>
        <v>1800000</v>
      </c>
      <c r="Y27" s="588">
        <f>+Tabla1[[#This Row],[2025 Directo]]*(1+$Y$3)</f>
        <v>1818900</v>
      </c>
      <c r="Z27" s="588">
        <f>+'4. Intervenciones UDT - HCBM'!P50</f>
        <v>2400000</v>
      </c>
      <c r="AA27" s="588">
        <f>+Tabla1[[#This Row],[2030 Directo]]*(1+$Y$3)</f>
        <v>2425200</v>
      </c>
      <c r="AB27" s="588">
        <f>+'4. Intervenciones UDT - HCBM'!Q50</f>
        <v>360000</v>
      </c>
      <c r="AC27" s="588">
        <f>+Tabla1[[#This Row],[Año 1 Cto Directo]]*(1+$Y$3)</f>
        <v>363780</v>
      </c>
      <c r="AD27" s="588">
        <f>+'4. Intervenciones UDT - HCBM'!R50</f>
        <v>360000</v>
      </c>
      <c r="AE27" s="588">
        <f>+Tabla1[[#This Row],[Año 2 Cto. Directo]]*(1+$Y$3)</f>
        <v>363780</v>
      </c>
      <c r="AF27" s="588">
        <f>+'4. Intervenciones UDT - HCBM'!S50</f>
        <v>360000</v>
      </c>
      <c r="AG27" s="588">
        <f>+Tabla1[[#This Row],[Año 3 Cto. Directo]]*(1+$Y$3)</f>
        <v>363780</v>
      </c>
      <c r="AH27" s="588">
        <f>+'4. Intervenciones UDT - HCBM'!T50</f>
        <v>360000</v>
      </c>
      <c r="AI27" s="588">
        <f>+Tabla1[[#This Row],[Año 4 Cto. Directo]]*(1+$Y$3)</f>
        <v>363780</v>
      </c>
      <c r="AJ27" s="588">
        <f>+'4. Intervenciones UDT - HCBM'!U50</f>
        <v>360000</v>
      </c>
      <c r="AK27" s="588">
        <f>+Tabla1[[#This Row],[Año 5 Cto. Directo]]*(1+$Y$3)</f>
        <v>363780</v>
      </c>
      <c r="AL27" s="403">
        <f>+'4. Intervenciones UDT - HCBM'!V50</f>
        <v>0</v>
      </c>
      <c r="AM27" s="954"/>
      <c r="AN27" s="954"/>
      <c r="AO27" s="954" t="str">
        <f>+'4. Intervenciones UDT - HCBM'!Y50</f>
        <v>X</v>
      </c>
      <c r="AP27" s="954"/>
      <c r="AQ27" s="954"/>
      <c r="AR27" s="954">
        <f>+'4. Intervenciones UDT - HCBM'!AB50</f>
        <v>3</v>
      </c>
      <c r="AS27" s="403">
        <f t="shared" si="1"/>
        <v>1</v>
      </c>
    </row>
    <row r="28" spans="1:45" s="195" customFormat="1" ht="15.8" hidden="1" customHeight="1" x14ac:dyDescent="0.3">
      <c r="A28" s="403"/>
      <c r="B28" s="403" t="str">
        <f>'4. Intervenciones UDT - HCBM'!$C$8</f>
        <v>UDT HUALLAGA CENTRAL Y BAJO MAYO</v>
      </c>
      <c r="C28" s="403" t="str">
        <f>'4. Intervenciones UDT - HCBM'!$F$37</f>
        <v xml:space="preserve">Predios privados dedicados a la producción comercial (arroz) </v>
      </c>
      <c r="D28" s="404" t="str">
        <f>+'4. Intervenciones UDT - HCBM'!A51</f>
        <v>Programas de inversión privada</v>
      </c>
      <c r="E28" s="404" t="str">
        <f>+'4. Intervenciones UDT - HCBM'!C51</f>
        <v>1.2.7</v>
      </c>
      <c r="F28" s="403" t="str">
        <f>+'4. Intervenciones UDT - HCBM'!D51</f>
        <v>Implementación de infraestructura productiva baja en emisiones</v>
      </c>
      <c r="G28" s="403" t="str">
        <f>+'4. Intervenciones UDT - HCBM'!E51</f>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v>
      </c>
      <c r="H28" s="948" t="s">
        <v>1857</v>
      </c>
      <c r="I28" s="946" t="s">
        <v>193</v>
      </c>
      <c r="J28" s="946" t="s">
        <v>2592</v>
      </c>
      <c r="K28" s="946" t="s">
        <v>2329</v>
      </c>
      <c r="L28" s="946" t="s">
        <v>196</v>
      </c>
      <c r="M28" s="418" t="s">
        <v>1866</v>
      </c>
      <c r="N28" s="948" t="s">
        <v>1862</v>
      </c>
      <c r="O28" s="948" t="s">
        <v>227</v>
      </c>
      <c r="P28" s="951" t="s">
        <v>1873</v>
      </c>
      <c r="Q28" s="948" t="str">
        <f>+'4. Intervenciones UDT - HCBM'!F51</f>
        <v>Planes de negocios ejecutados</v>
      </c>
      <c r="R28" s="405">
        <f>+'4. Intervenciones UDT - HCBM'!I51</f>
        <v>0</v>
      </c>
      <c r="S28" s="405">
        <f>+'4. Intervenciones UDT - HCBM'!J51</f>
        <v>3</v>
      </c>
      <c r="T28" s="405">
        <f>+'4. Intervenciones UDT - HCBM'!K51</f>
        <v>4</v>
      </c>
      <c r="U28" s="405">
        <f>+'4. Intervenciones UDT - HCBM'!L51</f>
        <v>15000</v>
      </c>
      <c r="V28" s="403" t="str">
        <f>+'4. Intervenciones UDT - HCBM'!M51</f>
        <v>Para el logro de los objetivos, se considera el pago de profesionales para la formulación de los planes de negocios que beneficiarían directamente a los pequeños productores.</v>
      </c>
      <c r="W28" s="407">
        <f>+'4. Intervenciones UDT - HCBM'!N51</f>
        <v>0</v>
      </c>
      <c r="X28" s="588">
        <f>+'4. Intervenciones UDT - HCBM'!O51</f>
        <v>225000</v>
      </c>
      <c r="Y28" s="588">
        <f>+Tabla1[[#This Row],[2025 Directo]]*(1+$Y$3)</f>
        <v>227362.5</v>
      </c>
      <c r="Z28" s="588">
        <f>+'4. Intervenciones UDT - HCBM'!P51</f>
        <v>300000</v>
      </c>
      <c r="AA28" s="588">
        <f>+Tabla1[[#This Row],[2030 Directo]]*(1+$Y$3)</f>
        <v>303150</v>
      </c>
      <c r="AB28" s="588">
        <f>+'4. Intervenciones UDT - HCBM'!Q51</f>
        <v>112500</v>
      </c>
      <c r="AC28" s="588">
        <f>+Tabla1[[#This Row],[Año 1 Cto Directo]]*(1+$Y$3)</f>
        <v>113681.25</v>
      </c>
      <c r="AD28" s="588">
        <f>+'4. Intervenciones UDT - HCBM'!R51</f>
        <v>0</v>
      </c>
      <c r="AE28" s="588">
        <f>+Tabla1[[#This Row],[Año 2 Cto. Directo]]*(1+$Y$3)</f>
        <v>0</v>
      </c>
      <c r="AF28" s="588">
        <f>+'4. Intervenciones UDT - HCBM'!S51</f>
        <v>112500</v>
      </c>
      <c r="AG28" s="588">
        <f>+Tabla1[[#This Row],[Año 3 Cto. Directo]]*(1+$Y$3)</f>
        <v>113681.25</v>
      </c>
      <c r="AH28" s="588">
        <f>+'4. Intervenciones UDT - HCBM'!T51</f>
        <v>0</v>
      </c>
      <c r="AI28" s="588">
        <f>+Tabla1[[#This Row],[Año 4 Cto. Directo]]*(1+$Y$3)</f>
        <v>0</v>
      </c>
      <c r="AJ28" s="588">
        <f>+'4. Intervenciones UDT - HCBM'!U51</f>
        <v>0</v>
      </c>
      <c r="AK28" s="588">
        <f>+Tabla1[[#This Row],[Año 5 Cto. Directo]]*(1+$Y$3)</f>
        <v>0</v>
      </c>
      <c r="AL28" s="403">
        <f>+'4. Intervenciones UDT - HCBM'!V51</f>
        <v>0</v>
      </c>
      <c r="AM28" s="954" t="str">
        <f>+'4. Intervenciones UDT - HCBM'!W51</f>
        <v>X</v>
      </c>
      <c r="AN28" s="954"/>
      <c r="AO28" s="954"/>
      <c r="AP28" s="954"/>
      <c r="AQ28" s="954"/>
      <c r="AR28" s="954">
        <f>+'4. Intervenciones UDT - HCBM'!AB51</f>
        <v>3</v>
      </c>
      <c r="AS28" s="403">
        <f t="shared" si="1"/>
        <v>1</v>
      </c>
    </row>
    <row r="29" spans="1:45" s="195" customFormat="1" ht="15.8" hidden="1" customHeight="1" x14ac:dyDescent="0.3">
      <c r="A29" s="403"/>
      <c r="B29" s="403" t="str">
        <f>'4. Intervenciones UDT - HCBM'!$C$8</f>
        <v>UDT HUALLAGA CENTRAL Y BAJO MAYO</v>
      </c>
      <c r="C29" s="403" t="str">
        <f>'4. Intervenciones UDT - HCBM'!$F$37</f>
        <v xml:space="preserve">Predios privados dedicados a la producción comercial (arroz) </v>
      </c>
      <c r="D29" s="404" t="str">
        <f>+'4. Intervenciones UDT - HCBM'!A52</f>
        <v>Control y vigilancia</v>
      </c>
      <c r="E29" s="404" t="str">
        <f>+'4. Intervenciones UDT - HCBM'!C52</f>
        <v>1.2.8</v>
      </c>
      <c r="F29" s="403" t="str">
        <f>+'4. Intervenciones UDT - HCBM'!D52</f>
        <v>Promoción y acceso a los Mecanismos de Retribución por Servicios Eco sistémicos (MERESE)</v>
      </c>
      <c r="G29" s="403" t="str">
        <f>+'4. Intervenciones UDT - HCBM'!E52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29" s="948" t="s">
        <v>1857</v>
      </c>
      <c r="I29" s="946" t="s">
        <v>203</v>
      </c>
      <c r="J29" s="946" t="s">
        <v>2595</v>
      </c>
      <c r="K29" s="946" t="s">
        <v>2333</v>
      </c>
      <c r="L29" s="946" t="s">
        <v>204</v>
      </c>
      <c r="M29" s="418" t="s">
        <v>1878</v>
      </c>
      <c r="N29" s="948" t="s">
        <v>1879</v>
      </c>
      <c r="O29" s="948" t="s">
        <v>225</v>
      </c>
      <c r="P29" s="951" t="s">
        <v>1880</v>
      </c>
      <c r="Q29" s="948" t="str">
        <f>+'4. Intervenciones UDT - HCBM'!F52</f>
        <v>Campañas de difusión y promoción</v>
      </c>
      <c r="R29" s="405">
        <f>+'4. Intervenciones UDT - HCBM'!I52</f>
        <v>0</v>
      </c>
      <c r="S29" s="405">
        <f>+'4. Intervenciones UDT - HCBM'!J52</f>
        <v>175</v>
      </c>
      <c r="T29" s="405">
        <f>+'4. Intervenciones UDT - HCBM'!K52</f>
        <v>175</v>
      </c>
      <c r="U29" s="405">
        <f>+'4. Intervenciones UDT - HCBM'!L52</f>
        <v>10000</v>
      </c>
      <c r="V29" s="403" t="str">
        <f>+'4. Intervenciones UDT - HCBM'!M52</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29" s="403" t="str">
        <f>+'4. Intervenciones UDT - HCBM'!N52</f>
        <v>SUNASS</v>
      </c>
      <c r="X29" s="588">
        <f>+'4. Intervenciones UDT - HCBM'!O52</f>
        <v>1750000</v>
      </c>
      <c r="Y29" s="588">
        <f>+Tabla1[[#This Row],[2025 Directo]]*(1+$Y$3)</f>
        <v>1768375</v>
      </c>
      <c r="Z29" s="588">
        <f>+'4. Intervenciones UDT - HCBM'!P52</f>
        <v>1750000</v>
      </c>
      <c r="AA29" s="588">
        <f>+Tabla1[[#This Row],[2030 Directo]]*(1+$Y$3)</f>
        <v>1768375</v>
      </c>
      <c r="AB29" s="588">
        <f>+'4. Intervenciones UDT - HCBM'!Q52</f>
        <v>350000</v>
      </c>
      <c r="AC29" s="588">
        <f>+Tabla1[[#This Row],[Año 1 Cto Directo]]*(1+$Y$3)</f>
        <v>353675</v>
      </c>
      <c r="AD29" s="588">
        <f>+'4. Intervenciones UDT - HCBM'!R52</f>
        <v>350000</v>
      </c>
      <c r="AE29" s="588">
        <f>+Tabla1[[#This Row],[Año 2 Cto. Directo]]*(1+$Y$3)</f>
        <v>353675</v>
      </c>
      <c r="AF29" s="588">
        <f>+'4. Intervenciones UDT - HCBM'!S52</f>
        <v>350000</v>
      </c>
      <c r="AG29" s="588">
        <f>+Tabla1[[#This Row],[Año 3 Cto. Directo]]*(1+$Y$3)</f>
        <v>353675</v>
      </c>
      <c r="AH29" s="588">
        <f>+'4. Intervenciones UDT - HCBM'!T52</f>
        <v>350000</v>
      </c>
      <c r="AI29" s="588">
        <f>+Tabla1[[#This Row],[Año 4 Cto. Directo]]*(1+$Y$3)</f>
        <v>353675</v>
      </c>
      <c r="AJ29" s="588">
        <f>+'4. Intervenciones UDT - HCBM'!U52</f>
        <v>350000</v>
      </c>
      <c r="AK29" s="588">
        <f>+Tabla1[[#This Row],[Año 5 Cto. Directo]]*(1+$Y$3)</f>
        <v>353675</v>
      </c>
      <c r="AL29" s="403">
        <f>+'4. Intervenciones UDT - HCBM'!V52</f>
        <v>0</v>
      </c>
      <c r="AM29" s="954" t="str">
        <f>+'4. Intervenciones UDT - HCBM'!W52</f>
        <v>X</v>
      </c>
      <c r="AN29" s="954"/>
      <c r="AO29" s="954"/>
      <c r="AP29" s="954"/>
      <c r="AQ29" s="954"/>
      <c r="AR29" s="954">
        <f>+'4. Intervenciones UDT - HCBM'!AB52</f>
        <v>2</v>
      </c>
      <c r="AS29" s="403">
        <f t="shared" si="1"/>
        <v>1</v>
      </c>
    </row>
    <row r="30" spans="1:45" s="195" customFormat="1" ht="15.8" hidden="1" customHeight="1" x14ac:dyDescent="0.3">
      <c r="A30" s="403"/>
      <c r="B30" s="403" t="str">
        <f>'4. Intervenciones UDT - HCBM'!$C$8</f>
        <v>UDT HUALLAGA CENTRAL Y BAJO MAYO</v>
      </c>
      <c r="C30" s="403" t="str">
        <f>'4. Intervenciones UDT - HCBM'!$F$57</f>
        <v>Predios privados para ganadería de leche y carne</v>
      </c>
      <c r="D30" s="404" t="str">
        <f>+'4. Intervenciones UDT - HCBM'!A65</f>
        <v>Invasiones</v>
      </c>
      <c r="E30" s="404" t="str">
        <f>+'4. Intervenciones UDT - HCBM'!C65</f>
        <v>1.3.1</v>
      </c>
      <c r="F30" s="403" t="str">
        <f>+'4. Intervenciones UDT - HCBM'!D65</f>
        <v>Otorgamiento de derechos sobre la tierra/bosques</v>
      </c>
      <c r="G30" s="403" t="str">
        <f>+'4. Intervenciones UDT - HCBM'!E65</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30" s="948" t="s">
        <v>1857</v>
      </c>
      <c r="I30" s="946" t="s">
        <v>199</v>
      </c>
      <c r="J30" s="946" t="s">
        <v>2591</v>
      </c>
      <c r="K30" s="946" t="s">
        <v>2331</v>
      </c>
      <c r="L30" s="946" t="s">
        <v>202</v>
      </c>
      <c r="M30" s="418" t="s">
        <v>1858</v>
      </c>
      <c r="N30" s="948" t="s">
        <v>1859</v>
      </c>
      <c r="O30" s="948" t="s">
        <v>223</v>
      </c>
      <c r="P30" s="951" t="s">
        <v>1860</v>
      </c>
      <c r="Q30" s="948" t="str">
        <f>+'4. Intervenciones UDT - HCBM'!F65</f>
        <v>N° Títulos/Contratos otorgados</v>
      </c>
      <c r="R30" s="405">
        <f>+'4. Intervenciones UDT - HCBM'!I65</f>
        <v>5860.2605324035703</v>
      </c>
      <c r="S30" s="405">
        <f>+'4. Intervenciones UDT - HCBM'!J65</f>
        <v>2930.1302662017852</v>
      </c>
      <c r="T30" s="405">
        <f>+'4. Intervenciones UDT - HCBM'!K65</f>
        <v>2930.1302662017852</v>
      </c>
      <c r="U30" s="405">
        <f>+'4. Intervenciones UDT - HCBM'!L65</f>
        <v>2000</v>
      </c>
      <c r="V30" s="403" t="str">
        <f>+'4. Intervenciones UDT - HCBM'!M65</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30" s="403" t="str">
        <f>+'4. Intervenciones UDT - HCBM'!N65</f>
        <v>Programa de titulación PTR 3 / ARA</v>
      </c>
      <c r="X30" s="588">
        <f>+'4. Intervenciones UDT - HCBM'!O65</f>
        <v>5860260.5324035706</v>
      </c>
      <c r="Y30" s="588">
        <f>+Tabla1[[#This Row],[2025 Directo]]*(1+$Y$3)</f>
        <v>5921793.2679938078</v>
      </c>
      <c r="Z30" s="588">
        <f>+'4. Intervenciones UDT - HCBM'!P65</f>
        <v>5860260.5324035706</v>
      </c>
      <c r="AA30" s="588">
        <f>+Tabla1[[#This Row],[2030 Directo]]*(1+$Y$3)</f>
        <v>5921793.2679938078</v>
      </c>
      <c r="AB30" s="588">
        <f>+'4. Intervenciones UDT - HCBM'!Q65</f>
        <v>586026.05324035708</v>
      </c>
      <c r="AC30" s="588">
        <f>+Tabla1[[#This Row],[Año 1 Cto Directo]]*(1+$Y$3)</f>
        <v>592179.32679938083</v>
      </c>
      <c r="AD30" s="588">
        <f>+'4. Intervenciones UDT - HCBM'!R65</f>
        <v>879039.07986053557</v>
      </c>
      <c r="AE30" s="588">
        <f>+Tabla1[[#This Row],[Año 2 Cto. Directo]]*(1+$Y$3)</f>
        <v>888268.99019907112</v>
      </c>
      <c r="AF30" s="588">
        <f>+'4. Intervenciones UDT - HCBM'!S65</f>
        <v>1172052.1064807142</v>
      </c>
      <c r="AG30" s="588">
        <f>+Tabla1[[#This Row],[Año 3 Cto. Directo]]*(1+$Y$3)</f>
        <v>1184358.6535987617</v>
      </c>
      <c r="AH30" s="588">
        <f>+'4. Intervenciones UDT - HCBM'!T65</f>
        <v>1758078.1597210711</v>
      </c>
      <c r="AI30" s="588">
        <f>+Tabla1[[#This Row],[Año 4 Cto. Directo]]*(1+$Y$3)</f>
        <v>1776537.9803981422</v>
      </c>
      <c r="AJ30" s="588">
        <f>+'4. Intervenciones UDT - HCBM'!U65</f>
        <v>1465065.1331008926</v>
      </c>
      <c r="AK30" s="588">
        <f>+Tabla1[[#This Row],[Año 5 Cto. Directo]]*(1+$Y$3)</f>
        <v>1480448.3169984519</v>
      </c>
      <c r="AL30" s="403">
        <f>+'4. Intervenciones UDT - HCBM'!V65</f>
        <v>0</v>
      </c>
      <c r="AM30" s="954"/>
      <c r="AN30" s="954"/>
      <c r="AO30" s="954" t="str">
        <f>+'4. Intervenciones UDT - HCBM'!Y65</f>
        <v>X</v>
      </c>
      <c r="AP30" s="954"/>
      <c r="AQ30" s="954" t="str">
        <f>+'4. Intervenciones UDT - HCBM'!AA65</f>
        <v>RE</v>
      </c>
      <c r="AR30" s="954">
        <f>+'4. Intervenciones UDT - HCBM'!AB65</f>
        <v>3</v>
      </c>
      <c r="AS30" s="403">
        <f t="shared" ref="AS30" si="3">COUNTIF(AM30:AP30, "X")</f>
        <v>1</v>
      </c>
    </row>
    <row r="31" spans="1:45" s="195" customFormat="1" ht="15.8" hidden="1" customHeight="1" x14ac:dyDescent="0.3">
      <c r="A31" s="403"/>
      <c r="B31" s="403" t="str">
        <f>'4. Intervenciones UDT - HCBM'!$C$8</f>
        <v>UDT HUALLAGA CENTRAL Y BAJO MAYO</v>
      </c>
      <c r="C31" s="403" t="str">
        <f>'4. Intervenciones UDT - HCBM'!$F$57</f>
        <v>Predios privados para ganadería de leche y carne</v>
      </c>
      <c r="D31" s="404" t="str">
        <f>+'4. Intervenciones UDT - HCBM'!A66</f>
        <v>Programas de inversión pública</v>
      </c>
      <c r="E31" s="404" t="str">
        <f>+'4. Intervenciones UDT - HCBM'!C66</f>
        <v>1.3.2</v>
      </c>
      <c r="F31" s="403" t="str">
        <f>+'4. Intervenciones UDT - HCBM'!D66</f>
        <v xml:space="preserve">Asistencia técnica para el mejoramiento de pastos y ganadería </v>
      </c>
      <c r="G31" s="403" t="str">
        <f>+'4. Intervenciones UDT - HCBM'!E66</f>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H31" s="948" t="s">
        <v>1857</v>
      </c>
      <c r="I31" s="946" t="s">
        <v>193</v>
      </c>
      <c r="J31" s="946" t="s">
        <v>2592</v>
      </c>
      <c r="K31" s="946" t="s">
        <v>2329</v>
      </c>
      <c r="L31" s="946" t="s">
        <v>194</v>
      </c>
      <c r="M31" s="418" t="s">
        <v>1861</v>
      </c>
      <c r="N31" s="948" t="s">
        <v>1862</v>
      </c>
      <c r="O31" s="948" t="s">
        <v>224</v>
      </c>
      <c r="P31" s="951" t="s">
        <v>1863</v>
      </c>
      <c r="Q31" s="948" t="str">
        <f>+'4. Intervenciones UDT - HCBM'!F66</f>
        <v>Ganaderos asistidos</v>
      </c>
      <c r="R31" s="405">
        <f>+'4. Intervenciones UDT - HCBM'!I66</f>
        <v>2375</v>
      </c>
      <c r="S31" s="405">
        <f>+'4. Intervenciones UDT - HCBM'!J66</f>
        <v>1425</v>
      </c>
      <c r="T31" s="405">
        <f>+'4. Intervenciones UDT - HCBM'!K66</f>
        <v>950</v>
      </c>
      <c r="U31" s="405">
        <f>+'4. Intervenciones UDT - HCBM'!L66</f>
        <v>560</v>
      </c>
      <c r="V31" s="403" t="str">
        <f>+'4. Intervenciones UDT - HCBM'!M66</f>
        <v xml:space="preserve">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v>
      </c>
      <c r="W31" s="403" t="str">
        <f>+'4. Intervenciones UDT - HCBM'!N66</f>
        <v>DRASAM</v>
      </c>
      <c r="X31" s="588">
        <f>+'4. Intervenciones UDT - HCBM'!O66</f>
        <v>798000</v>
      </c>
      <c r="Y31" s="588">
        <f>+Tabla1[[#This Row],[2025 Directo]]*(1+$Y$3)</f>
        <v>806379</v>
      </c>
      <c r="Z31" s="588">
        <f>+'4. Intervenciones UDT - HCBM'!P66</f>
        <v>532000</v>
      </c>
      <c r="AA31" s="588">
        <f>+Tabla1[[#This Row],[2030 Directo]]*(1+$Y$3)</f>
        <v>537586</v>
      </c>
      <c r="AB31" s="588">
        <f>+'4. Intervenciones UDT - HCBM'!Q66</f>
        <v>159600</v>
      </c>
      <c r="AC31" s="588">
        <f>+Tabla1[[#This Row],[Año 1 Cto Directo]]*(1+$Y$3)</f>
        <v>161275.79999999999</v>
      </c>
      <c r="AD31" s="588">
        <f>+'4. Intervenciones UDT - HCBM'!R66</f>
        <v>159600</v>
      </c>
      <c r="AE31" s="588">
        <f>+Tabla1[[#This Row],[Año 2 Cto. Directo]]*(1+$Y$3)</f>
        <v>161275.79999999999</v>
      </c>
      <c r="AF31" s="588">
        <f>+'4. Intervenciones UDT - HCBM'!S66</f>
        <v>159600</v>
      </c>
      <c r="AG31" s="588">
        <f>+Tabla1[[#This Row],[Año 3 Cto. Directo]]*(1+$Y$3)</f>
        <v>161275.79999999999</v>
      </c>
      <c r="AH31" s="588">
        <f>+'4. Intervenciones UDT - HCBM'!T66</f>
        <v>159600</v>
      </c>
      <c r="AI31" s="588">
        <f>+Tabla1[[#This Row],[Año 4 Cto. Directo]]*(1+$Y$3)</f>
        <v>161275.79999999999</v>
      </c>
      <c r="AJ31" s="588">
        <f>+'4. Intervenciones UDT - HCBM'!U66</f>
        <v>159600</v>
      </c>
      <c r="AK31" s="588">
        <f>+Tabla1[[#This Row],[Año 5 Cto. Directo]]*(1+$Y$3)</f>
        <v>161275.79999999999</v>
      </c>
      <c r="AL31" s="403">
        <f>+'4. Intervenciones UDT - HCBM'!V66</f>
        <v>0</v>
      </c>
      <c r="AM31" s="954"/>
      <c r="AN31" s="954"/>
      <c r="AO31" s="954" t="str">
        <f>+'4. Intervenciones UDT - HCBM'!Y66</f>
        <v>X</v>
      </c>
      <c r="AP31" s="954"/>
      <c r="AQ31" s="954" t="str">
        <f>+'4. Intervenciones UDT - HCBM'!AA66</f>
        <v>RE</v>
      </c>
      <c r="AR31" s="954">
        <f>+'4. Intervenciones UDT - HCBM'!AB66</f>
        <v>3</v>
      </c>
      <c r="AS31" s="403">
        <f t="shared" si="1"/>
        <v>1</v>
      </c>
    </row>
    <row r="32" spans="1:45" s="195" customFormat="1" ht="15.8" hidden="1" customHeight="1" x14ac:dyDescent="0.3">
      <c r="A32" s="403"/>
      <c r="B32" s="403" t="str">
        <f>'4. Intervenciones UDT - HCBM'!$C$8</f>
        <v>UDT HUALLAGA CENTRAL Y BAJO MAYO</v>
      </c>
      <c r="C32" s="403" t="str">
        <f>'4. Intervenciones UDT - HCBM'!$F$57</f>
        <v>Predios privados para ganadería de leche y carne</v>
      </c>
      <c r="D32" s="404" t="str">
        <f>+'4. Intervenciones UDT - HCBM'!A67</f>
        <v>Programas de inversión pública</v>
      </c>
      <c r="E32" s="404" t="str">
        <f>+'4. Intervenciones UDT - HCBM'!C67</f>
        <v>1.3.3</v>
      </c>
      <c r="F32" s="403" t="str">
        <f>+'4. Intervenciones UDT - HCBM'!D67</f>
        <v>Manejo, conservación y recuperación de suelos degradados</v>
      </c>
      <c r="G32" s="403" t="str">
        <f>+'4. Intervenciones UDT - HCBM'!E67</f>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v>
      </c>
      <c r="H32" s="948" t="s">
        <v>1864</v>
      </c>
      <c r="I32" s="946" t="s">
        <v>193</v>
      </c>
      <c r="J32" s="946" t="s">
        <v>2592</v>
      </c>
      <c r="K32" s="946" t="s">
        <v>2329</v>
      </c>
      <c r="L32" s="946" t="s">
        <v>194</v>
      </c>
      <c r="M32" s="418" t="s">
        <v>1861</v>
      </c>
      <c r="N32" s="948" t="s">
        <v>1862</v>
      </c>
      <c r="O32" s="948" t="s">
        <v>219</v>
      </c>
      <c r="P32" s="951" t="s">
        <v>1865</v>
      </c>
      <c r="Q32" s="948" t="str">
        <f>+'4. Intervenciones UDT - HCBM'!F67</f>
        <v>Hectáreas intervenidas</v>
      </c>
      <c r="R32" s="405">
        <f>+'4. Intervenciones UDT - HCBM'!I67</f>
        <v>71251</v>
      </c>
      <c r="S32" s="405">
        <f>+'4. Intervenciones UDT - HCBM'!J67</f>
        <v>14250.2</v>
      </c>
      <c r="T32" s="405">
        <f>+'4. Intervenciones UDT - HCBM'!K67</f>
        <v>14250.2</v>
      </c>
      <c r="U32" s="405">
        <f>+'4. Intervenciones UDT - HCBM'!L67</f>
        <v>500</v>
      </c>
      <c r="V32" s="403" t="str">
        <f>+'4. Intervenciones UDT - HCBM'!M67</f>
        <v>El costo incluye adquisición de semillas, insumos, fertilizantes, entre otras para la producción de plantas agroforestales o coberturas  verdes.</v>
      </c>
      <c r="W32" s="403" t="str">
        <f>+'4. Intervenciones UDT - HCBM'!N67</f>
        <v>DRASAM, ICT</v>
      </c>
      <c r="X32" s="588">
        <f>+'4. Intervenciones UDT - HCBM'!O67</f>
        <v>7125100</v>
      </c>
      <c r="Y32" s="588">
        <f>+Tabla1[[#This Row],[2025 Directo]]*(1+$Y$3)</f>
        <v>7199913.5499999998</v>
      </c>
      <c r="Z32" s="588">
        <f>+'4. Intervenciones UDT - HCBM'!P67</f>
        <v>7125100</v>
      </c>
      <c r="AA32" s="588">
        <f>+Tabla1[[#This Row],[2030 Directo]]*(1+$Y$3)</f>
        <v>7199913.5499999998</v>
      </c>
      <c r="AB32" s="588">
        <f>+'4. Intervenciones UDT - HCBM'!Q67</f>
        <v>1068765</v>
      </c>
      <c r="AC32" s="588">
        <f>+Tabla1[[#This Row],[Año 1 Cto Directo]]*(1+$Y$3)</f>
        <v>1079987.0325</v>
      </c>
      <c r="AD32" s="588">
        <f>+'4. Intervenciones UDT - HCBM'!R67</f>
        <v>1068765</v>
      </c>
      <c r="AE32" s="588">
        <f>+Tabla1[[#This Row],[Año 2 Cto. Directo]]*(1+$Y$3)</f>
        <v>1079987.0325</v>
      </c>
      <c r="AF32" s="588">
        <f>+'4. Intervenciones UDT - HCBM'!S67</f>
        <v>1425020</v>
      </c>
      <c r="AG32" s="588">
        <f>+Tabla1[[#This Row],[Año 3 Cto. Directo]]*(1+$Y$3)</f>
        <v>1439982.71</v>
      </c>
      <c r="AH32" s="588">
        <f>+'4. Intervenciones UDT - HCBM'!T67</f>
        <v>1781275</v>
      </c>
      <c r="AI32" s="588">
        <f>+Tabla1[[#This Row],[Año 4 Cto. Directo]]*(1+$Y$3)</f>
        <v>1799978.3875</v>
      </c>
      <c r="AJ32" s="588">
        <f>+'4. Intervenciones UDT - HCBM'!U67</f>
        <v>1781275</v>
      </c>
      <c r="AK32" s="588">
        <f>+Tabla1[[#This Row],[Año 5 Cto. Directo]]*(1+$Y$3)</f>
        <v>1799978.3875</v>
      </c>
      <c r="AL32" s="403">
        <f>+'4. Intervenciones UDT - HCBM'!V67</f>
        <v>0</v>
      </c>
      <c r="AM32" s="954"/>
      <c r="AN32" s="954"/>
      <c r="AO32" s="954" t="str">
        <f>+'4. Intervenciones UDT - HCBM'!Y67</f>
        <v>X</v>
      </c>
      <c r="AP32" s="954"/>
      <c r="AQ32" s="954" t="str">
        <f>+'4. Intervenciones UDT - HCBM'!AA67</f>
        <v>RE</v>
      </c>
      <c r="AR32" s="954">
        <f>+'4. Intervenciones UDT - HCBM'!AB67</f>
        <v>3</v>
      </c>
      <c r="AS32" s="403">
        <f t="shared" si="1"/>
        <v>1</v>
      </c>
    </row>
    <row r="33" spans="1:45" s="195" customFormat="1" ht="15.8" hidden="1" customHeight="1" x14ac:dyDescent="0.3">
      <c r="A33" s="403"/>
      <c r="B33" s="403" t="str">
        <f>'4. Intervenciones UDT - HCBM'!$C$8</f>
        <v>UDT HUALLAGA CENTRAL Y BAJO MAYO</v>
      </c>
      <c r="C33" s="403" t="str">
        <f>'4. Intervenciones UDT - HCBM'!$F$57</f>
        <v>Predios privados para ganadería de leche y carne</v>
      </c>
      <c r="D33" s="404" t="str">
        <f>+'4. Intervenciones UDT - HCBM'!A68</f>
        <v>Programas de inversión pública</v>
      </c>
      <c r="E33" s="404" t="str">
        <f>+'4. Intervenciones UDT - HCBM'!C68</f>
        <v>1.3.4</v>
      </c>
      <c r="F33" s="403" t="str">
        <f>+'4. Intervenciones UDT - HCBM'!D68</f>
        <v>Mejoramiento genético de ganado bovino</v>
      </c>
      <c r="G33" s="403" t="str">
        <f>+'4. Intervenciones UDT - HCBM'!E68</f>
        <v xml:space="preserve"> Reactivación, implementación y gestión de las postas de inseminación artificial, material genético, capacitación y entrenamiento a inseminadores (certificar por competencia a través del SINEACE), transferencia de embriones a las granjas de los productores y asistencia técnica.</v>
      </c>
      <c r="H33" s="948" t="s">
        <v>1864</v>
      </c>
      <c r="I33" s="946" t="s">
        <v>193</v>
      </c>
      <c r="J33" s="946" t="s">
        <v>2592</v>
      </c>
      <c r="K33" s="946" t="s">
        <v>2329</v>
      </c>
      <c r="L33" s="946" t="s">
        <v>196</v>
      </c>
      <c r="M33" s="418" t="s">
        <v>1866</v>
      </c>
      <c r="N33" s="948" t="s">
        <v>1862</v>
      </c>
      <c r="O33" s="948" t="s">
        <v>219</v>
      </c>
      <c r="P33" s="951" t="s">
        <v>1865</v>
      </c>
      <c r="Q33" s="948" t="str">
        <f>+'4. Intervenciones UDT - HCBM'!F68</f>
        <v>Postas activas y operativas</v>
      </c>
      <c r="R33" s="405">
        <f>+'4. Intervenciones UDT - HCBM'!I68</f>
        <v>0</v>
      </c>
      <c r="S33" s="405">
        <f>+'4. Intervenciones UDT - HCBM'!J68</f>
        <v>21</v>
      </c>
      <c r="T33" s="405">
        <f>+'4. Intervenciones UDT - HCBM'!K68</f>
        <v>21</v>
      </c>
      <c r="U33" s="405">
        <f>+'4. Intervenciones UDT - HCBM'!L68</f>
        <v>54800</v>
      </c>
      <c r="V33" s="403" t="str">
        <f>+'4. Intervenciones UDT - HCBM'!M68</f>
        <v xml:space="preserve">Costo por posta reactivada y/o instalada, cada una estará ubicada en punto estratégico para cobertura la mayor cantidad de ganaderos. Considerando la implementación con tanques criogénicos, materiales diversos, pajillas, técnico especialista, movilidad entre otros. </v>
      </c>
      <c r="W33" s="403" t="str">
        <f>+'4. Intervenciones UDT - HCBM'!N68</f>
        <v>DIREPRO</v>
      </c>
      <c r="X33" s="588">
        <f>+'4. Intervenciones UDT - HCBM'!O68</f>
        <v>5754000</v>
      </c>
      <c r="Y33" s="588">
        <f>+Tabla1[[#This Row],[2025 Directo]]*(1+$Y$3)</f>
        <v>5814417</v>
      </c>
      <c r="Z33" s="588">
        <f>+'4. Intervenciones UDT - HCBM'!P68</f>
        <v>5754000</v>
      </c>
      <c r="AA33" s="588">
        <f>+Tabla1[[#This Row],[2030 Directo]]*(1+$Y$3)</f>
        <v>5814417</v>
      </c>
      <c r="AB33" s="588">
        <f>+'4. Intervenciones UDT - HCBM'!Q68</f>
        <v>1150800</v>
      </c>
      <c r="AC33" s="588">
        <f>+Tabla1[[#This Row],[Año 1 Cto Directo]]*(1+$Y$3)</f>
        <v>1162883.3999999999</v>
      </c>
      <c r="AD33" s="588">
        <f>+'4. Intervenciones UDT - HCBM'!R68</f>
        <v>1150800</v>
      </c>
      <c r="AE33" s="588">
        <f>+Tabla1[[#This Row],[Año 2 Cto. Directo]]*(1+$Y$3)</f>
        <v>1162883.3999999999</v>
      </c>
      <c r="AF33" s="588">
        <f>+'4. Intervenciones UDT - HCBM'!S68</f>
        <v>1150800</v>
      </c>
      <c r="AG33" s="588">
        <f>+Tabla1[[#This Row],[Año 3 Cto. Directo]]*(1+$Y$3)</f>
        <v>1162883.3999999999</v>
      </c>
      <c r="AH33" s="588">
        <f>+'4. Intervenciones UDT - HCBM'!T68</f>
        <v>1150800</v>
      </c>
      <c r="AI33" s="588">
        <f>+Tabla1[[#This Row],[Año 4 Cto. Directo]]*(1+$Y$3)</f>
        <v>1162883.3999999999</v>
      </c>
      <c r="AJ33" s="588">
        <f>+'4. Intervenciones UDT - HCBM'!U68</f>
        <v>1150800</v>
      </c>
      <c r="AK33" s="588">
        <f>+Tabla1[[#This Row],[Año 5 Cto. Directo]]*(1+$Y$3)</f>
        <v>1162883.3999999999</v>
      </c>
      <c r="AL33" s="403">
        <f>+'4. Intervenciones UDT - HCBM'!V68</f>
        <v>0</v>
      </c>
      <c r="AM33" s="954"/>
      <c r="AN33" s="954" t="str">
        <f>+'4. Intervenciones UDT - HCBM'!X68</f>
        <v>X</v>
      </c>
      <c r="AO33" s="954"/>
      <c r="AP33" s="954"/>
      <c r="AQ33" s="954"/>
      <c r="AR33" s="954">
        <f>+'4. Intervenciones UDT - HCBM'!AB68</f>
        <v>3</v>
      </c>
      <c r="AS33" s="403">
        <f t="shared" si="1"/>
        <v>1</v>
      </c>
    </row>
    <row r="34" spans="1:45" s="195" customFormat="1" ht="15.8" hidden="1" customHeight="1" x14ac:dyDescent="0.3">
      <c r="A34" s="403"/>
      <c r="B34" s="403" t="str">
        <f>'4. Intervenciones UDT - HCBM'!$C$8</f>
        <v>UDT HUALLAGA CENTRAL Y BAJO MAYO</v>
      </c>
      <c r="C34" s="403" t="str">
        <f>'4. Intervenciones UDT - HCBM'!$F$57</f>
        <v>Predios privados para ganadería de leche y carne</v>
      </c>
      <c r="D34" s="404" t="str">
        <f>+'4. Intervenciones UDT - HCBM'!A69</f>
        <v>Ingresos y Capital</v>
      </c>
      <c r="E34" s="404" t="str">
        <f>+'4. Intervenciones UDT - HCBM'!C69</f>
        <v>1.3.5</v>
      </c>
      <c r="F34" s="403" t="str">
        <f>+'4. Intervenciones UDT - HCBM'!D69</f>
        <v>Programa de acceso al financiamiento agropecuario condicionado</v>
      </c>
      <c r="G34" s="403" t="str">
        <f>+'4. Intervenciones UDT - HCBM'!E69</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v>
      </c>
      <c r="H34" s="948" t="s">
        <v>1864</v>
      </c>
      <c r="I34" s="946" t="s">
        <v>193</v>
      </c>
      <c r="J34" s="946" t="s">
        <v>2593</v>
      </c>
      <c r="K34" s="946" t="s">
        <v>2330</v>
      </c>
      <c r="L34" s="946" t="s">
        <v>195</v>
      </c>
      <c r="M34" s="418" t="s">
        <v>1871</v>
      </c>
      <c r="N34" s="948" t="s">
        <v>1862</v>
      </c>
      <c r="O34" s="948" t="s">
        <v>218</v>
      </c>
      <c r="P34" s="951" t="s">
        <v>1872</v>
      </c>
      <c r="Q34" s="948" t="str">
        <f>+'4. Intervenciones UDT - HCBM'!F69</f>
        <v>Ganaderos atendidos</v>
      </c>
      <c r="R34" s="405">
        <f>+'4. Intervenciones UDT - HCBM'!I69</f>
        <v>2375</v>
      </c>
      <c r="S34" s="405">
        <f>+'4. Intervenciones UDT - HCBM'!J69</f>
        <v>712.5</v>
      </c>
      <c r="T34" s="405">
        <f>+'4. Intervenciones UDT - HCBM'!K69</f>
        <v>475</v>
      </c>
      <c r="U34" s="405">
        <f>+'4. Intervenciones UDT - HCBM'!L69</f>
        <v>10750</v>
      </c>
      <c r="V34" s="403" t="str">
        <f>+'4. Intervenciones UDT - HCBM'!M69</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34" s="403" t="str">
        <f>+'4. Intervenciones UDT - HCBM'!N69</f>
        <v>AGROBANCO, DRASAM</v>
      </c>
      <c r="X34" s="588">
        <f>+'4. Intervenciones UDT - HCBM'!O69</f>
        <v>7659375</v>
      </c>
      <c r="Y34" s="588">
        <f>+Tabla1[[#This Row],[2025 Directo]]*(1+$Y$3)</f>
        <v>7739798.4375</v>
      </c>
      <c r="Z34" s="588">
        <f>+'4. Intervenciones UDT - HCBM'!P69</f>
        <v>5106250</v>
      </c>
      <c r="AA34" s="588">
        <f>+Tabla1[[#This Row],[2030 Directo]]*(1+$Y$3)</f>
        <v>5159865.625</v>
      </c>
      <c r="AB34" s="588">
        <f>+'4. Intervenciones UDT - HCBM'!Q69</f>
        <v>765937.5</v>
      </c>
      <c r="AC34" s="588">
        <f>+Tabla1[[#This Row],[Año 1 Cto Directo]]*(1+$Y$3)</f>
        <v>773979.84375</v>
      </c>
      <c r="AD34" s="588">
        <f>+'4. Intervenciones UDT - HCBM'!R69</f>
        <v>1148906.25</v>
      </c>
      <c r="AE34" s="588">
        <f>+Tabla1[[#This Row],[Año 2 Cto. Directo]]*(1+$Y$3)</f>
        <v>1160969.765625</v>
      </c>
      <c r="AF34" s="588">
        <f>+'4. Intervenciones UDT - HCBM'!S69</f>
        <v>1148906.25</v>
      </c>
      <c r="AG34" s="588">
        <f>+Tabla1[[#This Row],[Año 3 Cto. Directo]]*(1+$Y$3)</f>
        <v>1160969.765625</v>
      </c>
      <c r="AH34" s="588">
        <f>+'4. Intervenciones UDT - HCBM'!T69</f>
        <v>2297812.5</v>
      </c>
      <c r="AI34" s="588">
        <f>+Tabla1[[#This Row],[Año 4 Cto. Directo]]*(1+$Y$3)</f>
        <v>2321939.53125</v>
      </c>
      <c r="AJ34" s="588">
        <f>+'4. Intervenciones UDT - HCBM'!U69</f>
        <v>2297812.5</v>
      </c>
      <c r="AK34" s="588">
        <f>+Tabla1[[#This Row],[Año 5 Cto. Directo]]*(1+$Y$3)</f>
        <v>2321939.53125</v>
      </c>
      <c r="AL34" s="403">
        <f>+'4. Intervenciones UDT - HCBM'!V69</f>
        <v>0</v>
      </c>
      <c r="AM34" s="954" t="str">
        <f>+'4. Intervenciones UDT - HCBM'!W69</f>
        <v>X</v>
      </c>
      <c r="AN34" s="954"/>
      <c r="AO34" s="954"/>
      <c r="AP34" s="954"/>
      <c r="AQ34" s="954" t="str">
        <f>+'4. Intervenciones UDT - HCBM'!AA69</f>
        <v>RE</v>
      </c>
      <c r="AR34" s="954">
        <f>+'4. Intervenciones UDT - HCBM'!AB69</f>
        <v>3</v>
      </c>
      <c r="AS34" s="403">
        <f t="shared" si="1"/>
        <v>1</v>
      </c>
    </row>
    <row r="35" spans="1:45" s="195" customFormat="1" ht="15.8" hidden="1" customHeight="1" x14ac:dyDescent="0.3">
      <c r="A35" s="403"/>
      <c r="B35" s="403" t="str">
        <f>'4. Intervenciones UDT - HCBM'!$C$8</f>
        <v>UDT HUALLAGA CENTRAL Y BAJO MAYO</v>
      </c>
      <c r="C35" s="403" t="str">
        <f>'4. Intervenciones UDT - HCBM'!$F$57</f>
        <v>Predios privados para ganadería de leche y carne</v>
      </c>
      <c r="D35" s="404" t="str">
        <f>+'4. Intervenciones UDT - HCBM'!A70</f>
        <v>Programas de inversión pública</v>
      </c>
      <c r="E35" s="404" t="str">
        <f>+'4. Intervenciones UDT - HCBM'!C70</f>
        <v>1.3.6</v>
      </c>
      <c r="F35" s="403" t="str">
        <f>+'4. Intervenciones UDT - HCBM'!D70</f>
        <v>Promoción de modelos asociativos sostenibles</v>
      </c>
      <c r="G35" s="403" t="str">
        <f>+'4. Intervenciones UDT - HCBM'!E70</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H35" s="948" t="s">
        <v>1857</v>
      </c>
      <c r="I35" s="946" t="s">
        <v>193</v>
      </c>
      <c r="J35" s="946" t="s">
        <v>2594</v>
      </c>
      <c r="K35" s="946" t="s">
        <v>2332</v>
      </c>
      <c r="L35" s="946" t="s">
        <v>198</v>
      </c>
      <c r="M35" s="418" t="s">
        <v>1874</v>
      </c>
      <c r="N35" s="948" t="s">
        <v>1862</v>
      </c>
      <c r="O35" s="948" t="s">
        <v>230</v>
      </c>
      <c r="P35" s="951" t="s">
        <v>1875</v>
      </c>
      <c r="Q35" s="948" t="str">
        <f>+'4. Intervenciones UDT - HCBM'!F70</f>
        <v>Organizaciones fortalecidas</v>
      </c>
      <c r="R35" s="405">
        <f>+'4. Intervenciones UDT - HCBM'!I70</f>
        <v>24</v>
      </c>
      <c r="S35" s="405">
        <f>+'4. Intervenciones UDT - HCBM'!J70</f>
        <v>10.8</v>
      </c>
      <c r="T35" s="405">
        <f>+'4. Intervenciones UDT - HCBM'!K70</f>
        <v>7.1999999999999993</v>
      </c>
      <c r="U35" s="405">
        <f>+'4. Intervenciones UDT - HCBM'!L70</f>
        <v>120000</v>
      </c>
      <c r="V35" s="403" t="str">
        <f>+'4. Intervenciones UDT - HCBM'!M70</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35" s="403" t="str">
        <f>+'4. Intervenciones UDT - HCBM'!N70</f>
        <v>DRASAM, MESA TÉCNICA DE CACAO Y CAFÉ, AVA</v>
      </c>
      <c r="X35" s="588">
        <f>+'4. Intervenciones UDT - HCBM'!O70</f>
        <v>6480000</v>
      </c>
      <c r="Y35" s="588">
        <f>+Tabla1[[#This Row],[2025 Directo]]*(1+$Y$3)</f>
        <v>6548040</v>
      </c>
      <c r="Z35" s="588">
        <f>+'4. Intervenciones UDT - HCBM'!P70</f>
        <v>4319999.9999999991</v>
      </c>
      <c r="AA35" s="588">
        <f>+Tabla1[[#This Row],[2030 Directo]]*(1+$Y$3)</f>
        <v>4365359.9999999991</v>
      </c>
      <c r="AB35" s="588">
        <f>+'4. Intervenciones UDT - HCBM'!Q70</f>
        <v>1296000</v>
      </c>
      <c r="AC35" s="588">
        <f>+Tabla1[[#This Row],[Año 1 Cto Directo]]*(1+$Y$3)</f>
        <v>1309608</v>
      </c>
      <c r="AD35" s="588">
        <f>+'4. Intervenciones UDT - HCBM'!R70</f>
        <v>1296000</v>
      </c>
      <c r="AE35" s="588">
        <f>+Tabla1[[#This Row],[Año 2 Cto. Directo]]*(1+$Y$3)</f>
        <v>1309608</v>
      </c>
      <c r="AF35" s="588">
        <f>+'4. Intervenciones UDT - HCBM'!S70</f>
        <v>1296000</v>
      </c>
      <c r="AG35" s="588">
        <f>+Tabla1[[#This Row],[Año 3 Cto. Directo]]*(1+$Y$3)</f>
        <v>1309608</v>
      </c>
      <c r="AH35" s="588">
        <f>+'4. Intervenciones UDT - HCBM'!T70</f>
        <v>1296000</v>
      </c>
      <c r="AI35" s="588">
        <f>+Tabla1[[#This Row],[Año 4 Cto. Directo]]*(1+$Y$3)</f>
        <v>1309608</v>
      </c>
      <c r="AJ35" s="588">
        <f>+'4. Intervenciones UDT - HCBM'!U70</f>
        <v>1296000</v>
      </c>
      <c r="AK35" s="588">
        <f>+Tabla1[[#This Row],[Año 5 Cto. Directo]]*(1+$Y$3)</f>
        <v>1309608</v>
      </c>
      <c r="AL35" s="403">
        <f>+'4. Intervenciones UDT - HCBM'!V70</f>
        <v>0</v>
      </c>
      <c r="AM35" s="954"/>
      <c r="AN35" s="954"/>
      <c r="AO35" s="954" t="str">
        <f>+'4. Intervenciones UDT - HCBM'!Y70</f>
        <v>X</v>
      </c>
      <c r="AP35" s="954"/>
      <c r="AQ35" s="954"/>
      <c r="AR35" s="954">
        <f>+'4. Intervenciones UDT - HCBM'!AB70</f>
        <v>3</v>
      </c>
      <c r="AS35" s="403">
        <f t="shared" si="1"/>
        <v>1</v>
      </c>
    </row>
    <row r="36" spans="1:45" s="195" customFormat="1" ht="15.8" hidden="1" customHeight="1" x14ac:dyDescent="0.3">
      <c r="A36" s="403"/>
      <c r="B36" s="403" t="str">
        <f>'4. Intervenciones UDT - HCBM'!$C$8</f>
        <v>UDT HUALLAGA CENTRAL Y BAJO MAYO</v>
      </c>
      <c r="C36" s="403" t="str">
        <f>'4. Intervenciones UDT - HCBM'!$F$57</f>
        <v>Predios privados para ganadería de leche y carne</v>
      </c>
      <c r="D36" s="404" t="str">
        <f>+'4. Intervenciones UDT - HCBM'!A71</f>
        <v>Programas de inversión privada</v>
      </c>
      <c r="E36" s="404" t="str">
        <f>+'4. Intervenciones UDT - HCBM'!C71</f>
        <v>1.3.7</v>
      </c>
      <c r="F36" s="403" t="str">
        <f>+'4. Intervenciones UDT - HCBM'!D71</f>
        <v>Implementación de infraestructura productiva baja en emisiones</v>
      </c>
      <c r="G36" s="403" t="str">
        <f>+'4. Intervenciones UDT - HCBM'!E71</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H36" s="948" t="s">
        <v>1869</v>
      </c>
      <c r="I36" s="946" t="s">
        <v>193</v>
      </c>
      <c r="J36" s="946" t="s">
        <v>2592</v>
      </c>
      <c r="K36" s="946" t="s">
        <v>2329</v>
      </c>
      <c r="L36" s="946" t="s">
        <v>196</v>
      </c>
      <c r="M36" s="418" t="s">
        <v>1866</v>
      </c>
      <c r="N36" s="948" t="s">
        <v>1862</v>
      </c>
      <c r="O36" s="948" t="s">
        <v>219</v>
      </c>
      <c r="P36" s="951" t="s">
        <v>1865</v>
      </c>
      <c r="Q36" s="948" t="str">
        <f>+'4. Intervenciones UDT - HCBM'!F71</f>
        <v>Planes de negocios implementados</v>
      </c>
      <c r="R36" s="405">
        <f>+'4. Intervenciones UDT - HCBM'!I71</f>
        <v>0</v>
      </c>
      <c r="S36" s="405">
        <f>+'4. Intervenciones UDT - HCBM'!J71</f>
        <v>20</v>
      </c>
      <c r="T36" s="405">
        <f>+'4. Intervenciones UDT - HCBM'!K71</f>
        <v>10</v>
      </c>
      <c r="U36" s="405">
        <f>+'4. Intervenciones UDT - HCBM'!L71</f>
        <v>800000</v>
      </c>
      <c r="V36" s="403" t="str">
        <f>+'4. Intervenciones UDT - HCBM'!M71</f>
        <v xml:space="preserve">Financiamiento e implementación de los planes de negocio de las organizaciones seleccionadas, con la finalidad de mejorar los sistemas de crianza, así mismo los órganos competentes del GRSM realizaron los debidos procesos de seguimiento y monitoreo en la ejecución. </v>
      </c>
      <c r="W36" s="403" t="str">
        <f>+'4. Intervenciones UDT - HCBM'!N71</f>
        <v>AGROIDEAS, DRASAM</v>
      </c>
      <c r="X36" s="588">
        <f>+'4. Intervenciones UDT - HCBM'!O71</f>
        <v>16000000</v>
      </c>
      <c r="Y36" s="588">
        <f>+Tabla1[[#This Row],[2025 Directo]]*(1+$Y$3)</f>
        <v>16168000</v>
      </c>
      <c r="Z36" s="588">
        <f>+'4. Intervenciones UDT - HCBM'!P71</f>
        <v>8000000</v>
      </c>
      <c r="AA36" s="588">
        <f>+Tabla1[[#This Row],[2030 Directo]]*(1+$Y$3)</f>
        <v>8084000</v>
      </c>
      <c r="AB36" s="588">
        <f>+'4. Intervenciones UDT - HCBM'!Q71</f>
        <v>3200000</v>
      </c>
      <c r="AC36" s="588">
        <f>+Tabla1[[#This Row],[Año 1 Cto Directo]]*(1+$Y$3)</f>
        <v>3233600</v>
      </c>
      <c r="AD36" s="588">
        <f>+'4. Intervenciones UDT - HCBM'!R71</f>
        <v>3200000</v>
      </c>
      <c r="AE36" s="588">
        <f>+Tabla1[[#This Row],[Año 2 Cto. Directo]]*(1+$Y$3)</f>
        <v>3233600</v>
      </c>
      <c r="AF36" s="588">
        <f>+'4. Intervenciones UDT - HCBM'!S71</f>
        <v>3200000</v>
      </c>
      <c r="AG36" s="588">
        <f>+Tabla1[[#This Row],[Año 3 Cto. Directo]]*(1+$Y$3)</f>
        <v>3233600</v>
      </c>
      <c r="AH36" s="588">
        <f>+'4. Intervenciones UDT - HCBM'!T71</f>
        <v>3200000</v>
      </c>
      <c r="AI36" s="588">
        <f>+Tabla1[[#This Row],[Año 4 Cto. Directo]]*(1+$Y$3)</f>
        <v>3233600</v>
      </c>
      <c r="AJ36" s="588">
        <f>+'4. Intervenciones UDT - HCBM'!U71</f>
        <v>3200000</v>
      </c>
      <c r="AK36" s="588">
        <f>+Tabla1[[#This Row],[Año 5 Cto. Directo]]*(1+$Y$3)</f>
        <v>3233600</v>
      </c>
      <c r="AL36" s="403">
        <f>+'4. Intervenciones UDT - HCBM'!V71</f>
        <v>0</v>
      </c>
      <c r="AM36" s="954" t="str">
        <f>+'4. Intervenciones UDT - HCBM'!W71</f>
        <v>X</v>
      </c>
      <c r="AN36" s="954"/>
      <c r="AO36" s="954"/>
      <c r="AP36" s="954"/>
      <c r="AQ36" s="954" t="str">
        <f>+'4. Intervenciones UDT - HCBM'!AA71</f>
        <v>RE</v>
      </c>
      <c r="AR36" s="954">
        <f>+'4. Intervenciones UDT - HCBM'!AB71</f>
        <v>3</v>
      </c>
      <c r="AS36" s="403">
        <f t="shared" si="1"/>
        <v>1</v>
      </c>
    </row>
    <row r="37" spans="1:45" s="195" customFormat="1" ht="15.8" hidden="1" customHeight="1" x14ac:dyDescent="0.3">
      <c r="A37" s="403"/>
      <c r="B37" s="403" t="str">
        <f>'4. Intervenciones UDT - HCBM'!$C$8</f>
        <v>UDT HUALLAGA CENTRAL Y BAJO MAYO</v>
      </c>
      <c r="C37" s="403" t="str">
        <f>'4. Intervenciones UDT - HCBM'!$F$57</f>
        <v>Predios privados para ganadería de leche y carne</v>
      </c>
      <c r="D37" s="404" t="str">
        <f>+'4. Intervenciones UDT - HCBM'!A72</f>
        <v>Control y vigilancia</v>
      </c>
      <c r="E37" s="404" t="str">
        <f>+'4. Intervenciones UDT - HCBM'!C72</f>
        <v>1.3.8</v>
      </c>
      <c r="F37" s="403" t="str">
        <f>+'4. Intervenciones UDT - HCBM'!D72</f>
        <v>Promoción y acceso a los Mecanismos de Retribución por Servicios Eco sistémicos (MERESE)</v>
      </c>
      <c r="G37" s="403" t="str">
        <f>+'4. Intervenciones UDT - HCBM'!E72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37" s="948" t="s">
        <v>1857</v>
      </c>
      <c r="I37" s="946" t="s">
        <v>203</v>
      </c>
      <c r="J37" s="946" t="s">
        <v>2595</v>
      </c>
      <c r="K37" s="946" t="s">
        <v>2333</v>
      </c>
      <c r="L37" s="946" t="s">
        <v>204</v>
      </c>
      <c r="M37" s="418" t="s">
        <v>1878</v>
      </c>
      <c r="N37" s="948" t="s">
        <v>1879</v>
      </c>
      <c r="O37" s="948" t="s">
        <v>225</v>
      </c>
      <c r="P37" s="951" t="s">
        <v>1880</v>
      </c>
      <c r="Q37" s="948" t="str">
        <f>+'4. Intervenciones UDT - HCBM'!F72</f>
        <v>Campañas de difusión y promoción</v>
      </c>
      <c r="R37" s="405">
        <f>+'4. Intervenciones UDT - HCBM'!I72</f>
        <v>0</v>
      </c>
      <c r="S37" s="405">
        <f>+'4. Intervenciones UDT - HCBM'!J72</f>
        <v>175</v>
      </c>
      <c r="T37" s="405">
        <f>+'4. Intervenciones UDT - HCBM'!K72</f>
        <v>175</v>
      </c>
      <c r="U37" s="405">
        <f>+'4. Intervenciones UDT - HCBM'!L72</f>
        <v>10000</v>
      </c>
      <c r="V37" s="403" t="str">
        <f>+'4. Intervenciones UDT - HCBM'!M72</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37" s="403" t="str">
        <f>+'4. Intervenciones UDT - HCBM'!N72</f>
        <v>SUNASS</v>
      </c>
      <c r="X37" s="588">
        <f>+'4. Intervenciones UDT - HCBM'!O72</f>
        <v>1750000</v>
      </c>
      <c r="Y37" s="588">
        <f>+Tabla1[[#This Row],[2025 Directo]]*(1+$Y$3)</f>
        <v>1768375</v>
      </c>
      <c r="Z37" s="588">
        <f>+'4. Intervenciones UDT - HCBM'!P72</f>
        <v>1750000</v>
      </c>
      <c r="AA37" s="588">
        <f>+Tabla1[[#This Row],[2030 Directo]]*(1+$Y$3)</f>
        <v>1768375</v>
      </c>
      <c r="AB37" s="588">
        <f>+'4. Intervenciones UDT - HCBM'!Q72</f>
        <v>350000</v>
      </c>
      <c r="AC37" s="588">
        <f>+Tabla1[[#This Row],[Año 1 Cto Directo]]*(1+$Y$3)</f>
        <v>353675</v>
      </c>
      <c r="AD37" s="588">
        <f>+'4. Intervenciones UDT - HCBM'!R72</f>
        <v>350000</v>
      </c>
      <c r="AE37" s="588">
        <f>+Tabla1[[#This Row],[Año 2 Cto. Directo]]*(1+$Y$3)</f>
        <v>353675</v>
      </c>
      <c r="AF37" s="588">
        <f>+'4. Intervenciones UDT - HCBM'!S72</f>
        <v>350000</v>
      </c>
      <c r="AG37" s="588">
        <f>+Tabla1[[#This Row],[Año 3 Cto. Directo]]*(1+$Y$3)</f>
        <v>353675</v>
      </c>
      <c r="AH37" s="588">
        <f>+'4. Intervenciones UDT - HCBM'!T72</f>
        <v>350000</v>
      </c>
      <c r="AI37" s="588">
        <f>+Tabla1[[#This Row],[Año 4 Cto. Directo]]*(1+$Y$3)</f>
        <v>353675</v>
      </c>
      <c r="AJ37" s="588">
        <f>+'4. Intervenciones UDT - HCBM'!U72</f>
        <v>350000</v>
      </c>
      <c r="AK37" s="588">
        <f>+Tabla1[[#This Row],[Año 5 Cto. Directo]]*(1+$Y$3)</f>
        <v>353675</v>
      </c>
      <c r="AL37" s="403">
        <f>+'4. Intervenciones UDT - HCBM'!V72</f>
        <v>0</v>
      </c>
      <c r="AM37" s="954" t="str">
        <f>+'4. Intervenciones UDT - HCBM'!W72</f>
        <v>X</v>
      </c>
      <c r="AN37" s="954"/>
      <c r="AO37" s="954"/>
      <c r="AP37" s="954"/>
      <c r="AQ37" s="954"/>
      <c r="AR37" s="954">
        <f>+'4. Intervenciones UDT - HCBM'!AB72</f>
        <v>2</v>
      </c>
      <c r="AS37" s="403">
        <f t="shared" si="1"/>
        <v>1</v>
      </c>
    </row>
    <row r="38" spans="1:45" s="195" customFormat="1" ht="15.8" hidden="1" customHeight="1" x14ac:dyDescent="0.3">
      <c r="A38" s="403"/>
      <c r="B38" s="403" t="str">
        <f>'4. Intervenciones UDT - HCBM'!$C$8</f>
        <v>UDT HUALLAGA CENTRAL Y BAJO MAYO</v>
      </c>
      <c r="C38" s="403" t="str">
        <f>'4. Intervenciones UDT - HCBM'!$F$76</f>
        <v>Territorios de comunidades nativas</v>
      </c>
      <c r="D38" s="404" t="str">
        <f>+'4. Intervenciones UDT - HCBM'!A84</f>
        <v>Invasiones</v>
      </c>
      <c r="E38" s="404" t="str">
        <f>+'4. Intervenciones UDT - HCBM'!C84</f>
        <v>1.4.1</v>
      </c>
      <c r="F38" s="403" t="str">
        <f>+'4. Intervenciones UDT - HCBM'!D84</f>
        <v xml:space="preserve">Concluir reconocimiento y titulación </v>
      </c>
      <c r="G38" s="403" t="str">
        <f>+'4. Intervenciones UDT - HCBM'!E84</f>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
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v>
      </c>
      <c r="H38" s="948" t="s">
        <v>1857</v>
      </c>
      <c r="I38" s="946" t="s">
        <v>199</v>
      </c>
      <c r="J38" s="946" t="s">
        <v>2591</v>
      </c>
      <c r="K38" s="946" t="s">
        <v>2331</v>
      </c>
      <c r="L38" s="946" t="s">
        <v>202</v>
      </c>
      <c r="M38" s="418" t="s">
        <v>1858</v>
      </c>
      <c r="N38" s="948" t="s">
        <v>1859</v>
      </c>
      <c r="O38" s="948" t="s">
        <v>223</v>
      </c>
      <c r="P38" s="951" t="s">
        <v>1860</v>
      </c>
      <c r="Q38" s="948" t="str">
        <f>+'4. Intervenciones UDT - HCBM'!F84</f>
        <v>Comunidades tituladas</v>
      </c>
      <c r="R38" s="405">
        <f>+'4. Intervenciones UDT - HCBM'!I84</f>
        <v>63</v>
      </c>
      <c r="S38" s="405">
        <f>+'4. Intervenciones UDT - HCBM'!J84</f>
        <v>63</v>
      </c>
      <c r="T38" s="405">
        <f>+'4. Intervenciones UDT - HCBM'!K84</f>
        <v>0</v>
      </c>
      <c r="U38" s="405">
        <f>+'4. Intervenciones UDT - HCBM'!L84</f>
        <v>71250</v>
      </c>
      <c r="V38" s="403" t="str">
        <f>+'4. Intervenciones UDT - HCBM'!M84</f>
        <v xml:space="preserve">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v>
      </c>
      <c r="W38" s="403" t="str">
        <f>+'4. Intervenciones UDT - HCBM'!N84</f>
        <v>Drasam, GIZ, CODEPISAM</v>
      </c>
      <c r="X38" s="588">
        <f>+'4. Intervenciones UDT - HCBM'!O84</f>
        <v>4488750</v>
      </c>
      <c r="Y38" s="588">
        <f>+Tabla1[[#This Row],[2025 Directo]]*(1+$Y$3)</f>
        <v>4535881.875</v>
      </c>
      <c r="Z38" s="588">
        <f>+'4. Intervenciones UDT - HCBM'!P84</f>
        <v>0</v>
      </c>
      <c r="AA38" s="588">
        <f>+Tabla1[[#This Row],[2030 Directo]]*(1+$Y$3)</f>
        <v>0</v>
      </c>
      <c r="AB38" s="588">
        <f>+'4. Intervenciones UDT - HCBM'!Q84</f>
        <v>897750</v>
      </c>
      <c r="AC38" s="588">
        <f>+Tabla1[[#This Row],[Año 1 Cto Directo]]*(1+$Y$3)</f>
        <v>907176.375</v>
      </c>
      <c r="AD38" s="588">
        <f>+'4. Intervenciones UDT - HCBM'!R84</f>
        <v>897750</v>
      </c>
      <c r="AE38" s="588">
        <f>+Tabla1[[#This Row],[Año 2 Cto. Directo]]*(1+$Y$3)</f>
        <v>907176.375</v>
      </c>
      <c r="AF38" s="588">
        <f>+'4. Intervenciones UDT - HCBM'!S84</f>
        <v>897750</v>
      </c>
      <c r="AG38" s="588">
        <f>+Tabla1[[#This Row],[Año 3 Cto. Directo]]*(1+$Y$3)</f>
        <v>907176.375</v>
      </c>
      <c r="AH38" s="588">
        <f>+'4. Intervenciones UDT - HCBM'!T84</f>
        <v>897750</v>
      </c>
      <c r="AI38" s="588">
        <f>+Tabla1[[#This Row],[Año 4 Cto. Directo]]*(1+$Y$3)</f>
        <v>907176.375</v>
      </c>
      <c r="AJ38" s="588">
        <f>+'4. Intervenciones UDT - HCBM'!U84</f>
        <v>897750</v>
      </c>
      <c r="AK38" s="588">
        <f>+Tabla1[[#This Row],[Año 5 Cto. Directo]]*(1+$Y$3)</f>
        <v>907176.375</v>
      </c>
      <c r="AL38" s="403">
        <f>+'4. Intervenciones UDT - HCBM'!V84</f>
        <v>0</v>
      </c>
      <c r="AM38" s="954"/>
      <c r="AN38" s="954"/>
      <c r="AO38" s="954" t="str">
        <f>+'4. Intervenciones UDT - HCBM'!Y84</f>
        <v>X</v>
      </c>
      <c r="AP38" s="954"/>
      <c r="AQ38" s="954"/>
      <c r="AR38" s="954">
        <f>+'4. Intervenciones UDT - HCBM'!AB84</f>
        <v>3</v>
      </c>
      <c r="AS38" s="403">
        <f t="shared" si="1"/>
        <v>1</v>
      </c>
    </row>
    <row r="39" spans="1:45" s="195" customFormat="1" ht="15.8" hidden="1" customHeight="1" x14ac:dyDescent="0.3">
      <c r="A39" s="403"/>
      <c r="B39" s="403" t="str">
        <f>'4. Intervenciones UDT - HCBM'!$C$8</f>
        <v>UDT HUALLAGA CENTRAL Y BAJO MAYO</v>
      </c>
      <c r="C39" s="403" t="str">
        <f>'4. Intervenciones UDT - HCBM'!$F$76</f>
        <v>Territorios de comunidades nativas</v>
      </c>
      <c r="D39" s="404" t="str">
        <f>+'4. Intervenciones UDT - HCBM'!A85</f>
        <v>Programas de inversión pública</v>
      </c>
      <c r="E39" s="404" t="str">
        <f>+'4. Intervenciones UDT - HCBM'!C85</f>
        <v>1.4.2</v>
      </c>
      <c r="F39" s="403" t="str">
        <f>+'4. Intervenciones UDT - HCBM'!D85</f>
        <v xml:space="preserve">Asistencia técnica para el manejo agroforestal </v>
      </c>
      <c r="G39" s="403" t="str">
        <f>+'4. Intervenciones UDT - HCBM'!E85</f>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v>
      </c>
      <c r="H39" s="948" t="s">
        <v>1857</v>
      </c>
      <c r="I39" s="946" t="s">
        <v>203</v>
      </c>
      <c r="J39" s="946" t="s">
        <v>2595</v>
      </c>
      <c r="K39" s="946" t="s">
        <v>2333</v>
      </c>
      <c r="L39" s="946" t="s">
        <v>204</v>
      </c>
      <c r="M39" s="418" t="s">
        <v>1878</v>
      </c>
      <c r="N39" s="948" t="s">
        <v>1879</v>
      </c>
      <c r="O39" s="948" t="s">
        <v>224</v>
      </c>
      <c r="P39" s="951" t="s">
        <v>1863</v>
      </c>
      <c r="Q39" s="948" t="str">
        <f>+'4. Intervenciones UDT - HCBM'!F85</f>
        <v>Productor asistido</v>
      </c>
      <c r="R39" s="405">
        <f>+'4. Intervenciones UDT - HCBM'!I85</f>
        <v>6900</v>
      </c>
      <c r="S39" s="405">
        <f>+'4. Intervenciones UDT - HCBM'!J85</f>
        <v>4140</v>
      </c>
      <c r="T39" s="405">
        <f>+'4. Intervenciones UDT - HCBM'!K85</f>
        <v>2760</v>
      </c>
      <c r="U39" s="405">
        <f>+'4. Intervenciones UDT - HCBM'!L85</f>
        <v>560</v>
      </c>
      <c r="V39" s="403" t="str">
        <f>+'4. Intervenciones UDT - HCBM'!M85</f>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v>
      </c>
      <c r="W39" s="403" t="str">
        <f>+'4. Intervenciones UDT - HCBM'!N85</f>
        <v>Drasam, GIZ, CODEPISAM</v>
      </c>
      <c r="X39" s="588">
        <f>+'4. Intervenciones UDT - HCBM'!O85</f>
        <v>2318400</v>
      </c>
      <c r="Y39" s="588">
        <f>+Tabla1[[#This Row],[2025 Directo]]*(1+$Y$3)</f>
        <v>2342743.1999999997</v>
      </c>
      <c r="Z39" s="588">
        <f>+'4. Intervenciones UDT - HCBM'!P85</f>
        <v>1545600</v>
      </c>
      <c r="AA39" s="588">
        <f>+Tabla1[[#This Row],[2030 Directo]]*(1+$Y$3)</f>
        <v>1561828.7999999998</v>
      </c>
      <c r="AB39" s="588">
        <f>+'4. Intervenciones UDT - HCBM'!Q85</f>
        <v>463680</v>
      </c>
      <c r="AC39" s="588">
        <f>+Tabla1[[#This Row],[Año 1 Cto Directo]]*(1+$Y$3)</f>
        <v>468548.63999999996</v>
      </c>
      <c r="AD39" s="588">
        <f>+'4. Intervenciones UDT - HCBM'!R85</f>
        <v>463680</v>
      </c>
      <c r="AE39" s="588">
        <f>+Tabla1[[#This Row],[Año 2 Cto. Directo]]*(1+$Y$3)</f>
        <v>468548.63999999996</v>
      </c>
      <c r="AF39" s="588">
        <f>+'4. Intervenciones UDT - HCBM'!S85</f>
        <v>463680</v>
      </c>
      <c r="AG39" s="588">
        <f>+Tabla1[[#This Row],[Año 3 Cto. Directo]]*(1+$Y$3)</f>
        <v>468548.63999999996</v>
      </c>
      <c r="AH39" s="588">
        <f>+'4. Intervenciones UDT - HCBM'!T85</f>
        <v>463680</v>
      </c>
      <c r="AI39" s="588">
        <f>+Tabla1[[#This Row],[Año 4 Cto. Directo]]*(1+$Y$3)</f>
        <v>468548.63999999996</v>
      </c>
      <c r="AJ39" s="588">
        <f>+'4. Intervenciones UDT - HCBM'!U85</f>
        <v>463680</v>
      </c>
      <c r="AK39" s="588">
        <f>+Tabla1[[#This Row],[Año 5 Cto. Directo]]*(1+$Y$3)</f>
        <v>468548.63999999996</v>
      </c>
      <c r="AL39" s="403">
        <f>+'4. Intervenciones UDT - HCBM'!V85</f>
        <v>0</v>
      </c>
      <c r="AM39" s="954"/>
      <c r="AN39" s="954"/>
      <c r="AO39" s="954" t="str">
        <f>+'4. Intervenciones UDT - HCBM'!Y85</f>
        <v>X</v>
      </c>
      <c r="AP39" s="954"/>
      <c r="AQ39" s="954" t="str">
        <f>+'4. Intervenciones UDT - HCBM'!AA85</f>
        <v>RE</v>
      </c>
      <c r="AR39" s="954">
        <f>+'4. Intervenciones UDT - HCBM'!AB85</f>
        <v>3</v>
      </c>
      <c r="AS39" s="403">
        <f t="shared" si="1"/>
        <v>1</v>
      </c>
    </row>
    <row r="40" spans="1:45" s="195" customFormat="1" ht="15.8" hidden="1" customHeight="1" x14ac:dyDescent="0.3">
      <c r="A40" s="403"/>
      <c r="B40" s="403" t="str">
        <f>'4. Intervenciones UDT - HCBM'!$C$8</f>
        <v>UDT HUALLAGA CENTRAL Y BAJO MAYO</v>
      </c>
      <c r="C40" s="403" t="str">
        <f>'4. Intervenciones UDT - HCBM'!$F$76</f>
        <v>Territorios de comunidades nativas</v>
      </c>
      <c r="D40" s="404" t="str">
        <f>+'4. Intervenciones UDT - HCBM'!A86</f>
        <v>Programas de inversión privada</v>
      </c>
      <c r="E40" s="404" t="str">
        <f>+'4. Intervenciones UDT - HCBM'!C86</f>
        <v>1.4.3</v>
      </c>
      <c r="F40" s="403" t="str">
        <f>+'4. Intervenciones UDT - HCBM'!D86</f>
        <v xml:space="preserve">Promoción de Bionegocios con productos forestales no maderables </v>
      </c>
      <c r="G40" s="403" t="str">
        <f>+'4. Intervenciones UDT - HCBM'!E86</f>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v>
      </c>
      <c r="H40" s="948" t="s">
        <v>1857</v>
      </c>
      <c r="I40" s="946" t="s">
        <v>203</v>
      </c>
      <c r="J40" s="946" t="s">
        <v>2596</v>
      </c>
      <c r="K40" s="946" t="s">
        <v>2335</v>
      </c>
      <c r="L40" s="946" t="s">
        <v>205</v>
      </c>
      <c r="M40" s="418" t="s">
        <v>1881</v>
      </c>
      <c r="N40" s="948" t="s">
        <v>1879</v>
      </c>
      <c r="O40" s="948" t="s">
        <v>231</v>
      </c>
      <c r="P40" s="951" t="s">
        <v>1882</v>
      </c>
      <c r="Q40" s="948" t="str">
        <f>+'4. Intervenciones UDT - HCBM'!F86</f>
        <v>Planes de negocio</v>
      </c>
      <c r="R40" s="405">
        <f>+'4. Intervenciones UDT - HCBM'!I86</f>
        <v>0</v>
      </c>
      <c r="S40" s="405">
        <f>+'4. Intervenciones UDT - HCBM'!J86</f>
        <v>40</v>
      </c>
      <c r="T40" s="405">
        <f>+'4. Intervenciones UDT - HCBM'!K86</f>
        <v>40</v>
      </c>
      <c r="U40" s="405">
        <f>+'4. Intervenciones UDT - HCBM'!L86</f>
        <v>15000</v>
      </c>
      <c r="V40" s="403" t="str">
        <f>+'4. Intervenciones UDT - HCBM'!M86</f>
        <v>Se contratará profesionales para el asesoramiento y formulación de planes de negocios de las Comunidades Nativas.</v>
      </c>
      <c r="W40" s="403" t="str">
        <f>+'4. Intervenciones UDT - HCBM'!N86</f>
        <v>Drasam, Agroideas</v>
      </c>
      <c r="X40" s="588">
        <f>+'4. Intervenciones UDT - HCBM'!O86</f>
        <v>600000</v>
      </c>
      <c r="Y40" s="588">
        <f>+Tabla1[[#This Row],[2025 Directo]]*(1+$Y$3)</f>
        <v>606300</v>
      </c>
      <c r="Z40" s="588">
        <f>+'4. Intervenciones UDT - HCBM'!P86</f>
        <v>600000</v>
      </c>
      <c r="AA40" s="588">
        <f>+Tabla1[[#This Row],[2030 Directo]]*(1+$Y$3)</f>
        <v>606300</v>
      </c>
      <c r="AB40" s="588">
        <f>+'4. Intervenciones UDT - HCBM'!Q86</f>
        <v>120000</v>
      </c>
      <c r="AC40" s="588">
        <f>+Tabla1[[#This Row],[Año 1 Cto Directo]]*(1+$Y$3)</f>
        <v>121260</v>
      </c>
      <c r="AD40" s="588">
        <f>+'4. Intervenciones UDT - HCBM'!R86</f>
        <v>120000</v>
      </c>
      <c r="AE40" s="588">
        <f>+Tabla1[[#This Row],[Año 2 Cto. Directo]]*(1+$Y$3)</f>
        <v>121260</v>
      </c>
      <c r="AF40" s="588">
        <f>+'4. Intervenciones UDT - HCBM'!S86</f>
        <v>120000</v>
      </c>
      <c r="AG40" s="588">
        <f>+Tabla1[[#This Row],[Año 3 Cto. Directo]]*(1+$Y$3)</f>
        <v>121260</v>
      </c>
      <c r="AH40" s="588">
        <f>+'4. Intervenciones UDT - HCBM'!T86</f>
        <v>120000</v>
      </c>
      <c r="AI40" s="588">
        <f>+Tabla1[[#This Row],[Año 4 Cto. Directo]]*(1+$Y$3)</f>
        <v>121260</v>
      </c>
      <c r="AJ40" s="588">
        <f>+'4. Intervenciones UDT - HCBM'!U86</f>
        <v>120000</v>
      </c>
      <c r="AK40" s="588">
        <f>+Tabla1[[#This Row],[Año 5 Cto. Directo]]*(1+$Y$3)</f>
        <v>121260</v>
      </c>
      <c r="AL40" s="403">
        <f>+'4. Intervenciones UDT - HCBM'!V86</f>
        <v>0</v>
      </c>
      <c r="AM40" s="954" t="str">
        <f>+'4. Intervenciones UDT - HCBM'!W86</f>
        <v>X</v>
      </c>
      <c r="AN40" s="954"/>
      <c r="AO40" s="954"/>
      <c r="AP40" s="954"/>
      <c r="AQ40" s="954" t="str">
        <f>+'4. Intervenciones UDT - HCBM'!AA86</f>
        <v>RE</v>
      </c>
      <c r="AR40" s="954">
        <f>+'4. Intervenciones UDT - HCBM'!AB86</f>
        <v>2</v>
      </c>
      <c r="AS40" s="403">
        <f t="shared" si="1"/>
        <v>1</v>
      </c>
    </row>
    <row r="41" spans="1:45" s="195" customFormat="1" ht="15.8" hidden="1" customHeight="1" x14ac:dyDescent="0.3">
      <c r="A41" s="403"/>
      <c r="B41" s="403" t="str">
        <f>'4. Intervenciones UDT - HCBM'!$C$8</f>
        <v>UDT HUALLAGA CENTRAL Y BAJO MAYO</v>
      </c>
      <c r="C41" s="403" t="str">
        <f>'4. Intervenciones UDT - HCBM'!$F$76</f>
        <v>Territorios de comunidades nativas</v>
      </c>
      <c r="D41" s="404" t="str">
        <f>+'4. Intervenciones UDT - HCBM'!A87</f>
        <v>Programas de inversión pública</v>
      </c>
      <c r="E41" s="404" t="str">
        <f>+'4. Intervenciones UDT - HCBM'!C87</f>
        <v>1.4.4</v>
      </c>
      <c r="F41" s="403" t="str">
        <f>+'4. Intervenciones UDT - HCBM'!D87</f>
        <v>Fortalecimiento de capacidades</v>
      </c>
      <c r="G41" s="403" t="str">
        <f>+'4. Intervenciones UDT - HCBM'!E87</f>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v>
      </c>
      <c r="H41" s="948" t="s">
        <v>1857</v>
      </c>
      <c r="I41" s="946" t="s">
        <v>193</v>
      </c>
      <c r="J41" s="946" t="s">
        <v>2594</v>
      </c>
      <c r="K41" s="946" t="s">
        <v>2332</v>
      </c>
      <c r="L41" s="946" t="s">
        <v>198</v>
      </c>
      <c r="M41" s="418" t="s">
        <v>1874</v>
      </c>
      <c r="N41" s="948" t="s">
        <v>1862</v>
      </c>
      <c r="O41" s="948" t="s">
        <v>230</v>
      </c>
      <c r="P41" s="951" t="s">
        <v>1875</v>
      </c>
      <c r="Q41" s="948" t="str">
        <f>+'4. Intervenciones UDT - HCBM'!F87</f>
        <v>Comunidades fortalecidas</v>
      </c>
      <c r="R41" s="405">
        <f>+'4. Intervenciones UDT - HCBM'!I87</f>
        <v>66</v>
      </c>
      <c r="S41" s="405">
        <f>+'4. Intervenciones UDT - HCBM'!J87</f>
        <v>39.6</v>
      </c>
      <c r="T41" s="405">
        <f>+'4. Intervenciones UDT - HCBM'!K87</f>
        <v>26.400000000000002</v>
      </c>
      <c r="U41" s="405">
        <f>+'4. Intervenciones UDT - HCBM'!L87</f>
        <v>288000</v>
      </c>
      <c r="V41" s="403" t="str">
        <f>+'4. Intervenciones UDT - HCBM'!M87</f>
        <v>Contratación de especialistas para dar acompañamiento y seguimiento a los procesos organizativos de las CCNN de forma permanente.</v>
      </c>
      <c r="W41" s="403" t="str">
        <f>+'4. Intervenciones UDT - HCBM'!N87</f>
        <v>Drasam, Direpro, Dircetur, ARA, CODEPISAM</v>
      </c>
      <c r="X41" s="588">
        <f>+'4. Intervenciones UDT - HCBM'!O87</f>
        <v>1440000</v>
      </c>
      <c r="Y41" s="588">
        <f>+Tabla1[[#This Row],[2025 Directo]]*(1+$Y$3)</f>
        <v>1455120</v>
      </c>
      <c r="Z41" s="588">
        <f>+'4. Intervenciones UDT - HCBM'!P87</f>
        <v>1440000</v>
      </c>
      <c r="AA41" s="588">
        <f>+Tabla1[[#This Row],[2030 Directo]]*(1+$Y$3)</f>
        <v>1455120</v>
      </c>
      <c r="AB41" s="588">
        <f>+'4. Intervenciones UDT - HCBM'!Q87</f>
        <v>288000</v>
      </c>
      <c r="AC41" s="588">
        <f>+Tabla1[[#This Row],[Año 1 Cto Directo]]*(1+$Y$3)</f>
        <v>291024</v>
      </c>
      <c r="AD41" s="588">
        <f>+'4. Intervenciones UDT - HCBM'!R87</f>
        <v>288000</v>
      </c>
      <c r="AE41" s="588">
        <f>+Tabla1[[#This Row],[Año 2 Cto. Directo]]*(1+$Y$3)</f>
        <v>291024</v>
      </c>
      <c r="AF41" s="588">
        <f>+'4. Intervenciones UDT - HCBM'!S87</f>
        <v>288000</v>
      </c>
      <c r="AG41" s="588">
        <f>+Tabla1[[#This Row],[Año 3 Cto. Directo]]*(1+$Y$3)</f>
        <v>291024</v>
      </c>
      <c r="AH41" s="588">
        <f>+'4. Intervenciones UDT - HCBM'!T87</f>
        <v>288000</v>
      </c>
      <c r="AI41" s="588">
        <f>+Tabla1[[#This Row],[Año 4 Cto. Directo]]*(1+$Y$3)</f>
        <v>291024</v>
      </c>
      <c r="AJ41" s="588">
        <f>+'4. Intervenciones UDT - HCBM'!U87</f>
        <v>288000</v>
      </c>
      <c r="AK41" s="588">
        <f>+Tabla1[[#This Row],[Año 5 Cto. Directo]]*(1+$Y$3)</f>
        <v>291024</v>
      </c>
      <c r="AL41" s="403">
        <f>+'4. Intervenciones UDT - HCBM'!V87</f>
        <v>0</v>
      </c>
      <c r="AM41" s="954"/>
      <c r="AN41" s="954"/>
      <c r="AO41" s="954" t="str">
        <f>+'4. Intervenciones UDT - HCBM'!Y87</f>
        <v>X</v>
      </c>
      <c r="AP41" s="954"/>
      <c r="AQ41" s="954" t="str">
        <f>+'4. Intervenciones UDT - HCBM'!AA87</f>
        <v>RE</v>
      </c>
      <c r="AR41" s="954">
        <f>+'4. Intervenciones UDT - HCBM'!AB87</f>
        <v>2</v>
      </c>
      <c r="AS41" s="403">
        <f t="shared" si="1"/>
        <v>1</v>
      </c>
    </row>
    <row r="42" spans="1:45" s="195" customFormat="1" ht="15.8" hidden="1" customHeight="1" x14ac:dyDescent="0.3">
      <c r="A42" s="403"/>
      <c r="B42" s="403" t="str">
        <f>'4. Intervenciones UDT - HCBM'!$C$8</f>
        <v>UDT HUALLAGA CENTRAL Y BAJO MAYO</v>
      </c>
      <c r="C42" s="403" t="str">
        <f>'4. Intervenciones UDT - HCBM'!$F$76</f>
        <v>Territorios de comunidades nativas</v>
      </c>
      <c r="D42" s="404" t="str">
        <f>+'4. Intervenciones UDT - HCBM'!A88</f>
        <v>Programas de inversión privada</v>
      </c>
      <c r="E42" s="404" t="str">
        <f>+'4. Intervenciones UDT - HCBM'!C88</f>
        <v>1.4.5</v>
      </c>
      <c r="F42" s="403" t="str">
        <f>+'4. Intervenciones UDT - HCBM'!D88</f>
        <v>Identificación y apertura de mercado para productos del bosque.</v>
      </c>
      <c r="G42" s="403" t="str">
        <f>+'4. Intervenciones UDT - HCBM'!E88</f>
        <v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v>
      </c>
      <c r="H42" s="948" t="s">
        <v>1857</v>
      </c>
      <c r="I42" s="946" t="s">
        <v>193</v>
      </c>
      <c r="J42" s="946" t="s">
        <v>2592</v>
      </c>
      <c r="K42" s="946" t="s">
        <v>2329</v>
      </c>
      <c r="L42" s="946" t="s">
        <v>197</v>
      </c>
      <c r="M42" s="418" t="s">
        <v>1876</v>
      </c>
      <c r="N42" s="948" t="s">
        <v>1862</v>
      </c>
      <c r="O42" s="948" t="s">
        <v>228</v>
      </c>
      <c r="P42" s="951" t="s">
        <v>1877</v>
      </c>
      <c r="Q42" s="948" t="str">
        <f>+'4. Intervenciones UDT - HCBM'!F88</f>
        <v>Especialistas</v>
      </c>
      <c r="R42" s="405">
        <f>+'4. Intervenciones UDT - HCBM'!I88</f>
        <v>0</v>
      </c>
      <c r="S42" s="405">
        <f>+'4. Intervenciones UDT - HCBM'!J88</f>
        <v>5</v>
      </c>
      <c r="T42" s="405">
        <f>+'4. Intervenciones UDT - HCBM'!K88</f>
        <v>5</v>
      </c>
      <c r="U42" s="405">
        <f>+'4. Intervenciones UDT - HCBM'!L88</f>
        <v>3500</v>
      </c>
      <c r="V42" s="403" t="str">
        <f>+'4. Intervenciones UDT - HCBM'!M88</f>
        <v>Contratación de especialista para identificación, acompañamiento y seguimiento a los procesos comerciales iniciados por las organizaciones de las CCNN</v>
      </c>
      <c r="W42" s="403" t="str">
        <f>+'4. Intervenciones UDT - HCBM'!N88</f>
        <v>Drasam, Direpro, Dircetur, ARA, OPIPs</v>
      </c>
      <c r="X42" s="588">
        <f>+'4. Intervenciones UDT - HCBM'!O88</f>
        <v>1050000</v>
      </c>
      <c r="Y42" s="588">
        <f>+Tabla1[[#This Row],[2025 Directo]]*(1+$Y$3)</f>
        <v>1061025</v>
      </c>
      <c r="Z42" s="588">
        <f>+'4. Intervenciones UDT - HCBM'!P88</f>
        <v>1050000</v>
      </c>
      <c r="AA42" s="588">
        <f>+Tabla1[[#This Row],[2030 Directo]]*(1+$Y$3)</f>
        <v>1061025</v>
      </c>
      <c r="AB42" s="588">
        <f>+'4. Intervenciones UDT - HCBM'!Q88</f>
        <v>210000</v>
      </c>
      <c r="AC42" s="588">
        <f>+Tabla1[[#This Row],[Año 1 Cto Directo]]*(1+$Y$3)</f>
        <v>212205</v>
      </c>
      <c r="AD42" s="588">
        <f>+'4. Intervenciones UDT - HCBM'!R88</f>
        <v>210000</v>
      </c>
      <c r="AE42" s="588">
        <f>+Tabla1[[#This Row],[Año 2 Cto. Directo]]*(1+$Y$3)</f>
        <v>212205</v>
      </c>
      <c r="AF42" s="588">
        <f>+'4. Intervenciones UDT - HCBM'!S88</f>
        <v>210000</v>
      </c>
      <c r="AG42" s="588">
        <f>+Tabla1[[#This Row],[Año 3 Cto. Directo]]*(1+$Y$3)</f>
        <v>212205</v>
      </c>
      <c r="AH42" s="588">
        <f>+'4. Intervenciones UDT - HCBM'!T88</f>
        <v>210000</v>
      </c>
      <c r="AI42" s="588">
        <f>+Tabla1[[#This Row],[Año 4 Cto. Directo]]*(1+$Y$3)</f>
        <v>212205</v>
      </c>
      <c r="AJ42" s="588">
        <f>+'4. Intervenciones UDT - HCBM'!U88</f>
        <v>210000</v>
      </c>
      <c r="AK42" s="588">
        <f>+Tabla1[[#This Row],[Año 5 Cto. Directo]]*(1+$Y$3)</f>
        <v>212205</v>
      </c>
      <c r="AL42" s="403">
        <f>+'4. Intervenciones UDT - HCBM'!V88</f>
        <v>0</v>
      </c>
      <c r="AM42" s="954" t="str">
        <f>+'4. Intervenciones UDT - HCBM'!W88</f>
        <v>X</v>
      </c>
      <c r="AN42" s="954"/>
      <c r="AO42" s="954"/>
      <c r="AP42" s="954"/>
      <c r="AQ42" s="954" t="str">
        <f>+'4. Intervenciones UDT - HCBM'!AA88</f>
        <v>RE</v>
      </c>
      <c r="AR42" s="954">
        <f>+'4. Intervenciones UDT - HCBM'!AB88</f>
        <v>2</v>
      </c>
      <c r="AS42" s="403">
        <f t="shared" si="1"/>
        <v>1</v>
      </c>
    </row>
    <row r="43" spans="1:45" s="195" customFormat="1" ht="15.8" hidden="1" customHeight="1" x14ac:dyDescent="0.3">
      <c r="A43" s="403"/>
      <c r="B43" s="403" t="str">
        <f>'4. Intervenciones UDT - HCBM'!$C$8</f>
        <v>UDT HUALLAGA CENTRAL Y BAJO MAYO</v>
      </c>
      <c r="C43" s="403" t="str">
        <f>'4. Intervenciones UDT - HCBM'!$F$76</f>
        <v>Territorios de comunidades nativas</v>
      </c>
      <c r="D43" s="404" t="str">
        <f>+'4. Intervenciones UDT - HCBM'!A89</f>
        <v>Invasiones</v>
      </c>
      <c r="E43" s="404" t="str">
        <f>+'4. Intervenciones UDT - HCBM'!C89</f>
        <v>1.4.6</v>
      </c>
      <c r="F43" s="403" t="str">
        <f>+'4. Intervenciones UDT - HCBM'!D89</f>
        <v>Transferencias de Incentivos para protección de bosques</v>
      </c>
      <c r="G43" s="403" t="str">
        <f>+'4. Intervenciones UDT - HCBM'!E89</f>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v>
      </c>
      <c r="H43" s="948" t="s">
        <v>1857</v>
      </c>
      <c r="I43" s="946" t="s">
        <v>203</v>
      </c>
      <c r="J43" s="946" t="s">
        <v>2597</v>
      </c>
      <c r="K43" s="946" t="s">
        <v>2336</v>
      </c>
      <c r="L43" s="946" t="s">
        <v>195</v>
      </c>
      <c r="M43" s="418" t="s">
        <v>1871</v>
      </c>
      <c r="N43" s="948" t="s">
        <v>1879</v>
      </c>
      <c r="O43" s="948" t="s">
        <v>218</v>
      </c>
      <c r="P43" s="951" t="s">
        <v>1872</v>
      </c>
      <c r="Q43" s="948" t="str">
        <f>+'4. Intervenciones UDT - HCBM'!F89</f>
        <v>Comunidades atendidas</v>
      </c>
      <c r="R43" s="405">
        <f>+'4. Intervenciones UDT - HCBM'!I89</f>
        <v>9</v>
      </c>
      <c r="S43" s="405">
        <f>+'4. Intervenciones UDT - HCBM'!J89</f>
        <v>30</v>
      </c>
      <c r="T43" s="405">
        <f>+'4. Intervenciones UDT - HCBM'!K89</f>
        <v>27</v>
      </c>
      <c r="U43" s="405">
        <f>+'4. Intervenciones UDT - HCBM'!L89</f>
        <v>5000</v>
      </c>
      <c r="V43" s="403" t="str">
        <f>+'4. Intervenciones UDT - HCBM'!M89</f>
        <v xml:space="preserve">El costo esta referido a los gastos administrativos y logísticos que impliquen la elaboración del expediente para ser presentado a los programas de incentivos. </v>
      </c>
      <c r="W43" s="403" t="str">
        <f>+'4. Intervenciones UDT - HCBM'!N89</f>
        <v>Gerencia Regional de Desarrollo Social, Programa Geo bosques, CODEPISAM</v>
      </c>
      <c r="X43" s="588">
        <f>+'4. Intervenciones UDT - HCBM'!O89</f>
        <v>750000</v>
      </c>
      <c r="Y43" s="588">
        <f>+Tabla1[[#This Row],[2025 Directo]]*(1+$Y$3)</f>
        <v>757875</v>
      </c>
      <c r="Z43" s="588">
        <f>+'4. Intervenciones UDT - HCBM'!P89</f>
        <v>675000</v>
      </c>
      <c r="AA43" s="588">
        <f>+Tabla1[[#This Row],[2030 Directo]]*(1+$Y$3)</f>
        <v>682087.5</v>
      </c>
      <c r="AB43" s="588">
        <f>+'4. Intervenciones UDT - HCBM'!Q89</f>
        <v>150000</v>
      </c>
      <c r="AC43" s="588">
        <f>+Tabla1[[#This Row],[Año 1 Cto Directo]]*(1+$Y$3)</f>
        <v>151575</v>
      </c>
      <c r="AD43" s="588">
        <f>+'4. Intervenciones UDT - HCBM'!R89</f>
        <v>150000</v>
      </c>
      <c r="AE43" s="588">
        <f>+Tabla1[[#This Row],[Año 2 Cto. Directo]]*(1+$Y$3)</f>
        <v>151575</v>
      </c>
      <c r="AF43" s="588">
        <f>+'4. Intervenciones UDT - HCBM'!S89</f>
        <v>150000</v>
      </c>
      <c r="AG43" s="588">
        <f>+Tabla1[[#This Row],[Año 3 Cto. Directo]]*(1+$Y$3)</f>
        <v>151575</v>
      </c>
      <c r="AH43" s="588">
        <f>+'4. Intervenciones UDT - HCBM'!T89</f>
        <v>150000</v>
      </c>
      <c r="AI43" s="588">
        <f>+Tabla1[[#This Row],[Año 4 Cto. Directo]]*(1+$Y$3)</f>
        <v>151575</v>
      </c>
      <c r="AJ43" s="588">
        <f>+'4. Intervenciones UDT - HCBM'!U89</f>
        <v>150000</v>
      </c>
      <c r="AK43" s="588">
        <f>+Tabla1[[#This Row],[Año 5 Cto. Directo]]*(1+$Y$3)</f>
        <v>151575</v>
      </c>
      <c r="AL43" s="403">
        <f>+'4. Intervenciones UDT - HCBM'!V89</f>
        <v>0</v>
      </c>
      <c r="AM43" s="954"/>
      <c r="AN43" s="954"/>
      <c r="AO43" s="954" t="str">
        <f>+'4. Intervenciones UDT - HCBM'!Y89</f>
        <v>X</v>
      </c>
      <c r="AP43" s="954"/>
      <c r="AQ43" s="954"/>
      <c r="AR43" s="954">
        <f>+'4. Intervenciones UDT - HCBM'!AB89</f>
        <v>3</v>
      </c>
      <c r="AS43" s="403">
        <f t="shared" si="1"/>
        <v>1</v>
      </c>
    </row>
    <row r="44" spans="1:45" s="195" customFormat="1" ht="15.8" hidden="1" customHeight="1" x14ac:dyDescent="0.3">
      <c r="A44" s="403"/>
      <c r="B44" s="403" t="str">
        <f>'4. Intervenciones UDT - HCBM'!$C$8</f>
        <v>UDT HUALLAGA CENTRAL Y BAJO MAYO</v>
      </c>
      <c r="C44" s="403" t="str">
        <f>'4. Intervenciones UDT - HCBM'!$F$76</f>
        <v>Territorios de comunidades nativas</v>
      </c>
      <c r="D44" s="404" t="str">
        <f>+'4. Intervenciones UDT - HCBM'!A90</f>
        <v>Programas de inversión pública</v>
      </c>
      <c r="E44" s="404" t="str">
        <f>+'4. Intervenciones UDT - HCBM'!C90</f>
        <v>1.4.7</v>
      </c>
      <c r="F44" s="403" t="str">
        <f>+'4. Intervenciones UDT - HCBM'!D90</f>
        <v>Infraestructura comunitaria ( Tambos, Cobertizos, almacenes, cocinas mejoradas, Baños)</v>
      </c>
      <c r="G44" s="403" t="str">
        <f>+'4. Intervenciones UDT - HCBM'!E90</f>
        <v xml:space="preserve">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v>
      </c>
      <c r="H44" s="948" t="s">
        <v>1857</v>
      </c>
      <c r="I44" s="946" t="s">
        <v>199</v>
      </c>
      <c r="J44" s="946" t="s">
        <v>2598</v>
      </c>
      <c r="K44" s="946" t="s">
        <v>2334</v>
      </c>
      <c r="L44" s="946" t="s">
        <v>201</v>
      </c>
      <c r="M44" s="418" t="s">
        <v>1883</v>
      </c>
      <c r="N44" s="948" t="s">
        <v>1884</v>
      </c>
      <c r="O44" s="948" t="s">
        <v>226</v>
      </c>
      <c r="P44" s="951" t="s">
        <v>1885</v>
      </c>
      <c r="Q44" s="948" t="str">
        <f>+'4. Intervenciones UDT - HCBM'!F90</f>
        <v>Módulos implementados</v>
      </c>
      <c r="R44" s="405">
        <f>+'4. Intervenciones UDT - HCBM'!I90</f>
        <v>6600</v>
      </c>
      <c r="S44" s="405">
        <f>+'4. Intervenciones UDT - HCBM'!J90</f>
        <v>1980</v>
      </c>
      <c r="T44" s="405">
        <f>+'4. Intervenciones UDT - HCBM'!K90</f>
        <v>2640</v>
      </c>
      <c r="U44" s="405">
        <f>+'4. Intervenciones UDT - HCBM'!L90</f>
        <v>30000</v>
      </c>
      <c r="V44" s="403" t="str">
        <f>+'4. Intervenciones UDT - HCBM'!M90</f>
        <v xml:space="preserve">Implementación según las necesidades identificadas en cada comunidad, considerando si son aplicables en dichas zonas, si no hay restricciones de cualquier índole. </v>
      </c>
      <c r="W44" s="403" t="str">
        <f>+'4. Intervenciones UDT - HCBM'!N90</f>
        <v>Goresam, MIDIS, DRTyTC, Drasam,Foncodes, Cooperación, CODEPISAM</v>
      </c>
      <c r="X44" s="588">
        <f>+'4. Intervenciones UDT - HCBM'!O90</f>
        <v>59400000</v>
      </c>
      <c r="Y44" s="588">
        <f>+Tabla1[[#This Row],[2025 Directo]]*(1+$Y$3)</f>
        <v>60023700</v>
      </c>
      <c r="Z44" s="588">
        <f>+'4. Intervenciones UDT - HCBM'!P90</f>
        <v>79200000</v>
      </c>
      <c r="AA44" s="588">
        <f>+Tabla1[[#This Row],[2030 Directo]]*(1+$Y$3)</f>
        <v>80031600</v>
      </c>
      <c r="AB44" s="588">
        <f>+'4. Intervenciones UDT - HCBM'!Q90</f>
        <v>11880000</v>
      </c>
      <c r="AC44" s="588">
        <f>+Tabla1[[#This Row],[Año 1 Cto Directo]]*(1+$Y$3)</f>
        <v>12004740</v>
      </c>
      <c r="AD44" s="588">
        <f>+'4. Intervenciones UDT - HCBM'!R90</f>
        <v>11880000</v>
      </c>
      <c r="AE44" s="588">
        <f>+Tabla1[[#This Row],[Año 2 Cto. Directo]]*(1+$Y$3)</f>
        <v>12004740</v>
      </c>
      <c r="AF44" s="588">
        <f>+'4. Intervenciones UDT - HCBM'!S90</f>
        <v>11880000</v>
      </c>
      <c r="AG44" s="588">
        <f>+Tabla1[[#This Row],[Año 3 Cto. Directo]]*(1+$Y$3)</f>
        <v>12004740</v>
      </c>
      <c r="AH44" s="588">
        <f>+'4. Intervenciones UDT - HCBM'!T90</f>
        <v>11880000</v>
      </c>
      <c r="AI44" s="588">
        <f>+Tabla1[[#This Row],[Año 4 Cto. Directo]]*(1+$Y$3)</f>
        <v>12004740</v>
      </c>
      <c r="AJ44" s="588">
        <f>+'4. Intervenciones UDT - HCBM'!U90</f>
        <v>11880000</v>
      </c>
      <c r="AK44" s="588">
        <f>+Tabla1[[#This Row],[Año 5 Cto. Directo]]*(1+$Y$3)</f>
        <v>12004740</v>
      </c>
      <c r="AL44" s="403">
        <f>+'4. Intervenciones UDT - HCBM'!V90</f>
        <v>0</v>
      </c>
      <c r="AM44" s="954"/>
      <c r="AN44" s="954"/>
      <c r="AO44" s="954" t="str">
        <f>+'4. Intervenciones UDT - HCBM'!Y90</f>
        <v>X</v>
      </c>
      <c r="AP44" s="954"/>
      <c r="AQ44" s="954"/>
      <c r="AR44" s="954">
        <f>+'4. Intervenciones UDT - HCBM'!AB90</f>
        <v>2</v>
      </c>
      <c r="AS44" s="403">
        <f t="shared" si="1"/>
        <v>1</v>
      </c>
    </row>
    <row r="45" spans="1:45" s="195" customFormat="1" ht="15.8" hidden="1" customHeight="1" x14ac:dyDescent="0.3">
      <c r="A45" s="403"/>
      <c r="B45" s="403" t="str">
        <f>'4. Intervenciones UDT - HCBM'!$C$8</f>
        <v>UDT HUALLAGA CENTRAL Y BAJO MAYO</v>
      </c>
      <c r="C45" s="403" t="str">
        <f>'4. Intervenciones UDT - HCBM'!$F$76</f>
        <v>Territorios de comunidades nativas</v>
      </c>
      <c r="D45" s="404" t="str">
        <f>+'4. Intervenciones UDT - HCBM'!A91</f>
        <v>Programas de inversión pública</v>
      </c>
      <c r="E45" s="404" t="str">
        <f>+'4. Intervenciones UDT - HCBM'!C91</f>
        <v>1.4.8</v>
      </c>
      <c r="F45" s="403" t="str">
        <f>+'4. Intervenciones UDT - HCBM'!D91</f>
        <v>Servicios básicos de calidad</v>
      </c>
      <c r="G45" s="403" t="str">
        <f>+'4. Intervenciones UDT - HCBM'!E91</f>
        <v xml:space="preserve">Implementación de proyectos enfocados a mejorar los servicios básicos de las comunidades nativas, dichos servicios deberán contar con profesionales bilingües, para asegurar y garantizar la adecuada transferencia de dichos servicios.  </v>
      </c>
      <c r="H45" s="948" t="s">
        <v>1857</v>
      </c>
      <c r="I45" s="946" t="s">
        <v>199</v>
      </c>
      <c r="J45" s="946" t="s">
        <v>2598</v>
      </c>
      <c r="K45" s="946" t="s">
        <v>2334</v>
      </c>
      <c r="L45" s="946" t="s">
        <v>201</v>
      </c>
      <c r="M45" s="418" t="s">
        <v>1883</v>
      </c>
      <c r="N45" s="948" t="s">
        <v>1884</v>
      </c>
      <c r="O45" s="948" t="s">
        <v>226</v>
      </c>
      <c r="P45" s="951" t="s">
        <v>1885</v>
      </c>
      <c r="Q45" s="948" t="str">
        <f>+'4. Intervenciones UDT - HCBM'!F91</f>
        <v>Escuelas y postas médicas implementadas</v>
      </c>
      <c r="R45" s="405">
        <f>+'4. Intervenciones UDT - HCBM'!I91</f>
        <v>66</v>
      </c>
      <c r="S45" s="405">
        <f>+'4. Intervenciones UDT - HCBM'!J91</f>
        <v>36</v>
      </c>
      <c r="T45" s="405">
        <f>+'4. Intervenciones UDT - HCBM'!K91</f>
        <v>30</v>
      </c>
      <c r="U45" s="405">
        <f>+'4. Intervenciones UDT - HCBM'!L91</f>
        <v>150000</v>
      </c>
      <c r="V45" s="403" t="str">
        <f>+'4. Intervenciones UDT - HCBM'!M91</f>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v>
      </c>
      <c r="W45" s="403" t="str">
        <f>+'4. Intervenciones UDT - HCBM'!N91</f>
        <v>DRE, UGEL, CODEPISAM</v>
      </c>
      <c r="X45" s="588">
        <f>+'4. Intervenciones UDT - HCBM'!O91</f>
        <v>27000000</v>
      </c>
      <c r="Y45" s="588">
        <f>+Tabla1[[#This Row],[2025 Directo]]*(1+$Y$3)</f>
        <v>27283500</v>
      </c>
      <c r="Z45" s="588">
        <f>+'4. Intervenciones UDT - HCBM'!P91</f>
        <v>22500000</v>
      </c>
      <c r="AA45" s="588">
        <f>+Tabla1[[#This Row],[2030 Directo]]*(1+$Y$3)</f>
        <v>22736250</v>
      </c>
      <c r="AB45" s="588">
        <f>+'4. Intervenciones UDT - HCBM'!Q91</f>
        <v>5400000</v>
      </c>
      <c r="AC45" s="588">
        <f>+Tabla1[[#This Row],[Año 1 Cto Directo]]*(1+$Y$3)</f>
        <v>5456700</v>
      </c>
      <c r="AD45" s="588">
        <f>+'4. Intervenciones UDT - HCBM'!R91</f>
        <v>5400000</v>
      </c>
      <c r="AE45" s="588">
        <f>+Tabla1[[#This Row],[Año 2 Cto. Directo]]*(1+$Y$3)</f>
        <v>5456700</v>
      </c>
      <c r="AF45" s="588">
        <f>+'4. Intervenciones UDT - HCBM'!S91</f>
        <v>5400000</v>
      </c>
      <c r="AG45" s="588">
        <f>+Tabla1[[#This Row],[Año 3 Cto. Directo]]*(1+$Y$3)</f>
        <v>5456700</v>
      </c>
      <c r="AH45" s="588">
        <f>+'4. Intervenciones UDT - HCBM'!T91</f>
        <v>5400000</v>
      </c>
      <c r="AI45" s="588">
        <f>+Tabla1[[#This Row],[Año 4 Cto. Directo]]*(1+$Y$3)</f>
        <v>5456700</v>
      </c>
      <c r="AJ45" s="588">
        <f>+'4. Intervenciones UDT - HCBM'!U91</f>
        <v>5400000</v>
      </c>
      <c r="AK45" s="588">
        <f>+Tabla1[[#This Row],[Año 5 Cto. Directo]]*(1+$Y$3)</f>
        <v>5456700</v>
      </c>
      <c r="AL45" s="403">
        <f>+'4. Intervenciones UDT - HCBM'!V91</f>
        <v>0</v>
      </c>
      <c r="AM45" s="954" t="str">
        <f>+'4. Intervenciones UDT - HCBM'!W91</f>
        <v>X</v>
      </c>
      <c r="AN45" s="954"/>
      <c r="AO45" s="954"/>
      <c r="AP45" s="954"/>
      <c r="AQ45" s="954" t="str">
        <f>+'4. Intervenciones UDT - HCBM'!AA91</f>
        <v>RE</v>
      </c>
      <c r="AR45" s="954">
        <f>+'4. Intervenciones UDT - HCBM'!AB91</f>
        <v>3</v>
      </c>
      <c r="AS45" s="403">
        <f t="shared" si="1"/>
        <v>1</v>
      </c>
    </row>
    <row r="46" spans="1:45" s="195" customFormat="1" ht="15.8" hidden="1" customHeight="1" x14ac:dyDescent="0.3">
      <c r="A46" s="403"/>
      <c r="B46" s="403" t="str">
        <f>'4. Intervenciones UDT - HCBM'!$C$8</f>
        <v>UDT HUALLAGA CENTRAL Y BAJO MAYO</v>
      </c>
      <c r="C46" s="403" t="str">
        <f>'4. Intervenciones UDT - HCBM'!$F$95</f>
        <v xml:space="preserve">Concesiones para conservación y ecoturismo </v>
      </c>
      <c r="D46" s="404" t="str">
        <f>+'4. Intervenciones UDT - HCBM'!A103</f>
        <v>Programas de inversión privada</v>
      </c>
      <c r="E46" s="404" t="str">
        <f>+'4. Intervenciones UDT - HCBM'!C103</f>
        <v>1.5.1</v>
      </c>
      <c r="F46" s="403" t="str">
        <f>+'4. Intervenciones UDT - HCBM'!D103</f>
        <v>Incentivos financieros para promoción del ecoturismo y turismo comunitario</v>
      </c>
      <c r="G46" s="403" t="str">
        <f>+'4. Intervenciones UDT - HCBM'!E103</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H46" s="948" t="s">
        <v>1867</v>
      </c>
      <c r="I46" s="946" t="s">
        <v>203</v>
      </c>
      <c r="J46" s="946" t="s">
        <v>2597</v>
      </c>
      <c r="K46" s="946" t="s">
        <v>2336</v>
      </c>
      <c r="L46" s="946" t="s">
        <v>195</v>
      </c>
      <c r="M46" s="418" t="s">
        <v>1871</v>
      </c>
      <c r="N46" s="948" t="s">
        <v>1879</v>
      </c>
      <c r="O46" s="948" t="s">
        <v>218</v>
      </c>
      <c r="P46" s="951" t="s">
        <v>1872</v>
      </c>
      <c r="Q46" s="948" t="str">
        <f>+'4. Intervenciones UDT - HCBM'!F103</f>
        <v>Planes de negocio</v>
      </c>
      <c r="R46" s="405">
        <f>+'4. Intervenciones UDT - HCBM'!I103</f>
        <v>14</v>
      </c>
      <c r="S46" s="405">
        <f>+'4. Intervenciones UDT - HCBM'!J103</f>
        <v>8.4</v>
      </c>
      <c r="T46" s="405">
        <f>+'4. Intervenciones UDT - HCBM'!K103</f>
        <v>5.6000000000000005</v>
      </c>
      <c r="U46" s="405">
        <f>+'4. Intervenciones UDT - HCBM'!L103</f>
        <v>150000</v>
      </c>
      <c r="V46" s="403" t="str">
        <f>+'4. Intervenciones UDT - HCBM'!M103</f>
        <v xml:space="preserve">El costo presupuestado será considerado para los estudios preliminares requeridos para el plan de negocio, pago de especialista de ser el caso, implementación de infraestructura básica según la priorización de los operadores turísticos interesados. </v>
      </c>
      <c r="W46" s="403" t="str">
        <f>+'4. Intervenciones UDT - HCBM'!N103</f>
        <v>Dircetur</v>
      </c>
      <c r="X46" s="588">
        <f>+'4. Intervenciones UDT - HCBM'!O103</f>
        <v>1260000</v>
      </c>
      <c r="Y46" s="588">
        <f>+Tabla1[[#This Row],[2025 Directo]]*(1+$Y$3)</f>
        <v>1273230</v>
      </c>
      <c r="Z46" s="588">
        <f>+'4. Intervenciones UDT - HCBM'!P103</f>
        <v>840000.00000000012</v>
      </c>
      <c r="AA46" s="588">
        <f>+Tabla1[[#This Row],[2030 Directo]]*(1+$Y$3)</f>
        <v>848820.00000000012</v>
      </c>
      <c r="AB46" s="588">
        <f>+'4. Intervenciones UDT - HCBM'!Q103</f>
        <v>252000</v>
      </c>
      <c r="AC46" s="588">
        <f>+Tabla1[[#This Row],[Año 1 Cto Directo]]*(1+$Y$3)</f>
        <v>254646</v>
      </c>
      <c r="AD46" s="588">
        <f>+'4. Intervenciones UDT - HCBM'!R103</f>
        <v>252000</v>
      </c>
      <c r="AE46" s="588">
        <f>+Tabla1[[#This Row],[Año 2 Cto. Directo]]*(1+$Y$3)</f>
        <v>254646</v>
      </c>
      <c r="AF46" s="588">
        <f>+'4. Intervenciones UDT - HCBM'!S103</f>
        <v>252000</v>
      </c>
      <c r="AG46" s="588">
        <f>+Tabla1[[#This Row],[Año 3 Cto. Directo]]*(1+$Y$3)</f>
        <v>254646</v>
      </c>
      <c r="AH46" s="588">
        <f>+'4. Intervenciones UDT - HCBM'!T103</f>
        <v>252000</v>
      </c>
      <c r="AI46" s="588">
        <f>+Tabla1[[#This Row],[Año 4 Cto. Directo]]*(1+$Y$3)</f>
        <v>254646</v>
      </c>
      <c r="AJ46" s="588">
        <f>+'4. Intervenciones UDT - HCBM'!U103</f>
        <v>252000</v>
      </c>
      <c r="AK46" s="588">
        <f>+Tabla1[[#This Row],[Año 5 Cto. Directo]]*(1+$Y$3)</f>
        <v>254646</v>
      </c>
      <c r="AL46" s="403">
        <f>+'4. Intervenciones UDT - HCBM'!V103</f>
        <v>0</v>
      </c>
      <c r="AM46" s="954" t="str">
        <f>+'4. Intervenciones UDT - HCBM'!W103</f>
        <v>X</v>
      </c>
      <c r="AN46" s="954"/>
      <c r="AO46" s="954"/>
      <c r="AP46" s="954"/>
      <c r="AQ46" s="954" t="str">
        <f>+'4. Intervenciones UDT - HCBM'!AA103</f>
        <v>RE</v>
      </c>
      <c r="AR46" s="954">
        <f>+'4. Intervenciones UDT - HCBM'!AB103</f>
        <v>2</v>
      </c>
      <c r="AS46" s="403">
        <f t="shared" si="1"/>
        <v>1</v>
      </c>
    </row>
    <row r="47" spans="1:45" s="195" customFormat="1" ht="15.8" hidden="1" customHeight="1" x14ac:dyDescent="0.3">
      <c r="A47" s="403"/>
      <c r="B47" s="403" t="str">
        <f>'4. Intervenciones UDT - HCBM'!$C$8</f>
        <v>UDT HUALLAGA CENTRAL Y BAJO MAYO</v>
      </c>
      <c r="C47" s="403" t="str">
        <f>'4. Intervenciones UDT - HCBM'!$F$95</f>
        <v xml:space="preserve">Concesiones para conservación y ecoturismo </v>
      </c>
      <c r="D47" s="404" t="str">
        <f>+'4. Intervenciones UDT - HCBM'!A104</f>
        <v>Programas de inversión pública</v>
      </c>
      <c r="E47" s="404" t="str">
        <f>+'4. Intervenciones UDT - HCBM'!C104</f>
        <v>1.5.2</v>
      </c>
      <c r="F47" s="403" t="str">
        <f>+'4. Intervenciones UDT - HCBM'!D104</f>
        <v>Asistencia técnica para la gestión del turismo y acciones integradas para el desarrollo de las organizaciones  o emprendimientos comunitarios</v>
      </c>
      <c r="G47" s="403" t="str">
        <f>+'4. Intervenciones UDT - HCBM'!E104</f>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
2. Asistencia técnica, orientada al a) Fortalecimiento de la gestión del turismo, b) Consolidación de los productos de turismo y c) Fortalecimiento de la política institucional y la gobernanza del turismo.</v>
      </c>
      <c r="H47" s="948" t="s">
        <v>1857</v>
      </c>
      <c r="I47" s="946" t="s">
        <v>203</v>
      </c>
      <c r="J47" s="946" t="s">
        <v>2595</v>
      </c>
      <c r="K47" s="946" t="s">
        <v>2333</v>
      </c>
      <c r="L47" s="946" t="s">
        <v>204</v>
      </c>
      <c r="M47" s="418" t="s">
        <v>1878</v>
      </c>
      <c r="N47" s="948" t="s">
        <v>1879</v>
      </c>
      <c r="O47" s="948" t="s">
        <v>224</v>
      </c>
      <c r="P47" s="951" t="s">
        <v>1863</v>
      </c>
      <c r="Q47" s="948" t="str">
        <f>+'4. Intervenciones UDT - HCBM'!F104</f>
        <v>Especialistas</v>
      </c>
      <c r="R47" s="405">
        <f>+'4. Intervenciones UDT - HCBM'!I104</f>
        <v>0</v>
      </c>
      <c r="S47" s="405">
        <f>+'4. Intervenciones UDT - HCBM'!J104</f>
        <v>3</v>
      </c>
      <c r="T47" s="405">
        <f>+'4. Intervenciones UDT - HCBM'!K104</f>
        <v>3</v>
      </c>
      <c r="U47" s="405">
        <f>+'4. Intervenciones UDT - HCBM'!L104</f>
        <v>4000</v>
      </c>
      <c r="V47" s="403" t="str">
        <f>+'4. Intervenciones UDT - HCBM'!M104</f>
        <v>Contratación de especialista y gastos logísticos, pasantías regionales y nacionales para adquisición de know how en materia de turismo rural</v>
      </c>
      <c r="W47" s="403" t="str">
        <f>+'4. Intervenciones UDT - HCBM'!N104</f>
        <v>Dircetur</v>
      </c>
      <c r="X47" s="588">
        <f>+'4. Intervenciones UDT - HCBM'!O104</f>
        <v>720000</v>
      </c>
      <c r="Y47" s="588">
        <f>+Tabla1[[#This Row],[2025 Directo]]*(1+$Y$3)</f>
        <v>727560</v>
      </c>
      <c r="Z47" s="588">
        <f>+'4. Intervenciones UDT - HCBM'!P104</f>
        <v>720000</v>
      </c>
      <c r="AA47" s="588">
        <f>+Tabla1[[#This Row],[2030 Directo]]*(1+$Y$3)</f>
        <v>727560</v>
      </c>
      <c r="AB47" s="588">
        <f>+'4. Intervenciones UDT - HCBM'!Q104</f>
        <v>144000</v>
      </c>
      <c r="AC47" s="588">
        <f>+Tabla1[[#This Row],[Año 1 Cto Directo]]*(1+$Y$3)</f>
        <v>145512</v>
      </c>
      <c r="AD47" s="588">
        <f>+'4. Intervenciones UDT - HCBM'!R104</f>
        <v>144000</v>
      </c>
      <c r="AE47" s="588">
        <f>+Tabla1[[#This Row],[Año 2 Cto. Directo]]*(1+$Y$3)</f>
        <v>145512</v>
      </c>
      <c r="AF47" s="588">
        <f>+'4. Intervenciones UDT - HCBM'!S104</f>
        <v>144000</v>
      </c>
      <c r="AG47" s="588">
        <f>+Tabla1[[#This Row],[Año 3 Cto. Directo]]*(1+$Y$3)</f>
        <v>145512</v>
      </c>
      <c r="AH47" s="588">
        <f>+'4. Intervenciones UDT - HCBM'!T104</f>
        <v>144000</v>
      </c>
      <c r="AI47" s="588">
        <f>+Tabla1[[#This Row],[Año 4 Cto. Directo]]*(1+$Y$3)</f>
        <v>145512</v>
      </c>
      <c r="AJ47" s="588">
        <f>+'4. Intervenciones UDT - HCBM'!U104</f>
        <v>144000</v>
      </c>
      <c r="AK47" s="588">
        <f>+Tabla1[[#This Row],[Año 5 Cto. Directo]]*(1+$Y$3)</f>
        <v>145512</v>
      </c>
      <c r="AL47" s="403">
        <f>+'4. Intervenciones UDT - HCBM'!V104</f>
        <v>0</v>
      </c>
      <c r="AM47" s="954"/>
      <c r="AN47" s="954"/>
      <c r="AO47" s="954" t="str">
        <f>+'4. Intervenciones UDT - HCBM'!Y104</f>
        <v>X</v>
      </c>
      <c r="AP47" s="954"/>
      <c r="AQ47" s="954" t="str">
        <f>+'4. Intervenciones UDT - HCBM'!AA104</f>
        <v>RE</v>
      </c>
      <c r="AR47" s="954">
        <f>+'4. Intervenciones UDT - HCBM'!AB104</f>
        <v>3</v>
      </c>
      <c r="AS47" s="403">
        <f t="shared" si="1"/>
        <v>1</v>
      </c>
    </row>
    <row r="48" spans="1:45" s="195" customFormat="1" ht="15.8" hidden="1" customHeight="1" x14ac:dyDescent="0.3">
      <c r="A48" s="403"/>
      <c r="B48" s="403" t="str">
        <f>'4. Intervenciones UDT - HCBM'!$C$8</f>
        <v>UDT HUALLAGA CENTRAL Y BAJO MAYO</v>
      </c>
      <c r="C48" s="403" t="str">
        <f>'4. Intervenciones UDT - HCBM'!$F$95</f>
        <v xml:space="preserve">Concesiones para conservación y ecoturismo </v>
      </c>
      <c r="D48" s="404" t="str">
        <f>+'4. Intervenciones UDT - HCBM'!A105</f>
        <v>Programas de inversión privada</v>
      </c>
      <c r="E48" s="404" t="str">
        <f>+'4. Intervenciones UDT - HCBM'!C105</f>
        <v>1.5.3</v>
      </c>
      <c r="F48" s="403" t="str">
        <f>+'4. Intervenciones UDT - HCBM'!D105</f>
        <v xml:space="preserve">Promoción de Bionegocios con productos forestales no maderables </v>
      </c>
      <c r="G48" s="403" t="str">
        <f>+'4. Intervenciones UDT - HCBM'!E105</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H48" s="948" t="s">
        <v>1857</v>
      </c>
      <c r="I48" s="946" t="s">
        <v>203</v>
      </c>
      <c r="J48" s="946" t="s">
        <v>2596</v>
      </c>
      <c r="K48" s="946" t="s">
        <v>2335</v>
      </c>
      <c r="L48" s="946" t="s">
        <v>205</v>
      </c>
      <c r="M48" s="418" t="s">
        <v>1881</v>
      </c>
      <c r="N48" s="948" t="s">
        <v>1879</v>
      </c>
      <c r="O48" s="948" t="s">
        <v>231</v>
      </c>
      <c r="P48" s="951" t="s">
        <v>1882</v>
      </c>
      <c r="Q48" s="948" t="str">
        <f>+'4. Intervenciones UDT - HCBM'!F105</f>
        <v>Planes de negocio</v>
      </c>
      <c r="R48" s="405">
        <f>+'4. Intervenciones UDT - HCBM'!I105</f>
        <v>0</v>
      </c>
      <c r="S48" s="405">
        <f>+'4. Intervenciones UDT - HCBM'!J105</f>
        <v>7</v>
      </c>
      <c r="T48" s="405">
        <f>+'4. Intervenciones UDT - HCBM'!K105</f>
        <v>7</v>
      </c>
      <c r="U48" s="405">
        <f>+'4. Intervenciones UDT - HCBM'!L105</f>
        <v>150000</v>
      </c>
      <c r="V48" s="403" t="str">
        <f>+'4. Intervenciones UDT - HCBM'!M105</f>
        <v>El costo hace referencia al proceso de implementación y funcionamiento de los productos para el desarrollo de  los emprendimientos.</v>
      </c>
      <c r="W48" s="403" t="str">
        <f>+'4. Intervenciones UDT - HCBM'!N105</f>
        <v>Dircetur, Agroideas</v>
      </c>
      <c r="X48" s="588">
        <f>+'4. Intervenciones UDT - HCBM'!O105</f>
        <v>1050000</v>
      </c>
      <c r="Y48" s="588">
        <f>+Tabla1[[#This Row],[2025 Directo]]*(1+$Y$3)</f>
        <v>1061025</v>
      </c>
      <c r="Z48" s="588">
        <f>+'4. Intervenciones UDT - HCBM'!P105</f>
        <v>1050000</v>
      </c>
      <c r="AA48" s="588">
        <f>+Tabla1[[#This Row],[2030 Directo]]*(1+$Y$3)</f>
        <v>1061025</v>
      </c>
      <c r="AB48" s="588">
        <f>+'4. Intervenciones UDT - HCBM'!Q105</f>
        <v>210000</v>
      </c>
      <c r="AC48" s="588">
        <f>+Tabla1[[#This Row],[Año 1 Cto Directo]]*(1+$Y$3)</f>
        <v>212205</v>
      </c>
      <c r="AD48" s="588">
        <f>+'4. Intervenciones UDT - HCBM'!R105</f>
        <v>210000</v>
      </c>
      <c r="AE48" s="588">
        <f>+Tabla1[[#This Row],[Año 2 Cto. Directo]]*(1+$Y$3)</f>
        <v>212205</v>
      </c>
      <c r="AF48" s="588">
        <f>+'4. Intervenciones UDT - HCBM'!S105</f>
        <v>210000</v>
      </c>
      <c r="AG48" s="588">
        <f>+Tabla1[[#This Row],[Año 3 Cto. Directo]]*(1+$Y$3)</f>
        <v>212205</v>
      </c>
      <c r="AH48" s="588">
        <f>+'4. Intervenciones UDT - HCBM'!T105</f>
        <v>210000</v>
      </c>
      <c r="AI48" s="588">
        <f>+Tabla1[[#This Row],[Año 4 Cto. Directo]]*(1+$Y$3)</f>
        <v>212205</v>
      </c>
      <c r="AJ48" s="588">
        <f>+'4. Intervenciones UDT - HCBM'!U105</f>
        <v>210000</v>
      </c>
      <c r="AK48" s="588">
        <f>+Tabla1[[#This Row],[Año 5 Cto. Directo]]*(1+$Y$3)</f>
        <v>212205</v>
      </c>
      <c r="AL48" s="403">
        <f>+'4. Intervenciones UDT - HCBM'!V105</f>
        <v>0</v>
      </c>
      <c r="AM48" s="954" t="str">
        <f>+'4. Intervenciones UDT - HCBM'!W105</f>
        <v>X</v>
      </c>
      <c r="AN48" s="954"/>
      <c r="AO48" s="954"/>
      <c r="AP48" s="954"/>
      <c r="AQ48" s="954" t="str">
        <f>+'4. Intervenciones UDT - HCBM'!AA105</f>
        <v>RE</v>
      </c>
      <c r="AR48" s="954">
        <f>+'4. Intervenciones UDT - HCBM'!AB105</f>
        <v>3</v>
      </c>
      <c r="AS48" s="403">
        <f t="shared" si="1"/>
        <v>1</v>
      </c>
    </row>
    <row r="49" spans="1:47" s="195" customFormat="1" ht="15.8" hidden="1" customHeight="1" x14ac:dyDescent="0.3">
      <c r="A49" s="403"/>
      <c r="B49" s="403" t="str">
        <f>'4. Intervenciones UDT - HCBM'!$C$8</f>
        <v>UDT HUALLAGA CENTRAL Y BAJO MAYO</v>
      </c>
      <c r="C49" s="403" t="str">
        <f>'4. Intervenciones UDT - HCBM'!$F$95</f>
        <v xml:space="preserve">Concesiones para conservación y ecoturismo </v>
      </c>
      <c r="D49" s="404" t="str">
        <f>+'4. Intervenciones UDT - HCBM'!A106</f>
        <v>Programas de inversión privada</v>
      </c>
      <c r="E49" s="404" t="str">
        <f>+'4. Intervenciones UDT - HCBM'!C106</f>
        <v>1.5.4</v>
      </c>
      <c r="F49" s="403" t="str">
        <f>+'4. Intervenciones UDT - HCBM'!D106</f>
        <v xml:space="preserve"> Promoción de mercados turísticos</v>
      </c>
      <c r="G49" s="403" t="str">
        <f>+'4. Intervenciones UDT - HCBM'!E106</f>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v>
      </c>
      <c r="H49" s="948" t="s">
        <v>1857</v>
      </c>
      <c r="I49" s="946" t="s">
        <v>203</v>
      </c>
      <c r="J49" s="946" t="s">
        <v>2596</v>
      </c>
      <c r="K49" s="946" t="s">
        <v>2335</v>
      </c>
      <c r="L49" s="946" t="s">
        <v>205</v>
      </c>
      <c r="M49" s="418" t="s">
        <v>1881</v>
      </c>
      <c r="N49" s="948" t="s">
        <v>1879</v>
      </c>
      <c r="O49" s="948" t="s">
        <v>232</v>
      </c>
      <c r="P49" s="951" t="s">
        <v>1886</v>
      </c>
      <c r="Q49" s="948" t="str">
        <f>+'4. Intervenciones UDT - HCBM'!F106</f>
        <v>Rutas turísticas promocionados</v>
      </c>
      <c r="R49" s="405">
        <f>+'4. Intervenciones UDT - HCBM'!I106</f>
        <v>0</v>
      </c>
      <c r="S49" s="405">
        <f>+'4. Intervenciones UDT - HCBM'!J106</f>
        <v>7</v>
      </c>
      <c r="T49" s="405">
        <f>+'4. Intervenciones UDT - HCBM'!K106</f>
        <v>7</v>
      </c>
      <c r="U49" s="405">
        <f>+'4. Intervenciones UDT - HCBM'!L106</f>
        <v>40000</v>
      </c>
      <c r="V49" s="403" t="str">
        <f>+'4. Intervenciones UDT - HCBM'!M106</f>
        <v xml:space="preserve">Participación en eventos de promoción (ferias regionales y nacionales, Fam Trip), el costo cubrirá gastos logísticos y administrativos de los operadores turísticos identificados </v>
      </c>
      <c r="W49" s="403" t="str">
        <f>+'4. Intervenciones UDT - HCBM'!N106</f>
        <v>Mincetur, Dircetur</v>
      </c>
      <c r="X49" s="588">
        <f>+'4. Intervenciones UDT - HCBM'!O106</f>
        <v>1400000</v>
      </c>
      <c r="Y49" s="588">
        <f>+Tabla1[[#This Row],[2025 Directo]]*(1+$Y$3)</f>
        <v>1414700</v>
      </c>
      <c r="Z49" s="588">
        <f>+'4. Intervenciones UDT - HCBM'!P106</f>
        <v>1400000</v>
      </c>
      <c r="AA49" s="588">
        <f>+Tabla1[[#This Row],[2030 Directo]]*(1+$Y$3)</f>
        <v>1414700</v>
      </c>
      <c r="AB49" s="588">
        <f>+'4. Intervenciones UDT - HCBM'!Q106</f>
        <v>280000</v>
      </c>
      <c r="AC49" s="588">
        <f>+Tabla1[[#This Row],[Año 1 Cto Directo]]*(1+$Y$3)</f>
        <v>282940</v>
      </c>
      <c r="AD49" s="588">
        <f>+'4. Intervenciones UDT - HCBM'!R106</f>
        <v>280000</v>
      </c>
      <c r="AE49" s="588">
        <f>+Tabla1[[#This Row],[Año 2 Cto. Directo]]*(1+$Y$3)</f>
        <v>282940</v>
      </c>
      <c r="AF49" s="588">
        <f>+'4. Intervenciones UDT - HCBM'!S106</f>
        <v>280000</v>
      </c>
      <c r="AG49" s="588">
        <f>+Tabla1[[#This Row],[Año 3 Cto. Directo]]*(1+$Y$3)</f>
        <v>282940</v>
      </c>
      <c r="AH49" s="588">
        <f>+'4. Intervenciones UDT - HCBM'!T106</f>
        <v>280000</v>
      </c>
      <c r="AI49" s="588">
        <f>+Tabla1[[#This Row],[Año 4 Cto. Directo]]*(1+$Y$3)</f>
        <v>282940</v>
      </c>
      <c r="AJ49" s="588">
        <f>+'4. Intervenciones UDT - HCBM'!U106</f>
        <v>280000</v>
      </c>
      <c r="AK49" s="588">
        <f>+Tabla1[[#This Row],[Año 5 Cto. Directo]]*(1+$Y$3)</f>
        <v>282940</v>
      </c>
      <c r="AL49" s="403">
        <f>+'4. Intervenciones UDT - HCBM'!V106</f>
        <v>0</v>
      </c>
      <c r="AM49" s="954"/>
      <c r="AN49" s="954"/>
      <c r="AO49" s="954" t="str">
        <f>+'4. Intervenciones UDT - HCBM'!Y106</f>
        <v>X</v>
      </c>
      <c r="AP49" s="954"/>
      <c r="AQ49" s="954" t="str">
        <f>+'4. Intervenciones UDT - HCBM'!AA106</f>
        <v>RE</v>
      </c>
      <c r="AR49" s="954">
        <f>+'4. Intervenciones UDT - HCBM'!AB106</f>
        <v>3</v>
      </c>
      <c r="AS49" s="403">
        <f t="shared" si="1"/>
        <v>1</v>
      </c>
    </row>
    <row r="50" spans="1:47" s="195" customFormat="1" ht="15.8" hidden="1" customHeight="1" x14ac:dyDescent="0.3">
      <c r="A50" s="403"/>
      <c r="B50" s="403" t="str">
        <f>'4. Intervenciones UDT - HCBM'!$C$8</f>
        <v>UDT HUALLAGA CENTRAL Y BAJO MAYO</v>
      </c>
      <c r="C50" s="403" t="str">
        <f>'4. Intervenciones UDT - HCBM'!$F$110</f>
        <v xml:space="preserve">Concesiones Forestales Maderables </v>
      </c>
      <c r="D50" s="404" t="str">
        <f>+'4. Intervenciones UDT - HCBM'!A118</f>
        <v>Invasiones</v>
      </c>
      <c r="E50" s="404" t="str">
        <f>+'4. Intervenciones UDT - HCBM'!C118</f>
        <v>1.6.1</v>
      </c>
      <c r="F50" s="403" t="str">
        <f>+'4. Intervenciones UDT - HCBM'!D118</f>
        <v>Exclusión y compensación de concesiones forestales maderables a solicitud del concesionario</v>
      </c>
      <c r="G50" s="403" t="str">
        <f>+'4. Intervenciones UDT - HCBM'!E118</f>
        <v>Realizar un sinceramiento de las concesiones forestales activas e inactivas para excluir o realizar nuevos otorgamientos a empresas que puedan cumplir técnica y económicamente con lo predispuesto en la directiva.</v>
      </c>
      <c r="H50" s="948" t="s">
        <v>1857</v>
      </c>
      <c r="I50" s="946" t="s">
        <v>199</v>
      </c>
      <c r="J50" s="946" t="s">
        <v>2591</v>
      </c>
      <c r="K50" s="946" t="s">
        <v>2331</v>
      </c>
      <c r="L50" s="946" t="s">
        <v>202</v>
      </c>
      <c r="M50" s="418" t="s">
        <v>1858</v>
      </c>
      <c r="N50" s="948" t="s">
        <v>1859</v>
      </c>
      <c r="O50" s="948" t="s">
        <v>223</v>
      </c>
      <c r="P50" s="951" t="s">
        <v>1860</v>
      </c>
      <c r="Q50" s="948" t="str">
        <f>+'4. Intervenciones UDT - HCBM'!F118</f>
        <v xml:space="preserve">N° de concesiones </v>
      </c>
      <c r="R50" s="405">
        <f>+'4. Intervenciones UDT - HCBM'!I118</f>
        <v>0</v>
      </c>
      <c r="S50" s="405">
        <f>+'4. Intervenciones UDT - HCBM'!J118</f>
        <v>9</v>
      </c>
      <c r="T50" s="405">
        <f>+'4. Intervenciones UDT - HCBM'!K118</f>
        <v>10</v>
      </c>
      <c r="U50" s="405">
        <f>+'4. Intervenciones UDT - HCBM'!L118</f>
        <v>30000</v>
      </c>
      <c r="V50" s="403" t="str">
        <f>+'4. Intervenciones UDT - HCBM'!M118</f>
        <v>Gastos operativos y logísticos para la elaboración de expedientes técnicos sustentatorios para los procesos legales y administrativos que conllevan dicho procedimiento.</v>
      </c>
      <c r="W50" s="403" t="str">
        <f>+'4. Intervenciones UDT - HCBM'!N118</f>
        <v>ARA, SERFOR, MINAM</v>
      </c>
      <c r="X50" s="588">
        <f>+'4. Intervenciones UDT - HCBM'!O118</f>
        <v>270000</v>
      </c>
      <c r="Y50" s="588">
        <f>+Tabla1[[#This Row],[2025 Directo]]*(1+$Y$3)</f>
        <v>272835</v>
      </c>
      <c r="Z50" s="588">
        <f>+'4. Intervenciones UDT - HCBM'!P118</f>
        <v>300000</v>
      </c>
      <c r="AA50" s="588">
        <f>+Tabla1[[#This Row],[2030 Directo]]*(1+$Y$3)</f>
        <v>303150</v>
      </c>
      <c r="AB50" s="588">
        <f>+'4. Intervenciones UDT - HCBM'!Q118</f>
        <v>54000</v>
      </c>
      <c r="AC50" s="588">
        <f>+Tabla1[[#This Row],[Año 1 Cto Directo]]*(1+$Y$3)</f>
        <v>54567</v>
      </c>
      <c r="AD50" s="588">
        <f>+'4. Intervenciones UDT - HCBM'!R118</f>
        <v>108000</v>
      </c>
      <c r="AE50" s="588">
        <f>+Tabla1[[#This Row],[Año 2 Cto. Directo]]*(1+$Y$3)</f>
        <v>109134</v>
      </c>
      <c r="AF50" s="588">
        <f>+'4. Intervenciones UDT - HCBM'!S118</f>
        <v>108000</v>
      </c>
      <c r="AG50" s="588">
        <f>+Tabla1[[#This Row],[Año 3 Cto. Directo]]*(1+$Y$3)</f>
        <v>109134</v>
      </c>
      <c r="AH50" s="588">
        <f>+'4. Intervenciones UDT - HCBM'!T118</f>
        <v>0</v>
      </c>
      <c r="AI50" s="588">
        <f>+Tabla1[[#This Row],[Año 4 Cto. Directo]]*(1+$Y$3)</f>
        <v>0</v>
      </c>
      <c r="AJ50" s="588">
        <f>+'4. Intervenciones UDT - HCBM'!U118</f>
        <v>0</v>
      </c>
      <c r="AK50" s="588">
        <f>+Tabla1[[#This Row],[Año 5 Cto. Directo]]*(1+$Y$3)</f>
        <v>0</v>
      </c>
      <c r="AL50" s="403">
        <f>+'4. Intervenciones UDT - HCBM'!V118</f>
        <v>0</v>
      </c>
      <c r="AM50" s="954"/>
      <c r="AN50" s="954"/>
      <c r="AO50" s="954" t="str">
        <f>+'4. Intervenciones UDT - HCBM'!Y118</f>
        <v>X</v>
      </c>
      <c r="AP50" s="954"/>
      <c r="AQ50" s="954"/>
      <c r="AR50" s="954">
        <f>+'4. Intervenciones UDT - HCBM'!AB118</f>
        <v>3</v>
      </c>
      <c r="AS50" s="403">
        <f t="shared" si="1"/>
        <v>1</v>
      </c>
    </row>
    <row r="51" spans="1:47" s="195" customFormat="1" ht="15.8" hidden="1" customHeight="1" x14ac:dyDescent="0.3">
      <c r="A51" s="403"/>
      <c r="B51" s="403" t="str">
        <f>'4. Intervenciones UDT - HCBM'!$C$8</f>
        <v>UDT HUALLAGA CENTRAL Y BAJO MAYO</v>
      </c>
      <c r="C51" s="403" t="str">
        <f>'4. Intervenciones UDT - HCBM'!$F$110</f>
        <v xml:space="preserve">Concesiones Forestales Maderables </v>
      </c>
      <c r="D51" s="404" t="str">
        <f>+'4. Intervenciones UDT - HCBM'!A119</f>
        <v>Programas de inversión privada</v>
      </c>
      <c r="E51" s="404" t="str">
        <f>+'4. Intervenciones UDT - HCBM'!C119</f>
        <v>1.6.2</v>
      </c>
      <c r="F51" s="403" t="str">
        <f>+'4. Intervenciones UDT - HCBM'!D119</f>
        <v>Incentivos financieros para manejo forestal sostenible</v>
      </c>
      <c r="G51" s="403" t="str">
        <f>+'4. Intervenciones UDT - HCBM'!E119</f>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v>
      </c>
      <c r="H51" s="948" t="s">
        <v>1867</v>
      </c>
      <c r="I51" s="946" t="s">
        <v>203</v>
      </c>
      <c r="J51" s="946" t="s">
        <v>2597</v>
      </c>
      <c r="K51" s="946" t="s">
        <v>2336</v>
      </c>
      <c r="L51" s="946" t="s">
        <v>195</v>
      </c>
      <c r="M51" s="418" t="s">
        <v>1871</v>
      </c>
      <c r="N51" s="948" t="s">
        <v>1879</v>
      </c>
      <c r="O51" s="948" t="s">
        <v>218</v>
      </c>
      <c r="P51" s="951" t="s">
        <v>1872</v>
      </c>
      <c r="Q51" s="948" t="str">
        <f>+'4. Intervenciones UDT - HCBM'!F119</f>
        <v>Créditos otorgados</v>
      </c>
      <c r="R51" s="405">
        <f>+'4. Intervenciones UDT - HCBM'!I119</f>
        <v>0</v>
      </c>
      <c r="S51" s="405">
        <f>+'4. Intervenciones UDT - HCBM'!J119</f>
        <v>5</v>
      </c>
      <c r="T51" s="405">
        <f>+'4. Intervenciones UDT - HCBM'!K119</f>
        <v>10</v>
      </c>
      <c r="U51" s="405">
        <f>+'4. Intervenciones UDT - HCBM'!L119</f>
        <v>150000</v>
      </c>
      <c r="V51" s="403" t="str">
        <f>+'4. Intervenciones UDT - HCBM'!M119</f>
        <v>El costo incluye los gastos operativos y logísticos para la extracción de la madera de acuerdo al plan de extracción y la implementación de los planes de manejo. ambiental.</v>
      </c>
      <c r="W51" s="403" t="str">
        <f>+'4. Intervenciones UDT - HCBM'!N119</f>
        <v>ARA, SERFOR, MINAM</v>
      </c>
      <c r="X51" s="588">
        <f>+'4. Intervenciones UDT - HCBM'!O119</f>
        <v>750000</v>
      </c>
      <c r="Y51" s="588">
        <f>+Tabla1[[#This Row],[2025 Directo]]*(1+$Y$3)</f>
        <v>757875</v>
      </c>
      <c r="Z51" s="588">
        <f>+'4. Intervenciones UDT - HCBM'!P119</f>
        <v>1500000</v>
      </c>
      <c r="AA51" s="588">
        <f>+Tabla1[[#This Row],[2030 Directo]]*(1+$Y$3)</f>
        <v>1515750</v>
      </c>
      <c r="AB51" s="588">
        <f>+'4. Intervenciones UDT - HCBM'!Q119</f>
        <v>150000</v>
      </c>
      <c r="AC51" s="588">
        <f>+Tabla1[[#This Row],[Año 1 Cto Directo]]*(1+$Y$3)</f>
        <v>151575</v>
      </c>
      <c r="AD51" s="588">
        <f>+'4. Intervenciones UDT - HCBM'!R119</f>
        <v>150000</v>
      </c>
      <c r="AE51" s="588">
        <f>+Tabla1[[#This Row],[Año 2 Cto. Directo]]*(1+$Y$3)</f>
        <v>151575</v>
      </c>
      <c r="AF51" s="588">
        <f>+'4. Intervenciones UDT - HCBM'!S119</f>
        <v>150000</v>
      </c>
      <c r="AG51" s="588">
        <f>+Tabla1[[#This Row],[Año 3 Cto. Directo]]*(1+$Y$3)</f>
        <v>151575</v>
      </c>
      <c r="AH51" s="588">
        <f>+'4. Intervenciones UDT - HCBM'!T119</f>
        <v>150000</v>
      </c>
      <c r="AI51" s="588">
        <f>+Tabla1[[#This Row],[Año 4 Cto. Directo]]*(1+$Y$3)</f>
        <v>151575</v>
      </c>
      <c r="AJ51" s="588">
        <f>+'4. Intervenciones UDT - HCBM'!U119</f>
        <v>150000</v>
      </c>
      <c r="AK51" s="588">
        <f>+Tabla1[[#This Row],[Año 5 Cto. Directo]]*(1+$Y$3)</f>
        <v>151575</v>
      </c>
      <c r="AL51" s="403">
        <f>+'4. Intervenciones UDT - HCBM'!V119</f>
        <v>0</v>
      </c>
      <c r="AM51" s="954" t="str">
        <f>+'4. Intervenciones UDT - HCBM'!W119</f>
        <v>X</v>
      </c>
      <c r="AN51" s="954"/>
      <c r="AO51" s="954"/>
      <c r="AP51" s="954"/>
      <c r="AQ51" s="954" t="str">
        <f>+'4. Intervenciones UDT - HCBM'!AA119</f>
        <v>RE</v>
      </c>
      <c r="AR51" s="954">
        <f>+'4. Intervenciones UDT - HCBM'!AB119</f>
        <v>3</v>
      </c>
      <c r="AS51" s="403">
        <f t="shared" si="1"/>
        <v>1</v>
      </c>
    </row>
    <row r="52" spans="1:47" s="195" customFormat="1" ht="15.8" hidden="1" customHeight="1" x14ac:dyDescent="0.3">
      <c r="A52" s="403"/>
      <c r="B52" s="403" t="str">
        <f>'4. Intervenciones UDT - HCBM'!$C$8</f>
        <v>UDT HUALLAGA CENTRAL Y BAJO MAYO</v>
      </c>
      <c r="C52" s="403" t="str">
        <f>'4. Intervenciones UDT - HCBM'!$F$110</f>
        <v xml:space="preserve">Concesiones Forestales Maderables </v>
      </c>
      <c r="D52" s="404" t="str">
        <f>+'4. Intervenciones UDT - HCBM'!A120</f>
        <v>Programas de inversión pública</v>
      </c>
      <c r="E52" s="404" t="str">
        <f>+'4. Intervenciones UDT - HCBM'!C120</f>
        <v>1.6.3</v>
      </c>
      <c r="F52" s="403" t="str">
        <f>+'4. Intervenciones UDT - HCBM'!D120</f>
        <v>Nuevos mecanismos de pagos de deudas por sanciones</v>
      </c>
      <c r="G52" s="403" t="str">
        <f>+'4. Intervenciones UDT - HCBM'!E120</f>
        <v xml:space="preserve">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inactivas, al menos el 60% se reactiven y cierren los contratos pendientes por ejecutar. </v>
      </c>
      <c r="H52" s="948" t="s">
        <v>1864</v>
      </c>
      <c r="I52" s="946" t="s">
        <v>199</v>
      </c>
      <c r="J52" s="946" t="s">
        <v>2591</v>
      </c>
      <c r="K52" s="946" t="s">
        <v>2331</v>
      </c>
      <c r="L52" s="946" t="s">
        <v>202</v>
      </c>
      <c r="M52" s="418" t="s">
        <v>1858</v>
      </c>
      <c r="N52" s="948" t="s">
        <v>1887</v>
      </c>
      <c r="O52" s="948" t="s">
        <v>244</v>
      </c>
      <c r="P52" s="951" t="s">
        <v>1888</v>
      </c>
      <c r="Q52" s="948" t="str">
        <f>+'4. Intervenciones UDT - HCBM'!F120</f>
        <v>Concesiones reactivadas</v>
      </c>
      <c r="R52" s="405">
        <f>+'4. Intervenciones UDT - HCBM'!I120</f>
        <v>0</v>
      </c>
      <c r="S52" s="405">
        <f>+'4. Intervenciones UDT - HCBM'!J120</f>
        <v>5</v>
      </c>
      <c r="T52" s="405">
        <f>+'4. Intervenciones UDT - HCBM'!K120</f>
        <v>0</v>
      </c>
      <c r="U52" s="405">
        <f>+'4. Intervenciones UDT - HCBM'!L120</f>
        <v>20000</v>
      </c>
      <c r="V52" s="403" t="str">
        <f>+'4. Intervenciones UDT - HCBM'!M120</f>
        <v>Gastos operativos y logísticos para la elaboración de expedientes técnicos sustentatorios para los procesos legales y administrativos que conllevan dicho procedimiento.</v>
      </c>
      <c r="W52" s="403" t="str">
        <f>+'4. Intervenciones UDT - HCBM'!N120</f>
        <v>ARA, SERFOR, MINAM</v>
      </c>
      <c r="X52" s="588">
        <f>+'4. Intervenciones UDT - HCBM'!O120</f>
        <v>100000</v>
      </c>
      <c r="Y52" s="588">
        <f>+Tabla1[[#This Row],[2025 Directo]]*(1+$Y$3)</f>
        <v>101050</v>
      </c>
      <c r="Z52" s="588">
        <f>+'4. Intervenciones UDT - HCBM'!P120</f>
        <v>0</v>
      </c>
      <c r="AA52" s="588">
        <f>+Tabla1[[#This Row],[2030 Directo]]*(1+$Y$3)</f>
        <v>0</v>
      </c>
      <c r="AB52" s="588">
        <f>+'4. Intervenciones UDT - HCBM'!Q120</f>
        <v>20000</v>
      </c>
      <c r="AC52" s="588">
        <f>+Tabla1[[#This Row],[Año 1 Cto Directo]]*(1+$Y$3)</f>
        <v>20210</v>
      </c>
      <c r="AD52" s="588">
        <f>+'4. Intervenciones UDT - HCBM'!R120</f>
        <v>20000</v>
      </c>
      <c r="AE52" s="588">
        <f>+Tabla1[[#This Row],[Año 2 Cto. Directo]]*(1+$Y$3)</f>
        <v>20210</v>
      </c>
      <c r="AF52" s="588">
        <f>+'4. Intervenciones UDT - HCBM'!S120</f>
        <v>20000</v>
      </c>
      <c r="AG52" s="588">
        <f>+Tabla1[[#This Row],[Año 3 Cto. Directo]]*(1+$Y$3)</f>
        <v>20210</v>
      </c>
      <c r="AH52" s="588">
        <f>+'4. Intervenciones UDT - HCBM'!T120</f>
        <v>20000</v>
      </c>
      <c r="AI52" s="588">
        <f>+Tabla1[[#This Row],[Año 4 Cto. Directo]]*(1+$Y$3)</f>
        <v>20210</v>
      </c>
      <c r="AJ52" s="588">
        <f>+'4. Intervenciones UDT - HCBM'!U120</f>
        <v>20000</v>
      </c>
      <c r="AK52" s="588">
        <f>+Tabla1[[#This Row],[Año 5 Cto. Directo]]*(1+$Y$3)</f>
        <v>20210</v>
      </c>
      <c r="AL52" s="403">
        <f>+'4. Intervenciones UDT - HCBM'!V120</f>
        <v>0</v>
      </c>
      <c r="AM52" s="954"/>
      <c r="AN52" s="954"/>
      <c r="AO52" s="954" t="str">
        <f>+'4. Intervenciones UDT - HCBM'!Y120</f>
        <v>X</v>
      </c>
      <c r="AP52" s="954"/>
      <c r="AQ52" s="954"/>
      <c r="AR52" s="954">
        <f>+'4. Intervenciones UDT - HCBM'!AB120</f>
        <v>1</v>
      </c>
      <c r="AS52" s="403">
        <f t="shared" si="1"/>
        <v>1</v>
      </c>
    </row>
    <row r="53" spans="1:47" s="195" customFormat="1" ht="15.8" hidden="1" customHeight="1" x14ac:dyDescent="0.3">
      <c r="A53" s="403"/>
      <c r="B53" s="403" t="str">
        <f>'4. Intervenciones UDT - HCBM'!$C$8</f>
        <v>UDT HUALLAGA CENTRAL Y BAJO MAYO</v>
      </c>
      <c r="C53" s="403" t="str">
        <f>'4. Intervenciones UDT - HCBM'!$F$124</f>
        <v>Parque Nacional Cordillera Azul</v>
      </c>
      <c r="D53" s="404" t="str">
        <f>+'4. Intervenciones UDT - HCBM'!A132</f>
        <v>Control y vigilancia</v>
      </c>
      <c r="E53" s="404" t="str">
        <f>+'4. Intervenciones UDT - HCBM'!C132</f>
        <v>1.7.1</v>
      </c>
      <c r="F53" s="403" t="str">
        <f>+'4. Intervenciones UDT - HCBM'!D132</f>
        <v>Sensibilización para el fortalecimiento del control y vigilancia en zona de amortiguamiento</v>
      </c>
      <c r="G53" s="403" t="str">
        <f>+'4. Intervenciones UDT - HCBM'!E132</f>
        <v>Campañas de sensibilización en los distritos acentuadas en las zonas de amortiguamiento, considerando la participación del ARA, DRASAM, DIRCETUR, GRDS. Articular acciones de vigilancia y control entre el ente que administra el ANP (SERNANP), cooperantes, población organizada como Juntas vecinales, comités de vigilancia, rondas campesinas, productores, comités y otros que se benefician de los servicios eco sistémicos del ANP.</v>
      </c>
      <c r="H53" s="948" t="s">
        <v>1857</v>
      </c>
      <c r="I53" s="946" t="s">
        <v>203</v>
      </c>
      <c r="J53" s="946" t="s">
        <v>2595</v>
      </c>
      <c r="K53" s="946" t="s">
        <v>2333</v>
      </c>
      <c r="L53" s="946" t="s">
        <v>204</v>
      </c>
      <c r="M53" s="418" t="s">
        <v>1878</v>
      </c>
      <c r="N53" s="948" t="s">
        <v>1859</v>
      </c>
      <c r="O53" s="948" t="s">
        <v>229</v>
      </c>
      <c r="P53" s="951" t="s">
        <v>1889</v>
      </c>
      <c r="Q53" s="948" t="str">
        <f>+'4. Intervenciones UDT - HCBM'!F132</f>
        <v>Campañas de sensibilización</v>
      </c>
      <c r="R53" s="405">
        <f>+'4. Intervenciones UDT - HCBM'!I132</f>
        <v>0</v>
      </c>
      <c r="S53" s="405">
        <f>+'4. Intervenciones UDT - HCBM'!J132</f>
        <v>81</v>
      </c>
      <c r="T53" s="405">
        <f>+'4. Intervenciones UDT - HCBM'!K132</f>
        <v>81</v>
      </c>
      <c r="U53" s="405">
        <f>+'4. Intervenciones UDT - HCBM'!L132</f>
        <v>8000</v>
      </c>
      <c r="V53" s="403" t="str">
        <f>+'4. Intervenciones UDT - HCBM'!M132</f>
        <v>Campañas de sensibilización con equipos técnicos de las instituciones involucradas, gastos logísticos, impresión de material de difusión, publicidad radial, televisiva y escrita.</v>
      </c>
      <c r="W53" s="403" t="str">
        <f>+'4. Intervenciones UDT - HCBM'!N132</f>
        <v>ARA, SERFOR, SERNANP, CIMA</v>
      </c>
      <c r="X53" s="588">
        <f>+'4. Intervenciones UDT - HCBM'!O132</f>
        <v>3240000</v>
      </c>
      <c r="Y53" s="588">
        <f>+Tabla1[[#This Row],[2025 Directo]]*(1+$Y$3)</f>
        <v>3274020</v>
      </c>
      <c r="Z53" s="588">
        <f>+'4. Intervenciones UDT - HCBM'!P132</f>
        <v>3240000</v>
      </c>
      <c r="AA53" s="588">
        <f>+Tabla1[[#This Row],[2030 Directo]]*(1+$Y$3)</f>
        <v>3274020</v>
      </c>
      <c r="AB53" s="588">
        <f>+'4. Intervenciones UDT - HCBM'!Q132</f>
        <v>648000</v>
      </c>
      <c r="AC53" s="588">
        <f>+Tabla1[[#This Row],[Año 1 Cto Directo]]*(1+$Y$3)</f>
        <v>654804</v>
      </c>
      <c r="AD53" s="588">
        <f>+'4. Intervenciones UDT - HCBM'!R132</f>
        <v>648000</v>
      </c>
      <c r="AE53" s="588">
        <f>+Tabla1[[#This Row],[Año 2 Cto. Directo]]*(1+$Y$3)</f>
        <v>654804</v>
      </c>
      <c r="AF53" s="588">
        <f>+'4. Intervenciones UDT - HCBM'!S132</f>
        <v>648000</v>
      </c>
      <c r="AG53" s="588">
        <f>+Tabla1[[#This Row],[Año 3 Cto. Directo]]*(1+$Y$3)</f>
        <v>654804</v>
      </c>
      <c r="AH53" s="588">
        <f>+'4. Intervenciones UDT - HCBM'!T132</f>
        <v>648000</v>
      </c>
      <c r="AI53" s="588">
        <f>+Tabla1[[#This Row],[Año 4 Cto. Directo]]*(1+$Y$3)</f>
        <v>654804</v>
      </c>
      <c r="AJ53" s="588">
        <f>+'4. Intervenciones UDT - HCBM'!U132</f>
        <v>648000</v>
      </c>
      <c r="AK53" s="588">
        <f>+Tabla1[[#This Row],[Año 5 Cto. Directo]]*(1+$Y$3)</f>
        <v>654804</v>
      </c>
      <c r="AL53" s="403">
        <f>+'4. Intervenciones UDT - HCBM'!V132</f>
        <v>0</v>
      </c>
      <c r="AM53" s="954"/>
      <c r="AN53" s="954"/>
      <c r="AO53" s="954" t="str">
        <f>+'4. Intervenciones UDT - HCBM'!Y132</f>
        <v>X</v>
      </c>
      <c r="AP53" s="954"/>
      <c r="AQ53" s="954" t="str">
        <f>+'4. Intervenciones UDT - HCBM'!AA132</f>
        <v>RE</v>
      </c>
      <c r="AR53" s="954">
        <f>+'4. Intervenciones UDT - HCBM'!AB132</f>
        <v>3</v>
      </c>
      <c r="AS53" s="403">
        <f t="shared" si="1"/>
        <v>1</v>
      </c>
    </row>
    <row r="54" spans="1:47" s="195" customFormat="1" ht="15.8" hidden="1" customHeight="1" x14ac:dyDescent="0.3">
      <c r="A54" s="403"/>
      <c r="B54" s="403" t="str">
        <f>'4. Intervenciones UDT - HCBM'!$C$8</f>
        <v>UDT HUALLAGA CENTRAL Y BAJO MAYO</v>
      </c>
      <c r="C54" s="403" t="str">
        <f>'4. Intervenciones UDT - HCBM'!$F$124</f>
        <v>Parque Nacional Cordillera Azul</v>
      </c>
      <c r="D54" s="404" t="str">
        <f>+'4. Intervenciones UDT - HCBM'!A133</f>
        <v>Control y vigilancia</v>
      </c>
      <c r="E54" s="404" t="str">
        <f>+'4. Intervenciones UDT - HCBM'!C133</f>
        <v>1.7.2</v>
      </c>
      <c r="F54" s="403" t="str">
        <f>+'4. Intervenciones UDT - HCBM'!D133</f>
        <v>Fortalecer el control y vigilancia</v>
      </c>
      <c r="G54" s="403" t="str">
        <f>+'4. Intervenciones UDT - HCBM'!E133</f>
        <v>Implementar con recursos necesarios al ente que administra el área, con la finalidad de aumentar el número de personas (guardaparques) que contribuyan a realizar acciones de control y vigilancia.</v>
      </c>
      <c r="H54" s="948" t="s">
        <v>1857</v>
      </c>
      <c r="I54" s="946" t="s">
        <v>203</v>
      </c>
      <c r="J54" s="946" t="s">
        <v>2595</v>
      </c>
      <c r="K54" s="946" t="s">
        <v>2333</v>
      </c>
      <c r="L54" s="946" t="s">
        <v>204</v>
      </c>
      <c r="M54" s="418" t="s">
        <v>1878</v>
      </c>
      <c r="N54" s="948" t="s">
        <v>1859</v>
      </c>
      <c r="O54" s="948" t="s">
        <v>229</v>
      </c>
      <c r="P54" s="951" t="s">
        <v>1889</v>
      </c>
      <c r="Q54" s="948" t="str">
        <f>+'4. Intervenciones UDT - HCBM'!F133</f>
        <v>Número de guardaparques</v>
      </c>
      <c r="R54" s="405">
        <f>+'4. Intervenciones UDT - HCBM'!I133</f>
        <v>0</v>
      </c>
      <c r="S54" s="405">
        <f>+'4. Intervenciones UDT - HCBM'!J133</f>
        <v>18</v>
      </c>
      <c r="T54" s="405">
        <f>+'4. Intervenciones UDT - HCBM'!K133</f>
        <v>18</v>
      </c>
      <c r="U54" s="405">
        <f>+'4. Intervenciones UDT - HCBM'!L133</f>
        <v>2000</v>
      </c>
      <c r="V54" s="403" t="str">
        <f>+'4. Intervenciones UDT - HCBM'!M133</f>
        <v>Contratación a guardaparques para garantizar el control y vigilancia del área otorgada.</v>
      </c>
      <c r="W54" s="403" t="str">
        <f>+'4. Intervenciones UDT - HCBM'!N133</f>
        <v>ARA, SERFOR, SERNANP, CIMA</v>
      </c>
      <c r="X54" s="588">
        <f>+'4. Intervenciones UDT - HCBM'!O133</f>
        <v>2160000</v>
      </c>
      <c r="Y54" s="588">
        <f>+Tabla1[[#This Row],[2025 Directo]]*(1+$Y$3)</f>
        <v>2182680</v>
      </c>
      <c r="Z54" s="588">
        <f>+'4. Intervenciones UDT - HCBM'!P133</f>
        <v>2160000</v>
      </c>
      <c r="AA54" s="588">
        <f>+Tabla1[[#This Row],[2030 Directo]]*(1+$Y$3)</f>
        <v>2182680</v>
      </c>
      <c r="AB54" s="588">
        <f>+'4. Intervenciones UDT - HCBM'!Q133</f>
        <v>432000</v>
      </c>
      <c r="AC54" s="588">
        <f>+Tabla1[[#This Row],[Año 1 Cto Directo]]*(1+$Y$3)</f>
        <v>436536</v>
      </c>
      <c r="AD54" s="588">
        <f>+'4. Intervenciones UDT - HCBM'!R133</f>
        <v>432000</v>
      </c>
      <c r="AE54" s="588">
        <f>+Tabla1[[#This Row],[Año 2 Cto. Directo]]*(1+$Y$3)</f>
        <v>436536</v>
      </c>
      <c r="AF54" s="588">
        <f>+'4. Intervenciones UDT - HCBM'!S133</f>
        <v>432000</v>
      </c>
      <c r="AG54" s="588">
        <f>+Tabla1[[#This Row],[Año 3 Cto. Directo]]*(1+$Y$3)</f>
        <v>436536</v>
      </c>
      <c r="AH54" s="588">
        <f>+'4. Intervenciones UDT - HCBM'!T133</f>
        <v>432000</v>
      </c>
      <c r="AI54" s="588">
        <f>+Tabla1[[#This Row],[Año 4 Cto. Directo]]*(1+$Y$3)</f>
        <v>436536</v>
      </c>
      <c r="AJ54" s="588">
        <f>+'4. Intervenciones UDT - HCBM'!U133</f>
        <v>432000</v>
      </c>
      <c r="AK54" s="588">
        <f>+Tabla1[[#This Row],[Año 5 Cto. Directo]]*(1+$Y$3)</f>
        <v>436536</v>
      </c>
      <c r="AL54" s="406">
        <f>+'4. Intervenciones UDT - HCBM'!V133</f>
        <v>0</v>
      </c>
      <c r="AM54" s="954"/>
      <c r="AN54" s="954"/>
      <c r="AO54" s="954" t="str">
        <f>+'4. Intervenciones UDT - HCBM'!Y133</f>
        <v>X</v>
      </c>
      <c r="AP54" s="954"/>
      <c r="AQ54" s="954" t="str">
        <f>+'4. Intervenciones UDT - HCBM'!AA133</f>
        <v>RE</v>
      </c>
      <c r="AR54" s="954">
        <f>+'4. Intervenciones UDT - HCBM'!AB133</f>
        <v>3</v>
      </c>
      <c r="AS54" s="403">
        <f t="shared" si="1"/>
        <v>1</v>
      </c>
    </row>
    <row r="55" spans="1:47" s="195" customFormat="1" ht="15.8" hidden="1" customHeight="1" x14ac:dyDescent="0.3">
      <c r="A55" s="403"/>
      <c r="B55" s="403" t="str">
        <f>'4. Intervenciones UDT - HCBM'!$C$8</f>
        <v>UDT HUALLAGA CENTRAL Y BAJO MAYO</v>
      </c>
      <c r="C55" s="403" t="str">
        <f>'4. Intervenciones UDT - HCBM'!$F$124</f>
        <v>Parque Nacional Cordillera Azul</v>
      </c>
      <c r="D55" s="404" t="str">
        <f>+'4. Intervenciones UDT - HCBM'!A134</f>
        <v>Programas de inversión pública</v>
      </c>
      <c r="E55" s="404" t="str">
        <f>+'4. Intervenciones UDT - HCBM'!C134</f>
        <v>1.7.3</v>
      </c>
      <c r="F55" s="403" t="str">
        <f>+'4. Intervenciones UDT - HCBM'!D134</f>
        <v>Promover acuerdos de conservación con cadena de valor para aquellos productos sostenibles con el parque.</v>
      </c>
      <c r="G55" s="403" t="str">
        <f>+'4. Intervenciones UDT - HCBM'!E134</f>
        <v>Promover la planificación comunal en centros poblados del interior en base a la zonificación y zona de amortiguamiento teniendo como base al Plan Maestro (incluye acuerdos de conservación)</v>
      </c>
      <c r="H55" s="948" t="s">
        <v>1857</v>
      </c>
      <c r="I55" s="946" t="s">
        <v>199</v>
      </c>
      <c r="J55" s="946" t="s">
        <v>2598</v>
      </c>
      <c r="K55" s="946" t="s">
        <v>2334</v>
      </c>
      <c r="L55" s="946" t="s">
        <v>201</v>
      </c>
      <c r="M55" s="418" t="s">
        <v>1883</v>
      </c>
      <c r="N55" s="948" t="s">
        <v>1887</v>
      </c>
      <c r="O55" s="948" t="s">
        <v>243</v>
      </c>
      <c r="P55" s="951" t="s">
        <v>1890</v>
      </c>
      <c r="Q55" s="948" t="str">
        <f>+'4. Intervenciones UDT - HCBM'!F134</f>
        <v>Planes de gestión comunal</v>
      </c>
      <c r="R55" s="405">
        <f>+'4. Intervenciones UDT - HCBM'!I134</f>
        <v>0</v>
      </c>
      <c r="S55" s="405">
        <f>+'4. Intervenciones UDT - HCBM'!J134</f>
        <v>81</v>
      </c>
      <c r="T55" s="405">
        <f>+'4. Intervenciones UDT - HCBM'!K134</f>
        <v>135</v>
      </c>
      <c r="U55" s="405">
        <f>+'4. Intervenciones UDT - HCBM'!L134</f>
        <v>10000</v>
      </c>
      <c r="V55" s="403" t="str">
        <f>+'4. Intervenciones UDT - HCBM'!M134</f>
        <v>Contratación de servicios profesionales para la elaboración de los planes de gestión comunal.</v>
      </c>
      <c r="W55" s="403" t="str">
        <f>+'4. Intervenciones UDT - HCBM'!N134</f>
        <v>ARA, SERFOR, SERNANP, CIMA</v>
      </c>
      <c r="X55" s="588">
        <f>+'4. Intervenciones UDT - HCBM'!O134</f>
        <v>810000</v>
      </c>
      <c r="Y55" s="588">
        <f>+Tabla1[[#This Row],[2025 Directo]]*(1+$Y$3)</f>
        <v>818505</v>
      </c>
      <c r="Z55" s="588">
        <f>+'4. Intervenciones UDT - HCBM'!P134</f>
        <v>1350000</v>
      </c>
      <c r="AA55" s="588">
        <f>+Tabla1[[#This Row],[2030 Directo]]*(1+$Y$3)</f>
        <v>1364175</v>
      </c>
      <c r="AB55" s="588">
        <f>+'4. Intervenciones UDT - HCBM'!Q134</f>
        <v>162000</v>
      </c>
      <c r="AC55" s="588">
        <f>+Tabla1[[#This Row],[Año 1 Cto Directo]]*(1+$Y$3)</f>
        <v>163701</v>
      </c>
      <c r="AD55" s="588">
        <f>+'4. Intervenciones UDT - HCBM'!R134</f>
        <v>162000</v>
      </c>
      <c r="AE55" s="588">
        <f>+Tabla1[[#This Row],[Año 2 Cto. Directo]]*(1+$Y$3)</f>
        <v>163701</v>
      </c>
      <c r="AF55" s="588">
        <f>+'4. Intervenciones UDT - HCBM'!S134</f>
        <v>162000</v>
      </c>
      <c r="AG55" s="588">
        <f>+Tabla1[[#This Row],[Año 3 Cto. Directo]]*(1+$Y$3)</f>
        <v>163701</v>
      </c>
      <c r="AH55" s="588">
        <f>+'4. Intervenciones UDT - HCBM'!T134</f>
        <v>162000</v>
      </c>
      <c r="AI55" s="588">
        <f>+Tabla1[[#This Row],[Año 4 Cto. Directo]]*(1+$Y$3)</f>
        <v>163701</v>
      </c>
      <c r="AJ55" s="588">
        <f>+'4. Intervenciones UDT - HCBM'!U134</f>
        <v>162000</v>
      </c>
      <c r="AK55" s="588">
        <f>+Tabla1[[#This Row],[Año 5 Cto. Directo]]*(1+$Y$3)</f>
        <v>163701</v>
      </c>
      <c r="AL55" s="403">
        <f>+'4. Intervenciones UDT - HCBM'!V134</f>
        <v>0</v>
      </c>
      <c r="AM55" s="954"/>
      <c r="AN55" s="954"/>
      <c r="AO55" s="954" t="str">
        <f>+'4. Intervenciones UDT - HCBM'!Y134</f>
        <v>X</v>
      </c>
      <c r="AP55" s="954"/>
      <c r="AQ55" s="954"/>
      <c r="AR55" s="954">
        <f>+'4. Intervenciones UDT - HCBM'!AB134</f>
        <v>3</v>
      </c>
      <c r="AS55" s="403">
        <f t="shared" si="1"/>
        <v>1</v>
      </c>
    </row>
    <row r="56" spans="1:47" s="195" customFormat="1" ht="15.8" hidden="1" customHeight="1" x14ac:dyDescent="0.3">
      <c r="A56" s="403"/>
      <c r="B56" s="403" t="str">
        <f>'4. Intervenciones UDT - HCBM'!$C$8</f>
        <v>UDT HUALLAGA CENTRAL Y BAJO MAYO</v>
      </c>
      <c r="C56" s="403" t="str">
        <f>'4. Intervenciones UDT - HCBM'!$F$124</f>
        <v>Parque Nacional Cordillera Azul</v>
      </c>
      <c r="D56" s="404" t="str">
        <f>+'4. Intervenciones UDT - HCBM'!A135</f>
        <v>Programas de inversión privada</v>
      </c>
      <c r="E56" s="404" t="str">
        <f>+'4. Intervenciones UDT - HCBM'!C135</f>
        <v>1.7.4</v>
      </c>
      <c r="F56" s="403" t="str">
        <f>+'4. Intervenciones UDT - HCBM'!D135</f>
        <v>Promoción del turismo comunitario en zona de amortiguamiento y al interior del parque</v>
      </c>
      <c r="G56" s="403" t="str">
        <f>+'4. Intervenciones UDT - HCBM'!E135</f>
        <v xml:space="preserve">Campañas de promoción y difusión en el ámbito regional y nacional de los circuitos turísticos que existen en la zona de amortiguamiento. acorde al plan maestro del parque.  </v>
      </c>
      <c r="H56" s="948" t="s">
        <v>1857</v>
      </c>
      <c r="I56" s="946" t="s">
        <v>203</v>
      </c>
      <c r="J56" s="946" t="s">
        <v>2596</v>
      </c>
      <c r="K56" s="946" t="s">
        <v>2335</v>
      </c>
      <c r="L56" s="946" t="s">
        <v>205</v>
      </c>
      <c r="M56" s="418" t="s">
        <v>1881</v>
      </c>
      <c r="N56" s="948" t="s">
        <v>1879</v>
      </c>
      <c r="O56" s="948" t="s">
        <v>232</v>
      </c>
      <c r="P56" s="951" t="s">
        <v>1886</v>
      </c>
      <c r="Q56" s="948" t="str">
        <f>+'4. Intervenciones UDT - HCBM'!F135</f>
        <v>Campañas de promoción</v>
      </c>
      <c r="R56" s="405">
        <f>+'4. Intervenciones UDT - HCBM'!I135</f>
        <v>0</v>
      </c>
      <c r="S56" s="405">
        <f>+'4. Intervenciones UDT - HCBM'!J135</f>
        <v>54</v>
      </c>
      <c r="T56" s="405">
        <f>+'4. Intervenciones UDT - HCBM'!K135</f>
        <v>54</v>
      </c>
      <c r="U56" s="405">
        <f>+'4. Intervenciones UDT - HCBM'!L135</f>
        <v>4000</v>
      </c>
      <c r="V56" s="403" t="str">
        <f>+'4. Intervenciones UDT - HCBM'!M135</f>
        <v>Campañas de promoción que incluye, impresión de material de difusión, publicidad radial, televisiva y escrita.</v>
      </c>
      <c r="W56" s="403" t="str">
        <f>+'4. Intervenciones UDT - HCBM'!N135</f>
        <v>ARA, SERFOR, SERNANP, CIMA</v>
      </c>
      <c r="X56" s="588">
        <f>+'4. Intervenciones UDT - HCBM'!O135</f>
        <v>1080000</v>
      </c>
      <c r="Y56" s="588">
        <f>+Tabla1[[#This Row],[2025 Directo]]*(1+$Y$3)</f>
        <v>1091340</v>
      </c>
      <c r="Z56" s="588">
        <f>+'4. Intervenciones UDT - HCBM'!P135</f>
        <v>1080000</v>
      </c>
      <c r="AA56" s="588">
        <f>+Tabla1[[#This Row],[2030 Directo]]*(1+$Y$3)</f>
        <v>1091340</v>
      </c>
      <c r="AB56" s="588">
        <f>+'4. Intervenciones UDT - HCBM'!Q135</f>
        <v>216000</v>
      </c>
      <c r="AC56" s="588">
        <f>+Tabla1[[#This Row],[Año 1 Cto Directo]]*(1+$Y$3)</f>
        <v>218268</v>
      </c>
      <c r="AD56" s="588">
        <f>+'4. Intervenciones UDT - HCBM'!R135</f>
        <v>216000</v>
      </c>
      <c r="AE56" s="588">
        <f>+Tabla1[[#This Row],[Año 2 Cto. Directo]]*(1+$Y$3)</f>
        <v>218268</v>
      </c>
      <c r="AF56" s="588">
        <f>+'4. Intervenciones UDT - HCBM'!S135</f>
        <v>216000</v>
      </c>
      <c r="AG56" s="588">
        <f>+Tabla1[[#This Row],[Año 3 Cto. Directo]]*(1+$Y$3)</f>
        <v>218268</v>
      </c>
      <c r="AH56" s="588">
        <f>+'4. Intervenciones UDT - HCBM'!T135</f>
        <v>216000</v>
      </c>
      <c r="AI56" s="588">
        <f>+Tabla1[[#This Row],[Año 4 Cto. Directo]]*(1+$Y$3)</f>
        <v>218268</v>
      </c>
      <c r="AJ56" s="588">
        <f>+'4. Intervenciones UDT - HCBM'!U135</f>
        <v>216000</v>
      </c>
      <c r="AK56" s="588">
        <f>+Tabla1[[#This Row],[Año 5 Cto. Directo]]*(1+$Y$3)</f>
        <v>218268</v>
      </c>
      <c r="AL56" s="403">
        <f>+'4. Intervenciones UDT - HCBM'!V135</f>
        <v>0</v>
      </c>
      <c r="AM56" s="954"/>
      <c r="AN56" s="954" t="str">
        <f>+'4. Intervenciones UDT - HCBM'!X135</f>
        <v>X</v>
      </c>
      <c r="AO56" s="954"/>
      <c r="AP56" s="954"/>
      <c r="AQ56" s="954"/>
      <c r="AR56" s="954">
        <f>+'4. Intervenciones UDT - HCBM'!AB135</f>
        <v>3</v>
      </c>
      <c r="AS56" s="403">
        <f t="shared" si="1"/>
        <v>1</v>
      </c>
    </row>
    <row r="57" spans="1:47" s="195" customFormat="1" ht="15.8" hidden="1" customHeight="1" x14ac:dyDescent="0.3">
      <c r="A57" s="403"/>
      <c r="B57" s="403" t="str">
        <f>'4. Intervenciones UDT - HCBM'!$C$8</f>
        <v>UDT HUALLAGA CENTRAL Y BAJO MAYO</v>
      </c>
      <c r="C57" s="403" t="str">
        <f>'4. Intervenciones UDT - HCBM'!$F$124</f>
        <v>Parque Nacional Cordillera Azul</v>
      </c>
      <c r="D57" s="404" t="str">
        <f>+'4. Intervenciones UDT - HCBM'!A136</f>
        <v>Programas de inversión privada</v>
      </c>
      <c r="E57" s="404" t="str">
        <f>+'4. Intervenciones UDT - HCBM'!C136</f>
        <v>1.7.5</v>
      </c>
      <c r="F57" s="403" t="str">
        <f>+'4. Intervenciones UDT - HCBM'!D136</f>
        <v>Promoción de agroforestería sostenible en zona de amortiguamiento y al interior del parque</v>
      </c>
      <c r="G57" s="403" t="str">
        <f>+'4. Intervenciones UDT - HCBM'!E136</f>
        <v>Realizar pasantías focalizadas en aquellos sectores claves que se necesita intervenir para disminuir la presión del parque.</v>
      </c>
      <c r="H57" s="948" t="s">
        <v>1857</v>
      </c>
      <c r="I57" s="946" t="s">
        <v>203</v>
      </c>
      <c r="J57" s="946" t="s">
        <v>2596</v>
      </c>
      <c r="K57" s="946" t="s">
        <v>2335</v>
      </c>
      <c r="L57" s="946" t="s">
        <v>205</v>
      </c>
      <c r="M57" s="418" t="s">
        <v>1881</v>
      </c>
      <c r="N57" s="948" t="s">
        <v>1879</v>
      </c>
      <c r="O57" s="948" t="s">
        <v>232</v>
      </c>
      <c r="P57" s="951" t="s">
        <v>1886</v>
      </c>
      <c r="Q57" s="948" t="str">
        <f>+'4. Intervenciones UDT - HCBM'!F136</f>
        <v>Pasantías</v>
      </c>
      <c r="R57" s="405">
        <f>+'4. Intervenciones UDT - HCBM'!I136</f>
        <v>0</v>
      </c>
      <c r="S57" s="405">
        <f>+'4. Intervenciones UDT - HCBM'!J136</f>
        <v>54</v>
      </c>
      <c r="T57" s="405">
        <f>+'4. Intervenciones UDT - HCBM'!K136</f>
        <v>54</v>
      </c>
      <c r="U57" s="405">
        <f>+'4. Intervenciones UDT - HCBM'!L136</f>
        <v>5000</v>
      </c>
      <c r="V57" s="403" t="str">
        <f>+'4. Intervenciones UDT - HCBM'!M136</f>
        <v>El costo hace referencia a los gastos de pasajes, alimentación y otros para un grupo de 20 productores por pasantía.</v>
      </c>
      <c r="W57" s="403" t="str">
        <f>+'4. Intervenciones UDT - HCBM'!N136</f>
        <v>ARA, SERFOR, SERNANP, CIMA</v>
      </c>
      <c r="X57" s="588">
        <f>+'4. Intervenciones UDT - HCBM'!O136</f>
        <v>1350000</v>
      </c>
      <c r="Y57" s="588">
        <f>+Tabla1[[#This Row],[2025 Directo]]*(1+$Y$3)</f>
        <v>1364175</v>
      </c>
      <c r="Z57" s="588">
        <f>+'4. Intervenciones UDT - HCBM'!P136</f>
        <v>1350000</v>
      </c>
      <c r="AA57" s="588">
        <f>+Tabla1[[#This Row],[2030 Directo]]*(1+$Y$3)</f>
        <v>1364175</v>
      </c>
      <c r="AB57" s="588">
        <f>+'4. Intervenciones UDT - HCBM'!Q136</f>
        <v>270000</v>
      </c>
      <c r="AC57" s="588">
        <f>+Tabla1[[#This Row],[Año 1 Cto Directo]]*(1+$Y$3)</f>
        <v>272835</v>
      </c>
      <c r="AD57" s="588">
        <f>+'4. Intervenciones UDT - HCBM'!R136</f>
        <v>270000</v>
      </c>
      <c r="AE57" s="588">
        <f>+Tabla1[[#This Row],[Año 2 Cto. Directo]]*(1+$Y$3)</f>
        <v>272835</v>
      </c>
      <c r="AF57" s="588">
        <f>+'4. Intervenciones UDT - HCBM'!S136</f>
        <v>270000</v>
      </c>
      <c r="AG57" s="588">
        <f>+Tabla1[[#This Row],[Año 3 Cto. Directo]]*(1+$Y$3)</f>
        <v>272835</v>
      </c>
      <c r="AH57" s="588">
        <f>+'4. Intervenciones UDT - HCBM'!T136</f>
        <v>270000</v>
      </c>
      <c r="AI57" s="588">
        <f>+Tabla1[[#This Row],[Año 4 Cto. Directo]]*(1+$Y$3)</f>
        <v>272835</v>
      </c>
      <c r="AJ57" s="588">
        <f>+'4. Intervenciones UDT - HCBM'!U136</f>
        <v>270000</v>
      </c>
      <c r="AK57" s="588">
        <f>+Tabla1[[#This Row],[Año 5 Cto. Directo]]*(1+$Y$3)</f>
        <v>272835</v>
      </c>
      <c r="AL57" s="403">
        <f>+'4. Intervenciones UDT - HCBM'!V136</f>
        <v>0</v>
      </c>
      <c r="AM57" s="954"/>
      <c r="AN57" s="954" t="str">
        <f>+'4. Intervenciones UDT - HCBM'!X136</f>
        <v>X</v>
      </c>
      <c r="AO57" s="954"/>
      <c r="AP57" s="954"/>
      <c r="AQ57" s="954"/>
      <c r="AR57" s="954">
        <f>+'4. Intervenciones UDT - HCBM'!AB136</f>
        <v>3</v>
      </c>
      <c r="AS57" s="403">
        <f t="shared" si="1"/>
        <v>1</v>
      </c>
    </row>
    <row r="58" spans="1:47" s="195" customFormat="1" ht="15.8" hidden="1" customHeight="1" x14ac:dyDescent="0.3">
      <c r="A58" s="403"/>
      <c r="B58" s="403" t="str">
        <f>'4. Intervenciones UDT - HCBM'!$C$8</f>
        <v>UDT HUALLAGA CENTRAL Y BAJO MAYO</v>
      </c>
      <c r="C58" s="403" t="str">
        <f>'4. Intervenciones UDT - HCBM'!$F$139</f>
        <v>Parque Nacional del Río Abiseo</v>
      </c>
      <c r="D58" s="404" t="str">
        <f>+'4. Intervenciones UDT - HCBM'!A147</f>
        <v>Programas de inversión pública</v>
      </c>
      <c r="E58" s="404" t="str">
        <f>+'4. Intervenciones UDT - HCBM'!C147</f>
        <v>1.8.1</v>
      </c>
      <c r="F58" s="403" t="str">
        <f>+'4. Intervenciones UDT - HCBM'!D147</f>
        <v>Promover acuerdos de conservación con cadena de valor para aquellos productos sostenibles con el parque.</v>
      </c>
      <c r="G58" s="403" t="str">
        <f>+'4. Intervenciones UDT - HCBM'!E147</f>
        <v>Promover la planificación comunal en centros poblados en base a la zonificación y zona de amortiguamiento teniendo como base al Plan Maestro (incluye acuerdos de conservación)</v>
      </c>
      <c r="H58" s="948" t="s">
        <v>1857</v>
      </c>
      <c r="I58" s="946" t="s">
        <v>199</v>
      </c>
      <c r="J58" s="946" t="s">
        <v>2598</v>
      </c>
      <c r="K58" s="946" t="s">
        <v>2334</v>
      </c>
      <c r="L58" s="946" t="s">
        <v>201</v>
      </c>
      <c r="M58" s="418" t="s">
        <v>1883</v>
      </c>
      <c r="N58" s="948" t="s">
        <v>1879</v>
      </c>
      <c r="O58" s="948" t="s">
        <v>232</v>
      </c>
      <c r="P58" s="948" t="s">
        <v>1886</v>
      </c>
      <c r="Q58" s="948" t="str">
        <f>+'4. Intervenciones UDT - HCBM'!F147</f>
        <v>Planes de gestión comunal</v>
      </c>
      <c r="R58" s="403">
        <f>+'4. Intervenciones UDT - HCBM'!I147</f>
        <v>0</v>
      </c>
      <c r="S58" s="408">
        <f>+'4. Intervenciones UDT - HCBM'!J147</f>
        <v>18</v>
      </c>
      <c r="T58" s="408">
        <f>+'4. Intervenciones UDT - HCBM'!K147</f>
        <v>18</v>
      </c>
      <c r="U58" s="408">
        <f>+'4. Intervenciones UDT - HCBM'!L147</f>
        <v>10000</v>
      </c>
      <c r="V58" s="403" t="str">
        <f>+'4. Intervenciones UDT - HCBM'!M147</f>
        <v>Contratación de servicios profesionales para la elaboración de los planes de gestión comunal.</v>
      </c>
      <c r="W58" s="403" t="str">
        <f>+'4. Intervenciones UDT - HCBM'!N147</f>
        <v>ARA, SERFOR, SERNANP, CIMA</v>
      </c>
      <c r="X58" s="589">
        <f>+'4. Intervenciones UDT - HCBM'!O147</f>
        <v>180000</v>
      </c>
      <c r="Y58" s="589">
        <f>+Tabla1[[#This Row],[2025 Directo]]*(1+$Y$3)</f>
        <v>181890</v>
      </c>
      <c r="Z58" s="589">
        <f>+'4. Intervenciones UDT - HCBM'!P147</f>
        <v>180000</v>
      </c>
      <c r="AA58" s="589">
        <f>+Tabla1[[#This Row],[2030 Directo]]*(1+$Y$3)</f>
        <v>181890</v>
      </c>
      <c r="AB58" s="589">
        <f>+'4. Intervenciones UDT - HCBM'!Q147</f>
        <v>36000</v>
      </c>
      <c r="AC58" s="589">
        <f>+Tabla1[[#This Row],[Año 1 Cto Directo]]*(1+$Y$3)</f>
        <v>36378</v>
      </c>
      <c r="AD58" s="589">
        <f>+'4. Intervenciones UDT - HCBM'!R147</f>
        <v>36000</v>
      </c>
      <c r="AE58" s="589">
        <f>+Tabla1[[#This Row],[Año 2 Cto. Directo]]*(1+$Y$3)</f>
        <v>36378</v>
      </c>
      <c r="AF58" s="589">
        <f>+'4. Intervenciones UDT - HCBM'!S147</f>
        <v>36000</v>
      </c>
      <c r="AG58" s="589">
        <f>+Tabla1[[#This Row],[Año 3 Cto. Directo]]*(1+$Y$3)</f>
        <v>36378</v>
      </c>
      <c r="AH58" s="589">
        <f>+'4. Intervenciones UDT - HCBM'!T147</f>
        <v>36000</v>
      </c>
      <c r="AI58" s="589">
        <f>+Tabla1[[#This Row],[Año 4 Cto. Directo]]*(1+$Y$3)</f>
        <v>36378</v>
      </c>
      <c r="AJ58" s="589">
        <f>+'4. Intervenciones UDT - HCBM'!U147</f>
        <v>36000</v>
      </c>
      <c r="AK58" s="589">
        <f>+Tabla1[[#This Row],[Año 5 Cto. Directo]]*(1+$Y$3)</f>
        <v>36378</v>
      </c>
      <c r="AL58" s="403">
        <f>+'4. Intervenciones UDT - HCBM'!V147</f>
        <v>0</v>
      </c>
      <c r="AM58" s="954"/>
      <c r="AN58" s="954"/>
      <c r="AO58" s="954" t="str">
        <f>+'4. Intervenciones UDT - HCBM'!Y147</f>
        <v>X</v>
      </c>
      <c r="AP58" s="954"/>
      <c r="AQ58" s="954"/>
      <c r="AR58" s="954">
        <f>+'4. Intervenciones UDT - HCBM'!AB147</f>
        <v>3</v>
      </c>
      <c r="AS58" s="403">
        <f t="shared" si="1"/>
        <v>1</v>
      </c>
      <c r="AT58" s="403"/>
      <c r="AU58" s="403"/>
    </row>
    <row r="59" spans="1:47" s="195" customFormat="1" ht="15.8" hidden="1" customHeight="1" x14ac:dyDescent="0.3">
      <c r="A59" s="403"/>
      <c r="B59" s="403" t="str">
        <f>'4. Intervenciones UDT - HCBM'!$C$8</f>
        <v>UDT HUALLAGA CENTRAL Y BAJO MAYO</v>
      </c>
      <c r="C59" s="403" t="str">
        <f>'4. Intervenciones UDT - HCBM'!$F$139</f>
        <v>Parque Nacional del Río Abiseo</v>
      </c>
      <c r="D59" s="404" t="str">
        <f>+'4. Intervenciones UDT - HCBM'!A148</f>
        <v>Programas de inversión privada</v>
      </c>
      <c r="E59" s="404" t="str">
        <f>+'4. Intervenciones UDT - HCBM'!C148</f>
        <v>1.8.2</v>
      </c>
      <c r="F59" s="403" t="str">
        <f>+'4. Intervenciones UDT - HCBM'!D148</f>
        <v>Promoción del turismo comunitario en zona de amortiguamiento y al interior del parque</v>
      </c>
      <c r="G59" s="403" t="str">
        <f>+'4. Intervenciones UDT - HCBM'!E148</f>
        <v xml:space="preserve">Campañas de promoción y difusión en el ámbito regional y nacional de los circuitos turísticos que existen en la zona de amortiguamiento. acorde al plan maestro del parque.  </v>
      </c>
      <c r="H59" s="948" t="s">
        <v>1857</v>
      </c>
      <c r="I59" s="946" t="s">
        <v>203</v>
      </c>
      <c r="J59" s="946" t="s">
        <v>2596</v>
      </c>
      <c r="K59" s="946" t="s">
        <v>2335</v>
      </c>
      <c r="L59" s="946" t="s">
        <v>205</v>
      </c>
      <c r="M59" s="418" t="s">
        <v>1881</v>
      </c>
      <c r="N59" s="948" t="s">
        <v>1879</v>
      </c>
      <c r="O59" s="948" t="s">
        <v>232</v>
      </c>
      <c r="P59" s="951" t="s">
        <v>1886</v>
      </c>
      <c r="Q59" s="948" t="str">
        <f>+'4. Intervenciones UDT - HCBM'!F148</f>
        <v>Campañas de promoción</v>
      </c>
      <c r="R59" s="403">
        <f>+'4. Intervenciones UDT - HCBM'!I148</f>
        <v>0</v>
      </c>
      <c r="S59" s="408">
        <f>+'4. Intervenciones UDT - HCBM'!J148</f>
        <v>36</v>
      </c>
      <c r="T59" s="408">
        <f>+'4. Intervenciones UDT - HCBM'!K148</f>
        <v>36</v>
      </c>
      <c r="U59" s="408">
        <f>+'4. Intervenciones UDT - HCBM'!L148</f>
        <v>4000</v>
      </c>
      <c r="V59" s="403" t="str">
        <f>+'4. Intervenciones UDT - HCBM'!M148</f>
        <v>Campañas de promoción que incluye, impresión de material de difusión, publicidad radial, televisiva y escrita.</v>
      </c>
      <c r="W59" s="403" t="str">
        <f>+'4. Intervenciones UDT - HCBM'!N148</f>
        <v>ARA, SERFOR, SERNANP, CIMA</v>
      </c>
      <c r="X59" s="589">
        <f>+'4. Intervenciones UDT - HCBM'!O148</f>
        <v>720000</v>
      </c>
      <c r="Y59" s="589">
        <f>+Tabla1[[#This Row],[2025 Directo]]*(1+$Y$3)</f>
        <v>727560</v>
      </c>
      <c r="Z59" s="589">
        <f>+'4. Intervenciones UDT - HCBM'!P148</f>
        <v>720000</v>
      </c>
      <c r="AA59" s="589">
        <f>+Tabla1[[#This Row],[2030 Directo]]*(1+$Y$3)</f>
        <v>727560</v>
      </c>
      <c r="AB59" s="589">
        <f>+'4. Intervenciones UDT - HCBM'!Q148</f>
        <v>144000</v>
      </c>
      <c r="AC59" s="589">
        <f>+Tabla1[[#This Row],[Año 1 Cto Directo]]*(1+$Y$3)</f>
        <v>145512</v>
      </c>
      <c r="AD59" s="589">
        <f>+'4. Intervenciones UDT - HCBM'!R148</f>
        <v>144000</v>
      </c>
      <c r="AE59" s="589">
        <f>+Tabla1[[#This Row],[Año 2 Cto. Directo]]*(1+$Y$3)</f>
        <v>145512</v>
      </c>
      <c r="AF59" s="589">
        <f>+'4. Intervenciones UDT - HCBM'!S148</f>
        <v>144000</v>
      </c>
      <c r="AG59" s="589">
        <f>+Tabla1[[#This Row],[Año 3 Cto. Directo]]*(1+$Y$3)</f>
        <v>145512</v>
      </c>
      <c r="AH59" s="589">
        <f>+'4. Intervenciones UDT - HCBM'!T148</f>
        <v>144000</v>
      </c>
      <c r="AI59" s="589">
        <f>+Tabla1[[#This Row],[Año 4 Cto. Directo]]*(1+$Y$3)</f>
        <v>145512</v>
      </c>
      <c r="AJ59" s="589">
        <f>+'4. Intervenciones UDT - HCBM'!U148</f>
        <v>144000</v>
      </c>
      <c r="AK59" s="589">
        <f>+Tabla1[[#This Row],[Año 5 Cto. Directo]]*(1+$Y$3)</f>
        <v>145512</v>
      </c>
      <c r="AL59" s="403">
        <f>+'4. Intervenciones UDT - HCBM'!V148</f>
        <v>0</v>
      </c>
      <c r="AM59" s="954"/>
      <c r="AN59" s="954" t="str">
        <f>+'4. Intervenciones UDT - HCBM'!X148</f>
        <v>X</v>
      </c>
      <c r="AO59" s="954"/>
      <c r="AP59" s="954"/>
      <c r="AQ59" s="954"/>
      <c r="AR59" s="954">
        <f>+'4. Intervenciones UDT - HCBM'!AB148</f>
        <v>3</v>
      </c>
      <c r="AS59" s="403">
        <f t="shared" si="1"/>
        <v>1</v>
      </c>
    </row>
    <row r="60" spans="1:47" s="195" customFormat="1" ht="15.8" hidden="1" customHeight="1" x14ac:dyDescent="0.3">
      <c r="A60" s="403"/>
      <c r="B60" s="403" t="str">
        <f>'4. Intervenciones UDT - HCBM'!$C$8</f>
        <v>UDT HUALLAGA CENTRAL Y BAJO MAYO</v>
      </c>
      <c r="C60" s="403" t="str">
        <f>'4. Intervenciones UDT - HCBM'!$F$139</f>
        <v>Parque Nacional del Río Abiseo</v>
      </c>
      <c r="D60" s="404" t="str">
        <f>+'4. Intervenciones UDT - HCBM'!A149</f>
        <v>Programas de inversión privada</v>
      </c>
      <c r="E60" s="404" t="str">
        <f>+'4. Intervenciones UDT - HCBM'!C149</f>
        <v>1.8.3</v>
      </c>
      <c r="F60" s="403" t="str">
        <f>+'4. Intervenciones UDT - HCBM'!D149</f>
        <v>Promoción de agroforestería sostenible en zona de amortiguamiento del parque</v>
      </c>
      <c r="G60" s="403" t="str">
        <f>+'4. Intervenciones UDT - HCBM'!E149</f>
        <v>Realizar pasantías focalizadas en aquellos sectores claves que se necesita intervenir para disminuir la presión del parque.</v>
      </c>
      <c r="H60" s="948" t="s">
        <v>1857</v>
      </c>
      <c r="I60" s="946" t="s">
        <v>203</v>
      </c>
      <c r="J60" s="946" t="s">
        <v>2596</v>
      </c>
      <c r="K60" s="946" t="s">
        <v>2335</v>
      </c>
      <c r="L60" s="946" t="s">
        <v>205</v>
      </c>
      <c r="M60" s="418" t="s">
        <v>1881</v>
      </c>
      <c r="N60" s="948" t="s">
        <v>1879</v>
      </c>
      <c r="O60" s="948" t="s">
        <v>232</v>
      </c>
      <c r="P60" s="951" t="s">
        <v>1886</v>
      </c>
      <c r="Q60" s="948" t="str">
        <f>+'4. Intervenciones UDT - HCBM'!F149</f>
        <v>Pasantías</v>
      </c>
      <c r="R60" s="403">
        <f>+'4. Intervenciones UDT - HCBM'!I149</f>
        <v>0</v>
      </c>
      <c r="S60" s="408">
        <f>+'4. Intervenciones UDT - HCBM'!J149</f>
        <v>36</v>
      </c>
      <c r="T60" s="408">
        <f>+'4. Intervenciones UDT - HCBM'!K149</f>
        <v>36</v>
      </c>
      <c r="U60" s="408">
        <f>+'4. Intervenciones UDT - HCBM'!L149</f>
        <v>5000</v>
      </c>
      <c r="V60" s="403" t="str">
        <f>+'4. Intervenciones UDT - HCBM'!M149</f>
        <v>El costo hace referencia a los gastos de pasajes, alimentación y otros para un grupo de 20 productores por pasantía.</v>
      </c>
      <c r="W60" s="403" t="str">
        <f>+'4. Intervenciones UDT - HCBM'!N149</f>
        <v>ARA, SERFOR, SERNANP, CIMA</v>
      </c>
      <c r="X60" s="589">
        <f>+'4. Intervenciones UDT - HCBM'!O149</f>
        <v>900000</v>
      </c>
      <c r="Y60" s="589">
        <f>+Tabla1[[#This Row],[2025 Directo]]*(1+$Y$3)</f>
        <v>909450</v>
      </c>
      <c r="Z60" s="589">
        <f>+'4. Intervenciones UDT - HCBM'!P149</f>
        <v>900000</v>
      </c>
      <c r="AA60" s="589">
        <f>+Tabla1[[#This Row],[2030 Directo]]*(1+$Y$3)</f>
        <v>909450</v>
      </c>
      <c r="AB60" s="589">
        <f>+'4. Intervenciones UDT - HCBM'!Q149</f>
        <v>180000</v>
      </c>
      <c r="AC60" s="589">
        <f>+Tabla1[[#This Row],[Año 1 Cto Directo]]*(1+$Y$3)</f>
        <v>181890</v>
      </c>
      <c r="AD60" s="589">
        <f>+'4. Intervenciones UDT - HCBM'!R149</f>
        <v>180000</v>
      </c>
      <c r="AE60" s="589">
        <f>+Tabla1[[#This Row],[Año 2 Cto. Directo]]*(1+$Y$3)</f>
        <v>181890</v>
      </c>
      <c r="AF60" s="589">
        <f>+'4. Intervenciones UDT - HCBM'!S149</f>
        <v>180000</v>
      </c>
      <c r="AG60" s="589">
        <f>+Tabla1[[#This Row],[Año 3 Cto. Directo]]*(1+$Y$3)</f>
        <v>181890</v>
      </c>
      <c r="AH60" s="589">
        <f>+'4. Intervenciones UDT - HCBM'!T149</f>
        <v>180000</v>
      </c>
      <c r="AI60" s="589">
        <f>+Tabla1[[#This Row],[Año 4 Cto. Directo]]*(1+$Y$3)</f>
        <v>181890</v>
      </c>
      <c r="AJ60" s="589">
        <f>+'4. Intervenciones UDT - HCBM'!U149</f>
        <v>180000</v>
      </c>
      <c r="AK60" s="589">
        <f>+Tabla1[[#This Row],[Año 5 Cto. Directo]]*(1+$Y$3)</f>
        <v>181890</v>
      </c>
      <c r="AL60" s="403">
        <f>+'4. Intervenciones UDT - HCBM'!V149</f>
        <v>0</v>
      </c>
      <c r="AM60" s="954"/>
      <c r="AN60" s="954" t="str">
        <f>+'4. Intervenciones UDT - HCBM'!X149</f>
        <v>X</v>
      </c>
      <c r="AO60" s="954"/>
      <c r="AP60" s="954"/>
      <c r="AQ60" s="954"/>
      <c r="AR60" s="954">
        <f>+'4. Intervenciones UDT - HCBM'!AB149</f>
        <v>3</v>
      </c>
      <c r="AS60" s="403">
        <f t="shared" si="1"/>
        <v>1</v>
      </c>
    </row>
    <row r="61" spans="1:47" s="195" customFormat="1" ht="15.8" hidden="1" customHeight="1" x14ac:dyDescent="0.3">
      <c r="A61" s="403"/>
      <c r="B61" s="403" t="str">
        <f>'4. Intervenciones UDT - HCBM'!$C$8</f>
        <v>UDT HUALLAGA CENTRAL Y BAJO MAYO</v>
      </c>
      <c r="C61" s="403" t="str">
        <f>'4. Intervenciones UDT - HCBM'!$F$153</f>
        <v>ZOCRES</v>
      </c>
      <c r="D61" s="404" t="str">
        <f>+'4. Intervenciones UDT - HCBM'!A161</f>
        <v>Invasiones</v>
      </c>
      <c r="E61" s="404" t="str">
        <f>+'4. Intervenciones UDT - HCBM'!C161</f>
        <v>1.9.1</v>
      </c>
      <c r="F61" s="404" t="str">
        <f>+'4. Intervenciones UDT - HCBM'!D161</f>
        <v>Adecuación de ZoCRE a unidad de ordenamiento forestal y/o titulo habilitante forestal y de fauna silvestre de acuerdo a LFFS (Ley No 29763)</v>
      </c>
      <c r="G61" s="404" t="str">
        <f>+'4. Intervenciones UDT - HCBM'!E161</f>
        <v xml:space="preserve">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v>
      </c>
      <c r="H61" s="948" t="s">
        <v>1857</v>
      </c>
      <c r="I61" s="946" t="s">
        <v>199</v>
      </c>
      <c r="J61" s="946" t="s">
        <v>2591</v>
      </c>
      <c r="K61" s="946" t="s">
        <v>2331</v>
      </c>
      <c r="L61" s="946" t="s">
        <v>202</v>
      </c>
      <c r="M61" s="418" t="s">
        <v>1858</v>
      </c>
      <c r="N61" s="948" t="s">
        <v>1859</v>
      </c>
      <c r="O61" s="948" t="s">
        <v>223</v>
      </c>
      <c r="P61" s="951" t="s">
        <v>1860</v>
      </c>
      <c r="Q61" s="948" t="str">
        <f>+'4. Intervenciones UDT - HCBM'!F161</f>
        <v>Ha. con categoría territorial asignada</v>
      </c>
      <c r="R61" s="408">
        <f>+'4. Intervenciones UDT - HCBM'!I161</f>
        <v>37076.060156214648</v>
      </c>
      <c r="S61" s="408">
        <f>+'4. Intervenciones UDT - HCBM'!J161</f>
        <v>18538.030078107324</v>
      </c>
      <c r="T61" s="408">
        <f>+'4. Intervenciones UDT - HCBM'!K161</f>
        <v>18538.030078107324</v>
      </c>
      <c r="U61" s="408">
        <f>+'4. Intervenciones UDT - HCBM'!L161</f>
        <v>15</v>
      </c>
      <c r="V61" s="403" t="str">
        <f>+'4. Intervenciones UDT - HCBM'!M161</f>
        <v>Para la implementación de las intervención será mecesario la contratación de especialistas para realizar las acciones que comtemplen dicha actividad. Gastos logísticos y trámites documentarios.</v>
      </c>
      <c r="W61" s="403" t="str">
        <f>+'4. Intervenciones UDT - HCBM'!N161</f>
        <v>GRSM - DEGT</v>
      </c>
      <c r="X61" s="589">
        <f>+'4. Intervenciones UDT - HCBM'!O161</f>
        <v>278070.45117160986</v>
      </c>
      <c r="Y61" s="589">
        <f>+Tabla1[[#This Row],[2025 Directo]]*(1+$Y$3)</f>
        <v>280990.19090891175</v>
      </c>
      <c r="Z61" s="589">
        <f>+'4. Intervenciones UDT - HCBM'!P161</f>
        <v>278070.45117160986</v>
      </c>
      <c r="AA61" s="589">
        <f>+Tabla1[[#This Row],[2030 Directo]]*(1+$Y$3)</f>
        <v>280990.19090891175</v>
      </c>
      <c r="AB61" s="589">
        <f>+'4. Intervenciones UDT - HCBM'!Q161</f>
        <v>55614.090234321979</v>
      </c>
      <c r="AC61" s="589">
        <f>+Tabla1[[#This Row],[Año 1 Cto Directo]]*(1+$Y$3)</f>
        <v>56198.038181782358</v>
      </c>
      <c r="AD61" s="589">
        <f>+'4. Intervenciones UDT - HCBM'!R161</f>
        <v>55614.090234321979</v>
      </c>
      <c r="AE61" s="589">
        <f>+Tabla1[[#This Row],[Año 2 Cto. Directo]]*(1+$Y$3)</f>
        <v>56198.038181782358</v>
      </c>
      <c r="AF61" s="589">
        <f>+'4. Intervenciones UDT - HCBM'!S161</f>
        <v>55614.090234321979</v>
      </c>
      <c r="AG61" s="589">
        <f>+Tabla1[[#This Row],[Año 3 Cto. Directo]]*(1+$Y$3)</f>
        <v>56198.038181782358</v>
      </c>
      <c r="AH61" s="589">
        <f>+'4. Intervenciones UDT - HCBM'!T161</f>
        <v>55614.090234321979</v>
      </c>
      <c r="AI61" s="589">
        <f>+Tabla1[[#This Row],[Año 4 Cto. Directo]]*(1+$Y$3)</f>
        <v>56198.038181782358</v>
      </c>
      <c r="AJ61" s="589">
        <f>+'4. Intervenciones UDT - HCBM'!U161</f>
        <v>55614.090234321979</v>
      </c>
      <c r="AK61" s="589">
        <f>+Tabla1[[#This Row],[Año 5 Cto. Directo]]*(1+$Y$3)</f>
        <v>56198.038181782358</v>
      </c>
      <c r="AL61" s="403">
        <f>+'4. Intervenciones UDT - HCBM'!V161</f>
        <v>0</v>
      </c>
      <c r="AM61" s="954"/>
      <c r="AN61" s="954" t="str">
        <f>+'4. Intervenciones UDT - HCBM'!X161</f>
        <v>X</v>
      </c>
      <c r="AO61" s="954"/>
      <c r="AP61" s="954"/>
      <c r="AQ61" s="954"/>
      <c r="AR61" s="954">
        <f>+'4. Intervenciones UDT - HCBM'!AB161</f>
        <v>3</v>
      </c>
      <c r="AS61" s="403">
        <f t="shared" si="1"/>
        <v>1</v>
      </c>
    </row>
    <row r="62" spans="1:47" s="195" customFormat="1" ht="15.8" hidden="1" customHeight="1" x14ac:dyDescent="0.3">
      <c r="A62" s="403"/>
      <c r="B62" s="403" t="str">
        <f>'4. Intervenciones UDT - HCBM'!$C$8</f>
        <v>UDT HUALLAGA CENTRAL Y BAJO MAYO</v>
      </c>
      <c r="C62" s="403" t="str">
        <f>'4. Intervenciones UDT - HCBM'!$F$153</f>
        <v>ZOCRES</v>
      </c>
      <c r="D62" s="404" t="str">
        <f>+'4. Intervenciones UDT - HCBM'!A162</f>
        <v>Control y vigilancia</v>
      </c>
      <c r="E62" s="404" t="str">
        <f>+'4. Intervenciones UDT - HCBM'!C162</f>
        <v>1.9.2</v>
      </c>
      <c r="F62" s="404" t="str">
        <f>+'4. Intervenciones UDT - HCBM'!D162</f>
        <v>Fortalecimiento de capacidades de los responsables de la administración de las nuevas categorías de ordenamiento forestal y títulos habilitantes forestales</v>
      </c>
      <c r="G62" s="404" t="str">
        <f>+'4. Intervenciones UDT - HCBM'!E162</f>
        <v>Comprende la capacitación en manejo de normatividad forestal y manejo de bosques, contratación de especialistas para tener presencia física en el área, equipamiento e infraestructura.</v>
      </c>
      <c r="H62" s="948" t="s">
        <v>1857</v>
      </c>
      <c r="I62" s="946" t="s">
        <v>199</v>
      </c>
      <c r="J62" s="946" t="s">
        <v>2591</v>
      </c>
      <c r="K62" s="946" t="s">
        <v>2331</v>
      </c>
      <c r="L62" s="946" t="s">
        <v>202</v>
      </c>
      <c r="M62" s="418" t="s">
        <v>1858</v>
      </c>
      <c r="N62" s="948" t="s">
        <v>1859</v>
      </c>
      <c r="O62" s="948" t="s">
        <v>223</v>
      </c>
      <c r="P62" s="951" t="s">
        <v>1860</v>
      </c>
      <c r="Q62" s="948" t="str">
        <f>+'4. Intervenciones UDT - HCBM'!F162</f>
        <v xml:space="preserve">N° de responsables de administración que aprueban evaluación de capacitación </v>
      </c>
      <c r="R62" s="408">
        <f>+'4. Intervenciones UDT - HCBM'!I162</f>
        <v>0</v>
      </c>
      <c r="S62" s="408">
        <f>+'4. Intervenciones UDT - HCBM'!J162</f>
        <v>20</v>
      </c>
      <c r="T62" s="408">
        <f>+'4. Intervenciones UDT - HCBM'!K162</f>
        <v>20</v>
      </c>
      <c r="U62" s="408">
        <f>+'4. Intervenciones UDT - HCBM'!L162</f>
        <v>150</v>
      </c>
      <c r="V62" s="403" t="str">
        <f>+'4. Intervenciones UDT - HCBM'!M162</f>
        <v>Considera materiales de capacitación, alimentación a capacitados en el área cercana a su comunidad y gastos de capacitadores</v>
      </c>
      <c r="W62" s="403" t="str">
        <f>+'4. Intervenciones UDT - HCBM'!N162</f>
        <v>GRSM - DEGT</v>
      </c>
      <c r="X62" s="589">
        <f>+'4. Intervenciones UDT - HCBM'!O162</f>
        <v>3000</v>
      </c>
      <c r="Y62" s="589">
        <f>+Tabla1[[#This Row],[2025 Directo]]*(1+$Y$3)</f>
        <v>3031.5</v>
      </c>
      <c r="Z62" s="589">
        <f>+'4. Intervenciones UDT - HCBM'!P162</f>
        <v>3000</v>
      </c>
      <c r="AA62" s="589">
        <f>+Tabla1[[#This Row],[2030 Directo]]*(1+$Y$3)</f>
        <v>3031.5</v>
      </c>
      <c r="AB62" s="589">
        <f>+'4. Intervenciones UDT - HCBM'!Q162</f>
        <v>3000</v>
      </c>
      <c r="AC62" s="589">
        <f>+Tabla1[[#This Row],[Año 1 Cto Directo]]*(1+$Y$3)</f>
        <v>3031.5</v>
      </c>
      <c r="AD62" s="589">
        <f>+'4. Intervenciones UDT - HCBM'!R162</f>
        <v>0</v>
      </c>
      <c r="AE62" s="589">
        <f>+Tabla1[[#This Row],[Año 2 Cto. Directo]]*(1+$Y$3)</f>
        <v>0</v>
      </c>
      <c r="AF62" s="589">
        <f>+'4. Intervenciones UDT - HCBM'!S162</f>
        <v>0</v>
      </c>
      <c r="AG62" s="589">
        <f>+Tabla1[[#This Row],[Año 3 Cto. Directo]]*(1+$Y$3)</f>
        <v>0</v>
      </c>
      <c r="AH62" s="589">
        <f>+'4. Intervenciones UDT - HCBM'!T162</f>
        <v>0</v>
      </c>
      <c r="AI62" s="589">
        <f>+Tabla1[[#This Row],[Año 4 Cto. Directo]]*(1+$Y$3)</f>
        <v>0</v>
      </c>
      <c r="AJ62" s="589">
        <f>+'4. Intervenciones UDT - HCBM'!U162</f>
        <v>0</v>
      </c>
      <c r="AK62" s="589">
        <f>+Tabla1[[#This Row],[Año 5 Cto. Directo]]*(1+$Y$3)</f>
        <v>0</v>
      </c>
      <c r="AL62" s="403">
        <f>+'4. Intervenciones UDT - HCBM'!V162</f>
        <v>0</v>
      </c>
      <c r="AM62" s="954"/>
      <c r="AN62" s="954" t="str">
        <f>+'4. Intervenciones UDT - HCBM'!X162</f>
        <v>X</v>
      </c>
      <c r="AO62" s="954"/>
      <c r="AP62" s="954"/>
      <c r="AQ62" s="954"/>
      <c r="AR62" s="954">
        <f>+'4. Intervenciones UDT - HCBM'!AB162</f>
        <v>2</v>
      </c>
      <c r="AS62" s="403">
        <f t="shared" ref="AS62:AS78" si="4">COUNTIF(AM62:AP62, "X")</f>
        <v>1</v>
      </c>
    </row>
    <row r="63" spans="1:47" s="195" customFormat="1" ht="15.8" hidden="1" customHeight="1" x14ac:dyDescent="0.3">
      <c r="A63" s="403"/>
      <c r="B63" s="403" t="str">
        <f>'4. Intervenciones UDT - HCBM'!$C$8</f>
        <v>UDT HUALLAGA CENTRAL Y BAJO MAYO</v>
      </c>
      <c r="C63" s="403" t="str">
        <f>'4. Intervenciones UDT - HCBM'!$F$153</f>
        <v>ZOCRES</v>
      </c>
      <c r="D63" s="404" t="str">
        <f>+'4. Intervenciones UDT - HCBM'!A163</f>
        <v>Control y vigilancia</v>
      </c>
      <c r="E63" s="404" t="str">
        <f>+'4. Intervenciones UDT - HCBM'!C163</f>
        <v>1.9.3</v>
      </c>
      <c r="F63" s="403" t="str">
        <f>+'4. Intervenciones UDT - HCBM'!D163</f>
        <v>Elaboración del plan/declaración de manejo de las nuevas categorías de ordenamiento forestal y títulos habilitantes forestales</v>
      </c>
      <c r="G63" s="403" t="str">
        <f>+'4. Intervenciones UDT - HCBM'!E163</f>
        <v>Dependiendo de la categoría forestal a ser aplicada, se realizará un plan/declaración acorde la unidad, en el marco de la ley forestal y fauna silvestre N° 29763.</v>
      </c>
      <c r="H63" s="948" t="s">
        <v>1857</v>
      </c>
      <c r="I63" s="946" t="s">
        <v>199</v>
      </c>
      <c r="J63" s="946" t="s">
        <v>2591</v>
      </c>
      <c r="K63" s="946" t="s">
        <v>2331</v>
      </c>
      <c r="L63" s="946" t="s">
        <v>202</v>
      </c>
      <c r="M63" s="418" t="s">
        <v>1858</v>
      </c>
      <c r="N63" s="948" t="s">
        <v>1859</v>
      </c>
      <c r="O63" s="948" t="s">
        <v>223</v>
      </c>
      <c r="P63" s="951" t="s">
        <v>1860</v>
      </c>
      <c r="Q63" s="948" t="str">
        <f>+'4. Intervenciones UDT - HCBM'!F163</f>
        <v>N° Planes / Declaraciones elaborados</v>
      </c>
      <c r="R63" s="408">
        <f>+'4. Intervenciones UDT - HCBM'!I163</f>
        <v>0</v>
      </c>
      <c r="S63" s="408">
        <f>+'4. Intervenciones UDT - HCBM'!J163</f>
        <v>5</v>
      </c>
      <c r="T63" s="408">
        <f>+'4. Intervenciones UDT - HCBM'!K163</f>
        <v>5</v>
      </c>
      <c r="U63" s="408">
        <f>+'4. Intervenciones UDT - HCBM'!L163</f>
        <v>10000</v>
      </c>
      <c r="V63" s="403" t="str">
        <f>+'4. Intervenciones UDT - HCBM'!M163</f>
        <v>Se considera la contratación de profesionales para la elaboración de los expedientes y/o declaraciones identificadas en los diferentes procesos.</v>
      </c>
      <c r="W63" s="403" t="str">
        <f>+'4. Intervenciones UDT - HCBM'!N163</f>
        <v>GRSM - DEGT</v>
      </c>
      <c r="X63" s="589">
        <f>+'4. Intervenciones UDT - HCBM'!O163</f>
        <v>50000</v>
      </c>
      <c r="Y63" s="589">
        <f>+Tabla1[[#This Row],[2025 Directo]]*(1+$Y$3)</f>
        <v>50525</v>
      </c>
      <c r="Z63" s="589">
        <f>+'4. Intervenciones UDT - HCBM'!P163</f>
        <v>50000</v>
      </c>
      <c r="AA63" s="589">
        <f>+Tabla1[[#This Row],[2030 Directo]]*(1+$Y$3)</f>
        <v>50525</v>
      </c>
      <c r="AB63" s="589">
        <f>+'4. Intervenciones UDT - HCBM'!Q163</f>
        <v>15000</v>
      </c>
      <c r="AC63" s="589">
        <f>+Tabla1[[#This Row],[Año 1 Cto Directo]]*(1+$Y$3)</f>
        <v>15157.5</v>
      </c>
      <c r="AD63" s="589">
        <f>+'4. Intervenciones UDT - HCBM'!R163</f>
        <v>15000</v>
      </c>
      <c r="AE63" s="589">
        <f>+Tabla1[[#This Row],[Año 2 Cto. Directo]]*(1+$Y$3)</f>
        <v>15157.5</v>
      </c>
      <c r="AF63" s="589">
        <f>+'4. Intervenciones UDT - HCBM'!S163</f>
        <v>20000</v>
      </c>
      <c r="AG63" s="589">
        <f>+Tabla1[[#This Row],[Año 3 Cto. Directo]]*(1+$Y$3)</f>
        <v>20210</v>
      </c>
      <c r="AH63" s="589">
        <f>+'4. Intervenciones UDT - HCBM'!T163</f>
        <v>0</v>
      </c>
      <c r="AI63" s="589">
        <f>+Tabla1[[#This Row],[Año 4 Cto. Directo]]*(1+$Y$3)</f>
        <v>0</v>
      </c>
      <c r="AJ63" s="589">
        <f>+'4. Intervenciones UDT - HCBM'!U163</f>
        <v>0</v>
      </c>
      <c r="AK63" s="589">
        <f>+Tabla1[[#This Row],[Año 5 Cto. Directo]]*(1+$Y$3)</f>
        <v>0</v>
      </c>
      <c r="AL63" s="403">
        <f>+'4. Intervenciones UDT - HCBM'!V163</f>
        <v>0</v>
      </c>
      <c r="AM63" s="954"/>
      <c r="AN63" s="954" t="str">
        <f>+'4. Intervenciones UDT - HCBM'!X163</f>
        <v>X</v>
      </c>
      <c r="AO63" s="954"/>
      <c r="AP63" s="954"/>
      <c r="AQ63" s="954"/>
      <c r="AR63" s="954">
        <f>+'4. Intervenciones UDT - HCBM'!AB163</f>
        <v>2</v>
      </c>
      <c r="AS63" s="403">
        <f t="shared" si="4"/>
        <v>1</v>
      </c>
    </row>
    <row r="64" spans="1:47" s="195" customFormat="1" ht="15.8" hidden="1" customHeight="1" x14ac:dyDescent="0.3">
      <c r="A64" s="403"/>
      <c r="B64" s="403" t="str">
        <f>'4. Intervenciones UDT - HCBM'!$C$8</f>
        <v>UDT HUALLAGA CENTRAL Y BAJO MAYO</v>
      </c>
      <c r="C64" s="403" t="str">
        <f>'4. Intervenciones UDT - HCBM'!$F$153</f>
        <v>ZOCRES</v>
      </c>
      <c r="D64" s="404" t="str">
        <f>+'4. Intervenciones UDT - HCBM'!A164</f>
        <v>Invasiones</v>
      </c>
      <c r="E64" s="404" t="str">
        <f>+'4. Intervenciones UDT - HCBM'!C164</f>
        <v>1.9.4</v>
      </c>
      <c r="F64" s="403" t="str">
        <f>+'4. Intervenciones UDT - HCBM'!D164</f>
        <v>Inscripción en el catastro forestal y en registros públicos</v>
      </c>
      <c r="G64" s="403" t="str">
        <f>+'4. Intervenciones UDT - HCBM'!E164</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H64" s="948" t="s">
        <v>1857</v>
      </c>
      <c r="I64" s="946" t="s">
        <v>199</v>
      </c>
      <c r="J64" s="946" t="s">
        <v>2591</v>
      </c>
      <c r="K64" s="946" t="s">
        <v>2331</v>
      </c>
      <c r="L64" s="946" t="s">
        <v>202</v>
      </c>
      <c r="M64" s="418" t="s">
        <v>1858</v>
      </c>
      <c r="N64" s="948" t="s">
        <v>1859</v>
      </c>
      <c r="O64" s="948" t="s">
        <v>223</v>
      </c>
      <c r="P64" s="951" t="s">
        <v>1860</v>
      </c>
      <c r="Q64" s="948" t="str">
        <f>+'4. Intervenciones UDT - HCBM'!F164</f>
        <v>Ha. Inscritas</v>
      </c>
      <c r="R64" s="408">
        <f>+'4. Intervenciones UDT - HCBM'!I164</f>
        <v>37076.060156214648</v>
      </c>
      <c r="S64" s="408">
        <f>+'4. Intervenciones UDT - HCBM'!J164</f>
        <v>18538.030078107324</v>
      </c>
      <c r="T64" s="408">
        <f>+'4. Intervenciones UDT - HCBM'!K164</f>
        <v>18538.030078107324</v>
      </c>
      <c r="U64" s="408">
        <f>+'4. Intervenciones UDT - HCBM'!L164</f>
        <v>1</v>
      </c>
      <c r="V64" s="403" t="str">
        <f>+'4. Intervenciones UDT - HCBM'!M164</f>
        <v>Contratación de dos profesioales para agilizar procesos con sunarp.</v>
      </c>
      <c r="W64" s="403" t="str">
        <f>+'4. Intervenciones UDT - HCBM'!N164</f>
        <v>GRSM - DEGT</v>
      </c>
      <c r="X64" s="589">
        <f>+'4. Intervenciones UDT - HCBM'!O164</f>
        <v>18538.030078107324</v>
      </c>
      <c r="Y64" s="589">
        <f>+Tabla1[[#This Row],[2025 Directo]]*(1+$Y$3)</f>
        <v>18732.67939392745</v>
      </c>
      <c r="Z64" s="589">
        <f>+'4. Intervenciones UDT - HCBM'!P164</f>
        <v>18538.030078107324</v>
      </c>
      <c r="AA64" s="589">
        <f>+Tabla1[[#This Row],[2030 Directo]]*(1+$Y$3)</f>
        <v>18732.67939392745</v>
      </c>
      <c r="AB64" s="589">
        <f>+'4. Intervenciones UDT - HCBM'!Q164</f>
        <v>3707.6060156214648</v>
      </c>
      <c r="AC64" s="589">
        <f>+Tabla1[[#This Row],[Año 1 Cto Directo]]*(1+$Y$3)</f>
        <v>3746.5358787854902</v>
      </c>
      <c r="AD64" s="589">
        <f>+'4. Intervenciones UDT - HCBM'!R164</f>
        <v>3707.6060156214648</v>
      </c>
      <c r="AE64" s="589">
        <f>+Tabla1[[#This Row],[Año 2 Cto. Directo]]*(1+$Y$3)</f>
        <v>3746.5358787854902</v>
      </c>
      <c r="AF64" s="589">
        <f>+'4. Intervenciones UDT - HCBM'!S164</f>
        <v>3707.6060156214648</v>
      </c>
      <c r="AG64" s="589">
        <f>+Tabla1[[#This Row],[Año 3 Cto. Directo]]*(1+$Y$3)</f>
        <v>3746.5358787854902</v>
      </c>
      <c r="AH64" s="589">
        <f>+'4. Intervenciones UDT - HCBM'!T164</f>
        <v>3707.6060156214648</v>
      </c>
      <c r="AI64" s="589">
        <f>+Tabla1[[#This Row],[Año 4 Cto. Directo]]*(1+$Y$3)</f>
        <v>3746.5358787854902</v>
      </c>
      <c r="AJ64" s="589">
        <f>+'4. Intervenciones UDT - HCBM'!U164</f>
        <v>3707.6060156214648</v>
      </c>
      <c r="AK64" s="589">
        <f>+Tabla1[[#This Row],[Año 5 Cto. Directo]]*(1+$Y$3)</f>
        <v>3746.5358787854902</v>
      </c>
      <c r="AL64" s="403">
        <f>+'4. Intervenciones UDT - HCBM'!V164</f>
        <v>0</v>
      </c>
      <c r="AM64" s="954"/>
      <c r="AN64" s="954" t="str">
        <f>+'4. Intervenciones UDT - HCBM'!X164</f>
        <v>X</v>
      </c>
      <c r="AO64" s="954"/>
      <c r="AP64" s="954"/>
      <c r="AQ64" s="954"/>
      <c r="AR64" s="954">
        <f>+'4. Intervenciones UDT - HCBM'!AB164</f>
        <v>2</v>
      </c>
      <c r="AS64" s="403">
        <f t="shared" si="4"/>
        <v>1</v>
      </c>
    </row>
    <row r="65" spans="1:45" s="195" customFormat="1" ht="15.8" hidden="1" customHeight="1" x14ac:dyDescent="0.3">
      <c r="A65" s="403"/>
      <c r="B65" s="403" t="str">
        <f>'4. Intervenciones UDT - HCBM'!$C$8</f>
        <v>UDT HUALLAGA CENTRAL Y BAJO MAYO</v>
      </c>
      <c r="C65" s="403" t="str">
        <f>'4. Intervenciones UDT - HCBM'!$F$168</f>
        <v>Tierras sin categoría territorial asignada</v>
      </c>
      <c r="D65" s="404" t="str">
        <f>+'4. Intervenciones UDT - HCBM'!A176</f>
        <v>Invasiones</v>
      </c>
      <c r="E65" s="404" t="str">
        <f>+'4. Intervenciones UDT - HCBM'!C176</f>
        <v>1.10.1</v>
      </c>
      <c r="F65" s="404" t="str">
        <f>+'4. Intervenciones UDT - HCBM'!D176</f>
        <v>Creación y establecimiento de unidades de ordenamiento forestal, otorgamiento de títulos habilitantes forestales y tenencia de la tierra</v>
      </c>
      <c r="G65" s="404" t="str">
        <f>+'4. Intervenciones UDT - HCBM'!E176</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H65" s="948" t="s">
        <v>1857</v>
      </c>
      <c r="I65" s="946" t="s">
        <v>199</v>
      </c>
      <c r="J65" s="946" t="s">
        <v>2591</v>
      </c>
      <c r="K65" s="946" t="s">
        <v>2331</v>
      </c>
      <c r="L65" s="946" t="s">
        <v>202</v>
      </c>
      <c r="M65" s="418" t="s">
        <v>1858</v>
      </c>
      <c r="N65" s="948" t="s">
        <v>1859</v>
      </c>
      <c r="O65" s="948" t="s">
        <v>223</v>
      </c>
      <c r="P65" s="951" t="s">
        <v>1860</v>
      </c>
      <c r="Q65" s="948" t="str">
        <f>+'4. Intervenciones UDT - HCBM'!F176</f>
        <v>Ha. con categoría territorial asignada</v>
      </c>
      <c r="R65" s="408">
        <f>+'4. Intervenciones UDT - HCBM'!I176</f>
        <v>237645.43945778001</v>
      </c>
      <c r="S65" s="408">
        <f>+'4. Intervenciones UDT - HCBM'!J176</f>
        <v>118822.71972889001</v>
      </c>
      <c r="T65" s="408">
        <f>+'4. Intervenciones UDT - HCBM'!K176</f>
        <v>118822.71972889001</v>
      </c>
      <c r="U65" s="408">
        <f>+'4. Intervenciones UDT - HCBM'!L176</f>
        <v>15</v>
      </c>
      <c r="V65" s="408" t="str">
        <f>+'4. Intervenciones UDT - HCBM'!M176</f>
        <v>Para la implementación de las intervención será mecesario la contratación de especialistas para realizar las acciones que comtemplen dicha actividad. Gastos logísticos y trámites documentarios.</v>
      </c>
      <c r="W65" s="408" t="str">
        <f>+'4. Intervenciones UDT - HCBM'!N176</f>
        <v>GRSM - DEGT</v>
      </c>
      <c r="X65" s="589">
        <f>+'4. Intervenciones UDT - HCBM'!O176</f>
        <v>1782340.79593335</v>
      </c>
      <c r="Y65" s="589">
        <f>+Tabla1[[#This Row],[2025 Directo]]*(1+$Y$3)</f>
        <v>1801055.37429065</v>
      </c>
      <c r="Z65" s="589">
        <f>+'4. Intervenciones UDT - HCBM'!P176</f>
        <v>1782340.79593335</v>
      </c>
      <c r="AA65" s="589">
        <f>+Tabla1[[#This Row],[2030 Directo]]*(1+$Y$3)</f>
        <v>1801055.37429065</v>
      </c>
      <c r="AB65" s="589">
        <f>+'4. Intervenciones UDT - HCBM'!Q176</f>
        <v>356468.15918667003</v>
      </c>
      <c r="AC65" s="589">
        <f>+Tabla1[[#This Row],[Año 1 Cto Directo]]*(1+$Y$3)</f>
        <v>360211.07485813007</v>
      </c>
      <c r="AD65" s="589">
        <f>+'4. Intervenciones UDT - HCBM'!R176</f>
        <v>356468.15918667003</v>
      </c>
      <c r="AE65" s="589">
        <f>+Tabla1[[#This Row],[Año 2 Cto. Directo]]*(1+$Y$3)</f>
        <v>360211.07485813007</v>
      </c>
      <c r="AF65" s="589">
        <f>+'4. Intervenciones UDT - HCBM'!S176</f>
        <v>356468.15918667003</v>
      </c>
      <c r="AG65" s="589">
        <f>+Tabla1[[#This Row],[Año 3 Cto. Directo]]*(1+$Y$3)</f>
        <v>360211.07485813007</v>
      </c>
      <c r="AH65" s="589">
        <f>+'4. Intervenciones UDT - HCBM'!T176</f>
        <v>356468.15918667003</v>
      </c>
      <c r="AI65" s="589">
        <f>+Tabla1[[#This Row],[Año 4 Cto. Directo]]*(1+$Y$3)</f>
        <v>360211.07485813007</v>
      </c>
      <c r="AJ65" s="589">
        <f>+'4. Intervenciones UDT - HCBM'!U176</f>
        <v>356468.15918667003</v>
      </c>
      <c r="AK65" s="589">
        <f>+Tabla1[[#This Row],[Año 5 Cto. Directo]]*(1+$Y$3)</f>
        <v>360211.07485813007</v>
      </c>
      <c r="AL65" s="408">
        <f>+'4. Intervenciones UDT - HCBM'!V176</f>
        <v>0</v>
      </c>
      <c r="AM65" s="955"/>
      <c r="AN65" s="955" t="str">
        <f>+'4. Intervenciones UDT - HCBM'!X176</f>
        <v>X</v>
      </c>
      <c r="AO65" s="955"/>
      <c r="AP65" s="955"/>
      <c r="AQ65" s="955"/>
      <c r="AR65" s="954">
        <f>+'4. Intervenciones UDT - HCBM'!AB176</f>
        <v>3</v>
      </c>
      <c r="AS65" s="403">
        <f t="shared" si="4"/>
        <v>1</v>
      </c>
    </row>
    <row r="66" spans="1:45" s="195" customFormat="1" ht="15.8" hidden="1" customHeight="1" x14ac:dyDescent="0.3">
      <c r="A66" s="403"/>
      <c r="B66" s="403" t="str">
        <f>'4. Intervenciones UDT - HCBM'!$C$8</f>
        <v>UDT HUALLAGA CENTRAL Y BAJO MAYO</v>
      </c>
      <c r="C66" s="403" t="str">
        <f>'4. Intervenciones UDT - HCBM'!$F$168</f>
        <v>Tierras sin categoría territorial asignada</v>
      </c>
      <c r="D66" s="404" t="str">
        <f>+'4. Intervenciones UDT - HCBM'!A177</f>
        <v>Control y vigilancia</v>
      </c>
      <c r="E66" s="404" t="str">
        <f>+'4. Intervenciones UDT - HCBM'!C177</f>
        <v>1.10.2</v>
      </c>
      <c r="F66" s="404" t="str">
        <f>+'4. Intervenciones UDT - HCBM'!D177</f>
        <v>Fortalecimiento de capacidades de los responsables de la administración de las nuevas categorías de ordenamiento forestal y títulos habilitantes forestales</v>
      </c>
      <c r="G66" s="404" t="str">
        <f>+'4. Intervenciones UDT - HCBM'!E177</f>
        <v>Comprende la capacitación en manejo de normatividad forestal y manejo de bosques, contratación de especialistas para tener presencia física en el área, equipamiento e infraestructura.</v>
      </c>
      <c r="H66" s="948" t="s">
        <v>1857</v>
      </c>
      <c r="I66" s="946" t="s">
        <v>199</v>
      </c>
      <c r="J66" s="946" t="s">
        <v>2591</v>
      </c>
      <c r="K66" s="946" t="s">
        <v>2331</v>
      </c>
      <c r="L66" s="946" t="s">
        <v>202</v>
      </c>
      <c r="M66" s="418" t="s">
        <v>1858</v>
      </c>
      <c r="N66" s="948" t="s">
        <v>1859</v>
      </c>
      <c r="O66" s="948" t="s">
        <v>223</v>
      </c>
      <c r="P66" s="951" t="s">
        <v>1860</v>
      </c>
      <c r="Q66" s="948" t="str">
        <f>+'4. Intervenciones UDT - HCBM'!F177</f>
        <v xml:space="preserve">N° de responsables de administración que aprueban evaluación de capacitación </v>
      </c>
      <c r="R66" s="408">
        <f>+'4. Intervenciones UDT - HCBM'!I177</f>
        <v>0</v>
      </c>
      <c r="S66" s="408">
        <f>+'4. Intervenciones UDT - HCBM'!J177</f>
        <v>100</v>
      </c>
      <c r="T66" s="408">
        <f>+'4. Intervenciones UDT - HCBM'!K177</f>
        <v>80</v>
      </c>
      <c r="U66" s="408">
        <f>+'4. Intervenciones UDT - HCBM'!L177</f>
        <v>150</v>
      </c>
      <c r="V66" s="408" t="str">
        <f>+'4. Intervenciones UDT - HCBM'!M177</f>
        <v>Considera materiales de capacitación, alimentación a capacitados en el área cercana a su comunidad y gastos de capacitadores</v>
      </c>
      <c r="W66" s="408" t="str">
        <f>+'4. Intervenciones UDT - HCBM'!N177</f>
        <v>GRSM - DEGT</v>
      </c>
      <c r="X66" s="589">
        <f>+'4. Intervenciones UDT - HCBM'!O177</f>
        <v>15000</v>
      </c>
      <c r="Y66" s="589">
        <f>+Tabla1[[#This Row],[2025 Directo]]*(1+$Y$3)</f>
        <v>15157.5</v>
      </c>
      <c r="Z66" s="589">
        <f>+'4. Intervenciones UDT - HCBM'!P177</f>
        <v>12000</v>
      </c>
      <c r="AA66" s="589">
        <f>+Tabla1[[#This Row],[2030 Directo]]*(1+$Y$3)</f>
        <v>12126</v>
      </c>
      <c r="AB66" s="589">
        <f>+'4. Intervenciones UDT - HCBM'!Q177</f>
        <v>15000</v>
      </c>
      <c r="AC66" s="589">
        <f>+Tabla1[[#This Row],[Año 1 Cto Directo]]*(1+$Y$3)</f>
        <v>15157.5</v>
      </c>
      <c r="AD66" s="589">
        <f>+'4. Intervenciones UDT - HCBM'!R177</f>
        <v>0</v>
      </c>
      <c r="AE66" s="589">
        <f>+Tabla1[[#This Row],[Año 2 Cto. Directo]]*(1+$Y$3)</f>
        <v>0</v>
      </c>
      <c r="AF66" s="589">
        <f>+'4. Intervenciones UDT - HCBM'!S177</f>
        <v>0</v>
      </c>
      <c r="AG66" s="589">
        <f>+Tabla1[[#This Row],[Año 3 Cto. Directo]]*(1+$Y$3)</f>
        <v>0</v>
      </c>
      <c r="AH66" s="589">
        <f>+'4. Intervenciones UDT - HCBM'!T177</f>
        <v>0</v>
      </c>
      <c r="AI66" s="589">
        <f>+Tabla1[[#This Row],[Año 4 Cto. Directo]]*(1+$Y$3)</f>
        <v>0</v>
      </c>
      <c r="AJ66" s="589">
        <f>+'4. Intervenciones UDT - HCBM'!U177</f>
        <v>0</v>
      </c>
      <c r="AK66" s="589">
        <f>+Tabla1[[#This Row],[Año 5 Cto. Directo]]*(1+$Y$3)</f>
        <v>0</v>
      </c>
      <c r="AL66" s="408">
        <f>+'4. Intervenciones UDT - HCBM'!V177</f>
        <v>0</v>
      </c>
      <c r="AM66" s="955"/>
      <c r="AN66" s="955" t="str">
        <f>+'4. Intervenciones UDT - HCBM'!X177</f>
        <v>X</v>
      </c>
      <c r="AO66" s="955"/>
      <c r="AP66" s="955"/>
      <c r="AQ66" s="955"/>
      <c r="AR66" s="954">
        <f>+'4. Intervenciones UDT - HCBM'!AB177</f>
        <v>2</v>
      </c>
      <c r="AS66" s="403">
        <f t="shared" si="4"/>
        <v>1</v>
      </c>
    </row>
    <row r="67" spans="1:45" s="195" customFormat="1" ht="15.8" hidden="1" customHeight="1" x14ac:dyDescent="0.3">
      <c r="A67" s="403"/>
      <c r="B67" s="403" t="str">
        <f>'4. Intervenciones UDT - HCBM'!$C$8</f>
        <v>UDT HUALLAGA CENTRAL Y BAJO MAYO</v>
      </c>
      <c r="C67" s="403" t="str">
        <f>'4. Intervenciones UDT - HCBM'!$F$168</f>
        <v>Tierras sin categoría territorial asignada</v>
      </c>
      <c r="D67" s="404" t="str">
        <f>+'4. Intervenciones UDT - HCBM'!A178</f>
        <v>Control y vigilancia</v>
      </c>
      <c r="E67" s="404" t="str">
        <f>+'4. Intervenciones UDT - HCBM'!C178</f>
        <v>1.10.3</v>
      </c>
      <c r="F67" s="404" t="str">
        <f>+'4. Intervenciones UDT - HCBM'!D178</f>
        <v>Elaboración del plan/declaración de manejo de las nuevas categorías de ordenamiento forestal y títulos habilitantes forestales</v>
      </c>
      <c r="G67" s="404" t="str">
        <f>+'4. Intervenciones UDT - HCBM'!E178</f>
        <v>Dependiendo de la categoría forestal a ser aplicada, se realizará un plan/declaración acorde a la unidad, en el marco de la ley forestal y fauna silvestre N° 29763.</v>
      </c>
      <c r="H67" s="948" t="s">
        <v>1857</v>
      </c>
      <c r="I67" s="946" t="s">
        <v>199</v>
      </c>
      <c r="J67" s="946" t="s">
        <v>2591</v>
      </c>
      <c r="K67" s="946" t="s">
        <v>2331</v>
      </c>
      <c r="L67" s="946" t="s">
        <v>202</v>
      </c>
      <c r="M67" s="418" t="s">
        <v>1858</v>
      </c>
      <c r="N67" s="948" t="s">
        <v>1859</v>
      </c>
      <c r="O67" s="948" t="s">
        <v>223</v>
      </c>
      <c r="P67" s="951" t="s">
        <v>1860</v>
      </c>
      <c r="Q67" s="948" t="str">
        <f>+'4. Intervenciones UDT - HCBM'!F178</f>
        <v>N° Planes / Declaraciones elaborados</v>
      </c>
      <c r="R67" s="408">
        <f>+'4. Intervenciones UDT - HCBM'!I178</f>
        <v>0</v>
      </c>
      <c r="S67" s="408">
        <f>+'4. Intervenciones UDT - HCBM'!J178</f>
        <v>10</v>
      </c>
      <c r="T67" s="408">
        <f>+'4. Intervenciones UDT - HCBM'!K178</f>
        <v>10</v>
      </c>
      <c r="U67" s="408">
        <f>+'4. Intervenciones UDT - HCBM'!L178</f>
        <v>10000</v>
      </c>
      <c r="V67" s="408" t="str">
        <f>+'4. Intervenciones UDT - HCBM'!M178</f>
        <v>Se considera la contratación de profesionales para la elaboración de los expedientes y/o declaraciones identificadas en los diferentes procesos.</v>
      </c>
      <c r="W67" s="408" t="str">
        <f>+'4. Intervenciones UDT - HCBM'!N178</f>
        <v>GRSM - DEGT</v>
      </c>
      <c r="X67" s="589">
        <f>+'4. Intervenciones UDT - HCBM'!O178</f>
        <v>100000</v>
      </c>
      <c r="Y67" s="589">
        <f>+Tabla1[[#This Row],[2025 Directo]]*(1+$Y$3)</f>
        <v>101050</v>
      </c>
      <c r="Z67" s="589">
        <f>+'4. Intervenciones UDT - HCBM'!P178</f>
        <v>100000</v>
      </c>
      <c r="AA67" s="589">
        <f>+Tabla1[[#This Row],[2030 Directo]]*(1+$Y$3)</f>
        <v>101050</v>
      </c>
      <c r="AB67" s="589">
        <f>+'4. Intervenciones UDT - HCBM'!Q178</f>
        <v>30000</v>
      </c>
      <c r="AC67" s="589">
        <f>+Tabla1[[#This Row],[Año 1 Cto Directo]]*(1+$Y$3)</f>
        <v>30315</v>
      </c>
      <c r="AD67" s="589">
        <f>+'4. Intervenciones UDT - HCBM'!R178</f>
        <v>30000</v>
      </c>
      <c r="AE67" s="589">
        <f>+Tabla1[[#This Row],[Año 2 Cto. Directo]]*(1+$Y$3)</f>
        <v>30315</v>
      </c>
      <c r="AF67" s="589">
        <f>+'4. Intervenciones UDT - HCBM'!S178</f>
        <v>40000</v>
      </c>
      <c r="AG67" s="589">
        <f>+Tabla1[[#This Row],[Año 3 Cto. Directo]]*(1+$Y$3)</f>
        <v>40420</v>
      </c>
      <c r="AH67" s="589">
        <f>+'4. Intervenciones UDT - HCBM'!T178</f>
        <v>0</v>
      </c>
      <c r="AI67" s="589">
        <f>+Tabla1[[#This Row],[Año 4 Cto. Directo]]*(1+$Y$3)</f>
        <v>0</v>
      </c>
      <c r="AJ67" s="589">
        <f>+'4. Intervenciones UDT - HCBM'!U178</f>
        <v>0</v>
      </c>
      <c r="AK67" s="589">
        <f>+Tabla1[[#This Row],[Año 5 Cto. Directo]]*(1+$Y$3)</f>
        <v>0</v>
      </c>
      <c r="AL67" s="408">
        <f>+'4. Intervenciones UDT - HCBM'!V178</f>
        <v>0</v>
      </c>
      <c r="AM67" s="955"/>
      <c r="AN67" s="955" t="str">
        <f>+'4. Intervenciones UDT - HCBM'!X178</f>
        <v>X</v>
      </c>
      <c r="AO67" s="955"/>
      <c r="AP67" s="955"/>
      <c r="AQ67" s="955"/>
      <c r="AR67" s="954">
        <f>+'4. Intervenciones UDT - HCBM'!AB178</f>
        <v>2</v>
      </c>
      <c r="AS67" s="403">
        <f t="shared" si="4"/>
        <v>1</v>
      </c>
    </row>
    <row r="68" spans="1:45" s="195" customFormat="1" ht="15.8" hidden="1" customHeight="1" x14ac:dyDescent="0.3">
      <c r="A68" s="403"/>
      <c r="B68" s="403" t="str">
        <f>'4. Intervenciones UDT - HCBM'!$C$8</f>
        <v>UDT HUALLAGA CENTRAL Y BAJO MAYO</v>
      </c>
      <c r="C68" s="403" t="str">
        <f>'4. Intervenciones UDT - HCBM'!$F$168</f>
        <v>Tierras sin categoría territorial asignada</v>
      </c>
      <c r="D68" s="404" t="str">
        <f>+'4. Intervenciones UDT - HCBM'!A179</f>
        <v>Invasiones</v>
      </c>
      <c r="E68" s="404" t="str">
        <f>+'4. Intervenciones UDT - HCBM'!C179</f>
        <v>1.10.4</v>
      </c>
      <c r="F68" s="404" t="str">
        <f>+'4. Intervenciones UDT - HCBM'!D179</f>
        <v>Inscripción en el catastro forestal y en registros públicos</v>
      </c>
      <c r="G68" s="404" t="str">
        <f>+'4. Intervenciones UDT - HCBM'!E179</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H68" s="948" t="s">
        <v>1857</v>
      </c>
      <c r="I68" s="946" t="s">
        <v>199</v>
      </c>
      <c r="J68" s="946" t="s">
        <v>2591</v>
      </c>
      <c r="K68" s="946" t="s">
        <v>2331</v>
      </c>
      <c r="L68" s="946" t="s">
        <v>202</v>
      </c>
      <c r="M68" s="418" t="s">
        <v>1858</v>
      </c>
      <c r="N68" s="948" t="s">
        <v>1859</v>
      </c>
      <c r="O68" s="948" t="s">
        <v>223</v>
      </c>
      <c r="P68" s="951" t="s">
        <v>1860</v>
      </c>
      <c r="Q68" s="948" t="str">
        <f>+'4. Intervenciones UDT - HCBM'!F179</f>
        <v>Ha. Inscritas</v>
      </c>
      <c r="R68" s="408">
        <f>+'4. Intervenciones UDT - HCBM'!I179</f>
        <v>237645.43945778001</v>
      </c>
      <c r="S68" s="408">
        <f>+'4. Intervenciones UDT - HCBM'!J179</f>
        <v>118822.71972889001</v>
      </c>
      <c r="T68" s="408">
        <f>+'4. Intervenciones UDT - HCBM'!K179</f>
        <v>118822.71972889001</v>
      </c>
      <c r="U68" s="408">
        <f>+'4. Intervenciones UDT - HCBM'!L179</f>
        <v>1</v>
      </c>
      <c r="V68" s="408" t="str">
        <f>+'4. Intervenciones UDT - HCBM'!M179</f>
        <v>Contratación de dos profesioales para agilizar procesos con sunarp.</v>
      </c>
      <c r="W68" s="408" t="str">
        <f>+'4. Intervenciones UDT - HCBM'!N179</f>
        <v>GRSM - DEGT</v>
      </c>
      <c r="X68" s="589">
        <f>+'4. Intervenciones UDT - HCBM'!O179</f>
        <v>118822.71972889001</v>
      </c>
      <c r="Y68" s="589">
        <f>+Tabla1[[#This Row],[2025 Directo]]*(1+$Y$3)</f>
        <v>120070.35828604335</v>
      </c>
      <c r="Z68" s="589">
        <f>+'4. Intervenciones UDT - HCBM'!P179</f>
        <v>118822.71972889001</v>
      </c>
      <c r="AA68" s="589">
        <f>+Tabla1[[#This Row],[2030 Directo]]*(1+$Y$3)</f>
        <v>120070.35828604335</v>
      </c>
      <c r="AB68" s="589">
        <f>+'4. Intervenciones UDT - HCBM'!Q179</f>
        <v>23764.543945778001</v>
      </c>
      <c r="AC68" s="589">
        <f>+Tabla1[[#This Row],[Año 1 Cto Directo]]*(1+$Y$3)</f>
        <v>24014.071657208668</v>
      </c>
      <c r="AD68" s="589">
        <f>+'4. Intervenciones UDT - HCBM'!R179</f>
        <v>23764.543945778001</v>
      </c>
      <c r="AE68" s="589">
        <f>+Tabla1[[#This Row],[Año 2 Cto. Directo]]*(1+$Y$3)</f>
        <v>24014.071657208668</v>
      </c>
      <c r="AF68" s="589">
        <f>+'4. Intervenciones UDT - HCBM'!S179</f>
        <v>23764.543945778001</v>
      </c>
      <c r="AG68" s="589">
        <f>+Tabla1[[#This Row],[Año 3 Cto. Directo]]*(1+$Y$3)</f>
        <v>24014.071657208668</v>
      </c>
      <c r="AH68" s="589">
        <f>+'4. Intervenciones UDT - HCBM'!T179</f>
        <v>23764.543945778001</v>
      </c>
      <c r="AI68" s="589">
        <f>+Tabla1[[#This Row],[Año 4 Cto. Directo]]*(1+$Y$3)</f>
        <v>24014.071657208668</v>
      </c>
      <c r="AJ68" s="589">
        <f>+'4. Intervenciones UDT - HCBM'!U179</f>
        <v>23764.543945778001</v>
      </c>
      <c r="AK68" s="589">
        <f>+Tabla1[[#This Row],[Año 5 Cto. Directo]]*(1+$Y$3)</f>
        <v>24014.071657208668</v>
      </c>
      <c r="AL68" s="408">
        <f>+'4. Intervenciones UDT - HCBM'!V179</f>
        <v>0</v>
      </c>
      <c r="AM68" s="955"/>
      <c r="AN68" s="955" t="str">
        <f>+'4. Intervenciones UDT - HCBM'!X179</f>
        <v>X</v>
      </c>
      <c r="AO68" s="955"/>
      <c r="AP68" s="955"/>
      <c r="AQ68" s="955"/>
      <c r="AR68" s="954">
        <f>+'4. Intervenciones UDT - HCBM'!AB179</f>
        <v>2</v>
      </c>
      <c r="AS68" s="403">
        <f t="shared" si="4"/>
        <v>1</v>
      </c>
    </row>
    <row r="69" spans="1:45" s="195" customFormat="1" ht="16.3" hidden="1" x14ac:dyDescent="0.3">
      <c r="A69" s="403"/>
      <c r="B69" s="403" t="str">
        <f>'4. Intervenciones UDT - HCBM'!$C$8</f>
        <v>UDT HUALLAGA CENTRAL Y BAJO MAYO</v>
      </c>
      <c r="C69" s="403" t="str">
        <f>'4. Intervenciones UDT - HCBM'!$F$168</f>
        <v>Tierras sin categoría territorial asignada</v>
      </c>
      <c r="D69" s="404" t="str">
        <f>+'4. Intervenciones UDT - HCBM'!A180</f>
        <v>Ingresos y Capital</v>
      </c>
      <c r="E69" s="404" t="str">
        <f>+'4. Intervenciones UDT - HCBM'!C180</f>
        <v>1.10.5</v>
      </c>
      <c r="F69" s="404" t="str">
        <f>+'4. Intervenciones UDT - HCBM'!D180</f>
        <v>Restauración de áreas degradadas</v>
      </c>
      <c r="G69" s="404" t="str">
        <f>+'4. Intervenciones UDT - HCBM'!E180</f>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v>
      </c>
      <c r="H69" s="948" t="s">
        <v>1857</v>
      </c>
      <c r="I69" s="946" t="s">
        <v>203</v>
      </c>
      <c r="J69" s="946" t="s">
        <v>2595</v>
      </c>
      <c r="K69" s="946" t="s">
        <v>2333</v>
      </c>
      <c r="L69" s="946" t="s">
        <v>204</v>
      </c>
      <c r="M69" s="418" t="s">
        <v>1878</v>
      </c>
      <c r="N69" s="948" t="s">
        <v>1859</v>
      </c>
      <c r="O69" s="948" t="s">
        <v>223</v>
      </c>
      <c r="P69" s="951" t="s">
        <v>1860</v>
      </c>
      <c r="Q69" s="948" t="str">
        <f>+'4. Intervenciones UDT - HCBM'!F180</f>
        <v>Hectáreas restauradas</v>
      </c>
      <c r="R69" s="408">
        <f>+'4. Intervenciones UDT - HCBM'!I180</f>
        <v>0</v>
      </c>
      <c r="S69" s="408">
        <f>+'4. Intervenciones UDT - HCBM'!J180</f>
        <v>44125.567761421902</v>
      </c>
      <c r="T69" s="408">
        <f>+'4. Intervenciones UDT - HCBM'!K180</f>
        <v>44125.567761421902</v>
      </c>
      <c r="U69" s="408">
        <f>+'4. Intervenciones UDT - HCBM'!L180</f>
        <v>500</v>
      </c>
      <c r="V69" s="408" t="str">
        <f>+'4. Intervenciones UDT - HCBM'!M180</f>
        <v>El costo incluye la restauración de una hectárea, esta actividad se desarrollara de acuerdo a la metodología propuesta por el ARA, en coordinación con los productores seleccionados.</v>
      </c>
      <c r="W69" s="408" t="str">
        <f>+'4. Intervenciones UDT - HCBM'!N180</f>
        <v>ARA</v>
      </c>
      <c r="X69" s="589">
        <f>+'4. Intervenciones UDT - HCBM'!O180</f>
        <v>22062783.880710952</v>
      </c>
      <c r="Y69" s="589">
        <f>+Tabla1[[#This Row],[2025 Directo]]*(1+$Y$3)</f>
        <v>22294443.111458417</v>
      </c>
      <c r="Z69" s="589">
        <f>+'4. Intervenciones UDT - HCBM'!P180</f>
        <v>22062783.880710952</v>
      </c>
      <c r="AA69" s="589">
        <f>+Tabla1[[#This Row],[2030 Directo]]*(1+$Y$3)</f>
        <v>22294443.111458417</v>
      </c>
      <c r="AB69" s="589">
        <f>+'4. Intervenciones UDT - HCBM'!Q180</f>
        <v>22062783.880710952</v>
      </c>
      <c r="AC69" s="589">
        <f>+Tabla1[[#This Row],[Año 1 Cto Directo]]*(1+$Y$3)</f>
        <v>22294443.111458417</v>
      </c>
      <c r="AD69" s="589">
        <f>+'4. Intervenciones UDT - HCBM'!R180</f>
        <v>0</v>
      </c>
      <c r="AE69" s="589">
        <f>+Tabla1[[#This Row],[Año 2 Cto. Directo]]*(1+$Y$3)</f>
        <v>0</v>
      </c>
      <c r="AF69" s="589">
        <f>+'4. Intervenciones UDT - HCBM'!S180</f>
        <v>0</v>
      </c>
      <c r="AG69" s="589">
        <f>+Tabla1[[#This Row],[Año 3 Cto. Directo]]*(1+$Y$3)</f>
        <v>0</v>
      </c>
      <c r="AH69" s="589">
        <f>+'4. Intervenciones UDT - HCBM'!T180</f>
        <v>0</v>
      </c>
      <c r="AI69" s="589">
        <f>+Tabla1[[#This Row],[Año 4 Cto. Directo]]*(1+$Y$3)</f>
        <v>0</v>
      </c>
      <c r="AJ69" s="589">
        <f>+'4. Intervenciones UDT - HCBM'!U180</f>
        <v>0</v>
      </c>
      <c r="AK69" s="589">
        <f>+Tabla1[[#This Row],[Año 5 Cto. Directo]]*(1+$Y$3)</f>
        <v>0</v>
      </c>
      <c r="AL69" s="408">
        <f>+'4. Intervenciones UDT - HCBM'!V180</f>
        <v>0</v>
      </c>
      <c r="AM69" s="955"/>
      <c r="AN69" s="955" t="str">
        <f>+'4. Intervenciones UDT - HCBM'!X180</f>
        <v>X</v>
      </c>
      <c r="AO69" s="955"/>
      <c r="AP69" s="955"/>
      <c r="AQ69" s="955"/>
      <c r="AR69" s="954">
        <f>+'4. Intervenciones UDT - HCBM'!AB180</f>
        <v>3</v>
      </c>
      <c r="AS69" s="403">
        <f t="shared" si="4"/>
        <v>1</v>
      </c>
    </row>
    <row r="70" spans="1:45" s="195" customFormat="1" ht="15.8" hidden="1" customHeight="1" x14ac:dyDescent="0.3">
      <c r="A70" s="403"/>
      <c r="B70" s="403" t="str">
        <f>'4. Intervenciones UDT - HCBM'!$C$8</f>
        <v>UDT HUALLAGA CENTRAL Y BAJO MAYO</v>
      </c>
      <c r="C70" s="403" t="str">
        <f>'4. Intervenciones UDT - HCBM'!$C$185</f>
        <v>Intervenciones Transversales x UDT</v>
      </c>
      <c r="D70" s="404" t="str">
        <f>+'4. Intervenciones UDT - HCBM'!A188</f>
        <v>Programas de inversión pública</v>
      </c>
      <c r="E70" s="404" t="str">
        <f>+'4. Intervenciones UDT - HCBM'!C188</f>
        <v>1.11.1</v>
      </c>
      <c r="F70" s="404" t="str">
        <f>+'4. Intervenciones UDT - HCBM'!D188</f>
        <v>Acuerdos con rondas campesinas y rondas nativas para cumplimiento de compromisos de no deforestación y tráfico de tierras e invasiones</v>
      </c>
      <c r="G70" s="404" t="str">
        <f>+'4. Intervenciones UDT - HCBM'!E188</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H70" s="948" t="s">
        <v>1857</v>
      </c>
      <c r="I70" s="946" t="s">
        <v>199</v>
      </c>
      <c r="J70" s="946" t="s">
        <v>2591</v>
      </c>
      <c r="K70" s="946" t="s">
        <v>2331</v>
      </c>
      <c r="L70" s="946" t="s">
        <v>202</v>
      </c>
      <c r="M70" s="418" t="s">
        <v>1858</v>
      </c>
      <c r="N70" s="948" t="s">
        <v>1887</v>
      </c>
      <c r="O70" s="948" t="s">
        <v>221</v>
      </c>
      <c r="P70" s="951" t="s">
        <v>1891</v>
      </c>
      <c r="Q70" s="948" t="str">
        <f>+'4. Intervenciones UDT - HCBM'!F188</f>
        <v>Acuerdos con rondas campesinas</v>
      </c>
      <c r="R70" s="405">
        <f>+'4. Intervenciones UDT - HCBM'!I188</f>
        <v>0</v>
      </c>
      <c r="S70" s="405">
        <f>+'4. Intervenciones UDT - HCBM'!J188</f>
        <v>25</v>
      </c>
      <c r="T70" s="405">
        <f>+'4. Intervenciones UDT - HCBM'!K188</f>
        <v>29</v>
      </c>
      <c r="U70" s="405">
        <f>+'4. Intervenciones UDT - HCBM'!L188</f>
        <v>2500</v>
      </c>
      <c r="V70" s="409" t="str">
        <f>+'4. Intervenciones UDT - HCBM'!M188</f>
        <v>Reuniones con los diferentes actores involucrados y la sociedad civil para llegar a acuerdos de no deforestación, lo cual incluye  gastos logísticos en general.</v>
      </c>
      <c r="W70" s="405" t="str">
        <f>+'4. Intervenciones UDT - HCBM'!N188</f>
        <v>GRDS, ARA</v>
      </c>
      <c r="X70" s="588">
        <f>+'4. Intervenciones UDT - HCBM'!O188</f>
        <v>312500</v>
      </c>
      <c r="Y70" s="588">
        <f>+Tabla1[[#This Row],[2025 Directo]]*(1+$Y$3)</f>
        <v>315781.25</v>
      </c>
      <c r="Z70" s="588">
        <f>+'4. Intervenciones UDT - HCBM'!P188</f>
        <v>362500</v>
      </c>
      <c r="AA70" s="588">
        <f>+Tabla1[[#This Row],[2030 Directo]]*(1+$Y$3)</f>
        <v>366306.25</v>
      </c>
      <c r="AB70" s="588">
        <f>+'4. Intervenciones UDT - HCBM'!Q188</f>
        <v>62500</v>
      </c>
      <c r="AC70" s="588">
        <f>+Tabla1[[#This Row],[Año 1 Cto Directo]]*(1+$Y$3)</f>
        <v>63156.25</v>
      </c>
      <c r="AD70" s="588">
        <f>+'4. Intervenciones UDT - HCBM'!R188</f>
        <v>62500</v>
      </c>
      <c r="AE70" s="588">
        <f>+Tabla1[[#This Row],[Año 2 Cto. Directo]]*(1+$Y$3)</f>
        <v>63156.25</v>
      </c>
      <c r="AF70" s="588">
        <f>+'4. Intervenciones UDT - HCBM'!S188</f>
        <v>62500</v>
      </c>
      <c r="AG70" s="588">
        <f>+Tabla1[[#This Row],[Año 3 Cto. Directo]]*(1+$Y$3)</f>
        <v>63156.25</v>
      </c>
      <c r="AH70" s="588">
        <f>+'4. Intervenciones UDT - HCBM'!T188</f>
        <v>62500</v>
      </c>
      <c r="AI70" s="588">
        <f>+Tabla1[[#This Row],[Año 4 Cto. Directo]]*(1+$Y$3)</f>
        <v>63156.25</v>
      </c>
      <c r="AJ70" s="588">
        <f>+'4. Intervenciones UDT - HCBM'!U188</f>
        <v>62500</v>
      </c>
      <c r="AK70" s="588">
        <f>+Tabla1[[#This Row],[Año 5 Cto. Directo]]*(1+$Y$3)</f>
        <v>63156.25</v>
      </c>
      <c r="AL70" s="405">
        <f>+'4. Intervenciones UDT - HCBM'!V188</f>
        <v>0</v>
      </c>
      <c r="AM70" s="956"/>
      <c r="AN70" s="956"/>
      <c r="AO70" s="956" t="str">
        <f>+'4. Intervenciones UDT - HCBM'!Y188</f>
        <v>X</v>
      </c>
      <c r="AP70" s="956"/>
      <c r="AQ70" s="956" t="str">
        <f>+'4. Intervenciones UDT - HCBM'!AA188</f>
        <v>RE</v>
      </c>
      <c r="AR70" s="954">
        <f>+'4. Intervenciones UDT - HCBM'!AB188</f>
        <v>3</v>
      </c>
      <c r="AS70" s="403">
        <f t="shared" si="4"/>
        <v>1</v>
      </c>
    </row>
    <row r="71" spans="1:45" s="195" customFormat="1" ht="15.8" hidden="1" customHeight="1" x14ac:dyDescent="0.3">
      <c r="A71" s="403"/>
      <c r="B71" s="403" t="str">
        <f>'4. Intervenciones UDT - HCBM'!$C$8</f>
        <v>UDT HUALLAGA CENTRAL Y BAJO MAYO</v>
      </c>
      <c r="C71" s="403" t="str">
        <f>'4. Intervenciones UDT - HCBM'!$C$185</f>
        <v>Intervenciones Transversales x UDT</v>
      </c>
      <c r="D71" s="404" t="str">
        <f>+'4. Intervenciones UDT - HCBM'!A189</f>
        <v>Programas de inversión pública</v>
      </c>
      <c r="E71" s="404" t="str">
        <f>+'4. Intervenciones UDT - HCBM'!C189</f>
        <v>1.11.2</v>
      </c>
      <c r="F71" s="404" t="str">
        <f>+'4. Intervenciones UDT - HCBM'!D189</f>
        <v>Fortalecimiento del monitoreo de la cobertura de bosques y control de la tala ilegal (deforestación, extracción de especies forestales de valor comercial y forestales para tutores de cultivos)</v>
      </c>
      <c r="G71" s="404" t="str">
        <f>+'4. Intervenciones UDT - HCBM'!E189</f>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 Esta intervención será apoyada por las organizaciones formales de rondas campesinas rondas nativa si comités de monitoreo.</v>
      </c>
      <c r="H71" s="948" t="s">
        <v>1857</v>
      </c>
      <c r="I71" s="946" t="s">
        <v>203</v>
      </c>
      <c r="J71" s="946" t="s">
        <v>2595</v>
      </c>
      <c r="K71" s="946" t="s">
        <v>2333</v>
      </c>
      <c r="L71" s="946" t="s">
        <v>204</v>
      </c>
      <c r="M71" s="418" t="s">
        <v>1878</v>
      </c>
      <c r="N71" s="948" t="s">
        <v>1887</v>
      </c>
      <c r="O71" s="948" t="s">
        <v>221</v>
      </c>
      <c r="P71" s="951" t="s">
        <v>1891</v>
      </c>
      <c r="Q71" s="948" t="str">
        <f>+'4. Intervenciones UDT - HCBM'!F189</f>
        <v>Especialistas</v>
      </c>
      <c r="R71" s="405">
        <f>+'4. Intervenciones UDT - HCBM'!I189</f>
        <v>0</v>
      </c>
      <c r="S71" s="405">
        <f>+'4. Intervenciones UDT - HCBM'!J189</f>
        <v>5</v>
      </c>
      <c r="T71" s="405">
        <f>+'4. Intervenciones UDT - HCBM'!K189</f>
        <v>5</v>
      </c>
      <c r="U71" s="405">
        <f>+'4. Intervenciones UDT - HCBM'!L189</f>
        <v>5000</v>
      </c>
      <c r="V71" s="409" t="str">
        <f>+'4. Intervenciones UDT - HCBM'!M189</f>
        <v xml:space="preserve">Contratación de especialistas para realizar monitoreo de la cobertura de bosque, desde los diferentes órganos competentes. </v>
      </c>
      <c r="W71" s="405" t="str">
        <f>+'4. Intervenciones UDT - HCBM'!N189</f>
        <v>ARA, Serfor, Sernanp</v>
      </c>
      <c r="X71" s="588">
        <f>+'4. Intervenciones UDT - HCBM'!O189</f>
        <v>1500000</v>
      </c>
      <c r="Y71" s="588">
        <f>+Tabla1[[#This Row],[2025 Directo]]*(1+$Y$3)</f>
        <v>1515750</v>
      </c>
      <c r="Z71" s="588">
        <f>+'4. Intervenciones UDT - HCBM'!P189</f>
        <v>1500000</v>
      </c>
      <c r="AA71" s="588">
        <f>+Tabla1[[#This Row],[2030 Directo]]*(1+$Y$3)</f>
        <v>1515750</v>
      </c>
      <c r="AB71" s="588">
        <f>+'4. Intervenciones UDT - HCBM'!Q189</f>
        <v>300000</v>
      </c>
      <c r="AC71" s="588">
        <f>+Tabla1[[#This Row],[Año 1 Cto Directo]]*(1+$Y$3)</f>
        <v>303150</v>
      </c>
      <c r="AD71" s="588">
        <f>+'4. Intervenciones UDT - HCBM'!R189</f>
        <v>300000</v>
      </c>
      <c r="AE71" s="588">
        <f>+Tabla1[[#This Row],[Año 2 Cto. Directo]]*(1+$Y$3)</f>
        <v>303150</v>
      </c>
      <c r="AF71" s="588">
        <f>+'4. Intervenciones UDT - HCBM'!S189</f>
        <v>300000</v>
      </c>
      <c r="AG71" s="588">
        <f>+Tabla1[[#This Row],[Año 3 Cto. Directo]]*(1+$Y$3)</f>
        <v>303150</v>
      </c>
      <c r="AH71" s="588">
        <f>+'4. Intervenciones UDT - HCBM'!T189</f>
        <v>300000</v>
      </c>
      <c r="AI71" s="588">
        <f>+Tabla1[[#This Row],[Año 4 Cto. Directo]]*(1+$Y$3)</f>
        <v>303150</v>
      </c>
      <c r="AJ71" s="588">
        <f>+'4. Intervenciones UDT - HCBM'!U189</f>
        <v>300000</v>
      </c>
      <c r="AK71" s="588">
        <f>+Tabla1[[#This Row],[Año 5 Cto. Directo]]*(1+$Y$3)</f>
        <v>303150</v>
      </c>
      <c r="AL71" s="405">
        <f>+'4. Intervenciones UDT - HCBM'!V189</f>
        <v>0</v>
      </c>
      <c r="AM71" s="956"/>
      <c r="AN71" s="956" t="str">
        <f>+'4. Intervenciones UDT - HCBM'!X189</f>
        <v>X</v>
      </c>
      <c r="AO71" s="956"/>
      <c r="AP71" s="956"/>
      <c r="AQ71" s="956" t="str">
        <f>+'4. Intervenciones UDT - HCBM'!AA189</f>
        <v>RE</v>
      </c>
      <c r="AR71" s="954">
        <f>+'4. Intervenciones UDT - HCBM'!AB189</f>
        <v>3</v>
      </c>
      <c r="AS71" s="403">
        <f t="shared" si="4"/>
        <v>1</v>
      </c>
    </row>
    <row r="72" spans="1:45" s="195" customFormat="1" ht="15.8" hidden="1" customHeight="1" x14ac:dyDescent="0.3">
      <c r="A72" s="403"/>
      <c r="B72" s="403" t="str">
        <f>'4. Intervenciones UDT - HCBM'!$C$8</f>
        <v>UDT HUALLAGA CENTRAL Y BAJO MAYO</v>
      </c>
      <c r="C72" s="403" t="str">
        <f>'4. Intervenciones UDT - HCBM'!$C$185</f>
        <v>Intervenciones Transversales x UDT</v>
      </c>
      <c r="D72" s="404" t="str">
        <f>+'4. Intervenciones UDT - HCBM'!A190</f>
        <v>Programas de inversión pública</v>
      </c>
      <c r="E72" s="404" t="str">
        <f>+'4. Intervenciones UDT - HCBM'!C190</f>
        <v>1.11.3</v>
      </c>
      <c r="F72" s="404" t="str">
        <f>+'4. Intervenciones UDT - HCBM'!D190</f>
        <v>Mejoramiento de vías de acceso</v>
      </c>
      <c r="G72" s="404" t="str">
        <f>+'4. Intervenciones UDT - HCBM'!E190</f>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v>
      </c>
      <c r="H72" s="948" t="s">
        <v>1857</v>
      </c>
      <c r="I72" s="946" t="s">
        <v>199</v>
      </c>
      <c r="J72" s="946" t="s">
        <v>2598</v>
      </c>
      <c r="K72" s="946" t="s">
        <v>2334</v>
      </c>
      <c r="L72" s="946" t="s">
        <v>200</v>
      </c>
      <c r="M72" s="418" t="s">
        <v>1892</v>
      </c>
      <c r="N72" s="948" t="s">
        <v>1887</v>
      </c>
      <c r="O72" s="948" t="s">
        <v>221</v>
      </c>
      <c r="P72" s="951" t="s">
        <v>1891</v>
      </c>
      <c r="Q72" s="948" t="str">
        <f>+'4. Intervenciones UDT - HCBM'!F190</f>
        <v>Kilómetros mejorados</v>
      </c>
      <c r="R72" s="405">
        <f>+'4. Intervenciones UDT - HCBM'!I190</f>
        <v>2864</v>
      </c>
      <c r="S72" s="405">
        <f>+'4. Intervenciones UDT - HCBM'!J190</f>
        <v>286.40000000000003</v>
      </c>
      <c r="T72" s="405">
        <f>+'4. Intervenciones UDT - HCBM'!K190</f>
        <v>286.40000000000003</v>
      </c>
      <c r="U72" s="405">
        <f>+'4. Intervenciones UDT - HCBM'!L190</f>
        <v>800000</v>
      </c>
      <c r="V72" s="409" t="str">
        <f>+'4. Intervenciones UDT - HCBM'!M190</f>
        <v>Costo promedio por km2 de vía mejorada o asfaltada</v>
      </c>
      <c r="W72" s="405" t="str">
        <f>+'4. Intervenciones UDT - HCBM'!N190</f>
        <v>DRTyTC</v>
      </c>
      <c r="X72" s="588">
        <f>+'4. Intervenciones UDT - HCBM'!O190</f>
        <v>229120000.00000003</v>
      </c>
      <c r="Y72" s="588">
        <f>+Tabla1[[#This Row],[2025 Directo]]*(1+$Y$3)</f>
        <v>231525760.00000003</v>
      </c>
      <c r="Z72" s="588">
        <f>+'4. Intervenciones UDT - HCBM'!P190</f>
        <v>229120000.00000003</v>
      </c>
      <c r="AA72" s="588">
        <f>+Tabla1[[#This Row],[2030 Directo]]*(1+$Y$3)</f>
        <v>231525760.00000003</v>
      </c>
      <c r="AB72" s="588">
        <f>+'4. Intervenciones UDT - HCBM'!Q190</f>
        <v>45824000.000000007</v>
      </c>
      <c r="AC72" s="588">
        <f>+Tabla1[[#This Row],[Año 1 Cto Directo]]*(1+$Y$3)</f>
        <v>46305152.000000007</v>
      </c>
      <c r="AD72" s="588">
        <f>+'4. Intervenciones UDT - HCBM'!R190</f>
        <v>45824000.000000007</v>
      </c>
      <c r="AE72" s="588">
        <f>+Tabla1[[#This Row],[Año 2 Cto. Directo]]*(1+$Y$3)</f>
        <v>46305152.000000007</v>
      </c>
      <c r="AF72" s="588">
        <f>+'4. Intervenciones UDT - HCBM'!S190</f>
        <v>45824000.000000007</v>
      </c>
      <c r="AG72" s="588">
        <f>+Tabla1[[#This Row],[Año 3 Cto. Directo]]*(1+$Y$3)</f>
        <v>46305152.000000007</v>
      </c>
      <c r="AH72" s="588">
        <f>+'4. Intervenciones UDT - HCBM'!T190</f>
        <v>45824000.000000007</v>
      </c>
      <c r="AI72" s="588">
        <f>+Tabla1[[#This Row],[Año 4 Cto. Directo]]*(1+$Y$3)</f>
        <v>46305152.000000007</v>
      </c>
      <c r="AJ72" s="588">
        <f>+'4. Intervenciones UDT - HCBM'!U190</f>
        <v>45824000.000000007</v>
      </c>
      <c r="AK72" s="588">
        <f>+Tabla1[[#This Row],[Año 5 Cto. Directo]]*(1+$Y$3)</f>
        <v>46305152.000000007</v>
      </c>
      <c r="AL72" s="405">
        <f>+'4. Intervenciones UDT - HCBM'!V190</f>
        <v>0</v>
      </c>
      <c r="AM72" s="956" t="str">
        <f>+'4. Intervenciones UDT - HCBM'!W190</f>
        <v>X</v>
      </c>
      <c r="AN72" s="956"/>
      <c r="AO72" s="956"/>
      <c r="AP72" s="956"/>
      <c r="AQ72" s="956">
        <f>+'4. Intervenciones UDT - HCBM'!AA190</f>
        <v>0</v>
      </c>
      <c r="AR72" s="954">
        <f>+'4. Intervenciones UDT - HCBM'!AB190</f>
        <v>3</v>
      </c>
      <c r="AS72" s="403">
        <f t="shared" si="4"/>
        <v>1</v>
      </c>
    </row>
    <row r="73" spans="1:45" s="195" customFormat="1" ht="15.8" hidden="1" customHeight="1" x14ac:dyDescent="0.3">
      <c r="A73" s="403"/>
      <c r="B73" s="403" t="str">
        <f>'4. Intervenciones UDT - HCBM'!$C$8</f>
        <v>UDT HUALLAGA CENTRAL Y BAJO MAYO</v>
      </c>
      <c r="C73" s="403" t="str">
        <f>'4. Intervenciones UDT - HCBM'!$C$185</f>
        <v>Intervenciones Transversales x UDT</v>
      </c>
      <c r="D73" s="404" t="str">
        <f>+'4. Intervenciones UDT - HCBM'!A191</f>
        <v>Programas de inversión pública</v>
      </c>
      <c r="E73" s="404" t="str">
        <f>+'4. Intervenciones UDT - HCBM'!C191</f>
        <v>1.11.4</v>
      </c>
      <c r="F73" s="404" t="str">
        <f>+'4. Intervenciones UDT - HCBM'!D191</f>
        <v>Restauración ecológica del paisaje</v>
      </c>
      <c r="G73" s="404" t="str">
        <f>+'4. Intervenciones UDT - HCBM'!E191</f>
        <v>Se cuenta con 160,810 Ha con probabilidad alta y muy alta para restauración, de las cuales 9,430.30 ha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v>
      </c>
      <c r="H73" s="948" t="s">
        <v>1857</v>
      </c>
      <c r="I73" s="946" t="s">
        <v>203</v>
      </c>
      <c r="J73" s="946" t="s">
        <v>2595</v>
      </c>
      <c r="K73" s="946" t="s">
        <v>2333</v>
      </c>
      <c r="L73" s="946" t="s">
        <v>204</v>
      </c>
      <c r="M73" s="418" t="s">
        <v>1878</v>
      </c>
      <c r="N73" s="948" t="s">
        <v>1887</v>
      </c>
      <c r="O73" s="948" t="s">
        <v>221</v>
      </c>
      <c r="P73" s="951" t="s">
        <v>1891</v>
      </c>
      <c r="Q73" s="948" t="str">
        <f>+'4. Intervenciones UDT - HCBM'!F191</f>
        <v>Hectáreas restauradas</v>
      </c>
      <c r="R73" s="405">
        <f>+'4. Intervenciones UDT - HCBM'!I191</f>
        <v>128243.81000000001</v>
      </c>
      <c r="S73" s="405">
        <f>+'4. Intervenciones UDT - HCBM'!J191</f>
        <v>32060.952500000003</v>
      </c>
      <c r="T73" s="405">
        <f>+'4. Intervenciones UDT - HCBM'!K191</f>
        <v>25648.762000000002</v>
      </c>
      <c r="U73" s="405">
        <f>+'4. Intervenciones UDT - HCBM'!L191</f>
        <v>500</v>
      </c>
      <c r="V73" s="409" t="str">
        <f>+'4. Intervenciones UDT - HCBM'!M191</f>
        <v>El costo incluye la restauración de una hectárea, esta actividad se desarrollara de acuerdo a la metodología propuesta por el ARA, en coordinación con los productores seleccionados.</v>
      </c>
      <c r="W73" s="405" t="str">
        <f>+'4. Intervenciones UDT - HCBM'!N191</f>
        <v>ARA</v>
      </c>
      <c r="X73" s="588">
        <f>+'4. Intervenciones UDT - HCBM'!O191</f>
        <v>16030476.250000002</v>
      </c>
      <c r="Y73" s="588">
        <f>+Tabla1[[#This Row],[2025 Directo]]*(1+$Y$3)</f>
        <v>16198796.250625001</v>
      </c>
      <c r="Z73" s="588">
        <f>+'4. Intervenciones UDT - HCBM'!P191</f>
        <v>12824381.000000002</v>
      </c>
      <c r="AA73" s="588">
        <f>+Tabla1[[#This Row],[2030 Directo]]*(1+$Y$3)</f>
        <v>12959037.000500001</v>
      </c>
      <c r="AB73" s="588">
        <f>+'4. Intervenciones UDT - HCBM'!Q191</f>
        <v>3206095.2500000005</v>
      </c>
      <c r="AC73" s="588">
        <f>+Tabla1[[#This Row],[Año 1 Cto Directo]]*(1+$Y$3)</f>
        <v>3239759.2501250003</v>
      </c>
      <c r="AD73" s="588">
        <f>+'4. Intervenciones UDT - HCBM'!R191</f>
        <v>3206095.2500000005</v>
      </c>
      <c r="AE73" s="588">
        <f>+Tabla1[[#This Row],[Año 2 Cto. Directo]]*(1+$Y$3)</f>
        <v>3239759.2501250003</v>
      </c>
      <c r="AF73" s="588">
        <f>+'4. Intervenciones UDT - HCBM'!S191</f>
        <v>3206095.2500000005</v>
      </c>
      <c r="AG73" s="588">
        <f>+Tabla1[[#This Row],[Año 3 Cto. Directo]]*(1+$Y$3)</f>
        <v>3239759.2501250003</v>
      </c>
      <c r="AH73" s="588">
        <f>+'4. Intervenciones UDT - HCBM'!T191</f>
        <v>3206095.2500000005</v>
      </c>
      <c r="AI73" s="588">
        <f>+Tabla1[[#This Row],[Año 4 Cto. Directo]]*(1+$Y$3)</f>
        <v>3239759.2501250003</v>
      </c>
      <c r="AJ73" s="588">
        <f>+'4. Intervenciones UDT - HCBM'!U191</f>
        <v>3206095.2500000005</v>
      </c>
      <c r="AK73" s="588">
        <f>+Tabla1[[#This Row],[Año 5 Cto. Directo]]*(1+$Y$3)</f>
        <v>3239759.2501250003</v>
      </c>
      <c r="AL73" s="405">
        <f>+'4. Intervenciones UDT - HCBM'!V191</f>
        <v>0</v>
      </c>
      <c r="AM73" s="956"/>
      <c r="AN73" s="956"/>
      <c r="AO73" s="956" t="str">
        <f>+'4. Intervenciones UDT - HCBM'!Y191</f>
        <v>X</v>
      </c>
      <c r="AP73" s="956"/>
      <c r="AQ73" s="956" t="str">
        <f>+'4. Intervenciones UDT - HCBM'!AA191</f>
        <v>RE</v>
      </c>
      <c r="AR73" s="954">
        <f>+'4. Intervenciones UDT - HCBM'!AB191</f>
        <v>3</v>
      </c>
      <c r="AS73" s="403">
        <f t="shared" si="4"/>
        <v>1</v>
      </c>
    </row>
    <row r="74" spans="1:45" s="195" customFormat="1" ht="15.8" hidden="1" customHeight="1" x14ac:dyDescent="0.3">
      <c r="A74" s="403"/>
      <c r="B74" s="403" t="str">
        <f>'4. Intervenciones UDT - HCBM'!$C$8</f>
        <v>UDT HUALLAGA CENTRAL Y BAJO MAYO</v>
      </c>
      <c r="C74" s="403" t="str">
        <f>'4. Intervenciones UDT - HCBM'!$C$185</f>
        <v>Intervenciones Transversales x UDT</v>
      </c>
      <c r="D74" s="404" t="str">
        <f>+'4. Intervenciones UDT - HCBM'!A192</f>
        <v>Programas de inversión pública</v>
      </c>
      <c r="E74" s="404" t="str">
        <f>+'4. Intervenciones UDT - HCBM'!C192</f>
        <v>1.11.5</v>
      </c>
      <c r="F74" s="404" t="str">
        <f>+'4. Intervenciones UDT - HCBM'!D192</f>
        <v>Mejor cobertura y calidad de servicios de educación y salud</v>
      </c>
      <c r="G74" s="404" t="str">
        <f>+'4. Intervenciones UDT - HCBM'!E192</f>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v>
      </c>
      <c r="H74" s="948" t="s">
        <v>1857</v>
      </c>
      <c r="I74" s="946" t="s">
        <v>199</v>
      </c>
      <c r="J74" s="946" t="s">
        <v>2598</v>
      </c>
      <c r="K74" s="946" t="s">
        <v>2334</v>
      </c>
      <c r="L74" s="946" t="s">
        <v>200</v>
      </c>
      <c r="M74" s="418" t="s">
        <v>1892</v>
      </c>
      <c r="N74" s="948" t="s">
        <v>1887</v>
      </c>
      <c r="O74" s="948" t="s">
        <v>221</v>
      </c>
      <c r="P74" s="951" t="s">
        <v>1891</v>
      </c>
      <c r="Q74" s="948" t="str">
        <f>+'4. Intervenciones UDT - HCBM'!F192</f>
        <v>Centros educativos y postas médicas  implementados</v>
      </c>
      <c r="R74" s="405">
        <f>+'4. Intervenciones UDT - HCBM'!I192</f>
        <v>0</v>
      </c>
      <c r="S74" s="405">
        <f>+'4. Intervenciones UDT - HCBM'!J192</f>
        <v>10</v>
      </c>
      <c r="T74" s="405">
        <f>+'4. Intervenciones UDT - HCBM'!K192</f>
        <v>16</v>
      </c>
      <c r="U74" s="405">
        <f>+'4. Intervenciones UDT - HCBM'!L192</f>
        <v>3500000</v>
      </c>
      <c r="V74" s="409" t="str">
        <f>+'4. Intervenciones UDT - HCBM'!M192</f>
        <v xml:space="preserve">El presupuesto esta relacionado a la implementación de la infraestructura, mobiliario y materiales educativos necesarios para que se brinde un servicio de calidad a los niños que aún no reciben dicho servicio de manera permanente. El presupuesto esta relacionado a la implementación de la infraestructura, equipos, materiales, insumos necesarios para que se brinde un servicio de calidad a la población que requiere dicho servicio </v>
      </c>
      <c r="W74" s="405" t="str">
        <f>+'4. Intervenciones UDT - HCBM'!N192</f>
        <v>Colegio de ingenieros de San Martín / GRDS</v>
      </c>
      <c r="X74" s="588">
        <f>+'4. Intervenciones UDT - HCBM'!O192</f>
        <v>35000000</v>
      </c>
      <c r="Y74" s="588">
        <f>+Tabla1[[#This Row],[2025 Directo]]*(1+$Y$3)</f>
        <v>35367500</v>
      </c>
      <c r="Z74" s="588">
        <f>+'4. Intervenciones UDT - HCBM'!P192</f>
        <v>56000000</v>
      </c>
      <c r="AA74" s="588">
        <f>+Tabla1[[#This Row],[2030 Directo]]*(1+$Y$3)</f>
        <v>56588000</v>
      </c>
      <c r="AB74" s="588">
        <f>+'4. Intervenciones UDT - HCBM'!Q192</f>
        <v>7000000</v>
      </c>
      <c r="AC74" s="588">
        <f>+Tabla1[[#This Row],[Año 1 Cto Directo]]*(1+$Y$3)</f>
        <v>7073500</v>
      </c>
      <c r="AD74" s="588">
        <f>+'4. Intervenciones UDT - HCBM'!R192</f>
        <v>7000000</v>
      </c>
      <c r="AE74" s="588">
        <f>+Tabla1[[#This Row],[Año 2 Cto. Directo]]*(1+$Y$3)</f>
        <v>7073500</v>
      </c>
      <c r="AF74" s="588">
        <f>+'4. Intervenciones UDT - HCBM'!S192</f>
        <v>7000000</v>
      </c>
      <c r="AG74" s="588">
        <f>+Tabla1[[#This Row],[Año 3 Cto. Directo]]*(1+$Y$3)</f>
        <v>7073500</v>
      </c>
      <c r="AH74" s="588">
        <f>+'4. Intervenciones UDT - HCBM'!T192</f>
        <v>7000000</v>
      </c>
      <c r="AI74" s="588">
        <f>+Tabla1[[#This Row],[Año 4 Cto. Directo]]*(1+$Y$3)</f>
        <v>7073500</v>
      </c>
      <c r="AJ74" s="588">
        <f>+'4. Intervenciones UDT - HCBM'!U192</f>
        <v>7000000</v>
      </c>
      <c r="AK74" s="588">
        <f>+Tabla1[[#This Row],[Año 5 Cto. Directo]]*(1+$Y$3)</f>
        <v>7073500</v>
      </c>
      <c r="AL74" s="405">
        <f>+'4. Intervenciones UDT - HCBM'!V192</f>
        <v>0</v>
      </c>
      <c r="AM74" s="956"/>
      <c r="AN74" s="956" t="str">
        <f>+'4. Intervenciones UDT - HCBM'!X192</f>
        <v>X</v>
      </c>
      <c r="AO74" s="956"/>
      <c r="AP74" s="956"/>
      <c r="AQ74" s="956" t="str">
        <f>+'4. Intervenciones UDT - HCBM'!AA192</f>
        <v>RE</v>
      </c>
      <c r="AR74" s="954">
        <f>+'4. Intervenciones UDT - HCBM'!AB192</f>
        <v>3</v>
      </c>
      <c r="AS74" s="403">
        <f t="shared" si="4"/>
        <v>1</v>
      </c>
    </row>
    <row r="75" spans="1:45" s="195" customFormat="1" ht="15.8" hidden="1" customHeight="1" x14ac:dyDescent="0.3">
      <c r="A75" s="403"/>
      <c r="B75" s="403" t="str">
        <f>'4. Intervenciones UDT - HCBM'!$C$8</f>
        <v>UDT HUALLAGA CENTRAL Y BAJO MAYO</v>
      </c>
      <c r="C75" s="403" t="str">
        <f>'4. Intervenciones UDT - HCBM'!$C$185</f>
        <v>Intervenciones Transversales x UDT</v>
      </c>
      <c r="D75" s="404" t="str">
        <f>+'4. Intervenciones UDT - HCBM'!A193</f>
        <v>Programas de inversión pública</v>
      </c>
      <c r="E75" s="404" t="str">
        <f>+'4. Intervenciones UDT - HCBM'!C193</f>
        <v>1.11.6</v>
      </c>
      <c r="F75" s="404" t="str">
        <f>+'4. Intervenciones UDT - HCBM'!D193</f>
        <v>Programa de servicios públicos móviles</v>
      </c>
      <c r="G75" s="404" t="str">
        <f>+'4. Intervenciones UDT - HCBM'!E193</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v>
      </c>
      <c r="H75" s="948" t="s">
        <v>1857</v>
      </c>
      <c r="I75" s="946" t="s">
        <v>199</v>
      </c>
      <c r="J75" s="946" t="s">
        <v>2598</v>
      </c>
      <c r="K75" s="946" t="s">
        <v>2334</v>
      </c>
      <c r="L75" s="946" t="s">
        <v>201</v>
      </c>
      <c r="M75" s="418" t="s">
        <v>1883</v>
      </c>
      <c r="N75" s="948" t="s">
        <v>1887</v>
      </c>
      <c r="O75" s="948" t="s">
        <v>221</v>
      </c>
      <c r="P75" s="951" t="s">
        <v>1891</v>
      </c>
      <c r="Q75" s="948" t="str">
        <f>+'4. Intervenciones UDT - HCBM'!F193</f>
        <v>N° campañas</v>
      </c>
      <c r="R75" s="405">
        <f>+'4. Intervenciones UDT - HCBM'!I193</f>
        <v>0</v>
      </c>
      <c r="S75" s="405">
        <f>+'4. Intervenciones UDT - HCBM'!J193</f>
        <v>140</v>
      </c>
      <c r="T75" s="405">
        <f>+'4. Intervenciones UDT - HCBM'!K193</f>
        <v>280</v>
      </c>
      <c r="U75" s="405">
        <f>+'4. Intervenciones UDT - HCBM'!L193</f>
        <v>5000</v>
      </c>
      <c r="V75" s="409" t="str">
        <f>+'4. Intervenciones UDT - HCBM'!M193</f>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v>
      </c>
      <c r="W75" s="405" t="str">
        <f>+'4. Intervenciones UDT - HCBM'!N193</f>
        <v>GRDS</v>
      </c>
      <c r="X75" s="588">
        <f>+'4. Intervenciones UDT - HCBM'!O193</f>
        <v>3500000</v>
      </c>
      <c r="Y75" s="588">
        <f>+Tabla1[[#This Row],[2025 Directo]]*(1+$Y$3)</f>
        <v>3536750</v>
      </c>
      <c r="Z75" s="588">
        <f>+'4. Intervenciones UDT - HCBM'!P193</f>
        <v>7000000</v>
      </c>
      <c r="AA75" s="588">
        <f>+Tabla1[[#This Row],[2030 Directo]]*(1+$Y$3)</f>
        <v>7073500</v>
      </c>
      <c r="AB75" s="588">
        <f>+'4. Intervenciones UDT - HCBM'!Q193</f>
        <v>700000</v>
      </c>
      <c r="AC75" s="588">
        <f>+Tabla1[[#This Row],[Año 1 Cto Directo]]*(1+$Y$3)</f>
        <v>707350</v>
      </c>
      <c r="AD75" s="588">
        <f>+'4. Intervenciones UDT - HCBM'!R193</f>
        <v>700000</v>
      </c>
      <c r="AE75" s="588">
        <f>+Tabla1[[#This Row],[Año 2 Cto. Directo]]*(1+$Y$3)</f>
        <v>707350</v>
      </c>
      <c r="AF75" s="588">
        <f>+'4. Intervenciones UDT - HCBM'!S193</f>
        <v>700000</v>
      </c>
      <c r="AG75" s="588">
        <f>+Tabla1[[#This Row],[Año 3 Cto. Directo]]*(1+$Y$3)</f>
        <v>707350</v>
      </c>
      <c r="AH75" s="588">
        <f>+'4. Intervenciones UDT - HCBM'!T193</f>
        <v>700000</v>
      </c>
      <c r="AI75" s="588">
        <f>+Tabla1[[#This Row],[Año 4 Cto. Directo]]*(1+$Y$3)</f>
        <v>707350</v>
      </c>
      <c r="AJ75" s="588">
        <f>+'4. Intervenciones UDT - HCBM'!U193</f>
        <v>700000</v>
      </c>
      <c r="AK75" s="588">
        <f>+Tabla1[[#This Row],[Año 5 Cto. Directo]]*(1+$Y$3)</f>
        <v>707350</v>
      </c>
      <c r="AL75" s="405">
        <f>+'4. Intervenciones UDT - HCBM'!V193</f>
        <v>0</v>
      </c>
      <c r="AM75" s="956"/>
      <c r="AN75" s="956" t="str">
        <f>+'4. Intervenciones UDT - HCBM'!X193</f>
        <v>X</v>
      </c>
      <c r="AO75" s="956"/>
      <c r="AP75" s="956"/>
      <c r="AQ75" s="956" t="str">
        <f>+'4. Intervenciones UDT - HCBM'!AA193</f>
        <v>RE</v>
      </c>
      <c r="AR75" s="954">
        <f>+'4. Intervenciones UDT - HCBM'!AB193</f>
        <v>3</v>
      </c>
      <c r="AS75" s="403">
        <f t="shared" si="4"/>
        <v>1</v>
      </c>
    </row>
    <row r="76" spans="1:45" s="195" customFormat="1" ht="15.8" hidden="1" customHeight="1" x14ac:dyDescent="0.3">
      <c r="A76" s="403"/>
      <c r="B76" s="403" t="str">
        <f>'4. Intervenciones UDT - HCBM'!$C$8</f>
        <v>UDT HUALLAGA CENTRAL Y BAJO MAYO</v>
      </c>
      <c r="C76" s="403" t="str">
        <f>'4. Intervenciones UDT - HCBM'!$C$185</f>
        <v>Intervenciones Transversales x UDT</v>
      </c>
      <c r="D76" s="404" t="str">
        <f>+'4. Intervenciones UDT - HCBM'!A194</f>
        <v>Programas de inversión pública</v>
      </c>
      <c r="E76" s="404" t="str">
        <f>+'4. Intervenciones UDT - HCBM'!C194</f>
        <v>1.11.7</v>
      </c>
      <c r="F76" s="404" t="str">
        <f>+'4. Intervenciones UDT - HCBM'!D194</f>
        <v xml:space="preserve">Promoción Marca "San Martín Región" y "Aliados por la Conservación" </v>
      </c>
      <c r="G76" s="404" t="str">
        <f>+'4. Intervenciones UDT - HCBM'!E194</f>
        <v>Promoción al acceso de la marca con los productores que cumplan los criterios de elegibilidad solicitados por el programa, como una estrategia de ubicar mercados diferenciados para los productos provenientes de estas zonas.</v>
      </c>
      <c r="H76" s="948" t="s">
        <v>1857</v>
      </c>
      <c r="I76" s="946" t="s">
        <v>193</v>
      </c>
      <c r="J76" s="946" t="s">
        <v>2592</v>
      </c>
      <c r="K76" s="946" t="s">
        <v>2329</v>
      </c>
      <c r="L76" s="946" t="s">
        <v>197</v>
      </c>
      <c r="M76" s="418" t="s">
        <v>1876</v>
      </c>
      <c r="N76" s="948" t="s">
        <v>1887</v>
      </c>
      <c r="O76" s="948" t="s">
        <v>221</v>
      </c>
      <c r="P76" s="951" t="s">
        <v>1891</v>
      </c>
      <c r="Q76" s="948" t="str">
        <f>+'4. Intervenciones UDT - HCBM'!F194</f>
        <v>N° de empresas que acceden a la marca.</v>
      </c>
      <c r="R76" s="405">
        <f>+'4. Intervenciones UDT - HCBM'!I194</f>
        <v>0</v>
      </c>
      <c r="S76" s="405">
        <f>+'4. Intervenciones UDT - HCBM'!J194</f>
        <v>30</v>
      </c>
      <c r="T76" s="405">
        <f>+'4. Intervenciones UDT - HCBM'!K194</f>
        <v>40</v>
      </c>
      <c r="U76" s="405">
        <f>+'4. Intervenciones UDT - HCBM'!L194</f>
        <v>3000</v>
      </c>
      <c r="V76" s="409" t="str">
        <f>+'4. Intervenciones UDT - HCBM'!M194</f>
        <v>El costo incluye: Una inspección anual anunciada,  elaboración de informe de inspección, administración y comunicación, certificación según los estándares de la marca.</v>
      </c>
      <c r="W76" s="405" t="str">
        <f>+'4. Intervenciones UDT - HCBM'!N194</f>
        <v>Dircetur, Drasam</v>
      </c>
      <c r="X76" s="588">
        <f>+'4. Intervenciones UDT - HCBM'!O194</f>
        <v>450000</v>
      </c>
      <c r="Y76" s="588">
        <f>+Tabla1[[#This Row],[2025 Directo]]*(1+$Y$3)</f>
        <v>454725</v>
      </c>
      <c r="Z76" s="588">
        <f>+'4. Intervenciones UDT - HCBM'!P194</f>
        <v>600000</v>
      </c>
      <c r="AA76" s="588">
        <f>+Tabla1[[#This Row],[2030 Directo]]*(1+$Y$3)</f>
        <v>606300</v>
      </c>
      <c r="AB76" s="588">
        <f>+'4. Intervenciones UDT - HCBM'!Q194</f>
        <v>90000</v>
      </c>
      <c r="AC76" s="588">
        <f>+Tabla1[[#This Row],[Año 1 Cto Directo]]*(1+$Y$3)</f>
        <v>90945</v>
      </c>
      <c r="AD76" s="588">
        <f>+'4. Intervenciones UDT - HCBM'!R194</f>
        <v>90000</v>
      </c>
      <c r="AE76" s="588">
        <f>+Tabla1[[#This Row],[Año 2 Cto. Directo]]*(1+$Y$3)</f>
        <v>90945</v>
      </c>
      <c r="AF76" s="588">
        <f>+'4. Intervenciones UDT - HCBM'!S194</f>
        <v>90000</v>
      </c>
      <c r="AG76" s="588">
        <f>+Tabla1[[#This Row],[Año 3 Cto. Directo]]*(1+$Y$3)</f>
        <v>90945</v>
      </c>
      <c r="AH76" s="588">
        <f>+'4. Intervenciones UDT - HCBM'!T194</f>
        <v>90000</v>
      </c>
      <c r="AI76" s="588">
        <f>+Tabla1[[#This Row],[Año 4 Cto. Directo]]*(1+$Y$3)</f>
        <v>90945</v>
      </c>
      <c r="AJ76" s="588">
        <f>+'4. Intervenciones UDT - HCBM'!U194</f>
        <v>90000</v>
      </c>
      <c r="AK76" s="588">
        <f>+Tabla1[[#This Row],[Año 5 Cto. Directo]]*(1+$Y$3)</f>
        <v>90945</v>
      </c>
      <c r="AL76" s="405">
        <f>+'4. Intervenciones UDT - HCBM'!V194</f>
        <v>0</v>
      </c>
      <c r="AM76" s="956"/>
      <c r="AN76" s="956"/>
      <c r="AO76" s="956" t="str">
        <f>+'4. Intervenciones UDT - HCBM'!Y194</f>
        <v>X</v>
      </c>
      <c r="AP76" s="956"/>
      <c r="AQ76" s="956">
        <f>+'4. Intervenciones UDT - HCBM'!AA194</f>
        <v>0</v>
      </c>
      <c r="AR76" s="954">
        <f>+'4. Intervenciones UDT - HCBM'!AB194</f>
        <v>2</v>
      </c>
      <c r="AS76" s="403">
        <f t="shared" si="4"/>
        <v>1</v>
      </c>
    </row>
    <row r="77" spans="1:45" s="195" customFormat="1" ht="15.8" hidden="1" customHeight="1" x14ac:dyDescent="0.3">
      <c r="A77" s="403"/>
      <c r="B77" s="403" t="str">
        <f>'6. Intervenciones UDT- AM'!$C$8</f>
        <v>UDT ALTO MAYO</v>
      </c>
      <c r="C77" s="403" t="str">
        <f>'6. Intervenciones UDT- AM'!$G$10</f>
        <v>Predios de agricultura familiar con producción destinada al autoconsumo y productos de exportación, con título o sin título de propiedad.</v>
      </c>
      <c r="D77" s="404" t="str">
        <f>+'6. Intervenciones UDT- AM'!A18</f>
        <v>Invasiones</v>
      </c>
      <c r="E77" s="404" t="str">
        <f>+'6. Intervenciones UDT- AM'!C18</f>
        <v>2.1.1</v>
      </c>
      <c r="F77" s="404" t="str">
        <f>+'6. Intervenciones UDT- AM'!D18</f>
        <v>Otorgamiento de derechos sobre la tierra/bosques</v>
      </c>
      <c r="G77" s="404" t="str">
        <f>+'6. Intervenciones UDT- AM'!E18</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77" s="948" t="s">
        <v>1857</v>
      </c>
      <c r="I77" s="946" t="s">
        <v>199</v>
      </c>
      <c r="J77" s="946" t="s">
        <v>2591</v>
      </c>
      <c r="K77" s="946" t="s">
        <v>2331</v>
      </c>
      <c r="L77" s="946" t="s">
        <v>202</v>
      </c>
      <c r="M77" s="418" t="s">
        <v>1858</v>
      </c>
      <c r="N77" s="948" t="s">
        <v>1859</v>
      </c>
      <c r="O77" s="948" t="s">
        <v>223</v>
      </c>
      <c r="P77" s="951" t="s">
        <v>1860</v>
      </c>
      <c r="Q77" s="948" t="str">
        <f>+'6. Intervenciones UDT- AM'!F18</f>
        <v>N° Títulos/Contratos otorgados</v>
      </c>
      <c r="R77" s="405">
        <f>+'6. Intervenciones UDT- AM'!I18</f>
        <v>20410.639082625901</v>
      </c>
      <c r="S77" s="405">
        <f>+'6. Intervenciones UDT- AM'!J18</f>
        <v>10205.319541312951</v>
      </c>
      <c r="T77" s="405">
        <f>+'6. Intervenciones UDT- AM'!K18</f>
        <v>10205.319541312951</v>
      </c>
      <c r="U77" s="405">
        <f>+'6. Intervenciones UDT- AM'!L18</f>
        <v>2000</v>
      </c>
      <c r="V77" s="403" t="str">
        <f>+'6. Intervenciones UDT- AM'!M18</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77" s="403" t="str">
        <f>+'6. Intervenciones UDT- AM'!N18</f>
        <v>Programa de titulación PTR 3 / ARA</v>
      </c>
      <c r="X77" s="588">
        <f>+'6. Intervenciones UDT- AM'!O18</f>
        <v>20410639.082625899</v>
      </c>
      <c r="Y77" s="588">
        <f>+Tabla1[[#This Row],[2025 Directo]]*(1+$Y$3)</f>
        <v>20624950.792993471</v>
      </c>
      <c r="Z77" s="588">
        <f>+'6. Intervenciones UDT- AM'!P18</f>
        <v>20410639.082625899</v>
      </c>
      <c r="AA77" s="588">
        <f>+Tabla1[[#This Row],[2030 Directo]]*(1+$Y$3)</f>
        <v>20624950.792993471</v>
      </c>
      <c r="AB77" s="588">
        <f>+'6. Intervenciones UDT- AM'!Q18</f>
        <v>2041063.9082625899</v>
      </c>
      <c r="AC77" s="588">
        <f>+Tabla1[[#This Row],[Año 1 Cto Directo]]*(1+$Y$3)</f>
        <v>2062495.079299347</v>
      </c>
      <c r="AD77" s="588">
        <f>+'6. Intervenciones UDT- AM'!R18</f>
        <v>3061595.8623938849</v>
      </c>
      <c r="AE77" s="588">
        <f>+Tabla1[[#This Row],[Año 2 Cto. Directo]]*(1+$Y$3)</f>
        <v>3093742.6189490207</v>
      </c>
      <c r="AF77" s="588">
        <f>+'6. Intervenciones UDT- AM'!S18</f>
        <v>4082127.8165251799</v>
      </c>
      <c r="AG77" s="588">
        <f>+Tabla1[[#This Row],[Año 3 Cto. Directo]]*(1+$Y$3)</f>
        <v>4124990.158598694</v>
      </c>
      <c r="AH77" s="588">
        <f>+'6. Intervenciones UDT- AM'!T18</f>
        <v>6123191.7247877698</v>
      </c>
      <c r="AI77" s="588">
        <f>+Tabla1[[#This Row],[Año 4 Cto. Directo]]*(1+$Y$3)</f>
        <v>6187485.2378980415</v>
      </c>
      <c r="AJ77" s="588">
        <f>+'6. Intervenciones UDT- AM'!U18</f>
        <v>5102659.7706564749</v>
      </c>
      <c r="AK77" s="588">
        <f>+Tabla1[[#This Row],[Año 5 Cto. Directo]]*(1+$Y$3)</f>
        <v>5156237.6982483678</v>
      </c>
      <c r="AL77" s="403">
        <f>+'6. Intervenciones UDT- AM'!V18</f>
        <v>0</v>
      </c>
      <c r="AM77" s="954"/>
      <c r="AN77" s="954"/>
      <c r="AO77" s="954" t="str">
        <f>+'6. Intervenciones UDT- AM'!Y18</f>
        <v>X</v>
      </c>
      <c r="AP77" s="954"/>
      <c r="AQ77" s="954" t="str">
        <f>+'6. Intervenciones UDT- AM'!AA18</f>
        <v>RE</v>
      </c>
      <c r="AR77" s="954">
        <f>+'6. Intervenciones UDT- AM'!AB18</f>
        <v>3</v>
      </c>
      <c r="AS77" s="403">
        <f t="shared" ref="AS77" si="5">COUNTIF(AM77:AP77, "X")</f>
        <v>1</v>
      </c>
    </row>
    <row r="78" spans="1:45" s="195" customFormat="1" ht="15.8" hidden="1" customHeight="1" x14ac:dyDescent="0.3">
      <c r="A78" s="403"/>
      <c r="B78" s="403" t="str">
        <f>'6. Intervenciones UDT- AM'!$C$8</f>
        <v>UDT ALTO MAYO</v>
      </c>
      <c r="C78" s="403" t="str">
        <f>'6. Intervenciones UDT- AM'!$G$10</f>
        <v>Predios de agricultura familiar con producción destinada al autoconsumo y productos de exportación, con título o sin título de propiedad.</v>
      </c>
      <c r="D78" s="404" t="str">
        <f>+'6. Intervenciones UDT- AM'!A19</f>
        <v>Programas de inversión pública</v>
      </c>
      <c r="E78" s="404" t="str">
        <f>+'6. Intervenciones UDT- AM'!C19</f>
        <v>2.1.2</v>
      </c>
      <c r="F78" s="403" t="str">
        <f>+'6. Intervenciones UDT- AM'!D19</f>
        <v>Asistencia técnica con enfoque bajo en emisiones</v>
      </c>
      <c r="G78" s="403" t="str">
        <f>+'6. Intervenciones UDT- AM'!E19</f>
        <v xml:space="preserve">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v>
      </c>
      <c r="H78" s="948" t="s">
        <v>1857</v>
      </c>
      <c r="I78" s="946" t="s">
        <v>193</v>
      </c>
      <c r="J78" s="946" t="s">
        <v>2592</v>
      </c>
      <c r="K78" s="946" t="s">
        <v>2329</v>
      </c>
      <c r="L78" s="946" t="s">
        <v>194</v>
      </c>
      <c r="M78" s="418" t="s">
        <v>1861</v>
      </c>
      <c r="N78" s="948" t="s">
        <v>1862</v>
      </c>
      <c r="O78" s="948" t="s">
        <v>224</v>
      </c>
      <c r="P78" s="951" t="s">
        <v>1863</v>
      </c>
      <c r="Q78" s="948" t="str">
        <f>+'6. Intervenciones UDT- AM'!F19</f>
        <v>Productores asistidos</v>
      </c>
      <c r="R78" s="405">
        <f>+'6. Intervenciones UDT- AM'!I19</f>
        <v>29531</v>
      </c>
      <c r="S78" s="405">
        <f>+'6. Intervenciones UDT- AM'!J19</f>
        <v>17718.599999999999</v>
      </c>
      <c r="T78" s="405">
        <f>+'6. Intervenciones UDT- AM'!K19</f>
        <v>11812.400000000001</v>
      </c>
      <c r="U78" s="405">
        <f>+'6. Intervenciones UDT- AM'!L19</f>
        <v>560</v>
      </c>
      <c r="V78" s="403" t="str">
        <f>+'6. Intervenciones UDT- AM'!M19</f>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v>
      </c>
      <c r="W78" s="403" t="str">
        <f>+'6. Intervenciones UDT- AM'!N19</f>
        <v>DRASAM</v>
      </c>
      <c r="X78" s="588">
        <f>+'6. Intervenciones UDT- AM'!O19</f>
        <v>9922416</v>
      </c>
      <c r="Y78" s="588">
        <f>+Tabla1[[#This Row],[2025 Directo]]*(1+$Y$3)</f>
        <v>10026601.367999999</v>
      </c>
      <c r="Z78" s="588">
        <f>+'6. Intervenciones UDT- AM'!P19</f>
        <v>6614944.0000000009</v>
      </c>
      <c r="AA78" s="588">
        <f>+Tabla1[[#This Row],[2030 Directo]]*(1+$Y$3)</f>
        <v>6684400.9120000005</v>
      </c>
      <c r="AB78" s="588">
        <f>+'6. Intervenciones UDT- AM'!Q19</f>
        <v>1984483.2000000002</v>
      </c>
      <c r="AC78" s="588">
        <f>+Tabla1[[#This Row],[Año 1 Cto Directo]]*(1+$Y$3)</f>
        <v>2005320.2736000002</v>
      </c>
      <c r="AD78" s="588">
        <f>+'6. Intervenciones UDT- AM'!R19</f>
        <v>1984483.2000000002</v>
      </c>
      <c r="AE78" s="588">
        <f>+Tabla1[[#This Row],[Año 2 Cto. Directo]]*(1+$Y$3)</f>
        <v>2005320.2736000002</v>
      </c>
      <c r="AF78" s="588">
        <f>+'6. Intervenciones UDT- AM'!S19</f>
        <v>1984483.2000000002</v>
      </c>
      <c r="AG78" s="588">
        <f>+Tabla1[[#This Row],[Año 3 Cto. Directo]]*(1+$Y$3)</f>
        <v>2005320.2736000002</v>
      </c>
      <c r="AH78" s="588">
        <f>+'6. Intervenciones UDT- AM'!T19</f>
        <v>1984483.2000000002</v>
      </c>
      <c r="AI78" s="588">
        <f>+Tabla1[[#This Row],[Año 4 Cto. Directo]]*(1+$Y$3)</f>
        <v>2005320.2736000002</v>
      </c>
      <c r="AJ78" s="588">
        <f>+'6. Intervenciones UDT- AM'!U19</f>
        <v>1984483.2000000002</v>
      </c>
      <c r="AK78" s="588">
        <f>+Tabla1[[#This Row],[Año 5 Cto. Directo]]*(1+$Y$3)</f>
        <v>2005320.2736000002</v>
      </c>
      <c r="AL78" s="403">
        <f>+'6. Intervenciones UDT- AM'!V19</f>
        <v>0</v>
      </c>
      <c r="AM78" s="954"/>
      <c r="AN78" s="954"/>
      <c r="AO78" s="954" t="str">
        <f>+'6. Intervenciones UDT- AM'!Y19</f>
        <v>X</v>
      </c>
      <c r="AP78" s="954"/>
      <c r="AQ78" s="954" t="str">
        <f>+'6. Intervenciones UDT- AM'!AA19</f>
        <v>RE</v>
      </c>
      <c r="AR78" s="954">
        <f>+'6. Intervenciones UDT- AM'!AB19</f>
        <v>2</v>
      </c>
      <c r="AS78" s="403">
        <f t="shared" si="4"/>
        <v>1</v>
      </c>
    </row>
    <row r="79" spans="1:45" s="195" customFormat="1" ht="15.8" hidden="1" customHeight="1" x14ac:dyDescent="0.3">
      <c r="A79" s="403"/>
      <c r="B79" s="403" t="str">
        <f>'6. Intervenciones UDT- AM'!$C$8</f>
        <v>UDT ALTO MAYO</v>
      </c>
      <c r="C79" s="403" t="str">
        <f>'6. Intervenciones UDT- AM'!$G$10</f>
        <v>Predios de agricultura familiar con producción destinada al autoconsumo y productos de exportación, con título o sin título de propiedad.</v>
      </c>
      <c r="D79" s="404" t="str">
        <f>+'6. Intervenciones UDT- AM'!A20</f>
        <v>Programas de inversión pública</v>
      </c>
      <c r="E79" s="404" t="str">
        <f>+'6. Intervenciones UDT- AM'!C20</f>
        <v>2.1.3</v>
      </c>
      <c r="F79" s="403" t="str">
        <f>+'6. Intervenciones UDT- AM'!D20</f>
        <v>Manejo, conservación y recuperación de suelos degradados</v>
      </c>
      <c r="G79" s="403" t="str">
        <f>+'6. Intervenciones UDT- AM'!E20</f>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v>
      </c>
      <c r="H79" s="948" t="s">
        <v>1864</v>
      </c>
      <c r="I79" s="946" t="s">
        <v>193</v>
      </c>
      <c r="J79" s="946" t="s">
        <v>2592</v>
      </c>
      <c r="K79" s="946" t="s">
        <v>2329</v>
      </c>
      <c r="L79" s="946" t="s">
        <v>194</v>
      </c>
      <c r="M79" s="418" t="s">
        <v>1861</v>
      </c>
      <c r="N79" s="948" t="s">
        <v>1862</v>
      </c>
      <c r="O79" s="948" t="s">
        <v>219</v>
      </c>
      <c r="P79" s="951" t="s">
        <v>1865</v>
      </c>
      <c r="Q79" s="952" t="str">
        <f>+'6. Intervenciones UDT- AM'!F20</f>
        <v>Hectáreas intervenidas</v>
      </c>
      <c r="R79" s="405">
        <f>+'6. Intervenciones UDT- AM'!I20</f>
        <v>65935</v>
      </c>
      <c r="S79" s="405">
        <f>+'6. Intervenciones UDT- AM'!J20</f>
        <v>19780.5</v>
      </c>
      <c r="T79" s="405">
        <f>+'6. Intervenciones UDT- AM'!K20</f>
        <v>19780.5</v>
      </c>
      <c r="U79" s="405">
        <f>+'6. Intervenciones UDT- AM'!L20</f>
        <v>500</v>
      </c>
      <c r="V79" s="403" t="str">
        <f>+'6. Intervenciones UDT- AM'!M20</f>
        <v>El costo incluye adquisición de semillas, insumos, fertilizantes, entre otras para la producción de plantas agroforestales o coberturas  verdes.</v>
      </c>
      <c r="W79" s="403" t="str">
        <f>+'6. Intervenciones UDT- AM'!N20</f>
        <v>DRASAM</v>
      </c>
      <c r="X79" s="588">
        <f>+'6. Intervenciones UDT- AM'!O20</f>
        <v>9890250</v>
      </c>
      <c r="Y79" s="588">
        <f>+Tabla1[[#This Row],[2025 Directo]]*(1+$Y$3)</f>
        <v>9994097.625</v>
      </c>
      <c r="Z79" s="588">
        <f>+'6. Intervenciones UDT- AM'!P20</f>
        <v>9890250</v>
      </c>
      <c r="AA79" s="588">
        <f>+Tabla1[[#This Row],[2030 Directo]]*(1+$Y$3)</f>
        <v>9994097.625</v>
      </c>
      <c r="AB79" s="588">
        <f>+'6. Intervenciones UDT- AM'!Q20</f>
        <v>1978050</v>
      </c>
      <c r="AC79" s="588">
        <f>+Tabla1[[#This Row],[Año 1 Cto Directo]]*(1+$Y$3)</f>
        <v>1998819.5249999999</v>
      </c>
      <c r="AD79" s="588">
        <f>+'6. Intervenciones UDT- AM'!R20</f>
        <v>1978050</v>
      </c>
      <c r="AE79" s="588">
        <f>+Tabla1[[#This Row],[Año 2 Cto. Directo]]*(1+$Y$3)</f>
        <v>1998819.5249999999</v>
      </c>
      <c r="AF79" s="588">
        <f>+'6. Intervenciones UDT- AM'!S20</f>
        <v>1978050</v>
      </c>
      <c r="AG79" s="588">
        <f>+Tabla1[[#This Row],[Año 3 Cto. Directo]]*(1+$Y$3)</f>
        <v>1998819.5249999999</v>
      </c>
      <c r="AH79" s="588">
        <f>+'6. Intervenciones UDT- AM'!T20</f>
        <v>1978050</v>
      </c>
      <c r="AI79" s="588">
        <f>+Tabla1[[#This Row],[Año 4 Cto. Directo]]*(1+$Y$3)</f>
        <v>1998819.5249999999</v>
      </c>
      <c r="AJ79" s="588">
        <f>+'6. Intervenciones UDT- AM'!U20</f>
        <v>1978050</v>
      </c>
      <c r="AK79" s="588">
        <f>+Tabla1[[#This Row],[Año 5 Cto. Directo]]*(1+$Y$3)</f>
        <v>1998819.5249999999</v>
      </c>
      <c r="AL79" s="403">
        <f>+'6. Intervenciones UDT- AM'!V20</f>
        <v>0</v>
      </c>
      <c r="AM79" s="954"/>
      <c r="AN79" s="954"/>
      <c r="AO79" s="954" t="str">
        <f>+'6. Intervenciones UDT- AM'!Y20</f>
        <v>X</v>
      </c>
      <c r="AP79" s="954"/>
      <c r="AQ79" s="954"/>
      <c r="AR79" s="954">
        <f>+'6. Intervenciones UDT- AM'!AB20</f>
        <v>2</v>
      </c>
      <c r="AS79" s="403">
        <f t="shared" si="1"/>
        <v>1</v>
      </c>
    </row>
    <row r="80" spans="1:45" s="195" customFormat="1" ht="15.8" hidden="1" customHeight="1" x14ac:dyDescent="0.3">
      <c r="A80" s="403"/>
      <c r="B80" s="403" t="str">
        <f>'6. Intervenciones UDT- AM'!$C$8</f>
        <v>UDT ALTO MAYO</v>
      </c>
      <c r="C80" s="403" t="str">
        <f>'6. Intervenciones UDT- AM'!$G$10</f>
        <v>Predios de agricultura familiar con producción destinada al autoconsumo y productos de exportación, con título o sin título de propiedad.</v>
      </c>
      <c r="D80" s="404" t="str">
        <f>+'6. Intervenciones UDT- AM'!A21</f>
        <v>Programas de inversión pública</v>
      </c>
      <c r="E80" s="404" t="str">
        <f>+'6. Intervenciones UDT- AM'!C21</f>
        <v>2.1.4</v>
      </c>
      <c r="F80" s="403" t="str">
        <f>+'6. Intervenciones UDT- AM'!D21</f>
        <v>Fertilización de áreas productivas de acuerdo a la etapa fenológica del cultivo</v>
      </c>
      <c r="G80" s="403" t="str">
        <f>+'6. Intervenciones UDT- AM'!E21</f>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v>
      </c>
      <c r="H80" s="948" t="s">
        <v>1864</v>
      </c>
      <c r="I80" s="946" t="s">
        <v>193</v>
      </c>
      <c r="J80" s="946" t="s">
        <v>2592</v>
      </c>
      <c r="K80" s="946" t="s">
        <v>2329</v>
      </c>
      <c r="L80" s="946" t="s">
        <v>194</v>
      </c>
      <c r="M80" s="418" t="s">
        <v>1861</v>
      </c>
      <c r="N80" s="948" t="s">
        <v>1862</v>
      </c>
      <c r="O80" s="948" t="s">
        <v>219</v>
      </c>
      <c r="P80" s="951" t="s">
        <v>1865</v>
      </c>
      <c r="Q80" s="948" t="str">
        <f>+'6. Intervenciones UDT- AM'!F21</f>
        <v>hectáreas fertilizadas</v>
      </c>
      <c r="R80" s="405">
        <f>+'6. Intervenciones UDT- AM'!I21</f>
        <v>65935</v>
      </c>
      <c r="S80" s="405">
        <f>+'6. Intervenciones UDT- AM'!J21</f>
        <v>13187</v>
      </c>
      <c r="T80" s="405">
        <f>+'6. Intervenciones UDT- AM'!K21</f>
        <v>19780.5</v>
      </c>
      <c r="U80" s="405">
        <f>+'6. Intervenciones UDT- AM'!L21</f>
        <v>2500</v>
      </c>
      <c r="V80" s="403" t="str">
        <f>+'6. Intervenciones UDT- AM'!M21</f>
        <v>El costo incluye un análisis de suelos, paquete de fertilización según los resultados del análisis y la adquisición de fertilizantes. El costo incluye los tres abonamientos requeridos en una campaña (1 año).</v>
      </c>
      <c r="W80" s="403" t="str">
        <f>+'6. Intervenciones UDT- AM'!N21</f>
        <v>Drasam</v>
      </c>
      <c r="X80" s="588">
        <f>+'6. Intervenciones UDT- AM'!O21</f>
        <v>32967500</v>
      </c>
      <c r="Y80" s="588">
        <f>+Tabla1[[#This Row],[2025 Directo]]*(1+$Y$3)</f>
        <v>33313658.75</v>
      </c>
      <c r="Z80" s="588">
        <f>+'6. Intervenciones UDT- AM'!P21</f>
        <v>49451250</v>
      </c>
      <c r="AA80" s="588">
        <f>+Tabla1[[#This Row],[2030 Directo]]*(1+$Y$3)</f>
        <v>49970488.125</v>
      </c>
      <c r="AB80" s="588">
        <f>+'6. Intervenciones UDT- AM'!Q21</f>
        <v>6593500</v>
      </c>
      <c r="AC80" s="588">
        <f>+Tabla1[[#This Row],[Año 1 Cto Directo]]*(1+$Y$3)</f>
        <v>6662731.75</v>
      </c>
      <c r="AD80" s="588">
        <f>+'6. Intervenciones UDT- AM'!R21</f>
        <v>6593500</v>
      </c>
      <c r="AE80" s="588">
        <f>+Tabla1[[#This Row],[Año 2 Cto. Directo]]*(1+$Y$3)</f>
        <v>6662731.75</v>
      </c>
      <c r="AF80" s="588">
        <f>+'6. Intervenciones UDT- AM'!S21</f>
        <v>6593500</v>
      </c>
      <c r="AG80" s="588">
        <f>+Tabla1[[#This Row],[Año 3 Cto. Directo]]*(1+$Y$3)</f>
        <v>6662731.75</v>
      </c>
      <c r="AH80" s="588">
        <f>+'6. Intervenciones UDT- AM'!T21</f>
        <v>6593500</v>
      </c>
      <c r="AI80" s="588">
        <f>+Tabla1[[#This Row],[Año 4 Cto. Directo]]*(1+$Y$3)</f>
        <v>6662731.75</v>
      </c>
      <c r="AJ80" s="588">
        <f>+'6. Intervenciones UDT- AM'!U21</f>
        <v>6593500</v>
      </c>
      <c r="AK80" s="588">
        <f>+Tabla1[[#This Row],[Año 5 Cto. Directo]]*(1+$Y$3)</f>
        <v>6662731.75</v>
      </c>
      <c r="AL80" s="403">
        <f>+'6. Intervenciones UDT- AM'!V21</f>
        <v>0</v>
      </c>
      <c r="AM80" s="954"/>
      <c r="AN80" s="954"/>
      <c r="AO80" s="954" t="str">
        <f>+'6. Intervenciones UDT- AM'!Y21</f>
        <v>X</v>
      </c>
      <c r="AP80" s="954"/>
      <c r="AQ80" s="954" t="str">
        <f>+'6. Intervenciones UDT- AM'!AA21</f>
        <v>RE</v>
      </c>
      <c r="AR80" s="954">
        <f>+'6. Intervenciones UDT- AM'!AB21</f>
        <v>3</v>
      </c>
      <c r="AS80" s="403">
        <f t="shared" si="1"/>
        <v>1</v>
      </c>
    </row>
    <row r="81" spans="1:45" s="195" customFormat="1" ht="15.8" hidden="1" customHeight="1" x14ac:dyDescent="0.3">
      <c r="A81" s="403"/>
      <c r="B81" s="403" t="str">
        <f>'6. Intervenciones UDT- AM'!$C$8</f>
        <v>UDT ALTO MAYO</v>
      </c>
      <c r="C81" s="403" t="str">
        <f>'6. Intervenciones UDT- AM'!$G$10</f>
        <v>Predios de agricultura familiar con producción destinada al autoconsumo y productos de exportación, con título o sin título de propiedad.</v>
      </c>
      <c r="D81" s="404" t="str">
        <f>+'6. Intervenciones UDT- AM'!A22</f>
        <v>Programas de inversión privada</v>
      </c>
      <c r="E81" s="404" t="str">
        <f>+'6. Intervenciones UDT- AM'!C22</f>
        <v>2.1.5</v>
      </c>
      <c r="F81" s="403" t="str">
        <f>+'6. Intervenciones UDT- AM'!D22</f>
        <v>Instalación de sistemas de fertirriego</v>
      </c>
      <c r="G81" s="403" t="str">
        <f>+'6. Intervenciones UDT- AM'!E22</f>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v>
      </c>
      <c r="H81" s="948" t="s">
        <v>1864</v>
      </c>
      <c r="I81" s="946" t="s">
        <v>193</v>
      </c>
      <c r="J81" s="946" t="s">
        <v>2592</v>
      </c>
      <c r="K81" s="946" t="s">
        <v>2329</v>
      </c>
      <c r="L81" s="946" t="s">
        <v>196</v>
      </c>
      <c r="M81" s="418" t="s">
        <v>1866</v>
      </c>
      <c r="N81" s="948" t="s">
        <v>1862</v>
      </c>
      <c r="O81" s="948" t="s">
        <v>219</v>
      </c>
      <c r="P81" s="951" t="s">
        <v>1865</v>
      </c>
      <c r="Q81" s="948" t="str">
        <f>+'6. Intervenciones UDT- AM'!F22</f>
        <v>Hectáreas con sistemas de riego</v>
      </c>
      <c r="R81" s="405">
        <f>+'6. Intervenciones UDT- AM'!I22</f>
        <v>65935</v>
      </c>
      <c r="S81" s="405">
        <f>+'6. Intervenciones UDT- AM'!J22</f>
        <v>3296.75</v>
      </c>
      <c r="T81" s="405">
        <f>+'6. Intervenciones UDT- AM'!K22</f>
        <v>4615.4500000000007</v>
      </c>
      <c r="U81" s="405">
        <f>+'6. Intervenciones UDT- AM'!L22</f>
        <v>11500</v>
      </c>
      <c r="V81" s="403" t="str">
        <f>+'6. Intervenciones UDT- AM'!M22</f>
        <v>El costo incluye la instalación de un sistema completo y un paquete de fertilización para la primera campaña. El costo va depender del tipo de cultivo, tipo de sistema y el tipo de materiales a usar en los sistemas de fertirriego.</v>
      </c>
      <c r="W81" s="403" t="str">
        <f>+'6. Intervenciones UDT- AM'!N22</f>
        <v>DRASAM</v>
      </c>
      <c r="X81" s="588">
        <f>+'6. Intervenciones UDT- AM'!O22</f>
        <v>37912625</v>
      </c>
      <c r="Y81" s="588">
        <f>+Tabla1[[#This Row],[2025 Directo]]*(1+$Y$3)</f>
        <v>38310707.5625</v>
      </c>
      <c r="Z81" s="588">
        <f>+'6. Intervenciones UDT- AM'!P22</f>
        <v>53077675.000000007</v>
      </c>
      <c r="AA81" s="588">
        <f>+Tabla1[[#This Row],[2030 Directo]]*(1+$Y$3)</f>
        <v>53634990.587500006</v>
      </c>
      <c r="AB81" s="588">
        <f>+'6. Intervenciones UDT- AM'!Q22</f>
        <v>7582525</v>
      </c>
      <c r="AC81" s="588">
        <f>+Tabla1[[#This Row],[Año 1 Cto Directo]]*(1+$Y$3)</f>
        <v>7662141.5124999993</v>
      </c>
      <c r="AD81" s="588">
        <f>+'6. Intervenciones UDT- AM'!R22</f>
        <v>7582525</v>
      </c>
      <c r="AE81" s="588">
        <f>+Tabla1[[#This Row],[Año 2 Cto. Directo]]*(1+$Y$3)</f>
        <v>7662141.5124999993</v>
      </c>
      <c r="AF81" s="588">
        <f>+'6. Intervenciones UDT- AM'!S22</f>
        <v>7582525</v>
      </c>
      <c r="AG81" s="588">
        <f>+Tabla1[[#This Row],[Año 3 Cto. Directo]]*(1+$Y$3)</f>
        <v>7662141.5124999993</v>
      </c>
      <c r="AH81" s="588">
        <f>+'6. Intervenciones UDT- AM'!T22</f>
        <v>7582525</v>
      </c>
      <c r="AI81" s="588">
        <f>+Tabla1[[#This Row],[Año 4 Cto. Directo]]*(1+$Y$3)</f>
        <v>7662141.5124999993</v>
      </c>
      <c r="AJ81" s="588">
        <f>+'6. Intervenciones UDT- AM'!U22</f>
        <v>7582525</v>
      </c>
      <c r="AK81" s="588">
        <f>+Tabla1[[#This Row],[Año 5 Cto. Directo]]*(1+$Y$3)</f>
        <v>7662141.5124999993</v>
      </c>
      <c r="AL81" s="403">
        <f>+'6. Intervenciones UDT- AM'!V22</f>
        <v>0</v>
      </c>
      <c r="AM81" s="954"/>
      <c r="AN81" s="954"/>
      <c r="AO81" s="954" t="str">
        <f>+'6. Intervenciones UDT- AM'!Y22</f>
        <v>X</v>
      </c>
      <c r="AP81" s="954"/>
      <c r="AQ81" s="954" t="str">
        <f>+'6. Intervenciones UDT- AM'!AA22</f>
        <v>RE</v>
      </c>
      <c r="AR81" s="954">
        <f>+'6. Intervenciones UDT- AM'!AB22</f>
        <v>3</v>
      </c>
      <c r="AS81" s="403">
        <f t="shared" si="1"/>
        <v>1</v>
      </c>
    </row>
    <row r="82" spans="1:45" s="195" customFormat="1" ht="15.8" hidden="1" customHeight="1" x14ac:dyDescent="0.3">
      <c r="A82" s="403"/>
      <c r="B82" s="403" t="str">
        <f>'6. Intervenciones UDT- AM'!$C$8</f>
        <v>UDT ALTO MAYO</v>
      </c>
      <c r="C82" s="403" t="str">
        <f>'6. Intervenciones UDT- AM'!$G$10</f>
        <v>Predios de agricultura familiar con producción destinada al autoconsumo y productos de exportación, con título o sin título de propiedad.</v>
      </c>
      <c r="D82" s="404" t="str">
        <f>+'6. Intervenciones UDT- AM'!A23</f>
        <v>Programas de inversión privada</v>
      </c>
      <c r="E82" s="404" t="str">
        <f>+'6. Intervenciones UDT- AM'!C23</f>
        <v>2.1.6</v>
      </c>
      <c r="F82" s="403" t="str">
        <f>+'6. Intervenciones UDT- AM'!D23</f>
        <v xml:space="preserve">Reconversión y diversificación productiva </v>
      </c>
      <c r="G82" s="403" t="str">
        <f>+'6. Intervenciones UDT- AM'!E23</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H82" s="948" t="s">
        <v>1867</v>
      </c>
      <c r="I82" s="946" t="s">
        <v>193</v>
      </c>
      <c r="J82" s="946" t="s">
        <v>2592</v>
      </c>
      <c r="K82" s="946" t="s">
        <v>2329</v>
      </c>
      <c r="L82" s="946" t="s">
        <v>196</v>
      </c>
      <c r="M82" s="418" t="s">
        <v>1866</v>
      </c>
      <c r="N82" s="948" t="s">
        <v>1862</v>
      </c>
      <c r="O82" s="948" t="s">
        <v>222</v>
      </c>
      <c r="P82" s="951" t="s">
        <v>1868</v>
      </c>
      <c r="Q82" s="948" t="str">
        <f>+'6. Intervenciones UDT- AM'!F23</f>
        <v>Hectáreas reconvertidas/diversificadas</v>
      </c>
      <c r="R82" s="405">
        <f>+'6. Intervenciones UDT- AM'!I23</f>
        <v>13187</v>
      </c>
      <c r="S82" s="405">
        <f>+'6. Intervenciones UDT- AM'!J23</f>
        <v>1318.7</v>
      </c>
      <c r="T82" s="405">
        <f>+'6. Intervenciones UDT- AM'!K23</f>
        <v>1318.7</v>
      </c>
      <c r="U82" s="405">
        <f>+'6. Intervenciones UDT- AM'!L23</f>
        <v>15000</v>
      </c>
      <c r="V82" s="403" t="str">
        <f>+'6. Intervenciones UDT- AM'!M23</f>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v>
      </c>
      <c r="W82" s="403" t="str">
        <f>+'6. Intervenciones UDT- AM'!N23</f>
        <v>Drasam, Agroideas</v>
      </c>
      <c r="X82" s="588">
        <f>+'6. Intervenciones UDT- AM'!O23</f>
        <v>19780500</v>
      </c>
      <c r="Y82" s="588">
        <f>+Tabla1[[#This Row],[2025 Directo]]*(1+$Y$3)</f>
        <v>19988195.25</v>
      </c>
      <c r="Z82" s="588">
        <f>+'6. Intervenciones UDT- AM'!P23</f>
        <v>19780500</v>
      </c>
      <c r="AA82" s="588">
        <f>+Tabla1[[#This Row],[2030 Directo]]*(1+$Y$3)</f>
        <v>19988195.25</v>
      </c>
      <c r="AB82" s="588">
        <f>+'6. Intervenciones UDT- AM'!Q23</f>
        <v>3956100</v>
      </c>
      <c r="AC82" s="588">
        <f>+Tabla1[[#This Row],[Año 1 Cto Directo]]*(1+$Y$3)</f>
        <v>3997639.05</v>
      </c>
      <c r="AD82" s="588">
        <f>+'6. Intervenciones UDT- AM'!R23</f>
        <v>3956100</v>
      </c>
      <c r="AE82" s="588">
        <f>+Tabla1[[#This Row],[Año 2 Cto. Directo]]*(1+$Y$3)</f>
        <v>3997639.05</v>
      </c>
      <c r="AF82" s="588">
        <f>+'6. Intervenciones UDT- AM'!S23</f>
        <v>3956100</v>
      </c>
      <c r="AG82" s="588">
        <f>+Tabla1[[#This Row],[Año 3 Cto. Directo]]*(1+$Y$3)</f>
        <v>3997639.05</v>
      </c>
      <c r="AH82" s="588">
        <f>+'6. Intervenciones UDT- AM'!T23</f>
        <v>3956100</v>
      </c>
      <c r="AI82" s="588">
        <f>+Tabla1[[#This Row],[Año 4 Cto. Directo]]*(1+$Y$3)</f>
        <v>3997639.05</v>
      </c>
      <c r="AJ82" s="588">
        <f>+'6. Intervenciones UDT- AM'!U23</f>
        <v>3956100</v>
      </c>
      <c r="AK82" s="588">
        <f>+Tabla1[[#This Row],[Año 5 Cto. Directo]]*(1+$Y$3)</f>
        <v>3997639.05</v>
      </c>
      <c r="AL82" s="403">
        <f>+'6. Intervenciones UDT- AM'!V23</f>
        <v>0</v>
      </c>
      <c r="AM82" s="954" t="str">
        <f>+'6. Intervenciones UDT- AM'!W23</f>
        <v>X</v>
      </c>
      <c r="AN82" s="954"/>
      <c r="AO82" s="954"/>
      <c r="AP82" s="954"/>
      <c r="AQ82" s="954" t="str">
        <f>+'6. Intervenciones UDT- AM'!AA23</f>
        <v>RE</v>
      </c>
      <c r="AR82" s="954">
        <f>+'6. Intervenciones UDT- AM'!AB23</f>
        <v>2</v>
      </c>
      <c r="AS82" s="403">
        <f t="shared" si="1"/>
        <v>1</v>
      </c>
    </row>
    <row r="83" spans="1:45" s="195" customFormat="1" ht="15.8" hidden="1" customHeight="1" x14ac:dyDescent="0.3">
      <c r="A83" s="403"/>
      <c r="B83" s="403" t="str">
        <f>'6. Intervenciones UDT- AM'!$C$8</f>
        <v>UDT ALTO MAYO</v>
      </c>
      <c r="C83" s="403" t="str">
        <f>'6. Intervenciones UDT- AM'!$G$10</f>
        <v>Predios de agricultura familiar con producción destinada al autoconsumo y productos de exportación, con título o sin título de propiedad.</v>
      </c>
      <c r="D83" s="404" t="str">
        <f>+'6. Intervenciones UDT- AM'!A24</f>
        <v>Programas de inversión pública</v>
      </c>
      <c r="E83" s="404" t="str">
        <f>+'6. Intervenciones UDT- AM'!C24</f>
        <v>2.1.7</v>
      </c>
      <c r="F83" s="403" t="str">
        <f>+'6. Intervenciones UDT- AM'!D24</f>
        <v>Promoción de agricultura familiar con enfoque de mercado</v>
      </c>
      <c r="G83" s="403" t="str">
        <f>+'6. Intervenciones UDT- AM'!E24</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H83" s="948" t="s">
        <v>1869</v>
      </c>
      <c r="I83" s="946" t="s">
        <v>193</v>
      </c>
      <c r="J83" s="946" t="s">
        <v>2592</v>
      </c>
      <c r="K83" s="946" t="s">
        <v>2329</v>
      </c>
      <c r="L83" s="946" t="s">
        <v>194</v>
      </c>
      <c r="M83" s="418" t="s">
        <v>1861</v>
      </c>
      <c r="N83" s="948" t="s">
        <v>1862</v>
      </c>
      <c r="O83" s="948" t="s">
        <v>220</v>
      </c>
      <c r="P83" s="951" t="s">
        <v>1870</v>
      </c>
      <c r="Q83" s="948" t="str">
        <f>+'6. Intervenciones UDT- AM'!F24</f>
        <v>Productores beneficiados</v>
      </c>
      <c r="R83" s="405">
        <f>+'6. Intervenciones UDT- AM'!I24</f>
        <v>29531</v>
      </c>
      <c r="S83" s="405">
        <f>+'6. Intervenciones UDT- AM'!J24</f>
        <v>2953.1000000000004</v>
      </c>
      <c r="T83" s="405">
        <f>+'6. Intervenciones UDT- AM'!K24</f>
        <v>5906.2000000000007</v>
      </c>
      <c r="U83" s="405">
        <f>+'6. Intervenciones UDT- AM'!L24</f>
        <v>12900</v>
      </c>
      <c r="V83" s="403" t="str">
        <f>+'6. Intervenciones UDT- AM'!M24</f>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v>
      </c>
      <c r="W83" s="403" t="str">
        <f>+'6. Intervenciones UDT- AM'!N24</f>
        <v>Goresam</v>
      </c>
      <c r="X83" s="588">
        <f>+'6. Intervenciones UDT- AM'!O24</f>
        <v>38094990.000000007</v>
      </c>
      <c r="Y83" s="588">
        <f>+Tabla1[[#This Row],[2025 Directo]]*(1+$Y$3)</f>
        <v>38494987.395000003</v>
      </c>
      <c r="Z83" s="588">
        <f>+'6. Intervenciones UDT- AM'!P24</f>
        <v>76189980.000000015</v>
      </c>
      <c r="AA83" s="588">
        <f>+Tabla1[[#This Row],[2030 Directo]]*(1+$Y$3)</f>
        <v>76989974.790000007</v>
      </c>
      <c r="AB83" s="588">
        <f>+'6. Intervenciones UDT- AM'!Q24</f>
        <v>7618998.0000000019</v>
      </c>
      <c r="AC83" s="588">
        <f>+Tabla1[[#This Row],[Año 1 Cto Directo]]*(1+$Y$3)</f>
        <v>7698997.4790000012</v>
      </c>
      <c r="AD83" s="588">
        <f>+'6. Intervenciones UDT- AM'!R24</f>
        <v>7618998.0000000019</v>
      </c>
      <c r="AE83" s="588">
        <f>+Tabla1[[#This Row],[Año 2 Cto. Directo]]*(1+$Y$3)</f>
        <v>7698997.4790000012</v>
      </c>
      <c r="AF83" s="588">
        <f>+'6. Intervenciones UDT- AM'!S24</f>
        <v>7618998.0000000019</v>
      </c>
      <c r="AG83" s="588">
        <f>+Tabla1[[#This Row],[Año 3 Cto. Directo]]*(1+$Y$3)</f>
        <v>7698997.4790000012</v>
      </c>
      <c r="AH83" s="588">
        <f>+'6. Intervenciones UDT- AM'!T24</f>
        <v>7618998.0000000019</v>
      </c>
      <c r="AI83" s="588">
        <f>+Tabla1[[#This Row],[Año 4 Cto. Directo]]*(1+$Y$3)</f>
        <v>7698997.4790000012</v>
      </c>
      <c r="AJ83" s="588">
        <f>+'6. Intervenciones UDT- AM'!U24</f>
        <v>7618998.0000000019</v>
      </c>
      <c r="AK83" s="588">
        <f>+Tabla1[[#This Row],[Año 5 Cto. Directo]]*(1+$Y$3)</f>
        <v>7698997.4790000012</v>
      </c>
      <c r="AL83" s="403">
        <f>+'6. Intervenciones UDT- AM'!V24</f>
        <v>0</v>
      </c>
      <c r="AM83" s="954"/>
      <c r="AN83" s="954"/>
      <c r="AO83" s="954" t="str">
        <f>+'6. Intervenciones UDT- AM'!Y24</f>
        <v>X</v>
      </c>
      <c r="AP83" s="954"/>
      <c r="AQ83" s="954" t="str">
        <f>+'6. Intervenciones UDT- AM'!AA24</f>
        <v>RE</v>
      </c>
      <c r="AR83" s="954">
        <f>+'6. Intervenciones UDT- AM'!AB24</f>
        <v>3</v>
      </c>
      <c r="AS83" s="403">
        <f t="shared" si="1"/>
        <v>1</v>
      </c>
    </row>
    <row r="84" spans="1:45" s="195" customFormat="1" ht="15.8" hidden="1" customHeight="1" x14ac:dyDescent="0.3">
      <c r="A84" s="403"/>
      <c r="B84" s="403" t="str">
        <f>'6. Intervenciones UDT- AM'!$C$8</f>
        <v>UDT ALTO MAYO</v>
      </c>
      <c r="C84" s="403" t="str">
        <f>'6. Intervenciones UDT- AM'!$G$10</f>
        <v>Predios de agricultura familiar con producción destinada al autoconsumo y productos de exportación, con título o sin título de propiedad.</v>
      </c>
      <c r="D84" s="404" t="str">
        <f>+'6. Intervenciones UDT- AM'!A25</f>
        <v>Programas de inversión pública</v>
      </c>
      <c r="E84" s="404" t="str">
        <f>+'6. Intervenciones UDT- AM'!C25</f>
        <v>2.1.8</v>
      </c>
      <c r="F84" s="403" t="str">
        <f>+'6. Intervenciones UDT- AM'!D25</f>
        <v>Asistencia técnica para el desarrollo de la acuicultura</v>
      </c>
      <c r="G84" s="403" t="str">
        <f>+'6. Intervenciones UDT- AM'!E25</f>
        <v xml:space="preserve">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v>
      </c>
      <c r="H84" s="948" t="s">
        <v>1857</v>
      </c>
      <c r="I84" s="946" t="s">
        <v>193</v>
      </c>
      <c r="J84" s="946" t="s">
        <v>2592</v>
      </c>
      <c r="K84" s="946" t="s">
        <v>2329</v>
      </c>
      <c r="L84" s="946" t="s">
        <v>196</v>
      </c>
      <c r="M84" s="418" t="s">
        <v>1866</v>
      </c>
      <c r="N84" s="948" t="s">
        <v>1862</v>
      </c>
      <c r="O84" s="948" t="s">
        <v>224</v>
      </c>
      <c r="P84" s="951" t="s">
        <v>1863</v>
      </c>
      <c r="Q84" s="948" t="str">
        <f>+'6. Intervenciones UDT- AM'!F25</f>
        <v>Acuicultores asistidos</v>
      </c>
      <c r="R84" s="405">
        <f>+'6. Intervenciones UDT- AM'!I25</f>
        <v>324</v>
      </c>
      <c r="S84" s="405">
        <f>+'6. Intervenciones UDT- AM'!J25</f>
        <v>324</v>
      </c>
      <c r="T84" s="405">
        <f>+'6. Intervenciones UDT- AM'!K25</f>
        <v>324</v>
      </c>
      <c r="U84" s="405">
        <f>+'6. Intervenciones UDT- AM'!L25</f>
        <v>560</v>
      </c>
      <c r="V84" s="403" t="str">
        <f>+'6. Intervenciones UDT- AM'!M25</f>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v>
      </c>
      <c r="W84" s="403" t="str">
        <f>+'6. Intervenciones UDT- AM'!N25</f>
        <v>Direpro</v>
      </c>
      <c r="X84" s="588">
        <f>+'6. Intervenciones UDT- AM'!O25</f>
        <v>181440</v>
      </c>
      <c r="Y84" s="588">
        <f>+Tabla1[[#This Row],[2025 Directo]]*(1+$Y$3)</f>
        <v>183345.12</v>
      </c>
      <c r="Z84" s="588">
        <f>+'6. Intervenciones UDT- AM'!P25</f>
        <v>181440</v>
      </c>
      <c r="AA84" s="588">
        <f>+Tabla1[[#This Row],[2030 Directo]]*(1+$Y$3)</f>
        <v>183345.12</v>
      </c>
      <c r="AB84" s="588">
        <f>+'6. Intervenciones UDT- AM'!Q25</f>
        <v>36288</v>
      </c>
      <c r="AC84" s="588">
        <f>+Tabla1[[#This Row],[Año 1 Cto Directo]]*(1+$Y$3)</f>
        <v>36669.023999999998</v>
      </c>
      <c r="AD84" s="588">
        <f>+'6. Intervenciones UDT- AM'!R25</f>
        <v>36288</v>
      </c>
      <c r="AE84" s="588">
        <f>+Tabla1[[#This Row],[Año 2 Cto. Directo]]*(1+$Y$3)</f>
        <v>36669.023999999998</v>
      </c>
      <c r="AF84" s="588">
        <f>+'6. Intervenciones UDT- AM'!S25</f>
        <v>36288</v>
      </c>
      <c r="AG84" s="588">
        <f>+Tabla1[[#This Row],[Año 3 Cto. Directo]]*(1+$Y$3)</f>
        <v>36669.023999999998</v>
      </c>
      <c r="AH84" s="588">
        <f>+'6. Intervenciones UDT- AM'!T25</f>
        <v>36288</v>
      </c>
      <c r="AI84" s="588">
        <f>+Tabla1[[#This Row],[Año 4 Cto. Directo]]*(1+$Y$3)</f>
        <v>36669.023999999998</v>
      </c>
      <c r="AJ84" s="588">
        <f>+'6. Intervenciones UDT- AM'!U25</f>
        <v>36288</v>
      </c>
      <c r="AK84" s="588">
        <f>+Tabla1[[#This Row],[Año 5 Cto. Directo]]*(1+$Y$3)</f>
        <v>36669.023999999998</v>
      </c>
      <c r="AL84" s="403">
        <f>+'6. Intervenciones UDT- AM'!V25</f>
        <v>0</v>
      </c>
      <c r="AM84" s="954"/>
      <c r="AN84" s="954"/>
      <c r="AO84" s="954" t="str">
        <f>+'6. Intervenciones UDT- AM'!Y25</f>
        <v>X</v>
      </c>
      <c r="AP84" s="954"/>
      <c r="AQ84" s="954" t="str">
        <f>+'6. Intervenciones UDT- AM'!AA25</f>
        <v>RE</v>
      </c>
      <c r="AR84" s="954">
        <f>+'6. Intervenciones UDT- AM'!AB25</f>
        <v>3</v>
      </c>
      <c r="AS84" s="403">
        <f t="shared" si="1"/>
        <v>1</v>
      </c>
    </row>
    <row r="85" spans="1:45" s="195" customFormat="1" ht="15.8" hidden="1" customHeight="1" x14ac:dyDescent="0.3">
      <c r="A85" s="403"/>
      <c r="B85" s="403" t="str">
        <f>'6. Intervenciones UDT- AM'!$C$8</f>
        <v>UDT ALTO MAYO</v>
      </c>
      <c r="C85" s="403" t="str">
        <f>'6. Intervenciones UDT- AM'!$G$10</f>
        <v>Predios de agricultura familiar con producción destinada al autoconsumo y productos de exportación, con título o sin título de propiedad.</v>
      </c>
      <c r="D85" s="404" t="str">
        <f>+'6. Intervenciones UDT- AM'!A26</f>
        <v>Ingresos y Capital</v>
      </c>
      <c r="E85" s="404" t="str">
        <f>+'6. Intervenciones UDT- AM'!C26</f>
        <v>2.1.9</v>
      </c>
      <c r="F85" s="403" t="str">
        <f>+'6. Intervenciones UDT- AM'!D26</f>
        <v xml:space="preserve">Incentivos financieros para la acuicultura </v>
      </c>
      <c r="G85" s="403" t="str">
        <f>+'6. Intervenciones UDT- AM'!E26</f>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H85" s="948" t="s">
        <v>1864</v>
      </c>
      <c r="I85" s="946" t="s">
        <v>193</v>
      </c>
      <c r="J85" s="946" t="s">
        <v>2593</v>
      </c>
      <c r="K85" s="946" t="s">
        <v>2330</v>
      </c>
      <c r="L85" s="946" t="s">
        <v>195</v>
      </c>
      <c r="M85" s="418" t="s">
        <v>1871</v>
      </c>
      <c r="N85" s="948" t="s">
        <v>1862</v>
      </c>
      <c r="O85" s="948" t="s">
        <v>218</v>
      </c>
      <c r="P85" s="951" t="s">
        <v>1872</v>
      </c>
      <c r="Q85" s="948" t="str">
        <f>+'6. Intervenciones UDT- AM'!F26</f>
        <v>Créditos otorgados</v>
      </c>
      <c r="R85" s="405">
        <f>+'6. Intervenciones UDT- AM'!I26</f>
        <v>324</v>
      </c>
      <c r="S85" s="405">
        <f>+'6. Intervenciones UDT- AM'!J26</f>
        <v>324</v>
      </c>
      <c r="T85" s="405">
        <f>+'6. Intervenciones UDT- AM'!K26</f>
        <v>324</v>
      </c>
      <c r="U85" s="405">
        <f>+'6. Intervenciones UDT- AM'!L26</f>
        <v>12900</v>
      </c>
      <c r="V85" s="403" t="str">
        <f>+'6. Intervenciones UDT- AM'!M26</f>
        <v xml:space="preserve">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v>
      </c>
      <c r="W85" s="403" t="str">
        <f>+'6. Intervenciones UDT- AM'!N26</f>
        <v>Direpro, OPIPs</v>
      </c>
      <c r="X85" s="588">
        <f>+'6. Intervenciones UDT- AM'!O26</f>
        <v>4179600</v>
      </c>
      <c r="Y85" s="588">
        <f>+Tabla1[[#This Row],[2025 Directo]]*(1+$Y$3)</f>
        <v>4223485.8</v>
      </c>
      <c r="Z85" s="588">
        <f>+'6. Intervenciones UDT- AM'!P26</f>
        <v>4179600</v>
      </c>
      <c r="AA85" s="588">
        <f>+Tabla1[[#This Row],[2030 Directo]]*(1+$Y$3)</f>
        <v>4223485.8</v>
      </c>
      <c r="AB85" s="588">
        <f>+'6. Intervenciones UDT- AM'!Q26</f>
        <v>835920</v>
      </c>
      <c r="AC85" s="588">
        <f>+Tabla1[[#This Row],[Año 1 Cto Directo]]*(1+$Y$3)</f>
        <v>844697.15999999992</v>
      </c>
      <c r="AD85" s="588">
        <f>+'6. Intervenciones UDT- AM'!R26</f>
        <v>835920</v>
      </c>
      <c r="AE85" s="588">
        <f>+Tabla1[[#This Row],[Año 2 Cto. Directo]]*(1+$Y$3)</f>
        <v>844697.15999999992</v>
      </c>
      <c r="AF85" s="588">
        <f>+'6. Intervenciones UDT- AM'!S26</f>
        <v>835920</v>
      </c>
      <c r="AG85" s="588">
        <f>+Tabla1[[#This Row],[Año 3 Cto. Directo]]*(1+$Y$3)</f>
        <v>844697.15999999992</v>
      </c>
      <c r="AH85" s="588">
        <f>+'6. Intervenciones UDT- AM'!T26</f>
        <v>835920</v>
      </c>
      <c r="AI85" s="588">
        <f>+Tabla1[[#This Row],[Año 4 Cto. Directo]]*(1+$Y$3)</f>
        <v>844697.15999999992</v>
      </c>
      <c r="AJ85" s="588">
        <f>+'6. Intervenciones UDT- AM'!U26</f>
        <v>835920</v>
      </c>
      <c r="AK85" s="588">
        <f>+Tabla1[[#This Row],[Año 5 Cto. Directo]]*(1+$Y$3)</f>
        <v>844697.15999999992</v>
      </c>
      <c r="AL85" s="403">
        <f>+'6. Intervenciones UDT- AM'!V26</f>
        <v>0</v>
      </c>
      <c r="AM85" s="954" t="str">
        <f>+'6. Intervenciones UDT- AM'!W26</f>
        <v>X</v>
      </c>
      <c r="AN85" s="954"/>
      <c r="AO85" s="954"/>
      <c r="AP85" s="954"/>
      <c r="AQ85" s="954" t="str">
        <f>+'6. Intervenciones UDT- AM'!AA26</f>
        <v>RE</v>
      </c>
      <c r="AR85" s="954">
        <f>+'6. Intervenciones UDT- AM'!AB26</f>
        <v>3</v>
      </c>
      <c r="AS85" s="403">
        <f t="shared" si="1"/>
        <v>1</v>
      </c>
    </row>
    <row r="86" spans="1:45" s="195" customFormat="1" ht="15.8" hidden="1" customHeight="1" x14ac:dyDescent="0.3">
      <c r="A86" s="403"/>
      <c r="B86" s="403" t="str">
        <f>'6. Intervenciones UDT- AM'!$C$8</f>
        <v>UDT ALTO MAYO</v>
      </c>
      <c r="C86" s="403" t="str">
        <f>'6. Intervenciones UDT- AM'!$G$10</f>
        <v>Predios de agricultura familiar con producción destinada al autoconsumo y productos de exportación, con título o sin título de propiedad.</v>
      </c>
      <c r="D86" s="404" t="str">
        <f>+'6. Intervenciones UDT- AM'!A27</f>
        <v>Ingresos y Capital</v>
      </c>
      <c r="E86" s="404" t="str">
        <f>+'6. Intervenciones UDT- AM'!C27</f>
        <v>2.1.10</v>
      </c>
      <c r="F86" s="403" t="str">
        <f>+'6. Intervenciones UDT- AM'!D27</f>
        <v>Programa de acceso al financiamiento agropecuario condicionado</v>
      </c>
      <c r="G86" s="403" t="str">
        <f>+'6. Intervenciones UDT- AM'!E27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H86" s="948" t="s">
        <v>1864</v>
      </c>
      <c r="I86" s="946" t="s">
        <v>193</v>
      </c>
      <c r="J86" s="946" t="s">
        <v>2593</v>
      </c>
      <c r="K86" s="946" t="s">
        <v>2330</v>
      </c>
      <c r="L86" s="946" t="s">
        <v>195</v>
      </c>
      <c r="M86" s="418" t="s">
        <v>1871</v>
      </c>
      <c r="N86" s="948" t="s">
        <v>1862</v>
      </c>
      <c r="O86" s="948" t="s">
        <v>218</v>
      </c>
      <c r="P86" s="951" t="s">
        <v>1872</v>
      </c>
      <c r="Q86" s="948" t="str">
        <f>+'6. Intervenciones UDT- AM'!F27</f>
        <v>Créditos otorgados</v>
      </c>
      <c r="R86" s="405">
        <f>+'6. Intervenciones UDT- AM'!I27</f>
        <v>29531</v>
      </c>
      <c r="S86" s="405">
        <f>+'6. Intervenciones UDT- AM'!J27</f>
        <v>8859.2999999999993</v>
      </c>
      <c r="T86" s="405">
        <f>+'6. Intervenciones UDT- AM'!K27</f>
        <v>5906.2000000000007</v>
      </c>
      <c r="U86" s="405">
        <f>+'6. Intervenciones UDT- AM'!L27</f>
        <v>10750</v>
      </c>
      <c r="V86" s="403" t="str">
        <f>+'6. Intervenciones UDT- AM'!M27</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86" s="403" t="str">
        <f>+'6. Intervenciones UDT- AM'!N27</f>
        <v>GRDE</v>
      </c>
      <c r="X86" s="588">
        <f>+'6. Intervenciones UDT- AM'!O27</f>
        <v>95237474.999999985</v>
      </c>
      <c r="Y86" s="588">
        <f>+Tabla1[[#This Row],[2025 Directo]]*(1+$Y$3)</f>
        <v>96237468.487499982</v>
      </c>
      <c r="Z86" s="588">
        <f>+'6. Intervenciones UDT- AM'!P27</f>
        <v>63491650.000000007</v>
      </c>
      <c r="AA86" s="588">
        <f>+Tabla1[[#This Row],[2030 Directo]]*(1+$Y$3)</f>
        <v>64158312.325000003</v>
      </c>
      <c r="AB86" s="588">
        <f>+'6. Intervenciones UDT- AM'!Q27</f>
        <v>19047494.999999996</v>
      </c>
      <c r="AC86" s="588">
        <f>+Tabla1[[#This Row],[Año 1 Cto Directo]]*(1+$Y$3)</f>
        <v>19247493.697499994</v>
      </c>
      <c r="AD86" s="588">
        <f>+'6. Intervenciones UDT- AM'!R27</f>
        <v>19047494.999999996</v>
      </c>
      <c r="AE86" s="588">
        <f>+Tabla1[[#This Row],[Año 2 Cto. Directo]]*(1+$Y$3)</f>
        <v>19247493.697499994</v>
      </c>
      <c r="AF86" s="588">
        <f>+'6. Intervenciones UDT- AM'!S27</f>
        <v>19047494.999999996</v>
      </c>
      <c r="AG86" s="588">
        <f>+Tabla1[[#This Row],[Año 3 Cto. Directo]]*(1+$Y$3)</f>
        <v>19247493.697499994</v>
      </c>
      <c r="AH86" s="588">
        <f>+'6. Intervenciones UDT- AM'!T27</f>
        <v>19047494.999999996</v>
      </c>
      <c r="AI86" s="588">
        <f>+Tabla1[[#This Row],[Año 4 Cto. Directo]]*(1+$Y$3)</f>
        <v>19247493.697499994</v>
      </c>
      <c r="AJ86" s="588">
        <f>+'6. Intervenciones UDT- AM'!U27</f>
        <v>19047494.999999996</v>
      </c>
      <c r="AK86" s="588">
        <f>+Tabla1[[#This Row],[Año 5 Cto. Directo]]*(1+$Y$3)</f>
        <v>19247493.697499994</v>
      </c>
      <c r="AL86" s="403">
        <f>+'6. Intervenciones UDT- AM'!V27</f>
        <v>0</v>
      </c>
      <c r="AM86" s="954" t="str">
        <f>+'6. Intervenciones UDT- AM'!W27</f>
        <v>X</v>
      </c>
      <c r="AN86" s="954"/>
      <c r="AO86" s="954"/>
      <c r="AP86" s="954"/>
      <c r="AQ86" s="954" t="str">
        <f>+'6. Intervenciones UDT- AM'!AA27</f>
        <v>RE</v>
      </c>
      <c r="AR86" s="954">
        <f>+'6. Intervenciones UDT- AM'!AB27</f>
        <v>3</v>
      </c>
      <c r="AS86" s="403">
        <f t="shared" si="1"/>
        <v>1</v>
      </c>
    </row>
    <row r="87" spans="1:45" s="195" customFormat="1" ht="15.8" hidden="1" customHeight="1" x14ac:dyDescent="0.3">
      <c r="A87" s="403"/>
      <c r="B87" s="403" t="str">
        <f>'6. Intervenciones UDT- AM'!$C$8</f>
        <v>UDT ALTO MAYO</v>
      </c>
      <c r="C87" s="403" t="str">
        <f>'6. Intervenciones UDT- AM'!$G$10</f>
        <v>Predios de agricultura familiar con producción destinada al autoconsumo y productos de exportación, con título o sin título de propiedad.</v>
      </c>
      <c r="D87" s="404" t="str">
        <f>+'6. Intervenciones UDT- AM'!A28</f>
        <v>Programas de inversión privada</v>
      </c>
      <c r="E87" s="404" t="str">
        <f>+'6. Intervenciones UDT- AM'!C28</f>
        <v>2.1.11</v>
      </c>
      <c r="F87" s="403" t="str">
        <f>+'6. Intervenciones UDT- AM'!D28</f>
        <v xml:space="preserve">Implementación de infraestructura productiva con énfasis a la agro exportación </v>
      </c>
      <c r="G87" s="403" t="str">
        <f>+'6. Intervenciones UDT- AM'!E28</f>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H87" s="948" t="s">
        <v>1864</v>
      </c>
      <c r="I87" s="946" t="s">
        <v>193</v>
      </c>
      <c r="J87" s="946" t="s">
        <v>2592</v>
      </c>
      <c r="K87" s="946" t="s">
        <v>2329</v>
      </c>
      <c r="L87" s="946" t="s">
        <v>196</v>
      </c>
      <c r="M87" s="418" t="s">
        <v>1866</v>
      </c>
      <c r="N87" s="948" t="s">
        <v>1862</v>
      </c>
      <c r="O87" s="948" t="s">
        <v>227</v>
      </c>
      <c r="P87" s="951" t="s">
        <v>1873</v>
      </c>
      <c r="Q87" s="948" t="str">
        <f>+'6. Intervenciones UDT- AM'!F28</f>
        <v>Planes de negocios/proyectos ejecutados</v>
      </c>
      <c r="R87" s="405">
        <f>+'6. Intervenciones UDT- AM'!I28</f>
        <v>47</v>
      </c>
      <c r="S87" s="405">
        <f>+'6. Intervenciones UDT- AM'!J28</f>
        <v>18.8</v>
      </c>
      <c r="T87" s="405">
        <f>+'6. Intervenciones UDT- AM'!K28</f>
        <v>11.28</v>
      </c>
      <c r="U87" s="405">
        <f>+'6. Intervenciones UDT- AM'!L28</f>
        <v>800000</v>
      </c>
      <c r="V87" s="403" t="str">
        <f>+'6. Intervenciones UDT- AM'!M28</f>
        <v xml:space="preserve">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v>
      </c>
      <c r="W87" s="403" t="str">
        <f>+'6. Intervenciones UDT- AM'!N28</f>
        <v>AGROIDEAS, PNIA, INNOVATE PERÚ</v>
      </c>
      <c r="X87" s="588">
        <f>+'6. Intervenciones UDT- AM'!O28</f>
        <v>15040000</v>
      </c>
      <c r="Y87" s="588">
        <f>+Tabla1[[#This Row],[2025 Directo]]*(1+$Y$3)</f>
        <v>15197920</v>
      </c>
      <c r="Z87" s="588">
        <f>+'6. Intervenciones UDT- AM'!P28</f>
        <v>9024000</v>
      </c>
      <c r="AA87" s="588">
        <f>+Tabla1[[#This Row],[2030 Directo]]*(1+$Y$3)</f>
        <v>9118752</v>
      </c>
      <c r="AB87" s="588">
        <f>+'6. Intervenciones UDT- AM'!Q28</f>
        <v>3008000</v>
      </c>
      <c r="AC87" s="588">
        <f>+Tabla1[[#This Row],[Año 1 Cto Directo]]*(1+$Y$3)</f>
        <v>3039584</v>
      </c>
      <c r="AD87" s="588">
        <f>+'6. Intervenciones UDT- AM'!R28</f>
        <v>3008000</v>
      </c>
      <c r="AE87" s="588">
        <f>+Tabla1[[#This Row],[Año 2 Cto. Directo]]*(1+$Y$3)</f>
        <v>3039584</v>
      </c>
      <c r="AF87" s="588">
        <f>+'6. Intervenciones UDT- AM'!S28</f>
        <v>3008000</v>
      </c>
      <c r="AG87" s="588">
        <f>+Tabla1[[#This Row],[Año 3 Cto. Directo]]*(1+$Y$3)</f>
        <v>3039584</v>
      </c>
      <c r="AH87" s="588">
        <f>+'6. Intervenciones UDT- AM'!T28</f>
        <v>3008000</v>
      </c>
      <c r="AI87" s="588">
        <f>+Tabla1[[#This Row],[Año 4 Cto. Directo]]*(1+$Y$3)</f>
        <v>3039584</v>
      </c>
      <c r="AJ87" s="588">
        <f>+'6. Intervenciones UDT- AM'!U28</f>
        <v>3008000</v>
      </c>
      <c r="AK87" s="588">
        <f>+Tabla1[[#This Row],[Año 5 Cto. Directo]]*(1+$Y$3)</f>
        <v>3039584</v>
      </c>
      <c r="AL87" s="403">
        <f>+'6. Intervenciones UDT- AM'!V28</f>
        <v>0</v>
      </c>
      <c r="AM87" s="954" t="str">
        <f>+'6. Intervenciones UDT- AM'!W28</f>
        <v>X</v>
      </c>
      <c r="AN87" s="954"/>
      <c r="AO87" s="954"/>
      <c r="AP87" s="954"/>
      <c r="AQ87" s="954" t="str">
        <f>+'6. Intervenciones UDT- AM'!AA28</f>
        <v>RE</v>
      </c>
      <c r="AR87" s="954">
        <f>+'6. Intervenciones UDT- AM'!AB28</f>
        <v>3</v>
      </c>
      <c r="AS87" s="403">
        <f t="shared" si="1"/>
        <v>1</v>
      </c>
    </row>
    <row r="88" spans="1:45" s="195" customFormat="1" ht="15.8" hidden="1" customHeight="1" x14ac:dyDescent="0.3">
      <c r="A88" s="403"/>
      <c r="B88" s="403" t="str">
        <f>'6. Intervenciones UDT- AM'!$C$8</f>
        <v>UDT ALTO MAYO</v>
      </c>
      <c r="C88" s="403" t="str">
        <f>'6. Intervenciones UDT- AM'!$G$10</f>
        <v>Predios de agricultura familiar con producción destinada al autoconsumo y productos de exportación, con título o sin título de propiedad.</v>
      </c>
      <c r="D88" s="404" t="str">
        <f>+'6. Intervenciones UDT- AM'!A29</f>
        <v>Programas de inversión privada</v>
      </c>
      <c r="E88" s="404" t="str">
        <f>+'6. Intervenciones UDT- AM'!C29</f>
        <v>2.1.12</v>
      </c>
      <c r="F88" s="403" t="str">
        <f>+'6. Intervenciones UDT- AM'!D29</f>
        <v xml:space="preserve">Fortalecimiento de capacidades en gestión de la calidad en las distintas cadenas de valor </v>
      </c>
      <c r="G88" s="403" t="str">
        <f>+'6. Intervenciones UDT- AM'!E29</f>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v>
      </c>
      <c r="H88" s="948" t="s">
        <v>1857</v>
      </c>
      <c r="I88" s="946" t="s">
        <v>193</v>
      </c>
      <c r="J88" s="946" t="s">
        <v>2592</v>
      </c>
      <c r="K88" s="946" t="s">
        <v>2329</v>
      </c>
      <c r="L88" s="946" t="s">
        <v>194</v>
      </c>
      <c r="M88" s="418" t="s">
        <v>1861</v>
      </c>
      <c r="N88" s="948" t="s">
        <v>1862</v>
      </c>
      <c r="O88" s="948" t="s">
        <v>220</v>
      </c>
      <c r="P88" s="951" t="s">
        <v>1870</v>
      </c>
      <c r="Q88" s="948" t="str">
        <f>+'6. Intervenciones UDT- AM'!F29</f>
        <v>Empresas y organizaciones atendidas</v>
      </c>
      <c r="R88" s="405">
        <f>+'6. Intervenciones UDT- AM'!I29</f>
        <v>47</v>
      </c>
      <c r="S88" s="405">
        <f>+'6. Intervenciones UDT- AM'!J29</f>
        <v>18.8</v>
      </c>
      <c r="T88" s="405">
        <f>+'6. Intervenciones UDT- AM'!K29</f>
        <v>14.1</v>
      </c>
      <c r="U88" s="405">
        <f>+'6. Intervenciones UDT- AM'!L29</f>
        <v>50000</v>
      </c>
      <c r="V88" s="403" t="str">
        <f>+'6. Intervenciones UDT- AM'!M29</f>
        <v>El costo incluye la contratación de especialistas para brindar Asistencia Técnica en los procesos de implementación de las certificaciones de calidad, materiales para la capacitación y pasantías.</v>
      </c>
      <c r="W88" s="403" t="str">
        <f>+'6. Intervenciones UDT- AM'!N29</f>
        <v>DIREPRO</v>
      </c>
      <c r="X88" s="588">
        <f>+'6. Intervenciones UDT- AM'!O29</f>
        <v>940000</v>
      </c>
      <c r="Y88" s="588">
        <f>+Tabla1[[#This Row],[2025 Directo]]*(1+$Y$3)</f>
        <v>949870</v>
      </c>
      <c r="Z88" s="588">
        <f>+'6. Intervenciones UDT- AM'!P29</f>
        <v>705000</v>
      </c>
      <c r="AA88" s="588">
        <f>+Tabla1[[#This Row],[2030 Directo]]*(1+$Y$3)</f>
        <v>712402.5</v>
      </c>
      <c r="AB88" s="588">
        <f>+'6. Intervenciones UDT- AM'!Q29</f>
        <v>188000</v>
      </c>
      <c r="AC88" s="588">
        <f>+Tabla1[[#This Row],[Año 1 Cto Directo]]*(1+$Y$3)</f>
        <v>189974</v>
      </c>
      <c r="AD88" s="588">
        <f>+'6. Intervenciones UDT- AM'!R29</f>
        <v>188000</v>
      </c>
      <c r="AE88" s="588">
        <f>+Tabla1[[#This Row],[Año 2 Cto. Directo]]*(1+$Y$3)</f>
        <v>189974</v>
      </c>
      <c r="AF88" s="588">
        <f>+'6. Intervenciones UDT- AM'!S29</f>
        <v>188000</v>
      </c>
      <c r="AG88" s="588">
        <f>+Tabla1[[#This Row],[Año 3 Cto. Directo]]*(1+$Y$3)</f>
        <v>189974</v>
      </c>
      <c r="AH88" s="588">
        <f>+'6. Intervenciones UDT- AM'!T29</f>
        <v>188000</v>
      </c>
      <c r="AI88" s="588">
        <f>+Tabla1[[#This Row],[Año 4 Cto. Directo]]*(1+$Y$3)</f>
        <v>189974</v>
      </c>
      <c r="AJ88" s="588">
        <f>+'6. Intervenciones UDT- AM'!U29</f>
        <v>188000</v>
      </c>
      <c r="AK88" s="588">
        <f>+Tabla1[[#This Row],[Año 5 Cto. Directo]]*(1+$Y$3)</f>
        <v>189974</v>
      </c>
      <c r="AL88" s="403">
        <f>+'6. Intervenciones UDT- AM'!V29</f>
        <v>0</v>
      </c>
      <c r="AM88" s="954"/>
      <c r="AN88" s="954"/>
      <c r="AO88" s="954" t="str">
        <f>+'6. Intervenciones UDT- AM'!Y29</f>
        <v>X</v>
      </c>
      <c r="AP88" s="954"/>
      <c r="AQ88" s="954" t="str">
        <f>+'6. Intervenciones UDT- AM'!AA29</f>
        <v>RE</v>
      </c>
      <c r="AR88" s="954">
        <f>+'6. Intervenciones UDT- AM'!AB29</f>
        <v>3</v>
      </c>
      <c r="AS88" s="403">
        <f t="shared" si="1"/>
        <v>1</v>
      </c>
    </row>
    <row r="89" spans="1:45" s="195" customFormat="1" ht="15.8" hidden="1" customHeight="1" x14ac:dyDescent="0.3">
      <c r="A89" s="403"/>
      <c r="B89" s="403" t="str">
        <f>'6. Intervenciones UDT- AM'!$C$8</f>
        <v>UDT ALTO MAYO</v>
      </c>
      <c r="C89" s="403" t="str">
        <f>'6. Intervenciones UDT- AM'!$G$10</f>
        <v>Predios de agricultura familiar con producción destinada al autoconsumo y productos de exportación, con título o sin título de propiedad.</v>
      </c>
      <c r="D89" s="404" t="str">
        <f>+'6. Intervenciones UDT- AM'!A30</f>
        <v>Programas de inversión pública</v>
      </c>
      <c r="E89" s="404" t="str">
        <f>+'6. Intervenciones UDT- AM'!C30</f>
        <v>2.1.13</v>
      </c>
      <c r="F89" s="403" t="str">
        <f>+'6. Intervenciones UDT- AM'!D30</f>
        <v>Promoción de modelos asociativos sostenibles</v>
      </c>
      <c r="G89" s="403" t="str">
        <f>+'6. Intervenciones UDT- AM'!E30</f>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v>
      </c>
      <c r="H89" s="948" t="s">
        <v>1857</v>
      </c>
      <c r="I89" s="946" t="s">
        <v>193</v>
      </c>
      <c r="J89" s="946" t="s">
        <v>2594</v>
      </c>
      <c r="K89" s="946" t="s">
        <v>2332</v>
      </c>
      <c r="L89" s="946" t="s">
        <v>198</v>
      </c>
      <c r="M89" s="418" t="s">
        <v>1874</v>
      </c>
      <c r="N89" s="948" t="s">
        <v>1862</v>
      </c>
      <c r="O89" s="948" t="s">
        <v>230</v>
      </c>
      <c r="P89" s="951" t="s">
        <v>1875</v>
      </c>
      <c r="Q89" s="948" t="str">
        <f>+'6. Intervenciones UDT- AM'!F30</f>
        <v>Organizaciones auto sostenibles</v>
      </c>
      <c r="R89" s="405">
        <f>+'6. Intervenciones UDT- AM'!I30</f>
        <v>47</v>
      </c>
      <c r="S89" s="405">
        <f>+'6. Intervenciones UDT- AM'!J30</f>
        <v>14.1</v>
      </c>
      <c r="T89" s="405">
        <f>+'6. Intervenciones UDT- AM'!K30</f>
        <v>28.2</v>
      </c>
      <c r="U89" s="405">
        <f>+'6. Intervenciones UDT- AM'!L30</f>
        <v>120000</v>
      </c>
      <c r="V89" s="403" t="str">
        <f>+'6. Intervenciones UDT- AM'!M30</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89" s="403" t="str">
        <f>+'6. Intervenciones UDT- AM'!N30</f>
        <v>DRASAM, MESA TÉCNICA DE CACAO Y CAFÉ, AVA</v>
      </c>
      <c r="X89" s="588">
        <f>+'6. Intervenciones UDT- AM'!O30</f>
        <v>8460000</v>
      </c>
      <c r="Y89" s="588">
        <f>+Tabla1[[#This Row],[2025 Directo]]*(1+$Y$3)</f>
        <v>8548830</v>
      </c>
      <c r="Z89" s="588">
        <f>+'6. Intervenciones UDT- AM'!P30</f>
        <v>16920000</v>
      </c>
      <c r="AA89" s="588">
        <f>+Tabla1[[#This Row],[2030 Directo]]*(1+$Y$3)</f>
        <v>17097660</v>
      </c>
      <c r="AB89" s="588">
        <f>+'6. Intervenciones UDT- AM'!Q30</f>
        <v>1692000</v>
      </c>
      <c r="AC89" s="588">
        <f>+Tabla1[[#This Row],[Año 1 Cto Directo]]*(1+$Y$3)</f>
        <v>1709766</v>
      </c>
      <c r="AD89" s="588">
        <f>+'6. Intervenciones UDT- AM'!R30</f>
        <v>1692000</v>
      </c>
      <c r="AE89" s="588">
        <f>+Tabla1[[#This Row],[Año 2 Cto. Directo]]*(1+$Y$3)</f>
        <v>1709766</v>
      </c>
      <c r="AF89" s="588">
        <f>+'6. Intervenciones UDT- AM'!S30</f>
        <v>1692000</v>
      </c>
      <c r="AG89" s="588">
        <f>+Tabla1[[#This Row],[Año 3 Cto. Directo]]*(1+$Y$3)</f>
        <v>1709766</v>
      </c>
      <c r="AH89" s="588">
        <f>+'6. Intervenciones UDT- AM'!T30</f>
        <v>1692000</v>
      </c>
      <c r="AI89" s="588">
        <f>+Tabla1[[#This Row],[Año 4 Cto. Directo]]*(1+$Y$3)</f>
        <v>1709766</v>
      </c>
      <c r="AJ89" s="588">
        <f>+'6. Intervenciones UDT- AM'!U30</f>
        <v>1692000</v>
      </c>
      <c r="AK89" s="588">
        <f>+Tabla1[[#This Row],[Año 5 Cto. Directo]]*(1+$Y$3)</f>
        <v>1709766</v>
      </c>
      <c r="AL89" s="406">
        <f>+'6. Intervenciones UDT- AM'!V30</f>
        <v>0</v>
      </c>
      <c r="AM89" s="954"/>
      <c r="AN89" s="954"/>
      <c r="AO89" s="954" t="str">
        <f>+'6. Intervenciones UDT- AM'!Y30</f>
        <v>X</v>
      </c>
      <c r="AP89" s="954"/>
      <c r="AQ89" s="954"/>
      <c r="AR89" s="954">
        <f>+'6. Intervenciones UDT- AM'!AB30</f>
        <v>3</v>
      </c>
      <c r="AS89" s="403">
        <f t="shared" si="1"/>
        <v>1</v>
      </c>
    </row>
    <row r="90" spans="1:45" s="195" customFormat="1" ht="15.8" hidden="1" customHeight="1" x14ac:dyDescent="0.3">
      <c r="A90" s="403"/>
      <c r="B90" s="403" t="str">
        <f>'6. Intervenciones UDT- AM'!$C$8</f>
        <v>UDT ALTO MAYO</v>
      </c>
      <c r="C90" s="403" t="str">
        <f>'6. Intervenciones UDT- AM'!$G$10</f>
        <v>Predios de agricultura familiar con producción destinada al autoconsumo y productos de exportación, con título o sin título de propiedad.</v>
      </c>
      <c r="D90" s="404" t="str">
        <f>+'6. Intervenciones UDT- AM'!A31</f>
        <v>Programas de inversión privada</v>
      </c>
      <c r="E90" s="404" t="str">
        <f>+'6. Intervenciones UDT- AM'!C31</f>
        <v>2.1.14</v>
      </c>
      <c r="F90" s="403" t="str">
        <f>+'6. Intervenciones UDT- AM'!D31</f>
        <v>Certificación orgánica y  Comercio Justo</v>
      </c>
      <c r="G90" s="403" t="str">
        <f>+'6. Intervenciones UDT- AM'!E31</f>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v>
      </c>
      <c r="H90" s="948" t="s">
        <v>1857</v>
      </c>
      <c r="I90" s="946" t="s">
        <v>193</v>
      </c>
      <c r="J90" s="946" t="s">
        <v>2592</v>
      </c>
      <c r="K90" s="946" t="s">
        <v>2329</v>
      </c>
      <c r="L90" s="946" t="s">
        <v>197</v>
      </c>
      <c r="M90" s="418" t="s">
        <v>1876</v>
      </c>
      <c r="N90" s="948" t="s">
        <v>1862</v>
      </c>
      <c r="O90" s="948" t="s">
        <v>228</v>
      </c>
      <c r="P90" s="951" t="s">
        <v>1877</v>
      </c>
      <c r="Q90" s="948" t="str">
        <f>+'6. Intervenciones UDT- AM'!F31</f>
        <v>Organizaciones certificadas</v>
      </c>
      <c r="R90" s="405">
        <f>+'6. Intervenciones UDT- AM'!I31</f>
        <v>47</v>
      </c>
      <c r="S90" s="405">
        <f>+'6. Intervenciones UDT- AM'!J31</f>
        <v>14.1</v>
      </c>
      <c r="T90" s="405">
        <f>+'6. Intervenciones UDT- AM'!K31</f>
        <v>18.8</v>
      </c>
      <c r="U90" s="405">
        <f>+'6. Intervenciones UDT- AM'!L31</f>
        <v>40000</v>
      </c>
      <c r="V90" s="403" t="str">
        <f>+'6. Intervenciones UDT- AM'!M31</f>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v>
      </c>
      <c r="W90" s="403" t="str">
        <f>+'6. Intervenciones UDT- AM'!N31</f>
        <v>Certificadora CERES</v>
      </c>
      <c r="X90" s="588">
        <f>+'6. Intervenciones UDT- AM'!O31</f>
        <v>2820000</v>
      </c>
      <c r="Y90" s="588">
        <f>+Tabla1[[#This Row],[2025 Directo]]*(1+$Y$3)</f>
        <v>2849610</v>
      </c>
      <c r="Z90" s="588">
        <f>+'6. Intervenciones UDT- AM'!P31</f>
        <v>3760000</v>
      </c>
      <c r="AA90" s="588">
        <f>+Tabla1[[#This Row],[2030 Directo]]*(1+$Y$3)</f>
        <v>3799480</v>
      </c>
      <c r="AB90" s="588">
        <f>+'6. Intervenciones UDT- AM'!Q31</f>
        <v>564000</v>
      </c>
      <c r="AC90" s="588">
        <f>+Tabla1[[#This Row],[Año 1 Cto Directo]]*(1+$Y$3)</f>
        <v>569922</v>
      </c>
      <c r="AD90" s="588">
        <f>+'6. Intervenciones UDT- AM'!R31</f>
        <v>564000</v>
      </c>
      <c r="AE90" s="588">
        <f>+Tabla1[[#This Row],[Año 2 Cto. Directo]]*(1+$Y$3)</f>
        <v>569922</v>
      </c>
      <c r="AF90" s="588">
        <f>+'6. Intervenciones UDT- AM'!S31</f>
        <v>564000</v>
      </c>
      <c r="AG90" s="588">
        <f>+Tabla1[[#This Row],[Año 3 Cto. Directo]]*(1+$Y$3)</f>
        <v>569922</v>
      </c>
      <c r="AH90" s="588">
        <f>+'6. Intervenciones UDT- AM'!T31</f>
        <v>564000</v>
      </c>
      <c r="AI90" s="588">
        <f>+Tabla1[[#This Row],[Año 4 Cto. Directo]]*(1+$Y$3)</f>
        <v>569922</v>
      </c>
      <c r="AJ90" s="588">
        <f>+'6. Intervenciones UDT- AM'!U31</f>
        <v>564000</v>
      </c>
      <c r="AK90" s="588">
        <f>+Tabla1[[#This Row],[Año 5 Cto. Directo]]*(1+$Y$3)</f>
        <v>569922</v>
      </c>
      <c r="AL90" s="403">
        <f>+'6. Intervenciones UDT- AM'!V31</f>
        <v>0</v>
      </c>
      <c r="AM90" s="954"/>
      <c r="AN90" s="954"/>
      <c r="AO90" s="954" t="str">
        <f>+'6. Intervenciones UDT- AM'!Y31</f>
        <v>X</v>
      </c>
      <c r="AP90" s="954"/>
      <c r="AQ90" s="954"/>
      <c r="AR90" s="954">
        <f>+'6. Intervenciones UDT- AM'!AB31</f>
        <v>3</v>
      </c>
      <c r="AS90" s="403">
        <f t="shared" si="1"/>
        <v>1</v>
      </c>
    </row>
    <row r="91" spans="1:45" s="195" customFormat="1" ht="15.8" hidden="1" customHeight="1" x14ac:dyDescent="0.3">
      <c r="A91" s="403"/>
      <c r="B91" s="403" t="str">
        <f>'6. Intervenciones UDT- AM'!$C$8</f>
        <v>UDT ALTO MAYO</v>
      </c>
      <c r="C91" s="403" t="str">
        <f>'6. Intervenciones UDT- AM'!$G$10</f>
        <v>Predios de agricultura familiar con producción destinada al autoconsumo y productos de exportación, con título o sin título de propiedad.</v>
      </c>
      <c r="D91" s="404" t="str">
        <f>+'6. Intervenciones UDT- AM'!A32</f>
        <v>Control y vigilancia</v>
      </c>
      <c r="E91" s="404" t="str">
        <f>+'6. Intervenciones UDT- AM'!C32</f>
        <v>2.1.15</v>
      </c>
      <c r="F91" s="403" t="str">
        <f>+'6. Intervenciones UDT- AM'!D32</f>
        <v>Promoción y acceso a los Mecanismos de Retribución por Servicios Eco sistémicos (MERESE)</v>
      </c>
      <c r="G91" s="403" t="str">
        <f>+'6. Intervenciones UDT- AM'!E32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91" s="948" t="s">
        <v>1857</v>
      </c>
      <c r="I91" s="946" t="s">
        <v>203</v>
      </c>
      <c r="J91" s="946" t="s">
        <v>2595</v>
      </c>
      <c r="K91" s="946" t="s">
        <v>2333</v>
      </c>
      <c r="L91" s="946" t="s">
        <v>204</v>
      </c>
      <c r="M91" s="418" t="s">
        <v>1878</v>
      </c>
      <c r="N91" s="948" t="s">
        <v>1879</v>
      </c>
      <c r="O91" s="948" t="s">
        <v>225</v>
      </c>
      <c r="P91" s="951" t="s">
        <v>1880</v>
      </c>
      <c r="Q91" s="948" t="str">
        <f>+'6. Intervenciones UDT- AM'!F32</f>
        <v>Campañas de difusión y promoción</v>
      </c>
      <c r="R91" s="405">
        <f>+'6. Intervenciones UDT- AM'!I32</f>
        <v>0</v>
      </c>
      <c r="S91" s="405">
        <f>+'6. Intervenciones UDT- AM'!J32</f>
        <v>50</v>
      </c>
      <c r="T91" s="405">
        <f>+'6. Intervenciones UDT- AM'!K32</f>
        <v>50</v>
      </c>
      <c r="U91" s="405">
        <f>+'6. Intervenciones UDT- AM'!L32</f>
        <v>10000</v>
      </c>
      <c r="V91" s="403" t="str">
        <f>+'6. Intervenciones UDT- AM'!M32</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91" s="403" t="str">
        <f>+'6. Intervenciones UDT- AM'!N32</f>
        <v>SUNASS</v>
      </c>
      <c r="X91" s="588">
        <f>+'6. Intervenciones UDT- AM'!O32</f>
        <v>500000</v>
      </c>
      <c r="Y91" s="588">
        <f>+Tabla1[[#This Row],[2025 Directo]]*(1+$Y$3)</f>
        <v>505250</v>
      </c>
      <c r="Z91" s="588">
        <f>+'6. Intervenciones UDT- AM'!P32</f>
        <v>500000</v>
      </c>
      <c r="AA91" s="588">
        <f>+Tabla1[[#This Row],[2030 Directo]]*(1+$Y$3)</f>
        <v>505250</v>
      </c>
      <c r="AB91" s="588">
        <f>+'6. Intervenciones UDT- AM'!Q32</f>
        <v>100000</v>
      </c>
      <c r="AC91" s="588">
        <f>+Tabla1[[#This Row],[Año 1 Cto Directo]]*(1+$Y$3)</f>
        <v>101050</v>
      </c>
      <c r="AD91" s="588">
        <f>+'6. Intervenciones UDT- AM'!R32</f>
        <v>100000</v>
      </c>
      <c r="AE91" s="588">
        <f>+Tabla1[[#This Row],[Año 2 Cto. Directo]]*(1+$Y$3)</f>
        <v>101050</v>
      </c>
      <c r="AF91" s="588">
        <f>+'6. Intervenciones UDT- AM'!S32</f>
        <v>100000</v>
      </c>
      <c r="AG91" s="588">
        <f>+Tabla1[[#This Row],[Año 3 Cto. Directo]]*(1+$Y$3)</f>
        <v>101050</v>
      </c>
      <c r="AH91" s="588">
        <f>+'6. Intervenciones UDT- AM'!T32</f>
        <v>100000</v>
      </c>
      <c r="AI91" s="588">
        <f>+Tabla1[[#This Row],[Año 4 Cto. Directo]]*(1+$Y$3)</f>
        <v>101050</v>
      </c>
      <c r="AJ91" s="588">
        <f>+'6. Intervenciones UDT- AM'!U32</f>
        <v>100000</v>
      </c>
      <c r="AK91" s="588">
        <f>+Tabla1[[#This Row],[Año 5 Cto. Directo]]*(1+$Y$3)</f>
        <v>101050</v>
      </c>
      <c r="AL91" s="403">
        <f>+'6. Intervenciones UDT- AM'!V32</f>
        <v>0</v>
      </c>
      <c r="AM91" s="954" t="str">
        <f>+'6. Intervenciones UDT- AM'!W32</f>
        <v>X</v>
      </c>
      <c r="AN91" s="954"/>
      <c r="AO91" s="954"/>
      <c r="AP91" s="954"/>
      <c r="AQ91" s="954"/>
      <c r="AR91" s="954">
        <f>+'6. Intervenciones UDT- AM'!AB32</f>
        <v>2</v>
      </c>
      <c r="AS91" s="403">
        <f t="shared" si="1"/>
        <v>1</v>
      </c>
    </row>
    <row r="92" spans="1:45" s="195" customFormat="1" ht="15.8" hidden="1" customHeight="1" x14ac:dyDescent="0.3">
      <c r="A92" s="403"/>
      <c r="B92" s="403" t="str">
        <f>'6. Intervenciones UDT- AM'!$C$8</f>
        <v>UDT ALTO MAYO</v>
      </c>
      <c r="C92" s="403" t="str">
        <f>'6. Intervenciones UDT- AM'!$F$36</f>
        <v xml:space="preserve">Predios privados dedicados a la producción comercial (arroz) </v>
      </c>
      <c r="D92" s="404" t="str">
        <f>+'6. Intervenciones UDT- AM'!A44</f>
        <v>Invasiones</v>
      </c>
      <c r="E92" s="404" t="str">
        <f>+'6. Intervenciones UDT- AM'!C44</f>
        <v>2.2.1</v>
      </c>
      <c r="F92" s="403" t="str">
        <f>+'6. Intervenciones UDT- AM'!D44</f>
        <v>Otorgamiento de derechos sobre la tierra/bosques</v>
      </c>
      <c r="G92" s="403" t="str">
        <f>+'6. Intervenciones UDT- AM'!E44</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92" s="948" t="s">
        <v>1857</v>
      </c>
      <c r="I92" s="946" t="s">
        <v>199</v>
      </c>
      <c r="J92" s="946" t="s">
        <v>2591</v>
      </c>
      <c r="K92" s="946" t="s">
        <v>2331</v>
      </c>
      <c r="L92" s="946" t="s">
        <v>202</v>
      </c>
      <c r="M92" s="418" t="s">
        <v>1858</v>
      </c>
      <c r="N92" s="948" t="s">
        <v>1859</v>
      </c>
      <c r="O92" s="948" t="s">
        <v>223</v>
      </c>
      <c r="P92" s="951" t="s">
        <v>1860</v>
      </c>
      <c r="Q92" s="948" t="str">
        <f>+'6. Intervenciones UDT- AM'!F44</f>
        <v>N° Títulos/Contratos otorgados</v>
      </c>
      <c r="R92" s="405">
        <f>+'6. Intervenciones UDT- AM'!I44</f>
        <v>1265.8133615517399</v>
      </c>
      <c r="S92" s="405">
        <f>+'6. Intervenciones UDT- AM'!J44</f>
        <v>632.90668077586997</v>
      </c>
      <c r="T92" s="405">
        <f>+'6. Intervenciones UDT- AM'!K44</f>
        <v>632.90668077586997</v>
      </c>
      <c r="U92" s="405">
        <f>+'6. Intervenciones UDT- AM'!L44</f>
        <v>2000</v>
      </c>
      <c r="V92" s="403" t="str">
        <f>+'6. Intervenciones UDT- AM'!M44</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92" s="403" t="str">
        <f>+'6. Intervenciones UDT- AM'!N44</f>
        <v>Programa de titulación PTR 3 / ARA</v>
      </c>
      <c r="X92" s="588">
        <f>+'6. Intervenciones UDT- AM'!O44</f>
        <v>1265813.36155174</v>
      </c>
      <c r="Y92" s="588">
        <f>+Tabla1[[#This Row],[2025 Directo]]*(1+$Y$3)</f>
        <v>1279104.4018480331</v>
      </c>
      <c r="Z92" s="588">
        <f>+'6. Intervenciones UDT- AM'!P44</f>
        <v>1265813.36155174</v>
      </c>
      <c r="AA92" s="588">
        <f>+Tabla1[[#This Row],[2030 Directo]]*(1+$Y$3)</f>
        <v>1279104.4018480331</v>
      </c>
      <c r="AB92" s="588">
        <f>+'6. Intervenciones UDT- AM'!Q44</f>
        <v>126581.33615517401</v>
      </c>
      <c r="AC92" s="588">
        <f>+Tabla1[[#This Row],[Año 1 Cto Directo]]*(1+$Y$3)</f>
        <v>127910.44018480333</v>
      </c>
      <c r="AD92" s="588">
        <f>+'6. Intervenciones UDT- AM'!R44</f>
        <v>189872.00423276098</v>
      </c>
      <c r="AE92" s="588">
        <f>+Tabla1[[#This Row],[Año 2 Cto. Directo]]*(1+$Y$3)</f>
        <v>191865.66027720497</v>
      </c>
      <c r="AF92" s="588">
        <f>+'6. Intervenciones UDT- AM'!S44</f>
        <v>253162.67231034802</v>
      </c>
      <c r="AG92" s="588">
        <f>+Tabla1[[#This Row],[Año 3 Cto. Directo]]*(1+$Y$3)</f>
        <v>255820.88036960666</v>
      </c>
      <c r="AH92" s="588">
        <f>+'6. Intervenciones UDT- AM'!T44</f>
        <v>379744.00846552197</v>
      </c>
      <c r="AI92" s="588">
        <f>+Tabla1[[#This Row],[Año 4 Cto. Directo]]*(1+$Y$3)</f>
        <v>383731.32055440993</v>
      </c>
      <c r="AJ92" s="588">
        <f>+'6. Intervenciones UDT- AM'!U44</f>
        <v>316453.34038793499</v>
      </c>
      <c r="AK92" s="588">
        <f>+Tabla1[[#This Row],[Año 5 Cto. Directo]]*(1+$Y$3)</f>
        <v>319776.10046200827</v>
      </c>
      <c r="AL92" s="403">
        <f>+'6. Intervenciones UDT- AM'!V44</f>
        <v>0</v>
      </c>
      <c r="AM92" s="954"/>
      <c r="AN92" s="954"/>
      <c r="AO92" s="954" t="s">
        <v>148</v>
      </c>
      <c r="AP92" s="954"/>
      <c r="AQ92" s="954" t="str">
        <f>+'6. Intervenciones UDT- AM'!AA44</f>
        <v>RE</v>
      </c>
      <c r="AR92" s="954">
        <f>+'6. Intervenciones UDT- AM'!AB44</f>
        <v>3</v>
      </c>
      <c r="AS92" s="403">
        <f t="shared" ref="AS92" si="6">COUNTIF(AM92:AP92, "X")</f>
        <v>1</v>
      </c>
    </row>
    <row r="93" spans="1:45" s="195" customFormat="1" ht="15.8" hidden="1" customHeight="1" x14ac:dyDescent="0.3">
      <c r="A93" s="403"/>
      <c r="B93" s="403" t="str">
        <f>'6. Intervenciones UDT- AM'!$C$8</f>
        <v>UDT ALTO MAYO</v>
      </c>
      <c r="C93" s="403" t="str">
        <f>'6. Intervenciones UDT- AM'!$F$36</f>
        <v xml:space="preserve">Predios privados dedicados a la producción comercial (arroz) </v>
      </c>
      <c r="D93" s="404" t="str">
        <f>+'6. Intervenciones UDT- AM'!A45</f>
        <v>Programas de inversión pública</v>
      </c>
      <c r="E93" s="404" t="str">
        <f>+'6. Intervenciones UDT- AM'!C45</f>
        <v>2.2.2</v>
      </c>
      <c r="F93" s="403" t="str">
        <f>+'6. Intervenciones UDT- AM'!D45</f>
        <v>Promoción y desarrollo de proveedores de semillas mejoradas</v>
      </c>
      <c r="G93" s="403" t="str">
        <f>+'6. Intervenciones UDT- AM'!E45</f>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v>
      </c>
      <c r="H93" s="948" t="s">
        <v>1857</v>
      </c>
      <c r="I93" s="946" t="s">
        <v>193</v>
      </c>
      <c r="J93" s="946" t="s">
        <v>2592</v>
      </c>
      <c r="K93" s="946" t="s">
        <v>2329</v>
      </c>
      <c r="L93" s="946" t="s">
        <v>196</v>
      </c>
      <c r="M93" s="418" t="s">
        <v>1866</v>
      </c>
      <c r="N93" s="948" t="s">
        <v>1862</v>
      </c>
      <c r="O93" s="948" t="s">
        <v>219</v>
      </c>
      <c r="P93" s="951" t="s">
        <v>1865</v>
      </c>
      <c r="Q93" s="948" t="str">
        <f>+'6. Intervenciones UDT- AM'!F45</f>
        <v>Unidades semilleristas</v>
      </c>
      <c r="R93" s="405">
        <f>+'6. Intervenciones UDT- AM'!I45</f>
        <v>10</v>
      </c>
      <c r="S93" s="405">
        <f>+'6. Intervenciones UDT- AM'!J45</f>
        <v>5</v>
      </c>
      <c r="T93" s="405">
        <f>+'6. Intervenciones UDT- AM'!K45</f>
        <v>5</v>
      </c>
      <c r="U93" s="405">
        <f>+'6. Intervenciones UDT- AM'!L45</f>
        <v>15000</v>
      </c>
      <c r="V93" s="403" t="str">
        <f>+'6. Intervenciones UDT- AM'!M45</f>
        <v>El costo Incluye la adquirió de semillas certificadas, los pagos y trámites al CORESE  y los Servicios de Asistencia Técnica especializada. No incluye costos de alquiler de terrenos. Con respecto al fortalecimiento del INIA, se espera que el MINAGRI, asigne un mayor presupuesto para este rubro.</v>
      </c>
      <c r="W93" s="403" t="str">
        <f>+'6. Intervenciones UDT- AM'!N45</f>
        <v>DRASAM</v>
      </c>
      <c r="X93" s="588">
        <f>+'6. Intervenciones UDT- AM'!O45</f>
        <v>75000</v>
      </c>
      <c r="Y93" s="588">
        <f>+Tabla1[[#This Row],[2025 Directo]]*(1+$Y$3)</f>
        <v>75787.5</v>
      </c>
      <c r="Z93" s="588">
        <f>+'6. Intervenciones UDT- AM'!P45</f>
        <v>75000</v>
      </c>
      <c r="AA93" s="588">
        <f>+Tabla1[[#This Row],[2030 Directo]]*(1+$Y$3)</f>
        <v>75787.5</v>
      </c>
      <c r="AB93" s="588">
        <f>+'6. Intervenciones UDT- AM'!Q45</f>
        <v>15000</v>
      </c>
      <c r="AC93" s="588">
        <f>+Tabla1[[#This Row],[Año 1 Cto Directo]]*(1+$Y$3)</f>
        <v>15157.5</v>
      </c>
      <c r="AD93" s="588">
        <f>+'6. Intervenciones UDT- AM'!R45</f>
        <v>15000</v>
      </c>
      <c r="AE93" s="588">
        <f>+Tabla1[[#This Row],[Año 2 Cto. Directo]]*(1+$Y$3)</f>
        <v>15157.5</v>
      </c>
      <c r="AF93" s="588">
        <f>+'6. Intervenciones UDT- AM'!S45</f>
        <v>15000</v>
      </c>
      <c r="AG93" s="588">
        <f>+Tabla1[[#This Row],[Año 3 Cto. Directo]]*(1+$Y$3)</f>
        <v>15157.5</v>
      </c>
      <c r="AH93" s="588">
        <f>+'6. Intervenciones UDT- AM'!T45</f>
        <v>15000</v>
      </c>
      <c r="AI93" s="588">
        <f>+Tabla1[[#This Row],[Año 4 Cto. Directo]]*(1+$Y$3)</f>
        <v>15157.5</v>
      </c>
      <c r="AJ93" s="588">
        <f>+'6. Intervenciones UDT- AM'!U45</f>
        <v>15000</v>
      </c>
      <c r="AK93" s="588">
        <f>+Tabla1[[#This Row],[Año 5 Cto. Directo]]*(1+$Y$3)</f>
        <v>15157.5</v>
      </c>
      <c r="AL93" s="403">
        <f>+'6. Intervenciones UDT- AM'!V45</f>
        <v>0</v>
      </c>
      <c r="AM93" s="954"/>
      <c r="AN93" s="954" t="str">
        <f>+'6. Intervenciones UDT- AM'!X45</f>
        <v>X</v>
      </c>
      <c r="AO93" s="954"/>
      <c r="AP93" s="954"/>
      <c r="AQ93" s="954" t="str">
        <f>+'6. Intervenciones UDT- AM'!AA45</f>
        <v>RE</v>
      </c>
      <c r="AR93" s="954">
        <f>+'6. Intervenciones UDT- AM'!AB45</f>
        <v>3</v>
      </c>
      <c r="AS93" s="403">
        <f t="shared" si="1"/>
        <v>1</v>
      </c>
    </row>
    <row r="94" spans="1:45" s="195" customFormat="1" ht="15.8" hidden="1" customHeight="1" x14ac:dyDescent="0.3">
      <c r="A94" s="403"/>
      <c r="B94" s="403" t="str">
        <f>'6. Intervenciones UDT- AM'!$C$8</f>
        <v>UDT ALTO MAYO</v>
      </c>
      <c r="C94" s="403" t="str">
        <f>'6. Intervenciones UDT- AM'!$F$36</f>
        <v xml:space="preserve">Predios privados dedicados a la producción comercial (arroz) </v>
      </c>
      <c r="D94" s="404" t="str">
        <f>+'6. Intervenciones UDT- AM'!A46</f>
        <v>Programas de inversión pública</v>
      </c>
      <c r="E94" s="404" t="str">
        <f>+'6. Intervenciones UDT- AM'!C46</f>
        <v>2.2.3</v>
      </c>
      <c r="F94" s="403" t="str">
        <f>+'6. Intervenciones UDT- AM'!D46</f>
        <v>Promoción de Sistemas de producción sostenibles</v>
      </c>
      <c r="G94" s="403" t="str">
        <f>+'6. Intervenciones UDT- AM'!E46</f>
        <v xml:space="preserve">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v>
      </c>
      <c r="H94" s="948" t="s">
        <v>1857</v>
      </c>
      <c r="I94" s="946" t="s">
        <v>193</v>
      </c>
      <c r="J94" s="946" t="s">
        <v>2592</v>
      </c>
      <c r="K94" s="946" t="s">
        <v>2329</v>
      </c>
      <c r="L94" s="946" t="s">
        <v>194</v>
      </c>
      <c r="M94" s="418" t="s">
        <v>1861</v>
      </c>
      <c r="N94" s="948" t="s">
        <v>1862</v>
      </c>
      <c r="O94" s="948" t="s">
        <v>220</v>
      </c>
      <c r="P94" s="951" t="s">
        <v>1870</v>
      </c>
      <c r="Q94" s="948" t="str">
        <f>+'6. Intervenciones UDT- AM'!F46</f>
        <v>Productores asistidos</v>
      </c>
      <c r="R94" s="405">
        <f>+'6. Intervenciones UDT- AM'!I46</f>
        <v>3741</v>
      </c>
      <c r="S94" s="405">
        <f>+'6. Intervenciones UDT- AM'!J46</f>
        <v>1870.5</v>
      </c>
      <c r="T94" s="405">
        <f>+'6. Intervenciones UDT- AM'!K46</f>
        <v>1122.3</v>
      </c>
      <c r="U94" s="405">
        <f>+'6. Intervenciones UDT- AM'!L46</f>
        <v>560</v>
      </c>
      <c r="V94" s="403" t="str">
        <f>+'6. Intervenciones UDT- AM'!M46</f>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v>
      </c>
      <c r="W94" s="403" t="str">
        <f>+'6. Intervenciones UDT- AM'!N46</f>
        <v>DRASAM</v>
      </c>
      <c r="X94" s="588">
        <f>+'6. Intervenciones UDT- AM'!O46</f>
        <v>1047480</v>
      </c>
      <c r="Y94" s="588">
        <f>+Tabla1[[#This Row],[2025 Directo]]*(1+$Y$3)</f>
        <v>1058478.54</v>
      </c>
      <c r="Z94" s="588">
        <f>+'6. Intervenciones UDT- AM'!P46</f>
        <v>628488</v>
      </c>
      <c r="AA94" s="588">
        <f>+Tabla1[[#This Row],[2030 Directo]]*(1+$Y$3)</f>
        <v>635087.12399999995</v>
      </c>
      <c r="AB94" s="588">
        <f>+'6. Intervenciones UDT- AM'!Q46</f>
        <v>209496</v>
      </c>
      <c r="AC94" s="588">
        <f>+Tabla1[[#This Row],[Año 1 Cto Directo]]*(1+$Y$3)</f>
        <v>211695.70799999998</v>
      </c>
      <c r="AD94" s="588">
        <f>+'6. Intervenciones UDT- AM'!R46</f>
        <v>209496</v>
      </c>
      <c r="AE94" s="588">
        <f>+Tabla1[[#This Row],[Año 2 Cto. Directo]]*(1+$Y$3)</f>
        <v>211695.70799999998</v>
      </c>
      <c r="AF94" s="588">
        <f>+'6. Intervenciones UDT- AM'!S46</f>
        <v>209496</v>
      </c>
      <c r="AG94" s="588">
        <f>+Tabla1[[#This Row],[Año 3 Cto. Directo]]*(1+$Y$3)</f>
        <v>211695.70799999998</v>
      </c>
      <c r="AH94" s="588">
        <f>+'6. Intervenciones UDT- AM'!T46</f>
        <v>209496</v>
      </c>
      <c r="AI94" s="588">
        <f>+Tabla1[[#This Row],[Año 4 Cto. Directo]]*(1+$Y$3)</f>
        <v>211695.70799999998</v>
      </c>
      <c r="AJ94" s="588">
        <f>+'6. Intervenciones UDT- AM'!U46</f>
        <v>209496</v>
      </c>
      <c r="AK94" s="588">
        <f>+Tabla1[[#This Row],[Año 5 Cto. Directo]]*(1+$Y$3)</f>
        <v>211695.70799999998</v>
      </c>
      <c r="AL94" s="403">
        <f>+'6. Intervenciones UDT- AM'!V46</f>
        <v>0</v>
      </c>
      <c r="AM94" s="954"/>
      <c r="AN94" s="954"/>
      <c r="AO94" s="954" t="str">
        <f>+'6. Intervenciones UDT- AM'!Y46</f>
        <v>X</v>
      </c>
      <c r="AP94" s="954"/>
      <c r="AQ94" s="954" t="str">
        <f>+'6. Intervenciones UDT- AM'!AA46</f>
        <v>RE</v>
      </c>
      <c r="AR94" s="954">
        <f>+'6. Intervenciones UDT- AM'!AB46</f>
        <v>2</v>
      </c>
      <c r="AS94" s="403">
        <f t="shared" si="1"/>
        <v>1</v>
      </c>
    </row>
    <row r="95" spans="1:45" s="195" customFormat="1" ht="15.8" hidden="1" customHeight="1" x14ac:dyDescent="0.3">
      <c r="A95" s="403"/>
      <c r="B95" s="403" t="str">
        <f>'6. Intervenciones UDT- AM'!$C$8</f>
        <v>UDT ALTO MAYO</v>
      </c>
      <c r="C95" s="403" t="str">
        <f>'6. Intervenciones UDT- AM'!$F$36</f>
        <v xml:space="preserve">Predios privados dedicados a la producción comercial (arroz) </v>
      </c>
      <c r="D95" s="404" t="str">
        <f>+'6. Intervenciones UDT- AM'!A47</f>
        <v>Programas de inversión privada</v>
      </c>
      <c r="E95" s="404" t="str">
        <f>+'6. Intervenciones UDT- AM'!C47</f>
        <v>2.2.4</v>
      </c>
      <c r="F95" s="403" t="str">
        <f>+'6. Intervenciones UDT- AM'!D47</f>
        <v xml:space="preserve">Reconversión y diversificación productiva </v>
      </c>
      <c r="G95" s="403" t="str">
        <f>+'6. Intervenciones UDT- AM'!E47</f>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v>
      </c>
      <c r="H95" s="948" t="s">
        <v>1867</v>
      </c>
      <c r="I95" s="946" t="s">
        <v>193</v>
      </c>
      <c r="J95" s="946" t="s">
        <v>2592</v>
      </c>
      <c r="K95" s="946" t="s">
        <v>2329</v>
      </c>
      <c r="L95" s="946" t="s">
        <v>196</v>
      </c>
      <c r="M95" s="418" t="s">
        <v>1866</v>
      </c>
      <c r="N95" s="948" t="s">
        <v>1862</v>
      </c>
      <c r="O95" s="948" t="s">
        <v>222</v>
      </c>
      <c r="P95" s="951" t="s">
        <v>1868</v>
      </c>
      <c r="Q95" s="948" t="str">
        <f>+'6. Intervenciones UDT- AM'!F47</f>
        <v>Hectáreas reconvertidas</v>
      </c>
      <c r="R95" s="405">
        <f>+'6. Intervenciones UDT- AM'!I47</f>
        <v>3804.2000000000003</v>
      </c>
      <c r="S95" s="405">
        <f>+'6. Intervenciones UDT- AM'!J47</f>
        <v>380.42000000000007</v>
      </c>
      <c r="T95" s="405">
        <f>+'6. Intervenciones UDT- AM'!K47</f>
        <v>380.42000000000007</v>
      </c>
      <c r="U95" s="405">
        <f>+'6. Intervenciones UDT- AM'!L47</f>
        <v>15000</v>
      </c>
      <c r="V95" s="403" t="str">
        <f>+'6. Intervenciones UDT- AM'!M47</f>
        <v xml:space="preserve">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v>
      </c>
      <c r="W95" s="403" t="str">
        <f>+'6. Intervenciones UDT- AM'!N47</f>
        <v>AGROIDEAS</v>
      </c>
      <c r="X95" s="588">
        <f>+'6. Intervenciones UDT- AM'!O47</f>
        <v>5706300.0000000009</v>
      </c>
      <c r="Y95" s="588">
        <f>+Tabla1[[#This Row],[2025 Directo]]*(1+$Y$3)</f>
        <v>5766216.1500000004</v>
      </c>
      <c r="Z95" s="588">
        <f>+'6. Intervenciones UDT- AM'!P47</f>
        <v>5706300.0000000009</v>
      </c>
      <c r="AA95" s="588">
        <f>+Tabla1[[#This Row],[2030 Directo]]*(1+$Y$3)</f>
        <v>5766216.1500000004</v>
      </c>
      <c r="AB95" s="588">
        <f>+'6. Intervenciones UDT- AM'!Q47</f>
        <v>1141260.0000000002</v>
      </c>
      <c r="AC95" s="588">
        <f>+Tabla1[[#This Row],[Año 1 Cto Directo]]*(1+$Y$3)</f>
        <v>1153243.2300000002</v>
      </c>
      <c r="AD95" s="588">
        <f>+'6. Intervenciones UDT- AM'!R47</f>
        <v>1141260.0000000002</v>
      </c>
      <c r="AE95" s="588">
        <f>+Tabla1[[#This Row],[Año 2 Cto. Directo]]*(1+$Y$3)</f>
        <v>1153243.2300000002</v>
      </c>
      <c r="AF95" s="588">
        <f>+'6. Intervenciones UDT- AM'!S47</f>
        <v>1141260.0000000002</v>
      </c>
      <c r="AG95" s="588">
        <f>+Tabla1[[#This Row],[Año 3 Cto. Directo]]*(1+$Y$3)</f>
        <v>1153243.2300000002</v>
      </c>
      <c r="AH95" s="588">
        <f>+'6. Intervenciones UDT- AM'!T47</f>
        <v>1141260.0000000002</v>
      </c>
      <c r="AI95" s="588">
        <f>+Tabla1[[#This Row],[Año 4 Cto. Directo]]*(1+$Y$3)</f>
        <v>1153243.2300000002</v>
      </c>
      <c r="AJ95" s="588">
        <f>+'6. Intervenciones UDT- AM'!U47</f>
        <v>1141260.0000000002</v>
      </c>
      <c r="AK95" s="588">
        <f>+Tabla1[[#This Row],[Año 5 Cto. Directo]]*(1+$Y$3)</f>
        <v>1153243.2300000002</v>
      </c>
      <c r="AL95" s="403">
        <f>+'6. Intervenciones UDT- AM'!V47</f>
        <v>0</v>
      </c>
      <c r="AM95" s="954"/>
      <c r="AN95" s="954"/>
      <c r="AO95" s="954" t="str">
        <f>+'6. Intervenciones UDT- AM'!Y47</f>
        <v>X</v>
      </c>
      <c r="AP95" s="954"/>
      <c r="AQ95" s="954" t="str">
        <f>+'6. Intervenciones UDT- AM'!AA47</f>
        <v>RE</v>
      </c>
      <c r="AR95" s="954">
        <f>+'6. Intervenciones UDT- AM'!AB47</f>
        <v>3</v>
      </c>
      <c r="AS95" s="403">
        <f t="shared" si="1"/>
        <v>1</v>
      </c>
    </row>
    <row r="96" spans="1:45" s="195" customFormat="1" ht="15.8" hidden="1" customHeight="1" x14ac:dyDescent="0.3">
      <c r="A96" s="403"/>
      <c r="B96" s="403" t="str">
        <f>'6. Intervenciones UDT- AM'!$C$8</f>
        <v>UDT ALTO MAYO</v>
      </c>
      <c r="C96" s="403" t="str">
        <f>'6. Intervenciones UDT- AM'!$F$36</f>
        <v xml:space="preserve">Predios privados dedicados a la producción comercial (arroz) </v>
      </c>
      <c r="D96" s="404" t="str">
        <f>+'6. Intervenciones UDT- AM'!A48</f>
        <v>Ingresos y Capital</v>
      </c>
      <c r="E96" s="404" t="str">
        <f>+'6. Intervenciones UDT- AM'!C48</f>
        <v>2.2.5</v>
      </c>
      <c r="F96" s="403" t="str">
        <f>+'6. Intervenciones UDT- AM'!D48</f>
        <v>Programa de acceso al financiamiento agropecuario condicionado</v>
      </c>
      <c r="G96" s="403" t="str">
        <f>+'6. Intervenciones UDT- AM'!E48</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v>
      </c>
      <c r="H96" s="948" t="s">
        <v>1864</v>
      </c>
      <c r="I96" s="946" t="s">
        <v>193</v>
      </c>
      <c r="J96" s="946" t="s">
        <v>2593</v>
      </c>
      <c r="K96" s="946" t="s">
        <v>2330</v>
      </c>
      <c r="L96" s="946" t="s">
        <v>195</v>
      </c>
      <c r="M96" s="418" t="s">
        <v>1871</v>
      </c>
      <c r="N96" s="948" t="s">
        <v>1862</v>
      </c>
      <c r="O96" s="948" t="s">
        <v>218</v>
      </c>
      <c r="P96" s="951" t="s">
        <v>1872</v>
      </c>
      <c r="Q96" s="948" t="str">
        <f>+'6. Intervenciones UDT- AM'!F48</f>
        <v>Productores atendidos</v>
      </c>
      <c r="R96" s="405">
        <f>+'6. Intervenciones UDT- AM'!I48</f>
        <v>3741</v>
      </c>
      <c r="S96" s="405">
        <f>+'6. Intervenciones UDT- AM'!J48</f>
        <v>1122.3</v>
      </c>
      <c r="T96" s="405">
        <f>+'6. Intervenciones UDT- AM'!K48</f>
        <v>748.2</v>
      </c>
      <c r="U96" s="405">
        <f>+'6. Intervenciones UDT- AM'!L48</f>
        <v>10750</v>
      </c>
      <c r="V96" s="403" t="str">
        <f>+'6. Intervenciones UDT- AM'!M48</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96" s="407" t="str">
        <f>+'6. Intervenciones UDT- AM'!N48</f>
        <v>DRASAM</v>
      </c>
      <c r="X96" s="588">
        <f>+'6. Intervenciones UDT- AM'!O48</f>
        <v>12064725</v>
      </c>
      <c r="Y96" s="588">
        <f>+Tabla1[[#This Row],[2025 Directo]]*(1+$Y$3)</f>
        <v>12191404.612499999</v>
      </c>
      <c r="Z96" s="588">
        <f>+'6. Intervenciones UDT- AM'!P48</f>
        <v>8043150.0000000009</v>
      </c>
      <c r="AA96" s="588">
        <f>+Tabla1[[#This Row],[2030 Directo]]*(1+$Y$3)</f>
        <v>8127603.0750000002</v>
      </c>
      <c r="AB96" s="588">
        <f>+'6. Intervenciones UDT- AM'!Q48</f>
        <v>2412945</v>
      </c>
      <c r="AC96" s="588">
        <f>+Tabla1[[#This Row],[Año 1 Cto Directo]]*(1+$Y$3)</f>
        <v>2438280.9224999999</v>
      </c>
      <c r="AD96" s="588">
        <f>+'6. Intervenciones UDT- AM'!R48</f>
        <v>2412945</v>
      </c>
      <c r="AE96" s="588">
        <f>+Tabla1[[#This Row],[Año 2 Cto. Directo]]*(1+$Y$3)</f>
        <v>2438280.9224999999</v>
      </c>
      <c r="AF96" s="588">
        <f>+'6. Intervenciones UDT- AM'!S48</f>
        <v>2412945</v>
      </c>
      <c r="AG96" s="588">
        <f>+Tabla1[[#This Row],[Año 3 Cto. Directo]]*(1+$Y$3)</f>
        <v>2438280.9224999999</v>
      </c>
      <c r="AH96" s="588">
        <f>+'6. Intervenciones UDT- AM'!T48</f>
        <v>2412945</v>
      </c>
      <c r="AI96" s="588">
        <f>+Tabla1[[#This Row],[Año 4 Cto. Directo]]*(1+$Y$3)</f>
        <v>2438280.9224999999</v>
      </c>
      <c r="AJ96" s="588">
        <f>+'6. Intervenciones UDT- AM'!U48</f>
        <v>2412945</v>
      </c>
      <c r="AK96" s="588">
        <f>+Tabla1[[#This Row],[Año 5 Cto. Directo]]*(1+$Y$3)</f>
        <v>2438280.9224999999</v>
      </c>
      <c r="AL96" s="403">
        <f>+'6. Intervenciones UDT- AM'!V48</f>
        <v>0</v>
      </c>
      <c r="AM96" s="954" t="str">
        <f>+'6. Intervenciones UDT- AM'!W48</f>
        <v>X</v>
      </c>
      <c r="AN96" s="954"/>
      <c r="AO96" s="954"/>
      <c r="AP96" s="954"/>
      <c r="AQ96" s="954" t="str">
        <f>+'6. Intervenciones UDT- AM'!AA48</f>
        <v>RE</v>
      </c>
      <c r="AR96" s="954">
        <f>+'6. Intervenciones UDT- AM'!AB48</f>
        <v>3</v>
      </c>
      <c r="AS96" s="403">
        <f t="shared" si="1"/>
        <v>1</v>
      </c>
    </row>
    <row r="97" spans="1:45" s="195" customFormat="1" ht="15.8" hidden="1" customHeight="1" x14ac:dyDescent="0.3">
      <c r="A97" s="403"/>
      <c r="B97" s="403" t="str">
        <f>'6. Intervenciones UDT- AM'!$C$8</f>
        <v>UDT ALTO MAYO</v>
      </c>
      <c r="C97" s="403" t="str">
        <f>'6. Intervenciones UDT- AM'!$F$36</f>
        <v xml:space="preserve">Predios privados dedicados a la producción comercial (arroz) </v>
      </c>
      <c r="D97" s="404" t="str">
        <f>+'6. Intervenciones UDT- AM'!A49</f>
        <v>Programas de inversión pública</v>
      </c>
      <c r="E97" s="404" t="str">
        <f>+'6. Intervenciones UDT- AM'!C49</f>
        <v>2.2.6</v>
      </c>
      <c r="F97" s="403" t="str">
        <f>+'6. Intervenciones UDT- AM'!D49</f>
        <v>Promoción de modelos asociativos sostenibles</v>
      </c>
      <c r="G97" s="403" t="str">
        <f>+'6. Intervenciones UDT- AM'!E49</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H97" s="948" t="s">
        <v>1857</v>
      </c>
      <c r="I97" s="946" t="s">
        <v>193</v>
      </c>
      <c r="J97" s="946" t="s">
        <v>2594</v>
      </c>
      <c r="K97" s="946" t="s">
        <v>2332</v>
      </c>
      <c r="L97" s="946" t="s">
        <v>198</v>
      </c>
      <c r="M97" s="418" t="s">
        <v>1874</v>
      </c>
      <c r="N97" s="948" t="s">
        <v>1862</v>
      </c>
      <c r="O97" s="948" t="s">
        <v>230</v>
      </c>
      <c r="P97" s="951" t="s">
        <v>1875</v>
      </c>
      <c r="Q97" s="948" t="str">
        <f>+'6. Intervenciones UDT- AM'!F49</f>
        <v>Organizaciones formalizadas y fortalecidas</v>
      </c>
      <c r="R97" s="405">
        <f>+'6. Intervenciones UDT- AM'!I49</f>
        <v>5</v>
      </c>
      <c r="S97" s="405">
        <f>+'6. Intervenciones UDT- AM'!J49</f>
        <v>5</v>
      </c>
      <c r="T97" s="405">
        <f>+'6. Intervenciones UDT- AM'!K49</f>
        <v>5</v>
      </c>
      <c r="U97" s="405">
        <f>+'6. Intervenciones UDT- AM'!L49</f>
        <v>120000</v>
      </c>
      <c r="V97" s="403" t="str">
        <f>+'6. Intervenciones UDT- AM'!M49</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97" s="403" t="str">
        <f>+'6. Intervenciones UDT- AM'!N49</f>
        <v>DRASAM</v>
      </c>
      <c r="X97" s="588">
        <f>+'6. Intervenciones UDT- AM'!O49</f>
        <v>3000000</v>
      </c>
      <c r="Y97" s="588">
        <f>+Tabla1[[#This Row],[2025 Directo]]*(1+$Y$3)</f>
        <v>3031500</v>
      </c>
      <c r="Z97" s="588">
        <f>+'6. Intervenciones UDT- AM'!P49</f>
        <v>3000000</v>
      </c>
      <c r="AA97" s="588">
        <f>+Tabla1[[#This Row],[2030 Directo]]*(1+$Y$3)</f>
        <v>3031500</v>
      </c>
      <c r="AB97" s="588">
        <f>+'6. Intervenciones UDT- AM'!Q49</f>
        <v>600000</v>
      </c>
      <c r="AC97" s="588">
        <f>+Tabla1[[#This Row],[Año 1 Cto Directo]]*(1+$Y$3)</f>
        <v>606300</v>
      </c>
      <c r="AD97" s="588">
        <f>+'6. Intervenciones UDT- AM'!R49</f>
        <v>600000</v>
      </c>
      <c r="AE97" s="588">
        <f>+Tabla1[[#This Row],[Año 2 Cto. Directo]]*(1+$Y$3)</f>
        <v>606300</v>
      </c>
      <c r="AF97" s="588">
        <f>+'6. Intervenciones UDT- AM'!S49</f>
        <v>600000</v>
      </c>
      <c r="AG97" s="588">
        <f>+Tabla1[[#This Row],[Año 3 Cto. Directo]]*(1+$Y$3)</f>
        <v>606300</v>
      </c>
      <c r="AH97" s="588">
        <f>+'6. Intervenciones UDT- AM'!T49</f>
        <v>600000</v>
      </c>
      <c r="AI97" s="588">
        <f>+Tabla1[[#This Row],[Año 4 Cto. Directo]]*(1+$Y$3)</f>
        <v>606300</v>
      </c>
      <c r="AJ97" s="588">
        <f>+'6. Intervenciones UDT- AM'!U49</f>
        <v>600000</v>
      </c>
      <c r="AK97" s="588">
        <f>+Tabla1[[#This Row],[Año 5 Cto. Directo]]*(1+$Y$3)</f>
        <v>606300</v>
      </c>
      <c r="AL97" s="403">
        <f>+'6. Intervenciones UDT- AM'!V49</f>
        <v>0</v>
      </c>
      <c r="AM97" s="954"/>
      <c r="AN97" s="954"/>
      <c r="AO97" s="954" t="str">
        <f>+'6. Intervenciones UDT- AM'!Y49</f>
        <v>X</v>
      </c>
      <c r="AP97" s="954"/>
      <c r="AQ97" s="954"/>
      <c r="AR97" s="954">
        <f>+'6. Intervenciones UDT- AM'!AB49</f>
        <v>3</v>
      </c>
      <c r="AS97" s="403">
        <f t="shared" si="1"/>
        <v>1</v>
      </c>
    </row>
    <row r="98" spans="1:45" s="195" customFormat="1" ht="15.8" hidden="1" customHeight="1" x14ac:dyDescent="0.3">
      <c r="A98" s="403"/>
      <c r="B98" s="403" t="str">
        <f>'6. Intervenciones UDT- AM'!$C$8</f>
        <v>UDT ALTO MAYO</v>
      </c>
      <c r="C98" s="403" t="str">
        <f>'6. Intervenciones UDT- AM'!$F$36</f>
        <v xml:space="preserve">Predios privados dedicados a la producción comercial (arroz) </v>
      </c>
      <c r="D98" s="404" t="str">
        <f>+'6. Intervenciones UDT- AM'!A50</f>
        <v>Programas de inversión privada</v>
      </c>
      <c r="E98" s="404" t="str">
        <f>+'6. Intervenciones UDT- AM'!C50</f>
        <v>2.2.7</v>
      </c>
      <c r="F98" s="403" t="str">
        <f>+'6. Intervenciones UDT- AM'!D50</f>
        <v>Implementación de infraestructura productiva baja en emisiones</v>
      </c>
      <c r="G98" s="403" t="str">
        <f>+'6. Intervenciones UDT- AM'!E50</f>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v>
      </c>
      <c r="H98" s="948" t="s">
        <v>1857</v>
      </c>
      <c r="I98" s="946" t="s">
        <v>193</v>
      </c>
      <c r="J98" s="946" t="s">
        <v>2592</v>
      </c>
      <c r="K98" s="946" t="s">
        <v>2329</v>
      </c>
      <c r="L98" s="946" t="s">
        <v>196</v>
      </c>
      <c r="M98" s="418" t="s">
        <v>1866</v>
      </c>
      <c r="N98" s="948" t="s">
        <v>1862</v>
      </c>
      <c r="O98" s="948" t="s">
        <v>227</v>
      </c>
      <c r="P98" s="951" t="s">
        <v>1873</v>
      </c>
      <c r="Q98" s="948" t="str">
        <f>+'6. Intervenciones UDT- AM'!F50</f>
        <v>Planes de negocios ejecutados</v>
      </c>
      <c r="R98" s="405">
        <f>+'6. Intervenciones UDT- AM'!I50</f>
        <v>0</v>
      </c>
      <c r="S98" s="405">
        <f>+'6. Intervenciones UDT- AM'!J50</f>
        <v>5</v>
      </c>
      <c r="T98" s="405">
        <f>+'6. Intervenciones UDT- AM'!K50</f>
        <v>5</v>
      </c>
      <c r="U98" s="405">
        <f>+'6. Intervenciones UDT- AM'!L50</f>
        <v>15000</v>
      </c>
      <c r="V98" s="403" t="str">
        <f>+'6. Intervenciones UDT- AM'!M50</f>
        <v>Para el logro de los objetivos, se considera el pago de profesionales para la formulación de los planes de negocios que beneficiarían directamente a los pequeños productores.</v>
      </c>
      <c r="W98" s="407" t="str">
        <f>+'6. Intervenciones UDT- AM'!N50</f>
        <v>DRASAM</v>
      </c>
      <c r="X98" s="588">
        <f>+'6. Intervenciones UDT- AM'!O50</f>
        <v>375000</v>
      </c>
      <c r="Y98" s="588">
        <f>+Tabla1[[#This Row],[2025 Directo]]*(1+$Y$3)</f>
        <v>378937.5</v>
      </c>
      <c r="Z98" s="588">
        <f>+'6. Intervenciones UDT- AM'!P50</f>
        <v>375000</v>
      </c>
      <c r="AA98" s="588">
        <f>+Tabla1[[#This Row],[2030 Directo]]*(1+$Y$3)</f>
        <v>378937.5</v>
      </c>
      <c r="AB98" s="588">
        <f>+'6. Intervenciones UDT- AM'!Q50</f>
        <v>187500</v>
      </c>
      <c r="AC98" s="588">
        <f>+Tabla1[[#This Row],[Año 1 Cto Directo]]*(1+$Y$3)</f>
        <v>189468.75</v>
      </c>
      <c r="AD98" s="588">
        <f>+'6. Intervenciones UDT- AM'!R50</f>
        <v>0</v>
      </c>
      <c r="AE98" s="588">
        <f>+Tabla1[[#This Row],[Año 2 Cto. Directo]]*(1+$Y$3)</f>
        <v>0</v>
      </c>
      <c r="AF98" s="588">
        <f>+'6. Intervenciones UDT- AM'!S50</f>
        <v>187500</v>
      </c>
      <c r="AG98" s="588">
        <f>+Tabla1[[#This Row],[Año 3 Cto. Directo]]*(1+$Y$3)</f>
        <v>189468.75</v>
      </c>
      <c r="AH98" s="588">
        <f>+'6. Intervenciones UDT- AM'!T50</f>
        <v>0</v>
      </c>
      <c r="AI98" s="588">
        <f>+Tabla1[[#This Row],[Año 4 Cto. Directo]]*(1+$Y$3)</f>
        <v>0</v>
      </c>
      <c r="AJ98" s="588">
        <f>+'6. Intervenciones UDT- AM'!U50</f>
        <v>0</v>
      </c>
      <c r="AK98" s="588">
        <f>+Tabla1[[#This Row],[Año 5 Cto. Directo]]*(1+$Y$3)</f>
        <v>0</v>
      </c>
      <c r="AL98" s="403">
        <f>+'6. Intervenciones UDT- AM'!V50</f>
        <v>0</v>
      </c>
      <c r="AM98" s="954" t="str">
        <f>+'6. Intervenciones UDT- AM'!W50</f>
        <v>X</v>
      </c>
      <c r="AN98" s="954"/>
      <c r="AO98" s="954"/>
      <c r="AP98" s="954"/>
      <c r="AQ98" s="954"/>
      <c r="AR98" s="954">
        <f>+'6. Intervenciones UDT- AM'!AB50</f>
        <v>2</v>
      </c>
      <c r="AS98" s="403">
        <f t="shared" si="1"/>
        <v>1</v>
      </c>
    </row>
    <row r="99" spans="1:45" s="195" customFormat="1" ht="15.8" hidden="1" customHeight="1" x14ac:dyDescent="0.3">
      <c r="A99" s="403"/>
      <c r="B99" s="403" t="str">
        <f>'6. Intervenciones UDT- AM'!$C$8</f>
        <v>UDT ALTO MAYO</v>
      </c>
      <c r="C99" s="403" t="str">
        <f>'6. Intervenciones UDT- AM'!$F$36</f>
        <v xml:space="preserve">Predios privados dedicados a la producción comercial (arroz) </v>
      </c>
      <c r="D99" s="404" t="str">
        <f>+'6. Intervenciones UDT- AM'!A51</f>
        <v>Control y vigilancia</v>
      </c>
      <c r="E99" s="404" t="str">
        <f>+'6. Intervenciones UDT- AM'!C51</f>
        <v>2.2.8</v>
      </c>
      <c r="F99" s="403" t="str">
        <f>+'6. Intervenciones UDT- AM'!D51</f>
        <v>Promoción y acceso a los Mecanismos de Retribución por Servicios Eco sistémicos (MERESE)</v>
      </c>
      <c r="G99" s="403" t="str">
        <f>+'6. Intervenciones UDT- AM'!E51</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99" s="948" t="s">
        <v>1857</v>
      </c>
      <c r="I99" s="946" t="s">
        <v>203</v>
      </c>
      <c r="J99" s="946" t="s">
        <v>2595</v>
      </c>
      <c r="K99" s="946" t="s">
        <v>2333</v>
      </c>
      <c r="L99" s="946" t="s">
        <v>204</v>
      </c>
      <c r="M99" s="418" t="s">
        <v>1878</v>
      </c>
      <c r="N99" s="948" t="s">
        <v>1879</v>
      </c>
      <c r="O99" s="948" t="s">
        <v>225</v>
      </c>
      <c r="P99" s="951" t="s">
        <v>1880</v>
      </c>
      <c r="Q99" s="948" t="str">
        <f>+'6. Intervenciones UDT- AM'!F51</f>
        <v>Campañas de difusión y promoción</v>
      </c>
      <c r="R99" s="405">
        <f>+'6. Intervenciones UDT- AM'!I51</f>
        <v>0</v>
      </c>
      <c r="S99" s="405">
        <f>+'6. Intervenciones UDT- AM'!J51</f>
        <v>50</v>
      </c>
      <c r="T99" s="405">
        <f>+'6. Intervenciones UDT- AM'!K51</f>
        <v>50</v>
      </c>
      <c r="U99" s="405">
        <f>+'6. Intervenciones UDT- AM'!L51</f>
        <v>10000</v>
      </c>
      <c r="V99" s="403" t="str">
        <f>+'6. Intervenciones UDT- AM'!M51</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99" s="403" t="str">
        <f>+'6. Intervenciones UDT- AM'!N51</f>
        <v>SUNASS</v>
      </c>
      <c r="X99" s="588">
        <f>+'6. Intervenciones UDT- AM'!O51</f>
        <v>500000</v>
      </c>
      <c r="Y99" s="588">
        <f>+Tabla1[[#This Row],[2025 Directo]]*(1+$Y$3)</f>
        <v>505250</v>
      </c>
      <c r="Z99" s="588">
        <f>+'6. Intervenciones UDT- AM'!P51</f>
        <v>500000</v>
      </c>
      <c r="AA99" s="588">
        <f>+Tabla1[[#This Row],[2030 Directo]]*(1+$Y$3)</f>
        <v>505250</v>
      </c>
      <c r="AB99" s="588">
        <f>+'6. Intervenciones UDT- AM'!Q51</f>
        <v>100000</v>
      </c>
      <c r="AC99" s="588">
        <f>+Tabla1[[#This Row],[Año 1 Cto Directo]]*(1+$Y$3)</f>
        <v>101050</v>
      </c>
      <c r="AD99" s="588">
        <f>+'6. Intervenciones UDT- AM'!R51</f>
        <v>100000</v>
      </c>
      <c r="AE99" s="588">
        <f>+Tabla1[[#This Row],[Año 2 Cto. Directo]]*(1+$Y$3)</f>
        <v>101050</v>
      </c>
      <c r="AF99" s="588">
        <f>+'6. Intervenciones UDT- AM'!S51</f>
        <v>100000</v>
      </c>
      <c r="AG99" s="588">
        <f>+Tabla1[[#This Row],[Año 3 Cto. Directo]]*(1+$Y$3)</f>
        <v>101050</v>
      </c>
      <c r="AH99" s="588">
        <f>+'6. Intervenciones UDT- AM'!T51</f>
        <v>100000</v>
      </c>
      <c r="AI99" s="588">
        <f>+Tabla1[[#This Row],[Año 4 Cto. Directo]]*(1+$Y$3)</f>
        <v>101050</v>
      </c>
      <c r="AJ99" s="588">
        <f>+'6. Intervenciones UDT- AM'!U51</f>
        <v>100000</v>
      </c>
      <c r="AK99" s="588">
        <f>+Tabla1[[#This Row],[Año 5 Cto. Directo]]*(1+$Y$3)</f>
        <v>101050</v>
      </c>
      <c r="AL99" s="403">
        <f>+'6. Intervenciones UDT- AM'!V51</f>
        <v>0</v>
      </c>
      <c r="AM99" s="954" t="str">
        <f>+'6. Intervenciones UDT- AM'!W51</f>
        <v>X</v>
      </c>
      <c r="AN99" s="954"/>
      <c r="AO99" s="954"/>
      <c r="AP99" s="954"/>
      <c r="AQ99" s="954"/>
      <c r="AR99" s="954">
        <f>+'6. Intervenciones UDT- AM'!AB51</f>
        <v>3</v>
      </c>
      <c r="AS99" s="403">
        <f t="shared" si="1"/>
        <v>1</v>
      </c>
    </row>
    <row r="100" spans="1:45" s="195" customFormat="1" ht="15.8" hidden="1" customHeight="1" x14ac:dyDescent="0.3">
      <c r="A100" s="403"/>
      <c r="B100" s="403" t="str">
        <f>'6. Intervenciones UDT- AM'!$C$8</f>
        <v>UDT ALTO MAYO</v>
      </c>
      <c r="C100" s="403" t="str">
        <f>'6. Intervenciones UDT- AM'!$F$55</f>
        <v>Predios privados para ganadería de leche y carne</v>
      </c>
      <c r="D100" s="404" t="str">
        <f>+'6. Intervenciones UDT- AM'!A63</f>
        <v>Invasiones</v>
      </c>
      <c r="E100" s="404" t="str">
        <f>+'6. Intervenciones UDT- AM'!C63</f>
        <v>2.3.1</v>
      </c>
      <c r="F100" s="403" t="str">
        <f>+'6. Intervenciones UDT- AM'!D63</f>
        <v>Otorgamiento de derechos sobre la tierra/bosques</v>
      </c>
      <c r="G100" s="403" t="str">
        <f>+'6. Intervenciones UDT- AM'!E63</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100" s="948" t="s">
        <v>1857</v>
      </c>
      <c r="I100" s="946" t="s">
        <v>199</v>
      </c>
      <c r="J100" s="946" t="s">
        <v>2591</v>
      </c>
      <c r="K100" s="946" t="s">
        <v>2331</v>
      </c>
      <c r="L100" s="946" t="s">
        <v>202</v>
      </c>
      <c r="M100" s="418" t="s">
        <v>1858</v>
      </c>
      <c r="N100" s="948" t="s">
        <v>1859</v>
      </c>
      <c r="O100" s="948" t="s">
        <v>223</v>
      </c>
      <c r="P100" s="951" t="s">
        <v>1860</v>
      </c>
      <c r="Q100" s="948" t="str">
        <f>+'6. Intervenciones UDT- AM'!F63</f>
        <v>N° Títulos/Contratos otorgados</v>
      </c>
      <c r="R100" s="405">
        <f>+'6. Intervenciones UDT- AM'!I63</f>
        <v>877.84859269436697</v>
      </c>
      <c r="S100" s="405">
        <f>+'6. Intervenciones UDT- AM'!J63</f>
        <v>438.92429634718349</v>
      </c>
      <c r="T100" s="405">
        <f>+'6. Intervenciones UDT- AM'!K63</f>
        <v>438.92429634718349</v>
      </c>
      <c r="U100" s="405">
        <f>+'6. Intervenciones UDT- AM'!L63</f>
        <v>2000</v>
      </c>
      <c r="V100" s="403" t="str">
        <f>+'6. Intervenciones UDT- AM'!M63</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100" s="403" t="str">
        <f>+'6. Intervenciones UDT- AM'!N63</f>
        <v>Programa de titulación PTR 3 / ARA</v>
      </c>
      <c r="X100" s="588">
        <f>+'6. Intervenciones UDT- AM'!O63</f>
        <v>877848.59269436693</v>
      </c>
      <c r="Y100" s="588">
        <f>+Tabla1[[#This Row],[2025 Directo]]*(1+$Y$3)</f>
        <v>887066.00291765772</v>
      </c>
      <c r="Z100" s="588">
        <f>+'6. Intervenciones UDT- AM'!P63</f>
        <v>877848.59269436693</v>
      </c>
      <c r="AA100" s="588">
        <f>+Tabla1[[#This Row],[2030 Directo]]*(1+$Y$3)</f>
        <v>887066.00291765772</v>
      </c>
      <c r="AB100" s="588">
        <f>+'6. Intervenciones UDT- AM'!Q63</f>
        <v>87784.859269436696</v>
      </c>
      <c r="AC100" s="588">
        <f>+Tabla1[[#This Row],[Año 1 Cto Directo]]*(1+$Y$3)</f>
        <v>88706.600291765775</v>
      </c>
      <c r="AD100" s="588">
        <f>+'6. Intervenciones UDT- AM'!R63</f>
        <v>131677.28890415502</v>
      </c>
      <c r="AE100" s="588">
        <f>+Tabla1[[#This Row],[Año 2 Cto. Directo]]*(1+$Y$3)</f>
        <v>133059.90043764864</v>
      </c>
      <c r="AF100" s="588">
        <f>+'6. Intervenciones UDT- AM'!S63</f>
        <v>175569.71853887339</v>
      </c>
      <c r="AG100" s="588">
        <f>+Tabla1[[#This Row],[Año 3 Cto. Directo]]*(1+$Y$3)</f>
        <v>177413.20058353155</v>
      </c>
      <c r="AH100" s="588">
        <f>+'6. Intervenciones UDT- AM'!T63</f>
        <v>263354.57780831004</v>
      </c>
      <c r="AI100" s="588">
        <f>+Tabla1[[#This Row],[Año 4 Cto. Directo]]*(1+$Y$3)</f>
        <v>266119.80087529728</v>
      </c>
      <c r="AJ100" s="588">
        <f>+'6. Intervenciones UDT- AM'!U63</f>
        <v>219462.14817359173</v>
      </c>
      <c r="AK100" s="588">
        <f>+Tabla1[[#This Row],[Año 5 Cto. Directo]]*(1+$Y$3)</f>
        <v>221766.50072941443</v>
      </c>
      <c r="AL100" s="403">
        <f>+'6. Intervenciones UDT- AM'!V63</f>
        <v>0</v>
      </c>
      <c r="AM100" s="954"/>
      <c r="AN100" s="954"/>
      <c r="AO100" s="954" t="str">
        <f>+'6. Intervenciones UDT- AM'!Y63</f>
        <v>X</v>
      </c>
      <c r="AP100" s="954"/>
      <c r="AQ100" s="954" t="str">
        <f>+'6. Intervenciones UDT- AM'!AA63</f>
        <v>RE</v>
      </c>
      <c r="AR100" s="954">
        <f>+'6. Intervenciones UDT- AM'!AB63</f>
        <v>3</v>
      </c>
      <c r="AS100" s="403">
        <f t="shared" ref="AS100" si="7">COUNTIF(AM100:AP100, "X")</f>
        <v>1</v>
      </c>
    </row>
    <row r="101" spans="1:45" s="195" customFormat="1" ht="15.8" hidden="1" customHeight="1" x14ac:dyDescent="0.3">
      <c r="A101" s="403"/>
      <c r="B101" s="403" t="str">
        <f>'6. Intervenciones UDT- AM'!$C$8</f>
        <v>UDT ALTO MAYO</v>
      </c>
      <c r="C101" s="403" t="str">
        <f>'6. Intervenciones UDT- AM'!$F$55</f>
        <v>Predios privados para ganadería de leche y carne</v>
      </c>
      <c r="D101" s="404" t="str">
        <f>+'6. Intervenciones UDT- AM'!A64</f>
        <v>Programas de inversión pública</v>
      </c>
      <c r="E101" s="404" t="str">
        <f>+'6. Intervenciones UDT- AM'!C64</f>
        <v>2.3.2</v>
      </c>
      <c r="F101" s="403" t="str">
        <f>+'6. Intervenciones UDT- AM'!D64</f>
        <v xml:space="preserve">Asistencia técnica para el mejoramiento de pastos y ganadería </v>
      </c>
      <c r="G101" s="403" t="str">
        <f>+'6. Intervenciones UDT- AM'!E64</f>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H101" s="948" t="s">
        <v>1857</v>
      </c>
      <c r="I101" s="946" t="s">
        <v>193</v>
      </c>
      <c r="J101" s="946" t="s">
        <v>2592</v>
      </c>
      <c r="K101" s="946" t="s">
        <v>2329</v>
      </c>
      <c r="L101" s="946" t="s">
        <v>194</v>
      </c>
      <c r="M101" s="418" t="s">
        <v>1861</v>
      </c>
      <c r="N101" s="948" t="s">
        <v>1862</v>
      </c>
      <c r="O101" s="948" t="s">
        <v>224</v>
      </c>
      <c r="P101" s="951" t="s">
        <v>1863</v>
      </c>
      <c r="Q101" s="948" t="str">
        <f>+'6. Intervenciones UDT- AM'!F64</f>
        <v>Ganaderos asistidos</v>
      </c>
      <c r="R101" s="405">
        <f>+'6. Intervenciones UDT- AM'!I64</f>
        <v>1424</v>
      </c>
      <c r="S101" s="405">
        <f>+'6. Intervenciones UDT- AM'!J64</f>
        <v>1424</v>
      </c>
      <c r="T101" s="405">
        <f>+'6. Intervenciones UDT- AM'!K64</f>
        <v>1424</v>
      </c>
      <c r="U101" s="405">
        <f>+'6. Intervenciones UDT- AM'!L64</f>
        <v>560</v>
      </c>
      <c r="V101" s="403" t="str">
        <f>+'6. Intervenciones UDT- AM'!M64</f>
        <v xml:space="preserve">El costo es de S/ 560,00 por ganadero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v>
      </c>
      <c r="W101" s="403" t="str">
        <f>+'6. Intervenciones UDT- AM'!N64</f>
        <v>DRASAM</v>
      </c>
      <c r="X101" s="588">
        <f>+'6. Intervenciones UDT- AM'!O64</f>
        <v>797440</v>
      </c>
      <c r="Y101" s="588">
        <f>+Tabla1[[#This Row],[2025 Directo]]*(1+$Y$3)</f>
        <v>805813.12</v>
      </c>
      <c r="Z101" s="588">
        <f>+'6. Intervenciones UDT- AM'!P64</f>
        <v>797440</v>
      </c>
      <c r="AA101" s="588">
        <f>+Tabla1[[#This Row],[2030 Directo]]*(1+$Y$3)</f>
        <v>805813.12</v>
      </c>
      <c r="AB101" s="588">
        <f>+'6. Intervenciones UDT- AM'!Q64</f>
        <v>159488</v>
      </c>
      <c r="AC101" s="588">
        <f>+Tabla1[[#This Row],[Año 1 Cto Directo]]*(1+$Y$3)</f>
        <v>161162.62399999998</v>
      </c>
      <c r="AD101" s="588">
        <f>+'6. Intervenciones UDT- AM'!R64</f>
        <v>159488</v>
      </c>
      <c r="AE101" s="588">
        <f>+Tabla1[[#This Row],[Año 2 Cto. Directo]]*(1+$Y$3)</f>
        <v>161162.62399999998</v>
      </c>
      <c r="AF101" s="588">
        <f>+'6. Intervenciones UDT- AM'!S64</f>
        <v>159488</v>
      </c>
      <c r="AG101" s="588">
        <f>+Tabla1[[#This Row],[Año 3 Cto. Directo]]*(1+$Y$3)</f>
        <v>161162.62399999998</v>
      </c>
      <c r="AH101" s="588">
        <f>+'6. Intervenciones UDT- AM'!T64</f>
        <v>159488</v>
      </c>
      <c r="AI101" s="588">
        <f>+Tabla1[[#This Row],[Año 4 Cto. Directo]]*(1+$Y$3)</f>
        <v>161162.62399999998</v>
      </c>
      <c r="AJ101" s="588">
        <f>+'6. Intervenciones UDT- AM'!U64</f>
        <v>159488</v>
      </c>
      <c r="AK101" s="588">
        <f>+Tabla1[[#This Row],[Año 5 Cto. Directo]]*(1+$Y$3)</f>
        <v>161162.62399999998</v>
      </c>
      <c r="AL101" s="403">
        <f>+'6. Intervenciones UDT- AM'!V64</f>
        <v>0</v>
      </c>
      <c r="AM101" s="954"/>
      <c r="AN101" s="954"/>
      <c r="AO101" s="954" t="str">
        <f>+'6. Intervenciones UDT- AM'!Y64</f>
        <v>X</v>
      </c>
      <c r="AP101" s="954"/>
      <c r="AQ101" s="954" t="str">
        <f>+'6. Intervenciones UDT- AM'!AA64</f>
        <v>RE</v>
      </c>
      <c r="AR101" s="954">
        <f>+'6. Intervenciones UDT- AM'!AB64</f>
        <v>3</v>
      </c>
      <c r="AS101" s="403">
        <f t="shared" si="1"/>
        <v>1</v>
      </c>
    </row>
    <row r="102" spans="1:45" s="195" customFormat="1" ht="15.8" hidden="1" customHeight="1" x14ac:dyDescent="0.3">
      <c r="A102" s="403"/>
      <c r="B102" s="403" t="str">
        <f>'6. Intervenciones UDT- AM'!$C$8</f>
        <v>UDT ALTO MAYO</v>
      </c>
      <c r="C102" s="403" t="str">
        <f>'6. Intervenciones UDT- AM'!$F$55</f>
        <v>Predios privados para ganadería de leche y carne</v>
      </c>
      <c r="D102" s="404" t="str">
        <f>+'6. Intervenciones UDT- AM'!A65</f>
        <v>Programas de inversión pública</v>
      </c>
      <c r="E102" s="404" t="str">
        <f>+'6. Intervenciones UDT- AM'!C65</f>
        <v>2.3.3</v>
      </c>
      <c r="F102" s="403" t="str">
        <f>+'6. Intervenciones UDT- AM'!D65</f>
        <v>Manejo, conservación y recuperación de suelos degradados</v>
      </c>
      <c r="G102" s="403" t="str">
        <f>+'6. Intervenciones UDT- AM'!E65</f>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v>
      </c>
      <c r="H102" s="948" t="s">
        <v>1864</v>
      </c>
      <c r="I102" s="946" t="s">
        <v>193</v>
      </c>
      <c r="J102" s="946" t="s">
        <v>2592</v>
      </c>
      <c r="K102" s="946" t="s">
        <v>2329</v>
      </c>
      <c r="L102" s="946" t="s">
        <v>194</v>
      </c>
      <c r="M102" s="418" t="s">
        <v>1861</v>
      </c>
      <c r="N102" s="948" t="s">
        <v>1862</v>
      </c>
      <c r="O102" s="948" t="s">
        <v>219</v>
      </c>
      <c r="P102" s="951" t="s">
        <v>1865</v>
      </c>
      <c r="Q102" s="948" t="str">
        <f>+'6. Intervenciones UDT- AM'!F65</f>
        <v>Hectáreas intervenidas</v>
      </c>
      <c r="R102" s="405">
        <f>+'6. Intervenciones UDT- AM'!I65</f>
        <v>14015</v>
      </c>
      <c r="S102" s="405">
        <f>+'6. Intervenciones UDT- AM'!J65</f>
        <v>2803</v>
      </c>
      <c r="T102" s="405">
        <f>+'6. Intervenciones UDT- AM'!K65</f>
        <v>2803</v>
      </c>
      <c r="U102" s="405">
        <f>+'6. Intervenciones UDT- AM'!L65</f>
        <v>500</v>
      </c>
      <c r="V102" s="403" t="str">
        <f>+'6. Intervenciones UDT- AM'!M65</f>
        <v>El costo incluye adquisición de semillas, insumos, fertilizantes, entre otras para la producción de plantas agroforestales o coberturas  verdes.</v>
      </c>
      <c r="W102" s="403" t="str">
        <f>+'6. Intervenciones UDT- AM'!N65</f>
        <v>DRASAM</v>
      </c>
      <c r="X102" s="588">
        <f>+'6. Intervenciones UDT- AM'!O65</f>
        <v>1401500</v>
      </c>
      <c r="Y102" s="588">
        <f>+Tabla1[[#This Row],[2025 Directo]]*(1+$Y$3)</f>
        <v>1416215.75</v>
      </c>
      <c r="Z102" s="588">
        <f>+'6. Intervenciones UDT- AM'!P65</f>
        <v>1401500</v>
      </c>
      <c r="AA102" s="588">
        <f>+Tabla1[[#This Row],[2030 Directo]]*(1+$Y$3)</f>
        <v>1416215.75</v>
      </c>
      <c r="AB102" s="588">
        <f>+'6. Intervenciones UDT- AM'!Q65</f>
        <v>280300</v>
      </c>
      <c r="AC102" s="588">
        <f>+Tabla1[[#This Row],[Año 1 Cto Directo]]*(1+$Y$3)</f>
        <v>283243.14999999997</v>
      </c>
      <c r="AD102" s="588">
        <f>+'6. Intervenciones UDT- AM'!R65</f>
        <v>280300</v>
      </c>
      <c r="AE102" s="588">
        <f>+Tabla1[[#This Row],[Año 2 Cto. Directo]]*(1+$Y$3)</f>
        <v>283243.14999999997</v>
      </c>
      <c r="AF102" s="588">
        <f>+'6. Intervenciones UDT- AM'!S65</f>
        <v>280300</v>
      </c>
      <c r="AG102" s="588">
        <f>+Tabla1[[#This Row],[Año 3 Cto. Directo]]*(1+$Y$3)</f>
        <v>283243.14999999997</v>
      </c>
      <c r="AH102" s="588">
        <f>+'6. Intervenciones UDT- AM'!T65</f>
        <v>280300</v>
      </c>
      <c r="AI102" s="588">
        <f>+Tabla1[[#This Row],[Año 4 Cto. Directo]]*(1+$Y$3)</f>
        <v>283243.14999999997</v>
      </c>
      <c r="AJ102" s="588">
        <f>+'6. Intervenciones UDT- AM'!U65</f>
        <v>280300</v>
      </c>
      <c r="AK102" s="588">
        <f>+Tabla1[[#This Row],[Año 5 Cto. Directo]]*(1+$Y$3)</f>
        <v>283243.14999999997</v>
      </c>
      <c r="AL102" s="403">
        <f>+'6. Intervenciones UDT- AM'!V65</f>
        <v>0</v>
      </c>
      <c r="AM102" s="954"/>
      <c r="AN102" s="954"/>
      <c r="AO102" s="954" t="str">
        <f>+'6. Intervenciones UDT- AM'!Y65</f>
        <v>X</v>
      </c>
      <c r="AP102" s="954"/>
      <c r="AQ102" s="954" t="str">
        <f>+'6. Intervenciones UDT- AM'!AA65</f>
        <v>RE</v>
      </c>
      <c r="AR102" s="954">
        <f>+'6. Intervenciones UDT- AM'!AB65</f>
        <v>3</v>
      </c>
      <c r="AS102" s="403">
        <f t="shared" si="1"/>
        <v>1</v>
      </c>
    </row>
    <row r="103" spans="1:45" s="195" customFormat="1" ht="15.8" hidden="1" customHeight="1" x14ac:dyDescent="0.3">
      <c r="A103" s="403"/>
      <c r="B103" s="403" t="str">
        <f>'6. Intervenciones UDT- AM'!$C$8</f>
        <v>UDT ALTO MAYO</v>
      </c>
      <c r="C103" s="403" t="str">
        <f>'6. Intervenciones UDT- AM'!$F$55</f>
        <v>Predios privados para ganadería de leche y carne</v>
      </c>
      <c r="D103" s="404" t="str">
        <f>+'6. Intervenciones UDT- AM'!A66</f>
        <v>Programas de inversión pública</v>
      </c>
      <c r="E103" s="404" t="str">
        <f>+'6. Intervenciones UDT- AM'!C66</f>
        <v>2.3.4</v>
      </c>
      <c r="F103" s="403" t="str">
        <f>+'6. Intervenciones UDT- AM'!D66</f>
        <v>Mejoramiento genético de ganado bovino</v>
      </c>
      <c r="G103" s="403" t="str">
        <f>+'6. Intervenciones UDT- AM'!E66</f>
        <v>Reactivación, implementación y gestión de las postas de inseminación artificial, importación de material genético (pajillas de semen), capacitación y entrenamiento a inseminadores, transferencia de embriones a las granjas de los productores y asistencia técnica.</v>
      </c>
      <c r="H103" s="948" t="s">
        <v>1864</v>
      </c>
      <c r="I103" s="946" t="s">
        <v>193</v>
      </c>
      <c r="J103" s="946" t="s">
        <v>2592</v>
      </c>
      <c r="K103" s="946" t="s">
        <v>2329</v>
      </c>
      <c r="L103" s="946" t="s">
        <v>196</v>
      </c>
      <c r="M103" s="418" t="s">
        <v>1866</v>
      </c>
      <c r="N103" s="948" t="s">
        <v>1862</v>
      </c>
      <c r="O103" s="948" t="s">
        <v>219</v>
      </c>
      <c r="P103" s="951" t="s">
        <v>1865</v>
      </c>
      <c r="Q103" s="948" t="str">
        <f>+'6. Intervenciones UDT- AM'!F66</f>
        <v>Postas activas y operativas</v>
      </c>
      <c r="R103" s="405">
        <f>+'6. Intervenciones UDT- AM'!I66</f>
        <v>0</v>
      </c>
      <c r="S103" s="405">
        <f>+'6. Intervenciones UDT- AM'!J66</f>
        <v>5</v>
      </c>
      <c r="T103" s="405">
        <f>+'6. Intervenciones UDT- AM'!K66</f>
        <v>5</v>
      </c>
      <c r="U103" s="405">
        <f>+'6. Intervenciones UDT- AM'!L66</f>
        <v>54800</v>
      </c>
      <c r="V103" s="403" t="str">
        <f>+'6. Intervenciones UDT- AM'!M66</f>
        <v xml:space="preserve"> Costo por posta reactivada y/o instalada, cada una estará ubicada en un  punto estratégico para coberturar la mayor cantidad de ganaderos. Considerando la implementación con tanques criogénicos, materiales diversos, pajillas, técnico especialista, movilidad entre otros. </v>
      </c>
      <c r="W103" s="403" t="str">
        <f>+'6. Intervenciones UDT- AM'!N66</f>
        <v>Direpro</v>
      </c>
      <c r="X103" s="588">
        <f>+'6. Intervenciones UDT- AM'!O66</f>
        <v>1370000</v>
      </c>
      <c r="Y103" s="588">
        <f>+Tabla1[[#This Row],[2025 Directo]]*(1+$Y$3)</f>
        <v>1384385</v>
      </c>
      <c r="Z103" s="588">
        <f>+'6. Intervenciones UDT- AM'!P66</f>
        <v>1370000</v>
      </c>
      <c r="AA103" s="588">
        <f>+Tabla1[[#This Row],[2030 Directo]]*(1+$Y$3)</f>
        <v>1384385</v>
      </c>
      <c r="AB103" s="588">
        <f>+'6. Intervenciones UDT- AM'!Q66</f>
        <v>274000</v>
      </c>
      <c r="AC103" s="588">
        <f>+Tabla1[[#This Row],[Año 1 Cto Directo]]*(1+$Y$3)</f>
        <v>276877</v>
      </c>
      <c r="AD103" s="588">
        <f>+'6. Intervenciones UDT- AM'!R66</f>
        <v>274000</v>
      </c>
      <c r="AE103" s="588">
        <f>+Tabla1[[#This Row],[Año 2 Cto. Directo]]*(1+$Y$3)</f>
        <v>276877</v>
      </c>
      <c r="AF103" s="588">
        <f>+'6. Intervenciones UDT- AM'!S66</f>
        <v>274000</v>
      </c>
      <c r="AG103" s="588">
        <f>+Tabla1[[#This Row],[Año 3 Cto. Directo]]*(1+$Y$3)</f>
        <v>276877</v>
      </c>
      <c r="AH103" s="588">
        <f>+'6. Intervenciones UDT- AM'!T66</f>
        <v>274000</v>
      </c>
      <c r="AI103" s="588">
        <f>+Tabla1[[#This Row],[Año 4 Cto. Directo]]*(1+$Y$3)</f>
        <v>276877</v>
      </c>
      <c r="AJ103" s="588">
        <f>+'6. Intervenciones UDT- AM'!U66</f>
        <v>274000</v>
      </c>
      <c r="AK103" s="588">
        <f>+Tabla1[[#This Row],[Año 5 Cto. Directo]]*(1+$Y$3)</f>
        <v>276877</v>
      </c>
      <c r="AL103" s="403">
        <f>+'6. Intervenciones UDT- AM'!V66</f>
        <v>0</v>
      </c>
      <c r="AM103" s="954"/>
      <c r="AN103" s="954" t="str">
        <f>+'6. Intervenciones UDT- AM'!X66</f>
        <v>X</v>
      </c>
      <c r="AO103" s="954"/>
      <c r="AP103" s="954"/>
      <c r="AQ103" s="954"/>
      <c r="AR103" s="954">
        <f>+'6. Intervenciones UDT- AM'!AB66</f>
        <v>3</v>
      </c>
      <c r="AS103" s="403">
        <f t="shared" si="1"/>
        <v>1</v>
      </c>
    </row>
    <row r="104" spans="1:45" s="195" customFormat="1" ht="15.8" hidden="1" customHeight="1" x14ac:dyDescent="0.3">
      <c r="A104" s="403"/>
      <c r="B104" s="403" t="str">
        <f>'6. Intervenciones UDT- AM'!$C$8</f>
        <v>UDT ALTO MAYO</v>
      </c>
      <c r="C104" s="403" t="str">
        <f>'6. Intervenciones UDT- AM'!$F$55</f>
        <v>Predios privados para ganadería de leche y carne</v>
      </c>
      <c r="D104" s="404" t="str">
        <f>+'6. Intervenciones UDT- AM'!A67</f>
        <v>Ingresos y Capital</v>
      </c>
      <c r="E104" s="404" t="str">
        <f>+'6. Intervenciones UDT- AM'!C67</f>
        <v>2.3.5</v>
      </c>
      <c r="F104" s="403" t="str">
        <f>+'6. Intervenciones UDT- AM'!D67</f>
        <v>Programa de acceso al financiamiento agropecuario condicionado</v>
      </c>
      <c r="G104" s="403" t="str">
        <f>+'6. Intervenciones UDT- AM'!E67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v>
      </c>
      <c r="H104" s="948" t="s">
        <v>1864</v>
      </c>
      <c r="I104" s="946" t="s">
        <v>193</v>
      </c>
      <c r="J104" s="946" t="s">
        <v>2593</v>
      </c>
      <c r="K104" s="946" t="s">
        <v>2330</v>
      </c>
      <c r="L104" s="946" t="s">
        <v>195</v>
      </c>
      <c r="M104" s="418" t="s">
        <v>1871</v>
      </c>
      <c r="N104" s="948" t="s">
        <v>1862</v>
      </c>
      <c r="O104" s="948" t="s">
        <v>218</v>
      </c>
      <c r="P104" s="951" t="s">
        <v>1872</v>
      </c>
      <c r="Q104" s="948" t="str">
        <f>+'6. Intervenciones UDT- AM'!F67</f>
        <v>Ganaderos atendidos</v>
      </c>
      <c r="R104" s="405">
        <f>+'6. Intervenciones UDT- AM'!I67</f>
        <v>1424</v>
      </c>
      <c r="S104" s="405">
        <f>+'6. Intervenciones UDT- AM'!J67</f>
        <v>427.2</v>
      </c>
      <c r="T104" s="405">
        <f>+'6. Intervenciones UDT- AM'!K67</f>
        <v>284.8</v>
      </c>
      <c r="U104" s="405">
        <f>+'6. Intervenciones UDT- AM'!L67</f>
        <v>10750</v>
      </c>
      <c r="V104" s="403" t="str">
        <f>+'6. Intervenciones UDT- AM'!M67</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104" s="403" t="str">
        <f>+'6. Intervenciones UDT- AM'!N67</f>
        <v>Drasam, Direpro, OPIPs</v>
      </c>
      <c r="X104" s="588">
        <f>+'6. Intervenciones UDT- AM'!O67</f>
        <v>4592400</v>
      </c>
      <c r="Y104" s="588">
        <f>+Tabla1[[#This Row],[2025 Directo]]*(1+$Y$3)</f>
        <v>4640620.2</v>
      </c>
      <c r="Z104" s="588">
        <f>+'6. Intervenciones UDT- AM'!P67</f>
        <v>3061600</v>
      </c>
      <c r="AA104" s="588">
        <f>+Tabla1[[#This Row],[2030 Directo]]*(1+$Y$3)</f>
        <v>3093746.8</v>
      </c>
      <c r="AB104" s="588">
        <f>+'6. Intervenciones UDT- AM'!Q67</f>
        <v>918480</v>
      </c>
      <c r="AC104" s="588">
        <f>+Tabla1[[#This Row],[Año 1 Cto Directo]]*(1+$Y$3)</f>
        <v>928124.03999999992</v>
      </c>
      <c r="AD104" s="588">
        <f>+'6. Intervenciones UDT- AM'!R67</f>
        <v>918480</v>
      </c>
      <c r="AE104" s="588">
        <f>+Tabla1[[#This Row],[Año 2 Cto. Directo]]*(1+$Y$3)</f>
        <v>928124.03999999992</v>
      </c>
      <c r="AF104" s="588">
        <f>+'6. Intervenciones UDT- AM'!S67</f>
        <v>918480</v>
      </c>
      <c r="AG104" s="588">
        <f>+Tabla1[[#This Row],[Año 3 Cto. Directo]]*(1+$Y$3)</f>
        <v>928124.03999999992</v>
      </c>
      <c r="AH104" s="588">
        <f>+'6. Intervenciones UDT- AM'!T67</f>
        <v>918480</v>
      </c>
      <c r="AI104" s="588">
        <f>+Tabla1[[#This Row],[Año 4 Cto. Directo]]*(1+$Y$3)</f>
        <v>928124.03999999992</v>
      </c>
      <c r="AJ104" s="588">
        <f>+'6. Intervenciones UDT- AM'!U67</f>
        <v>918480</v>
      </c>
      <c r="AK104" s="588">
        <f>+Tabla1[[#This Row],[Año 5 Cto. Directo]]*(1+$Y$3)</f>
        <v>928124.03999999992</v>
      </c>
      <c r="AL104" s="403">
        <f>+'6. Intervenciones UDT- AM'!V67</f>
        <v>0</v>
      </c>
      <c r="AM104" s="954" t="str">
        <f>+'6. Intervenciones UDT- AM'!W67</f>
        <v>X</v>
      </c>
      <c r="AN104" s="954"/>
      <c r="AO104" s="954"/>
      <c r="AP104" s="954"/>
      <c r="AQ104" s="954" t="str">
        <f>+'6. Intervenciones UDT- AM'!AA67</f>
        <v>RE</v>
      </c>
      <c r="AR104" s="954">
        <f>+'6. Intervenciones UDT- AM'!AB67</f>
        <v>3</v>
      </c>
      <c r="AS104" s="403">
        <f t="shared" si="1"/>
        <v>1</v>
      </c>
    </row>
    <row r="105" spans="1:45" s="195" customFormat="1" ht="15.8" hidden="1" customHeight="1" x14ac:dyDescent="0.3">
      <c r="A105" s="403"/>
      <c r="B105" s="403" t="str">
        <f>'6. Intervenciones UDT- AM'!$C$8</f>
        <v>UDT ALTO MAYO</v>
      </c>
      <c r="C105" s="403" t="str">
        <f>'6. Intervenciones UDT- AM'!$F$55</f>
        <v>Predios privados para ganadería de leche y carne</v>
      </c>
      <c r="D105" s="404" t="str">
        <f>+'6. Intervenciones UDT- AM'!A68</f>
        <v>Programas de inversión pública</v>
      </c>
      <c r="E105" s="404" t="str">
        <f>+'6. Intervenciones UDT- AM'!C68</f>
        <v>2.3.6</v>
      </c>
      <c r="F105" s="403" t="str">
        <f>+'6. Intervenciones UDT- AM'!D68</f>
        <v>Promoción de modelos asociativos sostenibles</v>
      </c>
      <c r="G105" s="403" t="str">
        <f>+'6. Intervenciones UDT- AM'!E68</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H105" s="948" t="s">
        <v>1857</v>
      </c>
      <c r="I105" s="946" t="s">
        <v>193</v>
      </c>
      <c r="J105" s="946" t="s">
        <v>2594</v>
      </c>
      <c r="K105" s="946" t="s">
        <v>2332</v>
      </c>
      <c r="L105" s="946" t="s">
        <v>198</v>
      </c>
      <c r="M105" s="418" t="s">
        <v>1874</v>
      </c>
      <c r="N105" s="948" t="s">
        <v>1862</v>
      </c>
      <c r="O105" s="948" t="s">
        <v>230</v>
      </c>
      <c r="P105" s="951" t="s">
        <v>1875</v>
      </c>
      <c r="Q105" s="948" t="str">
        <f>+'6. Intervenciones UDT- AM'!F68</f>
        <v>Organizaciones fortalecidas</v>
      </c>
      <c r="R105" s="405">
        <f>+'6. Intervenciones UDT- AM'!I68</f>
        <v>0</v>
      </c>
      <c r="S105" s="405">
        <f>+'6. Intervenciones UDT- AM'!J68</f>
        <v>12</v>
      </c>
      <c r="T105" s="405">
        <f>+'6. Intervenciones UDT- AM'!K68</f>
        <v>12</v>
      </c>
      <c r="U105" s="405">
        <f>+'6. Intervenciones UDT- AM'!L68</f>
        <v>120000</v>
      </c>
      <c r="V105" s="403" t="str">
        <f>+'6. Intervenciones UDT- AM'!M68</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105" s="403" t="str">
        <f>+'6. Intervenciones UDT- AM'!N68</f>
        <v>Drasam, Dircetur, Direpro</v>
      </c>
      <c r="X105" s="588">
        <f>+'6. Intervenciones UDT- AM'!O68</f>
        <v>7200000</v>
      </c>
      <c r="Y105" s="588">
        <f>+Tabla1[[#This Row],[2025 Directo]]*(1+$Y$3)</f>
        <v>7275600</v>
      </c>
      <c r="Z105" s="588">
        <f>+'6. Intervenciones UDT- AM'!P68</f>
        <v>7200000</v>
      </c>
      <c r="AA105" s="588">
        <f>+Tabla1[[#This Row],[2030 Directo]]*(1+$Y$3)</f>
        <v>7275600</v>
      </c>
      <c r="AB105" s="588">
        <f>+'6. Intervenciones UDT- AM'!Q68</f>
        <v>1440000</v>
      </c>
      <c r="AC105" s="588">
        <f>+Tabla1[[#This Row],[Año 1 Cto Directo]]*(1+$Y$3)</f>
        <v>1455120</v>
      </c>
      <c r="AD105" s="588">
        <f>+'6. Intervenciones UDT- AM'!R68</f>
        <v>1440000</v>
      </c>
      <c r="AE105" s="588">
        <f>+Tabla1[[#This Row],[Año 2 Cto. Directo]]*(1+$Y$3)</f>
        <v>1455120</v>
      </c>
      <c r="AF105" s="588">
        <f>+'6. Intervenciones UDT- AM'!S68</f>
        <v>1440000</v>
      </c>
      <c r="AG105" s="588">
        <f>+Tabla1[[#This Row],[Año 3 Cto. Directo]]*(1+$Y$3)</f>
        <v>1455120</v>
      </c>
      <c r="AH105" s="588">
        <f>+'6. Intervenciones UDT- AM'!T68</f>
        <v>1440000</v>
      </c>
      <c r="AI105" s="588">
        <f>+Tabla1[[#This Row],[Año 4 Cto. Directo]]*(1+$Y$3)</f>
        <v>1455120</v>
      </c>
      <c r="AJ105" s="588">
        <f>+'6. Intervenciones UDT- AM'!U68</f>
        <v>1440000</v>
      </c>
      <c r="AK105" s="588">
        <f>+Tabla1[[#This Row],[Año 5 Cto. Directo]]*(1+$Y$3)</f>
        <v>1455120</v>
      </c>
      <c r="AL105" s="403">
        <f>+'6. Intervenciones UDT- AM'!V68</f>
        <v>0</v>
      </c>
      <c r="AM105" s="954"/>
      <c r="AN105" s="954"/>
      <c r="AO105" s="954" t="str">
        <f>+'6. Intervenciones UDT- AM'!Y68</f>
        <v>X</v>
      </c>
      <c r="AP105" s="954"/>
      <c r="AQ105" s="954"/>
      <c r="AR105" s="954">
        <f>+'6. Intervenciones UDT- AM'!AB68</f>
        <v>3</v>
      </c>
      <c r="AS105" s="403">
        <f t="shared" si="1"/>
        <v>1</v>
      </c>
    </row>
    <row r="106" spans="1:45" s="195" customFormat="1" ht="15.8" hidden="1" customHeight="1" x14ac:dyDescent="0.3">
      <c r="A106" s="403"/>
      <c r="B106" s="403" t="str">
        <f>'6. Intervenciones UDT- AM'!$C$8</f>
        <v>UDT ALTO MAYO</v>
      </c>
      <c r="C106" s="403" t="str">
        <f>'6. Intervenciones UDT- AM'!$F$55</f>
        <v>Predios privados para ganadería de leche y carne</v>
      </c>
      <c r="D106" s="404" t="str">
        <f>+'6. Intervenciones UDT- AM'!A69</f>
        <v>Programas de inversión privada</v>
      </c>
      <c r="E106" s="404" t="str">
        <f>+'6. Intervenciones UDT- AM'!C69</f>
        <v>2.3.7</v>
      </c>
      <c r="F106" s="403" t="str">
        <f>+'6. Intervenciones UDT- AM'!D69</f>
        <v>Implementación de infraestructura productiva baja en emisiones</v>
      </c>
      <c r="G106" s="403" t="str">
        <f>+'6. Intervenciones UDT- AM'!E69</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H106" s="948" t="s">
        <v>1869</v>
      </c>
      <c r="I106" s="946" t="s">
        <v>193</v>
      </c>
      <c r="J106" s="946" t="s">
        <v>2592</v>
      </c>
      <c r="K106" s="946" t="s">
        <v>2329</v>
      </c>
      <c r="L106" s="946" t="s">
        <v>196</v>
      </c>
      <c r="M106" s="418" t="s">
        <v>1866</v>
      </c>
      <c r="N106" s="948" t="s">
        <v>1862</v>
      </c>
      <c r="O106" s="948" t="s">
        <v>219</v>
      </c>
      <c r="P106" s="951" t="s">
        <v>1865</v>
      </c>
      <c r="Q106" s="948" t="str">
        <f>+'6. Intervenciones UDT- AM'!F69</f>
        <v>Planes de negocios implementados</v>
      </c>
      <c r="R106" s="405">
        <f>+'6. Intervenciones UDT- AM'!I69</f>
        <v>0</v>
      </c>
      <c r="S106" s="405">
        <f>+'6. Intervenciones UDT- AM'!J69</f>
        <v>15</v>
      </c>
      <c r="T106" s="405">
        <f>+'6. Intervenciones UDT- AM'!K69</f>
        <v>15</v>
      </c>
      <c r="U106" s="405">
        <f>+'6. Intervenciones UDT- AM'!L69</f>
        <v>800000</v>
      </c>
      <c r="V106" s="403" t="str">
        <f>+'6. Intervenciones UDT- AM'!M69</f>
        <v xml:space="preserve">Financiamiento e implementación de los planes de negocio de las organizaciones seleccionadas, con la finalidad de mejorar los sistemas de crianza, así mismo los órganos competentes del GRSM realizaron los debidos procesos de seguimiento y monitoreo en la ejecución. </v>
      </c>
      <c r="W106" s="403" t="str">
        <f>+'6. Intervenciones UDT- AM'!N69</f>
        <v>AGROIDEAS, DRASAM</v>
      </c>
      <c r="X106" s="588">
        <f>+'6. Intervenciones UDT- AM'!O69</f>
        <v>12000000</v>
      </c>
      <c r="Y106" s="588">
        <f>+Tabla1[[#This Row],[2025 Directo]]*(1+$Y$3)</f>
        <v>12126000</v>
      </c>
      <c r="Z106" s="588">
        <f>+'6. Intervenciones UDT- AM'!P69</f>
        <v>12000000</v>
      </c>
      <c r="AA106" s="588">
        <f>+Tabla1[[#This Row],[2030 Directo]]*(1+$Y$3)</f>
        <v>12126000</v>
      </c>
      <c r="AB106" s="588">
        <f>+'6. Intervenciones UDT- AM'!Q69</f>
        <v>2400000</v>
      </c>
      <c r="AC106" s="588">
        <f>+Tabla1[[#This Row],[Año 1 Cto Directo]]*(1+$Y$3)</f>
        <v>2425200</v>
      </c>
      <c r="AD106" s="588">
        <f>+'6. Intervenciones UDT- AM'!R69</f>
        <v>2400000</v>
      </c>
      <c r="AE106" s="588">
        <f>+Tabla1[[#This Row],[Año 2 Cto. Directo]]*(1+$Y$3)</f>
        <v>2425200</v>
      </c>
      <c r="AF106" s="588">
        <f>+'6. Intervenciones UDT- AM'!S69</f>
        <v>2400000</v>
      </c>
      <c r="AG106" s="588">
        <f>+Tabla1[[#This Row],[Año 3 Cto. Directo]]*(1+$Y$3)</f>
        <v>2425200</v>
      </c>
      <c r="AH106" s="588">
        <f>+'6. Intervenciones UDT- AM'!T69</f>
        <v>2400000</v>
      </c>
      <c r="AI106" s="588">
        <f>+Tabla1[[#This Row],[Año 4 Cto. Directo]]*(1+$Y$3)</f>
        <v>2425200</v>
      </c>
      <c r="AJ106" s="588">
        <f>+'6. Intervenciones UDT- AM'!U69</f>
        <v>2400000</v>
      </c>
      <c r="AK106" s="588">
        <f>+Tabla1[[#This Row],[Año 5 Cto. Directo]]*(1+$Y$3)</f>
        <v>2425200</v>
      </c>
      <c r="AL106" s="403">
        <f>+'6. Intervenciones UDT- AM'!V69</f>
        <v>0</v>
      </c>
      <c r="AM106" s="954" t="str">
        <f>+'6. Intervenciones UDT- AM'!W69</f>
        <v>X</v>
      </c>
      <c r="AN106" s="954"/>
      <c r="AO106" s="954"/>
      <c r="AP106" s="954"/>
      <c r="AQ106" s="954" t="str">
        <f>+'6. Intervenciones UDT- AM'!AA69</f>
        <v>RE</v>
      </c>
      <c r="AR106" s="954">
        <f>+'6. Intervenciones UDT- AM'!AB69</f>
        <v>2</v>
      </c>
      <c r="AS106" s="403">
        <f t="shared" si="1"/>
        <v>1</v>
      </c>
    </row>
    <row r="107" spans="1:45" s="195" customFormat="1" ht="15.8" hidden="1" customHeight="1" x14ac:dyDescent="0.3">
      <c r="A107" s="403"/>
      <c r="B107" s="403" t="str">
        <f>'6. Intervenciones UDT- AM'!$C$8</f>
        <v>UDT ALTO MAYO</v>
      </c>
      <c r="C107" s="403" t="str">
        <f>'6. Intervenciones UDT- AM'!$F$55</f>
        <v>Predios privados para ganadería de leche y carne</v>
      </c>
      <c r="D107" s="404" t="str">
        <f>+'6. Intervenciones UDT- AM'!A70</f>
        <v>Control y vigilancia</v>
      </c>
      <c r="E107" s="404" t="str">
        <f>+'6. Intervenciones UDT- AM'!C70</f>
        <v>2.3.8</v>
      </c>
      <c r="F107" s="403" t="str">
        <f>+'6. Intervenciones UDT- AM'!D70</f>
        <v>Promoción y acceso a los Mecanismos de Retribución por Servicios Eco sistémicos (MERESE)</v>
      </c>
      <c r="G107" s="403" t="str">
        <f>+'6. Intervenciones UDT- AM'!E70</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107" s="948" t="s">
        <v>1857</v>
      </c>
      <c r="I107" s="946" t="s">
        <v>203</v>
      </c>
      <c r="J107" s="946" t="s">
        <v>2595</v>
      </c>
      <c r="K107" s="946" t="s">
        <v>2333</v>
      </c>
      <c r="L107" s="946" t="s">
        <v>204</v>
      </c>
      <c r="M107" s="418" t="s">
        <v>1878</v>
      </c>
      <c r="N107" s="948" t="s">
        <v>1879</v>
      </c>
      <c r="O107" s="948" t="s">
        <v>225</v>
      </c>
      <c r="P107" s="951" t="s">
        <v>1880</v>
      </c>
      <c r="Q107" s="948" t="str">
        <f>+'6. Intervenciones UDT- AM'!F70</f>
        <v>Campañas de difusión y promoción</v>
      </c>
      <c r="R107" s="405">
        <f>+'6. Intervenciones UDT- AM'!I70</f>
        <v>0</v>
      </c>
      <c r="S107" s="405">
        <f>+'6. Intervenciones UDT- AM'!J70</f>
        <v>50</v>
      </c>
      <c r="T107" s="405">
        <f>+'6. Intervenciones UDT- AM'!K70</f>
        <v>50</v>
      </c>
      <c r="U107" s="405">
        <f>+'6. Intervenciones UDT- AM'!L70</f>
        <v>10000</v>
      </c>
      <c r="V107" s="403" t="str">
        <f>+'6. Intervenciones UDT- AM'!M70</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107" s="403" t="str">
        <f>+'6. Intervenciones UDT- AM'!N70</f>
        <v>SUNASS</v>
      </c>
      <c r="X107" s="588">
        <f>+'6. Intervenciones UDT- AM'!O70</f>
        <v>500000</v>
      </c>
      <c r="Y107" s="588">
        <f>+Tabla1[[#This Row],[2025 Directo]]*(1+$Y$3)</f>
        <v>505250</v>
      </c>
      <c r="Z107" s="588">
        <f>+'6. Intervenciones UDT- AM'!P70</f>
        <v>500000</v>
      </c>
      <c r="AA107" s="588">
        <f>+Tabla1[[#This Row],[2030 Directo]]*(1+$Y$3)</f>
        <v>505250</v>
      </c>
      <c r="AB107" s="588">
        <f>+'6. Intervenciones UDT- AM'!Q70</f>
        <v>100000</v>
      </c>
      <c r="AC107" s="588">
        <f>+Tabla1[[#This Row],[Año 1 Cto Directo]]*(1+$Y$3)</f>
        <v>101050</v>
      </c>
      <c r="AD107" s="588">
        <f>+'6. Intervenciones UDT- AM'!R70</f>
        <v>100000</v>
      </c>
      <c r="AE107" s="588">
        <f>+Tabla1[[#This Row],[Año 2 Cto. Directo]]*(1+$Y$3)</f>
        <v>101050</v>
      </c>
      <c r="AF107" s="588">
        <f>+'6. Intervenciones UDT- AM'!S70</f>
        <v>100000</v>
      </c>
      <c r="AG107" s="588">
        <f>+Tabla1[[#This Row],[Año 3 Cto. Directo]]*(1+$Y$3)</f>
        <v>101050</v>
      </c>
      <c r="AH107" s="588">
        <f>+'6. Intervenciones UDT- AM'!T70</f>
        <v>100000</v>
      </c>
      <c r="AI107" s="588">
        <f>+Tabla1[[#This Row],[Año 4 Cto. Directo]]*(1+$Y$3)</f>
        <v>101050</v>
      </c>
      <c r="AJ107" s="588">
        <f>+'6. Intervenciones UDT- AM'!U70</f>
        <v>100000</v>
      </c>
      <c r="AK107" s="588">
        <f>+Tabla1[[#This Row],[Año 5 Cto. Directo]]*(1+$Y$3)</f>
        <v>101050</v>
      </c>
      <c r="AL107" s="403">
        <f>+'6. Intervenciones UDT- AM'!V70</f>
        <v>0</v>
      </c>
      <c r="AM107" s="954" t="str">
        <f>+'6. Intervenciones UDT- AM'!W70</f>
        <v>X</v>
      </c>
      <c r="AN107" s="954"/>
      <c r="AO107" s="954"/>
      <c r="AP107" s="954"/>
      <c r="AQ107" s="954"/>
      <c r="AR107" s="954">
        <f>+'6. Intervenciones UDT- AM'!AB70</f>
        <v>1</v>
      </c>
      <c r="AS107" s="403">
        <f t="shared" si="1"/>
        <v>1</v>
      </c>
    </row>
    <row r="108" spans="1:45" s="195" customFormat="1" ht="15.8" hidden="1" customHeight="1" x14ac:dyDescent="0.3">
      <c r="A108" s="403"/>
      <c r="B108" s="403" t="str">
        <f>'6. Intervenciones UDT- AM'!$C$8</f>
        <v>UDT ALTO MAYO</v>
      </c>
      <c r="C108" s="403" t="str">
        <f>'6. Intervenciones UDT- AM'!$F$74</f>
        <v>Territorios de comunidades nativas</v>
      </c>
      <c r="D108" s="404" t="str">
        <f>+'6. Intervenciones UDT- AM'!A82</f>
        <v>Invasiones</v>
      </c>
      <c r="E108" s="404" t="str">
        <f>+'6. Intervenciones UDT- AM'!C82</f>
        <v>2.4.1</v>
      </c>
      <c r="F108" s="403" t="str">
        <f>+'6. Intervenciones UDT- AM'!D82</f>
        <v>Solución de conflictos en las CCNN</v>
      </c>
      <c r="G108" s="403" t="str">
        <f>+'6. Intervenciones UDT- AM'!E82</f>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
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v>
      </c>
      <c r="H108" s="948" t="s">
        <v>1857</v>
      </c>
      <c r="I108" s="946" t="s">
        <v>199</v>
      </c>
      <c r="J108" s="946" t="s">
        <v>2591</v>
      </c>
      <c r="K108" s="946" t="s">
        <v>2331</v>
      </c>
      <c r="L108" s="946" t="s">
        <v>202</v>
      </c>
      <c r="M108" s="418" t="s">
        <v>1858</v>
      </c>
      <c r="N108" s="948" t="s">
        <v>1879</v>
      </c>
      <c r="O108" s="948" t="s">
        <v>242</v>
      </c>
      <c r="P108" s="951" t="s">
        <v>1893</v>
      </c>
      <c r="Q108" s="948" t="str">
        <f>+'6. Intervenciones UDT- AM'!F82</f>
        <v>Porcentaje de conflictos resueltos</v>
      </c>
      <c r="R108" s="405">
        <f>+'6. Intervenciones UDT- AM'!I82</f>
        <v>0</v>
      </c>
      <c r="S108" s="405">
        <f>+'6. Intervenciones UDT- AM'!J82</f>
        <v>14</v>
      </c>
      <c r="T108" s="405">
        <f>+'6. Intervenciones UDT- AM'!K82</f>
        <v>0</v>
      </c>
      <c r="U108" s="405">
        <f>+'6. Intervenciones UDT- AM'!L82</f>
        <v>420000</v>
      </c>
      <c r="V108" s="403" t="str">
        <f>+'6. Intervenciones UDT- AM'!M82</f>
        <v xml:space="preserve">Gastos logísticos y administrativos para implementar reuniones con los actores involucrados, con la finalidad de solucionar los diferentes conflictos entre las CCNN y los productores, así mismo se  brindará asesoramiento legal y técnico a las CCNN para la solución de los conflictos. los gastos incluye la contratación de profesionales como antropólogos, especialistas SIG, Abogados, Especialistas en suelos y especialista social, así mismos pagos de trámites documentarios en Registros Públicos y Dirección de Titulación y catastro rural.  </v>
      </c>
      <c r="W108" s="403" t="str">
        <f>+'6. Intervenciones UDT- AM'!N82</f>
        <v>Drasam, GIZ, CODEPISAM</v>
      </c>
      <c r="X108" s="588">
        <f>+'6. Intervenciones UDT- AM'!O82</f>
        <v>2100000</v>
      </c>
      <c r="Y108" s="588">
        <f>+Tabla1[[#This Row],[2025 Directo]]*(1+$Y$3)</f>
        <v>2122050</v>
      </c>
      <c r="Z108" s="588">
        <f>+'6. Intervenciones UDT- AM'!P82</f>
        <v>0</v>
      </c>
      <c r="AA108" s="588">
        <f>+Tabla1[[#This Row],[2030 Directo]]*(1+$Y$3)</f>
        <v>0</v>
      </c>
      <c r="AB108" s="588">
        <f>+'6. Intervenciones UDT- AM'!Q82</f>
        <v>420000</v>
      </c>
      <c r="AC108" s="588">
        <f>+Tabla1[[#This Row],[Año 1 Cto Directo]]*(1+$Y$3)</f>
        <v>424410</v>
      </c>
      <c r="AD108" s="588">
        <f>+'6. Intervenciones UDT- AM'!R82</f>
        <v>420000</v>
      </c>
      <c r="AE108" s="588">
        <f>+Tabla1[[#This Row],[Año 2 Cto. Directo]]*(1+$Y$3)</f>
        <v>424410</v>
      </c>
      <c r="AF108" s="588">
        <f>+'6. Intervenciones UDT- AM'!S82</f>
        <v>420000</v>
      </c>
      <c r="AG108" s="588">
        <f>+Tabla1[[#This Row],[Año 3 Cto. Directo]]*(1+$Y$3)</f>
        <v>424410</v>
      </c>
      <c r="AH108" s="588">
        <f>+'6. Intervenciones UDT- AM'!T82</f>
        <v>420000</v>
      </c>
      <c r="AI108" s="588">
        <f>+Tabla1[[#This Row],[Año 4 Cto. Directo]]*(1+$Y$3)</f>
        <v>424410</v>
      </c>
      <c r="AJ108" s="588">
        <f>+'6. Intervenciones UDT- AM'!U82</f>
        <v>420000</v>
      </c>
      <c r="AK108" s="588">
        <f>+Tabla1[[#This Row],[Año 5 Cto. Directo]]*(1+$Y$3)</f>
        <v>424410</v>
      </c>
      <c r="AL108" s="403">
        <f>+'6. Intervenciones UDT- AM'!V82</f>
        <v>0</v>
      </c>
      <c r="AM108" s="954"/>
      <c r="AN108" s="954"/>
      <c r="AO108" s="954" t="str">
        <f>+'6. Intervenciones UDT- AM'!Y82</f>
        <v>X</v>
      </c>
      <c r="AP108" s="954"/>
      <c r="AQ108" s="954"/>
      <c r="AR108" s="954">
        <f>+'6. Intervenciones UDT- AM'!AB82</f>
        <v>3</v>
      </c>
      <c r="AS108" s="403">
        <f t="shared" si="1"/>
        <v>1</v>
      </c>
    </row>
    <row r="109" spans="1:45" s="195" customFormat="1" ht="15.8" hidden="1" customHeight="1" x14ac:dyDescent="0.3">
      <c r="A109" s="403"/>
      <c r="B109" s="403" t="str">
        <f>'6. Intervenciones UDT- AM'!$C$8</f>
        <v>UDT ALTO MAYO</v>
      </c>
      <c r="C109" s="403" t="str">
        <f>'6. Intervenciones UDT- AM'!$F$74</f>
        <v>Territorios de comunidades nativas</v>
      </c>
      <c r="D109" s="404" t="str">
        <f>+'6. Intervenciones UDT- AM'!A83</f>
        <v>Programas de inversión pública</v>
      </c>
      <c r="E109" s="404" t="str">
        <f>+'6. Intervenciones UDT- AM'!C83</f>
        <v>2.4.2</v>
      </c>
      <c r="F109" s="403" t="str">
        <f>+'6. Intervenciones UDT- AM'!D83</f>
        <v xml:space="preserve">Asistencia técnica para el manejo agroforestal </v>
      </c>
      <c r="G109" s="403" t="str">
        <f>+'6. Intervenciones UDT- AM'!E83</f>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v>
      </c>
      <c r="H109" s="948" t="s">
        <v>1857</v>
      </c>
      <c r="I109" s="946" t="s">
        <v>203</v>
      </c>
      <c r="J109" s="946" t="s">
        <v>2595</v>
      </c>
      <c r="K109" s="946" t="s">
        <v>2333</v>
      </c>
      <c r="L109" s="946" t="s">
        <v>204</v>
      </c>
      <c r="M109" s="418" t="s">
        <v>1878</v>
      </c>
      <c r="N109" s="948" t="s">
        <v>1879</v>
      </c>
      <c r="O109" s="948" t="s">
        <v>224</v>
      </c>
      <c r="P109" s="951" t="s">
        <v>1863</v>
      </c>
      <c r="Q109" s="948" t="str">
        <f>+'6. Intervenciones UDT- AM'!F83</f>
        <v>Productor asistido</v>
      </c>
      <c r="R109" s="405">
        <f>+'6. Intervenciones UDT- AM'!I83</f>
        <v>1500</v>
      </c>
      <c r="S109" s="405">
        <f>+'6. Intervenciones UDT- AM'!J83</f>
        <v>900</v>
      </c>
      <c r="T109" s="405">
        <f>+'6. Intervenciones UDT- AM'!K83</f>
        <v>600</v>
      </c>
      <c r="U109" s="405">
        <f>+'6. Intervenciones UDT- AM'!L83</f>
        <v>560</v>
      </c>
      <c r="V109" s="403" t="str">
        <f>+'6. Intervenciones UDT- AM'!M83</f>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v>
      </c>
      <c r="W109" s="403" t="str">
        <f>+'6. Intervenciones UDT- AM'!N83</f>
        <v>Drasam, GIZ, CODEPISAM</v>
      </c>
      <c r="X109" s="588">
        <f>+'6. Intervenciones UDT- AM'!O83</f>
        <v>504000</v>
      </c>
      <c r="Y109" s="588">
        <f>+Tabla1[[#This Row],[2025 Directo]]*(1+$Y$3)</f>
        <v>509292</v>
      </c>
      <c r="Z109" s="588">
        <f>+'6. Intervenciones UDT- AM'!P83</f>
        <v>336000</v>
      </c>
      <c r="AA109" s="588">
        <f>+Tabla1[[#This Row],[2030 Directo]]*(1+$Y$3)</f>
        <v>339528</v>
      </c>
      <c r="AB109" s="588">
        <f>+'6. Intervenciones UDT- AM'!Q83</f>
        <v>100800</v>
      </c>
      <c r="AC109" s="588">
        <f>+Tabla1[[#This Row],[Año 1 Cto Directo]]*(1+$Y$3)</f>
        <v>101858.4</v>
      </c>
      <c r="AD109" s="588">
        <f>+'6. Intervenciones UDT- AM'!R83</f>
        <v>100800</v>
      </c>
      <c r="AE109" s="588">
        <f>+Tabla1[[#This Row],[Año 2 Cto. Directo]]*(1+$Y$3)</f>
        <v>101858.4</v>
      </c>
      <c r="AF109" s="588">
        <f>+'6. Intervenciones UDT- AM'!S83</f>
        <v>100800</v>
      </c>
      <c r="AG109" s="588">
        <f>+Tabla1[[#This Row],[Año 3 Cto. Directo]]*(1+$Y$3)</f>
        <v>101858.4</v>
      </c>
      <c r="AH109" s="588">
        <f>+'6. Intervenciones UDT- AM'!T83</f>
        <v>100800</v>
      </c>
      <c r="AI109" s="588">
        <f>+Tabla1[[#This Row],[Año 4 Cto. Directo]]*(1+$Y$3)</f>
        <v>101858.4</v>
      </c>
      <c r="AJ109" s="588">
        <f>+'6. Intervenciones UDT- AM'!U83</f>
        <v>100800</v>
      </c>
      <c r="AK109" s="588">
        <f>+Tabla1[[#This Row],[Año 5 Cto. Directo]]*(1+$Y$3)</f>
        <v>101858.4</v>
      </c>
      <c r="AL109" s="403">
        <f>+'6. Intervenciones UDT- AM'!V83</f>
        <v>0</v>
      </c>
      <c r="AM109" s="954"/>
      <c r="AN109" s="954"/>
      <c r="AO109" s="954" t="str">
        <f>+'6. Intervenciones UDT- AM'!Y83</f>
        <v>X</v>
      </c>
      <c r="AP109" s="954"/>
      <c r="AQ109" s="954" t="str">
        <f>+'6. Intervenciones UDT- AM'!AA83</f>
        <v>RE</v>
      </c>
      <c r="AR109" s="954">
        <f>+'6. Intervenciones UDT- AM'!AB83</f>
        <v>3</v>
      </c>
      <c r="AS109" s="403">
        <f t="shared" si="1"/>
        <v>1</v>
      </c>
    </row>
    <row r="110" spans="1:45" s="195" customFormat="1" ht="15.8" hidden="1" customHeight="1" x14ac:dyDescent="0.3">
      <c r="A110" s="403"/>
      <c r="B110" s="403" t="str">
        <f>'6. Intervenciones UDT- AM'!$C$8</f>
        <v>UDT ALTO MAYO</v>
      </c>
      <c r="C110" s="403" t="str">
        <f>'6. Intervenciones UDT- AM'!$F$74</f>
        <v>Territorios de comunidades nativas</v>
      </c>
      <c r="D110" s="404" t="str">
        <f>+'6. Intervenciones UDT- AM'!A84</f>
        <v>Programas de inversión privada</v>
      </c>
      <c r="E110" s="404" t="str">
        <f>+'6. Intervenciones UDT- AM'!C84</f>
        <v>2.4.3</v>
      </c>
      <c r="F110" s="403" t="str">
        <f>+'6. Intervenciones UDT- AM'!D84</f>
        <v xml:space="preserve">Promoción de Bionegocios con productos forestales no maderables </v>
      </c>
      <c r="G110" s="403" t="str">
        <f>+'6. Intervenciones UDT- AM'!E84</f>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v>
      </c>
      <c r="H110" s="948" t="s">
        <v>1857</v>
      </c>
      <c r="I110" s="946" t="s">
        <v>203</v>
      </c>
      <c r="J110" s="946" t="s">
        <v>2596</v>
      </c>
      <c r="K110" s="946" t="s">
        <v>2335</v>
      </c>
      <c r="L110" s="946" t="s">
        <v>205</v>
      </c>
      <c r="M110" s="418" t="s">
        <v>1881</v>
      </c>
      <c r="N110" s="948" t="s">
        <v>1879</v>
      </c>
      <c r="O110" s="948" t="s">
        <v>231</v>
      </c>
      <c r="P110" s="951" t="s">
        <v>1882</v>
      </c>
      <c r="Q110" s="948" t="str">
        <f>+'6. Intervenciones UDT- AM'!F84</f>
        <v>Planes de negocio</v>
      </c>
      <c r="R110" s="405">
        <f>+'6. Intervenciones UDT- AM'!I84</f>
        <v>0</v>
      </c>
      <c r="S110" s="405">
        <f>+'6. Intervenciones UDT- AM'!J84</f>
        <v>45</v>
      </c>
      <c r="T110" s="405">
        <f>+'6. Intervenciones UDT- AM'!K84</f>
        <v>30</v>
      </c>
      <c r="U110" s="405">
        <f>+'6. Intervenciones UDT- AM'!L84</f>
        <v>15000</v>
      </c>
      <c r="V110" s="403" t="str">
        <f>+'6. Intervenciones UDT- AM'!M84</f>
        <v>Se contratará profesionales para el asesoramiento y formulación de planes de negocios de las Comunidades Nativas y Campesinas.</v>
      </c>
      <c r="W110" s="403" t="str">
        <f>+'6. Intervenciones UDT- AM'!N84</f>
        <v>Drasam, Agroideas</v>
      </c>
      <c r="X110" s="588">
        <f>+'6. Intervenciones UDT- AM'!O84</f>
        <v>675000</v>
      </c>
      <c r="Y110" s="588">
        <f>+Tabla1[[#This Row],[2025 Directo]]*(1+$Y$3)</f>
        <v>682087.5</v>
      </c>
      <c r="Z110" s="588">
        <f>+'6. Intervenciones UDT- AM'!P84</f>
        <v>450000</v>
      </c>
      <c r="AA110" s="588">
        <f>+Tabla1[[#This Row],[2030 Directo]]*(1+$Y$3)</f>
        <v>454725</v>
      </c>
      <c r="AB110" s="588">
        <f>+'6. Intervenciones UDT- AM'!Q84</f>
        <v>135000</v>
      </c>
      <c r="AC110" s="588">
        <f>+Tabla1[[#This Row],[Año 1 Cto Directo]]*(1+$Y$3)</f>
        <v>136417.5</v>
      </c>
      <c r="AD110" s="588">
        <f>+'6. Intervenciones UDT- AM'!R84</f>
        <v>135000</v>
      </c>
      <c r="AE110" s="588">
        <f>+Tabla1[[#This Row],[Año 2 Cto. Directo]]*(1+$Y$3)</f>
        <v>136417.5</v>
      </c>
      <c r="AF110" s="588">
        <f>+'6. Intervenciones UDT- AM'!S84</f>
        <v>135000</v>
      </c>
      <c r="AG110" s="588">
        <f>+Tabla1[[#This Row],[Año 3 Cto. Directo]]*(1+$Y$3)</f>
        <v>136417.5</v>
      </c>
      <c r="AH110" s="588">
        <f>+'6. Intervenciones UDT- AM'!T84</f>
        <v>135000</v>
      </c>
      <c r="AI110" s="588">
        <f>+Tabla1[[#This Row],[Año 4 Cto. Directo]]*(1+$Y$3)</f>
        <v>136417.5</v>
      </c>
      <c r="AJ110" s="588">
        <f>+'6. Intervenciones UDT- AM'!U84</f>
        <v>135000</v>
      </c>
      <c r="AK110" s="588">
        <f>+Tabla1[[#This Row],[Año 5 Cto. Directo]]*(1+$Y$3)</f>
        <v>136417.5</v>
      </c>
      <c r="AL110" s="403">
        <f>+'6. Intervenciones UDT- AM'!V84</f>
        <v>0</v>
      </c>
      <c r="AM110" s="954" t="str">
        <f>+'6. Intervenciones UDT- AM'!W84</f>
        <v>X</v>
      </c>
      <c r="AN110" s="954"/>
      <c r="AO110" s="954"/>
      <c r="AP110" s="954"/>
      <c r="AQ110" s="954" t="str">
        <f>+'6. Intervenciones UDT- AM'!AA84</f>
        <v>RE</v>
      </c>
      <c r="AR110" s="954">
        <f>+'6. Intervenciones UDT- AM'!AB84</f>
        <v>2</v>
      </c>
      <c r="AS110" s="403">
        <f t="shared" si="1"/>
        <v>1</v>
      </c>
    </row>
    <row r="111" spans="1:45" s="195" customFormat="1" ht="15.8" hidden="1" customHeight="1" x14ac:dyDescent="0.3">
      <c r="A111" s="403"/>
      <c r="B111" s="403" t="str">
        <f>'6. Intervenciones UDT- AM'!$C$8</f>
        <v>UDT ALTO MAYO</v>
      </c>
      <c r="C111" s="403" t="str">
        <f>'6. Intervenciones UDT- AM'!$F$74</f>
        <v>Territorios de comunidades nativas</v>
      </c>
      <c r="D111" s="404" t="str">
        <f>+'6. Intervenciones UDT- AM'!A85</f>
        <v>Programas de inversión pública</v>
      </c>
      <c r="E111" s="404" t="str">
        <f>+'6. Intervenciones UDT- AM'!C85</f>
        <v>2.4.4</v>
      </c>
      <c r="F111" s="403" t="str">
        <f>+'6. Intervenciones UDT- AM'!D85</f>
        <v>Fortalecimiento de capacidades</v>
      </c>
      <c r="G111" s="403" t="str">
        <f>+'6. Intervenciones UDT- AM'!E85</f>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v>
      </c>
      <c r="H111" s="948" t="s">
        <v>1857</v>
      </c>
      <c r="I111" s="946" t="s">
        <v>193</v>
      </c>
      <c r="J111" s="946" t="s">
        <v>2594</v>
      </c>
      <c r="K111" s="946" t="s">
        <v>2332</v>
      </c>
      <c r="L111" s="946" t="s">
        <v>198</v>
      </c>
      <c r="M111" s="418" t="s">
        <v>1874</v>
      </c>
      <c r="N111" s="948" t="s">
        <v>1862</v>
      </c>
      <c r="O111" s="948" t="s">
        <v>230</v>
      </c>
      <c r="P111" s="951" t="s">
        <v>1875</v>
      </c>
      <c r="Q111" s="948" t="str">
        <f>+'6. Intervenciones UDT- AM'!F85</f>
        <v>Comunidades fortalecidas</v>
      </c>
      <c r="R111" s="405">
        <f>+'6. Intervenciones UDT- AM'!I85</f>
        <v>0</v>
      </c>
      <c r="S111" s="405">
        <f>+'6. Intervenciones UDT- AM'!J85</f>
        <v>15</v>
      </c>
      <c r="T111" s="405">
        <f>+'6. Intervenciones UDT- AM'!K85</f>
        <v>15</v>
      </c>
      <c r="U111" s="405">
        <f>+'6. Intervenciones UDT- AM'!L85</f>
        <v>144000</v>
      </c>
      <c r="V111" s="403" t="str">
        <f>+'6. Intervenciones UDT- AM'!M85</f>
        <v>Contratación de especialistas para dar acompañamiento y seguimiento a los procesos organizativos de las CCNN de forma permanente.</v>
      </c>
      <c r="W111" s="403" t="str">
        <f>+'6. Intervenciones UDT- AM'!N85</f>
        <v>Drasam, Direpro, Dircetur, ARA, CODEPISAM</v>
      </c>
      <c r="X111" s="588">
        <f>+'6. Intervenciones UDT- AM'!O85</f>
        <v>10800000</v>
      </c>
      <c r="Y111" s="588">
        <f>+Tabla1[[#This Row],[2025 Directo]]*(1+$Y$3)</f>
        <v>10913400</v>
      </c>
      <c r="Z111" s="588">
        <f>+'6. Intervenciones UDT- AM'!P85</f>
        <v>10800000</v>
      </c>
      <c r="AA111" s="588">
        <f>+Tabla1[[#This Row],[2030 Directo]]*(1+$Y$3)</f>
        <v>10913400</v>
      </c>
      <c r="AB111" s="588">
        <f>+'6. Intervenciones UDT- AM'!Q85</f>
        <v>2160000</v>
      </c>
      <c r="AC111" s="588">
        <f>+Tabla1[[#This Row],[Año 1 Cto Directo]]*(1+$Y$3)</f>
        <v>2182680</v>
      </c>
      <c r="AD111" s="588">
        <f>+'6. Intervenciones UDT- AM'!R85</f>
        <v>2160000</v>
      </c>
      <c r="AE111" s="588">
        <f>+Tabla1[[#This Row],[Año 2 Cto. Directo]]*(1+$Y$3)</f>
        <v>2182680</v>
      </c>
      <c r="AF111" s="588">
        <f>+'6. Intervenciones UDT- AM'!S85</f>
        <v>2160000</v>
      </c>
      <c r="AG111" s="588">
        <f>+Tabla1[[#This Row],[Año 3 Cto. Directo]]*(1+$Y$3)</f>
        <v>2182680</v>
      </c>
      <c r="AH111" s="588">
        <f>+'6. Intervenciones UDT- AM'!T85</f>
        <v>2160000</v>
      </c>
      <c r="AI111" s="588">
        <f>+Tabla1[[#This Row],[Año 4 Cto. Directo]]*(1+$Y$3)</f>
        <v>2182680</v>
      </c>
      <c r="AJ111" s="588">
        <f>+'6. Intervenciones UDT- AM'!U85</f>
        <v>2160000</v>
      </c>
      <c r="AK111" s="588">
        <f>+Tabla1[[#This Row],[Año 5 Cto. Directo]]*(1+$Y$3)</f>
        <v>2182680</v>
      </c>
      <c r="AL111" s="403">
        <f>+'6. Intervenciones UDT- AM'!V85</f>
        <v>0</v>
      </c>
      <c r="AM111" s="954"/>
      <c r="AN111" s="954"/>
      <c r="AO111" s="954" t="str">
        <f>+'6. Intervenciones UDT- AM'!Y85</f>
        <v>X</v>
      </c>
      <c r="AP111" s="954"/>
      <c r="AQ111" s="954" t="str">
        <f>+'6. Intervenciones UDT- AM'!AA85</f>
        <v>RE</v>
      </c>
      <c r="AR111" s="954">
        <f>+'6. Intervenciones UDT- AM'!AB85</f>
        <v>2</v>
      </c>
      <c r="AS111" s="403">
        <f t="shared" si="1"/>
        <v>1</v>
      </c>
    </row>
    <row r="112" spans="1:45" s="195" customFormat="1" ht="15.8" hidden="1" customHeight="1" x14ac:dyDescent="0.3">
      <c r="A112" s="403"/>
      <c r="B112" s="403" t="str">
        <f>'6. Intervenciones UDT- AM'!$C$8</f>
        <v>UDT ALTO MAYO</v>
      </c>
      <c r="C112" s="403" t="str">
        <f>'6. Intervenciones UDT- AM'!$F$74</f>
        <v>Territorios de comunidades nativas</v>
      </c>
      <c r="D112" s="404" t="str">
        <f>+'6. Intervenciones UDT- AM'!A86</f>
        <v>Programas de inversión privada</v>
      </c>
      <c r="E112" s="404" t="str">
        <f>+'6. Intervenciones UDT- AM'!C86</f>
        <v>2.4.5</v>
      </c>
      <c r="F112" s="403" t="str">
        <f>+'6. Intervenciones UDT- AM'!D86</f>
        <v>Identificación y apertura de mercado para productos del bosque.</v>
      </c>
      <c r="G112" s="403" t="str">
        <f>+'6. Intervenciones UDT- AM'!E86</f>
        <v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v>
      </c>
      <c r="H112" s="948" t="s">
        <v>1857</v>
      </c>
      <c r="I112" s="946" t="s">
        <v>193</v>
      </c>
      <c r="J112" s="946" t="s">
        <v>2592</v>
      </c>
      <c r="K112" s="946" t="s">
        <v>2329</v>
      </c>
      <c r="L112" s="946" t="s">
        <v>197</v>
      </c>
      <c r="M112" s="418" t="s">
        <v>1876</v>
      </c>
      <c r="N112" s="948" t="s">
        <v>1862</v>
      </c>
      <c r="O112" s="948" t="s">
        <v>228</v>
      </c>
      <c r="P112" s="951" t="s">
        <v>1877</v>
      </c>
      <c r="Q112" s="948" t="str">
        <f>+'6. Intervenciones UDT- AM'!F86</f>
        <v>Especialistas</v>
      </c>
      <c r="R112" s="405">
        <f>+'6. Intervenciones UDT- AM'!I86</f>
        <v>0</v>
      </c>
      <c r="S112" s="405">
        <f>+'6. Intervenciones UDT- AM'!J86</f>
        <v>2</v>
      </c>
      <c r="T112" s="405">
        <f>+'6. Intervenciones UDT- AM'!K86</f>
        <v>2</v>
      </c>
      <c r="U112" s="405">
        <f>+'6. Intervenciones UDT- AM'!L86</f>
        <v>3500</v>
      </c>
      <c r="V112" s="403" t="str">
        <f>+'6. Intervenciones UDT- AM'!M86</f>
        <v>Contratación de especialista para identificación, acompañamiento y seguimiento a los procesos comerciales iniciados por las organizaciones de las CCNN</v>
      </c>
      <c r="W112" s="403" t="str">
        <f>+'6. Intervenciones UDT- AM'!N86</f>
        <v>Drasam, Direpro, Dircetur, ARA, OPIPs</v>
      </c>
      <c r="X112" s="588">
        <f>+'6. Intervenciones UDT- AM'!O86</f>
        <v>420000</v>
      </c>
      <c r="Y112" s="588">
        <f>+Tabla1[[#This Row],[2025 Directo]]*(1+$Y$3)</f>
        <v>424410</v>
      </c>
      <c r="Z112" s="588">
        <f>+'6. Intervenciones UDT- AM'!P86</f>
        <v>420000</v>
      </c>
      <c r="AA112" s="588">
        <f>+Tabla1[[#This Row],[2030 Directo]]*(1+$Y$3)</f>
        <v>424410</v>
      </c>
      <c r="AB112" s="588">
        <f>+'6. Intervenciones UDT- AM'!Q86</f>
        <v>84000</v>
      </c>
      <c r="AC112" s="588">
        <f>+Tabla1[[#This Row],[Año 1 Cto Directo]]*(1+$Y$3)</f>
        <v>84882</v>
      </c>
      <c r="AD112" s="588">
        <f>+'6. Intervenciones UDT- AM'!R86</f>
        <v>84000</v>
      </c>
      <c r="AE112" s="588">
        <f>+Tabla1[[#This Row],[Año 2 Cto. Directo]]*(1+$Y$3)</f>
        <v>84882</v>
      </c>
      <c r="AF112" s="588">
        <f>+'6. Intervenciones UDT- AM'!S86</f>
        <v>84000</v>
      </c>
      <c r="AG112" s="588">
        <f>+Tabla1[[#This Row],[Año 3 Cto. Directo]]*(1+$Y$3)</f>
        <v>84882</v>
      </c>
      <c r="AH112" s="588">
        <f>+'6. Intervenciones UDT- AM'!T86</f>
        <v>84000</v>
      </c>
      <c r="AI112" s="588">
        <f>+Tabla1[[#This Row],[Año 4 Cto. Directo]]*(1+$Y$3)</f>
        <v>84882</v>
      </c>
      <c r="AJ112" s="588">
        <f>+'6. Intervenciones UDT- AM'!U86</f>
        <v>84000</v>
      </c>
      <c r="AK112" s="588">
        <f>+Tabla1[[#This Row],[Año 5 Cto. Directo]]*(1+$Y$3)</f>
        <v>84882</v>
      </c>
      <c r="AL112" s="403">
        <f>+'6. Intervenciones UDT- AM'!V86</f>
        <v>0</v>
      </c>
      <c r="AM112" s="954" t="str">
        <f>+'6. Intervenciones UDT- AM'!W86</f>
        <v>X</v>
      </c>
      <c r="AN112" s="954"/>
      <c r="AO112" s="954"/>
      <c r="AP112" s="954"/>
      <c r="AQ112" s="954" t="str">
        <f>+'6. Intervenciones UDT- AM'!AA86</f>
        <v>RE</v>
      </c>
      <c r="AR112" s="954">
        <f>+'6. Intervenciones UDT- AM'!AB86</f>
        <v>2</v>
      </c>
      <c r="AS112" s="403">
        <f t="shared" si="1"/>
        <v>1</v>
      </c>
    </row>
    <row r="113" spans="1:45" s="195" customFormat="1" ht="15.8" hidden="1" customHeight="1" x14ac:dyDescent="0.3">
      <c r="A113" s="403"/>
      <c r="B113" s="403" t="str">
        <f>'6. Intervenciones UDT- AM'!$C$8</f>
        <v>UDT ALTO MAYO</v>
      </c>
      <c r="C113" s="403" t="str">
        <f>'6. Intervenciones UDT- AM'!$F$74</f>
        <v>Territorios de comunidades nativas</v>
      </c>
      <c r="D113" s="404" t="str">
        <f>+'6. Intervenciones UDT- AM'!A87</f>
        <v>Invasiones</v>
      </c>
      <c r="E113" s="404" t="str">
        <f>+'6. Intervenciones UDT- AM'!C87</f>
        <v>2.4.6</v>
      </c>
      <c r="F113" s="403" t="str">
        <f>+'6. Intervenciones UDT- AM'!D87</f>
        <v>Transferencias de incentivos por conservación de bosques</v>
      </c>
      <c r="G113" s="403" t="str">
        <f>+'6. Intervenciones UDT- AM'!E87</f>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v>
      </c>
      <c r="H113" s="948" t="s">
        <v>1857</v>
      </c>
      <c r="I113" s="946" t="s">
        <v>203</v>
      </c>
      <c r="J113" s="946" t="s">
        <v>2597</v>
      </c>
      <c r="K113" s="946" t="s">
        <v>2336</v>
      </c>
      <c r="L113" s="946" t="s">
        <v>195</v>
      </c>
      <c r="M113" s="418" t="s">
        <v>1871</v>
      </c>
      <c r="N113" s="948" t="s">
        <v>1879</v>
      </c>
      <c r="O113" s="948" t="s">
        <v>218</v>
      </c>
      <c r="P113" s="951" t="s">
        <v>1872</v>
      </c>
      <c r="Q113" s="948" t="str">
        <f>+'6. Intervenciones UDT- AM'!F87</f>
        <v>Comunidades atendidas</v>
      </c>
      <c r="R113" s="405">
        <f>+'6. Intervenciones UDT- AM'!I87</f>
        <v>4</v>
      </c>
      <c r="S113" s="405">
        <f>+'6. Intervenciones UDT- AM'!J87</f>
        <v>9</v>
      </c>
      <c r="T113" s="405">
        <f>+'6. Intervenciones UDT- AM'!K87</f>
        <v>6</v>
      </c>
      <c r="U113" s="405">
        <f>+'6. Intervenciones UDT- AM'!L87</f>
        <v>5000</v>
      </c>
      <c r="V113" s="403" t="str">
        <f>+'6. Intervenciones UDT- AM'!M87</f>
        <v xml:space="preserve">El costo esta referido a los gastos administrativos y logísticos que impliquen la elaboración del expediente para ser presentado al programa. </v>
      </c>
      <c r="W113" s="403" t="str">
        <f>+'6. Intervenciones UDT- AM'!N87</f>
        <v>Gerencia Regional de Desarrollo Social, Programa Geo bosques</v>
      </c>
      <c r="X113" s="588">
        <f>+'6. Intervenciones UDT- AM'!O87</f>
        <v>225000</v>
      </c>
      <c r="Y113" s="588">
        <f>+Tabla1[[#This Row],[2025 Directo]]*(1+$Y$3)</f>
        <v>227362.5</v>
      </c>
      <c r="Z113" s="588">
        <f>+'6. Intervenciones UDT- AM'!P87</f>
        <v>150000</v>
      </c>
      <c r="AA113" s="588">
        <f>+Tabla1[[#This Row],[2030 Directo]]*(1+$Y$3)</f>
        <v>151575</v>
      </c>
      <c r="AB113" s="588">
        <f>+'6. Intervenciones UDT- AM'!Q87</f>
        <v>45000</v>
      </c>
      <c r="AC113" s="588">
        <f>+Tabla1[[#This Row],[Año 1 Cto Directo]]*(1+$Y$3)</f>
        <v>45472.5</v>
      </c>
      <c r="AD113" s="588">
        <f>+'6. Intervenciones UDT- AM'!R87</f>
        <v>45000</v>
      </c>
      <c r="AE113" s="588">
        <f>+Tabla1[[#This Row],[Año 2 Cto. Directo]]*(1+$Y$3)</f>
        <v>45472.5</v>
      </c>
      <c r="AF113" s="588">
        <f>+'6. Intervenciones UDT- AM'!S87</f>
        <v>45000</v>
      </c>
      <c r="AG113" s="588">
        <f>+Tabla1[[#This Row],[Año 3 Cto. Directo]]*(1+$Y$3)</f>
        <v>45472.5</v>
      </c>
      <c r="AH113" s="588">
        <f>+'6. Intervenciones UDT- AM'!T87</f>
        <v>45000</v>
      </c>
      <c r="AI113" s="588">
        <f>+Tabla1[[#This Row],[Año 4 Cto. Directo]]*(1+$Y$3)</f>
        <v>45472.5</v>
      </c>
      <c r="AJ113" s="588">
        <f>+'6. Intervenciones UDT- AM'!U87</f>
        <v>45000</v>
      </c>
      <c r="AK113" s="588">
        <f>+Tabla1[[#This Row],[Año 5 Cto. Directo]]*(1+$Y$3)</f>
        <v>45472.5</v>
      </c>
      <c r="AL113" s="403">
        <f>+'6. Intervenciones UDT- AM'!V87</f>
        <v>0</v>
      </c>
      <c r="AM113" s="954"/>
      <c r="AN113" s="954"/>
      <c r="AO113" s="954" t="str">
        <f>+'6. Intervenciones UDT- AM'!Y87</f>
        <v>X</v>
      </c>
      <c r="AP113" s="954"/>
      <c r="AQ113" s="954"/>
      <c r="AR113" s="954">
        <f>+'6. Intervenciones UDT- AM'!AB87</f>
        <v>3</v>
      </c>
      <c r="AS113" s="403">
        <f t="shared" si="1"/>
        <v>1</v>
      </c>
    </row>
    <row r="114" spans="1:45" s="195" customFormat="1" ht="15.8" hidden="1" customHeight="1" x14ac:dyDescent="0.3">
      <c r="A114" s="403"/>
      <c r="B114" s="403" t="str">
        <f>'6. Intervenciones UDT- AM'!$C$8</f>
        <v>UDT ALTO MAYO</v>
      </c>
      <c r="C114" s="403" t="str">
        <f>'6. Intervenciones UDT- AM'!$F$74</f>
        <v>Territorios de comunidades nativas</v>
      </c>
      <c r="D114" s="404" t="str">
        <f>+'6. Intervenciones UDT- AM'!A88</f>
        <v>Programas de inversión pública</v>
      </c>
      <c r="E114" s="404" t="str">
        <f>+'6. Intervenciones UDT- AM'!C88</f>
        <v>2.4.7</v>
      </c>
      <c r="F114" s="403" t="str">
        <f>+'6. Intervenciones UDT- AM'!D88</f>
        <v>Infraestructura comunitaria ( Tambos, Cobertizos, almacenes, cocinas mejoradas, Baños)</v>
      </c>
      <c r="G114" s="403" t="str">
        <f>+'6. Intervenciones UDT- AM'!E88</f>
        <v xml:space="preserve">Con el soporte de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v>
      </c>
      <c r="H114" s="948" t="s">
        <v>1857</v>
      </c>
      <c r="I114" s="946" t="s">
        <v>199</v>
      </c>
      <c r="J114" s="946" t="s">
        <v>2598</v>
      </c>
      <c r="K114" s="946" t="s">
        <v>2334</v>
      </c>
      <c r="L114" s="946" t="s">
        <v>201</v>
      </c>
      <c r="M114" s="418" t="s">
        <v>1883</v>
      </c>
      <c r="N114" s="948" t="s">
        <v>1884</v>
      </c>
      <c r="O114" s="948" t="s">
        <v>226</v>
      </c>
      <c r="P114" s="951" t="s">
        <v>1885</v>
      </c>
      <c r="Q114" s="952" t="str">
        <f>+'6. Intervenciones UDT- AM'!F88</f>
        <v>Módulos implementados</v>
      </c>
      <c r="R114" s="405">
        <f>+'6. Intervenciones UDT- AM'!I88</f>
        <v>1500</v>
      </c>
      <c r="S114" s="405">
        <f>+'6. Intervenciones UDT- AM'!J88</f>
        <v>450</v>
      </c>
      <c r="T114" s="405">
        <f>+'6. Intervenciones UDT- AM'!K88</f>
        <v>300</v>
      </c>
      <c r="U114" s="405">
        <f>+'6. Intervenciones UDT- AM'!L88</f>
        <v>30000</v>
      </c>
      <c r="V114" s="403" t="str">
        <f>+'6. Intervenciones UDT- AM'!M88</f>
        <v xml:space="preserve">Implementación según las necesidades identificadas en cada comunidad, considerando si son aplicables en dichas zonas, si no hay restricciones de cualquier índole. </v>
      </c>
      <c r="W114" s="403" t="str">
        <f>+'6. Intervenciones UDT- AM'!N88</f>
        <v>Goresam, MIDIS, DRTyTC, Drasam,Foncodes, Cooperación</v>
      </c>
      <c r="X114" s="588">
        <f>+'6. Intervenciones UDT- AM'!O88</f>
        <v>13500000</v>
      </c>
      <c r="Y114" s="588">
        <f>+Tabla1[[#This Row],[2025 Directo]]*(1+$Y$3)</f>
        <v>13641750</v>
      </c>
      <c r="Z114" s="588">
        <f>+'6. Intervenciones UDT- AM'!P88</f>
        <v>9000000</v>
      </c>
      <c r="AA114" s="588">
        <f>+Tabla1[[#This Row],[2030 Directo]]*(1+$Y$3)</f>
        <v>9094500</v>
      </c>
      <c r="AB114" s="588">
        <f>+'6. Intervenciones UDT- AM'!Q88</f>
        <v>2700000</v>
      </c>
      <c r="AC114" s="588">
        <f>+Tabla1[[#This Row],[Año 1 Cto Directo]]*(1+$Y$3)</f>
        <v>2728350</v>
      </c>
      <c r="AD114" s="588">
        <f>+'6. Intervenciones UDT- AM'!R88</f>
        <v>2700000</v>
      </c>
      <c r="AE114" s="588">
        <f>+Tabla1[[#This Row],[Año 2 Cto. Directo]]*(1+$Y$3)</f>
        <v>2728350</v>
      </c>
      <c r="AF114" s="588">
        <f>+'6. Intervenciones UDT- AM'!S88</f>
        <v>2700000</v>
      </c>
      <c r="AG114" s="588">
        <f>+Tabla1[[#This Row],[Año 3 Cto. Directo]]*(1+$Y$3)</f>
        <v>2728350</v>
      </c>
      <c r="AH114" s="588">
        <f>+'6. Intervenciones UDT- AM'!T88</f>
        <v>2700000</v>
      </c>
      <c r="AI114" s="588">
        <f>+Tabla1[[#This Row],[Año 4 Cto. Directo]]*(1+$Y$3)</f>
        <v>2728350</v>
      </c>
      <c r="AJ114" s="588">
        <f>+'6. Intervenciones UDT- AM'!U88</f>
        <v>2700000</v>
      </c>
      <c r="AK114" s="588">
        <f>+Tabla1[[#This Row],[Año 5 Cto. Directo]]*(1+$Y$3)</f>
        <v>2728350</v>
      </c>
      <c r="AL114" s="403">
        <f>+'6. Intervenciones UDT- AM'!V88</f>
        <v>0</v>
      </c>
      <c r="AM114" s="954"/>
      <c r="AN114" s="954"/>
      <c r="AO114" s="954" t="str">
        <f>+'6. Intervenciones UDT- AM'!Y88</f>
        <v>X</v>
      </c>
      <c r="AP114" s="954"/>
      <c r="AQ114" s="954"/>
      <c r="AR114" s="954">
        <f>+'6. Intervenciones UDT- AM'!AB88</f>
        <v>2</v>
      </c>
      <c r="AS114" s="403">
        <f t="shared" si="1"/>
        <v>1</v>
      </c>
    </row>
    <row r="115" spans="1:45" s="195" customFormat="1" ht="15.8" hidden="1" customHeight="1" x14ac:dyDescent="0.3">
      <c r="A115" s="403"/>
      <c r="B115" s="403" t="str">
        <f>'6. Intervenciones UDT- AM'!$C$8</f>
        <v>UDT ALTO MAYO</v>
      </c>
      <c r="C115" s="403" t="str">
        <f>'6. Intervenciones UDT- AM'!$F$74</f>
        <v>Territorios de comunidades nativas</v>
      </c>
      <c r="D115" s="404" t="str">
        <f>+'6. Intervenciones UDT- AM'!A89</f>
        <v>Programas de inversión pública</v>
      </c>
      <c r="E115" s="404" t="str">
        <f>+'6. Intervenciones UDT- AM'!C89</f>
        <v>2.4.8</v>
      </c>
      <c r="F115" s="403" t="str">
        <f>+'6. Intervenciones UDT- AM'!D89</f>
        <v>Servicios básicos de calidad</v>
      </c>
      <c r="G115" s="403" t="str">
        <f>+'6. Intervenciones UDT- AM'!E89</f>
        <v xml:space="preserve">Implementación de proyectos enfocados a mejorar los servicios básicos de las comunidades nativas, dichos servicios deberán contar con profesionales bilingües, para asegurar y garantizar la adecuada transferencia de dichos servicios.  </v>
      </c>
      <c r="H115" s="948" t="s">
        <v>1857</v>
      </c>
      <c r="I115" s="946" t="s">
        <v>199</v>
      </c>
      <c r="J115" s="946" t="s">
        <v>2598</v>
      </c>
      <c r="K115" s="946" t="s">
        <v>2334</v>
      </c>
      <c r="L115" s="946" t="s">
        <v>201</v>
      </c>
      <c r="M115" s="418" t="s">
        <v>1883</v>
      </c>
      <c r="N115" s="948" t="s">
        <v>1884</v>
      </c>
      <c r="O115" s="948" t="s">
        <v>226</v>
      </c>
      <c r="P115" s="951" t="s">
        <v>1885</v>
      </c>
      <c r="Q115" s="948" t="str">
        <f>+'6. Intervenciones UDT- AM'!F89</f>
        <v>Escuelas y postas médicas implementadas</v>
      </c>
      <c r="R115" s="405">
        <f>+'6. Intervenciones UDT- AM'!I89</f>
        <v>15</v>
      </c>
      <c r="S115" s="405">
        <f>+'6. Intervenciones UDT- AM'!J89</f>
        <v>8</v>
      </c>
      <c r="T115" s="405">
        <f>+'6. Intervenciones UDT- AM'!K89</f>
        <v>7</v>
      </c>
      <c r="U115" s="405">
        <f>+'6. Intervenciones UDT- AM'!L89</f>
        <v>50000</v>
      </c>
      <c r="V115" s="403" t="str">
        <f>+'6. Intervenciones UDT- AM'!M89</f>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v>
      </c>
      <c r="W115" s="403" t="str">
        <f>+'6. Intervenciones UDT- AM'!N89</f>
        <v>DRE, UGEL, CODEPISAM</v>
      </c>
      <c r="X115" s="588">
        <f>+'6. Intervenciones UDT- AM'!O89</f>
        <v>2000000</v>
      </c>
      <c r="Y115" s="588">
        <f>+Tabla1[[#This Row],[2025 Directo]]*(1+$Y$3)</f>
        <v>2021000</v>
      </c>
      <c r="Z115" s="588">
        <f>+'6. Intervenciones UDT- AM'!P89</f>
        <v>1750000</v>
      </c>
      <c r="AA115" s="588">
        <f>+Tabla1[[#This Row],[2030 Directo]]*(1+$Y$3)</f>
        <v>1768375</v>
      </c>
      <c r="AB115" s="588">
        <f>+'6. Intervenciones UDT- AM'!Q89</f>
        <v>400000</v>
      </c>
      <c r="AC115" s="588">
        <f>+Tabla1[[#This Row],[Año 1 Cto Directo]]*(1+$Y$3)</f>
        <v>404200</v>
      </c>
      <c r="AD115" s="588">
        <f>+'6. Intervenciones UDT- AM'!R89</f>
        <v>400000</v>
      </c>
      <c r="AE115" s="588">
        <f>+Tabla1[[#This Row],[Año 2 Cto. Directo]]*(1+$Y$3)</f>
        <v>404200</v>
      </c>
      <c r="AF115" s="588">
        <f>+'6. Intervenciones UDT- AM'!S89</f>
        <v>400000</v>
      </c>
      <c r="AG115" s="588">
        <f>+Tabla1[[#This Row],[Año 3 Cto. Directo]]*(1+$Y$3)</f>
        <v>404200</v>
      </c>
      <c r="AH115" s="588">
        <f>+'6. Intervenciones UDT- AM'!T89</f>
        <v>400000</v>
      </c>
      <c r="AI115" s="588">
        <f>+Tabla1[[#This Row],[Año 4 Cto. Directo]]*(1+$Y$3)</f>
        <v>404200</v>
      </c>
      <c r="AJ115" s="588">
        <f>+'6. Intervenciones UDT- AM'!U89</f>
        <v>400000</v>
      </c>
      <c r="AK115" s="588">
        <f>+Tabla1[[#This Row],[Año 5 Cto. Directo]]*(1+$Y$3)</f>
        <v>404200</v>
      </c>
      <c r="AL115" s="403">
        <f>+'6. Intervenciones UDT- AM'!V89</f>
        <v>0</v>
      </c>
      <c r="AM115" s="954" t="str">
        <f>+'6. Intervenciones UDT- AM'!W89</f>
        <v>X</v>
      </c>
      <c r="AN115" s="954"/>
      <c r="AO115" s="954"/>
      <c r="AP115" s="954"/>
      <c r="AQ115" s="954" t="str">
        <f>+'6. Intervenciones UDT- AM'!AA89</f>
        <v>RE</v>
      </c>
      <c r="AR115" s="954">
        <f>+'6. Intervenciones UDT- AM'!AB89</f>
        <v>3</v>
      </c>
      <c r="AS115" s="403">
        <f t="shared" si="1"/>
        <v>1</v>
      </c>
    </row>
    <row r="116" spans="1:45" s="195" customFormat="1" ht="15.8" hidden="1" customHeight="1" x14ac:dyDescent="0.3">
      <c r="A116" s="403"/>
      <c r="B116" s="403" t="str">
        <f>'6. Intervenciones UDT- AM'!$C$8</f>
        <v>UDT ALTO MAYO</v>
      </c>
      <c r="C116" s="403" t="str">
        <f>'6. Intervenciones UDT- AM'!$F$93</f>
        <v xml:space="preserve">Concesiones para conservación y ecoturismo </v>
      </c>
      <c r="D116" s="404" t="str">
        <f>+'6. Intervenciones UDT- AM'!A101</f>
        <v>Ingresos y Capital</v>
      </c>
      <c r="E116" s="404" t="str">
        <f>+'6. Intervenciones UDT- AM'!C101</f>
        <v>2.5.1</v>
      </c>
      <c r="F116" s="403" t="str">
        <f>+'6. Intervenciones UDT- AM'!D101</f>
        <v>Incentivos financieros para la promoción del ecoturismo y turismo comunitario</v>
      </c>
      <c r="G116" s="403" t="str">
        <f>+'6. Intervenciones UDT- AM'!E101</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H116" s="948" t="s">
        <v>1867</v>
      </c>
      <c r="I116" s="946" t="s">
        <v>203</v>
      </c>
      <c r="J116" s="946" t="s">
        <v>2597</v>
      </c>
      <c r="K116" s="946" t="s">
        <v>2336</v>
      </c>
      <c r="L116" s="946" t="s">
        <v>195</v>
      </c>
      <c r="M116" s="418" t="s">
        <v>1871</v>
      </c>
      <c r="N116" s="948" t="s">
        <v>1879</v>
      </c>
      <c r="O116" s="948" t="s">
        <v>218</v>
      </c>
      <c r="P116" s="951" t="s">
        <v>1872</v>
      </c>
      <c r="Q116" s="948" t="str">
        <f>+'6. Intervenciones UDT- AM'!F101</f>
        <v>Planes de negocio</v>
      </c>
      <c r="R116" s="405">
        <f>+'6. Intervenciones UDT- AM'!I101</f>
        <v>4</v>
      </c>
      <c r="S116" s="405">
        <f>+'6. Intervenciones UDT- AM'!J101</f>
        <v>4</v>
      </c>
      <c r="T116" s="405">
        <f>+'6. Intervenciones UDT- AM'!K101</f>
        <v>4</v>
      </c>
      <c r="U116" s="405">
        <f>+'6. Intervenciones UDT- AM'!L101</f>
        <v>150000</v>
      </c>
      <c r="V116" s="403" t="str">
        <f>+'6. Intervenciones UDT- AM'!M101</f>
        <v xml:space="preserve">El costo presupuestado será considerado para los estudios preliminares requeridos para el plan de negocio, pago de especialista de ser el caso, implementación de infraestructura básica según la priorización de los operadores turísticos interesados. </v>
      </c>
      <c r="W116" s="403" t="str">
        <f>+'6. Intervenciones UDT- AM'!N101</f>
        <v>Dircetur</v>
      </c>
      <c r="X116" s="588">
        <f>+'6. Intervenciones UDT- AM'!O101</f>
        <v>600000</v>
      </c>
      <c r="Y116" s="588">
        <f>+Tabla1[[#This Row],[2025 Directo]]*(1+$Y$3)</f>
        <v>606300</v>
      </c>
      <c r="Z116" s="588">
        <f>+'6. Intervenciones UDT- AM'!P101</f>
        <v>600000</v>
      </c>
      <c r="AA116" s="588">
        <f>+Tabla1[[#This Row],[2030 Directo]]*(1+$Y$3)</f>
        <v>606300</v>
      </c>
      <c r="AB116" s="588">
        <f>+'6. Intervenciones UDT- AM'!Q101</f>
        <v>120000</v>
      </c>
      <c r="AC116" s="588">
        <f>+Tabla1[[#This Row],[Año 1 Cto Directo]]*(1+$Y$3)</f>
        <v>121260</v>
      </c>
      <c r="AD116" s="588">
        <f>+'6. Intervenciones UDT- AM'!R101</f>
        <v>120000</v>
      </c>
      <c r="AE116" s="588">
        <f>+Tabla1[[#This Row],[Año 2 Cto. Directo]]*(1+$Y$3)</f>
        <v>121260</v>
      </c>
      <c r="AF116" s="588">
        <f>+'6. Intervenciones UDT- AM'!S101</f>
        <v>120000</v>
      </c>
      <c r="AG116" s="588">
        <f>+Tabla1[[#This Row],[Año 3 Cto. Directo]]*(1+$Y$3)</f>
        <v>121260</v>
      </c>
      <c r="AH116" s="588">
        <f>+'6. Intervenciones UDT- AM'!T101</f>
        <v>120000</v>
      </c>
      <c r="AI116" s="588">
        <f>+Tabla1[[#This Row],[Año 4 Cto. Directo]]*(1+$Y$3)</f>
        <v>121260</v>
      </c>
      <c r="AJ116" s="588">
        <f>+'6. Intervenciones UDT- AM'!U101</f>
        <v>120000</v>
      </c>
      <c r="AK116" s="588">
        <f>+Tabla1[[#This Row],[Año 5 Cto. Directo]]*(1+$Y$3)</f>
        <v>121260</v>
      </c>
      <c r="AL116" s="403">
        <f>+'6. Intervenciones UDT- AM'!V101</f>
        <v>0</v>
      </c>
      <c r="AM116" s="954" t="str">
        <f>+'6. Intervenciones UDT- AM'!W101</f>
        <v>X</v>
      </c>
      <c r="AN116" s="954"/>
      <c r="AO116" s="954"/>
      <c r="AP116" s="954"/>
      <c r="AQ116" s="954">
        <f>+'6. Intervenciones UDT- AM'!AA101</f>
        <v>0</v>
      </c>
      <c r="AR116" s="954">
        <f>+'6. Intervenciones UDT- AM'!AB101</f>
        <v>3</v>
      </c>
      <c r="AS116" s="403">
        <f t="shared" si="1"/>
        <v>1</v>
      </c>
    </row>
    <row r="117" spans="1:45" s="195" customFormat="1" ht="15.8" hidden="1" customHeight="1" x14ac:dyDescent="0.3">
      <c r="A117" s="403"/>
      <c r="B117" s="403" t="str">
        <f>'6. Intervenciones UDT- AM'!$C$8</f>
        <v>UDT ALTO MAYO</v>
      </c>
      <c r="C117" s="403" t="str">
        <f>'6. Intervenciones UDT- AM'!$F$93</f>
        <v xml:space="preserve">Concesiones para conservación y ecoturismo </v>
      </c>
      <c r="D117" s="404" t="str">
        <f>+'6. Intervenciones UDT- AM'!A102</f>
        <v>Programas de inversión pública</v>
      </c>
      <c r="E117" s="404" t="str">
        <f>+'6. Intervenciones UDT- AM'!C102</f>
        <v>2.5.2</v>
      </c>
      <c r="F117" s="403" t="str">
        <f>+'6. Intervenciones UDT- AM'!D102</f>
        <v>Asistencia técnica para la gestión del turismo y acciones integradas para el desarrollo de las organizaciones  o emprendimientos comunitarios</v>
      </c>
      <c r="G117" s="403" t="str">
        <f>+'6. Intervenciones UDT- AM'!E102</f>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
2. Asistencia técnica, orientada al a) Fortalecimiento de la gestión del turismo, b) Consolidación de los productos de turismo y c) Fortalecimiento de la política institucional y la gobernanza del turismo.</v>
      </c>
      <c r="H117" s="948" t="s">
        <v>1857</v>
      </c>
      <c r="I117" s="946" t="s">
        <v>203</v>
      </c>
      <c r="J117" s="946" t="s">
        <v>2595</v>
      </c>
      <c r="K117" s="946" t="s">
        <v>2333</v>
      </c>
      <c r="L117" s="946" t="s">
        <v>204</v>
      </c>
      <c r="M117" s="418" t="s">
        <v>1878</v>
      </c>
      <c r="N117" s="948" t="s">
        <v>1879</v>
      </c>
      <c r="O117" s="948" t="s">
        <v>224</v>
      </c>
      <c r="P117" s="951" t="s">
        <v>1863</v>
      </c>
      <c r="Q117" s="948" t="str">
        <f>+'6. Intervenciones UDT- AM'!F102</f>
        <v>Especialistas</v>
      </c>
      <c r="R117" s="405">
        <f>+'6. Intervenciones UDT- AM'!I102</f>
        <v>0</v>
      </c>
      <c r="S117" s="405">
        <f>+'6. Intervenciones UDT- AM'!J102</f>
        <v>2</v>
      </c>
      <c r="T117" s="405">
        <f>+'6. Intervenciones UDT- AM'!K102</f>
        <v>2</v>
      </c>
      <c r="U117" s="405">
        <f>+'6. Intervenciones UDT- AM'!L102</f>
        <v>4000</v>
      </c>
      <c r="V117" s="403" t="str">
        <f>+'6. Intervenciones UDT- AM'!M102</f>
        <v>Contratación de especialista y gastos logísticos, pasantías regionales y nacionales para adquisición de know how en materia de turismo rural</v>
      </c>
      <c r="W117" s="403" t="str">
        <f>+'6. Intervenciones UDT- AM'!N102</f>
        <v>Dircetur</v>
      </c>
      <c r="X117" s="588">
        <f>+'6. Intervenciones UDT- AM'!O102</f>
        <v>480000</v>
      </c>
      <c r="Y117" s="588">
        <f>+Tabla1[[#This Row],[2025 Directo]]*(1+$Y$3)</f>
        <v>485040</v>
      </c>
      <c r="Z117" s="588">
        <f>+'6. Intervenciones UDT- AM'!P102</f>
        <v>480000</v>
      </c>
      <c r="AA117" s="588">
        <f>+Tabla1[[#This Row],[2030 Directo]]*(1+$Y$3)</f>
        <v>485040</v>
      </c>
      <c r="AB117" s="588">
        <f>+'6. Intervenciones UDT- AM'!Q102</f>
        <v>240000</v>
      </c>
      <c r="AC117" s="588">
        <f>+Tabla1[[#This Row],[Año 1 Cto Directo]]*(1+$Y$3)</f>
        <v>242520</v>
      </c>
      <c r="AD117" s="588">
        <f>+'6. Intervenciones UDT- AM'!R102</f>
        <v>240000</v>
      </c>
      <c r="AE117" s="588">
        <f>+Tabla1[[#This Row],[Año 2 Cto. Directo]]*(1+$Y$3)</f>
        <v>242520</v>
      </c>
      <c r="AF117" s="588">
        <f>+'6. Intervenciones UDT- AM'!S102</f>
        <v>0</v>
      </c>
      <c r="AG117" s="588">
        <f>+Tabla1[[#This Row],[Año 3 Cto. Directo]]*(1+$Y$3)</f>
        <v>0</v>
      </c>
      <c r="AH117" s="588">
        <f>+'6. Intervenciones UDT- AM'!T102</f>
        <v>0</v>
      </c>
      <c r="AI117" s="588">
        <f>+Tabla1[[#This Row],[Año 4 Cto. Directo]]*(1+$Y$3)</f>
        <v>0</v>
      </c>
      <c r="AJ117" s="588">
        <f>+'6. Intervenciones UDT- AM'!U102</f>
        <v>0</v>
      </c>
      <c r="AK117" s="588">
        <f>+Tabla1[[#This Row],[Año 5 Cto. Directo]]*(1+$Y$3)</f>
        <v>0</v>
      </c>
      <c r="AL117" s="403">
        <f>+'6. Intervenciones UDT- AM'!V102</f>
        <v>0</v>
      </c>
      <c r="AM117" s="954"/>
      <c r="AN117" s="954"/>
      <c r="AO117" s="954" t="str">
        <f>+'6. Intervenciones UDT- AM'!Y102</f>
        <v>X</v>
      </c>
      <c r="AP117" s="954"/>
      <c r="AQ117" s="954">
        <f>+'6. Intervenciones UDT- AM'!AA102</f>
        <v>0</v>
      </c>
      <c r="AR117" s="954">
        <f>+'6. Intervenciones UDT- AM'!AB102</f>
        <v>3</v>
      </c>
      <c r="AS117" s="403">
        <f t="shared" si="1"/>
        <v>1</v>
      </c>
    </row>
    <row r="118" spans="1:45" s="195" customFormat="1" ht="15.8" hidden="1" customHeight="1" x14ac:dyDescent="0.3">
      <c r="A118" s="403"/>
      <c r="B118" s="403" t="str">
        <f>'6. Intervenciones UDT- AM'!$C$8</f>
        <v>UDT ALTO MAYO</v>
      </c>
      <c r="C118" s="403" t="str">
        <f>'6. Intervenciones UDT- AM'!$F$93</f>
        <v xml:space="preserve">Concesiones para conservación y ecoturismo </v>
      </c>
      <c r="D118" s="404" t="str">
        <f>+'6. Intervenciones UDT- AM'!A103</f>
        <v>Programas de inversión privada</v>
      </c>
      <c r="E118" s="404" t="str">
        <f>+'6. Intervenciones UDT- AM'!C103</f>
        <v>2.5.3</v>
      </c>
      <c r="F118" s="403" t="str">
        <f>+'6. Intervenciones UDT- AM'!D103</f>
        <v xml:space="preserve">Promoción de Bionegocios con productos forestales no maderables </v>
      </c>
      <c r="G118" s="403" t="str">
        <f>+'6. Intervenciones UDT- AM'!E103</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H118" s="948" t="s">
        <v>1857</v>
      </c>
      <c r="I118" s="946" t="s">
        <v>203</v>
      </c>
      <c r="J118" s="946" t="s">
        <v>2596</v>
      </c>
      <c r="K118" s="946" t="s">
        <v>2335</v>
      </c>
      <c r="L118" s="946" t="s">
        <v>205</v>
      </c>
      <c r="M118" s="418" t="s">
        <v>1881</v>
      </c>
      <c r="N118" s="948" t="s">
        <v>1879</v>
      </c>
      <c r="O118" s="948" t="s">
        <v>231</v>
      </c>
      <c r="P118" s="951" t="s">
        <v>1882</v>
      </c>
      <c r="Q118" s="948" t="str">
        <f>+'6. Intervenciones UDT- AM'!F103</f>
        <v>Planes de negocio</v>
      </c>
      <c r="R118" s="405">
        <f>+'6. Intervenciones UDT- AM'!I103</f>
        <v>0</v>
      </c>
      <c r="S118" s="405">
        <f>+'6. Intervenciones UDT- AM'!J103</f>
        <v>4</v>
      </c>
      <c r="T118" s="405">
        <f>+'6. Intervenciones UDT- AM'!K103</f>
        <v>8</v>
      </c>
      <c r="U118" s="405">
        <f>+'6. Intervenciones UDT- AM'!L103</f>
        <v>150000</v>
      </c>
      <c r="V118" s="403" t="str">
        <f>+'6. Intervenciones UDT- AM'!M103</f>
        <v>El costo hace referencia al proceso de implementación y funcionamiento de los productos para el desarrollo de  los emprendimientos.</v>
      </c>
      <c r="W118" s="403" t="str">
        <f>+'6. Intervenciones UDT- AM'!N103</f>
        <v>Dircetur, Agroideas</v>
      </c>
      <c r="X118" s="588">
        <f>+'6. Intervenciones UDT- AM'!O103</f>
        <v>600000</v>
      </c>
      <c r="Y118" s="588">
        <f>+Tabla1[[#This Row],[2025 Directo]]*(1+$Y$3)</f>
        <v>606300</v>
      </c>
      <c r="Z118" s="588">
        <f>+'6. Intervenciones UDT- AM'!P103</f>
        <v>1200000</v>
      </c>
      <c r="AA118" s="588">
        <f>+Tabla1[[#This Row],[2030 Directo]]*(1+$Y$3)</f>
        <v>1212600</v>
      </c>
      <c r="AB118" s="588">
        <f>+'6. Intervenciones UDT- AM'!Q103</f>
        <v>120000</v>
      </c>
      <c r="AC118" s="588">
        <f>+Tabla1[[#This Row],[Año 1 Cto Directo]]*(1+$Y$3)</f>
        <v>121260</v>
      </c>
      <c r="AD118" s="588">
        <f>+'6. Intervenciones UDT- AM'!R103</f>
        <v>120000</v>
      </c>
      <c r="AE118" s="588">
        <f>+Tabla1[[#This Row],[Año 2 Cto. Directo]]*(1+$Y$3)</f>
        <v>121260</v>
      </c>
      <c r="AF118" s="588">
        <f>+'6. Intervenciones UDT- AM'!S103</f>
        <v>120000</v>
      </c>
      <c r="AG118" s="588">
        <f>+Tabla1[[#This Row],[Año 3 Cto. Directo]]*(1+$Y$3)</f>
        <v>121260</v>
      </c>
      <c r="AH118" s="588">
        <f>+'6. Intervenciones UDT- AM'!T103</f>
        <v>120000</v>
      </c>
      <c r="AI118" s="588">
        <f>+Tabla1[[#This Row],[Año 4 Cto. Directo]]*(1+$Y$3)</f>
        <v>121260</v>
      </c>
      <c r="AJ118" s="588">
        <f>+'6. Intervenciones UDT- AM'!U103</f>
        <v>120000</v>
      </c>
      <c r="AK118" s="588">
        <f>+Tabla1[[#This Row],[Año 5 Cto. Directo]]*(1+$Y$3)</f>
        <v>121260</v>
      </c>
      <c r="AL118" s="403">
        <f>+'6. Intervenciones UDT- AM'!V103</f>
        <v>0</v>
      </c>
      <c r="AM118" s="954" t="str">
        <f>+'6. Intervenciones UDT- AM'!W103</f>
        <v>X</v>
      </c>
      <c r="AN118" s="954"/>
      <c r="AO118" s="954"/>
      <c r="AP118" s="954"/>
      <c r="AQ118" s="954" t="str">
        <f>+'6. Intervenciones UDT- AM'!AA103</f>
        <v>RE</v>
      </c>
      <c r="AR118" s="954">
        <f>+'6. Intervenciones UDT- AM'!AB103</f>
        <v>3</v>
      </c>
      <c r="AS118" s="403">
        <f t="shared" si="1"/>
        <v>1</v>
      </c>
    </row>
    <row r="119" spans="1:45" s="195" customFormat="1" ht="15.8" hidden="1" customHeight="1" x14ac:dyDescent="0.3">
      <c r="A119" s="403"/>
      <c r="B119" s="403" t="str">
        <f>'6. Intervenciones UDT- AM'!$C$8</f>
        <v>UDT ALTO MAYO</v>
      </c>
      <c r="C119" s="403" t="str">
        <f>'6. Intervenciones UDT- AM'!$F$93</f>
        <v xml:space="preserve">Concesiones para conservación y ecoturismo </v>
      </c>
      <c r="D119" s="404" t="str">
        <f>+'6. Intervenciones UDT- AM'!A104</f>
        <v>Programas de inversión privada</v>
      </c>
      <c r="E119" s="404" t="str">
        <f>+'6. Intervenciones UDT- AM'!C104</f>
        <v>2.5.4</v>
      </c>
      <c r="F119" s="403" t="str">
        <f>+'6. Intervenciones UDT- AM'!D104</f>
        <v xml:space="preserve"> Promoción de mercados turísticos</v>
      </c>
      <c r="G119" s="403" t="str">
        <f>+'6. Intervenciones UDT- AM'!E104</f>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v>
      </c>
      <c r="H119" s="948" t="s">
        <v>1857</v>
      </c>
      <c r="I119" s="946" t="s">
        <v>203</v>
      </c>
      <c r="J119" s="946" t="s">
        <v>2596</v>
      </c>
      <c r="K119" s="946" t="s">
        <v>2335</v>
      </c>
      <c r="L119" s="946" t="s">
        <v>205</v>
      </c>
      <c r="M119" s="418" t="s">
        <v>1881</v>
      </c>
      <c r="N119" s="948" t="s">
        <v>1879</v>
      </c>
      <c r="O119" s="948" t="s">
        <v>232</v>
      </c>
      <c r="P119" s="951" t="s">
        <v>1886</v>
      </c>
      <c r="Q119" s="948" t="str">
        <f>+'6. Intervenciones UDT- AM'!F104</f>
        <v>Rutas turísticas promocionados</v>
      </c>
      <c r="R119" s="405">
        <f>+'6. Intervenciones UDT- AM'!I104</f>
        <v>0</v>
      </c>
      <c r="S119" s="405">
        <f>+'6. Intervenciones UDT- AM'!J104</f>
        <v>4</v>
      </c>
      <c r="T119" s="405">
        <f>+'6. Intervenciones UDT- AM'!K104</f>
        <v>4</v>
      </c>
      <c r="U119" s="405">
        <f>+'6. Intervenciones UDT- AM'!L104</f>
        <v>40000</v>
      </c>
      <c r="V119" s="403" t="str">
        <f>+'6. Intervenciones UDT- AM'!M104</f>
        <v xml:space="preserve">Participación en eventos de promoción (ferias regionales y nacionales, Fam Trip), el costo cubrirá gastos logísticos y administrativos de los operadores turísticos identificados </v>
      </c>
      <c r="W119" s="403" t="str">
        <f>+'6. Intervenciones UDT- AM'!N104</f>
        <v>Mincetur, Dircetur</v>
      </c>
      <c r="X119" s="588">
        <f>+'6. Intervenciones UDT- AM'!O104</f>
        <v>800000</v>
      </c>
      <c r="Y119" s="588">
        <f>+Tabla1[[#This Row],[2025 Directo]]*(1+$Y$3)</f>
        <v>808400</v>
      </c>
      <c r="Z119" s="588">
        <f>+'6. Intervenciones UDT- AM'!P104</f>
        <v>800000</v>
      </c>
      <c r="AA119" s="588">
        <f>+Tabla1[[#This Row],[2030 Directo]]*(1+$Y$3)</f>
        <v>808400</v>
      </c>
      <c r="AB119" s="588">
        <f>+'6. Intervenciones UDT- AM'!Q104</f>
        <v>160000</v>
      </c>
      <c r="AC119" s="588">
        <f>+Tabla1[[#This Row],[Año 1 Cto Directo]]*(1+$Y$3)</f>
        <v>161680</v>
      </c>
      <c r="AD119" s="588">
        <f>+'6. Intervenciones UDT- AM'!R104</f>
        <v>160000</v>
      </c>
      <c r="AE119" s="588">
        <f>+Tabla1[[#This Row],[Año 2 Cto. Directo]]*(1+$Y$3)</f>
        <v>161680</v>
      </c>
      <c r="AF119" s="588">
        <f>+'6. Intervenciones UDT- AM'!S104</f>
        <v>160000</v>
      </c>
      <c r="AG119" s="588">
        <f>+Tabla1[[#This Row],[Año 3 Cto. Directo]]*(1+$Y$3)</f>
        <v>161680</v>
      </c>
      <c r="AH119" s="588">
        <f>+'6. Intervenciones UDT- AM'!T104</f>
        <v>160000</v>
      </c>
      <c r="AI119" s="588">
        <f>+Tabla1[[#This Row],[Año 4 Cto. Directo]]*(1+$Y$3)</f>
        <v>161680</v>
      </c>
      <c r="AJ119" s="588">
        <f>+'6. Intervenciones UDT- AM'!U104</f>
        <v>160000</v>
      </c>
      <c r="AK119" s="588">
        <f>+Tabla1[[#This Row],[Año 5 Cto. Directo]]*(1+$Y$3)</f>
        <v>161680</v>
      </c>
      <c r="AL119" s="403">
        <f>+'6. Intervenciones UDT- AM'!V104</f>
        <v>0</v>
      </c>
      <c r="AM119" s="954"/>
      <c r="AN119" s="954"/>
      <c r="AO119" s="954" t="str">
        <f>+'6. Intervenciones UDT- AM'!Y104</f>
        <v>X</v>
      </c>
      <c r="AP119" s="954"/>
      <c r="AQ119" s="954">
        <f>+'6. Intervenciones UDT- AM'!AA104</f>
        <v>0</v>
      </c>
      <c r="AR119" s="954">
        <f>+'6. Intervenciones UDT- AM'!AB104</f>
        <v>3</v>
      </c>
      <c r="AS119" s="403">
        <f t="shared" si="1"/>
        <v>1</v>
      </c>
    </row>
    <row r="120" spans="1:45" s="195" customFormat="1" ht="15.8" hidden="1" customHeight="1" x14ac:dyDescent="0.3">
      <c r="A120" s="403"/>
      <c r="B120" s="403" t="str">
        <f>'6. Intervenciones UDT- AM'!$C$8</f>
        <v>UDT ALTO MAYO</v>
      </c>
      <c r="C120" s="403" t="str">
        <f>'6. Intervenciones UDT- AM'!$F$108</f>
        <v>Bosque de Protección Alto Mayo</v>
      </c>
      <c r="D120" s="404" t="str">
        <f>+'6. Intervenciones UDT- AM'!A116</f>
        <v>Control y vigilancia</v>
      </c>
      <c r="E120" s="404" t="str">
        <f>+'6. Intervenciones UDT- AM'!C116</f>
        <v>2.6.1</v>
      </c>
      <c r="F120" s="403" t="str">
        <f>+'6. Intervenciones UDT- AM'!D116</f>
        <v>Fortalecer el control y vigilancia</v>
      </c>
      <c r="G120" s="403" t="str">
        <f>+'6. Intervenciones UDT- AM'!E116</f>
        <v>Implementar con recursos necesarios al ente que administra el área, con la finalidad de aumentar el número de personas (guardaparques) que contribuyan a realizar acciones de control y vigilancia.</v>
      </c>
      <c r="H120" s="948" t="s">
        <v>1857</v>
      </c>
      <c r="I120" s="946" t="s">
        <v>203</v>
      </c>
      <c r="J120" s="946" t="s">
        <v>2595</v>
      </c>
      <c r="K120" s="946" t="s">
        <v>2333</v>
      </c>
      <c r="L120" s="946" t="s">
        <v>204</v>
      </c>
      <c r="M120" s="418" t="s">
        <v>1878</v>
      </c>
      <c r="N120" s="948" t="s">
        <v>1859</v>
      </c>
      <c r="O120" s="948" t="s">
        <v>229</v>
      </c>
      <c r="P120" s="951" t="s">
        <v>1889</v>
      </c>
      <c r="Q120" s="948" t="str">
        <f>+'6. Intervenciones UDT- AM'!F116</f>
        <v>Número de guardaparques</v>
      </c>
      <c r="R120" s="405">
        <f>+'6. Intervenciones UDT- AM'!I116</f>
        <v>0</v>
      </c>
      <c r="S120" s="405">
        <f>+'6. Intervenciones UDT- AM'!J116</f>
        <v>10</v>
      </c>
      <c r="T120" s="405">
        <f>+'6. Intervenciones UDT- AM'!K116</f>
        <v>10</v>
      </c>
      <c r="U120" s="405">
        <f>+'6. Intervenciones UDT- AM'!L116</f>
        <v>2000</v>
      </c>
      <c r="V120" s="403" t="str">
        <f>+'6. Intervenciones UDT- AM'!M116</f>
        <v>Contratación a guardaparques para garantizar el control y vigilancia del área otorgada.</v>
      </c>
      <c r="W120" s="403" t="str">
        <f>+'6. Intervenciones UDT- AM'!N116</f>
        <v>Ara, serfor, Sernanp</v>
      </c>
      <c r="X120" s="588">
        <f>+'6. Intervenciones UDT- AM'!O116</f>
        <v>1200000</v>
      </c>
      <c r="Y120" s="588">
        <f>+Tabla1[[#This Row],[2025 Directo]]*(1+$Y$3)</f>
        <v>1212600</v>
      </c>
      <c r="Z120" s="588">
        <f>+'6. Intervenciones UDT- AM'!P116</f>
        <v>1200000</v>
      </c>
      <c r="AA120" s="588">
        <f>+Tabla1[[#This Row],[2030 Directo]]*(1+$Y$3)</f>
        <v>1212600</v>
      </c>
      <c r="AB120" s="588">
        <f>+'6. Intervenciones UDT- AM'!Q116</f>
        <v>240000</v>
      </c>
      <c r="AC120" s="588">
        <f>+Tabla1[[#This Row],[Año 1 Cto Directo]]*(1+$Y$3)</f>
        <v>242520</v>
      </c>
      <c r="AD120" s="588">
        <f>+'6. Intervenciones UDT- AM'!R116</f>
        <v>240000</v>
      </c>
      <c r="AE120" s="588">
        <f>+Tabla1[[#This Row],[Año 2 Cto. Directo]]*(1+$Y$3)</f>
        <v>242520</v>
      </c>
      <c r="AF120" s="588">
        <f>+'6. Intervenciones UDT- AM'!S116</f>
        <v>240000</v>
      </c>
      <c r="AG120" s="588">
        <f>+Tabla1[[#This Row],[Año 3 Cto. Directo]]*(1+$Y$3)</f>
        <v>242520</v>
      </c>
      <c r="AH120" s="588">
        <f>+'6. Intervenciones UDT- AM'!T116</f>
        <v>240000</v>
      </c>
      <c r="AI120" s="588">
        <f>+Tabla1[[#This Row],[Año 4 Cto. Directo]]*(1+$Y$3)</f>
        <v>242520</v>
      </c>
      <c r="AJ120" s="588">
        <f>+'6. Intervenciones UDT- AM'!U116</f>
        <v>240000</v>
      </c>
      <c r="AK120" s="588">
        <f>+Tabla1[[#This Row],[Año 5 Cto. Directo]]*(1+$Y$3)</f>
        <v>242520</v>
      </c>
      <c r="AL120" s="406">
        <f>+'6. Intervenciones UDT- AM'!V116</f>
        <v>0</v>
      </c>
      <c r="AM120" s="954"/>
      <c r="AN120" s="954" t="str">
        <f>+'6. Intervenciones UDT- AM'!X116</f>
        <v>X</v>
      </c>
      <c r="AO120" s="954"/>
      <c r="AP120" s="954"/>
      <c r="AQ120" s="954" t="str">
        <f>+'6. Intervenciones UDT- AM'!AA116</f>
        <v>RE</v>
      </c>
      <c r="AR120" s="954">
        <f>+'6. Intervenciones UDT- AM'!AB116</f>
        <v>3</v>
      </c>
      <c r="AS120" s="403">
        <f t="shared" si="1"/>
        <v>1</v>
      </c>
    </row>
    <row r="121" spans="1:45" s="195" customFormat="1" ht="15.8" hidden="1" customHeight="1" x14ac:dyDescent="0.3">
      <c r="A121" s="403"/>
      <c r="B121" s="403" t="str">
        <f>'6. Intervenciones UDT- AM'!$C$8</f>
        <v>UDT ALTO MAYO</v>
      </c>
      <c r="C121" s="403" t="str">
        <f>'6. Intervenciones UDT- AM'!$F$108</f>
        <v>Bosque de Protección Alto Mayo</v>
      </c>
      <c r="D121" s="404" t="str">
        <f>+'6. Intervenciones UDT- AM'!A117</f>
        <v>Control y vigilancia</v>
      </c>
      <c r="E121" s="404" t="str">
        <f>+'6. Intervenciones UDT- AM'!C117</f>
        <v>2.6.2</v>
      </c>
      <c r="F121" s="403" t="str">
        <f>+'6. Intervenciones UDT- AM'!D117</f>
        <v>Sensibilización para el fortalecimiento del control y vigilancia en zona de amortiguamiento</v>
      </c>
      <c r="G121" s="403" t="str">
        <f>+'6. Intervenciones UDT- AM'!E117</f>
        <v>Campañas de sensibilización en distritos acentuadas en el ámbito del ANP, considerando la participación del ARA, DRASAM, DIRCETUR, GRDS, CGSCM, CGBPAM, PNCB, OSINFOR. Articular acciones de vigilancia y control entre el ente que administra el ANP (SERNANP), cooperantes, población organizada como Juntas vecinales, comités de vigilancia, rondas campesinas, productores, comités y otros que se benefician de los servicios eco sistémicos del ANP</v>
      </c>
      <c r="H121" s="948" t="s">
        <v>1857</v>
      </c>
      <c r="I121" s="946" t="s">
        <v>203</v>
      </c>
      <c r="J121" s="946" t="s">
        <v>2595</v>
      </c>
      <c r="K121" s="946" t="s">
        <v>2333</v>
      </c>
      <c r="L121" s="946" t="s">
        <v>204</v>
      </c>
      <c r="M121" s="418" t="s">
        <v>1878</v>
      </c>
      <c r="N121" s="948" t="s">
        <v>1859</v>
      </c>
      <c r="O121" s="948" t="s">
        <v>229</v>
      </c>
      <c r="P121" s="951" t="s">
        <v>1889</v>
      </c>
      <c r="Q121" s="948" t="str">
        <f>+'6. Intervenciones UDT- AM'!F117</f>
        <v>Campañas de sensibilización</v>
      </c>
      <c r="R121" s="405">
        <f>+'6. Intervenciones UDT- AM'!I117</f>
        <v>0</v>
      </c>
      <c r="S121" s="405">
        <f>+'6. Intervenciones UDT- AM'!J117</f>
        <v>50</v>
      </c>
      <c r="T121" s="405">
        <f>+'6. Intervenciones UDT- AM'!K117</f>
        <v>50</v>
      </c>
      <c r="U121" s="405">
        <f>+'6. Intervenciones UDT- AM'!L117</f>
        <v>8000</v>
      </c>
      <c r="V121" s="403" t="str">
        <f>+'6. Intervenciones UDT- AM'!M117</f>
        <v>Campañas de sensibilización con equipos técnicos de las instituciones involucradas, gastos logísticos, impresión de material de difusión, publicidad radial, televisiva y escrita.</v>
      </c>
      <c r="W121" s="403" t="str">
        <f>+'6. Intervenciones UDT- AM'!N117</f>
        <v>Ara, serfor, Sernanp</v>
      </c>
      <c r="X121" s="588">
        <f>+'6. Intervenciones UDT- AM'!O117</f>
        <v>2000000</v>
      </c>
      <c r="Y121" s="588">
        <f>+Tabla1[[#This Row],[2025 Directo]]*(1+$Y$3)</f>
        <v>2021000</v>
      </c>
      <c r="Z121" s="588">
        <f>+'6. Intervenciones UDT- AM'!P117</f>
        <v>2000000</v>
      </c>
      <c r="AA121" s="588">
        <f>+Tabla1[[#This Row],[2030 Directo]]*(1+$Y$3)</f>
        <v>2021000</v>
      </c>
      <c r="AB121" s="588">
        <f>+'6. Intervenciones UDT- AM'!Q117</f>
        <v>400000</v>
      </c>
      <c r="AC121" s="588">
        <f>+Tabla1[[#This Row],[Año 1 Cto Directo]]*(1+$Y$3)</f>
        <v>404200</v>
      </c>
      <c r="AD121" s="588">
        <f>+'6. Intervenciones UDT- AM'!R117</f>
        <v>400000</v>
      </c>
      <c r="AE121" s="588">
        <f>+Tabla1[[#This Row],[Año 2 Cto. Directo]]*(1+$Y$3)</f>
        <v>404200</v>
      </c>
      <c r="AF121" s="588">
        <f>+'6. Intervenciones UDT- AM'!S117</f>
        <v>400000</v>
      </c>
      <c r="AG121" s="588">
        <f>+Tabla1[[#This Row],[Año 3 Cto. Directo]]*(1+$Y$3)</f>
        <v>404200</v>
      </c>
      <c r="AH121" s="588">
        <f>+'6. Intervenciones UDT- AM'!T117</f>
        <v>400000</v>
      </c>
      <c r="AI121" s="588">
        <f>+Tabla1[[#This Row],[Año 4 Cto. Directo]]*(1+$Y$3)</f>
        <v>404200</v>
      </c>
      <c r="AJ121" s="588">
        <f>+'6. Intervenciones UDT- AM'!U117</f>
        <v>400000</v>
      </c>
      <c r="AK121" s="588">
        <f>+Tabla1[[#This Row],[Año 5 Cto. Directo]]*(1+$Y$3)</f>
        <v>404200</v>
      </c>
      <c r="AL121" s="403">
        <f>+'6. Intervenciones UDT- AM'!V117</f>
        <v>0</v>
      </c>
      <c r="AM121" s="954"/>
      <c r="AN121" s="954" t="str">
        <f>+'6. Intervenciones UDT- AM'!X117</f>
        <v>X</v>
      </c>
      <c r="AO121" s="954"/>
      <c r="AP121" s="954"/>
      <c r="AQ121" s="954" t="str">
        <f>+'6. Intervenciones UDT- AM'!AA117</f>
        <v>RE</v>
      </c>
      <c r="AR121" s="954">
        <f>+'6. Intervenciones UDT- AM'!AB117</f>
        <v>3</v>
      </c>
      <c r="AS121" s="403">
        <f t="shared" si="1"/>
        <v>1</v>
      </c>
    </row>
    <row r="122" spans="1:45" s="195" customFormat="1" ht="15.8" hidden="1" customHeight="1" x14ac:dyDescent="0.3">
      <c r="A122" s="403"/>
      <c r="B122" s="403" t="str">
        <f>'6. Intervenciones UDT- AM'!$C$8</f>
        <v>UDT ALTO MAYO</v>
      </c>
      <c r="C122" s="403" t="str">
        <f>'6. Intervenciones UDT- AM'!$F$108</f>
        <v>Bosque de Protección Alto Mayo</v>
      </c>
      <c r="D122" s="404" t="str">
        <f>+'6. Intervenciones UDT- AM'!A118</f>
        <v>Programas de inversión pública</v>
      </c>
      <c r="E122" s="404" t="str">
        <f>+'6. Intervenciones UDT- AM'!C118</f>
        <v>2.6.3</v>
      </c>
      <c r="F122" s="403" t="str">
        <f>+'6. Intervenciones UDT- AM'!D118</f>
        <v>Promover acuerdos de conservación con cadena de valor para aquellos productos sostenibles con el ANP</v>
      </c>
      <c r="G122" s="403" t="str">
        <f>+'6. Intervenciones UDT- AM'!E118</f>
        <v>Promover la planificación comunal en centros poblados del interior en base a la zonificación y zona de amortiguamiento teniendo como base al Plan Maestro (incluye acuerdos de conservación)</v>
      </c>
      <c r="H122" s="948" t="s">
        <v>1857</v>
      </c>
      <c r="I122" s="946" t="s">
        <v>199</v>
      </c>
      <c r="J122" s="946" t="s">
        <v>2598</v>
      </c>
      <c r="K122" s="946" t="s">
        <v>2334</v>
      </c>
      <c r="L122" s="946" t="s">
        <v>201</v>
      </c>
      <c r="M122" s="418" t="s">
        <v>1883</v>
      </c>
      <c r="N122" s="948" t="s">
        <v>1887</v>
      </c>
      <c r="O122" s="948" t="s">
        <v>243</v>
      </c>
      <c r="P122" s="951" t="s">
        <v>1890</v>
      </c>
      <c r="Q122" s="948" t="str">
        <f>+'6. Intervenciones UDT- AM'!F118</f>
        <v>Planes de gestión comunal</v>
      </c>
      <c r="R122" s="405">
        <f>+'6. Intervenciones UDT- AM'!I118</f>
        <v>0</v>
      </c>
      <c r="S122" s="405">
        <f>+'6. Intervenciones UDT- AM'!J118</f>
        <v>24</v>
      </c>
      <c r="T122" s="405">
        <f>+'6. Intervenciones UDT- AM'!K118</f>
        <v>40</v>
      </c>
      <c r="U122" s="405">
        <f>+'6. Intervenciones UDT- AM'!L118</f>
        <v>10000</v>
      </c>
      <c r="V122" s="403" t="str">
        <f>+'6. Intervenciones UDT- AM'!M118</f>
        <v>Contratación de servicios profesionales para la elaboración de los planes de gestión comunal.</v>
      </c>
      <c r="W122" s="403" t="str">
        <f>+'6. Intervenciones UDT- AM'!N118</f>
        <v>Dircetur, Mincetur</v>
      </c>
      <c r="X122" s="588">
        <f>+'6. Intervenciones UDT- AM'!O118</f>
        <v>240000</v>
      </c>
      <c r="Y122" s="588">
        <f>+Tabla1[[#This Row],[2025 Directo]]*(1+$Y$3)</f>
        <v>242520</v>
      </c>
      <c r="Z122" s="588">
        <f>+'6. Intervenciones UDT- AM'!P118</f>
        <v>400000</v>
      </c>
      <c r="AA122" s="588">
        <f>+Tabla1[[#This Row],[2030 Directo]]*(1+$Y$3)</f>
        <v>404200</v>
      </c>
      <c r="AB122" s="588">
        <f>+'6. Intervenciones UDT- AM'!Q118</f>
        <v>48000</v>
      </c>
      <c r="AC122" s="588">
        <f>+Tabla1[[#This Row],[Año 1 Cto Directo]]*(1+$Y$3)</f>
        <v>48504</v>
      </c>
      <c r="AD122" s="588">
        <f>+'6. Intervenciones UDT- AM'!R118</f>
        <v>48000</v>
      </c>
      <c r="AE122" s="588">
        <f>+Tabla1[[#This Row],[Año 2 Cto. Directo]]*(1+$Y$3)</f>
        <v>48504</v>
      </c>
      <c r="AF122" s="588">
        <f>+'6. Intervenciones UDT- AM'!S118</f>
        <v>48000</v>
      </c>
      <c r="AG122" s="588">
        <f>+Tabla1[[#This Row],[Año 3 Cto. Directo]]*(1+$Y$3)</f>
        <v>48504</v>
      </c>
      <c r="AH122" s="588">
        <f>+'6. Intervenciones UDT- AM'!T118</f>
        <v>48000</v>
      </c>
      <c r="AI122" s="588">
        <f>+Tabla1[[#This Row],[Año 4 Cto. Directo]]*(1+$Y$3)</f>
        <v>48504</v>
      </c>
      <c r="AJ122" s="588">
        <f>+'6. Intervenciones UDT- AM'!U118</f>
        <v>48000</v>
      </c>
      <c r="AK122" s="588">
        <f>+Tabla1[[#This Row],[Año 5 Cto. Directo]]*(1+$Y$3)</f>
        <v>48504</v>
      </c>
      <c r="AL122" s="403">
        <f>+'6. Intervenciones UDT- AM'!V118</f>
        <v>0</v>
      </c>
      <c r="AM122" s="954"/>
      <c r="AN122" s="954" t="str">
        <f>+'6. Intervenciones UDT- AM'!X118</f>
        <v>X</v>
      </c>
      <c r="AO122" s="954"/>
      <c r="AP122" s="954"/>
      <c r="AQ122" s="954"/>
      <c r="AR122" s="954">
        <f>+'6. Intervenciones UDT- AM'!AB118</f>
        <v>3</v>
      </c>
      <c r="AS122" s="403">
        <f t="shared" si="1"/>
        <v>1</v>
      </c>
    </row>
    <row r="123" spans="1:45" s="195" customFormat="1" ht="15.8" hidden="1" customHeight="1" x14ac:dyDescent="0.3">
      <c r="A123" s="403"/>
      <c r="B123" s="403" t="str">
        <f>'6. Intervenciones UDT- AM'!$C$8</f>
        <v>UDT ALTO MAYO</v>
      </c>
      <c r="C123" s="403" t="str">
        <f>'6. Intervenciones UDT- AM'!$F$108</f>
        <v>Bosque de Protección Alto Mayo</v>
      </c>
      <c r="D123" s="404" t="str">
        <f>+'6. Intervenciones UDT- AM'!A119</f>
        <v>Programas de inversión privada</v>
      </c>
      <c r="E123" s="404" t="str">
        <f>+'6. Intervenciones UDT- AM'!C119</f>
        <v>2.6.4</v>
      </c>
      <c r="F123" s="403" t="str">
        <f>+'6. Intervenciones UDT- AM'!D119</f>
        <v>Promoción del turismo comunitario en zona de amortiguamiento y al interior del ANP</v>
      </c>
      <c r="G123" s="403" t="str">
        <f>+'6. Intervenciones UDT- AM'!E119</f>
        <v>Campañas de promoción y difusión en el ámbito regional y nacional de los circuitos turísticos que existen en la zona de amortiguamiento. acorde al plan maestro del BPAM.  https://es.scribd.com/document/74386745/PLAN-DE-USO-TURISTICO-BPAM</v>
      </c>
      <c r="H123" s="948" t="s">
        <v>1857</v>
      </c>
      <c r="I123" s="946" t="s">
        <v>203</v>
      </c>
      <c r="J123" s="946" t="s">
        <v>2596</v>
      </c>
      <c r="K123" s="946" t="s">
        <v>2335</v>
      </c>
      <c r="L123" s="946" t="s">
        <v>205</v>
      </c>
      <c r="M123" s="418" t="s">
        <v>1881</v>
      </c>
      <c r="N123" s="948" t="s">
        <v>1879</v>
      </c>
      <c r="O123" s="948" t="s">
        <v>232</v>
      </c>
      <c r="P123" s="951" t="s">
        <v>1886</v>
      </c>
      <c r="Q123" s="948" t="str">
        <f>+'6. Intervenciones UDT- AM'!F119</f>
        <v>Campañas de promoción</v>
      </c>
      <c r="R123" s="405">
        <f>+'6. Intervenciones UDT- AM'!I119</f>
        <v>0</v>
      </c>
      <c r="S123" s="405">
        <f>+'6. Intervenciones UDT- AM'!J119</f>
        <v>20</v>
      </c>
      <c r="T123" s="405">
        <f>+'6. Intervenciones UDT- AM'!K119</f>
        <v>20</v>
      </c>
      <c r="U123" s="405">
        <f>+'6. Intervenciones UDT- AM'!L119</f>
        <v>4000</v>
      </c>
      <c r="V123" s="403" t="str">
        <f>+'6. Intervenciones UDT- AM'!M119</f>
        <v>Campañas de promoción que incluye, impresión de material de difusión, publicidad radial, televisiva y escrita.</v>
      </c>
      <c r="W123" s="403" t="str">
        <f>+'6. Intervenciones UDT- AM'!N119</f>
        <v>Dircetur, Mincetur</v>
      </c>
      <c r="X123" s="588">
        <f>+'6. Intervenciones UDT- AM'!O119</f>
        <v>400000</v>
      </c>
      <c r="Y123" s="588">
        <f>+Tabla1[[#This Row],[2025 Directo]]*(1+$Y$3)</f>
        <v>404200</v>
      </c>
      <c r="Z123" s="588">
        <f>+'6. Intervenciones UDT- AM'!P119</f>
        <v>400000</v>
      </c>
      <c r="AA123" s="588">
        <f>+Tabla1[[#This Row],[2030 Directo]]*(1+$Y$3)</f>
        <v>404200</v>
      </c>
      <c r="AB123" s="588">
        <f>+'6. Intervenciones UDT- AM'!Q119</f>
        <v>80000</v>
      </c>
      <c r="AC123" s="588">
        <f>+Tabla1[[#This Row],[Año 1 Cto Directo]]*(1+$Y$3)</f>
        <v>80840</v>
      </c>
      <c r="AD123" s="588">
        <f>+'6. Intervenciones UDT- AM'!R119</f>
        <v>80000</v>
      </c>
      <c r="AE123" s="588">
        <f>+Tabla1[[#This Row],[Año 2 Cto. Directo]]*(1+$Y$3)</f>
        <v>80840</v>
      </c>
      <c r="AF123" s="588">
        <f>+'6. Intervenciones UDT- AM'!S119</f>
        <v>80000</v>
      </c>
      <c r="AG123" s="588">
        <f>+Tabla1[[#This Row],[Año 3 Cto. Directo]]*(1+$Y$3)</f>
        <v>80840</v>
      </c>
      <c r="AH123" s="588">
        <f>+'6. Intervenciones UDT- AM'!T119</f>
        <v>80000</v>
      </c>
      <c r="AI123" s="588">
        <f>+Tabla1[[#This Row],[Año 4 Cto. Directo]]*(1+$Y$3)</f>
        <v>80840</v>
      </c>
      <c r="AJ123" s="588">
        <f>+'6. Intervenciones UDT- AM'!U119</f>
        <v>80000</v>
      </c>
      <c r="AK123" s="588">
        <f>+Tabla1[[#This Row],[Año 5 Cto. Directo]]*(1+$Y$3)</f>
        <v>80840</v>
      </c>
      <c r="AL123" s="403">
        <f>+'6. Intervenciones UDT- AM'!V119</f>
        <v>0</v>
      </c>
      <c r="AM123" s="954"/>
      <c r="AN123" s="954"/>
      <c r="AO123" s="954" t="str">
        <f>+'6. Intervenciones UDT- AM'!Y119</f>
        <v>X</v>
      </c>
      <c r="AP123" s="954"/>
      <c r="AQ123" s="954"/>
      <c r="AR123" s="954">
        <f>+'6. Intervenciones UDT- AM'!AB119</f>
        <v>3</v>
      </c>
      <c r="AS123" s="403">
        <f t="shared" si="1"/>
        <v>1</v>
      </c>
    </row>
    <row r="124" spans="1:45" s="195" customFormat="1" ht="15.8" hidden="1" customHeight="1" x14ac:dyDescent="0.3">
      <c r="A124" s="403"/>
      <c r="B124" s="403" t="str">
        <f>'6. Intervenciones UDT- AM'!$C$8</f>
        <v>UDT ALTO MAYO</v>
      </c>
      <c r="C124" s="403" t="str">
        <f>'6. Intervenciones UDT- AM'!$F$108</f>
        <v>Bosque de Protección Alto Mayo</v>
      </c>
      <c r="D124" s="404" t="str">
        <f>+'6. Intervenciones UDT- AM'!A120</f>
        <v>Programas de inversión privada</v>
      </c>
      <c r="E124" s="404" t="str">
        <f>+'6. Intervenciones UDT- AM'!C120</f>
        <v>2.6.5</v>
      </c>
      <c r="F124" s="403" t="str">
        <f>+'6. Intervenciones UDT- AM'!D120</f>
        <v>Promoción de agroforestería sostenible en zona de amortiguamiento y al interior del BPAM</v>
      </c>
      <c r="G124" s="403" t="str">
        <f>+'6. Intervenciones UDT- AM'!E120</f>
        <v>Realizar pasantías focalizadas en aquellos sectores claves que se necesita intervenir para disminuir la presión al ANP.</v>
      </c>
      <c r="H124" s="948" t="s">
        <v>1857</v>
      </c>
      <c r="I124" s="946" t="s">
        <v>203</v>
      </c>
      <c r="J124" s="946" t="s">
        <v>2596</v>
      </c>
      <c r="K124" s="946" t="s">
        <v>2335</v>
      </c>
      <c r="L124" s="946" t="s">
        <v>205</v>
      </c>
      <c r="M124" s="418" t="s">
        <v>1881</v>
      </c>
      <c r="N124" s="948" t="s">
        <v>1879</v>
      </c>
      <c r="O124" s="948" t="s">
        <v>232</v>
      </c>
      <c r="P124" s="951" t="s">
        <v>1886</v>
      </c>
      <c r="Q124" s="948" t="str">
        <f>+'6. Intervenciones UDT- AM'!F120</f>
        <v>Pasantías</v>
      </c>
      <c r="R124" s="405">
        <f>+'6. Intervenciones UDT- AM'!I120</f>
        <v>0</v>
      </c>
      <c r="S124" s="405">
        <f>+'6. Intervenciones UDT- AM'!J120</f>
        <v>16</v>
      </c>
      <c r="T124" s="405">
        <f>+'6. Intervenciones UDT- AM'!K120</f>
        <v>16</v>
      </c>
      <c r="U124" s="405">
        <f>+'6. Intervenciones UDT- AM'!L120</f>
        <v>2500</v>
      </c>
      <c r="V124" s="403" t="str">
        <f>+'6. Intervenciones UDT- AM'!M120</f>
        <v>El costo hace referencia a los gastos de pasajes, alimentación y otros para un grupo de 20 productores por pasantía.</v>
      </c>
      <c r="W124" s="403" t="str">
        <f>+'6. Intervenciones UDT- AM'!N120</f>
        <v>Drasam</v>
      </c>
      <c r="X124" s="588">
        <f>+'6. Intervenciones UDT- AM'!O120</f>
        <v>200000</v>
      </c>
      <c r="Y124" s="588">
        <f>+Tabla1[[#This Row],[2025 Directo]]*(1+$Y$3)</f>
        <v>202100</v>
      </c>
      <c r="Z124" s="588">
        <f>+'6. Intervenciones UDT- AM'!P120</f>
        <v>200000</v>
      </c>
      <c r="AA124" s="588">
        <f>+Tabla1[[#This Row],[2030 Directo]]*(1+$Y$3)</f>
        <v>202100</v>
      </c>
      <c r="AB124" s="588">
        <f>+'6. Intervenciones UDT- AM'!Q120</f>
        <v>40000</v>
      </c>
      <c r="AC124" s="588">
        <f>+Tabla1[[#This Row],[Año 1 Cto Directo]]*(1+$Y$3)</f>
        <v>40420</v>
      </c>
      <c r="AD124" s="588">
        <f>+'6. Intervenciones UDT- AM'!R120</f>
        <v>40000</v>
      </c>
      <c r="AE124" s="588">
        <f>+Tabla1[[#This Row],[Año 2 Cto. Directo]]*(1+$Y$3)</f>
        <v>40420</v>
      </c>
      <c r="AF124" s="588">
        <f>+'6. Intervenciones UDT- AM'!S120</f>
        <v>40000</v>
      </c>
      <c r="AG124" s="588">
        <f>+Tabla1[[#This Row],[Año 3 Cto. Directo]]*(1+$Y$3)</f>
        <v>40420</v>
      </c>
      <c r="AH124" s="588">
        <f>+'6. Intervenciones UDT- AM'!T120</f>
        <v>40000</v>
      </c>
      <c r="AI124" s="588">
        <f>+Tabla1[[#This Row],[Año 4 Cto. Directo]]*(1+$Y$3)</f>
        <v>40420</v>
      </c>
      <c r="AJ124" s="588">
        <f>+'6. Intervenciones UDT- AM'!U120</f>
        <v>40000</v>
      </c>
      <c r="AK124" s="588">
        <f>+Tabla1[[#This Row],[Año 5 Cto. Directo]]*(1+$Y$3)</f>
        <v>40420</v>
      </c>
      <c r="AL124" s="403">
        <f>+'6. Intervenciones UDT- AM'!V120</f>
        <v>0</v>
      </c>
      <c r="AM124" s="954"/>
      <c r="AN124" s="954"/>
      <c r="AO124" s="954" t="str">
        <f>+'6. Intervenciones UDT- AM'!Y120</f>
        <v>X</v>
      </c>
      <c r="AP124" s="954"/>
      <c r="AQ124" s="954"/>
      <c r="AR124" s="954">
        <f>+'6. Intervenciones UDT- AM'!AB120</f>
        <v>2</v>
      </c>
      <c r="AS124" s="403">
        <f t="shared" si="1"/>
        <v>1</v>
      </c>
    </row>
    <row r="125" spans="1:45" s="195" customFormat="1" ht="15.8" hidden="1" customHeight="1" x14ac:dyDescent="0.3">
      <c r="A125" s="403"/>
      <c r="B125" s="403" t="str">
        <f>'6. Intervenciones UDT- AM'!$C$8</f>
        <v>UDT ALTO MAYO</v>
      </c>
      <c r="C125" s="403" t="str">
        <f>'6. Intervenciones UDT- AM'!$F$108</f>
        <v>Bosque de Protección Alto Mayo</v>
      </c>
      <c r="D125" s="404" t="str">
        <f>+'6. Intervenciones UDT- AM'!A121</f>
        <v>Programas de inversión pública</v>
      </c>
      <c r="E125" s="404" t="str">
        <f>+'6. Intervenciones UDT- AM'!C121</f>
        <v>2.6.6</v>
      </c>
      <c r="F125" s="403" t="str">
        <f>+'6. Intervenciones UDT- AM'!D121</f>
        <v>Asistencia técnica para el desarrollo agroforestal diseñados e implementados junto a SERNANP</v>
      </c>
      <c r="G125" s="403" t="str">
        <f>+'6. Intervenciones UDT- AM'!E121</f>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v>
      </c>
      <c r="H125" s="948" t="s">
        <v>1857</v>
      </c>
      <c r="I125" s="946" t="s">
        <v>203</v>
      </c>
      <c r="J125" s="946" t="s">
        <v>2595</v>
      </c>
      <c r="K125" s="946" t="s">
        <v>2333</v>
      </c>
      <c r="L125" s="946" t="s">
        <v>204</v>
      </c>
      <c r="M125" s="418" t="s">
        <v>1878</v>
      </c>
      <c r="N125" s="948" t="s">
        <v>1879</v>
      </c>
      <c r="O125" s="948" t="s">
        <v>224</v>
      </c>
      <c r="P125" s="951" t="s">
        <v>1863</v>
      </c>
      <c r="Q125" s="948" t="str">
        <f>+'6. Intervenciones UDT- AM'!F121</f>
        <v>Especialistas</v>
      </c>
      <c r="R125" s="405">
        <f>+'6. Intervenciones UDT- AM'!I121</f>
        <v>0</v>
      </c>
      <c r="S125" s="405">
        <f>+'6. Intervenciones UDT- AM'!J121</f>
        <v>3</v>
      </c>
      <c r="T125" s="405">
        <f>+'6. Intervenciones UDT- AM'!K121</f>
        <v>3</v>
      </c>
      <c r="U125" s="405">
        <f>+'6. Intervenciones UDT- AM'!L121</f>
        <v>3500</v>
      </c>
      <c r="V125" s="403" t="str">
        <f>+'6. Intervenciones UDT- AM'!M121</f>
        <v>El costo comprende la contratación de profesionales para brindar asistencias técnica en los cultivos priorizados en la zona de intervención.</v>
      </c>
      <c r="W125" s="403" t="str">
        <f>+'6. Intervenciones UDT- AM'!N121</f>
        <v>Drasam</v>
      </c>
      <c r="X125" s="588">
        <f>+'6. Intervenciones UDT- AM'!O121</f>
        <v>630000</v>
      </c>
      <c r="Y125" s="588">
        <f>+Tabla1[[#This Row],[2025 Directo]]*(1+$Y$3)</f>
        <v>636615</v>
      </c>
      <c r="Z125" s="588">
        <f>+'6. Intervenciones UDT- AM'!P121</f>
        <v>630000</v>
      </c>
      <c r="AA125" s="588">
        <f>+Tabla1[[#This Row],[2030 Directo]]*(1+$Y$3)</f>
        <v>636615</v>
      </c>
      <c r="AB125" s="588">
        <f>+'6. Intervenciones UDT- AM'!Q121</f>
        <v>126000</v>
      </c>
      <c r="AC125" s="588">
        <f>+Tabla1[[#This Row],[Año 1 Cto Directo]]*(1+$Y$3)</f>
        <v>127323</v>
      </c>
      <c r="AD125" s="588">
        <f>+'6. Intervenciones UDT- AM'!R121</f>
        <v>126000</v>
      </c>
      <c r="AE125" s="588">
        <f>+Tabla1[[#This Row],[Año 2 Cto. Directo]]*(1+$Y$3)</f>
        <v>127323</v>
      </c>
      <c r="AF125" s="588">
        <f>+'6. Intervenciones UDT- AM'!S121</f>
        <v>126000</v>
      </c>
      <c r="AG125" s="588">
        <f>+Tabla1[[#This Row],[Año 3 Cto. Directo]]*(1+$Y$3)</f>
        <v>127323</v>
      </c>
      <c r="AH125" s="588">
        <f>+'6. Intervenciones UDT- AM'!T121</f>
        <v>126000</v>
      </c>
      <c r="AI125" s="588">
        <f>+Tabla1[[#This Row],[Año 4 Cto. Directo]]*(1+$Y$3)</f>
        <v>127323</v>
      </c>
      <c r="AJ125" s="588">
        <f>+'6. Intervenciones UDT- AM'!U121</f>
        <v>126000</v>
      </c>
      <c r="AK125" s="588">
        <f>+Tabla1[[#This Row],[Año 5 Cto. Directo]]*(1+$Y$3)</f>
        <v>127323</v>
      </c>
      <c r="AL125" s="403">
        <f>+'6. Intervenciones UDT- AM'!V121</f>
        <v>0</v>
      </c>
      <c r="AM125" s="954"/>
      <c r="AN125" s="954"/>
      <c r="AO125" s="954" t="str">
        <f>+'6. Intervenciones UDT- AM'!Y121</f>
        <v>X</v>
      </c>
      <c r="AP125" s="954"/>
      <c r="AQ125" s="954" t="str">
        <f>+'6. Intervenciones UDT- AM'!AA121</f>
        <v>RE</v>
      </c>
      <c r="AR125" s="954">
        <f>+'6. Intervenciones UDT- AM'!AB121</f>
        <v>3</v>
      </c>
      <c r="AS125" s="403">
        <f t="shared" si="1"/>
        <v>1</v>
      </c>
    </row>
    <row r="126" spans="1:45" s="195" customFormat="1" ht="15.8" hidden="1" customHeight="1" x14ac:dyDescent="0.3">
      <c r="A126" s="403"/>
      <c r="B126" s="403" t="str">
        <f>'6. Intervenciones UDT- AM'!$C$8</f>
        <v>UDT ALTO MAYO</v>
      </c>
      <c r="C126" s="403" t="str">
        <f>'6. Intervenciones UDT- AM'!$F$108</f>
        <v>Bosque de Protección Alto Mayo</v>
      </c>
      <c r="D126" s="404" t="str">
        <f>+'6. Intervenciones UDT- AM'!A122</f>
        <v>Ingresos y Capital</v>
      </c>
      <c r="E126" s="404" t="str">
        <f>+'6. Intervenciones UDT- AM'!C122</f>
        <v>2.6.7</v>
      </c>
      <c r="F126" s="403" t="str">
        <f>+'6. Intervenciones UDT- AM'!D122</f>
        <v>Incentivos financieros para promoción del ecoturismo y turismo comunitario</v>
      </c>
      <c r="G126" s="403" t="str">
        <f>+'6. Intervenciones UDT- AM'!E122</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H126" s="948" t="s">
        <v>1857</v>
      </c>
      <c r="I126" s="946" t="s">
        <v>203</v>
      </c>
      <c r="J126" s="946" t="s">
        <v>2597</v>
      </c>
      <c r="K126" s="946" t="s">
        <v>2336</v>
      </c>
      <c r="L126" s="946" t="s">
        <v>195</v>
      </c>
      <c r="M126" s="418" t="s">
        <v>1871</v>
      </c>
      <c r="N126" s="948" t="s">
        <v>1879</v>
      </c>
      <c r="O126" s="948" t="s">
        <v>218</v>
      </c>
      <c r="P126" s="951" t="s">
        <v>1872</v>
      </c>
      <c r="Q126" s="948" t="str">
        <f>+'6. Intervenciones UDT- AM'!F122</f>
        <v>Planes de negocios</v>
      </c>
      <c r="R126" s="405">
        <f>+'6. Intervenciones UDT- AM'!I122</f>
        <v>0</v>
      </c>
      <c r="S126" s="405">
        <f>+'6. Intervenciones UDT- AM'!J122</f>
        <v>50</v>
      </c>
      <c r="T126" s="405">
        <f>+'6. Intervenciones UDT- AM'!K122</f>
        <v>50</v>
      </c>
      <c r="U126" s="405">
        <f>+'6. Intervenciones UDT- AM'!L122</f>
        <v>100000</v>
      </c>
      <c r="V126" s="403" t="str">
        <f>+'6. Intervenciones UDT- AM'!M122</f>
        <v xml:space="preserve">El costo presupuestado será considerado para los estudios preliminares requeridos para el plan de negocio, pago de especialista de ser el caso, implementación de infraestructura básica según la priorización de los operadores turísticos interesados. </v>
      </c>
      <c r="W126" s="403" t="str">
        <f>+'6. Intervenciones UDT- AM'!N122</f>
        <v>Dircetur, Mincetur</v>
      </c>
      <c r="X126" s="588">
        <f>+'6. Intervenciones UDT- AM'!O122</f>
        <v>5000000</v>
      </c>
      <c r="Y126" s="588">
        <f>+Tabla1[[#This Row],[2025 Directo]]*(1+$Y$3)</f>
        <v>5052500</v>
      </c>
      <c r="Z126" s="588">
        <f>+'6. Intervenciones UDT- AM'!P122</f>
        <v>5000000</v>
      </c>
      <c r="AA126" s="588">
        <f>+Tabla1[[#This Row],[2030 Directo]]*(1+$Y$3)</f>
        <v>5052500</v>
      </c>
      <c r="AB126" s="588">
        <f>+'6. Intervenciones UDT- AM'!Q122</f>
        <v>1000000</v>
      </c>
      <c r="AC126" s="588">
        <f>+Tabla1[[#This Row],[Año 1 Cto Directo]]*(1+$Y$3)</f>
        <v>1010500</v>
      </c>
      <c r="AD126" s="588">
        <f>+'6. Intervenciones UDT- AM'!R122</f>
        <v>1000000</v>
      </c>
      <c r="AE126" s="588">
        <f>+Tabla1[[#This Row],[Año 2 Cto. Directo]]*(1+$Y$3)</f>
        <v>1010500</v>
      </c>
      <c r="AF126" s="588">
        <f>+'6. Intervenciones UDT- AM'!S122</f>
        <v>1000000</v>
      </c>
      <c r="AG126" s="588">
        <f>+Tabla1[[#This Row],[Año 3 Cto. Directo]]*(1+$Y$3)</f>
        <v>1010500</v>
      </c>
      <c r="AH126" s="588">
        <f>+'6. Intervenciones UDT- AM'!T122</f>
        <v>1000000</v>
      </c>
      <c r="AI126" s="588">
        <f>+Tabla1[[#This Row],[Año 4 Cto. Directo]]*(1+$Y$3)</f>
        <v>1010500</v>
      </c>
      <c r="AJ126" s="588">
        <f>+'6. Intervenciones UDT- AM'!U122</f>
        <v>1000000</v>
      </c>
      <c r="AK126" s="588">
        <f>+Tabla1[[#This Row],[Año 5 Cto. Directo]]*(1+$Y$3)</f>
        <v>1010500</v>
      </c>
      <c r="AL126" s="403">
        <f>+'6. Intervenciones UDT- AM'!V122</f>
        <v>0</v>
      </c>
      <c r="AM126" s="954" t="str">
        <f>+'6. Intervenciones UDT- AM'!W122</f>
        <v>X</v>
      </c>
      <c r="AN126" s="954"/>
      <c r="AO126" s="954"/>
      <c r="AP126" s="954"/>
      <c r="AQ126" s="954" t="str">
        <f>+'6. Intervenciones UDT- AM'!AA122</f>
        <v>RE</v>
      </c>
      <c r="AR126" s="954">
        <f>+'6. Intervenciones UDT- AM'!AB122</f>
        <v>3</v>
      </c>
      <c r="AS126" s="403">
        <f t="shared" si="1"/>
        <v>1</v>
      </c>
    </row>
    <row r="127" spans="1:45" s="195" customFormat="1" ht="15.8" hidden="1" customHeight="1" x14ac:dyDescent="0.3">
      <c r="A127" s="403"/>
      <c r="B127" s="403" t="str">
        <f>'6. Intervenciones UDT- AM'!$C$8</f>
        <v>UDT ALTO MAYO</v>
      </c>
      <c r="C127" s="403" t="str">
        <f>'6. Intervenciones UDT- AM'!$F$126</f>
        <v>ZOCRES</v>
      </c>
      <c r="D127" s="404" t="str">
        <f>+'6. Intervenciones UDT- AM'!A134</f>
        <v>Invasiones</v>
      </c>
      <c r="E127" s="404" t="str">
        <f>+'6. Intervenciones UDT- AM'!C134</f>
        <v>2.7.1</v>
      </c>
      <c r="F127" s="403" t="str">
        <f>+'6. Intervenciones UDT- AM'!D134</f>
        <v>Adecuación de ZoCRE a unidad de ordenamiento forestal y/o titulo habilitante forestal y de fauna silvestre de acuerdo a LFFS (Ley No 29763)</v>
      </c>
      <c r="G127" s="403" t="str">
        <f>+'6. Intervenciones UDT- AM'!E134</f>
        <v xml:space="preserve">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v>
      </c>
      <c r="H127" s="948" t="s">
        <v>1857</v>
      </c>
      <c r="I127" s="946" t="s">
        <v>199</v>
      </c>
      <c r="J127" s="946" t="s">
        <v>2591</v>
      </c>
      <c r="K127" s="946" t="s">
        <v>2331</v>
      </c>
      <c r="L127" s="946" t="s">
        <v>202</v>
      </c>
      <c r="M127" s="418" t="s">
        <v>1858</v>
      </c>
      <c r="N127" s="948" t="s">
        <v>1859</v>
      </c>
      <c r="O127" s="948" t="s">
        <v>223</v>
      </c>
      <c r="P127" s="951" t="s">
        <v>1860</v>
      </c>
      <c r="Q127" s="948" t="str">
        <f>+'6. Intervenciones UDT- AM'!F134</f>
        <v>Ha. con categoría territorial asignada</v>
      </c>
      <c r="R127" s="405">
        <f>+'6. Intervenciones UDT- AM'!I134</f>
        <v>140920.89160839622</v>
      </c>
      <c r="S127" s="405">
        <f>+'6. Intervenciones UDT- AM'!J134</f>
        <v>70460.445804198112</v>
      </c>
      <c r="T127" s="405">
        <f>+'6. Intervenciones UDT- AM'!K134</f>
        <v>70460.445804198112</v>
      </c>
      <c r="U127" s="405">
        <f>+'6. Intervenciones UDT- AM'!L134</f>
        <v>15</v>
      </c>
      <c r="V127" s="403" t="str">
        <f>+'6. Intervenciones UDT- AM'!M134</f>
        <v>Para la implementación de las intervención será mecesario la contratación de especialistas para realizar las acciones que comtemplen dicha actividad. Gastos logísticos y trámites documentarios.</v>
      </c>
      <c r="W127" s="403" t="str">
        <f>+'6. Intervenciones UDT- AM'!N134</f>
        <v>GRSM - DEGT</v>
      </c>
      <c r="X127" s="588">
        <f>+'6. Intervenciones UDT- AM'!O134</f>
        <v>1056906.6870629718</v>
      </c>
      <c r="Y127" s="588">
        <f>+Tabla1[[#This Row],[2025 Directo]]*(1+$Y$3)</f>
        <v>1068004.2072771329</v>
      </c>
      <c r="Z127" s="588">
        <f>+'6. Intervenciones UDT- AM'!P134</f>
        <v>1056906.6870629718</v>
      </c>
      <c r="AA127" s="588">
        <f>+Tabla1[[#This Row],[2030 Directo]]*(1+$Y$3)</f>
        <v>1068004.2072771329</v>
      </c>
      <c r="AB127" s="588">
        <f>+'6. Intervenciones UDT- AM'!Q134</f>
        <v>211381.33741259435</v>
      </c>
      <c r="AC127" s="588">
        <f>+Tabla1[[#This Row],[Año 1 Cto Directo]]*(1+$Y$3)</f>
        <v>213600.84145542659</v>
      </c>
      <c r="AD127" s="588">
        <f>+'6. Intervenciones UDT- AM'!R134</f>
        <v>211381.33741259435</v>
      </c>
      <c r="AE127" s="588">
        <f>+Tabla1[[#This Row],[Año 2 Cto. Directo]]*(1+$Y$3)</f>
        <v>213600.84145542659</v>
      </c>
      <c r="AF127" s="588">
        <f>+'6. Intervenciones UDT- AM'!S134</f>
        <v>211381.33741259435</v>
      </c>
      <c r="AG127" s="588">
        <f>+Tabla1[[#This Row],[Año 3 Cto. Directo]]*(1+$Y$3)</f>
        <v>213600.84145542659</v>
      </c>
      <c r="AH127" s="588">
        <f>+'6. Intervenciones UDT- AM'!T134</f>
        <v>211381.33741259435</v>
      </c>
      <c r="AI127" s="588">
        <f>+Tabla1[[#This Row],[Año 4 Cto. Directo]]*(1+$Y$3)</f>
        <v>213600.84145542659</v>
      </c>
      <c r="AJ127" s="588">
        <f>+'6. Intervenciones UDT- AM'!U134</f>
        <v>211381.33741259435</v>
      </c>
      <c r="AK127" s="588">
        <f>+Tabla1[[#This Row],[Año 5 Cto. Directo]]*(1+$Y$3)</f>
        <v>213600.84145542659</v>
      </c>
      <c r="AL127" s="403">
        <f>+'6. Intervenciones UDT- AM'!V134</f>
        <v>0</v>
      </c>
      <c r="AM127" s="954"/>
      <c r="AN127" s="954" t="str">
        <f>+'6. Intervenciones UDT- AM'!X134</f>
        <v>X</v>
      </c>
      <c r="AO127" s="954"/>
      <c r="AP127" s="954"/>
      <c r="AQ127" s="954">
        <f>+'6. Intervenciones UDT- AM'!AA134</f>
        <v>0</v>
      </c>
      <c r="AR127" s="954">
        <f>+'6. Intervenciones UDT- AM'!AB134</f>
        <v>3</v>
      </c>
      <c r="AS127" s="403">
        <f t="shared" si="1"/>
        <v>1</v>
      </c>
    </row>
    <row r="128" spans="1:45" s="195" customFormat="1" ht="15.8" hidden="1" customHeight="1" x14ac:dyDescent="0.3">
      <c r="A128" s="403"/>
      <c r="B128" s="403" t="str">
        <f>'6. Intervenciones UDT- AM'!$C$8</f>
        <v>UDT ALTO MAYO</v>
      </c>
      <c r="C128" s="403" t="str">
        <f>'6. Intervenciones UDT- AM'!$F$126</f>
        <v>ZOCRES</v>
      </c>
      <c r="D128" s="404" t="str">
        <f>+'6. Intervenciones UDT- AM'!A135</f>
        <v>Control y vigilancia</v>
      </c>
      <c r="E128" s="404" t="str">
        <f>+'6. Intervenciones UDT- AM'!C135</f>
        <v>2.7.2</v>
      </c>
      <c r="F128" s="403" t="str">
        <f>+'6. Intervenciones UDT- AM'!D135</f>
        <v>Fortalecimiento de capacidades de los responsables de la administración de las nuevas categorías de ordenamiento forestal y títulos habilitantes forestales</v>
      </c>
      <c r="G128" s="403" t="str">
        <f>+'6. Intervenciones UDT- AM'!E135</f>
        <v>Comprende la capacitación en manejo de normatividad forestal y manejo de bosques, contratación de especialistas para tener presencia física en el área, equipamiento e infraestructura.</v>
      </c>
      <c r="H128" s="948" t="s">
        <v>1857</v>
      </c>
      <c r="I128" s="946" t="s">
        <v>199</v>
      </c>
      <c r="J128" s="946" t="s">
        <v>2591</v>
      </c>
      <c r="K128" s="946" t="s">
        <v>2331</v>
      </c>
      <c r="L128" s="946" t="s">
        <v>202</v>
      </c>
      <c r="M128" s="418" t="s">
        <v>1858</v>
      </c>
      <c r="N128" s="948" t="s">
        <v>1859</v>
      </c>
      <c r="O128" s="948" t="s">
        <v>223</v>
      </c>
      <c r="P128" s="951" t="s">
        <v>1860</v>
      </c>
      <c r="Q128" s="948" t="str">
        <f>+'6. Intervenciones UDT- AM'!F135</f>
        <v xml:space="preserve">N° de responsables de administración que aprueban evaluación de capacitación </v>
      </c>
      <c r="R128" s="405">
        <f>+'6. Intervenciones UDT- AM'!I135</f>
        <v>0</v>
      </c>
      <c r="S128" s="405">
        <f>+'6. Intervenciones UDT- AM'!J135</f>
        <v>70</v>
      </c>
      <c r="T128" s="405">
        <f>+'6. Intervenciones UDT- AM'!K135</f>
        <v>70</v>
      </c>
      <c r="U128" s="405">
        <f>+'6. Intervenciones UDT- AM'!L135</f>
        <v>150</v>
      </c>
      <c r="V128" s="403" t="str">
        <f>+'6. Intervenciones UDT- AM'!M135</f>
        <v>Considera materiales de capacitación, alimentación a capacitados en el área cercana a su comunidad y gastos de capacitadores</v>
      </c>
      <c r="W128" s="403" t="str">
        <f>+'6. Intervenciones UDT- AM'!N135</f>
        <v>GRSM - DEGT</v>
      </c>
      <c r="X128" s="588">
        <f>+'6. Intervenciones UDT- AM'!O135</f>
        <v>10500</v>
      </c>
      <c r="Y128" s="588">
        <f>+Tabla1[[#This Row],[2025 Directo]]*(1+$Y$3)</f>
        <v>10610.25</v>
      </c>
      <c r="Z128" s="588">
        <f>+'6. Intervenciones UDT- AM'!P135</f>
        <v>10500</v>
      </c>
      <c r="AA128" s="588">
        <f>+Tabla1[[#This Row],[2030 Directo]]*(1+$Y$3)</f>
        <v>10610.25</v>
      </c>
      <c r="AB128" s="588">
        <f>+'6. Intervenciones UDT- AM'!Q135</f>
        <v>10500</v>
      </c>
      <c r="AC128" s="588">
        <f>+Tabla1[[#This Row],[Año 1 Cto Directo]]*(1+$Y$3)</f>
        <v>10610.25</v>
      </c>
      <c r="AD128" s="588">
        <f>+'6. Intervenciones UDT- AM'!R135</f>
        <v>0</v>
      </c>
      <c r="AE128" s="588">
        <f>+Tabla1[[#This Row],[Año 2 Cto. Directo]]*(1+$Y$3)</f>
        <v>0</v>
      </c>
      <c r="AF128" s="588">
        <f>+'6. Intervenciones UDT- AM'!S135</f>
        <v>0</v>
      </c>
      <c r="AG128" s="588">
        <f>+Tabla1[[#This Row],[Año 3 Cto. Directo]]*(1+$Y$3)</f>
        <v>0</v>
      </c>
      <c r="AH128" s="588">
        <f>+'6. Intervenciones UDT- AM'!T135</f>
        <v>0</v>
      </c>
      <c r="AI128" s="588">
        <f>+Tabla1[[#This Row],[Año 4 Cto. Directo]]*(1+$Y$3)</f>
        <v>0</v>
      </c>
      <c r="AJ128" s="588">
        <f>+'6. Intervenciones UDT- AM'!U135</f>
        <v>0</v>
      </c>
      <c r="AK128" s="588">
        <f>+Tabla1[[#This Row],[Año 5 Cto. Directo]]*(1+$Y$3)</f>
        <v>0</v>
      </c>
      <c r="AL128" s="403">
        <f>+'6. Intervenciones UDT- AM'!V135</f>
        <v>0</v>
      </c>
      <c r="AM128" s="954"/>
      <c r="AN128" s="954" t="str">
        <f>+'6. Intervenciones UDT- AM'!X135</f>
        <v>X</v>
      </c>
      <c r="AO128" s="954"/>
      <c r="AP128" s="954"/>
      <c r="AQ128" s="954">
        <f>+'6. Intervenciones UDT- AM'!AA135</f>
        <v>0</v>
      </c>
      <c r="AR128" s="954">
        <f>+'6. Intervenciones UDT- AM'!AB135</f>
        <v>2</v>
      </c>
      <c r="AS128" s="403">
        <f t="shared" si="1"/>
        <v>1</v>
      </c>
    </row>
    <row r="129" spans="1:45" s="195" customFormat="1" ht="15.8" hidden="1" customHeight="1" x14ac:dyDescent="0.3">
      <c r="A129" s="403"/>
      <c r="B129" s="403" t="str">
        <f>'6. Intervenciones UDT- AM'!$C$8</f>
        <v>UDT ALTO MAYO</v>
      </c>
      <c r="C129" s="403" t="str">
        <f>'6. Intervenciones UDT- AM'!$F$126</f>
        <v>ZOCRES</v>
      </c>
      <c r="D129" s="404" t="str">
        <f>+'6. Intervenciones UDT- AM'!A136</f>
        <v>Control y vigilancia</v>
      </c>
      <c r="E129" s="404" t="str">
        <f>+'6. Intervenciones UDT- AM'!C136</f>
        <v>2.7.3</v>
      </c>
      <c r="F129" s="403" t="str">
        <f>+'6. Intervenciones UDT- AM'!D136</f>
        <v>Elaboración del plan/declaración de manejo de las nuevas categorías de ordenamiento forestal y títulos habilitantes forestales</v>
      </c>
      <c r="G129" s="403" t="str">
        <f>+'6. Intervenciones UDT- AM'!E136</f>
        <v>Dependiendo de la categoría forestal a ser aplicada, se realizará un plan/declaración acorde la unidad, en el marco de la ley forestal y fauna silvestre N° 29763.</v>
      </c>
      <c r="H129" s="948" t="s">
        <v>1857</v>
      </c>
      <c r="I129" s="946" t="s">
        <v>199</v>
      </c>
      <c r="J129" s="946" t="s">
        <v>2591</v>
      </c>
      <c r="K129" s="946" t="s">
        <v>2331</v>
      </c>
      <c r="L129" s="946" t="s">
        <v>202</v>
      </c>
      <c r="M129" s="418" t="s">
        <v>1858</v>
      </c>
      <c r="N129" s="948" t="s">
        <v>1859</v>
      </c>
      <c r="O129" s="948" t="s">
        <v>223</v>
      </c>
      <c r="P129" s="951" t="s">
        <v>1860</v>
      </c>
      <c r="Q129" s="948" t="str">
        <f>+'6. Intervenciones UDT- AM'!F136</f>
        <v>N° Planes / Declaraciones elaborados</v>
      </c>
      <c r="R129" s="405">
        <f>+'6. Intervenciones UDT- AM'!I136</f>
        <v>0</v>
      </c>
      <c r="S129" s="405">
        <f>+'6. Intervenciones UDT- AM'!J136</f>
        <v>15</v>
      </c>
      <c r="T129" s="405">
        <f>+'6. Intervenciones UDT- AM'!K136</f>
        <v>15</v>
      </c>
      <c r="U129" s="405">
        <f>+'6. Intervenciones UDT- AM'!L136</f>
        <v>10000</v>
      </c>
      <c r="V129" s="403" t="str">
        <f>+'6. Intervenciones UDT- AM'!M136</f>
        <v>Se considera la contratación de profesionales para la elaboración de los expedientes y/o declaraciones identificadas en los diferentes procesos.</v>
      </c>
      <c r="W129" s="403" t="str">
        <f>+'6. Intervenciones UDT- AM'!N136</f>
        <v>GRSM - DEGT</v>
      </c>
      <c r="X129" s="588">
        <f>+'6. Intervenciones UDT- AM'!O136</f>
        <v>150000</v>
      </c>
      <c r="Y129" s="588">
        <f>+Tabla1[[#This Row],[2025 Directo]]*(1+$Y$3)</f>
        <v>151575</v>
      </c>
      <c r="Z129" s="588">
        <f>+'6. Intervenciones UDT- AM'!P136</f>
        <v>150000</v>
      </c>
      <c r="AA129" s="588">
        <f>+Tabla1[[#This Row],[2030 Directo]]*(1+$Y$3)</f>
        <v>151575</v>
      </c>
      <c r="AB129" s="588">
        <f>+'6. Intervenciones UDT- AM'!Q136</f>
        <v>45000</v>
      </c>
      <c r="AC129" s="588">
        <f>+Tabla1[[#This Row],[Año 1 Cto Directo]]*(1+$Y$3)</f>
        <v>45472.5</v>
      </c>
      <c r="AD129" s="588">
        <f>+'6. Intervenciones UDT- AM'!R136</f>
        <v>45000</v>
      </c>
      <c r="AE129" s="588">
        <f>+Tabla1[[#This Row],[Año 2 Cto. Directo]]*(1+$Y$3)</f>
        <v>45472.5</v>
      </c>
      <c r="AF129" s="588">
        <f>+'6. Intervenciones UDT- AM'!S136</f>
        <v>60000</v>
      </c>
      <c r="AG129" s="588">
        <f>+Tabla1[[#This Row],[Año 3 Cto. Directo]]*(1+$Y$3)</f>
        <v>60630</v>
      </c>
      <c r="AH129" s="588">
        <f>+'6. Intervenciones UDT- AM'!T136</f>
        <v>0</v>
      </c>
      <c r="AI129" s="588">
        <f>+Tabla1[[#This Row],[Año 4 Cto. Directo]]*(1+$Y$3)</f>
        <v>0</v>
      </c>
      <c r="AJ129" s="588">
        <f>+'6. Intervenciones UDT- AM'!U136</f>
        <v>0</v>
      </c>
      <c r="AK129" s="588">
        <f>+Tabla1[[#This Row],[Año 5 Cto. Directo]]*(1+$Y$3)</f>
        <v>0</v>
      </c>
      <c r="AL129" s="403">
        <f>+'6. Intervenciones UDT- AM'!V136</f>
        <v>0</v>
      </c>
      <c r="AM129" s="954"/>
      <c r="AN129" s="954" t="str">
        <f>+'6. Intervenciones UDT- AM'!X136</f>
        <v>X</v>
      </c>
      <c r="AO129" s="954"/>
      <c r="AP129" s="954"/>
      <c r="AQ129" s="954">
        <f>+'6. Intervenciones UDT- AM'!AA136</f>
        <v>0</v>
      </c>
      <c r="AR129" s="954">
        <f>+'6. Intervenciones UDT- AM'!AB136</f>
        <v>2</v>
      </c>
      <c r="AS129" s="403">
        <f t="shared" si="1"/>
        <v>1</v>
      </c>
    </row>
    <row r="130" spans="1:45" s="195" customFormat="1" ht="15.8" hidden="1" customHeight="1" x14ac:dyDescent="0.3">
      <c r="A130" s="403"/>
      <c r="B130" s="403" t="str">
        <f>'6. Intervenciones UDT- AM'!$C$8</f>
        <v>UDT ALTO MAYO</v>
      </c>
      <c r="C130" s="403" t="str">
        <f>'6. Intervenciones UDT- AM'!$F$126</f>
        <v>ZOCRES</v>
      </c>
      <c r="D130" s="404" t="str">
        <f>+'6. Intervenciones UDT- AM'!A137</f>
        <v>Invasiones</v>
      </c>
      <c r="E130" s="404" t="str">
        <f>+'6. Intervenciones UDT- AM'!C137</f>
        <v>2.7.4</v>
      </c>
      <c r="F130" s="403" t="str">
        <f>+'6. Intervenciones UDT- AM'!D137</f>
        <v>Inscripción en el catastro forestal y en registros públicos</v>
      </c>
      <c r="G130" s="403" t="str">
        <f>+'6. Intervenciones UDT- AM'!E137</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H130" s="948" t="s">
        <v>1857</v>
      </c>
      <c r="I130" s="946" t="s">
        <v>199</v>
      </c>
      <c r="J130" s="946" t="s">
        <v>2591</v>
      </c>
      <c r="K130" s="946" t="s">
        <v>2331</v>
      </c>
      <c r="L130" s="946" t="s">
        <v>202</v>
      </c>
      <c r="M130" s="418" t="s">
        <v>1858</v>
      </c>
      <c r="N130" s="948" t="s">
        <v>1859</v>
      </c>
      <c r="O130" s="948" t="s">
        <v>223</v>
      </c>
      <c r="P130" s="951" t="s">
        <v>1860</v>
      </c>
      <c r="Q130" s="948" t="str">
        <f>+'6. Intervenciones UDT- AM'!F137</f>
        <v>Ha. Inscritas</v>
      </c>
      <c r="R130" s="405">
        <f>+'6. Intervenciones UDT- AM'!I137</f>
        <v>140920.89160839622</v>
      </c>
      <c r="S130" s="405">
        <f>+'6. Intervenciones UDT- AM'!J137</f>
        <v>70460.445804198112</v>
      </c>
      <c r="T130" s="405">
        <f>+'6. Intervenciones UDT- AM'!K137</f>
        <v>70460.445804198112</v>
      </c>
      <c r="U130" s="405">
        <f>+'6. Intervenciones UDT- AM'!L137</f>
        <v>1</v>
      </c>
      <c r="V130" s="403" t="str">
        <f>+'6. Intervenciones UDT- AM'!M137</f>
        <v>Contratación de dos profesioales para agilizar procesos con sunarp.</v>
      </c>
      <c r="W130" s="403" t="str">
        <f>+'6. Intervenciones UDT- AM'!N137</f>
        <v>GRSM - DEGT</v>
      </c>
      <c r="X130" s="588">
        <f>+'6. Intervenciones UDT- AM'!O137</f>
        <v>70460.445804198112</v>
      </c>
      <c r="Y130" s="588">
        <f>+Tabla1[[#This Row],[2025 Directo]]*(1+$Y$3)</f>
        <v>71200.280485142182</v>
      </c>
      <c r="Z130" s="588">
        <f>+'6. Intervenciones UDT- AM'!P137</f>
        <v>70460.445804198112</v>
      </c>
      <c r="AA130" s="588">
        <f>+Tabla1[[#This Row],[2030 Directo]]*(1+$Y$3)</f>
        <v>71200.280485142182</v>
      </c>
      <c r="AB130" s="588">
        <f>+'6. Intervenciones UDT- AM'!Q137</f>
        <v>14092.089160839623</v>
      </c>
      <c r="AC130" s="588">
        <f>+Tabla1[[#This Row],[Año 1 Cto Directo]]*(1+$Y$3)</f>
        <v>14240.056097028439</v>
      </c>
      <c r="AD130" s="588">
        <f>+'6. Intervenciones UDT- AM'!R137</f>
        <v>14092.089160839623</v>
      </c>
      <c r="AE130" s="588">
        <f>+Tabla1[[#This Row],[Año 2 Cto. Directo]]*(1+$Y$3)</f>
        <v>14240.056097028439</v>
      </c>
      <c r="AF130" s="588">
        <f>+'6. Intervenciones UDT- AM'!S137</f>
        <v>14092.089160839623</v>
      </c>
      <c r="AG130" s="588">
        <f>+Tabla1[[#This Row],[Año 3 Cto. Directo]]*(1+$Y$3)</f>
        <v>14240.056097028439</v>
      </c>
      <c r="AH130" s="588">
        <f>+'6. Intervenciones UDT- AM'!T137</f>
        <v>14092.089160839623</v>
      </c>
      <c r="AI130" s="588">
        <f>+Tabla1[[#This Row],[Año 4 Cto. Directo]]*(1+$Y$3)</f>
        <v>14240.056097028439</v>
      </c>
      <c r="AJ130" s="588">
        <f>+'6. Intervenciones UDT- AM'!U137</f>
        <v>14092.089160839623</v>
      </c>
      <c r="AK130" s="588">
        <f>+Tabla1[[#This Row],[Año 5 Cto. Directo]]*(1+$Y$3)</f>
        <v>14240.056097028439</v>
      </c>
      <c r="AL130" s="403">
        <f>+'6. Intervenciones UDT- AM'!V137</f>
        <v>0</v>
      </c>
      <c r="AM130" s="954"/>
      <c r="AN130" s="954" t="str">
        <f>+'6. Intervenciones UDT- AM'!X137</f>
        <v>X</v>
      </c>
      <c r="AO130" s="954"/>
      <c r="AP130" s="954"/>
      <c r="AQ130" s="954">
        <f>+'6. Intervenciones UDT- AM'!AA137</f>
        <v>0</v>
      </c>
      <c r="AR130" s="954">
        <f>+'6. Intervenciones UDT- AM'!AB137</f>
        <v>2</v>
      </c>
      <c r="AS130" s="403">
        <f t="shared" ref="AS130:AS135" si="8">COUNTIF(AM130:AP130, "X")</f>
        <v>1</v>
      </c>
    </row>
    <row r="131" spans="1:45" s="195" customFormat="1" ht="15.8" hidden="1" customHeight="1" x14ac:dyDescent="0.3">
      <c r="A131" s="403"/>
      <c r="B131" s="403" t="str">
        <f>'6. Intervenciones UDT- AM'!$C$8</f>
        <v>UDT ALTO MAYO</v>
      </c>
      <c r="C131" s="403" t="str">
        <f>'6. Intervenciones UDT- AM'!$F$141</f>
        <v>Tierras sin categoría territorial asignada</v>
      </c>
      <c r="D131" s="404" t="str">
        <f>+'6. Intervenciones UDT- AM'!A149</f>
        <v>Invasiones</v>
      </c>
      <c r="E131" s="404" t="str">
        <f>+'6. Intervenciones UDT- AM'!C149</f>
        <v>2.8.1</v>
      </c>
      <c r="F131" s="404" t="str">
        <f>+'6. Intervenciones UDT- AM'!D149</f>
        <v>Creación y establecimiento de unidades de ordenamiento forestal, otorgamiento de títulos habilitantes forestales y tenencia de la tierra</v>
      </c>
      <c r="G131" s="404" t="str">
        <f>+'6. Intervenciones UDT- AM'!E149</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H131" s="948" t="s">
        <v>1857</v>
      </c>
      <c r="I131" s="946" t="s">
        <v>199</v>
      </c>
      <c r="J131" s="946" t="s">
        <v>2591</v>
      </c>
      <c r="K131" s="946" t="s">
        <v>2331</v>
      </c>
      <c r="L131" s="946" t="s">
        <v>202</v>
      </c>
      <c r="M131" s="418" t="s">
        <v>1858</v>
      </c>
      <c r="N131" s="948" t="s">
        <v>1859</v>
      </c>
      <c r="O131" s="948" t="s">
        <v>223</v>
      </c>
      <c r="P131" s="951" t="s">
        <v>1860</v>
      </c>
      <c r="Q131" s="948" t="str">
        <f>+'6. Intervenciones UDT- AM'!F149</f>
        <v>Ha. con categoría territorial asignada</v>
      </c>
      <c r="R131" s="405">
        <f>+'6. Intervenciones UDT- AM'!I149</f>
        <v>24905.186800862601</v>
      </c>
      <c r="S131" s="405">
        <f>+'6. Intervenciones UDT- AM'!J149</f>
        <v>12452.5934004313</v>
      </c>
      <c r="T131" s="405">
        <f>+'6. Intervenciones UDT- AM'!K149</f>
        <v>12452.5934004313</v>
      </c>
      <c r="U131" s="405">
        <f>+'6. Intervenciones UDT- AM'!L149</f>
        <v>15</v>
      </c>
      <c r="V131" s="405" t="str">
        <f>+'6. Intervenciones UDT- AM'!M149</f>
        <v>Para la implementación de las intervención será mecesario la contratación de especialistas para realizar las acciones que comtemplen dicha actividad. Gastos logísticos y trámites documentarios.</v>
      </c>
      <c r="W131" s="405" t="str">
        <f>+'6. Intervenciones UDT- AM'!N149</f>
        <v>GRSM - DEGT</v>
      </c>
      <c r="X131" s="588">
        <f>+'6. Intervenciones UDT- AM'!O149</f>
        <v>186788.9010064695</v>
      </c>
      <c r="Y131" s="588">
        <f>+Tabla1[[#This Row],[2025 Directo]]*(1+$Y$3)</f>
        <v>188750.18446703741</v>
      </c>
      <c r="Z131" s="588">
        <f>+'6. Intervenciones UDT- AM'!P149</f>
        <v>186788.9010064695</v>
      </c>
      <c r="AA131" s="588">
        <f>+Tabla1[[#This Row],[2030 Directo]]*(1+$Y$3)</f>
        <v>188750.18446703741</v>
      </c>
      <c r="AB131" s="588">
        <f>+'6. Intervenciones UDT- AM'!Q149</f>
        <v>37357.780201293899</v>
      </c>
      <c r="AC131" s="588">
        <f>+Tabla1[[#This Row],[Año 1 Cto Directo]]*(1+$Y$3)</f>
        <v>37750.036893407487</v>
      </c>
      <c r="AD131" s="588">
        <f>+'6. Intervenciones UDT- AM'!R149</f>
        <v>37357.780201293899</v>
      </c>
      <c r="AE131" s="588">
        <f>+Tabla1[[#This Row],[Año 2 Cto. Directo]]*(1+$Y$3)</f>
        <v>37750.036893407487</v>
      </c>
      <c r="AF131" s="588">
        <f>+'6. Intervenciones UDT- AM'!S149</f>
        <v>37357.780201293899</v>
      </c>
      <c r="AG131" s="588">
        <f>+Tabla1[[#This Row],[Año 3 Cto. Directo]]*(1+$Y$3)</f>
        <v>37750.036893407487</v>
      </c>
      <c r="AH131" s="588">
        <f>+'6. Intervenciones UDT- AM'!T149</f>
        <v>37357.780201293899</v>
      </c>
      <c r="AI131" s="588">
        <f>+Tabla1[[#This Row],[Año 4 Cto. Directo]]*(1+$Y$3)</f>
        <v>37750.036893407487</v>
      </c>
      <c r="AJ131" s="588">
        <f>+'6. Intervenciones UDT- AM'!U149</f>
        <v>37357.780201293899</v>
      </c>
      <c r="AK131" s="588">
        <f>+Tabla1[[#This Row],[Año 5 Cto. Directo]]*(1+$Y$3)</f>
        <v>37750.036893407487</v>
      </c>
      <c r="AL131" s="405">
        <f>+'6. Intervenciones UDT- AM'!V149</f>
        <v>0</v>
      </c>
      <c r="AM131" s="956"/>
      <c r="AN131" s="956" t="str">
        <f>+'6. Intervenciones UDT- AM'!X149</f>
        <v>X</v>
      </c>
      <c r="AO131" s="956"/>
      <c r="AP131" s="956"/>
      <c r="AQ131" s="956"/>
      <c r="AR131" s="954">
        <f>+'6. Intervenciones UDT- AM'!AB149</f>
        <v>3</v>
      </c>
      <c r="AS131" s="403">
        <f t="shared" si="8"/>
        <v>1</v>
      </c>
    </row>
    <row r="132" spans="1:45" s="195" customFormat="1" ht="15.8" hidden="1" customHeight="1" x14ac:dyDescent="0.3">
      <c r="A132" s="403"/>
      <c r="B132" s="403" t="str">
        <f>'6. Intervenciones UDT- AM'!$C$8</f>
        <v>UDT ALTO MAYO</v>
      </c>
      <c r="C132" s="403" t="str">
        <f>'6. Intervenciones UDT- AM'!$F$141</f>
        <v>Tierras sin categoría territorial asignada</v>
      </c>
      <c r="D132" s="404" t="str">
        <f>+'6. Intervenciones UDT- AM'!A150</f>
        <v>Control y vigilancia</v>
      </c>
      <c r="E132" s="404" t="str">
        <f>+'6. Intervenciones UDT- AM'!C150</f>
        <v>2.8.2</v>
      </c>
      <c r="F132" s="404" t="str">
        <f>+'6. Intervenciones UDT- AM'!D150</f>
        <v>Fortalecimiento de capacidades de los responsables de la administración de las nuevas categorías de ordenamiento forestal y títulos habilitantes forestales</v>
      </c>
      <c r="G132" s="404" t="str">
        <f>+'6. Intervenciones UDT- AM'!E150</f>
        <v>Comprende la capacitación en manejo de normatividad forestal y manejo de bosques, contratación de especialistas para tener presencia física en el área, equipamiento e infraestructura.</v>
      </c>
      <c r="H132" s="948" t="s">
        <v>1857</v>
      </c>
      <c r="I132" s="946" t="s">
        <v>199</v>
      </c>
      <c r="J132" s="946" t="s">
        <v>2591</v>
      </c>
      <c r="K132" s="946" t="s">
        <v>2331</v>
      </c>
      <c r="L132" s="946" t="s">
        <v>202</v>
      </c>
      <c r="M132" s="418" t="s">
        <v>1858</v>
      </c>
      <c r="N132" s="948" t="s">
        <v>1859</v>
      </c>
      <c r="O132" s="948" t="s">
        <v>223</v>
      </c>
      <c r="P132" s="951" t="s">
        <v>1860</v>
      </c>
      <c r="Q132" s="948" t="str">
        <f>+'6. Intervenciones UDT- AM'!F150</f>
        <v xml:space="preserve">N° de responsables de administración que aprueban evaluación de capacitación </v>
      </c>
      <c r="R132" s="405">
        <f>+'6. Intervenciones UDT- AM'!I150</f>
        <v>0</v>
      </c>
      <c r="S132" s="405">
        <f>+'6. Intervenciones UDT- AM'!J150</f>
        <v>70</v>
      </c>
      <c r="T132" s="405">
        <f>+'6. Intervenciones UDT- AM'!K150</f>
        <v>70</v>
      </c>
      <c r="U132" s="405">
        <f>+'6. Intervenciones UDT- AM'!L150</f>
        <v>150</v>
      </c>
      <c r="V132" s="405" t="str">
        <f>+'6. Intervenciones UDT- AM'!M150</f>
        <v>Considera materiales de capacitación, alimentación a capacitados en el área cercana a su comunidad y gastos de capacitadores</v>
      </c>
      <c r="W132" s="405" t="str">
        <f>+'6. Intervenciones UDT- AM'!N150</f>
        <v>GRSM - DEGT</v>
      </c>
      <c r="X132" s="588">
        <f>+'6. Intervenciones UDT- AM'!O150</f>
        <v>10500</v>
      </c>
      <c r="Y132" s="588">
        <f>+Tabla1[[#This Row],[2025 Directo]]*(1+$Y$3)</f>
        <v>10610.25</v>
      </c>
      <c r="Z132" s="588">
        <f>+'6. Intervenciones UDT- AM'!P150</f>
        <v>10500</v>
      </c>
      <c r="AA132" s="588">
        <f>+Tabla1[[#This Row],[2030 Directo]]*(1+$Y$3)</f>
        <v>10610.25</v>
      </c>
      <c r="AB132" s="588">
        <f>+'6. Intervenciones UDT- AM'!Q150</f>
        <v>10500</v>
      </c>
      <c r="AC132" s="588">
        <f>+Tabla1[[#This Row],[Año 1 Cto Directo]]*(1+$Y$3)</f>
        <v>10610.25</v>
      </c>
      <c r="AD132" s="588">
        <f>+'6. Intervenciones UDT- AM'!R150</f>
        <v>0</v>
      </c>
      <c r="AE132" s="588">
        <f>+Tabla1[[#This Row],[Año 2 Cto. Directo]]*(1+$Y$3)</f>
        <v>0</v>
      </c>
      <c r="AF132" s="588">
        <f>+'6. Intervenciones UDT- AM'!S150</f>
        <v>0</v>
      </c>
      <c r="AG132" s="588">
        <f>+Tabla1[[#This Row],[Año 3 Cto. Directo]]*(1+$Y$3)</f>
        <v>0</v>
      </c>
      <c r="AH132" s="588">
        <f>+'6. Intervenciones UDT- AM'!T150</f>
        <v>0</v>
      </c>
      <c r="AI132" s="588">
        <f>+Tabla1[[#This Row],[Año 4 Cto. Directo]]*(1+$Y$3)</f>
        <v>0</v>
      </c>
      <c r="AJ132" s="588">
        <f>+'6. Intervenciones UDT- AM'!U150</f>
        <v>0</v>
      </c>
      <c r="AK132" s="588">
        <f>+Tabla1[[#This Row],[Año 5 Cto. Directo]]*(1+$Y$3)</f>
        <v>0</v>
      </c>
      <c r="AL132" s="405">
        <f>+'6. Intervenciones UDT- AM'!V150</f>
        <v>0</v>
      </c>
      <c r="AM132" s="956"/>
      <c r="AN132" s="956" t="str">
        <f>+'6. Intervenciones UDT- AM'!X150</f>
        <v>X</v>
      </c>
      <c r="AO132" s="956"/>
      <c r="AP132" s="956"/>
      <c r="AQ132" s="956"/>
      <c r="AR132" s="954">
        <f>+'6. Intervenciones UDT- AM'!AB150</f>
        <v>2</v>
      </c>
      <c r="AS132" s="403">
        <f t="shared" si="8"/>
        <v>1</v>
      </c>
    </row>
    <row r="133" spans="1:45" s="195" customFormat="1" ht="15.8" hidden="1" customHeight="1" x14ac:dyDescent="0.3">
      <c r="A133" s="403"/>
      <c r="B133" s="403" t="str">
        <f>'6. Intervenciones UDT- AM'!$C$8</f>
        <v>UDT ALTO MAYO</v>
      </c>
      <c r="C133" s="403" t="str">
        <f>'6. Intervenciones UDT- AM'!$F$141</f>
        <v>Tierras sin categoría territorial asignada</v>
      </c>
      <c r="D133" s="404" t="str">
        <f>+'6. Intervenciones UDT- AM'!A151</f>
        <v>Control y vigilancia</v>
      </c>
      <c r="E133" s="404" t="str">
        <f>+'6. Intervenciones UDT- AM'!C151</f>
        <v>2.8.3</v>
      </c>
      <c r="F133" s="404" t="str">
        <f>+'6. Intervenciones UDT- AM'!D151</f>
        <v>Elaboración del plan/declaración de manejo de las nuevas categorías de ordenamiento forestal y títulos habilitantes forestales</v>
      </c>
      <c r="G133" s="404" t="str">
        <f>+'6. Intervenciones UDT- AM'!E151</f>
        <v>Dependiendo de la categoría forestal a ser aplicada, se realizará un plan/declaración acorde a la unidad, en el marco de la ley forestal y fauna silvestre N° 29763.</v>
      </c>
      <c r="H133" s="948" t="s">
        <v>1857</v>
      </c>
      <c r="I133" s="946" t="s">
        <v>199</v>
      </c>
      <c r="J133" s="946" t="s">
        <v>2591</v>
      </c>
      <c r="K133" s="946" t="s">
        <v>2331</v>
      </c>
      <c r="L133" s="946" t="s">
        <v>202</v>
      </c>
      <c r="M133" s="418" t="s">
        <v>1858</v>
      </c>
      <c r="N133" s="948" t="s">
        <v>1859</v>
      </c>
      <c r="O133" s="948" t="s">
        <v>223</v>
      </c>
      <c r="P133" s="951" t="s">
        <v>1860</v>
      </c>
      <c r="Q133" s="948" t="str">
        <f>+'6. Intervenciones UDT- AM'!F151</f>
        <v>N° Planes / Declaraciones elaborados</v>
      </c>
      <c r="R133" s="405">
        <f>+'6. Intervenciones UDT- AM'!I151</f>
        <v>0</v>
      </c>
      <c r="S133" s="405">
        <f>+'6. Intervenciones UDT- AM'!J151</f>
        <v>5</v>
      </c>
      <c r="T133" s="405">
        <f>+'6. Intervenciones UDT- AM'!K151</f>
        <v>5</v>
      </c>
      <c r="U133" s="405">
        <f>+'6. Intervenciones UDT- AM'!L151</f>
        <v>10000</v>
      </c>
      <c r="V133" s="405" t="str">
        <f>+'6. Intervenciones UDT- AM'!M151</f>
        <v>Se considera la contratación de profesionales para la elaboración de los expedientes y/o declaraciones identificadas en los diferentes procesos.</v>
      </c>
      <c r="W133" s="405" t="str">
        <f>+'6. Intervenciones UDT- AM'!N151</f>
        <v>GRSM - DEGT</v>
      </c>
      <c r="X133" s="588">
        <f>+'6. Intervenciones UDT- AM'!O151</f>
        <v>50000</v>
      </c>
      <c r="Y133" s="588">
        <f>+Tabla1[[#This Row],[2025 Directo]]*(1+$Y$3)</f>
        <v>50525</v>
      </c>
      <c r="Z133" s="588">
        <f>+'6. Intervenciones UDT- AM'!P151</f>
        <v>50000</v>
      </c>
      <c r="AA133" s="588">
        <f>+Tabla1[[#This Row],[2030 Directo]]*(1+$Y$3)</f>
        <v>50525</v>
      </c>
      <c r="AB133" s="588">
        <f>+'6. Intervenciones UDT- AM'!Q151</f>
        <v>15000</v>
      </c>
      <c r="AC133" s="588">
        <f>+Tabla1[[#This Row],[Año 1 Cto Directo]]*(1+$Y$3)</f>
        <v>15157.5</v>
      </c>
      <c r="AD133" s="588">
        <f>+'6. Intervenciones UDT- AM'!R151</f>
        <v>15000</v>
      </c>
      <c r="AE133" s="588">
        <f>+Tabla1[[#This Row],[Año 2 Cto. Directo]]*(1+$Y$3)</f>
        <v>15157.5</v>
      </c>
      <c r="AF133" s="588">
        <f>+'6. Intervenciones UDT- AM'!S151</f>
        <v>20000</v>
      </c>
      <c r="AG133" s="588">
        <f>+Tabla1[[#This Row],[Año 3 Cto. Directo]]*(1+$Y$3)</f>
        <v>20210</v>
      </c>
      <c r="AH133" s="588">
        <f>+'6. Intervenciones UDT- AM'!T151</f>
        <v>0</v>
      </c>
      <c r="AI133" s="588">
        <f>+Tabla1[[#This Row],[Año 4 Cto. Directo]]*(1+$Y$3)</f>
        <v>0</v>
      </c>
      <c r="AJ133" s="588">
        <f>+'6. Intervenciones UDT- AM'!U151</f>
        <v>0</v>
      </c>
      <c r="AK133" s="588">
        <f>+Tabla1[[#This Row],[Año 5 Cto. Directo]]*(1+$Y$3)</f>
        <v>0</v>
      </c>
      <c r="AL133" s="405">
        <f>+'6. Intervenciones UDT- AM'!V151</f>
        <v>0</v>
      </c>
      <c r="AM133" s="956"/>
      <c r="AN133" s="956" t="str">
        <f>+'6. Intervenciones UDT- AM'!X151</f>
        <v>X</v>
      </c>
      <c r="AO133" s="956"/>
      <c r="AP133" s="956"/>
      <c r="AQ133" s="956"/>
      <c r="AR133" s="954">
        <f>+'6. Intervenciones UDT- AM'!AB151</f>
        <v>2</v>
      </c>
      <c r="AS133" s="403">
        <f t="shared" si="8"/>
        <v>1</v>
      </c>
    </row>
    <row r="134" spans="1:45" s="195" customFormat="1" ht="15.8" hidden="1" customHeight="1" x14ac:dyDescent="0.3">
      <c r="A134" s="403"/>
      <c r="B134" s="403" t="str">
        <f>'6. Intervenciones UDT- AM'!$C$8</f>
        <v>UDT ALTO MAYO</v>
      </c>
      <c r="C134" s="403" t="str">
        <f>'6. Intervenciones UDT- AM'!$F$141</f>
        <v>Tierras sin categoría territorial asignada</v>
      </c>
      <c r="D134" s="404" t="str">
        <f>+'6. Intervenciones UDT- AM'!A152</f>
        <v>Invasiones</v>
      </c>
      <c r="E134" s="404" t="str">
        <f>+'6. Intervenciones UDT- AM'!C152</f>
        <v>2.8.4</v>
      </c>
      <c r="F134" s="404" t="str">
        <f>+'6. Intervenciones UDT- AM'!D152</f>
        <v>Inscripción en el catastro forestal y en registros públicos</v>
      </c>
      <c r="G134" s="404" t="str">
        <f>+'6. Intervenciones UDT- AM'!E152</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H134" s="948" t="s">
        <v>1857</v>
      </c>
      <c r="I134" s="946" t="s">
        <v>199</v>
      </c>
      <c r="J134" s="946" t="s">
        <v>2591</v>
      </c>
      <c r="K134" s="946" t="s">
        <v>2331</v>
      </c>
      <c r="L134" s="946" t="s">
        <v>202</v>
      </c>
      <c r="M134" s="418" t="s">
        <v>1858</v>
      </c>
      <c r="N134" s="948" t="s">
        <v>1859</v>
      </c>
      <c r="O134" s="948" t="s">
        <v>223</v>
      </c>
      <c r="P134" s="951" t="s">
        <v>1860</v>
      </c>
      <c r="Q134" s="948" t="str">
        <f>+'6. Intervenciones UDT- AM'!F152</f>
        <v>Ha. Inscritas</v>
      </c>
      <c r="R134" s="405">
        <f>+'6. Intervenciones UDT- AM'!I152</f>
        <v>24905.186800862601</v>
      </c>
      <c r="S134" s="405">
        <f>+'6. Intervenciones UDT- AM'!J152</f>
        <v>12452.5934004313</v>
      </c>
      <c r="T134" s="405">
        <f>+'6. Intervenciones UDT- AM'!K152</f>
        <v>12452.5934004313</v>
      </c>
      <c r="U134" s="405">
        <f>+'6. Intervenciones UDT- AM'!L152</f>
        <v>1</v>
      </c>
      <c r="V134" s="405" t="str">
        <f>+'6. Intervenciones UDT- AM'!M152</f>
        <v>Contratación de dos profesioales para agilizar procesos con sunarp.</v>
      </c>
      <c r="W134" s="405" t="str">
        <f>+'6. Intervenciones UDT- AM'!N152</f>
        <v>GRSM - DEGT</v>
      </c>
      <c r="X134" s="588">
        <f>+'6. Intervenciones UDT- AM'!O152</f>
        <v>12452.5934004313</v>
      </c>
      <c r="Y134" s="588">
        <f>+Tabla1[[#This Row],[2025 Directo]]*(1+$Y$3)</f>
        <v>12583.345631135828</v>
      </c>
      <c r="Z134" s="588">
        <f>+'6. Intervenciones UDT- AM'!P152</f>
        <v>12452.5934004313</v>
      </c>
      <c r="AA134" s="588">
        <f>+Tabla1[[#This Row],[2030 Directo]]*(1+$Y$3)</f>
        <v>12583.345631135828</v>
      </c>
      <c r="AB134" s="588">
        <f>+'6. Intervenciones UDT- AM'!Q152</f>
        <v>2490.5186800862602</v>
      </c>
      <c r="AC134" s="588">
        <f>+Tabla1[[#This Row],[Año 1 Cto Directo]]*(1+$Y$3)</f>
        <v>2516.6691262271661</v>
      </c>
      <c r="AD134" s="588">
        <f>+'6. Intervenciones UDT- AM'!R152</f>
        <v>2490.5186800862602</v>
      </c>
      <c r="AE134" s="588">
        <f>+Tabla1[[#This Row],[Año 2 Cto. Directo]]*(1+$Y$3)</f>
        <v>2516.6691262271661</v>
      </c>
      <c r="AF134" s="588">
        <f>+'6. Intervenciones UDT- AM'!S152</f>
        <v>2490.5186800862602</v>
      </c>
      <c r="AG134" s="588">
        <f>+Tabla1[[#This Row],[Año 3 Cto. Directo]]*(1+$Y$3)</f>
        <v>2516.6691262271661</v>
      </c>
      <c r="AH134" s="588">
        <f>+'6. Intervenciones UDT- AM'!T152</f>
        <v>2490.5186800862602</v>
      </c>
      <c r="AI134" s="588">
        <f>+Tabla1[[#This Row],[Año 4 Cto. Directo]]*(1+$Y$3)</f>
        <v>2516.6691262271661</v>
      </c>
      <c r="AJ134" s="588">
        <f>+'6. Intervenciones UDT- AM'!U152</f>
        <v>2490.5186800862602</v>
      </c>
      <c r="AK134" s="588">
        <f>+Tabla1[[#This Row],[Año 5 Cto. Directo]]*(1+$Y$3)</f>
        <v>2516.6691262271661</v>
      </c>
      <c r="AL134" s="405">
        <f>+'6. Intervenciones UDT- AM'!V152</f>
        <v>0</v>
      </c>
      <c r="AM134" s="956"/>
      <c r="AN134" s="956" t="str">
        <f>+'6. Intervenciones UDT- AM'!X152</f>
        <v>X</v>
      </c>
      <c r="AO134" s="956"/>
      <c r="AP134" s="956"/>
      <c r="AQ134" s="956"/>
      <c r="AR134" s="954">
        <f>+'6. Intervenciones UDT- AM'!AB152</f>
        <v>2</v>
      </c>
      <c r="AS134" s="403">
        <f t="shared" si="8"/>
        <v>1</v>
      </c>
    </row>
    <row r="135" spans="1:45" s="195" customFormat="1" ht="15.8" hidden="1" customHeight="1" x14ac:dyDescent="0.3">
      <c r="A135" s="403"/>
      <c r="B135" s="403" t="str">
        <f>'6. Intervenciones UDT- AM'!$C$8</f>
        <v>UDT ALTO MAYO</v>
      </c>
      <c r="C135" s="403" t="str">
        <f>'6. Intervenciones UDT- AM'!$F$141</f>
        <v>Tierras sin categoría territorial asignada</v>
      </c>
      <c r="D135" s="404" t="str">
        <f>+'6. Intervenciones UDT- AM'!A153</f>
        <v>Ingresos y Capital</v>
      </c>
      <c r="E135" s="404" t="str">
        <f>+'6. Intervenciones UDT- AM'!C153</f>
        <v>2.8.5</v>
      </c>
      <c r="F135" s="404" t="str">
        <f>+'6. Intervenciones UDT- AM'!D153</f>
        <v>Restauración de áreas degradadas</v>
      </c>
      <c r="G135" s="404" t="str">
        <f>+'6. Intervenciones UDT- AM'!E153</f>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v>
      </c>
      <c r="H135" s="948" t="s">
        <v>1857</v>
      </c>
      <c r="I135" s="946" t="s">
        <v>203</v>
      </c>
      <c r="J135" s="946" t="s">
        <v>2595</v>
      </c>
      <c r="K135" s="946" t="s">
        <v>2333</v>
      </c>
      <c r="L135" s="946" t="s">
        <v>204</v>
      </c>
      <c r="M135" s="418" t="s">
        <v>1878</v>
      </c>
      <c r="N135" s="948" t="s">
        <v>1859</v>
      </c>
      <c r="O135" s="948" t="s">
        <v>223</v>
      </c>
      <c r="P135" s="951" t="s">
        <v>1860</v>
      </c>
      <c r="Q135" s="948" t="str">
        <f>+'6. Intervenciones UDT- AM'!F153</f>
        <v>Hectáreas restauradas</v>
      </c>
      <c r="R135" s="405">
        <f>+'6. Intervenciones UDT- AM'!I153</f>
        <v>0</v>
      </c>
      <c r="S135" s="405">
        <f>+'6. Intervenciones UDT- AM'!J153</f>
        <v>5637.0492705921833</v>
      </c>
      <c r="T135" s="405">
        <f>+'6. Intervenciones UDT- AM'!K153</f>
        <v>0</v>
      </c>
      <c r="U135" s="405">
        <f>+'6. Intervenciones UDT- AM'!L153</f>
        <v>500</v>
      </c>
      <c r="V135" s="405" t="str">
        <f>+'6. Intervenciones UDT- AM'!M153</f>
        <v>El costo incluye la restauración de una hectárea, esta actividad se desarrollara de acuerdo a la metodología propuesta por el ARA, en coordinación con los productores seleccionados.</v>
      </c>
      <c r="W135" s="405" t="str">
        <f>+'6. Intervenciones UDT- AM'!N153</f>
        <v>ARA</v>
      </c>
      <c r="X135" s="588">
        <f>+'6. Intervenciones UDT- AM'!O153</f>
        <v>2818524.6352960919</v>
      </c>
      <c r="Y135" s="588">
        <f>+Tabla1[[#This Row],[2025 Directo]]*(1+$Y$3)</f>
        <v>2848119.1439667009</v>
      </c>
      <c r="Z135" s="588">
        <f>+'6. Intervenciones UDT- AM'!P153</f>
        <v>0</v>
      </c>
      <c r="AA135" s="588">
        <f>+Tabla1[[#This Row],[2030 Directo]]*(1+$Y$3)</f>
        <v>0</v>
      </c>
      <c r="AB135" s="588">
        <f>+'6. Intervenciones UDT- AM'!Q153</f>
        <v>2818524.6352960919</v>
      </c>
      <c r="AC135" s="588">
        <f>+Tabla1[[#This Row],[Año 1 Cto Directo]]*(1+$Y$3)</f>
        <v>2848119.1439667009</v>
      </c>
      <c r="AD135" s="588">
        <f>+'6. Intervenciones UDT- AM'!R153</f>
        <v>0</v>
      </c>
      <c r="AE135" s="588">
        <f>+Tabla1[[#This Row],[Año 2 Cto. Directo]]*(1+$Y$3)</f>
        <v>0</v>
      </c>
      <c r="AF135" s="588">
        <f>+'6. Intervenciones UDT- AM'!S153</f>
        <v>0</v>
      </c>
      <c r="AG135" s="588">
        <f>+Tabla1[[#This Row],[Año 3 Cto. Directo]]*(1+$Y$3)</f>
        <v>0</v>
      </c>
      <c r="AH135" s="588">
        <f>+'6. Intervenciones UDT- AM'!T153</f>
        <v>0</v>
      </c>
      <c r="AI135" s="588">
        <f>+Tabla1[[#This Row],[Año 4 Cto. Directo]]*(1+$Y$3)</f>
        <v>0</v>
      </c>
      <c r="AJ135" s="588">
        <f>+'6. Intervenciones UDT- AM'!U153</f>
        <v>0</v>
      </c>
      <c r="AK135" s="588">
        <f>+Tabla1[[#This Row],[Año 5 Cto. Directo]]*(1+$Y$3)</f>
        <v>0</v>
      </c>
      <c r="AL135" s="405">
        <f>+'6. Intervenciones UDT- AM'!V153</f>
        <v>0</v>
      </c>
      <c r="AM135" s="956"/>
      <c r="AN135" s="956" t="str">
        <f>+'6. Intervenciones UDT- AM'!X153</f>
        <v>X</v>
      </c>
      <c r="AO135" s="956"/>
      <c r="AP135" s="956"/>
      <c r="AQ135" s="956"/>
      <c r="AR135" s="954">
        <f>+'6. Intervenciones UDT- AM'!AB153</f>
        <v>3</v>
      </c>
      <c r="AS135" s="403">
        <f t="shared" si="8"/>
        <v>1</v>
      </c>
    </row>
    <row r="136" spans="1:45" s="195" customFormat="1" ht="15.8" customHeight="1" x14ac:dyDescent="0.3">
      <c r="A136" s="403"/>
      <c r="B136" s="403" t="str">
        <f>'6. Intervenciones UDT- AM'!$C$8</f>
        <v>UDT ALTO MAYO</v>
      </c>
      <c r="C136" s="403" t="str">
        <f>'6. Intervenciones UDT- AM'!$C$158</f>
        <v>Intervenciones Transversales X UDT</v>
      </c>
      <c r="D136" s="404" t="str">
        <f>+'6. Intervenciones UDT- AM'!A161</f>
        <v>Programas de inversión pública</v>
      </c>
      <c r="E136" s="404" t="str">
        <f>+'6. Intervenciones UDT- AM'!C161</f>
        <v>2.9.1</v>
      </c>
      <c r="F136" s="403" t="str">
        <f>+'6. Intervenciones UDT- AM'!D161</f>
        <v>Acuerdos con rondas campesinas y rondas nativas para cumplimiento de compromisos de no deforestación y tráfico de tierras e invasiones</v>
      </c>
      <c r="G136" s="403" t="str">
        <f>+'6. Intervenciones UDT- AM'!E161</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H136" s="948" t="s">
        <v>1857</v>
      </c>
      <c r="I136" s="946" t="s">
        <v>199</v>
      </c>
      <c r="J136" s="946" t="s">
        <v>2591</v>
      </c>
      <c r="K136" s="946" t="s">
        <v>2331</v>
      </c>
      <c r="L136" s="946" t="s">
        <v>202</v>
      </c>
      <c r="M136" s="418" t="s">
        <v>1858</v>
      </c>
      <c r="N136" s="948" t="s">
        <v>1879</v>
      </c>
      <c r="O136" s="948" t="s">
        <v>221</v>
      </c>
      <c r="P136" s="951" t="s">
        <v>1891</v>
      </c>
      <c r="Q136" s="948" t="str">
        <f>+'6. Intervenciones UDT- AM'!F161</f>
        <v>Acuerdos con rondas campesinas</v>
      </c>
      <c r="R136" s="405">
        <f>+'6. Intervenciones UDT- AM'!I161</f>
        <v>0</v>
      </c>
      <c r="S136" s="405">
        <f>+'6. Intervenciones UDT- AM'!J161</f>
        <v>19</v>
      </c>
      <c r="T136" s="405">
        <f>+'6. Intervenciones UDT- AM'!K161</f>
        <v>19</v>
      </c>
      <c r="U136" s="405">
        <f>+'6. Intervenciones UDT- AM'!L161</f>
        <v>2500</v>
      </c>
      <c r="V136" s="403" t="str">
        <f>+'6. Intervenciones UDT- AM'!M161</f>
        <v>Reuniones con los diferentes actores involucrados y la sociedad civil para llegar a acuerdos de no deforestación, lo cual incluye  gastos logísticos en general.</v>
      </c>
      <c r="W136" s="403" t="str">
        <f>+'6. Intervenciones UDT- AM'!N161</f>
        <v>GRIS</v>
      </c>
      <c r="X136" s="588">
        <f>+'6. Intervenciones UDT- AM'!O161</f>
        <v>237500</v>
      </c>
      <c r="Y136" s="588">
        <f>+Tabla1[[#This Row],[2025 Directo]]*(1+$Y$3)</f>
        <v>239993.75</v>
      </c>
      <c r="Z136" s="588">
        <f>+'6. Intervenciones UDT- AM'!P161</f>
        <v>237500</v>
      </c>
      <c r="AA136" s="588">
        <f>+Tabla1[[#This Row],[2030 Directo]]*(1+$Y$3)</f>
        <v>239993.75</v>
      </c>
      <c r="AB136" s="588">
        <f>+'6. Intervenciones UDT- AM'!Q161</f>
        <v>47500</v>
      </c>
      <c r="AC136" s="588">
        <f>+Tabla1[[#This Row],[Año 1 Cto Directo]]*(1+$Y$3)</f>
        <v>47998.75</v>
      </c>
      <c r="AD136" s="588">
        <f>+'6. Intervenciones UDT- AM'!R161</f>
        <v>47500</v>
      </c>
      <c r="AE136" s="588">
        <f>+Tabla1[[#This Row],[Año 2 Cto. Directo]]*(1+$Y$3)</f>
        <v>47998.75</v>
      </c>
      <c r="AF136" s="588">
        <f>+'6. Intervenciones UDT- AM'!S161</f>
        <v>47500</v>
      </c>
      <c r="AG136" s="588">
        <f>+Tabla1[[#This Row],[Año 3 Cto. Directo]]*(1+$Y$3)</f>
        <v>47998.75</v>
      </c>
      <c r="AH136" s="588">
        <f>+'6. Intervenciones UDT- AM'!T161</f>
        <v>47500</v>
      </c>
      <c r="AI136" s="588">
        <f>+Tabla1[[#This Row],[Año 4 Cto. Directo]]*(1+$Y$3)</f>
        <v>47998.75</v>
      </c>
      <c r="AJ136" s="588">
        <f>+'6. Intervenciones UDT- AM'!U161</f>
        <v>47500</v>
      </c>
      <c r="AK136" s="588">
        <f>+Tabla1[[#This Row],[Año 5 Cto. Directo]]*(1+$Y$3)</f>
        <v>47998.75</v>
      </c>
      <c r="AL136" s="403">
        <f>+'6. Intervenciones UDT- AM'!V161</f>
        <v>0</v>
      </c>
      <c r="AM136" s="954"/>
      <c r="AN136" s="954"/>
      <c r="AO136" s="954" t="str">
        <f>+'6. Intervenciones UDT- AM'!Y161</f>
        <v>X</v>
      </c>
      <c r="AP136" s="954"/>
      <c r="AQ136" s="954" t="str">
        <f>+'6. Intervenciones UDT- AM'!AA161</f>
        <v>RE</v>
      </c>
      <c r="AR136" s="954">
        <f>+'6. Intervenciones UDT- AM'!AB161</f>
        <v>3</v>
      </c>
      <c r="AS136" s="403">
        <f t="shared" si="1"/>
        <v>1</v>
      </c>
    </row>
    <row r="137" spans="1:45" s="195" customFormat="1" ht="15.8" customHeight="1" x14ac:dyDescent="0.3">
      <c r="A137" s="403"/>
      <c r="B137" s="403" t="str">
        <f>'6. Intervenciones UDT- AM'!$C$8</f>
        <v>UDT ALTO MAYO</v>
      </c>
      <c r="C137" s="403" t="str">
        <f>'6. Intervenciones UDT- AM'!$C$158</f>
        <v>Intervenciones Transversales X UDT</v>
      </c>
      <c r="D137" s="404" t="str">
        <f>+'6. Intervenciones UDT- AM'!A162</f>
        <v>Programas de inversión pública</v>
      </c>
      <c r="E137" s="404" t="str">
        <f>+'6. Intervenciones UDT- AM'!C162</f>
        <v>2.9.2</v>
      </c>
      <c r="F137" s="403" t="str">
        <f>+'6. Intervenciones UDT- AM'!D162</f>
        <v>Fortalecimiento del monitoreo de la cobertura de bosques y control de la tala ilegal (deforestación, extracción de especies forestales de valor comercial y forestales para tutores de cultivos)</v>
      </c>
      <c r="G137" s="403" t="str">
        <f>+'6. Intervenciones UDT- AM'!E162</f>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Esta intervención será apoyada por las organizaciones formales de rondas campesinas, rondas campesinas rondas nativas y comités de monitoreo.</v>
      </c>
      <c r="H137" s="948" t="s">
        <v>1857</v>
      </c>
      <c r="I137" s="946" t="s">
        <v>203</v>
      </c>
      <c r="J137" s="946" t="s">
        <v>2595</v>
      </c>
      <c r="K137" s="946" t="s">
        <v>2333</v>
      </c>
      <c r="L137" s="946" t="s">
        <v>204</v>
      </c>
      <c r="M137" s="418" t="s">
        <v>1878</v>
      </c>
      <c r="N137" s="948" t="s">
        <v>1879</v>
      </c>
      <c r="O137" s="948" t="s">
        <v>221</v>
      </c>
      <c r="P137" s="951" t="s">
        <v>1891</v>
      </c>
      <c r="Q137" s="948" t="str">
        <f>+'6. Intervenciones UDT- AM'!F162</f>
        <v>Especialistas</v>
      </c>
      <c r="R137" s="405">
        <f>+'6. Intervenciones UDT- AM'!I162</f>
        <v>0</v>
      </c>
      <c r="S137" s="405">
        <f>+'6. Intervenciones UDT- AM'!J162</f>
        <v>3</v>
      </c>
      <c r="T137" s="405">
        <f>+'6. Intervenciones UDT- AM'!K162</f>
        <v>3</v>
      </c>
      <c r="U137" s="405">
        <f>+'6. Intervenciones UDT- AM'!L162</f>
        <v>5000</v>
      </c>
      <c r="V137" s="403" t="str">
        <f>+'6. Intervenciones UDT- AM'!M162</f>
        <v xml:space="preserve">Contratación de especialistas para realizar monitoreo de la cobertura de bosque, desde los diferentes órganos competentes. </v>
      </c>
      <c r="W137" s="403" t="str">
        <f>+'6. Intervenciones UDT- AM'!N162</f>
        <v>ARA</v>
      </c>
      <c r="X137" s="588">
        <f>+'6. Intervenciones UDT- AM'!O162</f>
        <v>900000</v>
      </c>
      <c r="Y137" s="588">
        <f>+Tabla1[[#This Row],[2025 Directo]]*(1+$Y$3)</f>
        <v>909450</v>
      </c>
      <c r="Z137" s="588">
        <f>+'6. Intervenciones UDT- AM'!P162</f>
        <v>900000</v>
      </c>
      <c r="AA137" s="588">
        <f>+Tabla1[[#This Row],[2030 Directo]]*(1+$Y$3)</f>
        <v>909450</v>
      </c>
      <c r="AB137" s="588">
        <f>+'6. Intervenciones UDT- AM'!Q162</f>
        <v>180000</v>
      </c>
      <c r="AC137" s="588">
        <f>+Tabla1[[#This Row],[Año 1 Cto Directo]]*(1+$Y$3)</f>
        <v>181890</v>
      </c>
      <c r="AD137" s="588">
        <f>+'6. Intervenciones UDT- AM'!R162</f>
        <v>180000</v>
      </c>
      <c r="AE137" s="588">
        <f>+Tabla1[[#This Row],[Año 2 Cto. Directo]]*(1+$Y$3)</f>
        <v>181890</v>
      </c>
      <c r="AF137" s="588">
        <f>+'6. Intervenciones UDT- AM'!S162</f>
        <v>180000</v>
      </c>
      <c r="AG137" s="588">
        <f>+Tabla1[[#This Row],[Año 3 Cto. Directo]]*(1+$Y$3)</f>
        <v>181890</v>
      </c>
      <c r="AH137" s="588">
        <f>+'6. Intervenciones UDT- AM'!T162</f>
        <v>180000</v>
      </c>
      <c r="AI137" s="588">
        <f>+Tabla1[[#This Row],[Año 4 Cto. Directo]]*(1+$Y$3)</f>
        <v>181890</v>
      </c>
      <c r="AJ137" s="588">
        <f>+'6. Intervenciones UDT- AM'!U162</f>
        <v>180000</v>
      </c>
      <c r="AK137" s="588">
        <f>+Tabla1[[#This Row],[Año 5 Cto. Directo]]*(1+$Y$3)</f>
        <v>181890</v>
      </c>
      <c r="AL137" s="403">
        <f>+'6. Intervenciones UDT- AM'!V162</f>
        <v>0</v>
      </c>
      <c r="AM137" s="954"/>
      <c r="AN137" s="954" t="str">
        <f>+'6. Intervenciones UDT- AM'!X162</f>
        <v>X</v>
      </c>
      <c r="AO137" s="954"/>
      <c r="AP137" s="954"/>
      <c r="AQ137" s="954" t="str">
        <f>+'6. Intervenciones UDT- AM'!AA162</f>
        <v>RE</v>
      </c>
      <c r="AR137" s="954">
        <f>+'6. Intervenciones UDT- AM'!AB162</f>
        <v>3</v>
      </c>
      <c r="AS137" s="403">
        <f t="shared" si="1"/>
        <v>1</v>
      </c>
    </row>
    <row r="138" spans="1:45" s="195" customFormat="1" ht="15.8" customHeight="1" x14ac:dyDescent="0.3">
      <c r="A138" s="403"/>
      <c r="B138" s="403" t="str">
        <f>'6. Intervenciones UDT- AM'!$C$8</f>
        <v>UDT ALTO MAYO</v>
      </c>
      <c r="C138" s="403" t="str">
        <f>'6. Intervenciones UDT- AM'!$C$158</f>
        <v>Intervenciones Transversales X UDT</v>
      </c>
      <c r="D138" s="404" t="str">
        <f>+'6. Intervenciones UDT- AM'!A163</f>
        <v>Programas de inversión pública</v>
      </c>
      <c r="E138" s="404" t="str">
        <f>+'6. Intervenciones UDT- AM'!C163</f>
        <v>2.9.3</v>
      </c>
      <c r="F138" s="403" t="str">
        <f>+'6. Intervenciones UDT- AM'!D163</f>
        <v>Mejoramiento de vías de acceso</v>
      </c>
      <c r="G138" s="403" t="str">
        <f>+'6. Intervenciones UDT- AM'!E163</f>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v>
      </c>
      <c r="H138" s="948" t="s">
        <v>1857</v>
      </c>
      <c r="I138" s="946" t="s">
        <v>199</v>
      </c>
      <c r="J138" s="946" t="s">
        <v>2598</v>
      </c>
      <c r="K138" s="946" t="s">
        <v>2334</v>
      </c>
      <c r="L138" s="946" t="s">
        <v>200</v>
      </c>
      <c r="M138" s="418" t="s">
        <v>1892</v>
      </c>
      <c r="N138" s="948" t="s">
        <v>1887</v>
      </c>
      <c r="O138" s="948" t="s">
        <v>221</v>
      </c>
      <c r="P138" s="951" t="s">
        <v>1891</v>
      </c>
      <c r="Q138" s="948" t="str">
        <f>+'6. Intervenciones UDT- AM'!F163</f>
        <v>Kilómetros mejorados</v>
      </c>
      <c r="R138" s="405">
        <f>+'6. Intervenciones UDT- AM'!I163</f>
        <v>1706</v>
      </c>
      <c r="S138" s="405">
        <f>+'6. Intervenciones UDT- AM'!J163</f>
        <v>170.60000000000002</v>
      </c>
      <c r="T138" s="405">
        <f>+'6. Intervenciones UDT- AM'!K163</f>
        <v>170.60000000000002</v>
      </c>
      <c r="U138" s="405">
        <f>+'6. Intervenciones UDT- AM'!L163</f>
        <v>800000</v>
      </c>
      <c r="V138" s="403" t="str">
        <f>+'6. Intervenciones UDT- AM'!M163</f>
        <v>Costo promedio de por km2 de vía mejorada o asfaltada</v>
      </c>
      <c r="W138" s="403" t="str">
        <f>+'6. Intervenciones UDT- AM'!N163</f>
        <v>DRTyTC</v>
      </c>
      <c r="X138" s="588">
        <f>+'6. Intervenciones UDT- AM'!O163</f>
        <v>136480000.00000003</v>
      </c>
      <c r="Y138" s="588">
        <f>+Tabla1[[#This Row],[2025 Directo]]*(1+$Y$3)</f>
        <v>137913040.00000003</v>
      </c>
      <c r="Z138" s="588">
        <f>+'6. Intervenciones UDT- AM'!P163</f>
        <v>136480000.00000003</v>
      </c>
      <c r="AA138" s="588">
        <f>+Tabla1[[#This Row],[2030 Directo]]*(1+$Y$3)</f>
        <v>137913040.00000003</v>
      </c>
      <c r="AB138" s="588">
        <f>+'6. Intervenciones UDT- AM'!Q163</f>
        <v>27296000.000000007</v>
      </c>
      <c r="AC138" s="588">
        <f>+Tabla1[[#This Row],[Año 1 Cto Directo]]*(1+$Y$3)</f>
        <v>27582608.000000007</v>
      </c>
      <c r="AD138" s="588">
        <f>+'6. Intervenciones UDT- AM'!R163</f>
        <v>27296000.000000007</v>
      </c>
      <c r="AE138" s="588">
        <f>+Tabla1[[#This Row],[Año 2 Cto. Directo]]*(1+$Y$3)</f>
        <v>27582608.000000007</v>
      </c>
      <c r="AF138" s="588">
        <f>+'6. Intervenciones UDT- AM'!S163</f>
        <v>27296000.000000007</v>
      </c>
      <c r="AG138" s="588">
        <f>+Tabla1[[#This Row],[Año 3 Cto. Directo]]*(1+$Y$3)</f>
        <v>27582608.000000007</v>
      </c>
      <c r="AH138" s="588">
        <f>+'6. Intervenciones UDT- AM'!T163</f>
        <v>27296000.000000007</v>
      </c>
      <c r="AI138" s="588">
        <f>+Tabla1[[#This Row],[Año 4 Cto. Directo]]*(1+$Y$3)</f>
        <v>27582608.000000007</v>
      </c>
      <c r="AJ138" s="588">
        <f>+'6. Intervenciones UDT- AM'!U163</f>
        <v>27296000.000000007</v>
      </c>
      <c r="AK138" s="588">
        <f>+Tabla1[[#This Row],[Año 5 Cto. Directo]]*(1+$Y$3)</f>
        <v>27582608.000000007</v>
      </c>
      <c r="AL138" s="403">
        <f>+'6. Intervenciones UDT- AM'!V163</f>
        <v>0</v>
      </c>
      <c r="AM138" s="954" t="str">
        <f>+'6. Intervenciones UDT- AM'!W163</f>
        <v>X</v>
      </c>
      <c r="AN138" s="954"/>
      <c r="AO138" s="954"/>
      <c r="AP138" s="954"/>
      <c r="AQ138" s="954"/>
      <c r="AR138" s="954">
        <f>+'6. Intervenciones UDT- AM'!AB163</f>
        <v>2</v>
      </c>
      <c r="AS138" s="403">
        <f t="shared" si="1"/>
        <v>1</v>
      </c>
    </row>
    <row r="139" spans="1:45" s="195" customFormat="1" ht="15.8" customHeight="1" x14ac:dyDescent="0.3">
      <c r="A139" s="403"/>
      <c r="B139" s="403" t="str">
        <f>'6. Intervenciones UDT- AM'!$C$8</f>
        <v>UDT ALTO MAYO</v>
      </c>
      <c r="C139" s="403" t="str">
        <f>'6. Intervenciones UDT- AM'!$C$158</f>
        <v>Intervenciones Transversales X UDT</v>
      </c>
      <c r="D139" s="404" t="str">
        <f>+'6. Intervenciones UDT- AM'!A164</f>
        <v>Programas de inversión pública</v>
      </c>
      <c r="E139" s="404" t="str">
        <f>+'6. Intervenciones UDT- AM'!C164</f>
        <v>2.9.4</v>
      </c>
      <c r="F139" s="403" t="str">
        <f>+'6. Intervenciones UDT- AM'!D164</f>
        <v>Restauración ecológica del paisaje</v>
      </c>
      <c r="G139" s="403" t="str">
        <f>+'6. Intervenciones UDT- AM'!E164</f>
        <v>En marco de la Zonificación Forestal donde se identificaron zonas de recuperación y tratamiento especial para la restauración de áreas con prioridad alta y muy alta para restauración, utilizando las diferentes metodologías de restauración propuesta por la entidad competente. Las actividades de restauración tendrán como objetivos desarrollar la agroforestería, recuperar servicios eco sistémicos y recuperar zonas productivas.</v>
      </c>
      <c r="H139" s="948" t="s">
        <v>1857</v>
      </c>
      <c r="I139" s="946" t="s">
        <v>203</v>
      </c>
      <c r="J139" s="946" t="s">
        <v>2595</v>
      </c>
      <c r="K139" s="946" t="s">
        <v>2333</v>
      </c>
      <c r="L139" s="946" t="s">
        <v>204</v>
      </c>
      <c r="M139" s="418" t="s">
        <v>1878</v>
      </c>
      <c r="N139" s="948" t="s">
        <v>1879</v>
      </c>
      <c r="O139" s="948" t="s">
        <v>221</v>
      </c>
      <c r="P139" s="951" t="s">
        <v>1891</v>
      </c>
      <c r="Q139" s="948" t="str">
        <f>+'6. Intervenciones UDT- AM'!F164</f>
        <v>Hectáreas Restauradas</v>
      </c>
      <c r="R139" s="405">
        <f>+'6. Intervenciones UDT- AM'!I164</f>
        <v>62130.95</v>
      </c>
      <c r="S139" s="405">
        <f>+'6. Intervenciones UDT- AM'!J164</f>
        <v>15532.737499999999</v>
      </c>
      <c r="T139" s="405">
        <f>+'6. Intervenciones UDT- AM'!K164</f>
        <v>12426.19</v>
      </c>
      <c r="U139" s="405">
        <f>+'6. Intervenciones UDT- AM'!L164</f>
        <v>500</v>
      </c>
      <c r="V139" s="403" t="str">
        <f>+'6. Intervenciones UDT- AM'!M164</f>
        <v>El costo incluye la restauración de una hectárea, esta actividad se desarrollara de acuerdo a la metodología propuesta por el ARA, en coordinación con los productores seleccionados.</v>
      </c>
      <c r="W139" s="403" t="str">
        <f>+'6. Intervenciones UDT- AM'!N164</f>
        <v>ARA</v>
      </c>
      <c r="X139" s="588">
        <f>+'6. Intervenciones UDT- AM'!O164</f>
        <v>7766368.75</v>
      </c>
      <c r="Y139" s="588">
        <f>+Tabla1[[#This Row],[2025 Directo]]*(1+$Y$3)</f>
        <v>7847915.6218749993</v>
      </c>
      <c r="Z139" s="588">
        <f>+'6. Intervenciones UDT- AM'!P164</f>
        <v>6213095</v>
      </c>
      <c r="AA139" s="588">
        <f>+Tabla1[[#This Row],[2030 Directo]]*(1+$Y$3)</f>
        <v>6278332.4974999996</v>
      </c>
      <c r="AB139" s="588">
        <f>+'6. Intervenciones UDT- AM'!Q164</f>
        <v>1553273.75</v>
      </c>
      <c r="AC139" s="588">
        <f>+Tabla1[[#This Row],[Año 1 Cto Directo]]*(1+$Y$3)</f>
        <v>1569583.1243749999</v>
      </c>
      <c r="AD139" s="588">
        <f>+'6. Intervenciones UDT- AM'!R164</f>
        <v>1553273.75</v>
      </c>
      <c r="AE139" s="588">
        <f>+Tabla1[[#This Row],[Año 2 Cto. Directo]]*(1+$Y$3)</f>
        <v>1569583.1243749999</v>
      </c>
      <c r="AF139" s="588">
        <f>+'6. Intervenciones UDT- AM'!S164</f>
        <v>1553273.75</v>
      </c>
      <c r="AG139" s="588">
        <f>+Tabla1[[#This Row],[Año 3 Cto. Directo]]*(1+$Y$3)</f>
        <v>1569583.1243749999</v>
      </c>
      <c r="AH139" s="588">
        <f>+'6. Intervenciones UDT- AM'!T164</f>
        <v>1553273.75</v>
      </c>
      <c r="AI139" s="588">
        <f>+Tabla1[[#This Row],[Año 4 Cto. Directo]]*(1+$Y$3)</f>
        <v>1569583.1243749999</v>
      </c>
      <c r="AJ139" s="588">
        <f>+'6. Intervenciones UDT- AM'!U164</f>
        <v>1553273.75</v>
      </c>
      <c r="AK139" s="588">
        <f>+Tabla1[[#This Row],[Año 5 Cto. Directo]]*(1+$Y$3)</f>
        <v>1569583.1243749999</v>
      </c>
      <c r="AL139" s="403">
        <f>+'6. Intervenciones UDT- AM'!V164</f>
        <v>0</v>
      </c>
      <c r="AM139" s="954"/>
      <c r="AN139" s="954"/>
      <c r="AO139" s="954" t="str">
        <f>+'6. Intervenciones UDT- AM'!Y164</f>
        <v>X</v>
      </c>
      <c r="AP139" s="954"/>
      <c r="AQ139" s="954" t="str">
        <f>+'6. Intervenciones UDT- AM'!AA164</f>
        <v>RE</v>
      </c>
      <c r="AR139" s="954">
        <f>+'6. Intervenciones UDT- AM'!AB164</f>
        <v>3</v>
      </c>
      <c r="AS139" s="403">
        <f t="shared" si="1"/>
        <v>1</v>
      </c>
    </row>
    <row r="140" spans="1:45" s="195" customFormat="1" ht="15.8" customHeight="1" x14ac:dyDescent="0.3">
      <c r="A140" s="403"/>
      <c r="B140" s="403" t="str">
        <f>'6. Intervenciones UDT- AM'!$C$8</f>
        <v>UDT ALTO MAYO</v>
      </c>
      <c r="C140" s="403" t="str">
        <f>'6. Intervenciones UDT- AM'!$C$158</f>
        <v>Intervenciones Transversales X UDT</v>
      </c>
      <c r="D140" s="404" t="str">
        <f>+'6. Intervenciones UDT- AM'!A165</f>
        <v>Programas de inversión pública</v>
      </c>
      <c r="E140" s="404" t="str">
        <f>+'6. Intervenciones UDT- AM'!C165</f>
        <v>2.9.5</v>
      </c>
      <c r="F140" s="403" t="str">
        <f>+'6. Intervenciones UDT- AM'!D165</f>
        <v>Mejor cobertura y calidad de servicios de educación y salud</v>
      </c>
      <c r="G140" s="403" t="str">
        <f>+'6. Intervenciones UDT- AM'!E165</f>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v>
      </c>
      <c r="H140" s="948" t="s">
        <v>1857</v>
      </c>
      <c r="I140" s="946" t="s">
        <v>199</v>
      </c>
      <c r="J140" s="946" t="s">
        <v>2598</v>
      </c>
      <c r="K140" s="946" t="s">
        <v>2334</v>
      </c>
      <c r="L140" s="946" t="s">
        <v>201</v>
      </c>
      <c r="M140" s="418" t="s">
        <v>1883</v>
      </c>
      <c r="N140" s="948" t="s">
        <v>1884</v>
      </c>
      <c r="O140" s="948" t="s">
        <v>221</v>
      </c>
      <c r="P140" s="951" t="s">
        <v>1891</v>
      </c>
      <c r="Q140" s="948" t="str">
        <f>+'6. Intervenciones UDT- AM'!F165</f>
        <v>Centros educativos y postas médicas implementados</v>
      </c>
      <c r="R140" s="405">
        <f>+'6. Intervenciones UDT- AM'!I165</f>
        <v>0</v>
      </c>
      <c r="S140" s="405">
        <f>+'6. Intervenciones UDT- AM'!J165</f>
        <v>5</v>
      </c>
      <c r="T140" s="405">
        <f>+'6. Intervenciones UDT- AM'!K165</f>
        <v>5</v>
      </c>
      <c r="U140" s="405">
        <f>+'6. Intervenciones UDT- AM'!L165</f>
        <v>3500000</v>
      </c>
      <c r="V140" s="403" t="str">
        <f>+'6. Intervenciones UDT- AM'!M165</f>
        <v>El presupuesto esta relacionado a la implementación de la infraestructura, mobiliario y materiales educativos necesarios para que se brinde un servicio de calidad a los niños que aún no reciben dicho servicio de manera permanente.</v>
      </c>
      <c r="W140" s="403" t="str">
        <f>+'6. Intervenciones UDT- AM'!N165</f>
        <v>Colegio de ingenieros de San Martín / GRDS</v>
      </c>
      <c r="X140" s="588">
        <f>+'6. Intervenciones UDT- AM'!O165</f>
        <v>17500000</v>
      </c>
      <c r="Y140" s="588">
        <f>+Tabla1[[#This Row],[2025 Directo]]*(1+$Y$3)</f>
        <v>17683750</v>
      </c>
      <c r="Z140" s="588">
        <f>+'6. Intervenciones UDT- AM'!P165</f>
        <v>17500000</v>
      </c>
      <c r="AA140" s="588">
        <f>+Tabla1[[#This Row],[2030 Directo]]*(1+$Y$3)</f>
        <v>17683750</v>
      </c>
      <c r="AB140" s="588">
        <f>+'6. Intervenciones UDT- AM'!Q165</f>
        <v>3500000</v>
      </c>
      <c r="AC140" s="588">
        <f>+Tabla1[[#This Row],[Año 1 Cto Directo]]*(1+$Y$3)</f>
        <v>3536750</v>
      </c>
      <c r="AD140" s="588">
        <f>+'6. Intervenciones UDT- AM'!R165</f>
        <v>3500000</v>
      </c>
      <c r="AE140" s="588">
        <f>+Tabla1[[#This Row],[Año 2 Cto. Directo]]*(1+$Y$3)</f>
        <v>3536750</v>
      </c>
      <c r="AF140" s="588">
        <f>+'6. Intervenciones UDT- AM'!S165</f>
        <v>3500000</v>
      </c>
      <c r="AG140" s="588">
        <f>+Tabla1[[#This Row],[Año 3 Cto. Directo]]*(1+$Y$3)</f>
        <v>3536750</v>
      </c>
      <c r="AH140" s="588">
        <f>+'6. Intervenciones UDT- AM'!T165</f>
        <v>3500000</v>
      </c>
      <c r="AI140" s="588">
        <f>+Tabla1[[#This Row],[Año 4 Cto. Directo]]*(1+$Y$3)</f>
        <v>3536750</v>
      </c>
      <c r="AJ140" s="588">
        <f>+'6. Intervenciones UDT- AM'!U165</f>
        <v>3500000</v>
      </c>
      <c r="AK140" s="588">
        <f>+Tabla1[[#This Row],[Año 5 Cto. Directo]]*(1+$Y$3)</f>
        <v>3536750</v>
      </c>
      <c r="AL140" s="403">
        <f>+'6. Intervenciones UDT- AM'!V165</f>
        <v>0</v>
      </c>
      <c r="AM140" s="954"/>
      <c r="AN140" s="954" t="str">
        <f>+'6. Intervenciones UDT- AM'!X165</f>
        <v>X</v>
      </c>
      <c r="AO140" s="954"/>
      <c r="AP140" s="954"/>
      <c r="AQ140" s="954" t="str">
        <f>+'6. Intervenciones UDT- AM'!AA165</f>
        <v>RE</v>
      </c>
      <c r="AR140" s="954">
        <f>+'6. Intervenciones UDT- AM'!AB165</f>
        <v>3</v>
      </c>
      <c r="AS140" s="403">
        <f t="shared" si="1"/>
        <v>1</v>
      </c>
    </row>
    <row r="141" spans="1:45" s="195" customFormat="1" ht="15.8" customHeight="1" x14ac:dyDescent="0.3">
      <c r="A141" s="403"/>
      <c r="B141" s="403" t="str">
        <f>'6. Intervenciones UDT- AM'!$C$8</f>
        <v>UDT ALTO MAYO</v>
      </c>
      <c r="C141" s="403" t="str">
        <f>'6. Intervenciones UDT- AM'!$C$158</f>
        <v>Intervenciones Transversales X UDT</v>
      </c>
      <c r="D141" s="404" t="str">
        <f>+'6. Intervenciones UDT- AM'!A166</f>
        <v>Programas de inversión pública</v>
      </c>
      <c r="E141" s="404" t="str">
        <f>+'6. Intervenciones UDT- AM'!C166</f>
        <v>2.9.6</v>
      </c>
      <c r="F141" s="403" t="str">
        <f>+'6. Intervenciones UDT- AM'!D166</f>
        <v>Programa de servicios públicos móviles</v>
      </c>
      <c r="G141" s="403" t="str">
        <f>+'6. Intervenciones UDT- AM'!E166</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v>
      </c>
      <c r="H141" s="948" t="s">
        <v>1857</v>
      </c>
      <c r="I141" s="946" t="s">
        <v>199</v>
      </c>
      <c r="J141" s="946" t="s">
        <v>2598</v>
      </c>
      <c r="K141" s="946" t="s">
        <v>2334</v>
      </c>
      <c r="L141" s="946" t="s">
        <v>201</v>
      </c>
      <c r="M141" s="418" t="s">
        <v>1883</v>
      </c>
      <c r="N141" s="948" t="s">
        <v>1884</v>
      </c>
      <c r="O141" s="948" t="s">
        <v>221</v>
      </c>
      <c r="P141" s="951" t="s">
        <v>1891</v>
      </c>
      <c r="Q141" s="948" t="str">
        <f>+'6. Intervenciones UDT- AM'!F166</f>
        <v>N° campañas</v>
      </c>
      <c r="R141" s="405">
        <f>+'6. Intervenciones UDT- AM'!I166</f>
        <v>0</v>
      </c>
      <c r="S141" s="405">
        <f>+'6. Intervenciones UDT- AM'!J166</f>
        <v>166.25</v>
      </c>
      <c r="T141" s="405">
        <f>+'6. Intervenciones UDT- AM'!K166</f>
        <v>166.25</v>
      </c>
      <c r="U141" s="405">
        <f>+'6. Intervenciones UDT- AM'!L166</f>
        <v>5000</v>
      </c>
      <c r="V141" s="403" t="str">
        <f>+'6. Intervenciones UDT- AM'!M166</f>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v>
      </c>
      <c r="W141" s="403" t="str">
        <f>+'6. Intervenciones UDT- AM'!N166</f>
        <v>GORESAM</v>
      </c>
      <c r="X141" s="588">
        <f>+'6. Intervenciones UDT- AM'!O166</f>
        <v>4156250</v>
      </c>
      <c r="Y141" s="588">
        <f>+Tabla1[[#This Row],[2025 Directo]]*(1+$Y$3)</f>
        <v>4199890.625</v>
      </c>
      <c r="Z141" s="588">
        <f>+'6. Intervenciones UDT- AM'!P166</f>
        <v>4156250</v>
      </c>
      <c r="AA141" s="588">
        <f>+Tabla1[[#This Row],[2030 Directo]]*(1+$Y$3)</f>
        <v>4199890.625</v>
      </c>
      <c r="AB141" s="588">
        <f>+'6. Intervenciones UDT- AM'!Q166</f>
        <v>831250</v>
      </c>
      <c r="AC141" s="588">
        <f>+Tabla1[[#This Row],[Año 1 Cto Directo]]*(1+$Y$3)</f>
        <v>839978.125</v>
      </c>
      <c r="AD141" s="588">
        <f>+'6. Intervenciones UDT- AM'!R166</f>
        <v>831250</v>
      </c>
      <c r="AE141" s="588">
        <f>+Tabla1[[#This Row],[Año 2 Cto. Directo]]*(1+$Y$3)</f>
        <v>839978.125</v>
      </c>
      <c r="AF141" s="588">
        <f>+'6. Intervenciones UDT- AM'!S166</f>
        <v>831250</v>
      </c>
      <c r="AG141" s="588">
        <f>+Tabla1[[#This Row],[Año 3 Cto. Directo]]*(1+$Y$3)</f>
        <v>839978.125</v>
      </c>
      <c r="AH141" s="588">
        <f>+'6. Intervenciones UDT- AM'!T166</f>
        <v>831250</v>
      </c>
      <c r="AI141" s="588">
        <f>+Tabla1[[#This Row],[Año 4 Cto. Directo]]*(1+$Y$3)</f>
        <v>839978.125</v>
      </c>
      <c r="AJ141" s="588">
        <f>+'6. Intervenciones UDT- AM'!U166</f>
        <v>831250</v>
      </c>
      <c r="AK141" s="588">
        <f>+Tabla1[[#This Row],[Año 5 Cto. Directo]]*(1+$Y$3)</f>
        <v>839978.125</v>
      </c>
      <c r="AL141" s="403">
        <f>+'6. Intervenciones UDT- AM'!V166</f>
        <v>0</v>
      </c>
      <c r="AM141" s="954"/>
      <c r="AN141" s="954" t="str">
        <f>+'6. Intervenciones UDT- AM'!X166</f>
        <v>X</v>
      </c>
      <c r="AO141" s="954"/>
      <c r="AP141" s="954"/>
      <c r="AQ141" s="954" t="str">
        <f>+'6. Intervenciones UDT- AM'!AA166</f>
        <v>RE</v>
      </c>
      <c r="AR141" s="954">
        <f>+'6. Intervenciones UDT- AM'!AB166</f>
        <v>3</v>
      </c>
      <c r="AS141" s="403">
        <f t="shared" si="1"/>
        <v>1</v>
      </c>
    </row>
    <row r="142" spans="1:45" s="195" customFormat="1" ht="15.8" customHeight="1" x14ac:dyDescent="0.3">
      <c r="A142" s="403"/>
      <c r="B142" s="403" t="str">
        <f>'6. Intervenciones UDT- AM'!$C$8</f>
        <v>UDT ALTO MAYO</v>
      </c>
      <c r="C142" s="403" t="str">
        <f>'6. Intervenciones UDT- AM'!$C$158</f>
        <v>Intervenciones Transversales X UDT</v>
      </c>
      <c r="D142" s="404" t="str">
        <f>+'6. Intervenciones UDT- AM'!A167</f>
        <v>Programas de inversión pública</v>
      </c>
      <c r="E142" s="404" t="str">
        <f>+'6. Intervenciones UDT- AM'!C167</f>
        <v>2.9.7</v>
      </c>
      <c r="F142" s="403" t="str">
        <f>+'6. Intervenciones UDT- AM'!D167</f>
        <v xml:space="preserve">Promoción Marca "San Martín Región" y "Aliados por la Conservación" </v>
      </c>
      <c r="G142" s="403" t="str">
        <f>+'6. Intervenciones UDT- AM'!E167</f>
        <v>Promoción al acceso de la marca con los productores que cumplan los criterios de elegibilidad solicitados por el programa, como una estrategia de ubicar mercados diferenciados para los productos provenientes de estas zonas.</v>
      </c>
      <c r="H142" s="948" t="s">
        <v>1857</v>
      </c>
      <c r="I142" s="946" t="s">
        <v>193</v>
      </c>
      <c r="J142" s="946" t="s">
        <v>2592</v>
      </c>
      <c r="K142" s="946" t="s">
        <v>2329</v>
      </c>
      <c r="L142" s="946" t="s">
        <v>197</v>
      </c>
      <c r="M142" s="418" t="s">
        <v>1876</v>
      </c>
      <c r="N142" s="948" t="s">
        <v>1862</v>
      </c>
      <c r="O142" s="948" t="s">
        <v>221</v>
      </c>
      <c r="P142" s="951" t="s">
        <v>1891</v>
      </c>
      <c r="Q142" s="948" t="str">
        <f>+'6. Intervenciones UDT- AM'!F167</f>
        <v>Organizaciones que acceden a la marca</v>
      </c>
      <c r="R142" s="405">
        <f>+'6. Intervenciones UDT- AM'!I167</f>
        <v>0</v>
      </c>
      <c r="S142" s="405">
        <f>+'6. Intervenciones UDT- AM'!J167</f>
        <v>10</v>
      </c>
      <c r="T142" s="405">
        <f>+'6. Intervenciones UDT- AM'!K167</f>
        <v>15</v>
      </c>
      <c r="U142" s="405">
        <f>+'6. Intervenciones UDT- AM'!L167</f>
        <v>3000</v>
      </c>
      <c r="V142" s="403" t="str">
        <f>+'6. Intervenciones UDT- AM'!M167</f>
        <v>El costo incluye: Una inspección anual anunciada,  elaboración de informe de inspección, administración y comunicación, certificación según los estándares de la marca.</v>
      </c>
      <c r="W142" s="403" t="str">
        <f>+'6. Intervenciones UDT- AM'!N167</f>
        <v>GRDE</v>
      </c>
      <c r="X142" s="588">
        <f>+'6. Intervenciones UDT- AM'!O167</f>
        <v>150000</v>
      </c>
      <c r="Y142" s="588">
        <f>+Tabla1[[#This Row],[2025 Directo]]*(1+$Y$3)</f>
        <v>151575</v>
      </c>
      <c r="Z142" s="588">
        <f>+'6. Intervenciones UDT- AM'!P167</f>
        <v>45000</v>
      </c>
      <c r="AA142" s="588">
        <f>+Tabla1[[#This Row],[2030 Directo]]*(1+$Y$3)</f>
        <v>45472.5</v>
      </c>
      <c r="AB142" s="588">
        <f>+'6. Intervenciones UDT- AM'!Q167</f>
        <v>30000</v>
      </c>
      <c r="AC142" s="588">
        <f>+Tabla1[[#This Row],[Año 1 Cto Directo]]*(1+$Y$3)</f>
        <v>30315</v>
      </c>
      <c r="AD142" s="588">
        <f>+'6. Intervenciones UDT- AM'!R167</f>
        <v>30000</v>
      </c>
      <c r="AE142" s="588">
        <f>+Tabla1[[#This Row],[Año 2 Cto. Directo]]*(1+$Y$3)</f>
        <v>30315</v>
      </c>
      <c r="AF142" s="588">
        <f>+'6. Intervenciones UDT- AM'!S167</f>
        <v>30000</v>
      </c>
      <c r="AG142" s="588">
        <f>+Tabla1[[#This Row],[Año 3 Cto. Directo]]*(1+$Y$3)</f>
        <v>30315</v>
      </c>
      <c r="AH142" s="588">
        <f>+'6. Intervenciones UDT- AM'!T167</f>
        <v>30000</v>
      </c>
      <c r="AI142" s="588">
        <f>+Tabla1[[#This Row],[Año 4 Cto. Directo]]*(1+$Y$3)</f>
        <v>30315</v>
      </c>
      <c r="AJ142" s="588">
        <f>+'6. Intervenciones UDT- AM'!U167</f>
        <v>30000</v>
      </c>
      <c r="AK142" s="588">
        <f>+Tabla1[[#This Row],[Año 5 Cto. Directo]]*(1+$Y$3)</f>
        <v>30315</v>
      </c>
      <c r="AL142" s="403">
        <f>+'6. Intervenciones UDT- AM'!V167</f>
        <v>0</v>
      </c>
      <c r="AM142" s="954"/>
      <c r="AN142" s="954"/>
      <c r="AO142" s="954" t="str">
        <f>+'6. Intervenciones UDT- AM'!Y167</f>
        <v>X</v>
      </c>
      <c r="AP142" s="954"/>
      <c r="AQ142" s="954"/>
      <c r="AR142" s="954">
        <f>+'6. Intervenciones UDT- AM'!AB167</f>
        <v>3</v>
      </c>
      <c r="AS142" s="403">
        <f t="shared" si="1"/>
        <v>1</v>
      </c>
    </row>
    <row r="143" spans="1:45" s="195" customFormat="1" ht="15.8" hidden="1" customHeight="1" x14ac:dyDescent="0.3">
      <c r="A143" s="403"/>
      <c r="B143" s="403" t="str">
        <f>'7. Intervenciones UDT- BH'!$C$8</f>
        <v>UDT BAJO HUALLAGA</v>
      </c>
      <c r="C143" s="403" t="str">
        <f>'7. Intervenciones UDT- BH'!$F$10</f>
        <v>Predios de agricultura familiar con producción destinada al autoconsumo y productos de exportación, con título o sin título de propiedad.</v>
      </c>
      <c r="D143" s="404" t="str">
        <f>+'7. Intervenciones UDT- BH'!A18</f>
        <v>Invasiones</v>
      </c>
      <c r="E143" s="404" t="str">
        <f>+'7. Intervenciones UDT- BH'!C18</f>
        <v>4.1.1</v>
      </c>
      <c r="F143" s="403" t="str">
        <f>+'7. Intervenciones UDT- BH'!D18</f>
        <v>Otorgamiento de derechos sobre la tierra/bosques</v>
      </c>
      <c r="G143" s="403" t="str">
        <f>+'7. Intervenciones UDT- BH'!E18</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143" s="948" t="s">
        <v>1857</v>
      </c>
      <c r="I143" s="946" t="s">
        <v>199</v>
      </c>
      <c r="J143" s="946" t="s">
        <v>2591</v>
      </c>
      <c r="K143" s="946" t="s">
        <v>2331</v>
      </c>
      <c r="L143" s="946" t="s">
        <v>202</v>
      </c>
      <c r="M143" s="418" t="s">
        <v>1858</v>
      </c>
      <c r="N143" s="948" t="s">
        <v>1859</v>
      </c>
      <c r="O143" s="948" t="s">
        <v>223</v>
      </c>
      <c r="P143" s="951" t="s">
        <v>1860</v>
      </c>
      <c r="Q143" s="948" t="str">
        <f>+'7. Intervenciones UDT- BH'!F18</f>
        <v>N° Títulos/Contratos otorgados</v>
      </c>
      <c r="R143" s="405">
        <f>+'7. Intervenciones UDT- BH'!I18</f>
        <v>6328.5309793106999</v>
      </c>
      <c r="S143" s="405">
        <f>+'7. Intervenciones UDT- BH'!J18</f>
        <v>3164.2654896553499</v>
      </c>
      <c r="T143" s="405">
        <f>+'7. Intervenciones UDT- BH'!K18</f>
        <v>3164.2654896553499</v>
      </c>
      <c r="U143" s="405">
        <f>+'7. Intervenciones UDT- BH'!L18</f>
        <v>2000</v>
      </c>
      <c r="V143" s="403" t="str">
        <f>+'7. Intervenciones UDT- BH'!M18</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143" s="403" t="str">
        <f>+'7. Intervenciones UDT- BH'!N18</f>
        <v>Programa de titulación PTR 3 / ARA</v>
      </c>
      <c r="X143" s="588">
        <f>+'7. Intervenciones UDT- BH'!O18</f>
        <v>6328530.9793106997</v>
      </c>
      <c r="Y143" s="588">
        <f>+Tabla1[[#This Row],[2025 Directo]]*(1+$Y$3)</f>
        <v>6394980.5545934616</v>
      </c>
      <c r="Z143" s="588">
        <f>+'7. Intervenciones UDT- BH'!P18</f>
        <v>6328530.9793106997</v>
      </c>
      <c r="AA143" s="588">
        <f>+Tabla1[[#This Row],[2030 Directo]]*(1+$Y$3)</f>
        <v>6394980.5545934616</v>
      </c>
      <c r="AB143" s="588">
        <f>+'7. Intervenciones UDT- BH'!Q18</f>
        <v>632853.09793107002</v>
      </c>
      <c r="AC143" s="588">
        <f>+Tabla1[[#This Row],[Año 1 Cto Directo]]*(1+$Y$3)</f>
        <v>639498.05545934627</v>
      </c>
      <c r="AD143" s="588">
        <f>+'7. Intervenciones UDT- BH'!R18</f>
        <v>949279.64689660491</v>
      </c>
      <c r="AE143" s="588">
        <f>+Tabla1[[#This Row],[Año 2 Cto. Directo]]*(1+$Y$3)</f>
        <v>959247.08318901923</v>
      </c>
      <c r="AF143" s="588">
        <f>+'7. Intervenciones UDT- BH'!S18</f>
        <v>1265706.19586214</v>
      </c>
      <c r="AG143" s="588">
        <f>+Tabla1[[#This Row],[Año 3 Cto. Directo]]*(1+$Y$3)</f>
        <v>1278996.1109186925</v>
      </c>
      <c r="AH143" s="588">
        <f>+'7. Intervenciones UDT- BH'!T18</f>
        <v>1898559.2937932098</v>
      </c>
      <c r="AI143" s="588">
        <f>+Tabla1[[#This Row],[Año 4 Cto. Directo]]*(1+$Y$3)</f>
        <v>1918494.1663780385</v>
      </c>
      <c r="AJ143" s="588">
        <f>+'7. Intervenciones UDT- BH'!U18</f>
        <v>1582132.7448276749</v>
      </c>
      <c r="AK143" s="588">
        <f>+Tabla1[[#This Row],[Año 5 Cto. Directo]]*(1+$Y$3)</f>
        <v>1598745.1386483654</v>
      </c>
      <c r="AL143" s="403">
        <f>+'7. Intervenciones UDT- BH'!V18</f>
        <v>0</v>
      </c>
      <c r="AM143" s="954"/>
      <c r="AN143" s="954"/>
      <c r="AO143" s="954" t="str">
        <f>+'7. Intervenciones UDT- BH'!Y18</f>
        <v>X</v>
      </c>
      <c r="AP143" s="954"/>
      <c r="AQ143" s="954" t="str">
        <f>+'7. Intervenciones UDT- BH'!AA18</f>
        <v>RE</v>
      </c>
      <c r="AR143" s="954">
        <f>+'7. Intervenciones UDT- BH'!AB18</f>
        <v>3</v>
      </c>
      <c r="AS143" s="403">
        <f t="shared" ref="AS143" si="9">COUNTIF(AM143:AP143, "X")</f>
        <v>1</v>
      </c>
    </row>
    <row r="144" spans="1:45" s="195" customFormat="1" ht="15.8" hidden="1" customHeight="1" x14ac:dyDescent="0.3">
      <c r="A144" s="403"/>
      <c r="B144" s="403" t="str">
        <f>'7. Intervenciones UDT- BH'!$C$8</f>
        <v>UDT BAJO HUALLAGA</v>
      </c>
      <c r="C144" s="403" t="str">
        <f>'7. Intervenciones UDT- BH'!$F$10</f>
        <v>Predios de agricultura familiar con producción destinada al autoconsumo y productos de exportación, con título o sin título de propiedad.</v>
      </c>
      <c r="D144" s="404" t="str">
        <f>+'7. Intervenciones UDT- BH'!A19</f>
        <v>Programas de inversión pública</v>
      </c>
      <c r="E144" s="404" t="str">
        <f>+'7. Intervenciones UDT- BH'!C19</f>
        <v>4.1.2</v>
      </c>
      <c r="F144" s="403" t="str">
        <f>+'7. Intervenciones UDT- BH'!D19</f>
        <v>Asistencia técnica con enfoque bajo en emisiones</v>
      </c>
      <c r="G144" s="403" t="str">
        <f>+'7. Intervenciones UDT- BH'!E19</f>
        <v xml:space="preserve">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v>
      </c>
      <c r="H144" s="948" t="s">
        <v>1857</v>
      </c>
      <c r="I144" s="946" t="s">
        <v>193</v>
      </c>
      <c r="J144" s="946" t="s">
        <v>2592</v>
      </c>
      <c r="K144" s="946" t="s">
        <v>2329</v>
      </c>
      <c r="L144" s="946" t="s">
        <v>194</v>
      </c>
      <c r="M144" s="418" t="s">
        <v>1861</v>
      </c>
      <c r="N144" s="948" t="s">
        <v>1862</v>
      </c>
      <c r="O144" s="948" t="s">
        <v>224</v>
      </c>
      <c r="P144" s="951" t="s">
        <v>1863</v>
      </c>
      <c r="Q144" s="948" t="str">
        <f>+'7. Intervenciones UDT- BH'!F19</f>
        <v>Productores asistidos</v>
      </c>
      <c r="R144" s="405">
        <f>+'7. Intervenciones UDT- BH'!I19</f>
        <v>26029</v>
      </c>
      <c r="S144" s="405">
        <f>+'7. Intervenciones UDT- BH'!J19</f>
        <v>15617.4</v>
      </c>
      <c r="T144" s="405">
        <f>+'7. Intervenciones UDT- BH'!K19</f>
        <v>10411.6</v>
      </c>
      <c r="U144" s="405">
        <f>+'7. Intervenciones UDT- BH'!L19</f>
        <v>560</v>
      </c>
      <c r="V144" s="403" t="str">
        <f>+'7. Intervenciones UDT- BH'!M19</f>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v>
      </c>
      <c r="W144" s="403" t="str">
        <f>+'7. Intervenciones UDT- BH'!N19</f>
        <v>DRASAM</v>
      </c>
      <c r="X144" s="588">
        <f>+'7. Intervenciones UDT- BH'!O19</f>
        <v>8745744</v>
      </c>
      <c r="Y144" s="588">
        <f>+Tabla1[[#This Row],[2025 Directo]]*(1+$Y$3)</f>
        <v>8837574.311999999</v>
      </c>
      <c r="Z144" s="588">
        <f>+'7. Intervenciones UDT- BH'!P19</f>
        <v>5830496</v>
      </c>
      <c r="AA144" s="588">
        <f>+Tabla1[[#This Row],[2030 Directo]]*(1+$Y$3)</f>
        <v>5891716.2079999996</v>
      </c>
      <c r="AB144" s="588">
        <f>+'7. Intervenciones UDT- BH'!Q19</f>
        <v>1749148.8</v>
      </c>
      <c r="AC144" s="588">
        <f>+Tabla1[[#This Row],[Año 1 Cto Directo]]*(1+$Y$3)</f>
        <v>1767514.8624</v>
      </c>
      <c r="AD144" s="588">
        <f>+'7. Intervenciones UDT- BH'!R19</f>
        <v>1749148.8</v>
      </c>
      <c r="AE144" s="588">
        <f>+Tabla1[[#This Row],[Año 2 Cto. Directo]]*(1+$Y$3)</f>
        <v>1767514.8624</v>
      </c>
      <c r="AF144" s="588">
        <f>+'7. Intervenciones UDT- BH'!S19</f>
        <v>1749148.8</v>
      </c>
      <c r="AG144" s="588">
        <f>+Tabla1[[#This Row],[Año 3 Cto. Directo]]*(1+$Y$3)</f>
        <v>1767514.8624</v>
      </c>
      <c r="AH144" s="588">
        <f>+'7. Intervenciones UDT- BH'!T19</f>
        <v>1749148.8</v>
      </c>
      <c r="AI144" s="588">
        <f>+Tabla1[[#This Row],[Año 4 Cto. Directo]]*(1+$Y$3)</f>
        <v>1767514.8624</v>
      </c>
      <c r="AJ144" s="588">
        <f>+'7. Intervenciones UDT- BH'!U19</f>
        <v>1749148.8</v>
      </c>
      <c r="AK144" s="588">
        <f>+Tabla1[[#This Row],[Año 5 Cto. Directo]]*(1+$Y$3)</f>
        <v>1767514.8624</v>
      </c>
      <c r="AL144" s="403">
        <f>+'7. Intervenciones UDT- BH'!V19</f>
        <v>0</v>
      </c>
      <c r="AM144" s="954"/>
      <c r="AN144" s="954"/>
      <c r="AO144" s="954" t="str">
        <f>+'7. Intervenciones UDT- BH'!Y19</f>
        <v>X</v>
      </c>
      <c r="AP144" s="954"/>
      <c r="AQ144" s="954" t="str">
        <f>+'7. Intervenciones UDT- BH'!AA19</f>
        <v>RE</v>
      </c>
      <c r="AR144" s="954">
        <f>+'7. Intervenciones UDT- BH'!AB19</f>
        <v>3</v>
      </c>
      <c r="AS144" s="403">
        <f t="shared" si="1"/>
        <v>1</v>
      </c>
    </row>
    <row r="145" spans="1:45" s="195" customFormat="1" ht="15.8" hidden="1" customHeight="1" x14ac:dyDescent="0.3">
      <c r="A145" s="403"/>
      <c r="B145" s="403" t="str">
        <f>'7. Intervenciones UDT- BH'!$C$8</f>
        <v>UDT BAJO HUALLAGA</v>
      </c>
      <c r="C145" s="403" t="str">
        <f>'7. Intervenciones UDT- BH'!$F$10</f>
        <v>Predios de agricultura familiar con producción destinada al autoconsumo y productos de exportación, con título o sin título de propiedad.</v>
      </c>
      <c r="D145" s="404" t="str">
        <f>+'7. Intervenciones UDT- BH'!A20</f>
        <v>Programas de inversión pública</v>
      </c>
      <c r="E145" s="404" t="str">
        <f>+'7. Intervenciones UDT- BH'!C20</f>
        <v>4.1.3</v>
      </c>
      <c r="F145" s="403" t="str">
        <f>+'7. Intervenciones UDT- BH'!D20</f>
        <v>Manejo, conservación y recuperación de suelos degradados</v>
      </c>
      <c r="G145" s="403" t="str">
        <f>+'7. Intervenciones UDT- BH'!E20</f>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v>
      </c>
      <c r="H145" s="948" t="s">
        <v>1864</v>
      </c>
      <c r="I145" s="946" t="s">
        <v>193</v>
      </c>
      <c r="J145" s="946" t="s">
        <v>2592</v>
      </c>
      <c r="K145" s="946" t="s">
        <v>2329</v>
      </c>
      <c r="L145" s="946" t="s">
        <v>194</v>
      </c>
      <c r="M145" s="418" t="s">
        <v>1861</v>
      </c>
      <c r="N145" s="948" t="s">
        <v>1862</v>
      </c>
      <c r="O145" s="948" t="s">
        <v>219</v>
      </c>
      <c r="P145" s="951" t="s">
        <v>1865</v>
      </c>
      <c r="Q145" s="952" t="str">
        <f>+'7. Intervenciones UDT- BH'!F20</f>
        <v>Hectáreas Intervenidas</v>
      </c>
      <c r="R145" s="405">
        <f>+'7. Intervenciones UDT- BH'!I20</f>
        <v>71598</v>
      </c>
      <c r="S145" s="405">
        <f>+'7. Intervenciones UDT- BH'!J20</f>
        <v>21479.399999999998</v>
      </c>
      <c r="T145" s="405">
        <f>+'7. Intervenciones UDT- BH'!K20</f>
        <v>21479.399999999998</v>
      </c>
      <c r="U145" s="405">
        <f>+'7. Intervenciones UDT- BH'!L20</f>
        <v>500</v>
      </c>
      <c r="V145" s="403" t="str">
        <f>+'7. Intervenciones UDT- BH'!M20</f>
        <v>El costo incluye adquisición de semillas, insumos, fertilizantes, entre otras para la producción de plantas agroforestales o coberturas  verdes.</v>
      </c>
      <c r="W145" s="403" t="str">
        <f>+'7. Intervenciones UDT- BH'!N20</f>
        <v>DRASAM</v>
      </c>
      <c r="X145" s="588">
        <f>+'7. Intervenciones UDT- BH'!O20</f>
        <v>10739699.999999998</v>
      </c>
      <c r="Y145" s="588">
        <f>+Tabla1[[#This Row],[2025 Directo]]*(1+$Y$3)</f>
        <v>10852466.849999998</v>
      </c>
      <c r="Z145" s="588">
        <f>+'7. Intervenciones UDT- BH'!P20</f>
        <v>10739699.999999998</v>
      </c>
      <c r="AA145" s="588">
        <f>+Tabla1[[#This Row],[2030 Directo]]*(1+$Y$3)</f>
        <v>10852466.849999998</v>
      </c>
      <c r="AB145" s="588">
        <f>+'7. Intervenciones UDT- BH'!Q20</f>
        <v>2147939.9999999995</v>
      </c>
      <c r="AC145" s="588">
        <f>+Tabla1[[#This Row],[Año 1 Cto Directo]]*(1+$Y$3)</f>
        <v>2170493.3699999996</v>
      </c>
      <c r="AD145" s="588">
        <f>+'7. Intervenciones UDT- BH'!R20</f>
        <v>2147939.9999999995</v>
      </c>
      <c r="AE145" s="588">
        <f>+Tabla1[[#This Row],[Año 2 Cto. Directo]]*(1+$Y$3)</f>
        <v>2170493.3699999996</v>
      </c>
      <c r="AF145" s="588">
        <f>+'7. Intervenciones UDT- BH'!S20</f>
        <v>2147939.9999999995</v>
      </c>
      <c r="AG145" s="588">
        <f>+Tabla1[[#This Row],[Año 3 Cto. Directo]]*(1+$Y$3)</f>
        <v>2170493.3699999996</v>
      </c>
      <c r="AH145" s="588">
        <f>+'7. Intervenciones UDT- BH'!T20</f>
        <v>2147939.9999999995</v>
      </c>
      <c r="AI145" s="588">
        <f>+Tabla1[[#This Row],[Año 4 Cto. Directo]]*(1+$Y$3)</f>
        <v>2170493.3699999996</v>
      </c>
      <c r="AJ145" s="588">
        <f>+'7. Intervenciones UDT- BH'!U20</f>
        <v>2147939.9999999995</v>
      </c>
      <c r="AK145" s="588">
        <f>+Tabla1[[#This Row],[Año 5 Cto. Directo]]*(1+$Y$3)</f>
        <v>2170493.3699999996</v>
      </c>
      <c r="AL145" s="403">
        <f>+'7. Intervenciones UDT- BH'!V20</f>
        <v>0</v>
      </c>
      <c r="AM145" s="954"/>
      <c r="AN145" s="954"/>
      <c r="AO145" s="954" t="str">
        <f>+'7. Intervenciones UDT- BH'!Y20</f>
        <v>X</v>
      </c>
      <c r="AP145" s="954"/>
      <c r="AQ145" s="954"/>
      <c r="AR145" s="954">
        <f>+'7. Intervenciones UDT- BH'!AB20</f>
        <v>3</v>
      </c>
      <c r="AS145" s="403">
        <f t="shared" si="1"/>
        <v>1</v>
      </c>
    </row>
    <row r="146" spans="1:45" s="195" customFormat="1" ht="15.8" hidden="1" customHeight="1" x14ac:dyDescent="0.3">
      <c r="A146" s="403"/>
      <c r="B146" s="403" t="str">
        <f>'7. Intervenciones UDT- BH'!$C$8</f>
        <v>UDT BAJO HUALLAGA</v>
      </c>
      <c r="C146" s="403" t="str">
        <f>'7. Intervenciones UDT- BH'!$F$10</f>
        <v>Predios de agricultura familiar con producción destinada al autoconsumo y productos de exportación, con título o sin título de propiedad.</v>
      </c>
      <c r="D146" s="404" t="str">
        <f>+'7. Intervenciones UDT- BH'!A21</f>
        <v>Programas de inversión pública</v>
      </c>
      <c r="E146" s="404" t="str">
        <f>+'7. Intervenciones UDT- BH'!C21</f>
        <v>4.1.4</v>
      </c>
      <c r="F146" s="403" t="str">
        <f>+'7. Intervenciones UDT- BH'!D21</f>
        <v>Fertilización de áreas productivas de acuerdo a la etapa fenológica del cultivo</v>
      </c>
      <c r="G146" s="403" t="str">
        <f>+'7. Intervenciones UDT- BH'!E21</f>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v>
      </c>
      <c r="H146" s="948" t="s">
        <v>1864</v>
      </c>
      <c r="I146" s="946" t="s">
        <v>193</v>
      </c>
      <c r="J146" s="946" t="s">
        <v>2592</v>
      </c>
      <c r="K146" s="946" t="s">
        <v>2329</v>
      </c>
      <c r="L146" s="946" t="s">
        <v>194</v>
      </c>
      <c r="M146" s="418" t="s">
        <v>1861</v>
      </c>
      <c r="N146" s="948" t="s">
        <v>1862</v>
      </c>
      <c r="O146" s="948" t="s">
        <v>219</v>
      </c>
      <c r="P146" s="951" t="s">
        <v>1865</v>
      </c>
      <c r="Q146" s="948" t="str">
        <f>+'7. Intervenciones UDT- BH'!F21</f>
        <v>Hectáreas fertilizadas</v>
      </c>
      <c r="R146" s="405">
        <f>+'7. Intervenciones UDT- BH'!I21</f>
        <v>71598</v>
      </c>
      <c r="S146" s="405">
        <f>+'7. Intervenciones UDT- BH'!J21</f>
        <v>14319.6</v>
      </c>
      <c r="T146" s="405">
        <f>+'7. Intervenciones UDT- BH'!K21</f>
        <v>21479.399999999998</v>
      </c>
      <c r="U146" s="405">
        <f>+'7. Intervenciones UDT- BH'!L21</f>
        <v>2500</v>
      </c>
      <c r="V146" s="403" t="str">
        <f>+'7. Intervenciones UDT- BH'!M21</f>
        <v>El costo incluye un análisis de suelos, paquete de fertilización según los resultados del análisis y la adquisición de fertilizantes. El costo incluye los tres abonamientos requeridos en una campaña (1 año).</v>
      </c>
      <c r="W146" s="403" t="str">
        <f>+'7. Intervenciones UDT- BH'!N21</f>
        <v>Drasam</v>
      </c>
      <c r="X146" s="588">
        <f>+'7. Intervenciones UDT- BH'!O21</f>
        <v>35799000</v>
      </c>
      <c r="Y146" s="588">
        <f>+Tabla1[[#This Row],[2025 Directo]]*(1+$Y$3)</f>
        <v>36174889.5</v>
      </c>
      <c r="Z146" s="588">
        <f>+'7. Intervenciones UDT- BH'!P21</f>
        <v>53698499.999999993</v>
      </c>
      <c r="AA146" s="588">
        <f>+Tabla1[[#This Row],[2030 Directo]]*(1+$Y$3)</f>
        <v>54262334.249999993</v>
      </c>
      <c r="AB146" s="588">
        <f>+'7. Intervenciones UDT- BH'!Q21</f>
        <v>7159800</v>
      </c>
      <c r="AC146" s="588">
        <f>+Tabla1[[#This Row],[Año 1 Cto Directo]]*(1+$Y$3)</f>
        <v>7234977.8999999994</v>
      </c>
      <c r="AD146" s="588">
        <f>+'7. Intervenciones UDT- BH'!R21</f>
        <v>7159800</v>
      </c>
      <c r="AE146" s="588">
        <f>+Tabla1[[#This Row],[Año 2 Cto. Directo]]*(1+$Y$3)</f>
        <v>7234977.8999999994</v>
      </c>
      <c r="AF146" s="588">
        <f>+'7. Intervenciones UDT- BH'!S21</f>
        <v>7159800</v>
      </c>
      <c r="AG146" s="588">
        <f>+Tabla1[[#This Row],[Año 3 Cto. Directo]]*(1+$Y$3)</f>
        <v>7234977.8999999994</v>
      </c>
      <c r="AH146" s="588">
        <f>+'7. Intervenciones UDT- BH'!T21</f>
        <v>7159800</v>
      </c>
      <c r="AI146" s="588">
        <f>+Tabla1[[#This Row],[Año 4 Cto. Directo]]*(1+$Y$3)</f>
        <v>7234977.8999999994</v>
      </c>
      <c r="AJ146" s="588">
        <f>+'7. Intervenciones UDT- BH'!U21</f>
        <v>7159800</v>
      </c>
      <c r="AK146" s="588">
        <f>+Tabla1[[#This Row],[Año 5 Cto. Directo]]*(1+$Y$3)</f>
        <v>7234977.8999999994</v>
      </c>
      <c r="AL146" s="403">
        <f>+'7. Intervenciones UDT- BH'!V21</f>
        <v>0</v>
      </c>
      <c r="AM146" s="954"/>
      <c r="AN146" s="954"/>
      <c r="AO146" s="954" t="str">
        <f>+'7. Intervenciones UDT- BH'!Y21</f>
        <v>X</v>
      </c>
      <c r="AP146" s="954"/>
      <c r="AQ146" s="954" t="str">
        <f>+'7. Intervenciones UDT- BH'!AA21</f>
        <v>RE</v>
      </c>
      <c r="AR146" s="954">
        <f>+'7. Intervenciones UDT- BH'!AB21</f>
        <v>3</v>
      </c>
      <c r="AS146" s="403">
        <f t="shared" si="1"/>
        <v>1</v>
      </c>
    </row>
    <row r="147" spans="1:45" s="195" customFormat="1" ht="15.8" hidden="1" customHeight="1" x14ac:dyDescent="0.3">
      <c r="A147" s="403"/>
      <c r="B147" s="403" t="str">
        <f>'7. Intervenciones UDT- BH'!$C$8</f>
        <v>UDT BAJO HUALLAGA</v>
      </c>
      <c r="C147" s="403" t="str">
        <f>'7. Intervenciones UDT- BH'!$F$10</f>
        <v>Predios de agricultura familiar con producción destinada al autoconsumo y productos de exportación, con título o sin título de propiedad.</v>
      </c>
      <c r="D147" s="404" t="str">
        <f>+'7. Intervenciones UDT- BH'!A22</f>
        <v>Programas de inversión privada</v>
      </c>
      <c r="E147" s="404" t="str">
        <f>+'7. Intervenciones UDT- BH'!C22</f>
        <v>4.1.5</v>
      </c>
      <c r="F147" s="403" t="str">
        <f>+'7. Intervenciones UDT- BH'!D22</f>
        <v>Instalación de sistemas de fertirriego</v>
      </c>
      <c r="G147" s="403" t="str">
        <f>+'7. Intervenciones UDT- BH'!E22</f>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v>
      </c>
      <c r="H147" s="948" t="s">
        <v>1864</v>
      </c>
      <c r="I147" s="946" t="s">
        <v>193</v>
      </c>
      <c r="J147" s="946" t="s">
        <v>2592</v>
      </c>
      <c r="K147" s="946" t="s">
        <v>2329</v>
      </c>
      <c r="L147" s="946" t="s">
        <v>196</v>
      </c>
      <c r="M147" s="418" t="s">
        <v>1866</v>
      </c>
      <c r="N147" s="948" t="s">
        <v>1862</v>
      </c>
      <c r="O147" s="948" t="s">
        <v>219</v>
      </c>
      <c r="P147" s="951" t="s">
        <v>1865</v>
      </c>
      <c r="Q147" s="948" t="str">
        <f>+'7. Intervenciones UDT- BH'!F22</f>
        <v>Hectáreas con sistemas de riego</v>
      </c>
      <c r="R147" s="405">
        <f>+'7. Intervenciones UDT- BH'!I22</f>
        <v>71598</v>
      </c>
      <c r="S147" s="405">
        <f>+'7. Intervenciones UDT- BH'!J22</f>
        <v>3579.9</v>
      </c>
      <c r="T147" s="405">
        <f>+'7. Intervenciones UDT- BH'!K22</f>
        <v>4295.88</v>
      </c>
      <c r="U147" s="405">
        <f>+'7. Intervenciones UDT- BH'!L22</f>
        <v>11500</v>
      </c>
      <c r="V147" s="403" t="str">
        <f>+'7. Intervenciones UDT- BH'!M22</f>
        <v>modulo instalado incluyendo fertilizantes para una campaña</v>
      </c>
      <c r="W147" s="403" t="str">
        <f>+'7. Intervenciones UDT- BH'!N22</f>
        <v>DRASAM</v>
      </c>
      <c r="X147" s="588">
        <f>+'7. Intervenciones UDT- BH'!O22</f>
        <v>41168850</v>
      </c>
      <c r="Y147" s="588">
        <f>+Tabla1[[#This Row],[2025 Directo]]*(1+$Y$3)</f>
        <v>41601122.924999997</v>
      </c>
      <c r="Z147" s="588">
        <f>+'7. Intervenciones UDT- BH'!P22</f>
        <v>49402620</v>
      </c>
      <c r="AA147" s="588">
        <f>+Tabla1[[#This Row],[2030 Directo]]*(1+$Y$3)</f>
        <v>49921347.509999998</v>
      </c>
      <c r="AB147" s="588">
        <f>+'7. Intervenciones UDT- BH'!Q22</f>
        <v>8233770</v>
      </c>
      <c r="AC147" s="588">
        <f>+Tabla1[[#This Row],[Año 1 Cto Directo]]*(1+$Y$3)</f>
        <v>8320224.585</v>
      </c>
      <c r="AD147" s="588">
        <f>+'7. Intervenciones UDT- BH'!R22</f>
        <v>8233770</v>
      </c>
      <c r="AE147" s="588">
        <f>+Tabla1[[#This Row],[Año 2 Cto. Directo]]*(1+$Y$3)</f>
        <v>8320224.585</v>
      </c>
      <c r="AF147" s="588">
        <f>+'7. Intervenciones UDT- BH'!S22</f>
        <v>8233770</v>
      </c>
      <c r="AG147" s="588">
        <f>+Tabla1[[#This Row],[Año 3 Cto. Directo]]*(1+$Y$3)</f>
        <v>8320224.585</v>
      </c>
      <c r="AH147" s="588">
        <f>+'7. Intervenciones UDT- BH'!T22</f>
        <v>8233770</v>
      </c>
      <c r="AI147" s="588">
        <f>+Tabla1[[#This Row],[Año 4 Cto. Directo]]*(1+$Y$3)</f>
        <v>8320224.585</v>
      </c>
      <c r="AJ147" s="588">
        <f>+'7. Intervenciones UDT- BH'!U22</f>
        <v>8233770</v>
      </c>
      <c r="AK147" s="588">
        <f>+Tabla1[[#This Row],[Año 5 Cto. Directo]]*(1+$Y$3)</f>
        <v>8320224.585</v>
      </c>
      <c r="AL147" s="403">
        <f>+'7. Intervenciones UDT- BH'!V22</f>
        <v>0</v>
      </c>
      <c r="AM147" s="954"/>
      <c r="AN147" s="954"/>
      <c r="AO147" s="954" t="str">
        <f>+'7. Intervenciones UDT- BH'!Y22</f>
        <v>X</v>
      </c>
      <c r="AP147" s="954"/>
      <c r="AQ147" s="954" t="str">
        <f>+'7. Intervenciones UDT- BH'!AA22</f>
        <v>RE</v>
      </c>
      <c r="AR147" s="954">
        <f>+'7. Intervenciones UDT- BH'!AB22</f>
        <v>3</v>
      </c>
      <c r="AS147" s="403">
        <f t="shared" si="1"/>
        <v>1</v>
      </c>
    </row>
    <row r="148" spans="1:45" s="195" customFormat="1" ht="15.8" hidden="1" customHeight="1" x14ac:dyDescent="0.3">
      <c r="A148" s="403"/>
      <c r="B148" s="403" t="str">
        <f>'7. Intervenciones UDT- BH'!$C$8</f>
        <v>UDT BAJO HUALLAGA</v>
      </c>
      <c r="C148" s="403" t="str">
        <f>'7. Intervenciones UDT- BH'!$F$10</f>
        <v>Predios de agricultura familiar con producción destinada al autoconsumo y productos de exportación, con título o sin título de propiedad.</v>
      </c>
      <c r="D148" s="404" t="str">
        <f>+'7. Intervenciones UDT- BH'!A23</f>
        <v>Programas de inversión privada</v>
      </c>
      <c r="E148" s="404" t="str">
        <f>+'7. Intervenciones UDT- BH'!C23</f>
        <v>4.1.6</v>
      </c>
      <c r="F148" s="403" t="str">
        <f>+'7. Intervenciones UDT- BH'!D23</f>
        <v xml:space="preserve">Reconversión y diversificación productiva </v>
      </c>
      <c r="G148" s="403" t="str">
        <f>+'7. Intervenciones UDT- BH'!E23</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H148" s="948" t="s">
        <v>1867</v>
      </c>
      <c r="I148" s="946" t="s">
        <v>193</v>
      </c>
      <c r="J148" s="946" t="s">
        <v>2592</v>
      </c>
      <c r="K148" s="946" t="s">
        <v>2329</v>
      </c>
      <c r="L148" s="946" t="s">
        <v>196</v>
      </c>
      <c r="M148" s="418" t="s">
        <v>1866</v>
      </c>
      <c r="N148" s="948" t="s">
        <v>1862</v>
      </c>
      <c r="O148" s="948" t="s">
        <v>222</v>
      </c>
      <c r="P148" s="951" t="s">
        <v>1868</v>
      </c>
      <c r="Q148" s="948" t="str">
        <f>+'7. Intervenciones UDT- BH'!F23</f>
        <v>Hectáreas reconvertidas</v>
      </c>
      <c r="R148" s="405">
        <f>+'7. Intervenciones UDT- BH'!I23</f>
        <v>14319.6</v>
      </c>
      <c r="S148" s="405">
        <f>+'7. Intervenciones UDT- BH'!J23</f>
        <v>1431.96</v>
      </c>
      <c r="T148" s="405">
        <f>+'7. Intervenciones UDT- BH'!K23</f>
        <v>1431.96</v>
      </c>
      <c r="U148" s="405">
        <f>+'7. Intervenciones UDT- BH'!L23</f>
        <v>15000</v>
      </c>
      <c r="V148" s="403" t="str">
        <f>+'7. Intervenciones UDT- BH'!M23</f>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v>
      </c>
      <c r="W148" s="403" t="str">
        <f>+'7. Intervenciones UDT- BH'!N23</f>
        <v>Drasam, Agroideas</v>
      </c>
      <c r="X148" s="588">
        <f>+'7. Intervenciones UDT- BH'!O23</f>
        <v>21479400</v>
      </c>
      <c r="Y148" s="588">
        <f>+Tabla1[[#This Row],[2025 Directo]]*(1+$Y$3)</f>
        <v>21704933.699999999</v>
      </c>
      <c r="Z148" s="588">
        <f>+'7. Intervenciones UDT- BH'!P23</f>
        <v>21479400</v>
      </c>
      <c r="AA148" s="588">
        <f>+Tabla1[[#This Row],[2030 Directo]]*(1+$Y$3)</f>
        <v>21704933.699999999</v>
      </c>
      <c r="AB148" s="588">
        <f>+'7. Intervenciones UDT- BH'!Q23</f>
        <v>4295880</v>
      </c>
      <c r="AC148" s="588">
        <f>+Tabla1[[#This Row],[Año 1 Cto Directo]]*(1+$Y$3)</f>
        <v>4340986.74</v>
      </c>
      <c r="AD148" s="588">
        <f>+'7. Intervenciones UDT- BH'!R23</f>
        <v>4295880</v>
      </c>
      <c r="AE148" s="588">
        <f>+Tabla1[[#This Row],[Año 2 Cto. Directo]]*(1+$Y$3)</f>
        <v>4340986.74</v>
      </c>
      <c r="AF148" s="588">
        <f>+'7. Intervenciones UDT- BH'!S23</f>
        <v>4295880</v>
      </c>
      <c r="AG148" s="588">
        <f>+Tabla1[[#This Row],[Año 3 Cto. Directo]]*(1+$Y$3)</f>
        <v>4340986.74</v>
      </c>
      <c r="AH148" s="588">
        <f>+'7. Intervenciones UDT- BH'!T23</f>
        <v>4295880</v>
      </c>
      <c r="AI148" s="588">
        <f>+Tabla1[[#This Row],[Año 4 Cto. Directo]]*(1+$Y$3)</f>
        <v>4340986.74</v>
      </c>
      <c r="AJ148" s="588">
        <f>+'7. Intervenciones UDT- BH'!U23</f>
        <v>4295880</v>
      </c>
      <c r="AK148" s="588">
        <f>+Tabla1[[#This Row],[Año 5 Cto. Directo]]*(1+$Y$3)</f>
        <v>4340986.74</v>
      </c>
      <c r="AL148" s="403">
        <f>+'7. Intervenciones UDT- BH'!V23</f>
        <v>0</v>
      </c>
      <c r="AM148" s="954" t="str">
        <f>+'7. Intervenciones UDT- BH'!W23</f>
        <v>X</v>
      </c>
      <c r="AN148" s="954"/>
      <c r="AO148" s="954"/>
      <c r="AP148" s="954"/>
      <c r="AQ148" s="954" t="str">
        <f>+'7. Intervenciones UDT- BH'!AA23</f>
        <v>RE</v>
      </c>
      <c r="AR148" s="954">
        <f>+'7. Intervenciones UDT- BH'!AB23</f>
        <v>3</v>
      </c>
      <c r="AS148" s="403">
        <f t="shared" si="1"/>
        <v>1</v>
      </c>
    </row>
    <row r="149" spans="1:45" s="195" customFormat="1" ht="15.8" hidden="1" customHeight="1" x14ac:dyDescent="0.3">
      <c r="A149" s="403"/>
      <c r="B149" s="403" t="str">
        <f>'7. Intervenciones UDT- BH'!$C$8</f>
        <v>UDT BAJO HUALLAGA</v>
      </c>
      <c r="C149" s="403" t="str">
        <f>'7. Intervenciones UDT- BH'!$F$10</f>
        <v>Predios de agricultura familiar con producción destinada al autoconsumo y productos de exportación, con título o sin título de propiedad.</v>
      </c>
      <c r="D149" s="404" t="str">
        <f>+'7. Intervenciones UDT- BH'!A24</f>
        <v>Programas de inversión pública</v>
      </c>
      <c r="E149" s="404" t="str">
        <f>+'7. Intervenciones UDT- BH'!C24</f>
        <v>4.1.7</v>
      </c>
      <c r="F149" s="403" t="str">
        <f>+'7. Intervenciones UDT- BH'!D24</f>
        <v>Promoción de agricultura familiar con enfoque de mercado</v>
      </c>
      <c r="G149" s="403" t="str">
        <f>+'7. Intervenciones UDT- BH'!E24</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H149" s="948" t="s">
        <v>1869</v>
      </c>
      <c r="I149" s="946" t="s">
        <v>193</v>
      </c>
      <c r="J149" s="946" t="s">
        <v>2592</v>
      </c>
      <c r="K149" s="946" t="s">
        <v>2329</v>
      </c>
      <c r="L149" s="946" t="s">
        <v>194</v>
      </c>
      <c r="M149" s="418" t="s">
        <v>1861</v>
      </c>
      <c r="N149" s="948" t="s">
        <v>1862</v>
      </c>
      <c r="O149" s="948" t="s">
        <v>220</v>
      </c>
      <c r="P149" s="951" t="s">
        <v>1870</v>
      </c>
      <c r="Q149" s="948" t="str">
        <f>+'7. Intervenciones UDT- BH'!F24</f>
        <v>Productores beneficiados</v>
      </c>
      <c r="R149" s="405">
        <f>+'7. Intervenciones UDT- BH'!I24</f>
        <v>26029</v>
      </c>
      <c r="S149" s="405">
        <f>+'7. Intervenciones UDT- BH'!J24</f>
        <v>2953.1000000000004</v>
      </c>
      <c r="T149" s="405">
        <f>+'7. Intervenciones UDT- BH'!K24</f>
        <v>5906.2000000000007</v>
      </c>
      <c r="U149" s="405">
        <f>+'7. Intervenciones UDT- BH'!L24</f>
        <v>12900</v>
      </c>
      <c r="V149" s="403" t="str">
        <f>+'7. Intervenciones UDT- BH'!M24</f>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v>
      </c>
      <c r="W149" s="403" t="str">
        <f>+'7. Intervenciones UDT- BH'!N24</f>
        <v>Goresam</v>
      </c>
      <c r="X149" s="588">
        <f>+'7. Intervenciones UDT- BH'!O24</f>
        <v>38094990.000000007</v>
      </c>
      <c r="Y149" s="588">
        <f>+Tabla1[[#This Row],[2025 Directo]]*(1+$Y$3)</f>
        <v>38494987.395000003</v>
      </c>
      <c r="Z149" s="588">
        <f>+'7. Intervenciones UDT- BH'!P24</f>
        <v>76189980.000000015</v>
      </c>
      <c r="AA149" s="588">
        <f>+Tabla1[[#This Row],[2030 Directo]]*(1+$Y$3)</f>
        <v>76989974.790000007</v>
      </c>
      <c r="AB149" s="588">
        <f>+'7. Intervenciones UDT- BH'!Q24</f>
        <v>7618998.0000000019</v>
      </c>
      <c r="AC149" s="588">
        <f>+Tabla1[[#This Row],[Año 1 Cto Directo]]*(1+$Y$3)</f>
        <v>7698997.4790000012</v>
      </c>
      <c r="AD149" s="588">
        <f>+'7. Intervenciones UDT- BH'!R24</f>
        <v>7618998.0000000019</v>
      </c>
      <c r="AE149" s="588">
        <f>+Tabla1[[#This Row],[Año 2 Cto. Directo]]*(1+$Y$3)</f>
        <v>7698997.4790000012</v>
      </c>
      <c r="AF149" s="588">
        <f>+'7. Intervenciones UDT- BH'!S24</f>
        <v>7618998.0000000019</v>
      </c>
      <c r="AG149" s="588">
        <f>+Tabla1[[#This Row],[Año 3 Cto. Directo]]*(1+$Y$3)</f>
        <v>7698997.4790000012</v>
      </c>
      <c r="AH149" s="588">
        <f>+'7. Intervenciones UDT- BH'!T24</f>
        <v>7618998.0000000019</v>
      </c>
      <c r="AI149" s="588">
        <f>+Tabla1[[#This Row],[Año 4 Cto. Directo]]*(1+$Y$3)</f>
        <v>7698997.4790000012</v>
      </c>
      <c r="AJ149" s="588">
        <f>+'7. Intervenciones UDT- BH'!U24</f>
        <v>7618998.0000000019</v>
      </c>
      <c r="AK149" s="588">
        <f>+Tabla1[[#This Row],[Año 5 Cto. Directo]]*(1+$Y$3)</f>
        <v>7698997.4790000012</v>
      </c>
      <c r="AL149" s="403">
        <f>+'7. Intervenciones UDT- BH'!V24</f>
        <v>0</v>
      </c>
      <c r="AM149" s="954"/>
      <c r="AN149" s="954"/>
      <c r="AO149" s="954" t="str">
        <f>+'7. Intervenciones UDT- BH'!Y24</f>
        <v>X</v>
      </c>
      <c r="AP149" s="954"/>
      <c r="AQ149" s="954" t="str">
        <f>+'7. Intervenciones UDT- BH'!AA24</f>
        <v>RE</v>
      </c>
      <c r="AR149" s="954">
        <f>+'7. Intervenciones UDT- BH'!AB24</f>
        <v>3</v>
      </c>
      <c r="AS149" s="403">
        <f t="shared" si="1"/>
        <v>1</v>
      </c>
    </row>
    <row r="150" spans="1:45" s="195" customFormat="1" ht="15.8" hidden="1" customHeight="1" x14ac:dyDescent="0.3">
      <c r="A150" s="403"/>
      <c r="B150" s="403" t="str">
        <f>'7. Intervenciones UDT- BH'!$C$8</f>
        <v>UDT BAJO HUALLAGA</v>
      </c>
      <c r="C150" s="403" t="str">
        <f>'7. Intervenciones UDT- BH'!$F$10</f>
        <v>Predios de agricultura familiar con producción destinada al autoconsumo y productos de exportación, con título o sin título de propiedad.</v>
      </c>
      <c r="D150" s="404" t="str">
        <f>+'7. Intervenciones UDT- BH'!A25</f>
        <v>Programas de inversión pública</v>
      </c>
      <c r="E150" s="404" t="str">
        <f>+'7. Intervenciones UDT- BH'!C25</f>
        <v>4.1.8</v>
      </c>
      <c r="F150" s="403" t="str">
        <f>+'7. Intervenciones UDT- BH'!D25</f>
        <v>Asistencia técnica para el desarrollo de la acuicultura</v>
      </c>
      <c r="G150" s="403" t="str">
        <f>+'7. Intervenciones UDT- BH'!E25</f>
        <v xml:space="preserve">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v>
      </c>
      <c r="H150" s="948" t="s">
        <v>1857</v>
      </c>
      <c r="I150" s="946" t="s">
        <v>193</v>
      </c>
      <c r="J150" s="946" t="s">
        <v>2592</v>
      </c>
      <c r="K150" s="946" t="s">
        <v>2329</v>
      </c>
      <c r="L150" s="946" t="s">
        <v>196</v>
      </c>
      <c r="M150" s="418" t="s">
        <v>1866</v>
      </c>
      <c r="N150" s="948" t="s">
        <v>1862</v>
      </c>
      <c r="O150" s="948" t="s">
        <v>224</v>
      </c>
      <c r="P150" s="951" t="s">
        <v>1863</v>
      </c>
      <c r="Q150" s="948" t="str">
        <f>+'7. Intervenciones UDT- BH'!F25</f>
        <v>Acuicultores asistidos</v>
      </c>
      <c r="R150" s="405">
        <f>+'7. Intervenciones UDT- BH'!I25</f>
        <v>0</v>
      </c>
      <c r="S150" s="405">
        <f>+'7. Intervenciones UDT- BH'!J25</f>
        <v>70</v>
      </c>
      <c r="T150" s="405">
        <f>+'7. Intervenciones UDT- BH'!K25</f>
        <v>70</v>
      </c>
      <c r="U150" s="405">
        <f>+'7. Intervenciones UDT- BH'!L25</f>
        <v>560</v>
      </c>
      <c r="V150" s="403" t="str">
        <f>+'7. Intervenciones UDT- BH'!M25</f>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v>
      </c>
      <c r="W150" s="403" t="str">
        <f>+'7. Intervenciones UDT- BH'!N25</f>
        <v>Direpro</v>
      </c>
      <c r="X150" s="588">
        <f>+'7. Intervenciones UDT- BH'!O25</f>
        <v>39200</v>
      </c>
      <c r="Y150" s="588">
        <f>+Tabla1[[#This Row],[2025 Directo]]*(1+$Y$3)</f>
        <v>39611.599999999999</v>
      </c>
      <c r="Z150" s="588">
        <f>+'7. Intervenciones UDT- BH'!P25</f>
        <v>39200</v>
      </c>
      <c r="AA150" s="588">
        <f>+Tabla1[[#This Row],[2030 Directo]]*(1+$Y$3)</f>
        <v>39611.599999999999</v>
      </c>
      <c r="AB150" s="588">
        <f>+'7. Intervenciones UDT- BH'!Q25</f>
        <v>7840</v>
      </c>
      <c r="AC150" s="588">
        <f>+Tabla1[[#This Row],[Año 1 Cto Directo]]*(1+$Y$3)</f>
        <v>7922.32</v>
      </c>
      <c r="AD150" s="588">
        <f>+'7. Intervenciones UDT- BH'!R25</f>
        <v>7840</v>
      </c>
      <c r="AE150" s="588">
        <f>+Tabla1[[#This Row],[Año 2 Cto. Directo]]*(1+$Y$3)</f>
        <v>7922.32</v>
      </c>
      <c r="AF150" s="588">
        <f>+'7. Intervenciones UDT- BH'!S25</f>
        <v>7840</v>
      </c>
      <c r="AG150" s="588">
        <f>+Tabla1[[#This Row],[Año 3 Cto. Directo]]*(1+$Y$3)</f>
        <v>7922.32</v>
      </c>
      <c r="AH150" s="588">
        <f>+'7. Intervenciones UDT- BH'!T25</f>
        <v>7840</v>
      </c>
      <c r="AI150" s="588">
        <f>+Tabla1[[#This Row],[Año 4 Cto. Directo]]*(1+$Y$3)</f>
        <v>7922.32</v>
      </c>
      <c r="AJ150" s="588">
        <f>+'7. Intervenciones UDT- BH'!U25</f>
        <v>7840</v>
      </c>
      <c r="AK150" s="588">
        <f>+Tabla1[[#This Row],[Año 5 Cto. Directo]]*(1+$Y$3)</f>
        <v>7922.32</v>
      </c>
      <c r="AL150" s="403">
        <f>+'7. Intervenciones UDT- BH'!V25</f>
        <v>0</v>
      </c>
      <c r="AM150" s="954"/>
      <c r="AN150" s="954"/>
      <c r="AO150" s="954" t="str">
        <f>+'7. Intervenciones UDT- BH'!Y25</f>
        <v>X</v>
      </c>
      <c r="AP150" s="954"/>
      <c r="AQ150" s="954" t="str">
        <f>+'7. Intervenciones UDT- BH'!AA25</f>
        <v>RE</v>
      </c>
      <c r="AR150" s="954">
        <f>+'7. Intervenciones UDT- BH'!AB25</f>
        <v>3</v>
      </c>
      <c r="AS150" s="403">
        <f t="shared" si="1"/>
        <v>1</v>
      </c>
    </row>
    <row r="151" spans="1:45" s="195" customFormat="1" ht="15.8" hidden="1" customHeight="1" x14ac:dyDescent="0.3">
      <c r="A151" s="403"/>
      <c r="B151" s="403" t="str">
        <f>'7. Intervenciones UDT- BH'!$C$8</f>
        <v>UDT BAJO HUALLAGA</v>
      </c>
      <c r="C151" s="403" t="str">
        <f>'7. Intervenciones UDT- BH'!$F$10</f>
        <v>Predios de agricultura familiar con producción destinada al autoconsumo y productos de exportación, con título o sin título de propiedad.</v>
      </c>
      <c r="D151" s="404" t="str">
        <f>+'7. Intervenciones UDT- BH'!A26</f>
        <v>Ingresos y Capital</v>
      </c>
      <c r="E151" s="404" t="str">
        <f>+'7. Intervenciones UDT- BH'!C26</f>
        <v>4.1.9</v>
      </c>
      <c r="F151" s="403" t="str">
        <f>+'7. Intervenciones UDT- BH'!D26</f>
        <v xml:space="preserve">Incentivos financieros para la acuicultura </v>
      </c>
      <c r="G151" s="403" t="str">
        <f>+'7. Intervenciones UDT- BH'!E26</f>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H151" s="948" t="s">
        <v>1864</v>
      </c>
      <c r="I151" s="946" t="s">
        <v>193</v>
      </c>
      <c r="J151" s="946" t="s">
        <v>2593</v>
      </c>
      <c r="K151" s="946" t="s">
        <v>2330</v>
      </c>
      <c r="L151" s="946" t="s">
        <v>195</v>
      </c>
      <c r="M151" s="418" t="s">
        <v>1871</v>
      </c>
      <c r="N151" s="948" t="s">
        <v>1862</v>
      </c>
      <c r="O151" s="948" t="s">
        <v>218</v>
      </c>
      <c r="P151" s="951" t="s">
        <v>1872</v>
      </c>
      <c r="Q151" s="948" t="str">
        <f>+'7. Intervenciones UDT- BH'!F26</f>
        <v>Créditos otorgados</v>
      </c>
      <c r="R151" s="405">
        <f>+'7. Intervenciones UDT- BH'!I26</f>
        <v>0</v>
      </c>
      <c r="S151" s="405">
        <f>+'7. Intervenciones UDT- BH'!J26</f>
        <v>70</v>
      </c>
      <c r="T151" s="405">
        <f>+'7. Intervenciones UDT- BH'!K26</f>
        <v>70</v>
      </c>
      <c r="U151" s="405">
        <f>+'7. Intervenciones UDT- BH'!L26</f>
        <v>12900</v>
      </c>
      <c r="V151" s="403" t="str">
        <f>+'7. Intervenciones UDT- BH'!M26</f>
        <v xml:space="preserve">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v>
      </c>
      <c r="W151" s="403" t="str">
        <f>+'7. Intervenciones UDT- BH'!N26</f>
        <v>Direpro, OPIPs</v>
      </c>
      <c r="X151" s="588">
        <f>+'7. Intervenciones UDT- BH'!O26</f>
        <v>903000</v>
      </c>
      <c r="Y151" s="588">
        <f>+Tabla1[[#This Row],[2025 Directo]]*(1+$Y$3)</f>
        <v>912481.5</v>
      </c>
      <c r="Z151" s="588">
        <f>+'7. Intervenciones UDT- BH'!P26</f>
        <v>903000</v>
      </c>
      <c r="AA151" s="588">
        <f>+Tabla1[[#This Row],[2030 Directo]]*(1+$Y$3)</f>
        <v>912481.5</v>
      </c>
      <c r="AB151" s="588">
        <f>+'7. Intervenciones UDT- BH'!Q26</f>
        <v>180600</v>
      </c>
      <c r="AC151" s="588">
        <f>+Tabla1[[#This Row],[Año 1 Cto Directo]]*(1+$Y$3)</f>
        <v>182496.3</v>
      </c>
      <c r="AD151" s="588">
        <f>+'7. Intervenciones UDT- BH'!R26</f>
        <v>180600</v>
      </c>
      <c r="AE151" s="588">
        <f>+Tabla1[[#This Row],[Año 2 Cto. Directo]]*(1+$Y$3)</f>
        <v>182496.3</v>
      </c>
      <c r="AF151" s="588">
        <f>+'7. Intervenciones UDT- BH'!S26</f>
        <v>180600</v>
      </c>
      <c r="AG151" s="588">
        <f>+Tabla1[[#This Row],[Año 3 Cto. Directo]]*(1+$Y$3)</f>
        <v>182496.3</v>
      </c>
      <c r="AH151" s="588">
        <f>+'7. Intervenciones UDT- BH'!T26</f>
        <v>180600</v>
      </c>
      <c r="AI151" s="588">
        <f>+Tabla1[[#This Row],[Año 4 Cto. Directo]]*(1+$Y$3)</f>
        <v>182496.3</v>
      </c>
      <c r="AJ151" s="588">
        <f>+'7. Intervenciones UDT- BH'!U26</f>
        <v>180600</v>
      </c>
      <c r="AK151" s="588">
        <f>+Tabla1[[#This Row],[Año 5 Cto. Directo]]*(1+$Y$3)</f>
        <v>182496.3</v>
      </c>
      <c r="AL151" s="403">
        <f>+'7. Intervenciones UDT- BH'!V26</f>
        <v>0</v>
      </c>
      <c r="AM151" s="954" t="str">
        <f>+'7. Intervenciones UDT- BH'!W26</f>
        <v>X</v>
      </c>
      <c r="AN151" s="954"/>
      <c r="AO151" s="954"/>
      <c r="AP151" s="954"/>
      <c r="AQ151" s="954" t="str">
        <f>+'7. Intervenciones UDT- BH'!AA26</f>
        <v>RE</v>
      </c>
      <c r="AR151" s="954">
        <f>+'7. Intervenciones UDT- BH'!AB26</f>
        <v>3</v>
      </c>
      <c r="AS151" s="403">
        <f t="shared" si="1"/>
        <v>1</v>
      </c>
    </row>
    <row r="152" spans="1:45" s="195" customFormat="1" ht="15.8" hidden="1" customHeight="1" x14ac:dyDescent="0.3">
      <c r="A152" s="403"/>
      <c r="B152" s="403" t="str">
        <f>'7. Intervenciones UDT- BH'!$C$8</f>
        <v>UDT BAJO HUALLAGA</v>
      </c>
      <c r="C152" s="403" t="str">
        <f>'7. Intervenciones UDT- BH'!$F$10</f>
        <v>Predios de agricultura familiar con producción destinada al autoconsumo y productos de exportación, con título o sin título de propiedad.</v>
      </c>
      <c r="D152" s="404" t="str">
        <f>+'7. Intervenciones UDT- BH'!A27</f>
        <v>Ingresos y Capital</v>
      </c>
      <c r="E152" s="404" t="str">
        <f>+'7. Intervenciones UDT- BH'!C27</f>
        <v>4.1.10</v>
      </c>
      <c r="F152" s="403" t="str">
        <f>+'7. Intervenciones UDT- BH'!D27</f>
        <v>Programa de acceso al financiamiento agropecuario condicionado</v>
      </c>
      <c r="G152" s="403" t="str">
        <f>+'7. Intervenciones UDT- BH'!E27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H152" s="948" t="s">
        <v>1864</v>
      </c>
      <c r="I152" s="946" t="s">
        <v>193</v>
      </c>
      <c r="J152" s="946" t="s">
        <v>2593</v>
      </c>
      <c r="K152" s="946" t="s">
        <v>2330</v>
      </c>
      <c r="L152" s="946" t="s">
        <v>195</v>
      </c>
      <c r="M152" s="418" t="s">
        <v>1871</v>
      </c>
      <c r="N152" s="948" t="s">
        <v>1862</v>
      </c>
      <c r="O152" s="948" t="s">
        <v>218</v>
      </c>
      <c r="P152" s="951" t="s">
        <v>1872</v>
      </c>
      <c r="Q152" s="948" t="str">
        <f>+'7. Intervenciones UDT- BH'!F27</f>
        <v>Créditos otorgados</v>
      </c>
      <c r="R152" s="405">
        <f>+'7. Intervenciones UDT- BH'!I27</f>
        <v>26029</v>
      </c>
      <c r="S152" s="405">
        <f>+'7. Intervenciones UDT- BH'!J27</f>
        <v>7808.7</v>
      </c>
      <c r="T152" s="405">
        <f>+'7. Intervenciones UDT- BH'!K27</f>
        <v>5205.8</v>
      </c>
      <c r="U152" s="405">
        <f>+'7. Intervenciones UDT- BH'!L27</f>
        <v>10750</v>
      </c>
      <c r="V152" s="403" t="str">
        <f>+'7. Intervenciones UDT- BH'!M27</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152" s="403" t="str">
        <f>+'7. Intervenciones UDT- BH'!N27</f>
        <v>Drasam, Direpro, OPIPs</v>
      </c>
      <c r="X152" s="588">
        <f>+'7. Intervenciones UDT- BH'!O27</f>
        <v>83943525</v>
      </c>
      <c r="Y152" s="588">
        <f>+Tabla1[[#This Row],[2025 Directo]]*(1+$Y$3)</f>
        <v>84824932.012500003</v>
      </c>
      <c r="Z152" s="588">
        <f>+'7. Intervenciones UDT- BH'!P27</f>
        <v>55962350</v>
      </c>
      <c r="AA152" s="588">
        <f>+Tabla1[[#This Row],[2030 Directo]]*(1+$Y$3)</f>
        <v>56549954.674999997</v>
      </c>
      <c r="AB152" s="588">
        <f>+'7. Intervenciones UDT- BH'!Q27</f>
        <v>16788705</v>
      </c>
      <c r="AC152" s="588">
        <f>+Tabla1[[#This Row],[Año 1 Cto Directo]]*(1+$Y$3)</f>
        <v>16964986.4025</v>
      </c>
      <c r="AD152" s="588">
        <f>+'7. Intervenciones UDT- BH'!R27</f>
        <v>16788705</v>
      </c>
      <c r="AE152" s="588">
        <f>+Tabla1[[#This Row],[Año 2 Cto. Directo]]*(1+$Y$3)</f>
        <v>16964986.4025</v>
      </c>
      <c r="AF152" s="588">
        <f>+'7. Intervenciones UDT- BH'!S27</f>
        <v>16788705</v>
      </c>
      <c r="AG152" s="588">
        <f>+Tabla1[[#This Row],[Año 3 Cto. Directo]]*(1+$Y$3)</f>
        <v>16964986.4025</v>
      </c>
      <c r="AH152" s="588">
        <f>+'7. Intervenciones UDT- BH'!T27</f>
        <v>16788705</v>
      </c>
      <c r="AI152" s="588">
        <f>+Tabla1[[#This Row],[Año 4 Cto. Directo]]*(1+$Y$3)</f>
        <v>16964986.4025</v>
      </c>
      <c r="AJ152" s="588">
        <f>+'7. Intervenciones UDT- BH'!U27</f>
        <v>16788705</v>
      </c>
      <c r="AK152" s="588">
        <f>+Tabla1[[#This Row],[Año 5 Cto. Directo]]*(1+$Y$3)</f>
        <v>16964986.4025</v>
      </c>
      <c r="AL152" s="403">
        <f>+'7. Intervenciones UDT- BH'!V27</f>
        <v>0</v>
      </c>
      <c r="AM152" s="954" t="str">
        <f>+'7. Intervenciones UDT- BH'!W27</f>
        <v>X</v>
      </c>
      <c r="AN152" s="954"/>
      <c r="AO152" s="954"/>
      <c r="AP152" s="954"/>
      <c r="AQ152" s="954" t="str">
        <f>+'7. Intervenciones UDT- BH'!AA27</f>
        <v>RE</v>
      </c>
      <c r="AR152" s="954">
        <f>+'7. Intervenciones UDT- BH'!AB27</f>
        <v>2</v>
      </c>
      <c r="AS152" s="403">
        <f t="shared" si="1"/>
        <v>1</v>
      </c>
    </row>
    <row r="153" spans="1:45" s="195" customFormat="1" ht="15.8" hidden="1" customHeight="1" x14ac:dyDescent="0.3">
      <c r="A153" s="403"/>
      <c r="B153" s="403" t="str">
        <f>'7. Intervenciones UDT- BH'!$C$8</f>
        <v>UDT BAJO HUALLAGA</v>
      </c>
      <c r="C153" s="403" t="str">
        <f>'7. Intervenciones UDT- BH'!$F$10</f>
        <v>Predios de agricultura familiar con producción destinada al autoconsumo y productos de exportación, con título o sin título de propiedad.</v>
      </c>
      <c r="D153" s="404" t="str">
        <f>+'7. Intervenciones UDT- BH'!A28</f>
        <v>Programas de inversión privada</v>
      </c>
      <c r="E153" s="404" t="str">
        <f>+'7. Intervenciones UDT- BH'!C28</f>
        <v>4.1.11</v>
      </c>
      <c r="F153" s="403" t="str">
        <f>+'7. Intervenciones UDT- BH'!D28</f>
        <v xml:space="preserve">Implementación de infraestructura productiva con énfasis a la agro exportación </v>
      </c>
      <c r="G153" s="403" t="str">
        <f>+'7. Intervenciones UDT- BH'!E28</f>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H153" s="948" t="s">
        <v>1864</v>
      </c>
      <c r="I153" s="946" t="s">
        <v>193</v>
      </c>
      <c r="J153" s="946" t="s">
        <v>2592</v>
      </c>
      <c r="K153" s="946" t="s">
        <v>2329</v>
      </c>
      <c r="L153" s="946" t="s">
        <v>196</v>
      </c>
      <c r="M153" s="418" t="s">
        <v>1866</v>
      </c>
      <c r="N153" s="948" t="s">
        <v>1862</v>
      </c>
      <c r="O153" s="948" t="s">
        <v>227</v>
      </c>
      <c r="P153" s="951" t="s">
        <v>1873</v>
      </c>
      <c r="Q153" s="948" t="str">
        <f>+'7. Intervenciones UDT- BH'!F28</f>
        <v>Planes de negocios/proyectos ejecutados</v>
      </c>
      <c r="R153" s="405">
        <f>+'7. Intervenciones UDT- BH'!I28</f>
        <v>6</v>
      </c>
      <c r="S153" s="405">
        <f>+'7. Intervenciones UDT- BH'!J28</f>
        <v>6</v>
      </c>
      <c r="T153" s="405">
        <f>+'7. Intervenciones UDT- BH'!K28</f>
        <v>2</v>
      </c>
      <c r="U153" s="405">
        <f>+'7. Intervenciones UDT- BH'!L28</f>
        <v>800000</v>
      </c>
      <c r="V153" s="403" t="str">
        <f>+'7. Intervenciones UDT- BH'!M28</f>
        <v xml:space="preserve">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v>
      </c>
      <c r="W153" s="403" t="str">
        <f>+'7. Intervenciones UDT- BH'!N28</f>
        <v>AGROIDEAS, PNIA, INNOVATE PERÚ</v>
      </c>
      <c r="X153" s="588">
        <f>+'7. Intervenciones UDT- BH'!O28</f>
        <v>4800000</v>
      </c>
      <c r="Y153" s="588">
        <f>+Tabla1[[#This Row],[2025 Directo]]*(1+$Y$3)</f>
        <v>4850400</v>
      </c>
      <c r="Z153" s="588">
        <f>+'7. Intervenciones UDT- BH'!P28</f>
        <v>1600000</v>
      </c>
      <c r="AA153" s="588">
        <f>+Tabla1[[#This Row],[2030 Directo]]*(1+$Y$3)</f>
        <v>1616800</v>
      </c>
      <c r="AB153" s="588">
        <f>+'7. Intervenciones UDT- BH'!Q28</f>
        <v>960000</v>
      </c>
      <c r="AC153" s="588">
        <f>+Tabla1[[#This Row],[Año 1 Cto Directo]]*(1+$Y$3)</f>
        <v>970080</v>
      </c>
      <c r="AD153" s="588">
        <f>+'7. Intervenciones UDT- BH'!R28</f>
        <v>960000</v>
      </c>
      <c r="AE153" s="588">
        <f>+Tabla1[[#This Row],[Año 2 Cto. Directo]]*(1+$Y$3)</f>
        <v>970080</v>
      </c>
      <c r="AF153" s="588">
        <f>+'7. Intervenciones UDT- BH'!S28</f>
        <v>960000</v>
      </c>
      <c r="AG153" s="588">
        <f>+Tabla1[[#This Row],[Año 3 Cto. Directo]]*(1+$Y$3)</f>
        <v>970080</v>
      </c>
      <c r="AH153" s="588">
        <f>+'7. Intervenciones UDT- BH'!T28</f>
        <v>960000</v>
      </c>
      <c r="AI153" s="588">
        <f>+Tabla1[[#This Row],[Año 4 Cto. Directo]]*(1+$Y$3)</f>
        <v>970080</v>
      </c>
      <c r="AJ153" s="588">
        <f>+'7. Intervenciones UDT- BH'!U28</f>
        <v>960000</v>
      </c>
      <c r="AK153" s="588">
        <f>+Tabla1[[#This Row],[Año 5 Cto. Directo]]*(1+$Y$3)</f>
        <v>970080</v>
      </c>
      <c r="AL153" s="403">
        <f>+'7. Intervenciones UDT- BH'!V28</f>
        <v>0</v>
      </c>
      <c r="AM153" s="954" t="str">
        <f>+'7. Intervenciones UDT- BH'!W28</f>
        <v>X</v>
      </c>
      <c r="AN153" s="954"/>
      <c r="AO153" s="954"/>
      <c r="AP153" s="954"/>
      <c r="AQ153" s="954" t="str">
        <f>+'7. Intervenciones UDT- BH'!AA28</f>
        <v>RE</v>
      </c>
      <c r="AR153" s="954">
        <f>+'7. Intervenciones UDT- BH'!AB28</f>
        <v>3</v>
      </c>
      <c r="AS153" s="403">
        <f t="shared" si="1"/>
        <v>1</v>
      </c>
    </row>
    <row r="154" spans="1:45" s="195" customFormat="1" ht="15.8" hidden="1" customHeight="1" x14ac:dyDescent="0.3">
      <c r="A154" s="403"/>
      <c r="B154" s="403" t="str">
        <f>'7. Intervenciones UDT- BH'!$C$8</f>
        <v>UDT BAJO HUALLAGA</v>
      </c>
      <c r="C154" s="403" t="str">
        <f>'7. Intervenciones UDT- BH'!$F$10</f>
        <v>Predios de agricultura familiar con producción destinada al autoconsumo y productos de exportación, con título o sin título de propiedad.</v>
      </c>
      <c r="D154" s="404" t="str">
        <f>+'7. Intervenciones UDT- BH'!A29</f>
        <v>Programas de inversión privada</v>
      </c>
      <c r="E154" s="404" t="str">
        <f>+'7. Intervenciones UDT- BH'!C29</f>
        <v>4.1.12</v>
      </c>
      <c r="F154" s="403" t="str">
        <f>+'7. Intervenciones UDT- BH'!D29</f>
        <v xml:space="preserve">Fortalecimiento de capacidades en gestión de la calidad en las distintas cadenas de valor </v>
      </c>
      <c r="G154" s="403" t="str">
        <f>+'7. Intervenciones UDT- BH'!E29</f>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v>
      </c>
      <c r="H154" s="948" t="s">
        <v>1857</v>
      </c>
      <c r="I154" s="946" t="s">
        <v>193</v>
      </c>
      <c r="J154" s="946" t="s">
        <v>2592</v>
      </c>
      <c r="K154" s="946" t="s">
        <v>2329</v>
      </c>
      <c r="L154" s="946" t="s">
        <v>194</v>
      </c>
      <c r="M154" s="418" t="s">
        <v>1861</v>
      </c>
      <c r="N154" s="948" t="s">
        <v>1862</v>
      </c>
      <c r="O154" s="948" t="s">
        <v>220</v>
      </c>
      <c r="P154" s="951" t="s">
        <v>1870</v>
      </c>
      <c r="Q154" s="948" t="str">
        <f>+'7. Intervenciones UDT- BH'!F29</f>
        <v>Empresas y organizaciones atendidas</v>
      </c>
      <c r="R154" s="405">
        <f>+'7. Intervenciones UDT- BH'!I29</f>
        <v>6</v>
      </c>
      <c r="S154" s="405">
        <f>+'7. Intervenciones UDT- BH'!J29</f>
        <v>4.8000000000000007</v>
      </c>
      <c r="T154" s="405">
        <f>+'7. Intervenciones UDT- BH'!K29</f>
        <v>1.2000000000000002</v>
      </c>
      <c r="U154" s="405">
        <f>+'7. Intervenciones UDT- BH'!L29</f>
        <v>50000</v>
      </c>
      <c r="V154" s="403" t="str">
        <f>+'7. Intervenciones UDT- BH'!M29</f>
        <v>El costo incluye la contratación de especialistas para brindar Asistencia Técnica en los procesos de implementación de las certificaciones de calidad, materiales para la capacitación y pasantías.</v>
      </c>
      <c r="W154" s="403" t="str">
        <f>+'7. Intervenciones UDT- BH'!N29</f>
        <v>DIREPRO</v>
      </c>
      <c r="X154" s="588">
        <f>+'7. Intervenciones UDT- BH'!O29</f>
        <v>240000.00000000003</v>
      </c>
      <c r="Y154" s="588">
        <f>+Tabla1[[#This Row],[2025 Directo]]*(1+$Y$3)</f>
        <v>242520.00000000003</v>
      </c>
      <c r="Z154" s="588">
        <f>+'7. Intervenciones UDT- BH'!P29</f>
        <v>60000.000000000007</v>
      </c>
      <c r="AA154" s="588">
        <f>+Tabla1[[#This Row],[2030 Directo]]*(1+$Y$3)</f>
        <v>60630.000000000007</v>
      </c>
      <c r="AB154" s="588">
        <f>+'7. Intervenciones UDT- BH'!Q29</f>
        <v>48000.000000000007</v>
      </c>
      <c r="AC154" s="588">
        <f>+Tabla1[[#This Row],[Año 1 Cto Directo]]*(1+$Y$3)</f>
        <v>48504.000000000007</v>
      </c>
      <c r="AD154" s="588">
        <f>+'7. Intervenciones UDT- BH'!R29</f>
        <v>48000.000000000007</v>
      </c>
      <c r="AE154" s="588">
        <f>+Tabla1[[#This Row],[Año 2 Cto. Directo]]*(1+$Y$3)</f>
        <v>48504.000000000007</v>
      </c>
      <c r="AF154" s="588">
        <f>+'7. Intervenciones UDT- BH'!S29</f>
        <v>48000.000000000007</v>
      </c>
      <c r="AG154" s="588">
        <f>+Tabla1[[#This Row],[Año 3 Cto. Directo]]*(1+$Y$3)</f>
        <v>48504.000000000007</v>
      </c>
      <c r="AH154" s="588">
        <f>+'7. Intervenciones UDT- BH'!T29</f>
        <v>48000.000000000007</v>
      </c>
      <c r="AI154" s="588">
        <f>+Tabla1[[#This Row],[Año 4 Cto. Directo]]*(1+$Y$3)</f>
        <v>48504.000000000007</v>
      </c>
      <c r="AJ154" s="588">
        <f>+'7. Intervenciones UDT- BH'!U29</f>
        <v>48000.000000000007</v>
      </c>
      <c r="AK154" s="588">
        <f>+Tabla1[[#This Row],[Año 5 Cto. Directo]]*(1+$Y$3)</f>
        <v>48504.000000000007</v>
      </c>
      <c r="AL154" s="403">
        <f>+'7. Intervenciones UDT- BH'!V29</f>
        <v>0</v>
      </c>
      <c r="AM154" s="954"/>
      <c r="AN154" s="954"/>
      <c r="AO154" s="954" t="str">
        <f>+'7. Intervenciones UDT- BH'!Y29</f>
        <v>X</v>
      </c>
      <c r="AP154" s="954"/>
      <c r="AQ154" s="954" t="str">
        <f>+'7. Intervenciones UDT- BH'!AA29</f>
        <v>RE</v>
      </c>
      <c r="AR154" s="954">
        <f>+'7. Intervenciones UDT- BH'!AB29</f>
        <v>3</v>
      </c>
      <c r="AS154" s="403">
        <f t="shared" si="1"/>
        <v>1</v>
      </c>
    </row>
    <row r="155" spans="1:45" s="195" customFormat="1" ht="15.8" hidden="1" customHeight="1" x14ac:dyDescent="0.3">
      <c r="A155" s="403"/>
      <c r="B155" s="403" t="str">
        <f>'7. Intervenciones UDT- BH'!$C$8</f>
        <v>UDT BAJO HUALLAGA</v>
      </c>
      <c r="C155" s="403" t="str">
        <f>'7. Intervenciones UDT- BH'!$F$10</f>
        <v>Predios de agricultura familiar con producción destinada al autoconsumo y productos de exportación, con título o sin título de propiedad.</v>
      </c>
      <c r="D155" s="404" t="str">
        <f>+'7. Intervenciones UDT- BH'!A30</f>
        <v>Programas de inversión pública</v>
      </c>
      <c r="E155" s="404" t="str">
        <f>+'7. Intervenciones UDT- BH'!C30</f>
        <v>4.1.13</v>
      </c>
      <c r="F155" s="403" t="str">
        <f>+'7. Intervenciones UDT- BH'!D30</f>
        <v>Promoción de modelos asociativos sostenibles</v>
      </c>
      <c r="G155" s="403" t="str">
        <f>+'7. Intervenciones UDT- BH'!E30</f>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v>
      </c>
      <c r="H155" s="948" t="s">
        <v>1857</v>
      </c>
      <c r="I155" s="946" t="s">
        <v>193</v>
      </c>
      <c r="J155" s="946" t="s">
        <v>2594</v>
      </c>
      <c r="K155" s="946" t="s">
        <v>2332</v>
      </c>
      <c r="L155" s="946" t="s">
        <v>198</v>
      </c>
      <c r="M155" s="418" t="s">
        <v>1874</v>
      </c>
      <c r="N155" s="948" t="s">
        <v>1862</v>
      </c>
      <c r="O155" s="948" t="s">
        <v>230</v>
      </c>
      <c r="P155" s="951" t="s">
        <v>1875</v>
      </c>
      <c r="Q155" s="948" t="str">
        <f>+'7. Intervenciones UDT- BH'!F30</f>
        <v>Organizaciones auto sostenibles</v>
      </c>
      <c r="R155" s="405">
        <f>+'7. Intervenciones UDT- BH'!I30</f>
        <v>0</v>
      </c>
      <c r="S155" s="405">
        <f>+'7. Intervenciones UDT- BH'!J30</f>
        <v>6</v>
      </c>
      <c r="T155" s="405">
        <f>+'7. Intervenciones UDT- BH'!K30</f>
        <v>2</v>
      </c>
      <c r="U155" s="405">
        <f>+'7. Intervenciones UDT- BH'!L30</f>
        <v>120000</v>
      </c>
      <c r="V155" s="403" t="str">
        <f>+'7. Intervenciones UDT- BH'!M30</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155" s="403" t="str">
        <f>+'7. Intervenciones UDT- BH'!N30</f>
        <v>Drasam, Dircetur, Direpro</v>
      </c>
      <c r="X155" s="588">
        <f>+'7. Intervenciones UDT- BH'!O30</f>
        <v>720000</v>
      </c>
      <c r="Y155" s="588">
        <f>+Tabla1[[#This Row],[2025 Directo]]*(1+$Y$3)</f>
        <v>727560</v>
      </c>
      <c r="Z155" s="588">
        <f>+'7. Intervenciones UDT- BH'!P30</f>
        <v>240000</v>
      </c>
      <c r="AA155" s="588">
        <f>+Tabla1[[#This Row],[2030 Directo]]*(1+$Y$3)</f>
        <v>242520</v>
      </c>
      <c r="AB155" s="588">
        <f>+'7. Intervenciones UDT- BH'!Q30</f>
        <v>144000</v>
      </c>
      <c r="AC155" s="588">
        <f>+Tabla1[[#This Row],[Año 1 Cto Directo]]*(1+$Y$3)</f>
        <v>145512</v>
      </c>
      <c r="AD155" s="588">
        <f>+'7. Intervenciones UDT- BH'!R30</f>
        <v>144000</v>
      </c>
      <c r="AE155" s="588">
        <f>+Tabla1[[#This Row],[Año 2 Cto. Directo]]*(1+$Y$3)</f>
        <v>145512</v>
      </c>
      <c r="AF155" s="588">
        <f>+'7. Intervenciones UDT- BH'!S30</f>
        <v>144000</v>
      </c>
      <c r="AG155" s="588">
        <f>+Tabla1[[#This Row],[Año 3 Cto. Directo]]*(1+$Y$3)</f>
        <v>145512</v>
      </c>
      <c r="AH155" s="588">
        <f>+'7. Intervenciones UDT- BH'!T30</f>
        <v>144000</v>
      </c>
      <c r="AI155" s="588">
        <f>+Tabla1[[#This Row],[Año 4 Cto. Directo]]*(1+$Y$3)</f>
        <v>145512</v>
      </c>
      <c r="AJ155" s="588">
        <f>+'7. Intervenciones UDT- BH'!U30</f>
        <v>144000</v>
      </c>
      <c r="AK155" s="588">
        <f>+Tabla1[[#This Row],[Año 5 Cto. Directo]]*(1+$Y$3)</f>
        <v>145512</v>
      </c>
      <c r="AL155" s="403">
        <f>+'7. Intervenciones UDT- BH'!V30</f>
        <v>0</v>
      </c>
      <c r="AM155" s="954"/>
      <c r="AN155" s="954"/>
      <c r="AO155" s="954" t="str">
        <f>+'7. Intervenciones UDT- BH'!Y30</f>
        <v>X</v>
      </c>
      <c r="AP155" s="954"/>
      <c r="AQ155" s="954"/>
      <c r="AR155" s="954">
        <f>+'7. Intervenciones UDT- BH'!AB30</f>
        <v>3</v>
      </c>
      <c r="AS155" s="403">
        <f t="shared" si="1"/>
        <v>1</v>
      </c>
    </row>
    <row r="156" spans="1:45" s="195" customFormat="1" ht="15.8" hidden="1" customHeight="1" x14ac:dyDescent="0.3">
      <c r="A156" s="403"/>
      <c r="B156" s="403" t="str">
        <f>'7. Intervenciones UDT- BH'!$C$8</f>
        <v>UDT BAJO HUALLAGA</v>
      </c>
      <c r="C156" s="403" t="str">
        <f>'7. Intervenciones UDT- BH'!$F$10</f>
        <v>Predios de agricultura familiar con producción destinada al autoconsumo y productos de exportación, con título o sin título de propiedad.</v>
      </c>
      <c r="D156" s="404" t="str">
        <f>+'7. Intervenciones UDT- BH'!A31</f>
        <v>Programas de inversión privada</v>
      </c>
      <c r="E156" s="404" t="str">
        <f>+'7. Intervenciones UDT- BH'!C31</f>
        <v>4.1.14</v>
      </c>
      <c r="F156" s="403" t="str">
        <f>+'7. Intervenciones UDT- BH'!D31</f>
        <v>Certificación orgánica y  Comercio Justo</v>
      </c>
      <c r="G156" s="403" t="str">
        <f>+'7. Intervenciones UDT- BH'!E31</f>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v>
      </c>
      <c r="H156" s="948" t="s">
        <v>1857</v>
      </c>
      <c r="I156" s="946" t="s">
        <v>193</v>
      </c>
      <c r="J156" s="946" t="s">
        <v>2592</v>
      </c>
      <c r="K156" s="946" t="s">
        <v>2329</v>
      </c>
      <c r="L156" s="946" t="s">
        <v>197</v>
      </c>
      <c r="M156" s="418" t="s">
        <v>1876</v>
      </c>
      <c r="N156" s="948" t="s">
        <v>1862</v>
      </c>
      <c r="O156" s="948" t="s">
        <v>228</v>
      </c>
      <c r="P156" s="951" t="s">
        <v>1877</v>
      </c>
      <c r="Q156" s="948" t="str">
        <f>+'7. Intervenciones UDT- BH'!F31</f>
        <v>Organizaciones certificadas</v>
      </c>
      <c r="R156" s="405">
        <f>+'7. Intervenciones UDT- BH'!I31</f>
        <v>10</v>
      </c>
      <c r="S156" s="405">
        <f>+'7. Intervenciones UDT- BH'!J31</f>
        <v>5</v>
      </c>
      <c r="T156" s="405">
        <f>+'7. Intervenciones UDT- BH'!K31</f>
        <v>5</v>
      </c>
      <c r="U156" s="405">
        <f>+'7. Intervenciones UDT- BH'!L31</f>
        <v>40000</v>
      </c>
      <c r="V156" s="403" t="str">
        <f>+'7. Intervenciones UDT- BH'!M31</f>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v>
      </c>
      <c r="W156" s="403" t="str">
        <f>+'7. Intervenciones UDT- BH'!N31</f>
        <v>Certificadora CERES</v>
      </c>
      <c r="X156" s="588">
        <f>+'7. Intervenciones UDT- BH'!O31</f>
        <v>1000000</v>
      </c>
      <c r="Y156" s="588">
        <f>+Tabla1[[#This Row],[2025 Directo]]*(1+$Y$3)</f>
        <v>1010500</v>
      </c>
      <c r="Z156" s="588">
        <f>+'7. Intervenciones UDT- BH'!P31</f>
        <v>1000000</v>
      </c>
      <c r="AA156" s="588">
        <f>+Tabla1[[#This Row],[2030 Directo]]*(1+$Y$3)</f>
        <v>1010500</v>
      </c>
      <c r="AB156" s="588">
        <f>+'7. Intervenciones UDT- BH'!Q31</f>
        <v>200000</v>
      </c>
      <c r="AC156" s="588">
        <f>+Tabla1[[#This Row],[Año 1 Cto Directo]]*(1+$Y$3)</f>
        <v>202100</v>
      </c>
      <c r="AD156" s="588">
        <f>+'7. Intervenciones UDT- BH'!R31</f>
        <v>200000</v>
      </c>
      <c r="AE156" s="588">
        <f>+Tabla1[[#This Row],[Año 2 Cto. Directo]]*(1+$Y$3)</f>
        <v>202100</v>
      </c>
      <c r="AF156" s="588">
        <f>+'7. Intervenciones UDT- BH'!S31</f>
        <v>200000</v>
      </c>
      <c r="AG156" s="588">
        <f>+Tabla1[[#This Row],[Año 3 Cto. Directo]]*(1+$Y$3)</f>
        <v>202100</v>
      </c>
      <c r="AH156" s="588">
        <f>+'7. Intervenciones UDT- BH'!T31</f>
        <v>200000</v>
      </c>
      <c r="AI156" s="588">
        <f>+Tabla1[[#This Row],[Año 4 Cto. Directo]]*(1+$Y$3)</f>
        <v>202100</v>
      </c>
      <c r="AJ156" s="588">
        <f>+'7. Intervenciones UDT- BH'!U31</f>
        <v>200000</v>
      </c>
      <c r="AK156" s="588">
        <f>+Tabla1[[#This Row],[Año 5 Cto. Directo]]*(1+$Y$3)</f>
        <v>202100</v>
      </c>
      <c r="AL156" s="403">
        <f>+'7. Intervenciones UDT- BH'!V31</f>
        <v>0</v>
      </c>
      <c r="AM156" s="954"/>
      <c r="AN156" s="954"/>
      <c r="AO156" s="954" t="str">
        <f>+'7. Intervenciones UDT- BH'!Y31</f>
        <v>X</v>
      </c>
      <c r="AP156" s="954"/>
      <c r="AQ156" s="954"/>
      <c r="AR156" s="954">
        <f>+'7. Intervenciones UDT- BH'!AB31</f>
        <v>3</v>
      </c>
      <c r="AS156" s="403">
        <f t="shared" si="1"/>
        <v>1</v>
      </c>
    </row>
    <row r="157" spans="1:45" s="195" customFormat="1" ht="15.8" hidden="1" customHeight="1" x14ac:dyDescent="0.3">
      <c r="A157" s="403"/>
      <c r="B157" s="403" t="str">
        <f>'7. Intervenciones UDT- BH'!$C$8</f>
        <v>UDT BAJO HUALLAGA</v>
      </c>
      <c r="C157" s="403" t="str">
        <f>'7. Intervenciones UDT- BH'!$F$10</f>
        <v>Predios de agricultura familiar con producción destinada al autoconsumo y productos de exportación, con título o sin título de propiedad.</v>
      </c>
      <c r="D157" s="404" t="str">
        <f>+'7. Intervenciones UDT- BH'!A32</f>
        <v>Programas de inversión privada</v>
      </c>
      <c r="E157" s="404" t="str">
        <f>+'7. Intervenciones UDT- BH'!C32</f>
        <v>4.1.15</v>
      </c>
      <c r="F157" s="403" t="str">
        <f>+'7. Intervenciones UDT- BH'!D32</f>
        <v>Certificación RSPO</v>
      </c>
      <c r="G157" s="403" t="str">
        <f>+'7. Intervenciones UDT- BH'!E32</f>
        <v>Implementar y promover la certificación de plantaciones de 2161 pequeños productores, los cuales tienen 8,211 ha. La certificación RSPO permite facilitar el acceso a los mercados de los productos derivados de la palma aceitera. Esta intervención forma parte del fortalecimiento de la infraestrucura de la calidad en las cadenas.</v>
      </c>
      <c r="H157" s="948" t="s">
        <v>1864</v>
      </c>
      <c r="I157" s="946" t="s">
        <v>193</v>
      </c>
      <c r="J157" s="946" t="s">
        <v>2592</v>
      </c>
      <c r="K157" s="946" t="s">
        <v>2329</v>
      </c>
      <c r="L157" s="946" t="s">
        <v>197</v>
      </c>
      <c r="M157" s="418" t="s">
        <v>1876</v>
      </c>
      <c r="N157" s="948" t="s">
        <v>1862</v>
      </c>
      <c r="O157" s="948" t="s">
        <v>228</v>
      </c>
      <c r="P157" s="951" t="s">
        <v>1877</v>
      </c>
      <c r="Q157" s="948" t="str">
        <f>+'7. Intervenciones UDT- BH'!F32</f>
        <v>Hectáreas certificadas</v>
      </c>
      <c r="R157" s="405">
        <f>+'7. Intervenciones UDT- BH'!I32</f>
        <v>0</v>
      </c>
      <c r="S157" s="405">
        <f>+'7. Intervenciones UDT- BH'!J32</f>
        <v>2463.2999999999997</v>
      </c>
      <c r="T157" s="405">
        <f>+'7. Intervenciones UDT- BH'!K32</f>
        <v>4105.5</v>
      </c>
      <c r="U157" s="405">
        <f>+'7. Intervenciones UDT- BH'!L32</f>
        <v>2499.12</v>
      </c>
      <c r="V157" s="403" t="str">
        <f>+'7. Intervenciones UDT- BH'!M32</f>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
* no incl. Costos de infraestructura, HVC/HCS, costos de insumos y servicios de jornal, remediación y compensación entre otros</v>
      </c>
      <c r="W157" s="403" t="str">
        <f>+'7. Intervenciones UDT- BH'!N32</f>
        <v>Expertos RSPO &amp; RSPO</v>
      </c>
      <c r="X157" s="588">
        <f>+'7. Intervenciones UDT- BH'!O32</f>
        <v>6156082.2959999992</v>
      </c>
      <c r="Y157" s="588">
        <f>+Tabla1[[#This Row],[2025 Directo]]*(1+$Y$3)</f>
        <v>6220721.1601079991</v>
      </c>
      <c r="Z157" s="588">
        <f>+'7. Intervenciones UDT- BH'!P32</f>
        <v>10260137.16</v>
      </c>
      <c r="AA157" s="588">
        <f>+Tabla1[[#This Row],[2030 Directo]]*(1+$Y$3)</f>
        <v>10367868.60018</v>
      </c>
      <c r="AB157" s="588">
        <f>+'7. Intervenciones UDT- BH'!Q32</f>
        <v>1231216.4591999999</v>
      </c>
      <c r="AC157" s="588">
        <f>+Tabla1[[#This Row],[Año 1 Cto Directo]]*(1+$Y$3)</f>
        <v>1244144.2320215998</v>
      </c>
      <c r="AD157" s="588">
        <f>+'7. Intervenciones UDT- BH'!R32</f>
        <v>1231216.4591999999</v>
      </c>
      <c r="AE157" s="588">
        <f>+Tabla1[[#This Row],[Año 2 Cto. Directo]]*(1+$Y$3)</f>
        <v>1244144.2320215998</v>
      </c>
      <c r="AF157" s="588">
        <f>+'7. Intervenciones UDT- BH'!S32</f>
        <v>1231216.4591999999</v>
      </c>
      <c r="AG157" s="588">
        <f>+Tabla1[[#This Row],[Año 3 Cto. Directo]]*(1+$Y$3)</f>
        <v>1244144.2320215998</v>
      </c>
      <c r="AH157" s="588">
        <f>+'7. Intervenciones UDT- BH'!T32</f>
        <v>1231216.4591999999</v>
      </c>
      <c r="AI157" s="588">
        <f>+Tabla1[[#This Row],[Año 4 Cto. Directo]]*(1+$Y$3)</f>
        <v>1244144.2320215998</v>
      </c>
      <c r="AJ157" s="588">
        <f>+'7. Intervenciones UDT- BH'!U32</f>
        <v>1231216.4591999999</v>
      </c>
      <c r="AK157" s="588">
        <f>+Tabla1[[#This Row],[Año 5 Cto. Directo]]*(1+$Y$3)</f>
        <v>1244144.2320215998</v>
      </c>
      <c r="AL157" s="403">
        <f>+'7. Intervenciones UDT- BH'!V32</f>
        <v>0</v>
      </c>
      <c r="AM157" s="954"/>
      <c r="AN157" s="954"/>
      <c r="AO157" s="954" t="str">
        <f>+'7. Intervenciones UDT- BH'!Y32</f>
        <v>X</v>
      </c>
      <c r="AP157" s="954"/>
      <c r="AQ157" s="954"/>
      <c r="AR157" s="954">
        <f>+'7. Intervenciones UDT- BH'!AB32</f>
        <v>3</v>
      </c>
      <c r="AS157" s="403">
        <f t="shared" si="1"/>
        <v>1</v>
      </c>
    </row>
    <row r="158" spans="1:45" s="195" customFormat="1" ht="15.8" hidden="1" customHeight="1" x14ac:dyDescent="0.3">
      <c r="A158" s="403"/>
      <c r="B158" s="403" t="str">
        <f>'7. Intervenciones UDT- BH'!$C$8</f>
        <v>UDT BAJO HUALLAGA</v>
      </c>
      <c r="C158" s="403" t="str">
        <f>'7. Intervenciones UDT- BH'!$F$10</f>
        <v>Predios de agricultura familiar con producción destinada al autoconsumo y productos de exportación, con título o sin título de propiedad.</v>
      </c>
      <c r="D158" s="404" t="str">
        <f>+'7. Intervenciones UDT- BH'!A33</f>
        <v>Programas de inversión pública</v>
      </c>
      <c r="E158" s="404" t="str">
        <f>+'7. Intervenciones UDT- BH'!C33</f>
        <v>4.1.16</v>
      </c>
      <c r="F158" s="403" t="str">
        <f>+'7. Intervenciones UDT- BH'!D33</f>
        <v>Promoción y desarrollo de proveedores de semillas mejoradas</v>
      </c>
      <c r="G158" s="403" t="str">
        <f>+'7. Intervenciones UDT- BH'!E33</f>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v>
      </c>
      <c r="H158" s="948" t="s">
        <v>1857</v>
      </c>
      <c r="I158" s="946" t="s">
        <v>193</v>
      </c>
      <c r="J158" s="946" t="s">
        <v>2592</v>
      </c>
      <c r="K158" s="946" t="s">
        <v>2329</v>
      </c>
      <c r="L158" s="946" t="s">
        <v>196</v>
      </c>
      <c r="M158" s="418" t="s">
        <v>1866</v>
      </c>
      <c r="N158" s="948" t="s">
        <v>1862</v>
      </c>
      <c r="O158" s="948" t="s">
        <v>219</v>
      </c>
      <c r="P158" s="951" t="s">
        <v>1865</v>
      </c>
      <c r="Q158" s="948" t="str">
        <f>+'7. Intervenciones UDT- BH'!F33</f>
        <v>Unidades semilleristas</v>
      </c>
      <c r="R158" s="405">
        <f>+'7. Intervenciones UDT- BH'!I33</f>
        <v>0</v>
      </c>
      <c r="S158" s="405">
        <f>+'7. Intervenciones UDT- BH'!J33</f>
        <v>3</v>
      </c>
      <c r="T158" s="405">
        <f>+'7. Intervenciones UDT- BH'!K33</f>
        <v>5</v>
      </c>
      <c r="U158" s="405">
        <f>+'7. Intervenciones UDT- BH'!L33</f>
        <v>15000</v>
      </c>
      <c r="V158" s="403" t="str">
        <f>+'7. Intervenciones UDT- BH'!M33</f>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v>
      </c>
      <c r="W158" s="403" t="str">
        <f>+'7. Intervenciones UDT- BH'!N33</f>
        <v>DRASAM</v>
      </c>
      <c r="X158" s="588">
        <f>+'7. Intervenciones UDT- BH'!O33</f>
        <v>45000</v>
      </c>
      <c r="Y158" s="588">
        <f>+Tabla1[[#This Row],[2025 Directo]]*(1+$Y$3)</f>
        <v>45472.5</v>
      </c>
      <c r="Z158" s="588">
        <f>+'7. Intervenciones UDT- BH'!P33</f>
        <v>75000</v>
      </c>
      <c r="AA158" s="588">
        <f>+Tabla1[[#This Row],[2030 Directo]]*(1+$Y$3)</f>
        <v>75787.5</v>
      </c>
      <c r="AB158" s="588">
        <f>+'7. Intervenciones UDT- BH'!Q33</f>
        <v>9000</v>
      </c>
      <c r="AC158" s="588">
        <f>+Tabla1[[#This Row],[Año 1 Cto Directo]]*(1+$Y$3)</f>
        <v>9094.5</v>
      </c>
      <c r="AD158" s="588">
        <f>+'7. Intervenciones UDT- BH'!R33</f>
        <v>9000</v>
      </c>
      <c r="AE158" s="588">
        <f>+Tabla1[[#This Row],[Año 2 Cto. Directo]]*(1+$Y$3)</f>
        <v>9094.5</v>
      </c>
      <c r="AF158" s="588">
        <f>+'7. Intervenciones UDT- BH'!S33</f>
        <v>9000</v>
      </c>
      <c r="AG158" s="588">
        <f>+Tabla1[[#This Row],[Año 3 Cto. Directo]]*(1+$Y$3)</f>
        <v>9094.5</v>
      </c>
      <c r="AH158" s="588">
        <f>+'7. Intervenciones UDT- BH'!T33</f>
        <v>9000</v>
      </c>
      <c r="AI158" s="588">
        <f>+Tabla1[[#This Row],[Año 4 Cto. Directo]]*(1+$Y$3)</f>
        <v>9094.5</v>
      </c>
      <c r="AJ158" s="588">
        <f>+'7. Intervenciones UDT- BH'!U33</f>
        <v>9000</v>
      </c>
      <c r="AK158" s="588">
        <f>+Tabla1[[#This Row],[Año 5 Cto. Directo]]*(1+$Y$3)</f>
        <v>9094.5</v>
      </c>
      <c r="AL158" s="403">
        <f>+'7. Intervenciones UDT- BH'!V33</f>
        <v>0</v>
      </c>
      <c r="AM158" s="954"/>
      <c r="AN158" s="954"/>
      <c r="AO158" s="954" t="str">
        <f>+'7. Intervenciones UDT- BH'!Y33</f>
        <v>X</v>
      </c>
      <c r="AP158" s="954"/>
      <c r="AQ158" s="954"/>
      <c r="AR158" s="954">
        <f>+'7. Intervenciones UDT- BH'!AB33</f>
        <v>2</v>
      </c>
      <c r="AS158" s="403">
        <f t="shared" si="1"/>
        <v>1</v>
      </c>
    </row>
    <row r="159" spans="1:45" s="195" customFormat="1" ht="15.8" hidden="1" customHeight="1" x14ac:dyDescent="0.3">
      <c r="A159" s="403"/>
      <c r="B159" s="403" t="str">
        <f>'7. Intervenciones UDT- BH'!$C$8</f>
        <v>UDT BAJO HUALLAGA</v>
      </c>
      <c r="C159" s="403" t="str">
        <f>'7. Intervenciones UDT- BH'!$F$10</f>
        <v>Predios de agricultura familiar con producción destinada al autoconsumo y productos de exportación, con título o sin título de propiedad.</v>
      </c>
      <c r="D159" s="404" t="str">
        <f>+'7. Intervenciones UDT- BH'!A34</f>
        <v>Control y vigilancia</v>
      </c>
      <c r="E159" s="404" t="str">
        <f>+'7. Intervenciones UDT- BH'!C34</f>
        <v>4.1.17</v>
      </c>
      <c r="F159" s="403" t="str">
        <f>+'7. Intervenciones UDT- BH'!D34</f>
        <v>Promoción y acceso a los Mecanismos de Retribución por Servicios Eco sistémicos (MERESE)</v>
      </c>
      <c r="G159" s="403" t="str">
        <f>+'7. Intervenciones UDT- BH'!E34</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159" s="948" t="s">
        <v>1857</v>
      </c>
      <c r="I159" s="946" t="s">
        <v>203</v>
      </c>
      <c r="J159" s="946" t="s">
        <v>2595</v>
      </c>
      <c r="K159" s="946" t="s">
        <v>2333</v>
      </c>
      <c r="L159" s="946" t="s">
        <v>204</v>
      </c>
      <c r="M159" s="418" t="s">
        <v>1878</v>
      </c>
      <c r="N159" s="948" t="s">
        <v>1879</v>
      </c>
      <c r="O159" s="948" t="s">
        <v>225</v>
      </c>
      <c r="P159" s="951" t="s">
        <v>1880</v>
      </c>
      <c r="Q159" s="948" t="str">
        <f>+'7. Intervenciones UDT- BH'!F34</f>
        <v>Campañas de difusión y promoción</v>
      </c>
      <c r="R159" s="405">
        <f>+'7. Intervenciones UDT- BH'!I34</f>
        <v>0</v>
      </c>
      <c r="S159" s="405">
        <f>+'7. Intervenciones UDT- BH'!J34</f>
        <v>25</v>
      </c>
      <c r="T159" s="405">
        <f>+'7. Intervenciones UDT- BH'!K34</f>
        <v>25</v>
      </c>
      <c r="U159" s="405">
        <f>+'7. Intervenciones UDT- BH'!L34</f>
        <v>10000</v>
      </c>
      <c r="V159" s="403" t="str">
        <f>+'7. Intervenciones UDT- BH'!M34</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159" s="403" t="str">
        <f>+'7. Intervenciones UDT- BH'!N34</f>
        <v>SUNASS</v>
      </c>
      <c r="X159" s="588">
        <f>+'7. Intervenciones UDT- BH'!O34</f>
        <v>250000</v>
      </c>
      <c r="Y159" s="588">
        <f>+Tabla1[[#This Row],[2025 Directo]]*(1+$Y$3)</f>
        <v>252625</v>
      </c>
      <c r="Z159" s="588">
        <f>+'7. Intervenciones UDT- BH'!P34</f>
        <v>250000</v>
      </c>
      <c r="AA159" s="588">
        <f>+Tabla1[[#This Row],[2030 Directo]]*(1+$Y$3)</f>
        <v>252625</v>
      </c>
      <c r="AB159" s="588">
        <f>+'7. Intervenciones UDT- BH'!Q34</f>
        <v>50000</v>
      </c>
      <c r="AC159" s="588">
        <f>+Tabla1[[#This Row],[Año 1 Cto Directo]]*(1+$Y$3)</f>
        <v>50525</v>
      </c>
      <c r="AD159" s="588">
        <f>+'7. Intervenciones UDT- BH'!R34</f>
        <v>50000</v>
      </c>
      <c r="AE159" s="588">
        <f>+Tabla1[[#This Row],[Año 2 Cto. Directo]]*(1+$Y$3)</f>
        <v>50525</v>
      </c>
      <c r="AF159" s="588">
        <f>+'7. Intervenciones UDT- BH'!S34</f>
        <v>50000</v>
      </c>
      <c r="AG159" s="588">
        <f>+Tabla1[[#This Row],[Año 3 Cto. Directo]]*(1+$Y$3)</f>
        <v>50525</v>
      </c>
      <c r="AH159" s="588">
        <f>+'7. Intervenciones UDT- BH'!T34</f>
        <v>50000</v>
      </c>
      <c r="AI159" s="588">
        <f>+Tabla1[[#This Row],[Año 4 Cto. Directo]]*(1+$Y$3)</f>
        <v>50525</v>
      </c>
      <c r="AJ159" s="588">
        <f>+'7. Intervenciones UDT- BH'!U34</f>
        <v>50000</v>
      </c>
      <c r="AK159" s="588">
        <f>+Tabla1[[#This Row],[Año 5 Cto. Directo]]*(1+$Y$3)</f>
        <v>50525</v>
      </c>
      <c r="AL159" s="403">
        <f>+'7. Intervenciones UDT- BH'!V34</f>
        <v>0</v>
      </c>
      <c r="AM159" s="954" t="str">
        <f>+'7. Intervenciones UDT- BH'!W34</f>
        <v>X</v>
      </c>
      <c r="AN159" s="954"/>
      <c r="AO159" s="954"/>
      <c r="AP159" s="954"/>
      <c r="AQ159" s="954"/>
      <c r="AR159" s="954">
        <f>+'7. Intervenciones UDT- BH'!AB34</f>
        <v>3</v>
      </c>
      <c r="AS159" s="403">
        <f t="shared" si="1"/>
        <v>1</v>
      </c>
    </row>
    <row r="160" spans="1:45" s="195" customFormat="1" ht="15.8" hidden="1" customHeight="1" x14ac:dyDescent="0.3">
      <c r="A160" s="403"/>
      <c r="B160" s="403" t="str">
        <f>'7. Intervenciones UDT- BH'!$C$8</f>
        <v>UDT BAJO HUALLAGA</v>
      </c>
      <c r="C160" s="403" t="str">
        <f>'7. Intervenciones UDT- BH'!$F$38</f>
        <v>Predios privados para ganadería de leche y carne</v>
      </c>
      <c r="D160" s="404" t="str">
        <f>+'7. Intervenciones UDT- BH'!A46</f>
        <v>Invasiones</v>
      </c>
      <c r="E160" s="404" t="str">
        <f>+'7. Intervenciones UDT- BH'!C46</f>
        <v>4.2.1</v>
      </c>
      <c r="F160" s="403" t="str">
        <f>+'7. Intervenciones UDT- BH'!D46</f>
        <v>Otorgamiento de derechos sobre la tierra/bosques</v>
      </c>
      <c r="G160" s="403" t="str">
        <f>+'7. Intervenciones UDT- BH'!E46</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160" s="948" t="s">
        <v>1857</v>
      </c>
      <c r="I160" s="946" t="s">
        <v>199</v>
      </c>
      <c r="J160" s="946" t="s">
        <v>2591</v>
      </c>
      <c r="K160" s="946" t="s">
        <v>2331</v>
      </c>
      <c r="L160" s="946" t="s">
        <v>202</v>
      </c>
      <c r="M160" s="418" t="s">
        <v>1858</v>
      </c>
      <c r="N160" s="948" t="s">
        <v>1859</v>
      </c>
      <c r="O160" s="948" t="s">
        <v>223</v>
      </c>
      <c r="P160" s="951" t="s">
        <v>1860</v>
      </c>
      <c r="Q160" s="948" t="str">
        <f>+'7. Intervenciones UDT- BH'!F46</f>
        <v>N° Títulos/Contratos otorgados</v>
      </c>
      <c r="R160" s="405">
        <f>+'7. Intervenciones UDT- BH'!I46</f>
        <v>259.94579468684702</v>
      </c>
      <c r="S160" s="405">
        <f>+'7. Intervenciones UDT- BH'!J46</f>
        <v>129.97289734342351</v>
      </c>
      <c r="T160" s="405">
        <f>+'7. Intervenciones UDT- BH'!K46</f>
        <v>129.97289734342351</v>
      </c>
      <c r="U160" s="405">
        <f>+'7. Intervenciones UDT- BH'!L46</f>
        <v>2000</v>
      </c>
      <c r="V160" s="403" t="str">
        <f>+'7. Intervenciones UDT- BH'!M46</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160" s="403" t="str">
        <f>+'7. Intervenciones UDT- BH'!N46</f>
        <v>Programa de titulación PTR 3 / ARA</v>
      </c>
      <c r="X160" s="588">
        <f>+'7. Intervenciones UDT- BH'!O46</f>
        <v>259945.79468684702</v>
      </c>
      <c r="Y160" s="588">
        <f>+Tabla1[[#This Row],[2025 Directo]]*(1+$Y$3)</f>
        <v>262675.22553105891</v>
      </c>
      <c r="Z160" s="588">
        <f>+'7. Intervenciones UDT- BH'!P46</f>
        <v>259945.79468684702</v>
      </c>
      <c r="AA160" s="588">
        <f>+Tabla1[[#This Row],[2030 Directo]]*(1+$Y$3)</f>
        <v>262675.22553105891</v>
      </c>
      <c r="AB160" s="588">
        <f>+'7. Intervenciones UDT- BH'!Q46</f>
        <v>25994.579468684704</v>
      </c>
      <c r="AC160" s="588">
        <f>+Tabla1[[#This Row],[Año 1 Cto Directo]]*(1+$Y$3)</f>
        <v>26267.522553105893</v>
      </c>
      <c r="AD160" s="588">
        <f>+'7. Intervenciones UDT- BH'!R46</f>
        <v>38991.869203027054</v>
      </c>
      <c r="AE160" s="588">
        <f>+Tabla1[[#This Row],[Año 2 Cto. Directo]]*(1+$Y$3)</f>
        <v>39401.283829658838</v>
      </c>
      <c r="AF160" s="588">
        <f>+'7. Intervenciones UDT- BH'!S46</f>
        <v>51989.158937369408</v>
      </c>
      <c r="AG160" s="588">
        <f>+Tabla1[[#This Row],[Año 3 Cto. Directo]]*(1+$Y$3)</f>
        <v>52535.045106211786</v>
      </c>
      <c r="AH160" s="588">
        <f>+'7. Intervenciones UDT- BH'!T46</f>
        <v>77983.738406054108</v>
      </c>
      <c r="AI160" s="588">
        <f>+Tabla1[[#This Row],[Año 4 Cto. Directo]]*(1+$Y$3)</f>
        <v>78802.567659317676</v>
      </c>
      <c r="AJ160" s="588">
        <f>+'7. Intervenciones UDT- BH'!U46</f>
        <v>64986.448671711754</v>
      </c>
      <c r="AK160" s="588">
        <f>+Tabla1[[#This Row],[Año 5 Cto. Directo]]*(1+$Y$3)</f>
        <v>65668.806382764727</v>
      </c>
      <c r="AL160" s="403">
        <f>+'7. Intervenciones UDT- BH'!V46</f>
        <v>0</v>
      </c>
      <c r="AM160" s="954"/>
      <c r="AN160" s="954"/>
      <c r="AO160" s="954" t="str">
        <f>+'7. Intervenciones UDT- BH'!Y46</f>
        <v>X</v>
      </c>
      <c r="AP160" s="954"/>
      <c r="AQ160" s="954" t="str">
        <f>+'7. Intervenciones UDT- BH'!AA46</f>
        <v>RE</v>
      </c>
      <c r="AR160" s="954">
        <f>+'7. Intervenciones UDT- BH'!AB46</f>
        <v>3</v>
      </c>
      <c r="AS160" s="403">
        <f t="shared" ref="AS160" si="10">COUNTIF(AM160:AP160, "X")</f>
        <v>1</v>
      </c>
    </row>
    <row r="161" spans="1:45" s="195" customFormat="1" ht="15.8" hidden="1" customHeight="1" x14ac:dyDescent="0.3">
      <c r="A161" s="403"/>
      <c r="B161" s="403" t="str">
        <f>'7. Intervenciones UDT- BH'!$C$8</f>
        <v>UDT BAJO HUALLAGA</v>
      </c>
      <c r="C161" s="403" t="str">
        <f>'7. Intervenciones UDT- BH'!$F$38</f>
        <v>Predios privados para ganadería de leche y carne</v>
      </c>
      <c r="D161" s="404" t="str">
        <f>+'7. Intervenciones UDT- BH'!A47</f>
        <v>Programas de inversión pública</v>
      </c>
      <c r="E161" s="404" t="str">
        <f>+'7. Intervenciones UDT- BH'!C47</f>
        <v>4.2.2</v>
      </c>
      <c r="F161" s="403" t="str">
        <f>+'7. Intervenciones UDT- BH'!D47</f>
        <v xml:space="preserve">Asistencia técnica para el mejoramiento de pastos y ganadería </v>
      </c>
      <c r="G161" s="403" t="str">
        <f>+'7. Intervenciones UDT- BH'!E47</f>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H161" s="948" t="s">
        <v>1857</v>
      </c>
      <c r="I161" s="946" t="s">
        <v>193</v>
      </c>
      <c r="J161" s="946" t="s">
        <v>2592</v>
      </c>
      <c r="K161" s="946" t="s">
        <v>2329</v>
      </c>
      <c r="L161" s="946" t="s">
        <v>194</v>
      </c>
      <c r="M161" s="418" t="s">
        <v>1861</v>
      </c>
      <c r="N161" s="948" t="s">
        <v>1862</v>
      </c>
      <c r="O161" s="948" t="s">
        <v>224</v>
      </c>
      <c r="P161" s="951" t="s">
        <v>1863</v>
      </c>
      <c r="Q161" s="948" t="str">
        <f>+'7. Intervenciones UDT- BH'!F47</f>
        <v>Ganaderos asistidos</v>
      </c>
      <c r="R161" s="405">
        <f>+'7. Intervenciones UDT- BH'!I47</f>
        <v>1214</v>
      </c>
      <c r="S161" s="405">
        <f>+'7. Intervenciones UDT- BH'!J47</f>
        <v>1214</v>
      </c>
      <c r="T161" s="405">
        <f>+'7. Intervenciones UDT- BH'!K47</f>
        <v>1214</v>
      </c>
      <c r="U161" s="405">
        <f>+'7. Intervenciones UDT- BH'!L47</f>
        <v>560</v>
      </c>
      <c r="V161" s="403" t="str">
        <f>+'7. Intervenciones UDT- BH'!M47</f>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v>
      </c>
      <c r="W161" s="403" t="str">
        <f>+'7. Intervenciones UDT- BH'!N47</f>
        <v>DRASAM</v>
      </c>
      <c r="X161" s="588">
        <f>+'7. Intervenciones UDT- BH'!O47</f>
        <v>679840</v>
      </c>
      <c r="Y161" s="588">
        <f>+Tabla1[[#This Row],[2025 Directo]]*(1+$Y$3)</f>
        <v>686978.32</v>
      </c>
      <c r="Z161" s="588">
        <f>+'7. Intervenciones UDT- BH'!P47</f>
        <v>679840</v>
      </c>
      <c r="AA161" s="588">
        <f>+Tabla1[[#This Row],[2030 Directo]]*(1+$Y$3)</f>
        <v>686978.32</v>
      </c>
      <c r="AB161" s="588">
        <f>+'7. Intervenciones UDT- BH'!Q47</f>
        <v>135968</v>
      </c>
      <c r="AC161" s="588">
        <f>+Tabla1[[#This Row],[Año 1 Cto Directo]]*(1+$Y$3)</f>
        <v>137395.66399999999</v>
      </c>
      <c r="AD161" s="588">
        <f>+'7. Intervenciones UDT- BH'!R47</f>
        <v>135968</v>
      </c>
      <c r="AE161" s="588">
        <f>+Tabla1[[#This Row],[Año 2 Cto. Directo]]*(1+$Y$3)</f>
        <v>137395.66399999999</v>
      </c>
      <c r="AF161" s="588">
        <f>+'7. Intervenciones UDT- BH'!S47</f>
        <v>135968</v>
      </c>
      <c r="AG161" s="588">
        <f>+Tabla1[[#This Row],[Año 3 Cto. Directo]]*(1+$Y$3)</f>
        <v>137395.66399999999</v>
      </c>
      <c r="AH161" s="588">
        <f>+'7. Intervenciones UDT- BH'!T47</f>
        <v>135968</v>
      </c>
      <c r="AI161" s="588">
        <f>+Tabla1[[#This Row],[Año 4 Cto. Directo]]*(1+$Y$3)</f>
        <v>137395.66399999999</v>
      </c>
      <c r="AJ161" s="588">
        <f>+'7. Intervenciones UDT- BH'!U47</f>
        <v>135968</v>
      </c>
      <c r="AK161" s="588">
        <f>+Tabla1[[#This Row],[Año 5 Cto. Directo]]*(1+$Y$3)</f>
        <v>137395.66399999999</v>
      </c>
      <c r="AL161" s="403">
        <f>+'7. Intervenciones UDT- BH'!V47</f>
        <v>0</v>
      </c>
      <c r="AM161" s="954"/>
      <c r="AN161" s="954"/>
      <c r="AO161" s="954" t="str">
        <f>+'7. Intervenciones UDT- BH'!Y47</f>
        <v>X</v>
      </c>
      <c r="AP161" s="954"/>
      <c r="AQ161" s="954" t="str">
        <f>+'7. Intervenciones UDT- BH'!AA47</f>
        <v>RE</v>
      </c>
      <c r="AR161" s="954">
        <f>+'7. Intervenciones UDT- BH'!AB47</f>
        <v>3</v>
      </c>
      <c r="AS161" s="403">
        <f t="shared" si="1"/>
        <v>1</v>
      </c>
    </row>
    <row r="162" spans="1:45" s="195" customFormat="1" ht="15.8" hidden="1" customHeight="1" x14ac:dyDescent="0.3">
      <c r="A162" s="403"/>
      <c r="B162" s="403" t="str">
        <f>'7. Intervenciones UDT- BH'!$C$8</f>
        <v>UDT BAJO HUALLAGA</v>
      </c>
      <c r="C162" s="403" t="str">
        <f>'7. Intervenciones UDT- BH'!$F$38</f>
        <v>Predios privados para ganadería de leche y carne</v>
      </c>
      <c r="D162" s="404" t="str">
        <f>+'7. Intervenciones UDT- BH'!A48</f>
        <v>Programas de inversión pública</v>
      </c>
      <c r="E162" s="404" t="str">
        <f>+'7. Intervenciones UDT- BH'!C48</f>
        <v>4.2.3</v>
      </c>
      <c r="F162" s="403" t="str">
        <f>+'7. Intervenciones UDT- BH'!D48</f>
        <v>Manejo, conservación y recuperación de suelos degradados</v>
      </c>
      <c r="G162" s="403" t="str">
        <f>+'7. Intervenciones UDT- BH'!E48</f>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v>
      </c>
      <c r="H162" s="948" t="s">
        <v>1864</v>
      </c>
      <c r="I162" s="946" t="s">
        <v>193</v>
      </c>
      <c r="J162" s="946" t="s">
        <v>2592</v>
      </c>
      <c r="K162" s="946" t="s">
        <v>2329</v>
      </c>
      <c r="L162" s="946" t="s">
        <v>194</v>
      </c>
      <c r="M162" s="418" t="s">
        <v>1861</v>
      </c>
      <c r="N162" s="948" t="s">
        <v>1862</v>
      </c>
      <c r="O162" s="948" t="s">
        <v>219</v>
      </c>
      <c r="P162" s="951" t="s">
        <v>1865</v>
      </c>
      <c r="Q162" s="948" t="str">
        <f>+'7. Intervenciones UDT- BH'!F48</f>
        <v>Hectáreas intervenidas</v>
      </c>
      <c r="R162" s="405">
        <f>+'7. Intervenciones UDT- BH'!I48</f>
        <v>3975</v>
      </c>
      <c r="S162" s="405">
        <f>+'7. Intervenciones UDT- BH'!J48</f>
        <v>795</v>
      </c>
      <c r="T162" s="405">
        <f>+'7. Intervenciones UDT- BH'!K48</f>
        <v>795</v>
      </c>
      <c r="U162" s="405">
        <f>+'7. Intervenciones UDT- BH'!L48</f>
        <v>500</v>
      </c>
      <c r="V162" s="403" t="str">
        <f>+'7. Intervenciones UDT- BH'!M48</f>
        <v>El costo incluye adquisición de semillas, insumos, fertilizantes, entre otras para la producción de plantas agroforestales o coberturas  verdes.</v>
      </c>
      <c r="W162" s="403" t="str">
        <f>+'7. Intervenciones UDT- BH'!N48</f>
        <v>DRASAM</v>
      </c>
      <c r="X162" s="588">
        <f>+'7. Intervenciones UDT- BH'!O48</f>
        <v>397500</v>
      </c>
      <c r="Y162" s="588">
        <f>+Tabla1[[#This Row],[2025 Directo]]*(1+$Y$3)</f>
        <v>401673.75</v>
      </c>
      <c r="Z162" s="588">
        <f>+'7. Intervenciones UDT- BH'!P48</f>
        <v>397500</v>
      </c>
      <c r="AA162" s="588">
        <f>+Tabla1[[#This Row],[2030 Directo]]*(1+$Y$3)</f>
        <v>401673.75</v>
      </c>
      <c r="AB162" s="588">
        <f>+'7. Intervenciones UDT- BH'!Q48</f>
        <v>79500</v>
      </c>
      <c r="AC162" s="588">
        <f>+Tabla1[[#This Row],[Año 1 Cto Directo]]*(1+$Y$3)</f>
        <v>80334.75</v>
      </c>
      <c r="AD162" s="588">
        <f>+'7. Intervenciones UDT- BH'!R48</f>
        <v>79500</v>
      </c>
      <c r="AE162" s="588">
        <f>+Tabla1[[#This Row],[Año 2 Cto. Directo]]*(1+$Y$3)</f>
        <v>80334.75</v>
      </c>
      <c r="AF162" s="588">
        <f>+'7. Intervenciones UDT- BH'!S48</f>
        <v>79500</v>
      </c>
      <c r="AG162" s="588">
        <f>+Tabla1[[#This Row],[Año 3 Cto. Directo]]*(1+$Y$3)</f>
        <v>80334.75</v>
      </c>
      <c r="AH162" s="588">
        <f>+'7. Intervenciones UDT- BH'!T48</f>
        <v>79500</v>
      </c>
      <c r="AI162" s="588">
        <f>+Tabla1[[#This Row],[Año 4 Cto. Directo]]*(1+$Y$3)</f>
        <v>80334.75</v>
      </c>
      <c r="AJ162" s="588">
        <f>+'7. Intervenciones UDT- BH'!U48</f>
        <v>79500</v>
      </c>
      <c r="AK162" s="588">
        <f>+Tabla1[[#This Row],[Año 5 Cto. Directo]]*(1+$Y$3)</f>
        <v>80334.75</v>
      </c>
      <c r="AL162" s="403">
        <f>+'7. Intervenciones UDT- BH'!V48</f>
        <v>0</v>
      </c>
      <c r="AM162" s="954"/>
      <c r="AN162" s="954"/>
      <c r="AO162" s="954" t="str">
        <f>+'7. Intervenciones UDT- BH'!Y48</f>
        <v>X</v>
      </c>
      <c r="AP162" s="954"/>
      <c r="AQ162" s="954" t="str">
        <f>+'7. Intervenciones UDT- BH'!AA48</f>
        <v>RE</v>
      </c>
      <c r="AR162" s="954">
        <f>+'7. Intervenciones UDT- BH'!AB48</f>
        <v>2</v>
      </c>
      <c r="AS162" s="403">
        <f t="shared" si="1"/>
        <v>1</v>
      </c>
    </row>
    <row r="163" spans="1:45" s="195" customFormat="1" ht="15.8" hidden="1" customHeight="1" x14ac:dyDescent="0.3">
      <c r="A163" s="403"/>
      <c r="B163" s="403" t="str">
        <f>'7. Intervenciones UDT- BH'!$C$8</f>
        <v>UDT BAJO HUALLAGA</v>
      </c>
      <c r="C163" s="403" t="str">
        <f>'7. Intervenciones UDT- BH'!$F$38</f>
        <v>Predios privados para ganadería de leche y carne</v>
      </c>
      <c r="D163" s="404" t="str">
        <f>+'7. Intervenciones UDT- BH'!A49</f>
        <v>Programas de inversión pública</v>
      </c>
      <c r="E163" s="404" t="str">
        <f>+'7. Intervenciones UDT- BH'!C49</f>
        <v>4.2.4</v>
      </c>
      <c r="F163" s="403" t="str">
        <f>+'7. Intervenciones UDT- BH'!D49</f>
        <v>Mejoramiento genético de ganado bovino</v>
      </c>
      <c r="G163" s="403" t="str">
        <f>+'7. Intervenciones UDT- BH'!E49</f>
        <v>Reactivación  , implementación y gestión de las postas de inseminación artificial, importación de material genético (pajillas de semen), capacitación y entrenamiento a inseminadores, transferencia de embriones.</v>
      </c>
      <c r="H163" s="948" t="s">
        <v>1864</v>
      </c>
      <c r="I163" s="946" t="s">
        <v>193</v>
      </c>
      <c r="J163" s="946" t="s">
        <v>2592</v>
      </c>
      <c r="K163" s="946" t="s">
        <v>2329</v>
      </c>
      <c r="L163" s="946" t="s">
        <v>196</v>
      </c>
      <c r="M163" s="418" t="s">
        <v>1866</v>
      </c>
      <c r="N163" s="948" t="s">
        <v>1862</v>
      </c>
      <c r="O163" s="948" t="s">
        <v>219</v>
      </c>
      <c r="P163" s="951" t="s">
        <v>1865</v>
      </c>
      <c r="Q163" s="948" t="str">
        <f>+'7. Intervenciones UDT- BH'!F49</f>
        <v>Postas activas y operativas</v>
      </c>
      <c r="R163" s="405">
        <f>+'7. Intervenciones UDT- BH'!I49</f>
        <v>0</v>
      </c>
      <c r="S163" s="405">
        <f>+'7. Intervenciones UDT- BH'!J49</f>
        <v>3</v>
      </c>
      <c r="T163" s="405">
        <f>+'7. Intervenciones UDT- BH'!K49</f>
        <v>3</v>
      </c>
      <c r="U163" s="405">
        <f>+'7. Intervenciones UDT- BH'!L49</f>
        <v>54800</v>
      </c>
      <c r="V163" s="403" t="str">
        <f>+'7. Intervenciones UDT- BH'!M49</f>
        <v xml:space="preserve"> Costo por posta reactivada y/o instalada, cada una estará ubicada en un punto estratégico para coberturar la mayor cantidad de ganaderos. Considerando la implementación con tanques criogénicos, materiales diversos, pajillas, técnico especialista, movilidad entre otros. </v>
      </c>
      <c r="W163" s="403" t="str">
        <f>+'7. Intervenciones UDT- BH'!N49</f>
        <v>Direpro</v>
      </c>
      <c r="X163" s="588">
        <f>+'7. Intervenciones UDT- BH'!O49</f>
        <v>822000</v>
      </c>
      <c r="Y163" s="588">
        <f>+Tabla1[[#This Row],[2025 Directo]]*(1+$Y$3)</f>
        <v>830631</v>
      </c>
      <c r="Z163" s="588">
        <f>+'7. Intervenciones UDT- BH'!P49</f>
        <v>822000</v>
      </c>
      <c r="AA163" s="588">
        <f>+Tabla1[[#This Row],[2030 Directo]]*(1+$Y$3)</f>
        <v>830631</v>
      </c>
      <c r="AB163" s="588">
        <f>+'7. Intervenciones UDT- BH'!Q49</f>
        <v>164400</v>
      </c>
      <c r="AC163" s="588">
        <f>+Tabla1[[#This Row],[Año 1 Cto Directo]]*(1+$Y$3)</f>
        <v>166126.19999999998</v>
      </c>
      <c r="AD163" s="588">
        <f>+'7. Intervenciones UDT- BH'!R49</f>
        <v>164400</v>
      </c>
      <c r="AE163" s="588">
        <f>+Tabla1[[#This Row],[Año 2 Cto. Directo]]*(1+$Y$3)</f>
        <v>166126.19999999998</v>
      </c>
      <c r="AF163" s="588">
        <f>+'7. Intervenciones UDT- BH'!S49</f>
        <v>164400</v>
      </c>
      <c r="AG163" s="588">
        <f>+Tabla1[[#This Row],[Año 3 Cto. Directo]]*(1+$Y$3)</f>
        <v>166126.19999999998</v>
      </c>
      <c r="AH163" s="588">
        <f>+'7. Intervenciones UDT- BH'!T49</f>
        <v>164400</v>
      </c>
      <c r="AI163" s="588">
        <f>+Tabla1[[#This Row],[Año 4 Cto. Directo]]*(1+$Y$3)</f>
        <v>166126.19999999998</v>
      </c>
      <c r="AJ163" s="588">
        <f>+'7. Intervenciones UDT- BH'!U49</f>
        <v>164400</v>
      </c>
      <c r="AK163" s="588">
        <f>+Tabla1[[#This Row],[Año 5 Cto. Directo]]*(1+$Y$3)</f>
        <v>166126.19999999998</v>
      </c>
      <c r="AL163" s="403">
        <f>+'7. Intervenciones UDT- BH'!V49</f>
        <v>0</v>
      </c>
      <c r="AM163" s="954"/>
      <c r="AN163" s="954" t="str">
        <f>+'7. Intervenciones UDT- BH'!X49</f>
        <v>X</v>
      </c>
      <c r="AO163" s="954"/>
      <c r="AP163" s="954"/>
      <c r="AQ163" s="954"/>
      <c r="AR163" s="954">
        <f>+'7. Intervenciones UDT- BH'!AB49</f>
        <v>3</v>
      </c>
      <c r="AS163" s="403">
        <f t="shared" si="1"/>
        <v>1</v>
      </c>
    </row>
    <row r="164" spans="1:45" s="195" customFormat="1" ht="15.8" hidden="1" customHeight="1" x14ac:dyDescent="0.3">
      <c r="A164" s="403"/>
      <c r="B164" s="403" t="str">
        <f>'7. Intervenciones UDT- BH'!$C$8</f>
        <v>UDT BAJO HUALLAGA</v>
      </c>
      <c r="C164" s="403" t="str">
        <f>'7. Intervenciones UDT- BH'!$F$38</f>
        <v>Predios privados para ganadería de leche y carne</v>
      </c>
      <c r="D164" s="404" t="str">
        <f>+'7. Intervenciones UDT- BH'!A50</f>
        <v>Ingresos y Capital</v>
      </c>
      <c r="E164" s="404" t="str">
        <f>+'7. Intervenciones UDT- BH'!C50</f>
        <v>4.2.5</v>
      </c>
      <c r="F164" s="403" t="str">
        <f>+'7. Intervenciones UDT- BH'!D50</f>
        <v>Programa de acceso al financiamiento agropecuario condicionado</v>
      </c>
      <c r="G164" s="403" t="str">
        <f>+'7. Intervenciones UDT- BH'!E50</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v>
      </c>
      <c r="H164" s="948" t="s">
        <v>1864</v>
      </c>
      <c r="I164" s="946" t="s">
        <v>193</v>
      </c>
      <c r="J164" s="946" t="s">
        <v>2593</v>
      </c>
      <c r="K164" s="946" t="s">
        <v>2330</v>
      </c>
      <c r="L164" s="946" t="s">
        <v>195</v>
      </c>
      <c r="M164" s="418" t="s">
        <v>1871</v>
      </c>
      <c r="N164" s="948" t="s">
        <v>1862</v>
      </c>
      <c r="O164" s="948" t="s">
        <v>218</v>
      </c>
      <c r="P164" s="951" t="s">
        <v>1872</v>
      </c>
      <c r="Q164" s="948" t="str">
        <f>+'7. Intervenciones UDT- BH'!F50</f>
        <v>Créditos otorgados</v>
      </c>
      <c r="R164" s="405">
        <f>+'7. Intervenciones UDT- BH'!I50</f>
        <v>1214</v>
      </c>
      <c r="S164" s="405">
        <f>+'7. Intervenciones UDT- BH'!J50</f>
        <v>364.2</v>
      </c>
      <c r="T164" s="405">
        <f>+'7. Intervenciones UDT- BH'!K50</f>
        <v>242.8</v>
      </c>
      <c r="U164" s="405">
        <f>+'7. Intervenciones UDT- BH'!L50</f>
        <v>10750</v>
      </c>
      <c r="V164" s="403" t="str">
        <f>+'7. Intervenciones UDT- BH'!M50</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164" s="403" t="str">
        <f>+'7. Intervenciones UDT- BH'!N50</f>
        <v>Drasam, Direpro, OPIPs</v>
      </c>
      <c r="X164" s="588">
        <f>+'7. Intervenciones UDT- BH'!O50</f>
        <v>3915150</v>
      </c>
      <c r="Y164" s="588">
        <f>+Tabla1[[#This Row],[2025 Directo]]*(1+$Y$3)</f>
        <v>3956259.0749999997</v>
      </c>
      <c r="Z164" s="588">
        <f>+'7. Intervenciones UDT- BH'!P50</f>
        <v>2610100</v>
      </c>
      <c r="AA164" s="588">
        <f>+Tabla1[[#This Row],[2030 Directo]]*(1+$Y$3)</f>
        <v>2637506.0499999998</v>
      </c>
      <c r="AB164" s="588">
        <f>+'7. Intervenciones UDT- BH'!Q50</f>
        <v>783030</v>
      </c>
      <c r="AC164" s="588">
        <f>+Tabla1[[#This Row],[Año 1 Cto Directo]]*(1+$Y$3)</f>
        <v>791251.81499999994</v>
      </c>
      <c r="AD164" s="588">
        <f>+'7. Intervenciones UDT- BH'!R50</f>
        <v>783030</v>
      </c>
      <c r="AE164" s="588">
        <f>+Tabla1[[#This Row],[Año 2 Cto. Directo]]*(1+$Y$3)</f>
        <v>791251.81499999994</v>
      </c>
      <c r="AF164" s="588">
        <f>+'7. Intervenciones UDT- BH'!S50</f>
        <v>783030</v>
      </c>
      <c r="AG164" s="588">
        <f>+Tabla1[[#This Row],[Año 3 Cto. Directo]]*(1+$Y$3)</f>
        <v>791251.81499999994</v>
      </c>
      <c r="AH164" s="588">
        <f>+'7. Intervenciones UDT- BH'!T50</f>
        <v>783030</v>
      </c>
      <c r="AI164" s="588">
        <f>+Tabla1[[#This Row],[Año 4 Cto. Directo]]*(1+$Y$3)</f>
        <v>791251.81499999994</v>
      </c>
      <c r="AJ164" s="588">
        <f>+'7. Intervenciones UDT- BH'!U50</f>
        <v>783030</v>
      </c>
      <c r="AK164" s="588">
        <f>+Tabla1[[#This Row],[Año 5 Cto. Directo]]*(1+$Y$3)</f>
        <v>791251.81499999994</v>
      </c>
      <c r="AL164" s="403">
        <f>+'7. Intervenciones UDT- BH'!V50</f>
        <v>0</v>
      </c>
      <c r="AM164" s="954" t="str">
        <f>+'7. Intervenciones UDT- BH'!W50</f>
        <v>X</v>
      </c>
      <c r="AN164" s="954"/>
      <c r="AO164" s="954"/>
      <c r="AP164" s="954"/>
      <c r="AQ164" s="954" t="str">
        <f>+'7. Intervenciones UDT- BH'!AA50</f>
        <v>RE</v>
      </c>
      <c r="AR164" s="954">
        <f>+'7. Intervenciones UDT- BH'!AB50</f>
        <v>3</v>
      </c>
      <c r="AS164" s="403">
        <f t="shared" si="1"/>
        <v>1</v>
      </c>
    </row>
    <row r="165" spans="1:45" s="195" customFormat="1" ht="15.8" hidden="1" customHeight="1" x14ac:dyDescent="0.3">
      <c r="A165" s="403"/>
      <c r="B165" s="403" t="str">
        <f>'7. Intervenciones UDT- BH'!$C$8</f>
        <v>UDT BAJO HUALLAGA</v>
      </c>
      <c r="C165" s="403" t="str">
        <f>'7. Intervenciones UDT- BH'!$F$38</f>
        <v>Predios privados para ganadería de leche y carne</v>
      </c>
      <c r="D165" s="404" t="str">
        <f>+'7. Intervenciones UDT- BH'!A51</f>
        <v>Programas de inversión pública</v>
      </c>
      <c r="E165" s="404" t="str">
        <f>+'7. Intervenciones UDT- BH'!C51</f>
        <v>4.2.6</v>
      </c>
      <c r="F165" s="403" t="str">
        <f>+'7. Intervenciones UDT- BH'!D51</f>
        <v>Promoción de modelos asociativos sostenibles</v>
      </c>
      <c r="G165" s="403" t="str">
        <f>+'7. Intervenciones UDT- BH'!E51</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H165" s="948" t="s">
        <v>1857</v>
      </c>
      <c r="I165" s="946" t="s">
        <v>193</v>
      </c>
      <c r="J165" s="946" t="s">
        <v>2594</v>
      </c>
      <c r="K165" s="946" t="s">
        <v>2332</v>
      </c>
      <c r="L165" s="946" t="s">
        <v>198</v>
      </c>
      <c r="M165" s="418" t="s">
        <v>1874</v>
      </c>
      <c r="N165" s="948" t="s">
        <v>1862</v>
      </c>
      <c r="O165" s="948" t="s">
        <v>230</v>
      </c>
      <c r="P165" s="951" t="s">
        <v>1875</v>
      </c>
      <c r="Q165" s="948" t="str">
        <f>+'7. Intervenciones UDT- BH'!F51</f>
        <v>Organizaciones fortalecidas</v>
      </c>
      <c r="R165" s="405">
        <f>+'7. Intervenciones UDT- BH'!I51</f>
        <v>0</v>
      </c>
      <c r="S165" s="405">
        <f>+'7. Intervenciones UDT- BH'!J51</f>
        <v>4</v>
      </c>
      <c r="T165" s="405">
        <f>+'7. Intervenciones UDT- BH'!K51</f>
        <v>5</v>
      </c>
      <c r="U165" s="405">
        <f>+'7. Intervenciones UDT- BH'!L51</f>
        <v>120000</v>
      </c>
      <c r="V165" s="403" t="str">
        <f>+'7. Intervenciones UDT- BH'!M51</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165" s="403" t="str">
        <f>+'7. Intervenciones UDT- BH'!N51</f>
        <v>Drasam, Dircetur, Direpro</v>
      </c>
      <c r="X165" s="588">
        <f>+'7. Intervenciones UDT- BH'!O51</f>
        <v>2400000</v>
      </c>
      <c r="Y165" s="588">
        <f>+Tabla1[[#This Row],[2025 Directo]]*(1+$Y$3)</f>
        <v>2425200</v>
      </c>
      <c r="Z165" s="588">
        <f>+'7. Intervenciones UDT- BH'!P51</f>
        <v>3000000</v>
      </c>
      <c r="AA165" s="588">
        <f>+Tabla1[[#This Row],[2030 Directo]]*(1+$Y$3)</f>
        <v>3031500</v>
      </c>
      <c r="AB165" s="588">
        <f>+'7. Intervenciones UDT- BH'!Q51</f>
        <v>480000</v>
      </c>
      <c r="AC165" s="588">
        <f>+Tabla1[[#This Row],[Año 1 Cto Directo]]*(1+$Y$3)</f>
        <v>485040</v>
      </c>
      <c r="AD165" s="588">
        <f>+'7. Intervenciones UDT- BH'!R51</f>
        <v>480000</v>
      </c>
      <c r="AE165" s="588">
        <f>+Tabla1[[#This Row],[Año 2 Cto. Directo]]*(1+$Y$3)</f>
        <v>485040</v>
      </c>
      <c r="AF165" s="588">
        <f>+'7. Intervenciones UDT- BH'!S51</f>
        <v>480000</v>
      </c>
      <c r="AG165" s="588">
        <f>+Tabla1[[#This Row],[Año 3 Cto. Directo]]*(1+$Y$3)</f>
        <v>485040</v>
      </c>
      <c r="AH165" s="588">
        <f>+'7. Intervenciones UDT- BH'!T51</f>
        <v>480000</v>
      </c>
      <c r="AI165" s="588">
        <f>+Tabla1[[#This Row],[Año 4 Cto. Directo]]*(1+$Y$3)</f>
        <v>485040</v>
      </c>
      <c r="AJ165" s="588">
        <f>+'7. Intervenciones UDT- BH'!U51</f>
        <v>480000</v>
      </c>
      <c r="AK165" s="588">
        <f>+Tabla1[[#This Row],[Año 5 Cto. Directo]]*(1+$Y$3)</f>
        <v>485040</v>
      </c>
      <c r="AL165" s="403">
        <f>+'7. Intervenciones UDT- BH'!V51</f>
        <v>0</v>
      </c>
      <c r="AM165" s="954"/>
      <c r="AN165" s="954"/>
      <c r="AO165" s="954" t="str">
        <f>+'7. Intervenciones UDT- BH'!Y51</f>
        <v>X</v>
      </c>
      <c r="AP165" s="954"/>
      <c r="AQ165" s="954"/>
      <c r="AR165" s="954">
        <f>+'7. Intervenciones UDT- BH'!AB51</f>
        <v>3</v>
      </c>
      <c r="AS165" s="403">
        <f t="shared" si="1"/>
        <v>1</v>
      </c>
    </row>
    <row r="166" spans="1:45" s="195" customFormat="1" ht="15.8" hidden="1" customHeight="1" x14ac:dyDescent="0.3">
      <c r="A166" s="403"/>
      <c r="B166" s="403" t="str">
        <f>'7. Intervenciones UDT- BH'!$C$8</f>
        <v>UDT BAJO HUALLAGA</v>
      </c>
      <c r="C166" s="403" t="str">
        <f>'7. Intervenciones UDT- BH'!$F$38</f>
        <v>Predios privados para ganadería de leche y carne</v>
      </c>
      <c r="D166" s="404" t="str">
        <f>+'7. Intervenciones UDT- BH'!A52</f>
        <v>Programas de inversión privada</v>
      </c>
      <c r="E166" s="404" t="str">
        <f>+'7. Intervenciones UDT- BH'!C52</f>
        <v>4.2.7</v>
      </c>
      <c r="F166" s="403" t="str">
        <f>+'7. Intervenciones UDT- BH'!D52</f>
        <v>Implementación de infraestructura productiva baja en emisiones</v>
      </c>
      <c r="G166" s="403" t="str">
        <f>+'7. Intervenciones UDT- BH'!E52</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H166" s="948" t="s">
        <v>1869</v>
      </c>
      <c r="I166" s="946" t="s">
        <v>193</v>
      </c>
      <c r="J166" s="946" t="s">
        <v>2592</v>
      </c>
      <c r="K166" s="946" t="s">
        <v>2329</v>
      </c>
      <c r="L166" s="946" t="s">
        <v>196</v>
      </c>
      <c r="M166" s="418" t="s">
        <v>1866</v>
      </c>
      <c r="N166" s="948" t="s">
        <v>1862</v>
      </c>
      <c r="O166" s="948" t="s">
        <v>219</v>
      </c>
      <c r="P166" s="951" t="s">
        <v>1865</v>
      </c>
      <c r="Q166" s="948" t="str">
        <f>+'7. Intervenciones UDT- BH'!F52</f>
        <v>Planes de negocios implementados</v>
      </c>
      <c r="R166" s="405">
        <f>+'7. Intervenciones UDT- BH'!I52</f>
        <v>0</v>
      </c>
      <c r="S166" s="405">
        <f>+'7. Intervenciones UDT- BH'!J52</f>
        <v>6</v>
      </c>
      <c r="T166" s="405">
        <f>+'7. Intervenciones UDT- BH'!K52</f>
        <v>10</v>
      </c>
      <c r="U166" s="405">
        <f>+'7. Intervenciones UDT- BH'!L52</f>
        <v>800000</v>
      </c>
      <c r="V166" s="403" t="str">
        <f>+'7. Intervenciones UDT- BH'!M52</f>
        <v xml:space="preserve">Financiamiento e implementación de los planes de negocio de las organizaciones seleccionadas, con la finalidad de mejorar los sistemas de crianza, así mismo los órganos competentes del GRSM realizaron los debidos procesos de seguimiento y monitoreo en la ejecución. </v>
      </c>
      <c r="W166" s="403" t="str">
        <f>+'7. Intervenciones UDT- BH'!N52</f>
        <v>Agroideas, Goresam</v>
      </c>
      <c r="X166" s="588">
        <f>+'7. Intervenciones UDT- BH'!O52</f>
        <v>4800000</v>
      </c>
      <c r="Y166" s="588">
        <f>+Tabla1[[#This Row],[2025 Directo]]*(1+$Y$3)</f>
        <v>4850400</v>
      </c>
      <c r="Z166" s="588">
        <f>+'7. Intervenciones UDT- BH'!P52</f>
        <v>8000000</v>
      </c>
      <c r="AA166" s="588">
        <f>+Tabla1[[#This Row],[2030 Directo]]*(1+$Y$3)</f>
        <v>8084000</v>
      </c>
      <c r="AB166" s="588">
        <f>+'7. Intervenciones UDT- BH'!Q52</f>
        <v>960000</v>
      </c>
      <c r="AC166" s="588">
        <f>+Tabla1[[#This Row],[Año 1 Cto Directo]]*(1+$Y$3)</f>
        <v>970080</v>
      </c>
      <c r="AD166" s="588">
        <f>+'7. Intervenciones UDT- BH'!R52</f>
        <v>960000</v>
      </c>
      <c r="AE166" s="588">
        <f>+Tabla1[[#This Row],[Año 2 Cto. Directo]]*(1+$Y$3)</f>
        <v>970080</v>
      </c>
      <c r="AF166" s="588">
        <f>+'7. Intervenciones UDT- BH'!S52</f>
        <v>960000</v>
      </c>
      <c r="AG166" s="588">
        <f>+Tabla1[[#This Row],[Año 3 Cto. Directo]]*(1+$Y$3)</f>
        <v>970080</v>
      </c>
      <c r="AH166" s="588">
        <f>+'7. Intervenciones UDT- BH'!T52</f>
        <v>960000</v>
      </c>
      <c r="AI166" s="588">
        <f>+Tabla1[[#This Row],[Año 4 Cto. Directo]]*(1+$Y$3)</f>
        <v>970080</v>
      </c>
      <c r="AJ166" s="588">
        <f>+'7. Intervenciones UDT- BH'!U52</f>
        <v>960000</v>
      </c>
      <c r="AK166" s="588">
        <f>+Tabla1[[#This Row],[Año 5 Cto. Directo]]*(1+$Y$3)</f>
        <v>970080</v>
      </c>
      <c r="AL166" s="403">
        <f>+'7. Intervenciones UDT- BH'!V52</f>
        <v>0</v>
      </c>
      <c r="AM166" s="954" t="str">
        <f>+'7. Intervenciones UDT- BH'!W52</f>
        <v>X</v>
      </c>
      <c r="AN166" s="954"/>
      <c r="AO166" s="954"/>
      <c r="AP166" s="954"/>
      <c r="AQ166" s="954"/>
      <c r="AR166" s="954">
        <f>+'7. Intervenciones UDT- BH'!AB52</f>
        <v>3</v>
      </c>
      <c r="AS166" s="403">
        <f t="shared" si="1"/>
        <v>1</v>
      </c>
    </row>
    <row r="167" spans="1:45" s="195" customFormat="1" ht="15.8" hidden="1" customHeight="1" x14ac:dyDescent="0.3">
      <c r="A167" s="403"/>
      <c r="B167" s="403" t="str">
        <f>'7. Intervenciones UDT- BH'!$C$8</f>
        <v>UDT BAJO HUALLAGA</v>
      </c>
      <c r="C167" s="403" t="str">
        <f>'7. Intervenciones UDT- BH'!$F$38</f>
        <v>Predios privados para ganadería de leche y carne</v>
      </c>
      <c r="D167" s="404" t="str">
        <f>+'7. Intervenciones UDT- BH'!A53</f>
        <v>Control y vigilancia</v>
      </c>
      <c r="E167" s="404" t="str">
        <f>+'7. Intervenciones UDT- BH'!C53</f>
        <v>4.2.8</v>
      </c>
      <c r="F167" s="403" t="str">
        <f>+'7. Intervenciones UDT- BH'!D53</f>
        <v>Promoción y acceso a los Mecanismos de Retribución por Servicios Eco sistémicos (MERESE)</v>
      </c>
      <c r="G167" s="403" t="str">
        <f>+'7. Intervenciones UDT- BH'!E53</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167" s="948" t="s">
        <v>1857</v>
      </c>
      <c r="I167" s="946" t="s">
        <v>203</v>
      </c>
      <c r="J167" s="946" t="s">
        <v>2595</v>
      </c>
      <c r="K167" s="946" t="s">
        <v>2333</v>
      </c>
      <c r="L167" s="946" t="s">
        <v>204</v>
      </c>
      <c r="M167" s="418" t="s">
        <v>1878</v>
      </c>
      <c r="N167" s="948" t="s">
        <v>1879</v>
      </c>
      <c r="O167" s="948" t="s">
        <v>225</v>
      </c>
      <c r="P167" s="951" t="s">
        <v>1880</v>
      </c>
      <c r="Q167" s="948" t="str">
        <f>+'7. Intervenciones UDT- BH'!F53</f>
        <v>Campañas de difusión y promoción</v>
      </c>
      <c r="R167" s="405">
        <f>+'7. Intervenciones UDT- BH'!I53</f>
        <v>0</v>
      </c>
      <c r="S167" s="405">
        <f>+'7. Intervenciones UDT- BH'!J53</f>
        <v>15</v>
      </c>
      <c r="T167" s="405">
        <f>+'7. Intervenciones UDT- BH'!K53</f>
        <v>15</v>
      </c>
      <c r="U167" s="405">
        <f>+'7. Intervenciones UDT- BH'!L53</f>
        <v>10000</v>
      </c>
      <c r="V167" s="403" t="str">
        <f>+'7. Intervenciones UDT- BH'!M53</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167" s="403" t="str">
        <f>+'7. Intervenciones UDT- BH'!N53</f>
        <v>SUNASS</v>
      </c>
      <c r="X167" s="588">
        <f>+'7. Intervenciones UDT- BH'!O53</f>
        <v>150000</v>
      </c>
      <c r="Y167" s="588">
        <f>+Tabla1[[#This Row],[2025 Directo]]*(1+$Y$3)</f>
        <v>151575</v>
      </c>
      <c r="Z167" s="588">
        <f>+'7. Intervenciones UDT- BH'!P53</f>
        <v>150000</v>
      </c>
      <c r="AA167" s="588">
        <f>+Tabla1[[#This Row],[2030 Directo]]*(1+$Y$3)</f>
        <v>151575</v>
      </c>
      <c r="AB167" s="588">
        <f>+'7. Intervenciones UDT- BH'!Q53</f>
        <v>30000</v>
      </c>
      <c r="AC167" s="588">
        <f>+Tabla1[[#This Row],[Año 1 Cto Directo]]*(1+$Y$3)</f>
        <v>30315</v>
      </c>
      <c r="AD167" s="588">
        <f>+'7. Intervenciones UDT- BH'!R53</f>
        <v>30000</v>
      </c>
      <c r="AE167" s="588">
        <f>+Tabla1[[#This Row],[Año 2 Cto. Directo]]*(1+$Y$3)</f>
        <v>30315</v>
      </c>
      <c r="AF167" s="588">
        <f>+'7. Intervenciones UDT- BH'!S53</f>
        <v>30000</v>
      </c>
      <c r="AG167" s="588">
        <f>+Tabla1[[#This Row],[Año 3 Cto. Directo]]*(1+$Y$3)</f>
        <v>30315</v>
      </c>
      <c r="AH167" s="588">
        <f>+'7. Intervenciones UDT- BH'!T53</f>
        <v>30000</v>
      </c>
      <c r="AI167" s="588">
        <f>+Tabla1[[#This Row],[Año 4 Cto. Directo]]*(1+$Y$3)</f>
        <v>30315</v>
      </c>
      <c r="AJ167" s="588">
        <f>+'7. Intervenciones UDT- BH'!U53</f>
        <v>30000</v>
      </c>
      <c r="AK167" s="588">
        <f>+Tabla1[[#This Row],[Año 5 Cto. Directo]]*(1+$Y$3)</f>
        <v>30315</v>
      </c>
      <c r="AL167" s="403">
        <f>+'7. Intervenciones UDT- BH'!V53</f>
        <v>0</v>
      </c>
      <c r="AM167" s="954" t="str">
        <f>+'7. Intervenciones UDT- BH'!W53</f>
        <v>X</v>
      </c>
      <c r="AN167" s="954"/>
      <c r="AO167" s="954"/>
      <c r="AP167" s="954"/>
      <c r="AQ167" s="954"/>
      <c r="AR167" s="954">
        <f>+'7. Intervenciones UDT- BH'!AB53</f>
        <v>2</v>
      </c>
      <c r="AS167" s="403">
        <f t="shared" si="1"/>
        <v>1</v>
      </c>
    </row>
    <row r="168" spans="1:45" s="195" customFormat="1" ht="15.8" hidden="1" customHeight="1" x14ac:dyDescent="0.3">
      <c r="A168" s="403"/>
      <c r="B168" s="403" t="str">
        <f>'7. Intervenciones UDT- BH'!$C$8</f>
        <v>UDT BAJO HUALLAGA</v>
      </c>
      <c r="C168" s="403" t="str">
        <f>'7. Intervenciones UDT- BH'!$F$57</f>
        <v>Empresas comercializadoras de palma y sus derivados.</v>
      </c>
      <c r="D168" s="404" t="str">
        <f>+'7. Intervenciones UDT- BH'!A65</f>
        <v>Invasiones</v>
      </c>
      <c r="E168" s="404" t="str">
        <f>+'7. Intervenciones UDT- BH'!C65</f>
        <v>4.3.1</v>
      </c>
      <c r="F168" s="403" t="str">
        <f>+'7. Intervenciones UDT- BH'!D65</f>
        <v>Otorgamiento de derechos sobre la tierra/bosques</v>
      </c>
      <c r="G168" s="403" t="str">
        <f>+'7. Intervenciones UDT- BH'!E65</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168" s="948" t="s">
        <v>1857</v>
      </c>
      <c r="I168" s="946" t="s">
        <v>199</v>
      </c>
      <c r="J168" s="946" t="s">
        <v>2591</v>
      </c>
      <c r="K168" s="946" t="s">
        <v>2331</v>
      </c>
      <c r="L168" s="946" t="s">
        <v>202</v>
      </c>
      <c r="M168" s="418" t="s">
        <v>1858</v>
      </c>
      <c r="N168" s="948" t="s">
        <v>1859</v>
      </c>
      <c r="O168" s="948" t="s">
        <v>223</v>
      </c>
      <c r="P168" s="951" t="s">
        <v>1860</v>
      </c>
      <c r="Q168" s="948" t="str">
        <f>+'7. Intervenciones UDT- BH'!F65</f>
        <v>N° Títulos/Contratos otorgados</v>
      </c>
      <c r="R168" s="405">
        <f>+'7. Intervenciones UDT- BH'!I65</f>
        <v>398.95671568802999</v>
      </c>
      <c r="S168" s="405">
        <f>+'7. Intervenciones UDT- BH'!J65</f>
        <v>199.47835784401499</v>
      </c>
      <c r="T168" s="405">
        <f>+'7. Intervenciones UDT- BH'!K65</f>
        <v>199.47835784401499</v>
      </c>
      <c r="U168" s="405">
        <f>+'7. Intervenciones UDT- BH'!L65</f>
        <v>2000</v>
      </c>
      <c r="V168" s="403" t="str">
        <f>+'7. Intervenciones UDT- BH'!M65</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168" s="403" t="str">
        <f>+'7. Intervenciones UDT- BH'!N65</f>
        <v>Programa de titulación PTR 3 / ARA</v>
      </c>
      <c r="X168" s="588">
        <f>+'7. Intervenciones UDT- BH'!O65</f>
        <v>398956.71568803</v>
      </c>
      <c r="Y168" s="588">
        <f>+Tabla1[[#This Row],[2025 Directo]]*(1+$Y$3)</f>
        <v>403145.76120275428</v>
      </c>
      <c r="Z168" s="588">
        <f>+'7. Intervenciones UDT- BH'!P65</f>
        <v>398956.71568803</v>
      </c>
      <c r="AA168" s="588">
        <f>+Tabla1[[#This Row],[2030 Directo]]*(1+$Y$3)</f>
        <v>403145.76120275428</v>
      </c>
      <c r="AB168" s="588">
        <f>+'7. Intervenciones UDT- BH'!Q65</f>
        <v>39895.671568803002</v>
      </c>
      <c r="AC168" s="588">
        <f>+Tabla1[[#This Row],[Año 1 Cto Directo]]*(1+$Y$3)</f>
        <v>40314.576120275429</v>
      </c>
      <c r="AD168" s="588">
        <f>+'7. Intervenciones UDT- BH'!R65</f>
        <v>59843.507353204499</v>
      </c>
      <c r="AE168" s="588">
        <f>+Tabla1[[#This Row],[Año 2 Cto. Directo]]*(1+$Y$3)</f>
        <v>60471.86418041314</v>
      </c>
      <c r="AF168" s="588">
        <f>+'7. Intervenciones UDT- BH'!S65</f>
        <v>79791.343137606003</v>
      </c>
      <c r="AG168" s="588">
        <f>+Tabla1[[#This Row],[Año 3 Cto. Directo]]*(1+$Y$3)</f>
        <v>80629.152240550859</v>
      </c>
      <c r="AH168" s="588">
        <f>+'7. Intervenciones UDT- BH'!T65</f>
        <v>119687.014706409</v>
      </c>
      <c r="AI168" s="588">
        <f>+Tabla1[[#This Row],[Año 4 Cto. Directo]]*(1+$Y$3)</f>
        <v>120943.72836082628</v>
      </c>
      <c r="AJ168" s="588">
        <f>+'7. Intervenciones UDT- BH'!U65</f>
        <v>99739.178922007501</v>
      </c>
      <c r="AK168" s="588">
        <f>+Tabla1[[#This Row],[Año 5 Cto. Directo]]*(1+$Y$3)</f>
        <v>100786.44030068857</v>
      </c>
      <c r="AL168" s="403">
        <f>+'7. Intervenciones UDT- BH'!V65</f>
        <v>0</v>
      </c>
      <c r="AM168" s="954"/>
      <c r="AN168" s="954"/>
      <c r="AO168" s="954" t="str">
        <f>+'7. Intervenciones UDT- BH'!Y65</f>
        <v>X</v>
      </c>
      <c r="AP168" s="954"/>
      <c r="AQ168" s="954"/>
      <c r="AR168" s="954">
        <f>+'7. Intervenciones UDT- BH'!AB65</f>
        <v>3</v>
      </c>
      <c r="AS168" s="403">
        <f t="shared" ref="AS168" si="11">COUNTIF(AM168:AP168, "X")</f>
        <v>1</v>
      </c>
    </row>
    <row r="169" spans="1:45" s="195" customFormat="1" ht="15.8" hidden="1" customHeight="1" x14ac:dyDescent="0.3">
      <c r="A169" s="403"/>
      <c r="B169" s="403" t="str">
        <f>'7. Intervenciones UDT- BH'!$C$8</f>
        <v>UDT BAJO HUALLAGA</v>
      </c>
      <c r="C169" s="403" t="str">
        <f>'7. Intervenciones UDT- BH'!$F$57</f>
        <v>Empresas comercializadoras de palma y sus derivados.</v>
      </c>
      <c r="D169" s="404" t="str">
        <f>+'7. Intervenciones UDT- BH'!A66</f>
        <v>Ingresos y Capital</v>
      </c>
      <c r="E169" s="404" t="str">
        <f>+'7. Intervenciones UDT- BH'!C66</f>
        <v>4.3.2</v>
      </c>
      <c r="F169" s="403" t="str">
        <f>+'7. Intervenciones UDT- BH'!D66</f>
        <v>Acceso a financiamiento para modelos de asociación con pequeños productores</v>
      </c>
      <c r="G169" s="403" t="str">
        <f>+'7. Intervenciones UDT- BH'!E66</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v>
      </c>
      <c r="H169" s="948" t="s">
        <v>1864</v>
      </c>
      <c r="I169" s="946" t="s">
        <v>193</v>
      </c>
      <c r="J169" s="946" t="s">
        <v>2593</v>
      </c>
      <c r="K169" s="946" t="s">
        <v>2330</v>
      </c>
      <c r="L169" s="946" t="s">
        <v>195</v>
      </c>
      <c r="M169" s="418" t="s">
        <v>1871</v>
      </c>
      <c r="N169" s="948" t="s">
        <v>1862</v>
      </c>
      <c r="O169" s="948" t="s">
        <v>218</v>
      </c>
      <c r="P169" s="951" t="s">
        <v>1872</v>
      </c>
      <c r="Q169" s="948" t="str">
        <f>+'7. Intervenciones UDT- BH'!F66</f>
        <v>Productores atendidos</v>
      </c>
      <c r="R169" s="405">
        <f>+'7. Intervenciones UDT- BH'!I66</f>
        <v>2161</v>
      </c>
      <c r="S169" s="405">
        <f>+'7. Intervenciones UDT- BH'!J66</f>
        <v>648.29999999999995</v>
      </c>
      <c r="T169" s="405">
        <f>+'7. Intervenciones UDT- BH'!K66</f>
        <v>432.20000000000005</v>
      </c>
      <c r="U169" s="405">
        <f>+'7. Intervenciones UDT- BH'!L66</f>
        <v>10750</v>
      </c>
      <c r="V169" s="403" t="str">
        <f>+'7. Intervenciones UDT- BH'!M66</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169" s="403" t="str">
        <f>+'7. Intervenciones UDT- BH'!N66</f>
        <v>Drasam</v>
      </c>
      <c r="X169" s="588">
        <f>+'7. Intervenciones UDT- BH'!O66</f>
        <v>6969224.9999999991</v>
      </c>
      <c r="Y169" s="588">
        <f>+Tabla1[[#This Row],[2025 Directo]]*(1+$Y$3)</f>
        <v>7042401.8624999989</v>
      </c>
      <c r="Z169" s="588">
        <f>+'7. Intervenciones UDT- BH'!P66</f>
        <v>4646150.0000000009</v>
      </c>
      <c r="AA169" s="588">
        <f>+Tabla1[[#This Row],[2030 Directo]]*(1+$Y$3)</f>
        <v>4694934.5750000011</v>
      </c>
      <c r="AB169" s="588">
        <f>+'7. Intervenciones UDT- BH'!Q66</f>
        <v>1393845</v>
      </c>
      <c r="AC169" s="588">
        <f>+Tabla1[[#This Row],[Año 1 Cto Directo]]*(1+$Y$3)</f>
        <v>1408480.3724999998</v>
      </c>
      <c r="AD169" s="588">
        <f>+'7. Intervenciones UDT- BH'!R66</f>
        <v>1393845</v>
      </c>
      <c r="AE169" s="588">
        <f>+Tabla1[[#This Row],[Año 2 Cto. Directo]]*(1+$Y$3)</f>
        <v>1408480.3724999998</v>
      </c>
      <c r="AF169" s="588">
        <f>+'7. Intervenciones UDT- BH'!S66</f>
        <v>1393845</v>
      </c>
      <c r="AG169" s="588">
        <f>+Tabla1[[#This Row],[Año 3 Cto. Directo]]*(1+$Y$3)</f>
        <v>1408480.3724999998</v>
      </c>
      <c r="AH169" s="588">
        <f>+'7. Intervenciones UDT- BH'!T66</f>
        <v>1393845</v>
      </c>
      <c r="AI169" s="588">
        <f>+Tabla1[[#This Row],[Año 4 Cto. Directo]]*(1+$Y$3)</f>
        <v>1408480.3724999998</v>
      </c>
      <c r="AJ169" s="588">
        <f>+'7. Intervenciones UDT- BH'!U66</f>
        <v>1393845</v>
      </c>
      <c r="AK169" s="588">
        <f>+Tabla1[[#This Row],[Año 5 Cto. Directo]]*(1+$Y$3)</f>
        <v>1408480.3724999998</v>
      </c>
      <c r="AL169" s="403">
        <f>+'7. Intervenciones UDT- BH'!V66</f>
        <v>0</v>
      </c>
      <c r="AM169" s="954"/>
      <c r="AN169" s="954"/>
      <c r="AO169" s="954" t="str">
        <f>+'7. Intervenciones UDT- BH'!Y66</f>
        <v>X</v>
      </c>
      <c r="AP169" s="954"/>
      <c r="AQ169" s="954"/>
      <c r="AR169" s="954">
        <f>+'7. Intervenciones UDT- BH'!AB66</f>
        <v>3</v>
      </c>
      <c r="AS169" s="403">
        <f t="shared" si="1"/>
        <v>1</v>
      </c>
    </row>
    <row r="170" spans="1:45" s="195" customFormat="1" ht="15.8" hidden="1" customHeight="1" x14ac:dyDescent="0.3">
      <c r="A170" s="403"/>
      <c r="B170" s="403" t="str">
        <f>'7. Intervenciones UDT- BH'!$C$8</f>
        <v>UDT BAJO HUALLAGA</v>
      </c>
      <c r="C170" s="403" t="str">
        <f>'7. Intervenciones UDT- BH'!$F$57</f>
        <v>Empresas comercializadoras de palma y sus derivados.</v>
      </c>
      <c r="D170" s="404" t="str">
        <f>+'7. Intervenciones UDT- BH'!A67</f>
        <v>Programas de inversión privada</v>
      </c>
      <c r="E170" s="404" t="str">
        <f>+'7. Intervenciones UDT- BH'!C67</f>
        <v>4.3.3</v>
      </c>
      <c r="F170" s="403" t="str">
        <f>+'7. Intervenciones UDT- BH'!D67</f>
        <v>Acompañamiento de acuerdos comerciales entre empresas y medianos productores</v>
      </c>
      <c r="G170" s="403" t="str">
        <f>+'7. Intervenciones UDT- BH'!E67</f>
        <v>Brindar asesoramiento y acompañamiento a los productores organizados y no organizados en sus procesos de negociación, este acompañamiento permitirá llegar a buenos acuerdos con las empresas y asegurar que los pequeños productores tengan acceso a precios justos.</v>
      </c>
      <c r="H170" s="948" t="s">
        <v>1857</v>
      </c>
      <c r="I170" s="946" t="s">
        <v>193</v>
      </c>
      <c r="J170" s="946" t="s">
        <v>2592</v>
      </c>
      <c r="K170" s="946" t="s">
        <v>2329</v>
      </c>
      <c r="L170" s="946" t="s">
        <v>197</v>
      </c>
      <c r="M170" s="418" t="s">
        <v>1876</v>
      </c>
      <c r="N170" s="948" t="s">
        <v>1862</v>
      </c>
      <c r="O170" s="948" t="s">
        <v>228</v>
      </c>
      <c r="P170" s="951" t="s">
        <v>1877</v>
      </c>
      <c r="Q170" s="948" t="str">
        <f>+'7. Intervenciones UDT- BH'!F67</f>
        <v>Especialistas</v>
      </c>
      <c r="R170" s="405">
        <f>+'7. Intervenciones UDT- BH'!I67</f>
        <v>0</v>
      </c>
      <c r="S170" s="405">
        <f>+'7. Intervenciones UDT- BH'!J67</f>
        <v>2</v>
      </c>
      <c r="T170" s="405">
        <f>+'7. Intervenciones UDT- BH'!K67</f>
        <v>2</v>
      </c>
      <c r="U170" s="405">
        <f>+'7. Intervenciones UDT- BH'!L67</f>
        <v>3500</v>
      </c>
      <c r="V170" s="403" t="str">
        <f>+'7. Intervenciones UDT- BH'!M67</f>
        <v>El costo incluye la contratación de profesionales que se encarguen de identificar propuestas de alianzas comerciales entre productores y empresas privadas.</v>
      </c>
      <c r="W170" s="403" t="str">
        <f>+'7. Intervenciones UDT- BH'!N67</f>
        <v>Drasam</v>
      </c>
      <c r="X170" s="588">
        <f>+'7. Intervenciones UDT- BH'!O67</f>
        <v>420000</v>
      </c>
      <c r="Y170" s="588">
        <f>+Tabla1[[#This Row],[2025 Directo]]*(1+$Y$3)</f>
        <v>424410</v>
      </c>
      <c r="Z170" s="588">
        <f>+'7. Intervenciones UDT- BH'!P67</f>
        <v>420000</v>
      </c>
      <c r="AA170" s="588">
        <f>+Tabla1[[#This Row],[2030 Directo]]*(1+$Y$3)</f>
        <v>424410</v>
      </c>
      <c r="AB170" s="588">
        <f>+'7. Intervenciones UDT- BH'!Q67</f>
        <v>84000</v>
      </c>
      <c r="AC170" s="588">
        <f>+Tabla1[[#This Row],[Año 1 Cto Directo]]*(1+$Y$3)</f>
        <v>84882</v>
      </c>
      <c r="AD170" s="588">
        <f>+'7. Intervenciones UDT- BH'!R67</f>
        <v>84000</v>
      </c>
      <c r="AE170" s="588">
        <f>+Tabla1[[#This Row],[Año 2 Cto. Directo]]*(1+$Y$3)</f>
        <v>84882</v>
      </c>
      <c r="AF170" s="588">
        <f>+'7. Intervenciones UDT- BH'!S67</f>
        <v>84000</v>
      </c>
      <c r="AG170" s="588">
        <f>+Tabla1[[#This Row],[Año 3 Cto. Directo]]*(1+$Y$3)</f>
        <v>84882</v>
      </c>
      <c r="AH170" s="588">
        <f>+'7. Intervenciones UDT- BH'!T67</f>
        <v>84000</v>
      </c>
      <c r="AI170" s="588">
        <f>+Tabla1[[#This Row],[Año 4 Cto. Directo]]*(1+$Y$3)</f>
        <v>84882</v>
      </c>
      <c r="AJ170" s="588">
        <f>+'7. Intervenciones UDT- BH'!U67</f>
        <v>84000</v>
      </c>
      <c r="AK170" s="588">
        <f>+Tabla1[[#This Row],[Año 5 Cto. Directo]]*(1+$Y$3)</f>
        <v>84882</v>
      </c>
      <c r="AL170" s="403">
        <f>+'7. Intervenciones UDT- BH'!V67</f>
        <v>0</v>
      </c>
      <c r="AM170" s="954" t="str">
        <f>+'7. Intervenciones UDT- BH'!W67</f>
        <v>X</v>
      </c>
      <c r="AN170" s="954"/>
      <c r="AO170" s="954"/>
      <c r="AP170" s="954"/>
      <c r="AQ170" s="954"/>
      <c r="AR170" s="954">
        <f>+'7. Intervenciones UDT- BH'!AB67</f>
        <v>3</v>
      </c>
      <c r="AS170" s="403">
        <f t="shared" si="1"/>
        <v>1</v>
      </c>
    </row>
    <row r="171" spans="1:45" s="195" customFormat="1" ht="15.8" hidden="1" customHeight="1" x14ac:dyDescent="0.3">
      <c r="A171" s="403"/>
      <c r="B171" s="403" t="str">
        <f>'7. Intervenciones UDT- BH'!$C$8</f>
        <v>UDT BAJO HUALLAGA</v>
      </c>
      <c r="C171" s="403" t="str">
        <f>'7. Intervenciones UDT- BH'!$F$57</f>
        <v>Empresas comercializadoras de palma y sus derivados.</v>
      </c>
      <c r="D171" s="404" t="str">
        <f>+'7. Intervenciones UDT- BH'!A68</f>
        <v>Programas de inversión privada</v>
      </c>
      <c r="E171" s="404" t="str">
        <f>+'7. Intervenciones UDT- BH'!C68</f>
        <v>4.3.4</v>
      </c>
      <c r="F171" s="403" t="str">
        <f>+'7. Intervenciones UDT- BH'!D68</f>
        <v>Ampliación de estudios de HCS y HCV para nuevas áreas potenciales para asociación con pequeños productores</v>
      </c>
      <c r="G171" s="403" t="str">
        <f>+'7. Intervenciones UDT- BH'!E68</f>
        <v>Promover el financiamiento para el desarrollo e implementación de estudios de umbrales de carbono en el suelo y en los bosques.</v>
      </c>
      <c r="H171" s="948" t="s">
        <v>1857</v>
      </c>
      <c r="I171" s="946" t="s">
        <v>193</v>
      </c>
      <c r="J171" s="946" t="s">
        <v>2592</v>
      </c>
      <c r="K171" s="946" t="s">
        <v>2329</v>
      </c>
      <c r="L171" s="946" t="s">
        <v>197</v>
      </c>
      <c r="M171" s="418" t="s">
        <v>1876</v>
      </c>
      <c r="N171" s="948" t="s">
        <v>1862</v>
      </c>
      <c r="O171" s="948" t="s">
        <v>228</v>
      </c>
      <c r="P171" s="951" t="s">
        <v>1877</v>
      </c>
      <c r="Q171" s="948" t="str">
        <f>+'7. Intervenciones UDT- BH'!F68</f>
        <v xml:space="preserve">Estudios </v>
      </c>
      <c r="R171" s="405">
        <f>+'7. Intervenciones UDT- BH'!I68</f>
        <v>0</v>
      </c>
      <c r="S171" s="405">
        <f>+'7. Intervenciones UDT- BH'!J68</f>
        <v>2</v>
      </c>
      <c r="T171" s="405">
        <f>+'7. Intervenciones UDT- BH'!K68</f>
        <v>0</v>
      </c>
      <c r="U171" s="405">
        <f>+'7. Intervenciones UDT- BH'!L68</f>
        <v>220400</v>
      </c>
      <c r="V171" s="403" t="str">
        <f>+'7. Intervenciones UDT- BH'!M68</f>
        <v xml:space="preserve">Estudio integrado de HCS/HVC incluye: (1) Scooping: Mapas preliminares HCS/HVC, trabajo de campo e informe (2) Informe HCS/HVC, documentos de base del estudio (shapes, base de datos)
*Se sugiere implementación con enfoque jurisdiccional </v>
      </c>
      <c r="W171" s="403" t="str">
        <f>+'7. Intervenciones UDT- BH'!N68</f>
        <v>Earth Worm Foundation</v>
      </c>
      <c r="X171" s="588">
        <f>+'7. Intervenciones UDT- BH'!O68</f>
        <v>440800</v>
      </c>
      <c r="Y171" s="588">
        <f>+Tabla1[[#This Row],[2025 Directo]]*(1+$Y$3)</f>
        <v>445428.39999999997</v>
      </c>
      <c r="Z171" s="588">
        <f>+'7. Intervenciones UDT- BH'!P68</f>
        <v>0</v>
      </c>
      <c r="AA171" s="588">
        <f>+Tabla1[[#This Row],[2030 Directo]]*(1+$Y$3)</f>
        <v>0</v>
      </c>
      <c r="AB171" s="588">
        <f>+'7. Intervenciones UDT- BH'!Q68</f>
        <v>220400</v>
      </c>
      <c r="AC171" s="588">
        <f>+Tabla1[[#This Row],[Año 1 Cto Directo]]*(1+$Y$3)</f>
        <v>222714.19999999998</v>
      </c>
      <c r="AD171" s="588">
        <f>+'7. Intervenciones UDT- BH'!R68</f>
        <v>220400</v>
      </c>
      <c r="AE171" s="588">
        <f>+Tabla1[[#This Row],[Año 2 Cto. Directo]]*(1+$Y$3)</f>
        <v>222714.19999999998</v>
      </c>
      <c r="AF171" s="588">
        <f>+'7. Intervenciones UDT- BH'!S68</f>
        <v>0</v>
      </c>
      <c r="AG171" s="588">
        <f>+Tabla1[[#This Row],[Año 3 Cto. Directo]]*(1+$Y$3)</f>
        <v>0</v>
      </c>
      <c r="AH171" s="588">
        <f>+'7. Intervenciones UDT- BH'!T68</f>
        <v>0</v>
      </c>
      <c r="AI171" s="588">
        <f>+Tabla1[[#This Row],[Año 4 Cto. Directo]]*(1+$Y$3)</f>
        <v>0</v>
      </c>
      <c r="AJ171" s="588">
        <f>+'7. Intervenciones UDT- BH'!U68</f>
        <v>0</v>
      </c>
      <c r="AK171" s="588">
        <f>+Tabla1[[#This Row],[Año 5 Cto. Directo]]*(1+$Y$3)</f>
        <v>0</v>
      </c>
      <c r="AL171" s="403">
        <f>+'7. Intervenciones UDT- BH'!V68</f>
        <v>0</v>
      </c>
      <c r="AM171" s="954" t="str">
        <f>+'7. Intervenciones UDT- BH'!W68</f>
        <v>X</v>
      </c>
      <c r="AN171" s="954"/>
      <c r="AO171" s="954"/>
      <c r="AP171" s="954"/>
      <c r="AQ171" s="954"/>
      <c r="AR171" s="954">
        <f>+'7. Intervenciones UDT- BH'!AB68</f>
        <v>3</v>
      </c>
      <c r="AS171" s="403">
        <f t="shared" si="1"/>
        <v>1</v>
      </c>
    </row>
    <row r="172" spans="1:45" s="195" customFormat="1" ht="15.8" hidden="1" customHeight="1" x14ac:dyDescent="0.3">
      <c r="A172" s="403"/>
      <c r="B172" s="403" t="str">
        <f>'7. Intervenciones UDT- BH'!$C$8</f>
        <v>UDT BAJO HUALLAGA</v>
      </c>
      <c r="C172" s="403" t="str">
        <f>'7. Intervenciones UDT- BH'!$F$72</f>
        <v>Territorios de comunidades nativas</v>
      </c>
      <c r="D172" s="404" t="str">
        <f>+'7. Intervenciones UDT- BH'!A80</f>
        <v>Invasiones</v>
      </c>
      <c r="E172" s="404" t="str">
        <f>+'7. Intervenciones UDT- BH'!C80</f>
        <v>4.4.1</v>
      </c>
      <c r="F172" s="403" t="str">
        <f>+'7. Intervenciones UDT- BH'!D80</f>
        <v xml:space="preserve">Concluir reconocimiento y titulación </v>
      </c>
      <c r="G172" s="403" t="str">
        <f>+'7. Intervenciones UDT- BH'!E80</f>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
Saneamiento físico legal (georreferenciación, actualización gráfica, e inscripción en registros públicos), en concordancia con la R.M. 0370-2017-MINAGRI, de 2 comunidades nativas: MUSHUCK LLACTA DE CHIPAOTA y  CHARAPILLO.</v>
      </c>
      <c r="H172" s="948" t="s">
        <v>1857</v>
      </c>
      <c r="I172" s="946" t="s">
        <v>199</v>
      </c>
      <c r="J172" s="946" t="s">
        <v>2591</v>
      </c>
      <c r="K172" s="946" t="s">
        <v>2331</v>
      </c>
      <c r="L172" s="946" t="s">
        <v>202</v>
      </c>
      <c r="M172" s="418" t="s">
        <v>1858</v>
      </c>
      <c r="N172" s="948" t="s">
        <v>1859</v>
      </c>
      <c r="O172" s="948" t="s">
        <v>223</v>
      </c>
      <c r="P172" s="951" t="s">
        <v>1860</v>
      </c>
      <c r="Q172" s="948" t="str">
        <f>+'7. Intervenciones UDT- BH'!F80</f>
        <v>Comunidades tituladas</v>
      </c>
      <c r="R172" s="405">
        <f>+'7. Intervenciones UDT- BH'!I80</f>
        <v>44</v>
      </c>
      <c r="S172" s="405">
        <f>+'7. Intervenciones UDT- BH'!J80</f>
        <v>44</v>
      </c>
      <c r="T172" s="405">
        <f>+'7. Intervenciones UDT- BH'!K80</f>
        <v>0</v>
      </c>
      <c r="U172" s="405">
        <f>+'7. Intervenciones UDT- BH'!L80</f>
        <v>71250</v>
      </c>
      <c r="V172" s="403" t="str">
        <f>+'7. Intervenciones UDT- BH'!M80</f>
        <v xml:space="preserve">Los costos incluyen todos los procesos de titulación y reconocimiento  de dichas comunidades, los gastos incluye la contratación de profesionales como antropólogos, especialistas SIG, Abogados, Especialistas en suelos y especialista social, así mismos pagos de trámites documentarios en Registros Públicos y Dirección de Titulación y catastro rural.  </v>
      </c>
      <c r="W172" s="403" t="str">
        <f>+'7. Intervenciones UDT- BH'!N80</f>
        <v>Drasam, GIZ, CODEPISAM</v>
      </c>
      <c r="X172" s="588">
        <f>+'7. Intervenciones UDT- BH'!O80</f>
        <v>3135000</v>
      </c>
      <c r="Y172" s="588">
        <f>+Tabla1[[#This Row],[2025 Directo]]*(1+$Y$3)</f>
        <v>3167917.5</v>
      </c>
      <c r="Z172" s="588">
        <f>+'7. Intervenciones UDT- BH'!P80</f>
        <v>0</v>
      </c>
      <c r="AA172" s="588">
        <f>+Tabla1[[#This Row],[2030 Directo]]*(1+$Y$3)</f>
        <v>0</v>
      </c>
      <c r="AB172" s="588">
        <f>+'7. Intervenciones UDT- BH'!Q80</f>
        <v>627000</v>
      </c>
      <c r="AC172" s="588">
        <f>+Tabla1[[#This Row],[Año 1 Cto Directo]]*(1+$Y$3)</f>
        <v>633583.5</v>
      </c>
      <c r="AD172" s="588">
        <f>+'7. Intervenciones UDT- BH'!R80</f>
        <v>627000</v>
      </c>
      <c r="AE172" s="588">
        <f>+Tabla1[[#This Row],[Año 2 Cto. Directo]]*(1+$Y$3)</f>
        <v>633583.5</v>
      </c>
      <c r="AF172" s="588">
        <f>+'7. Intervenciones UDT- BH'!S80</f>
        <v>627000</v>
      </c>
      <c r="AG172" s="588">
        <f>+Tabla1[[#This Row],[Año 3 Cto. Directo]]*(1+$Y$3)</f>
        <v>633583.5</v>
      </c>
      <c r="AH172" s="588">
        <f>+'7. Intervenciones UDT- BH'!T80</f>
        <v>627000</v>
      </c>
      <c r="AI172" s="588">
        <f>+Tabla1[[#This Row],[Año 4 Cto. Directo]]*(1+$Y$3)</f>
        <v>633583.5</v>
      </c>
      <c r="AJ172" s="588">
        <f>+'7. Intervenciones UDT- BH'!U80</f>
        <v>627000</v>
      </c>
      <c r="AK172" s="588">
        <f>+Tabla1[[#This Row],[Año 5 Cto. Directo]]*(1+$Y$3)</f>
        <v>633583.5</v>
      </c>
      <c r="AL172" s="403">
        <f>+'7. Intervenciones UDT- BH'!V80</f>
        <v>0</v>
      </c>
      <c r="AM172" s="954"/>
      <c r="AN172" s="954"/>
      <c r="AO172" s="954" t="str">
        <f>+'7. Intervenciones UDT- BH'!Y80</f>
        <v>X</v>
      </c>
      <c r="AP172" s="954"/>
      <c r="AQ172" s="954"/>
      <c r="AR172" s="954">
        <f>+'7. Intervenciones UDT- BH'!AB80</f>
        <v>3</v>
      </c>
      <c r="AS172" s="403">
        <f t="shared" si="1"/>
        <v>1</v>
      </c>
    </row>
    <row r="173" spans="1:45" s="195" customFormat="1" ht="15.8" hidden="1" customHeight="1" x14ac:dyDescent="0.3">
      <c r="A173" s="403"/>
      <c r="B173" s="403" t="str">
        <f>'7. Intervenciones UDT- BH'!$C$8</f>
        <v>UDT BAJO HUALLAGA</v>
      </c>
      <c r="C173" s="403" t="str">
        <f>'7. Intervenciones UDT- BH'!$F$72</f>
        <v>Territorios de comunidades nativas</v>
      </c>
      <c r="D173" s="404" t="str">
        <f>+'7. Intervenciones UDT- BH'!A81</f>
        <v>Programas de inversión pública</v>
      </c>
      <c r="E173" s="404" t="str">
        <f>+'7. Intervenciones UDT- BH'!C81</f>
        <v>4.4.2</v>
      </c>
      <c r="F173" s="403" t="str">
        <f>+'7. Intervenciones UDT- BH'!D81</f>
        <v xml:space="preserve">Asistencia técnica para el manejo agroforestal </v>
      </c>
      <c r="G173" s="403" t="str">
        <f>+'7. Intervenciones UDT- BH'!E81</f>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v>
      </c>
      <c r="H173" s="948" t="s">
        <v>1857</v>
      </c>
      <c r="I173" s="946" t="s">
        <v>203</v>
      </c>
      <c r="J173" s="946" t="s">
        <v>2595</v>
      </c>
      <c r="K173" s="946" t="s">
        <v>2333</v>
      </c>
      <c r="L173" s="946" t="s">
        <v>204</v>
      </c>
      <c r="M173" s="418" t="s">
        <v>1878</v>
      </c>
      <c r="N173" s="948" t="s">
        <v>1879</v>
      </c>
      <c r="O173" s="948" t="s">
        <v>224</v>
      </c>
      <c r="P173" s="951" t="s">
        <v>1863</v>
      </c>
      <c r="Q173" s="948" t="str">
        <f>+'7. Intervenciones UDT- BH'!F81</f>
        <v>Productor asistido</v>
      </c>
      <c r="R173" s="405">
        <f>+'7. Intervenciones UDT- BH'!I81</f>
        <v>4700</v>
      </c>
      <c r="S173" s="405">
        <f>+'7. Intervenciones UDT- BH'!J81</f>
        <v>4700</v>
      </c>
      <c r="T173" s="405">
        <f>+'7. Intervenciones UDT- BH'!K81</f>
        <v>4700</v>
      </c>
      <c r="U173" s="405">
        <f>+'7. Intervenciones UDT- BH'!L81</f>
        <v>560</v>
      </c>
      <c r="V173" s="403" t="str">
        <f>+'7. Intervenciones UDT- BH'!M81</f>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v>
      </c>
      <c r="W173" s="403" t="str">
        <f>+'7. Intervenciones UDT- BH'!N81</f>
        <v>Drasam, GIZ, CODEPISAM</v>
      </c>
      <c r="X173" s="588">
        <f>+'7. Intervenciones UDT- BH'!O81</f>
        <v>2632000</v>
      </c>
      <c r="Y173" s="588">
        <f>+Tabla1[[#This Row],[2025 Directo]]*(1+$Y$3)</f>
        <v>2659636</v>
      </c>
      <c r="Z173" s="588">
        <f>+'7. Intervenciones UDT- BH'!P81</f>
        <v>2632000</v>
      </c>
      <c r="AA173" s="588">
        <f>+Tabla1[[#This Row],[2030 Directo]]*(1+$Y$3)</f>
        <v>2659636</v>
      </c>
      <c r="AB173" s="588">
        <f>+'7. Intervenciones UDT- BH'!Q81</f>
        <v>526400</v>
      </c>
      <c r="AC173" s="588">
        <f>+Tabla1[[#This Row],[Año 1 Cto Directo]]*(1+$Y$3)</f>
        <v>531927.19999999995</v>
      </c>
      <c r="AD173" s="588">
        <f>+'7. Intervenciones UDT- BH'!R81</f>
        <v>526400</v>
      </c>
      <c r="AE173" s="588">
        <f>+Tabla1[[#This Row],[Año 2 Cto. Directo]]*(1+$Y$3)</f>
        <v>531927.19999999995</v>
      </c>
      <c r="AF173" s="588">
        <f>+'7. Intervenciones UDT- BH'!S81</f>
        <v>526400</v>
      </c>
      <c r="AG173" s="588">
        <f>+Tabla1[[#This Row],[Año 3 Cto. Directo]]*(1+$Y$3)</f>
        <v>531927.19999999995</v>
      </c>
      <c r="AH173" s="588">
        <f>+'7. Intervenciones UDT- BH'!T81</f>
        <v>526400</v>
      </c>
      <c r="AI173" s="588">
        <f>+Tabla1[[#This Row],[Año 4 Cto. Directo]]*(1+$Y$3)</f>
        <v>531927.19999999995</v>
      </c>
      <c r="AJ173" s="588">
        <f>+'7. Intervenciones UDT- BH'!U81</f>
        <v>526400</v>
      </c>
      <c r="AK173" s="588">
        <f>+Tabla1[[#This Row],[Año 5 Cto. Directo]]*(1+$Y$3)</f>
        <v>531927.19999999995</v>
      </c>
      <c r="AL173" s="403">
        <f>+'7. Intervenciones UDT- BH'!V81</f>
        <v>0</v>
      </c>
      <c r="AM173" s="954"/>
      <c r="AN173" s="954"/>
      <c r="AO173" s="954" t="str">
        <f>+'7. Intervenciones UDT- BH'!Y81</f>
        <v>X</v>
      </c>
      <c r="AP173" s="954"/>
      <c r="AQ173" s="954" t="str">
        <f>+'7. Intervenciones UDT- BH'!AA81</f>
        <v>RE</v>
      </c>
      <c r="AR173" s="954">
        <f>+'7. Intervenciones UDT- BH'!AB81</f>
        <v>3</v>
      </c>
      <c r="AS173" s="403">
        <f t="shared" si="1"/>
        <v>1</v>
      </c>
    </row>
    <row r="174" spans="1:45" s="195" customFormat="1" ht="15.8" hidden="1" customHeight="1" x14ac:dyDescent="0.3">
      <c r="A174" s="403"/>
      <c r="B174" s="403" t="str">
        <f>'7. Intervenciones UDT- BH'!$C$8</f>
        <v>UDT BAJO HUALLAGA</v>
      </c>
      <c r="C174" s="403" t="str">
        <f>'7. Intervenciones UDT- BH'!$F$72</f>
        <v>Territorios de comunidades nativas</v>
      </c>
      <c r="D174" s="404" t="str">
        <f>+'7. Intervenciones UDT- BH'!A82</f>
        <v>Programas de inversión privada</v>
      </c>
      <c r="E174" s="404" t="str">
        <f>+'7. Intervenciones UDT- BH'!C82</f>
        <v>4.4.3</v>
      </c>
      <c r="F174" s="403" t="str">
        <f>+'7. Intervenciones UDT- BH'!D82</f>
        <v xml:space="preserve">Promoción de Bionegocios con productos forestales no maderables </v>
      </c>
      <c r="G174" s="403" t="str">
        <f>+'7. Intervenciones UDT- BH'!E82</f>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v>
      </c>
      <c r="H174" s="948" t="s">
        <v>1857</v>
      </c>
      <c r="I174" s="946" t="s">
        <v>203</v>
      </c>
      <c r="J174" s="946" t="s">
        <v>2596</v>
      </c>
      <c r="K174" s="946" t="s">
        <v>2335</v>
      </c>
      <c r="L174" s="946" t="s">
        <v>205</v>
      </c>
      <c r="M174" s="418" t="s">
        <v>1881</v>
      </c>
      <c r="N174" s="948" t="s">
        <v>1879</v>
      </c>
      <c r="O174" s="948" t="s">
        <v>231</v>
      </c>
      <c r="P174" s="951" t="s">
        <v>1882</v>
      </c>
      <c r="Q174" s="948" t="str">
        <f>+'7. Intervenciones UDT- BH'!F82</f>
        <v>Planes de negocios</v>
      </c>
      <c r="R174" s="405">
        <f>+'7. Intervenciones UDT- BH'!I82</f>
        <v>0</v>
      </c>
      <c r="S174" s="405">
        <f>+'7. Intervenciones UDT- BH'!J82</f>
        <v>60</v>
      </c>
      <c r="T174" s="405">
        <f>+'7. Intervenciones UDT- BH'!K82</f>
        <v>40</v>
      </c>
      <c r="U174" s="405">
        <f>+'7. Intervenciones UDT- BH'!L82</f>
        <v>15000</v>
      </c>
      <c r="V174" s="403" t="str">
        <f>+'7. Intervenciones UDT- BH'!M82</f>
        <v>Se contratará profesionales para el asesoramiento y formulación de planes de negocios de las Comunidades Nativas.</v>
      </c>
      <c r="W174" s="403" t="str">
        <f>+'7. Intervenciones UDT- BH'!N82</f>
        <v>Drasam, Agroideas, CODEPISAM</v>
      </c>
      <c r="X174" s="588">
        <f>+'7. Intervenciones UDT- BH'!O82</f>
        <v>900000</v>
      </c>
      <c r="Y174" s="588">
        <f>+Tabla1[[#This Row],[2025 Directo]]*(1+$Y$3)</f>
        <v>909450</v>
      </c>
      <c r="Z174" s="588">
        <f>+'7. Intervenciones UDT- BH'!P82</f>
        <v>600000</v>
      </c>
      <c r="AA174" s="588">
        <f>+Tabla1[[#This Row],[2030 Directo]]*(1+$Y$3)</f>
        <v>606300</v>
      </c>
      <c r="AB174" s="588">
        <f>+'7. Intervenciones UDT- BH'!Q82</f>
        <v>180000</v>
      </c>
      <c r="AC174" s="588">
        <f>+Tabla1[[#This Row],[Año 1 Cto Directo]]*(1+$Y$3)</f>
        <v>181890</v>
      </c>
      <c r="AD174" s="588">
        <f>+'7. Intervenciones UDT- BH'!R82</f>
        <v>180000</v>
      </c>
      <c r="AE174" s="588">
        <f>+Tabla1[[#This Row],[Año 2 Cto. Directo]]*(1+$Y$3)</f>
        <v>181890</v>
      </c>
      <c r="AF174" s="588">
        <f>+'7. Intervenciones UDT- BH'!S82</f>
        <v>180000</v>
      </c>
      <c r="AG174" s="588">
        <f>+Tabla1[[#This Row],[Año 3 Cto. Directo]]*(1+$Y$3)</f>
        <v>181890</v>
      </c>
      <c r="AH174" s="588">
        <f>+'7. Intervenciones UDT- BH'!T82</f>
        <v>180000</v>
      </c>
      <c r="AI174" s="588">
        <f>+Tabla1[[#This Row],[Año 4 Cto. Directo]]*(1+$Y$3)</f>
        <v>181890</v>
      </c>
      <c r="AJ174" s="588">
        <f>+'7. Intervenciones UDT- BH'!U82</f>
        <v>180000</v>
      </c>
      <c r="AK174" s="588">
        <f>+Tabla1[[#This Row],[Año 5 Cto. Directo]]*(1+$Y$3)</f>
        <v>181890</v>
      </c>
      <c r="AL174" s="403">
        <f>+'7. Intervenciones UDT- BH'!V82</f>
        <v>0</v>
      </c>
      <c r="AM174" s="954" t="str">
        <f>+'7. Intervenciones UDT- BH'!W82</f>
        <v>X</v>
      </c>
      <c r="AN174" s="954"/>
      <c r="AO174" s="954"/>
      <c r="AP174" s="954"/>
      <c r="AQ174" s="954" t="str">
        <f>+'7. Intervenciones UDT- BH'!AA82</f>
        <v>RE</v>
      </c>
      <c r="AR174" s="954">
        <f>+'7. Intervenciones UDT- BH'!AB82</f>
        <v>2</v>
      </c>
      <c r="AS174" s="403">
        <f t="shared" si="1"/>
        <v>1</v>
      </c>
    </row>
    <row r="175" spans="1:45" s="195" customFormat="1" ht="15.8" hidden="1" customHeight="1" x14ac:dyDescent="0.3">
      <c r="A175" s="403"/>
      <c r="B175" s="403" t="str">
        <f>'7. Intervenciones UDT- BH'!$C$8</f>
        <v>UDT BAJO HUALLAGA</v>
      </c>
      <c r="C175" s="403" t="str">
        <f>'7. Intervenciones UDT- BH'!$F$72</f>
        <v>Territorios de comunidades nativas</v>
      </c>
      <c r="D175" s="404" t="str">
        <f>+'7. Intervenciones UDT- BH'!A83</f>
        <v>Programas de inversión pública</v>
      </c>
      <c r="E175" s="404" t="str">
        <f>+'7. Intervenciones UDT- BH'!C83</f>
        <v>4.4.4</v>
      </c>
      <c r="F175" s="403" t="str">
        <f>+'7. Intervenciones UDT- BH'!D83</f>
        <v>Fortalecimiento de capacidades</v>
      </c>
      <c r="G175" s="403" t="str">
        <f>+'7. Intervenciones UDT- BH'!E83</f>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v>
      </c>
      <c r="H175" s="948" t="s">
        <v>1857</v>
      </c>
      <c r="I175" s="946" t="s">
        <v>193</v>
      </c>
      <c r="J175" s="946" t="s">
        <v>2594</v>
      </c>
      <c r="K175" s="946" t="s">
        <v>2332</v>
      </c>
      <c r="L175" s="946" t="s">
        <v>198</v>
      </c>
      <c r="M175" s="418" t="s">
        <v>1874</v>
      </c>
      <c r="N175" s="948" t="s">
        <v>1862</v>
      </c>
      <c r="O175" s="948" t="s">
        <v>230</v>
      </c>
      <c r="P175" s="951" t="s">
        <v>1875</v>
      </c>
      <c r="Q175" s="948" t="str">
        <f>+'7. Intervenciones UDT- BH'!F83</f>
        <v>Comunidades fortalecidas</v>
      </c>
      <c r="R175" s="405">
        <f>+'7. Intervenciones UDT- BH'!I83</f>
        <v>47</v>
      </c>
      <c r="S175" s="405">
        <f>+'7. Intervenciones UDT- BH'!J83</f>
        <v>27</v>
      </c>
      <c r="T175" s="405">
        <f>+'7. Intervenciones UDT- BH'!K83</f>
        <v>20</v>
      </c>
      <c r="U175" s="405">
        <f>+'7. Intervenciones UDT- BH'!L83</f>
        <v>288000</v>
      </c>
      <c r="V175" s="403" t="str">
        <f>+'7. Intervenciones UDT- BH'!M83</f>
        <v>Contratación de especialistas para dar acompañamiento y seguimiento a los procesos organizativos de las CCNN de forma permanente.</v>
      </c>
      <c r="W175" s="403" t="str">
        <f>+'7. Intervenciones UDT- BH'!N83</f>
        <v>Drasam, Direpro, Dircetur, ARA, CODEPISAM</v>
      </c>
      <c r="X175" s="588">
        <f>+'7. Intervenciones UDT- BH'!O83</f>
        <v>1440000</v>
      </c>
      <c r="Y175" s="588">
        <f>+Tabla1[[#This Row],[2025 Directo]]*(1+$Y$3)</f>
        <v>1455120</v>
      </c>
      <c r="Z175" s="588">
        <f>+'7. Intervenciones UDT- BH'!P83</f>
        <v>1440000</v>
      </c>
      <c r="AA175" s="588">
        <f>+Tabla1[[#This Row],[2030 Directo]]*(1+$Y$3)</f>
        <v>1455120</v>
      </c>
      <c r="AB175" s="588">
        <f>+'7. Intervenciones UDT- BH'!Q83</f>
        <v>288000</v>
      </c>
      <c r="AC175" s="588">
        <f>+Tabla1[[#This Row],[Año 1 Cto Directo]]*(1+$Y$3)</f>
        <v>291024</v>
      </c>
      <c r="AD175" s="588">
        <f>+'7. Intervenciones UDT- BH'!R83</f>
        <v>288000</v>
      </c>
      <c r="AE175" s="588">
        <f>+Tabla1[[#This Row],[Año 2 Cto. Directo]]*(1+$Y$3)</f>
        <v>291024</v>
      </c>
      <c r="AF175" s="588">
        <f>+'7. Intervenciones UDT- BH'!S83</f>
        <v>288000</v>
      </c>
      <c r="AG175" s="588">
        <f>+Tabla1[[#This Row],[Año 3 Cto. Directo]]*(1+$Y$3)</f>
        <v>291024</v>
      </c>
      <c r="AH175" s="588">
        <f>+'7. Intervenciones UDT- BH'!T83</f>
        <v>288000</v>
      </c>
      <c r="AI175" s="588">
        <f>+Tabla1[[#This Row],[Año 4 Cto. Directo]]*(1+$Y$3)</f>
        <v>291024</v>
      </c>
      <c r="AJ175" s="588">
        <f>+'7. Intervenciones UDT- BH'!U83</f>
        <v>288000</v>
      </c>
      <c r="AK175" s="588">
        <f>+Tabla1[[#This Row],[Año 5 Cto. Directo]]*(1+$Y$3)</f>
        <v>291024</v>
      </c>
      <c r="AL175" s="403">
        <f>+'7. Intervenciones UDT- BH'!V83</f>
        <v>0</v>
      </c>
      <c r="AM175" s="954"/>
      <c r="AN175" s="954"/>
      <c r="AO175" s="954" t="str">
        <f>+'7. Intervenciones UDT- BH'!Y83</f>
        <v>X</v>
      </c>
      <c r="AP175" s="954"/>
      <c r="AQ175" s="954" t="str">
        <f>+'7. Intervenciones UDT- BH'!AA83</f>
        <v>RE</v>
      </c>
      <c r="AR175" s="954">
        <f>+'7. Intervenciones UDT- BH'!AB83</f>
        <v>3</v>
      </c>
      <c r="AS175" s="403">
        <f t="shared" si="1"/>
        <v>1</v>
      </c>
    </row>
    <row r="176" spans="1:45" s="195" customFormat="1" ht="15.8" hidden="1" customHeight="1" x14ac:dyDescent="0.3">
      <c r="A176" s="403"/>
      <c r="B176" s="403" t="str">
        <f>'7. Intervenciones UDT- BH'!$C$8</f>
        <v>UDT BAJO HUALLAGA</v>
      </c>
      <c r="C176" s="403" t="str">
        <f>'7. Intervenciones UDT- BH'!$F$72</f>
        <v>Territorios de comunidades nativas</v>
      </c>
      <c r="D176" s="404" t="str">
        <f>+'7. Intervenciones UDT- BH'!A84</f>
        <v>Programas de inversión privada</v>
      </c>
      <c r="E176" s="404" t="str">
        <f>+'7. Intervenciones UDT- BH'!C84</f>
        <v>4.4.5</v>
      </c>
      <c r="F176" s="403" t="str">
        <f>+'7. Intervenciones UDT- BH'!D84</f>
        <v>Identificación y apertura de mercado para productos del bosque.</v>
      </c>
      <c r="G176" s="403" t="str">
        <f>+'7. Intervenciones UDT- BH'!E84</f>
        <v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v>
      </c>
      <c r="H176" s="948" t="s">
        <v>1857</v>
      </c>
      <c r="I176" s="946" t="s">
        <v>193</v>
      </c>
      <c r="J176" s="946" t="s">
        <v>2592</v>
      </c>
      <c r="K176" s="946" t="s">
        <v>2329</v>
      </c>
      <c r="L176" s="946" t="s">
        <v>197</v>
      </c>
      <c r="M176" s="418" t="s">
        <v>1876</v>
      </c>
      <c r="N176" s="948" t="s">
        <v>1862</v>
      </c>
      <c r="O176" s="948" t="s">
        <v>228</v>
      </c>
      <c r="P176" s="951" t="s">
        <v>1877</v>
      </c>
      <c r="Q176" s="948" t="str">
        <f>+'7. Intervenciones UDT- BH'!F84</f>
        <v>Especialistas</v>
      </c>
      <c r="R176" s="405">
        <f>+'7. Intervenciones UDT- BH'!I84</f>
        <v>0</v>
      </c>
      <c r="S176" s="405">
        <f>+'7. Intervenciones UDT- BH'!J84</f>
        <v>3</v>
      </c>
      <c r="T176" s="405">
        <f>+'7. Intervenciones UDT- BH'!K84</f>
        <v>3</v>
      </c>
      <c r="U176" s="405">
        <f>+'7. Intervenciones UDT- BH'!L84</f>
        <v>3500</v>
      </c>
      <c r="V176" s="403" t="str">
        <f>+'7. Intervenciones UDT- BH'!M84</f>
        <v>Contratación de especialista para identificación, acompañamiento y seguimiento a los procesos comerciales iniciados por las organizaciones de las CCNN</v>
      </c>
      <c r="W176" s="403" t="str">
        <f>+'7. Intervenciones UDT- BH'!N84</f>
        <v>Drasam, Direpro, Dircetur, ARA, OPIPs, CODEPISAM</v>
      </c>
      <c r="X176" s="588">
        <f>+'7. Intervenciones UDT- BH'!O84</f>
        <v>630000</v>
      </c>
      <c r="Y176" s="588">
        <f>+Tabla1[[#This Row],[2025 Directo]]*(1+$Y$3)</f>
        <v>636615</v>
      </c>
      <c r="Z176" s="588">
        <f>+'7. Intervenciones UDT- BH'!P84</f>
        <v>630000</v>
      </c>
      <c r="AA176" s="588">
        <f>+Tabla1[[#This Row],[2030 Directo]]*(1+$Y$3)</f>
        <v>636615</v>
      </c>
      <c r="AB176" s="588">
        <f>+'7. Intervenciones UDT- BH'!Q84</f>
        <v>126000</v>
      </c>
      <c r="AC176" s="588">
        <f>+Tabla1[[#This Row],[Año 1 Cto Directo]]*(1+$Y$3)</f>
        <v>127323</v>
      </c>
      <c r="AD176" s="588">
        <f>+'7. Intervenciones UDT- BH'!R84</f>
        <v>126000</v>
      </c>
      <c r="AE176" s="588">
        <f>+Tabla1[[#This Row],[Año 2 Cto. Directo]]*(1+$Y$3)</f>
        <v>127323</v>
      </c>
      <c r="AF176" s="588">
        <f>+'7. Intervenciones UDT- BH'!S84</f>
        <v>126000</v>
      </c>
      <c r="AG176" s="588">
        <f>+Tabla1[[#This Row],[Año 3 Cto. Directo]]*(1+$Y$3)</f>
        <v>127323</v>
      </c>
      <c r="AH176" s="588">
        <f>+'7. Intervenciones UDT- BH'!T84</f>
        <v>126000</v>
      </c>
      <c r="AI176" s="588">
        <f>+Tabla1[[#This Row],[Año 4 Cto. Directo]]*(1+$Y$3)</f>
        <v>127323</v>
      </c>
      <c r="AJ176" s="588">
        <f>+'7. Intervenciones UDT- BH'!U84</f>
        <v>126000</v>
      </c>
      <c r="AK176" s="588">
        <f>+Tabla1[[#This Row],[Año 5 Cto. Directo]]*(1+$Y$3)</f>
        <v>127323</v>
      </c>
      <c r="AL176" s="403">
        <f>+'7. Intervenciones UDT- BH'!V84</f>
        <v>0</v>
      </c>
      <c r="AM176" s="954" t="str">
        <f>+'7. Intervenciones UDT- BH'!W84</f>
        <v>X</v>
      </c>
      <c r="AN176" s="954"/>
      <c r="AO176" s="954"/>
      <c r="AP176" s="954"/>
      <c r="AQ176" s="954" t="str">
        <f>+'7. Intervenciones UDT- BH'!AA84</f>
        <v>RE</v>
      </c>
      <c r="AR176" s="954">
        <f>+'7. Intervenciones UDT- BH'!AB84</f>
        <v>3</v>
      </c>
      <c r="AS176" s="403">
        <f t="shared" si="1"/>
        <v>1</v>
      </c>
    </row>
    <row r="177" spans="1:45" s="195" customFormat="1" ht="15.8" hidden="1" customHeight="1" x14ac:dyDescent="0.3">
      <c r="A177" s="403"/>
      <c r="B177" s="403" t="str">
        <f>'7. Intervenciones UDT- BH'!$C$8</f>
        <v>UDT BAJO HUALLAGA</v>
      </c>
      <c r="C177" s="403" t="str">
        <f>'7. Intervenciones UDT- BH'!$F$72</f>
        <v>Territorios de comunidades nativas</v>
      </c>
      <c r="D177" s="404" t="str">
        <f>+'7. Intervenciones UDT- BH'!A85</f>
        <v>Invasiones</v>
      </c>
      <c r="E177" s="404" t="str">
        <f>+'7. Intervenciones UDT- BH'!C85</f>
        <v>4.4.6</v>
      </c>
      <c r="F177" s="403" t="str">
        <f>+'7. Intervenciones UDT- BH'!D85</f>
        <v>Transferencias de incentivos por conservación de bosques</v>
      </c>
      <c r="G177" s="403" t="str">
        <f>+'7. Intervenciones UDT- BH'!E85</f>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v>
      </c>
      <c r="H177" s="948" t="s">
        <v>1857</v>
      </c>
      <c r="I177" s="946" t="s">
        <v>203</v>
      </c>
      <c r="J177" s="946" t="s">
        <v>2597</v>
      </c>
      <c r="K177" s="946" t="s">
        <v>2336</v>
      </c>
      <c r="L177" s="946" t="s">
        <v>195</v>
      </c>
      <c r="M177" s="418" t="s">
        <v>1871</v>
      </c>
      <c r="N177" s="948" t="s">
        <v>1879</v>
      </c>
      <c r="O177" s="948" t="s">
        <v>218</v>
      </c>
      <c r="P177" s="951" t="s">
        <v>1872</v>
      </c>
      <c r="Q177" s="948" t="str">
        <f>+'7. Intervenciones UDT- BH'!F85</f>
        <v>Comunidades atendidas</v>
      </c>
      <c r="R177" s="405">
        <f>+'7. Intervenciones UDT- BH'!I85</f>
        <v>47</v>
      </c>
      <c r="S177" s="405">
        <f>+'7. Intervenciones UDT- BH'!J85</f>
        <v>28.2</v>
      </c>
      <c r="T177" s="405">
        <f>+'7. Intervenciones UDT- BH'!K85</f>
        <v>18.8</v>
      </c>
      <c r="U177" s="405">
        <f>+'7. Intervenciones UDT- BH'!L85</f>
        <v>5000</v>
      </c>
      <c r="V177" s="403" t="str">
        <f>+'7. Intervenciones UDT- BH'!M85</f>
        <v xml:space="preserve">El costo esta referido a los gastos administrativos y logísticos que impliquen la elaboración del expediente para ser presentado al programa. </v>
      </c>
      <c r="W177" s="403" t="str">
        <f>+'7. Intervenciones UDT- BH'!N85</f>
        <v>Gerencia Regional de Desarrollo Social, Programa Geo bosques, CODEPISAM</v>
      </c>
      <c r="X177" s="588">
        <f>+'7. Intervenciones UDT- BH'!O85</f>
        <v>705000</v>
      </c>
      <c r="Y177" s="588">
        <f>+Tabla1[[#This Row],[2025 Directo]]*(1+$Y$3)</f>
        <v>712402.5</v>
      </c>
      <c r="Z177" s="588">
        <f>+'7. Intervenciones UDT- BH'!P85</f>
        <v>470000</v>
      </c>
      <c r="AA177" s="588">
        <f>+Tabla1[[#This Row],[2030 Directo]]*(1+$Y$3)</f>
        <v>474935</v>
      </c>
      <c r="AB177" s="588">
        <f>+'7. Intervenciones UDT- BH'!Q85</f>
        <v>141000</v>
      </c>
      <c r="AC177" s="588">
        <f>+Tabla1[[#This Row],[Año 1 Cto Directo]]*(1+$Y$3)</f>
        <v>142480.5</v>
      </c>
      <c r="AD177" s="588">
        <f>+'7. Intervenciones UDT- BH'!R85</f>
        <v>141000</v>
      </c>
      <c r="AE177" s="588">
        <f>+Tabla1[[#This Row],[Año 2 Cto. Directo]]*(1+$Y$3)</f>
        <v>142480.5</v>
      </c>
      <c r="AF177" s="588">
        <f>+'7. Intervenciones UDT- BH'!S85</f>
        <v>141000</v>
      </c>
      <c r="AG177" s="588">
        <f>+Tabla1[[#This Row],[Año 3 Cto. Directo]]*(1+$Y$3)</f>
        <v>142480.5</v>
      </c>
      <c r="AH177" s="588">
        <f>+'7. Intervenciones UDT- BH'!T85</f>
        <v>141000</v>
      </c>
      <c r="AI177" s="588">
        <f>+Tabla1[[#This Row],[Año 4 Cto. Directo]]*(1+$Y$3)</f>
        <v>142480.5</v>
      </c>
      <c r="AJ177" s="588">
        <f>+'7. Intervenciones UDT- BH'!U85</f>
        <v>141000</v>
      </c>
      <c r="AK177" s="588">
        <f>+Tabla1[[#This Row],[Año 5 Cto. Directo]]*(1+$Y$3)</f>
        <v>142480.5</v>
      </c>
      <c r="AL177" s="403">
        <f>+'7. Intervenciones UDT- BH'!V85</f>
        <v>0</v>
      </c>
      <c r="AM177" s="954"/>
      <c r="AN177" s="954"/>
      <c r="AO177" s="954" t="str">
        <f>+'7. Intervenciones UDT- BH'!Y85</f>
        <v>X</v>
      </c>
      <c r="AP177" s="954"/>
      <c r="AQ177" s="954"/>
      <c r="AR177" s="954">
        <f>+'7. Intervenciones UDT- BH'!AB85</f>
        <v>3</v>
      </c>
      <c r="AS177" s="403">
        <f t="shared" si="1"/>
        <v>1</v>
      </c>
    </row>
    <row r="178" spans="1:45" s="195" customFormat="1" ht="15.8" hidden="1" customHeight="1" x14ac:dyDescent="0.3">
      <c r="A178" s="403"/>
      <c r="B178" s="403" t="str">
        <f>'7. Intervenciones UDT- BH'!$C$8</f>
        <v>UDT BAJO HUALLAGA</v>
      </c>
      <c r="C178" s="403" t="str">
        <f>'7. Intervenciones UDT- BH'!$F$72</f>
        <v>Territorios de comunidades nativas</v>
      </c>
      <c r="D178" s="404" t="str">
        <f>+'7. Intervenciones UDT- BH'!A86</f>
        <v>Programas de inversión pública</v>
      </c>
      <c r="E178" s="404" t="str">
        <f>+'7. Intervenciones UDT- BH'!C86</f>
        <v>4.4.7</v>
      </c>
      <c r="F178" s="403" t="str">
        <f>+'7. Intervenciones UDT- BH'!D86</f>
        <v>Infraestructura comunitaria ( Tambos, Cobertizos, almacenes, cocinas mejoradas, Baños)</v>
      </c>
      <c r="G178" s="403" t="str">
        <f>+'7. Intervenciones UDT- BH'!E86</f>
        <v xml:space="preserve">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v>
      </c>
      <c r="H178" s="948" t="s">
        <v>1857</v>
      </c>
      <c r="I178" s="946" t="s">
        <v>199</v>
      </c>
      <c r="J178" s="946" t="s">
        <v>2598</v>
      </c>
      <c r="K178" s="946" t="s">
        <v>2334</v>
      </c>
      <c r="L178" s="946" t="s">
        <v>201</v>
      </c>
      <c r="M178" s="418" t="s">
        <v>1883</v>
      </c>
      <c r="N178" s="948" t="s">
        <v>1884</v>
      </c>
      <c r="O178" s="948" t="s">
        <v>226</v>
      </c>
      <c r="P178" s="951" t="s">
        <v>1885</v>
      </c>
      <c r="Q178" s="948" t="str">
        <f>+'7. Intervenciones UDT- BH'!F86</f>
        <v>Módulos implementados</v>
      </c>
      <c r="R178" s="405">
        <f>+'7. Intervenciones UDT- BH'!I86</f>
        <v>4700</v>
      </c>
      <c r="S178" s="405">
        <f>+'7. Intervenciones UDT- BH'!J86</f>
        <v>1410</v>
      </c>
      <c r="T178" s="405">
        <f>+'7. Intervenciones UDT- BH'!K86</f>
        <v>940</v>
      </c>
      <c r="U178" s="405">
        <f>+'7. Intervenciones UDT- BH'!L86</f>
        <v>30000</v>
      </c>
      <c r="V178" s="403" t="str">
        <f>+'7. Intervenciones UDT- BH'!M86</f>
        <v xml:space="preserve">Implementación según las necesidades identificadas en cada comunidad, considerando si son aplicables en dichas zonas, si no hay restricciones de cualquier índole. </v>
      </c>
      <c r="W178" s="403" t="str">
        <f>+'7. Intervenciones UDT- BH'!N86</f>
        <v>Goresam, MIDIS, DRTyTC, Drasam,Foncodes, Cooperación, CODEPISAM</v>
      </c>
      <c r="X178" s="588">
        <f>+'7. Intervenciones UDT- BH'!O86</f>
        <v>42300000</v>
      </c>
      <c r="Y178" s="588">
        <f>+Tabla1[[#This Row],[2025 Directo]]*(1+$Y$3)</f>
        <v>42744150</v>
      </c>
      <c r="Z178" s="588">
        <f>+'7. Intervenciones UDT- BH'!P86</f>
        <v>28200000</v>
      </c>
      <c r="AA178" s="588">
        <f>+Tabla1[[#This Row],[2030 Directo]]*(1+$Y$3)</f>
        <v>28496100</v>
      </c>
      <c r="AB178" s="588">
        <f>+'7. Intervenciones UDT- BH'!Q86</f>
        <v>8460000</v>
      </c>
      <c r="AC178" s="588">
        <f>+Tabla1[[#This Row],[Año 1 Cto Directo]]*(1+$Y$3)</f>
        <v>8548830</v>
      </c>
      <c r="AD178" s="588">
        <f>+'7. Intervenciones UDT- BH'!R86</f>
        <v>8460000</v>
      </c>
      <c r="AE178" s="588">
        <f>+Tabla1[[#This Row],[Año 2 Cto. Directo]]*(1+$Y$3)</f>
        <v>8548830</v>
      </c>
      <c r="AF178" s="588">
        <f>+'7. Intervenciones UDT- BH'!S86</f>
        <v>8460000</v>
      </c>
      <c r="AG178" s="588">
        <f>+Tabla1[[#This Row],[Año 3 Cto. Directo]]*(1+$Y$3)</f>
        <v>8548830</v>
      </c>
      <c r="AH178" s="588">
        <f>+'7. Intervenciones UDT- BH'!T86</f>
        <v>8460000</v>
      </c>
      <c r="AI178" s="588">
        <f>+Tabla1[[#This Row],[Año 4 Cto. Directo]]*(1+$Y$3)</f>
        <v>8548830</v>
      </c>
      <c r="AJ178" s="588">
        <f>+'7. Intervenciones UDT- BH'!U86</f>
        <v>8460000</v>
      </c>
      <c r="AK178" s="588">
        <f>+Tabla1[[#This Row],[Año 5 Cto. Directo]]*(1+$Y$3)</f>
        <v>8548830</v>
      </c>
      <c r="AL178" s="403">
        <f>+'7. Intervenciones UDT- BH'!V86</f>
        <v>0</v>
      </c>
      <c r="AM178" s="954"/>
      <c r="AN178" s="954"/>
      <c r="AO178" s="954" t="str">
        <f>+'7. Intervenciones UDT- BH'!Y86</f>
        <v>X</v>
      </c>
      <c r="AP178" s="954"/>
      <c r="AQ178" s="954"/>
      <c r="AR178" s="954">
        <f>+'7. Intervenciones UDT- BH'!AB86</f>
        <v>3</v>
      </c>
      <c r="AS178" s="403">
        <f t="shared" si="1"/>
        <v>1</v>
      </c>
    </row>
    <row r="179" spans="1:45" s="195" customFormat="1" ht="15.8" hidden="1" customHeight="1" x14ac:dyDescent="0.3">
      <c r="A179" s="403"/>
      <c r="B179" s="403" t="str">
        <f>'7. Intervenciones UDT- BH'!$C$8</f>
        <v>UDT BAJO HUALLAGA</v>
      </c>
      <c r="C179" s="403" t="str">
        <f>'7. Intervenciones UDT- BH'!$F$72</f>
        <v>Territorios de comunidades nativas</v>
      </c>
      <c r="D179" s="404" t="str">
        <f>+'7. Intervenciones UDT- BH'!A87</f>
        <v>Programas de inversión pública</v>
      </c>
      <c r="E179" s="404" t="str">
        <f>+'7. Intervenciones UDT- BH'!C87</f>
        <v>4.4.8</v>
      </c>
      <c r="F179" s="403" t="str">
        <f>+'7. Intervenciones UDT- BH'!D87</f>
        <v>Servicios básicos de calidad</v>
      </c>
      <c r="G179" s="403" t="str">
        <f>+'7. Intervenciones UDT- BH'!E87</f>
        <v xml:space="preserve">Implementación de proyectos enfocados a mejorar los servicios básicos de las comunidades nativas, dichos servicios deberán contar con profesionales bilingües, para asegurar y garantizar la adecuada transferencia de dichos servicios.  </v>
      </c>
      <c r="H179" s="948" t="s">
        <v>1857</v>
      </c>
      <c r="I179" s="946" t="s">
        <v>199</v>
      </c>
      <c r="J179" s="946" t="s">
        <v>2598</v>
      </c>
      <c r="K179" s="946" t="s">
        <v>2334</v>
      </c>
      <c r="L179" s="946" t="s">
        <v>201</v>
      </c>
      <c r="M179" s="418" t="s">
        <v>1883</v>
      </c>
      <c r="N179" s="948" t="s">
        <v>1884</v>
      </c>
      <c r="O179" s="948" t="s">
        <v>226</v>
      </c>
      <c r="P179" s="951" t="s">
        <v>1885</v>
      </c>
      <c r="Q179" s="948" t="str">
        <f>+'7. Intervenciones UDT- BH'!F87</f>
        <v>Escuelas y postas médicas implementadas</v>
      </c>
      <c r="R179" s="405">
        <f>+'7. Intervenciones UDT- BH'!I87</f>
        <v>47</v>
      </c>
      <c r="S179" s="405">
        <f>+'7. Intervenciones UDT- BH'!J87</f>
        <v>23.5</v>
      </c>
      <c r="T179" s="405">
        <f>+'7. Intervenciones UDT- BH'!K87</f>
        <v>23.5</v>
      </c>
      <c r="U179" s="405">
        <f>+'7. Intervenciones UDT- BH'!L87</f>
        <v>150000</v>
      </c>
      <c r="V179" s="403" t="str">
        <f>+'7. Intervenciones UDT- BH'!M87</f>
        <v>Educación: Mejoramiento de la infraestructura educativa en las CCNN, designación de maestros bilingües para las CCNN,  Implementación de niveles secundarios en las CCNN., Creación de institutos pedagógicos para la formación de maestros indígenas,  Promover la inclusión de formación en sistemas de educación intercultural bilingüe, Promover la inclusión en las currículos educativas nacional y regional (centros educativos, de formación técnica y universitaria) la educación intercultural bilingüe. Salud: Establecimiento de botiquines comunales, Preparación de sanitarios en las CCNN,  Comunicación para reportes de salud, Inclusión de los especialistas indígenas en el sistema de salud para la mejor atención de nuestras comunidades, Creación de postas de salud en lugares estratégicos para un conjunto de CCNN, Promover la inclusión de formación en sistemas de salud interculturales a los estudiantes en formación sanitaria</v>
      </c>
      <c r="W179" s="403" t="str">
        <f>+'7. Intervenciones UDT- BH'!N87</f>
        <v>DRE, UGEL, CODEPISAM</v>
      </c>
      <c r="X179" s="588">
        <f>+'7. Intervenciones UDT- BH'!O87</f>
        <v>17625000</v>
      </c>
      <c r="Y179" s="588">
        <f>+Tabla1[[#This Row],[2025 Directo]]*(1+$Y$3)</f>
        <v>17810062.5</v>
      </c>
      <c r="Z179" s="588">
        <f>+'7. Intervenciones UDT- BH'!P87</f>
        <v>17625000</v>
      </c>
      <c r="AA179" s="588">
        <f>+Tabla1[[#This Row],[2030 Directo]]*(1+$Y$3)</f>
        <v>17810062.5</v>
      </c>
      <c r="AB179" s="588">
        <f>+'7. Intervenciones UDT- BH'!Q87</f>
        <v>3525000</v>
      </c>
      <c r="AC179" s="588">
        <f>+Tabla1[[#This Row],[Año 1 Cto Directo]]*(1+$Y$3)</f>
        <v>3562012.5</v>
      </c>
      <c r="AD179" s="588">
        <f>+'7. Intervenciones UDT- BH'!R87</f>
        <v>3525000</v>
      </c>
      <c r="AE179" s="588">
        <f>+Tabla1[[#This Row],[Año 2 Cto. Directo]]*(1+$Y$3)</f>
        <v>3562012.5</v>
      </c>
      <c r="AF179" s="588">
        <f>+'7. Intervenciones UDT- BH'!S87</f>
        <v>3525000</v>
      </c>
      <c r="AG179" s="588">
        <f>+Tabla1[[#This Row],[Año 3 Cto. Directo]]*(1+$Y$3)</f>
        <v>3562012.5</v>
      </c>
      <c r="AH179" s="588">
        <f>+'7. Intervenciones UDT- BH'!T87</f>
        <v>3525000</v>
      </c>
      <c r="AI179" s="588">
        <f>+Tabla1[[#This Row],[Año 4 Cto. Directo]]*(1+$Y$3)</f>
        <v>3562012.5</v>
      </c>
      <c r="AJ179" s="588">
        <f>+'7. Intervenciones UDT- BH'!U87</f>
        <v>3525000</v>
      </c>
      <c r="AK179" s="588">
        <f>+Tabla1[[#This Row],[Año 5 Cto. Directo]]*(1+$Y$3)</f>
        <v>3562012.5</v>
      </c>
      <c r="AL179" s="403">
        <f>+'7. Intervenciones UDT- BH'!V87</f>
        <v>0</v>
      </c>
      <c r="AM179" s="954" t="str">
        <f>+'7. Intervenciones UDT- BH'!W87</f>
        <v>X</v>
      </c>
      <c r="AN179" s="954"/>
      <c r="AO179" s="954"/>
      <c r="AP179" s="954"/>
      <c r="AQ179" s="954" t="str">
        <f>+'7. Intervenciones UDT- BH'!AA87</f>
        <v>RE</v>
      </c>
      <c r="AR179" s="954">
        <f>+'7. Intervenciones UDT- BH'!AB87</f>
        <v>3</v>
      </c>
      <c r="AS179" s="403">
        <f t="shared" si="1"/>
        <v>1</v>
      </c>
    </row>
    <row r="180" spans="1:45" s="195" customFormat="1" ht="15.8" hidden="1" customHeight="1" x14ac:dyDescent="0.3">
      <c r="A180" s="403"/>
      <c r="B180" s="403" t="str">
        <f>'7. Intervenciones UDT- BH'!$C$8</f>
        <v>UDT BAJO HUALLAGA</v>
      </c>
      <c r="C180" s="403" t="str">
        <f>'7. Intervenciones UDT- BH'!$F$91</f>
        <v xml:space="preserve">Concesiones para conservación y ecoturismo </v>
      </c>
      <c r="D180" s="404" t="str">
        <f>+'7. Intervenciones UDT- BH'!A99</f>
        <v>Programas de inversión privada</v>
      </c>
      <c r="E180" s="404" t="str">
        <f>+'7. Intervenciones UDT- BH'!C99</f>
        <v>4.5.1</v>
      </c>
      <c r="F180" s="403" t="str">
        <f>+'7. Intervenciones UDT- BH'!D99</f>
        <v>Incentivos financieros para promoción del ecoturismo y turismo comunitario</v>
      </c>
      <c r="G180" s="403" t="str">
        <f>+'7. Intervenciones UDT- BH'!E99</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H180" s="948" t="s">
        <v>1867</v>
      </c>
      <c r="I180" s="946" t="s">
        <v>203</v>
      </c>
      <c r="J180" s="946" t="s">
        <v>2597</v>
      </c>
      <c r="K180" s="946" t="s">
        <v>2336</v>
      </c>
      <c r="L180" s="946" t="s">
        <v>195</v>
      </c>
      <c r="M180" s="418" t="s">
        <v>1871</v>
      </c>
      <c r="N180" s="948" t="s">
        <v>1879</v>
      </c>
      <c r="O180" s="948" t="s">
        <v>218</v>
      </c>
      <c r="P180" s="951" t="s">
        <v>1872</v>
      </c>
      <c r="Q180" s="948" t="str">
        <f>+'7. Intervenciones UDT- BH'!F99</f>
        <v>Planes de negocios</v>
      </c>
      <c r="R180" s="405">
        <f>+'7. Intervenciones UDT- BH'!I99</f>
        <v>0</v>
      </c>
      <c r="S180" s="405">
        <f>+'7. Intervenciones UDT- BH'!J99</f>
        <v>4</v>
      </c>
      <c r="T180" s="405">
        <f>+'7. Intervenciones UDT- BH'!K99</f>
        <v>4</v>
      </c>
      <c r="U180" s="405">
        <f>+'7. Intervenciones UDT- BH'!L99</f>
        <v>150000</v>
      </c>
      <c r="V180" s="403" t="str">
        <f>+'7. Intervenciones UDT- BH'!M99</f>
        <v xml:space="preserve">El costo presupuestado será considerado para los estudios preliminares requeridos para el plan de negocio, pago de especialista de ser el caso, implementación de infraestructura básica según la priorización de los operadores turísticos interesados. </v>
      </c>
      <c r="W180" s="403" t="str">
        <f>+'7. Intervenciones UDT- BH'!N99</f>
        <v>Dircetur</v>
      </c>
      <c r="X180" s="588">
        <f>+'7. Intervenciones UDT- BH'!O99</f>
        <v>600000</v>
      </c>
      <c r="Y180" s="588">
        <f>+Tabla1[[#This Row],[2025 Directo]]*(1+$Y$3)</f>
        <v>606300</v>
      </c>
      <c r="Z180" s="588">
        <f>+'7. Intervenciones UDT- BH'!P99</f>
        <v>600000</v>
      </c>
      <c r="AA180" s="588">
        <f>+Tabla1[[#This Row],[2030 Directo]]*(1+$Y$3)</f>
        <v>606300</v>
      </c>
      <c r="AB180" s="588">
        <f>+'7. Intervenciones UDT- BH'!Q99</f>
        <v>120000</v>
      </c>
      <c r="AC180" s="588">
        <f>+Tabla1[[#This Row],[Año 1 Cto Directo]]*(1+$Y$3)</f>
        <v>121260</v>
      </c>
      <c r="AD180" s="588">
        <f>+'7. Intervenciones UDT- BH'!R99</f>
        <v>120000</v>
      </c>
      <c r="AE180" s="588">
        <f>+Tabla1[[#This Row],[Año 2 Cto. Directo]]*(1+$Y$3)</f>
        <v>121260</v>
      </c>
      <c r="AF180" s="588">
        <f>+'7. Intervenciones UDT- BH'!S99</f>
        <v>120000</v>
      </c>
      <c r="AG180" s="588">
        <f>+Tabla1[[#This Row],[Año 3 Cto. Directo]]*(1+$Y$3)</f>
        <v>121260</v>
      </c>
      <c r="AH180" s="588">
        <f>+'7. Intervenciones UDT- BH'!T99</f>
        <v>120000</v>
      </c>
      <c r="AI180" s="588">
        <f>+Tabla1[[#This Row],[Año 4 Cto. Directo]]*(1+$Y$3)</f>
        <v>121260</v>
      </c>
      <c r="AJ180" s="588">
        <f>+'7. Intervenciones UDT- BH'!U99</f>
        <v>120000</v>
      </c>
      <c r="AK180" s="588">
        <f>+Tabla1[[#This Row],[Año 5 Cto. Directo]]*(1+$Y$3)</f>
        <v>121260</v>
      </c>
      <c r="AL180" s="403">
        <f>+'7. Intervenciones UDT- BH'!V99</f>
        <v>0</v>
      </c>
      <c r="AM180" s="954" t="str">
        <f>+'7. Intervenciones UDT- BH'!W99</f>
        <v>X</v>
      </c>
      <c r="AN180" s="954"/>
      <c r="AO180" s="954"/>
      <c r="AP180" s="954"/>
      <c r="AQ180" s="954" t="str">
        <f>+'7. Intervenciones UDT- BH'!AA99</f>
        <v>RE</v>
      </c>
      <c r="AR180" s="954">
        <f>+'7. Intervenciones UDT- BH'!AB99</f>
        <v>3</v>
      </c>
      <c r="AS180" s="403">
        <f t="shared" si="1"/>
        <v>1</v>
      </c>
    </row>
    <row r="181" spans="1:45" s="195" customFormat="1" ht="15.8" hidden="1" customHeight="1" x14ac:dyDescent="0.3">
      <c r="A181" s="403"/>
      <c r="B181" s="403" t="str">
        <f>'7. Intervenciones UDT- BH'!$C$8</f>
        <v>UDT BAJO HUALLAGA</v>
      </c>
      <c r="C181" s="403" t="str">
        <f>'7. Intervenciones UDT- BH'!$F$91</f>
        <v xml:space="preserve">Concesiones para conservación y ecoturismo </v>
      </c>
      <c r="D181" s="404" t="str">
        <f>+'7. Intervenciones UDT- BH'!A100</f>
        <v>Programas de inversión pública</v>
      </c>
      <c r="E181" s="404" t="str">
        <f>+'7. Intervenciones UDT- BH'!C100</f>
        <v>4.5.2</v>
      </c>
      <c r="F181" s="403" t="str">
        <f>+'7. Intervenciones UDT- BH'!D100</f>
        <v>Asistencia técnica para la gestión del turismo y acciones integradas para el desarrollo de las organizaciones  o emprendimientos comunitarios</v>
      </c>
      <c r="G181" s="403" t="str">
        <f>+'7. Intervenciones UDT- BH'!E100</f>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
2. Asistencia técnica, orientada al a) Fortalecimiento de la gestión del turismo, b) Consolidación de los productos de turismo y c) Fortalecimiento de la política institucional y la gobernanza del turismo.</v>
      </c>
      <c r="H181" s="948" t="s">
        <v>1857</v>
      </c>
      <c r="I181" s="946" t="s">
        <v>203</v>
      </c>
      <c r="J181" s="946" t="s">
        <v>2595</v>
      </c>
      <c r="K181" s="946" t="s">
        <v>2333</v>
      </c>
      <c r="L181" s="946" t="s">
        <v>204</v>
      </c>
      <c r="M181" s="418" t="s">
        <v>1878</v>
      </c>
      <c r="N181" s="948" t="s">
        <v>1879</v>
      </c>
      <c r="O181" s="948" t="s">
        <v>224</v>
      </c>
      <c r="P181" s="951" t="s">
        <v>1863</v>
      </c>
      <c r="Q181" s="948" t="str">
        <f>+'7. Intervenciones UDT- BH'!F100</f>
        <v>Especialistas</v>
      </c>
      <c r="R181" s="405">
        <f>+'7. Intervenciones UDT- BH'!I100</f>
        <v>0</v>
      </c>
      <c r="S181" s="405">
        <f>+'7. Intervenciones UDT- BH'!J100</f>
        <v>2</v>
      </c>
      <c r="T181" s="405">
        <f>+'7. Intervenciones UDT- BH'!K100</f>
        <v>2</v>
      </c>
      <c r="U181" s="405">
        <f>+'7. Intervenciones UDT- BH'!L100</f>
        <v>4000</v>
      </c>
      <c r="V181" s="403" t="str">
        <f>+'7. Intervenciones UDT- BH'!M100</f>
        <v>Contratación de especialista y gastos logísticos, pasantías regionales y nacionales para adquisición de know how en materia de turismo rural</v>
      </c>
      <c r="W181" s="403" t="str">
        <f>+'7. Intervenciones UDT- BH'!N100</f>
        <v>Dircetur</v>
      </c>
      <c r="X181" s="588">
        <f>+'7. Intervenciones UDT- BH'!O100</f>
        <v>480000</v>
      </c>
      <c r="Y181" s="588">
        <f>+Tabla1[[#This Row],[2025 Directo]]*(1+$Y$3)</f>
        <v>485040</v>
      </c>
      <c r="Z181" s="588">
        <f>+'7. Intervenciones UDT- BH'!P100</f>
        <v>480000</v>
      </c>
      <c r="AA181" s="588">
        <f>+Tabla1[[#This Row],[2030 Directo]]*(1+$Y$3)</f>
        <v>485040</v>
      </c>
      <c r="AB181" s="588">
        <f>+'7. Intervenciones UDT- BH'!Q100</f>
        <v>96000</v>
      </c>
      <c r="AC181" s="588">
        <f>+Tabla1[[#This Row],[Año 1 Cto Directo]]*(1+$Y$3)</f>
        <v>97008</v>
      </c>
      <c r="AD181" s="588">
        <f>+'7. Intervenciones UDT- BH'!R100</f>
        <v>96000</v>
      </c>
      <c r="AE181" s="588">
        <f>+Tabla1[[#This Row],[Año 2 Cto. Directo]]*(1+$Y$3)</f>
        <v>97008</v>
      </c>
      <c r="AF181" s="588">
        <f>+'7. Intervenciones UDT- BH'!S100</f>
        <v>96000</v>
      </c>
      <c r="AG181" s="588">
        <f>+Tabla1[[#This Row],[Año 3 Cto. Directo]]*(1+$Y$3)</f>
        <v>97008</v>
      </c>
      <c r="AH181" s="588">
        <f>+'7. Intervenciones UDT- BH'!T100</f>
        <v>96000</v>
      </c>
      <c r="AI181" s="588">
        <f>+Tabla1[[#This Row],[Año 4 Cto. Directo]]*(1+$Y$3)</f>
        <v>97008</v>
      </c>
      <c r="AJ181" s="588">
        <f>+'7. Intervenciones UDT- BH'!U100</f>
        <v>96000</v>
      </c>
      <c r="AK181" s="588">
        <f>+Tabla1[[#This Row],[Año 5 Cto. Directo]]*(1+$Y$3)</f>
        <v>97008</v>
      </c>
      <c r="AL181" s="403">
        <f>+'7. Intervenciones UDT- BH'!V100</f>
        <v>0</v>
      </c>
      <c r="AM181" s="954"/>
      <c r="AN181" s="954"/>
      <c r="AO181" s="954" t="str">
        <f>+'7. Intervenciones UDT- BH'!Y100</f>
        <v>X</v>
      </c>
      <c r="AP181" s="954"/>
      <c r="AQ181" s="954" t="str">
        <f>+'7. Intervenciones UDT- BH'!AA100</f>
        <v>RE</v>
      </c>
      <c r="AR181" s="954">
        <f>+'7. Intervenciones UDT- BH'!AB100</f>
        <v>3</v>
      </c>
      <c r="AS181" s="403">
        <f t="shared" si="1"/>
        <v>1</v>
      </c>
    </row>
    <row r="182" spans="1:45" s="195" customFormat="1" ht="15.8" hidden="1" customHeight="1" x14ac:dyDescent="0.3">
      <c r="A182" s="403"/>
      <c r="B182" s="403" t="str">
        <f>'7. Intervenciones UDT- BH'!$C$8</f>
        <v>UDT BAJO HUALLAGA</v>
      </c>
      <c r="C182" s="403" t="str">
        <f>'7. Intervenciones UDT- BH'!$F$91</f>
        <v xml:space="preserve">Concesiones para conservación y ecoturismo </v>
      </c>
      <c r="D182" s="404" t="str">
        <f>+'7. Intervenciones UDT- BH'!A101</f>
        <v>Programas de inversión privada</v>
      </c>
      <c r="E182" s="404" t="str">
        <f>+'7. Intervenciones UDT- BH'!C101</f>
        <v>4.5.3</v>
      </c>
      <c r="F182" s="403" t="str">
        <f>+'7. Intervenciones UDT- BH'!D101</f>
        <v xml:space="preserve">Promoción de Bionegocios con productos forestales no maderables </v>
      </c>
      <c r="G182" s="403" t="str">
        <f>+'7. Intervenciones UDT- BH'!E101</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H182" s="948" t="s">
        <v>1857</v>
      </c>
      <c r="I182" s="946" t="s">
        <v>203</v>
      </c>
      <c r="J182" s="946" t="s">
        <v>2596</v>
      </c>
      <c r="K182" s="946" t="s">
        <v>2335</v>
      </c>
      <c r="L182" s="946" t="s">
        <v>205</v>
      </c>
      <c r="M182" s="418" t="s">
        <v>1881</v>
      </c>
      <c r="N182" s="948" t="s">
        <v>1879</v>
      </c>
      <c r="O182" s="948" t="s">
        <v>231</v>
      </c>
      <c r="P182" s="951" t="s">
        <v>1882</v>
      </c>
      <c r="Q182" s="948" t="str">
        <f>+'7. Intervenciones UDT- BH'!F101</f>
        <v>Planes de negocio</v>
      </c>
      <c r="R182" s="405">
        <f>+'7. Intervenciones UDT- BH'!I101</f>
        <v>0</v>
      </c>
      <c r="S182" s="405">
        <f>+'7. Intervenciones UDT- BH'!J101</f>
        <v>5</v>
      </c>
      <c r="T182" s="405">
        <f>+'7. Intervenciones UDT- BH'!K101</f>
        <v>5</v>
      </c>
      <c r="U182" s="405">
        <f>+'7. Intervenciones UDT- BH'!L101</f>
        <v>150000</v>
      </c>
      <c r="V182" s="403" t="str">
        <f>+'7. Intervenciones UDT- BH'!M101</f>
        <v>El costo hace referencia al proceso de implementación y funcionamiento de los productos para el desarrollo de  los emprendimientos.</v>
      </c>
      <c r="W182" s="403" t="str">
        <f>+'7. Intervenciones UDT- BH'!N101</f>
        <v>Dircetur, Agroideas</v>
      </c>
      <c r="X182" s="588">
        <f>+'7. Intervenciones UDT- BH'!O101</f>
        <v>750000</v>
      </c>
      <c r="Y182" s="588">
        <f>+Tabla1[[#This Row],[2025 Directo]]*(1+$Y$3)</f>
        <v>757875</v>
      </c>
      <c r="Z182" s="588">
        <f>+'7. Intervenciones UDT- BH'!P101</f>
        <v>750000</v>
      </c>
      <c r="AA182" s="588">
        <f>+Tabla1[[#This Row],[2030 Directo]]*(1+$Y$3)</f>
        <v>757875</v>
      </c>
      <c r="AB182" s="588">
        <f>+'7. Intervenciones UDT- BH'!Q101</f>
        <v>150000</v>
      </c>
      <c r="AC182" s="588">
        <f>+Tabla1[[#This Row],[Año 1 Cto Directo]]*(1+$Y$3)</f>
        <v>151575</v>
      </c>
      <c r="AD182" s="588">
        <f>+'7. Intervenciones UDT- BH'!R101</f>
        <v>150000</v>
      </c>
      <c r="AE182" s="588">
        <f>+Tabla1[[#This Row],[Año 2 Cto. Directo]]*(1+$Y$3)</f>
        <v>151575</v>
      </c>
      <c r="AF182" s="588">
        <f>+'7. Intervenciones UDT- BH'!S101</f>
        <v>150000</v>
      </c>
      <c r="AG182" s="588">
        <f>+Tabla1[[#This Row],[Año 3 Cto. Directo]]*(1+$Y$3)</f>
        <v>151575</v>
      </c>
      <c r="AH182" s="588">
        <f>+'7. Intervenciones UDT- BH'!T101</f>
        <v>150000</v>
      </c>
      <c r="AI182" s="588">
        <f>+Tabla1[[#This Row],[Año 4 Cto. Directo]]*(1+$Y$3)</f>
        <v>151575</v>
      </c>
      <c r="AJ182" s="588">
        <f>+'7. Intervenciones UDT- BH'!U101</f>
        <v>150000</v>
      </c>
      <c r="AK182" s="588">
        <f>+Tabla1[[#This Row],[Año 5 Cto. Directo]]*(1+$Y$3)</f>
        <v>151575</v>
      </c>
      <c r="AL182" s="403">
        <f>+'7. Intervenciones UDT- BH'!V101</f>
        <v>0</v>
      </c>
      <c r="AM182" s="954" t="str">
        <f>+'7. Intervenciones UDT- BH'!W101</f>
        <v>X</v>
      </c>
      <c r="AN182" s="954"/>
      <c r="AO182" s="954"/>
      <c r="AP182" s="954"/>
      <c r="AQ182" s="954" t="str">
        <f>+'7. Intervenciones UDT- BH'!AA101</f>
        <v>RE</v>
      </c>
      <c r="AR182" s="954">
        <f>+'7. Intervenciones UDT- BH'!AB101</f>
        <v>3</v>
      </c>
      <c r="AS182" s="403">
        <f t="shared" si="1"/>
        <v>1</v>
      </c>
    </row>
    <row r="183" spans="1:45" s="195" customFormat="1" ht="15.8" hidden="1" customHeight="1" x14ac:dyDescent="0.3">
      <c r="A183" s="403"/>
      <c r="B183" s="403" t="str">
        <f>'7. Intervenciones UDT- BH'!$C$8</f>
        <v>UDT BAJO HUALLAGA</v>
      </c>
      <c r="C183" s="403" t="str">
        <f>'7. Intervenciones UDT- BH'!$F$91</f>
        <v xml:space="preserve">Concesiones para conservación y ecoturismo </v>
      </c>
      <c r="D183" s="404" t="str">
        <f>+'7. Intervenciones UDT- BH'!A102</f>
        <v>Programas de inversión privada</v>
      </c>
      <c r="E183" s="404" t="str">
        <f>+'7. Intervenciones UDT- BH'!C102</f>
        <v>4.5.4</v>
      </c>
      <c r="F183" s="403" t="str">
        <f>+'7. Intervenciones UDT- BH'!D102</f>
        <v xml:space="preserve"> Promoción de mercados turísticos</v>
      </c>
      <c r="G183" s="403" t="str">
        <f>+'7. Intervenciones UDT- BH'!E102</f>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v>
      </c>
      <c r="H183" s="948" t="s">
        <v>1857</v>
      </c>
      <c r="I183" s="946" t="s">
        <v>203</v>
      </c>
      <c r="J183" s="946" t="s">
        <v>2596</v>
      </c>
      <c r="K183" s="946" t="s">
        <v>2335</v>
      </c>
      <c r="L183" s="946" t="s">
        <v>205</v>
      </c>
      <c r="M183" s="418" t="s">
        <v>1881</v>
      </c>
      <c r="N183" s="948" t="s">
        <v>1879</v>
      </c>
      <c r="O183" s="948" t="s">
        <v>232</v>
      </c>
      <c r="P183" s="951" t="s">
        <v>1886</v>
      </c>
      <c r="Q183" s="948" t="str">
        <f>+'7. Intervenciones UDT- BH'!F102</f>
        <v>rutas turísticas promocionados</v>
      </c>
      <c r="R183" s="405">
        <f>+'7. Intervenciones UDT- BH'!I102</f>
        <v>0</v>
      </c>
      <c r="S183" s="405">
        <f>+'7. Intervenciones UDT- BH'!J102</f>
        <v>2</v>
      </c>
      <c r="T183" s="405">
        <f>+'7. Intervenciones UDT- BH'!K102</f>
        <v>2</v>
      </c>
      <c r="U183" s="405">
        <f>+'7. Intervenciones UDT- BH'!L102</f>
        <v>40000</v>
      </c>
      <c r="V183" s="403" t="str">
        <f>+'7. Intervenciones UDT- BH'!M102</f>
        <v xml:space="preserve">Participación en eventos de promoción (ferias regionales y nacionales, Fam Trip), el costo cubrirá gastos logísticos y administrativos de los operadores turísticos identificados </v>
      </c>
      <c r="W183" s="403" t="str">
        <f>+'7. Intervenciones UDT- BH'!N102</f>
        <v>Mincetur, Dircetur</v>
      </c>
      <c r="X183" s="588">
        <f>+'7. Intervenciones UDT- BH'!O102</f>
        <v>400000</v>
      </c>
      <c r="Y183" s="588">
        <f>+Tabla1[[#This Row],[2025 Directo]]*(1+$Y$3)</f>
        <v>404200</v>
      </c>
      <c r="Z183" s="588">
        <f>+'7. Intervenciones UDT- BH'!P102</f>
        <v>400000</v>
      </c>
      <c r="AA183" s="588">
        <f>+Tabla1[[#This Row],[2030 Directo]]*(1+$Y$3)</f>
        <v>404200</v>
      </c>
      <c r="AB183" s="588">
        <f>+'7. Intervenciones UDT- BH'!Q102</f>
        <v>80000</v>
      </c>
      <c r="AC183" s="588">
        <f>+Tabla1[[#This Row],[Año 1 Cto Directo]]*(1+$Y$3)</f>
        <v>80840</v>
      </c>
      <c r="AD183" s="588">
        <f>+'7. Intervenciones UDT- BH'!R102</f>
        <v>80000</v>
      </c>
      <c r="AE183" s="588">
        <f>+Tabla1[[#This Row],[Año 2 Cto. Directo]]*(1+$Y$3)</f>
        <v>80840</v>
      </c>
      <c r="AF183" s="588">
        <f>+'7. Intervenciones UDT- BH'!S102</f>
        <v>80000</v>
      </c>
      <c r="AG183" s="588">
        <f>+Tabla1[[#This Row],[Año 3 Cto. Directo]]*(1+$Y$3)</f>
        <v>80840</v>
      </c>
      <c r="AH183" s="588">
        <f>+'7. Intervenciones UDT- BH'!T102</f>
        <v>80000</v>
      </c>
      <c r="AI183" s="588">
        <f>+Tabla1[[#This Row],[Año 4 Cto. Directo]]*(1+$Y$3)</f>
        <v>80840</v>
      </c>
      <c r="AJ183" s="588">
        <f>+'7. Intervenciones UDT- BH'!U102</f>
        <v>80000</v>
      </c>
      <c r="AK183" s="588">
        <f>+Tabla1[[#This Row],[Año 5 Cto. Directo]]*(1+$Y$3)</f>
        <v>80840</v>
      </c>
      <c r="AL183" s="403">
        <f>+'7. Intervenciones UDT- BH'!V102</f>
        <v>0</v>
      </c>
      <c r="AM183" s="954"/>
      <c r="AN183" s="954"/>
      <c r="AO183" s="954" t="str">
        <f>+'7. Intervenciones UDT- BH'!Y102</f>
        <v>X</v>
      </c>
      <c r="AP183" s="954"/>
      <c r="AQ183" s="954" t="str">
        <f>+'7. Intervenciones UDT- BH'!AA102</f>
        <v>RE</v>
      </c>
      <c r="AR183" s="954">
        <f>+'7. Intervenciones UDT- BH'!AB102</f>
        <v>3</v>
      </c>
      <c r="AS183" s="403">
        <f t="shared" si="1"/>
        <v>1</v>
      </c>
    </row>
    <row r="184" spans="1:45" s="195" customFormat="1" ht="15.8" hidden="1" customHeight="1" x14ac:dyDescent="0.3">
      <c r="A184" s="403"/>
      <c r="B184" s="403" t="str">
        <f>'7. Intervenciones UDT- BH'!$C$8</f>
        <v>UDT BAJO HUALLAGA</v>
      </c>
      <c r="C184" s="403" t="str">
        <f>'7. Intervenciones UDT- BH'!$F$107</f>
        <v xml:space="preserve">ACR Cordillera Escalera </v>
      </c>
      <c r="D184" s="404" t="str">
        <f>+'7. Intervenciones UDT- BH'!A115</f>
        <v>Control y vigilancia</v>
      </c>
      <c r="E184" s="404" t="str">
        <f>+'7. Intervenciones UDT- BH'!C115</f>
        <v>4.6.1</v>
      </c>
      <c r="F184" s="403" t="str">
        <f>+'7. Intervenciones UDT- BH'!D115</f>
        <v>Fortalecer el control y vigilancia</v>
      </c>
      <c r="G184" s="403" t="str">
        <f>+'7. Intervenciones UDT- BH'!E115</f>
        <v>Implementar con recursos necesarios al ente que administra el área, con la finalidad de aumentar el número de personas (guardaparques) que contribuyan a realizar acciones de control y vigilancia.</v>
      </c>
      <c r="H184" s="948" t="s">
        <v>1857</v>
      </c>
      <c r="I184" s="946" t="s">
        <v>203</v>
      </c>
      <c r="J184" s="946" t="s">
        <v>2591</v>
      </c>
      <c r="K184" s="946" t="s">
        <v>2331</v>
      </c>
      <c r="L184" s="946" t="s">
        <v>204</v>
      </c>
      <c r="M184" s="418" t="s">
        <v>1878</v>
      </c>
      <c r="N184" s="948" t="s">
        <v>1859</v>
      </c>
      <c r="O184" s="948" t="s">
        <v>229</v>
      </c>
      <c r="P184" s="951" t="s">
        <v>1889</v>
      </c>
      <c r="Q184" s="948" t="str">
        <f>+'7. Intervenciones UDT- BH'!F115</f>
        <v>Número de guardaparques</v>
      </c>
      <c r="R184" s="405">
        <f>+'7. Intervenciones UDT- BH'!I115</f>
        <v>0</v>
      </c>
      <c r="S184" s="405">
        <f>+'7. Intervenciones UDT- BH'!J115</f>
        <v>5</v>
      </c>
      <c r="T184" s="405">
        <f>+'7. Intervenciones UDT- BH'!K115</f>
        <v>5</v>
      </c>
      <c r="U184" s="405">
        <f>+'7. Intervenciones UDT- BH'!L115</f>
        <v>2000</v>
      </c>
      <c r="V184" s="403" t="str">
        <f>+'7. Intervenciones UDT- BH'!M115</f>
        <v>Contratación a guardaparques para garantizar el control y vigilancia del área otorgada.</v>
      </c>
      <c r="W184" s="403" t="str">
        <f>+'7. Intervenciones UDT- BH'!N115</f>
        <v>Ara, serfor, Sernanp</v>
      </c>
      <c r="X184" s="588">
        <f>+'7. Intervenciones UDT- BH'!O115</f>
        <v>600000</v>
      </c>
      <c r="Y184" s="588">
        <f>+Tabla1[[#This Row],[2025 Directo]]*(1+$Y$3)</f>
        <v>606300</v>
      </c>
      <c r="Z184" s="588">
        <f>+'7. Intervenciones UDT- BH'!P115</f>
        <v>600000</v>
      </c>
      <c r="AA184" s="588">
        <f>+Tabla1[[#This Row],[2030 Directo]]*(1+$Y$3)</f>
        <v>606300</v>
      </c>
      <c r="AB184" s="588">
        <f>+'7. Intervenciones UDT- BH'!Q115</f>
        <v>120000</v>
      </c>
      <c r="AC184" s="588">
        <f>+Tabla1[[#This Row],[Año 1 Cto Directo]]*(1+$Y$3)</f>
        <v>121260</v>
      </c>
      <c r="AD184" s="588">
        <f>+'7. Intervenciones UDT- BH'!R115</f>
        <v>120000</v>
      </c>
      <c r="AE184" s="588">
        <f>+Tabla1[[#This Row],[Año 2 Cto. Directo]]*(1+$Y$3)</f>
        <v>121260</v>
      </c>
      <c r="AF184" s="588">
        <f>+'7. Intervenciones UDT- BH'!S115</f>
        <v>120000</v>
      </c>
      <c r="AG184" s="588">
        <f>+Tabla1[[#This Row],[Año 3 Cto. Directo]]*(1+$Y$3)</f>
        <v>121260</v>
      </c>
      <c r="AH184" s="588">
        <f>+'7. Intervenciones UDT- BH'!T115</f>
        <v>120000</v>
      </c>
      <c r="AI184" s="588">
        <f>+Tabla1[[#This Row],[Año 4 Cto. Directo]]*(1+$Y$3)</f>
        <v>121260</v>
      </c>
      <c r="AJ184" s="588">
        <f>+'7. Intervenciones UDT- BH'!U115</f>
        <v>120000</v>
      </c>
      <c r="AK184" s="588">
        <f>+Tabla1[[#This Row],[Año 5 Cto. Directo]]*(1+$Y$3)</f>
        <v>121260</v>
      </c>
      <c r="AL184" s="406">
        <f>+'7. Intervenciones UDT- BH'!V115</f>
        <v>0</v>
      </c>
      <c r="AM184" s="954"/>
      <c r="AN184" s="954" t="str">
        <f>+'7. Intervenciones UDT- BH'!X115</f>
        <v>X</v>
      </c>
      <c r="AO184" s="954"/>
      <c r="AP184" s="954"/>
      <c r="AQ184" s="954" t="str">
        <f>+'7. Intervenciones UDT- BH'!AA115</f>
        <v>RE</v>
      </c>
      <c r="AR184" s="954">
        <f>+'7. Intervenciones UDT- BH'!AB115</f>
        <v>3</v>
      </c>
      <c r="AS184" s="403">
        <f t="shared" si="1"/>
        <v>1</v>
      </c>
    </row>
    <row r="185" spans="1:45" s="195" customFormat="1" ht="15.8" hidden="1" customHeight="1" x14ac:dyDescent="0.3">
      <c r="A185" s="403"/>
      <c r="B185" s="403" t="str">
        <f>'7. Intervenciones UDT- BH'!$C$8</f>
        <v>UDT BAJO HUALLAGA</v>
      </c>
      <c r="C185" s="403" t="str">
        <f>'7. Intervenciones UDT- BH'!$F$107</f>
        <v xml:space="preserve">ACR Cordillera Escalera </v>
      </c>
      <c r="D185" s="404" t="str">
        <f>+'7. Intervenciones UDT- BH'!A116</f>
        <v>Control y vigilancia</v>
      </c>
      <c r="E185" s="404" t="str">
        <f>+'7. Intervenciones UDT- BH'!C116</f>
        <v>4.6.2</v>
      </c>
      <c r="F185" s="403" t="str">
        <f>+'7. Intervenciones UDT- BH'!D116</f>
        <v>Sensibilización para el fortalecimiento del control y vigilancia en zona de amortiguamiento</v>
      </c>
      <c r="G185" s="403" t="str">
        <f>+'7. Intervenciones UDT- BH'!E116</f>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v>
      </c>
      <c r="H185" s="948" t="s">
        <v>1857</v>
      </c>
      <c r="I185" s="946" t="s">
        <v>203</v>
      </c>
      <c r="J185" s="946" t="s">
        <v>2591</v>
      </c>
      <c r="K185" s="946" t="s">
        <v>2331</v>
      </c>
      <c r="L185" s="946" t="s">
        <v>204</v>
      </c>
      <c r="M185" s="418" t="s">
        <v>1878</v>
      </c>
      <c r="N185" s="948" t="s">
        <v>1859</v>
      </c>
      <c r="O185" s="948" t="s">
        <v>229</v>
      </c>
      <c r="P185" s="951" t="s">
        <v>1889</v>
      </c>
      <c r="Q185" s="948" t="str">
        <f>+'7. Intervenciones UDT- BH'!F116</f>
        <v>Campañas de sensibilización</v>
      </c>
      <c r="R185" s="405">
        <f>+'7. Intervenciones UDT- BH'!I116</f>
        <v>0</v>
      </c>
      <c r="S185" s="405">
        <f>+'7. Intervenciones UDT- BH'!J116</f>
        <v>45</v>
      </c>
      <c r="T185" s="405">
        <f>+'7. Intervenciones UDT- BH'!K116</f>
        <v>45</v>
      </c>
      <c r="U185" s="405">
        <f>+'7. Intervenciones UDT- BH'!L116</f>
        <v>8000</v>
      </c>
      <c r="V185" s="403" t="str">
        <f>+'7. Intervenciones UDT- BH'!M116</f>
        <v>Campañas de sensibilización con equipos técnicos de las instituciones involucradas, gastos logísticos, impresión de material de difusión, publicidad radial, televisiva y escrita.</v>
      </c>
      <c r="W185" s="403" t="str">
        <f>+'7. Intervenciones UDT- BH'!N116</f>
        <v>Ara, serfor, Sernanp</v>
      </c>
      <c r="X185" s="588">
        <f>+'7. Intervenciones UDT- BH'!O116</f>
        <v>1800000</v>
      </c>
      <c r="Y185" s="588">
        <f>+Tabla1[[#This Row],[2025 Directo]]*(1+$Y$3)</f>
        <v>1818900</v>
      </c>
      <c r="Z185" s="588">
        <f>+'7. Intervenciones UDT- BH'!P116</f>
        <v>1800000</v>
      </c>
      <c r="AA185" s="588">
        <f>+Tabla1[[#This Row],[2030 Directo]]*(1+$Y$3)</f>
        <v>1818900</v>
      </c>
      <c r="AB185" s="588">
        <f>+'7. Intervenciones UDT- BH'!Q116</f>
        <v>360000</v>
      </c>
      <c r="AC185" s="588">
        <f>+Tabla1[[#This Row],[Año 1 Cto Directo]]*(1+$Y$3)</f>
        <v>363780</v>
      </c>
      <c r="AD185" s="588">
        <f>+'7. Intervenciones UDT- BH'!R116</f>
        <v>360000</v>
      </c>
      <c r="AE185" s="588">
        <f>+Tabla1[[#This Row],[Año 2 Cto. Directo]]*(1+$Y$3)</f>
        <v>363780</v>
      </c>
      <c r="AF185" s="588">
        <f>+'7. Intervenciones UDT- BH'!S116</f>
        <v>360000</v>
      </c>
      <c r="AG185" s="588">
        <f>+Tabla1[[#This Row],[Año 3 Cto. Directo]]*(1+$Y$3)</f>
        <v>363780</v>
      </c>
      <c r="AH185" s="588">
        <f>+'7. Intervenciones UDT- BH'!T116</f>
        <v>360000</v>
      </c>
      <c r="AI185" s="588">
        <f>+Tabla1[[#This Row],[Año 4 Cto. Directo]]*(1+$Y$3)</f>
        <v>363780</v>
      </c>
      <c r="AJ185" s="588">
        <f>+'7. Intervenciones UDT- BH'!U116</f>
        <v>360000</v>
      </c>
      <c r="AK185" s="588">
        <f>+Tabla1[[#This Row],[Año 5 Cto. Directo]]*(1+$Y$3)</f>
        <v>363780</v>
      </c>
      <c r="AL185" s="403">
        <f>+'7. Intervenciones UDT- BH'!V116</f>
        <v>0</v>
      </c>
      <c r="AM185" s="954"/>
      <c r="AN185" s="954" t="str">
        <f>+'7. Intervenciones UDT- BH'!X116</f>
        <v>X</v>
      </c>
      <c r="AO185" s="954"/>
      <c r="AP185" s="954"/>
      <c r="AQ185" s="954" t="str">
        <f>+'7. Intervenciones UDT- BH'!AA116</f>
        <v>RE</v>
      </c>
      <c r="AR185" s="954">
        <f>+'7. Intervenciones UDT- BH'!AB116</f>
        <v>3</v>
      </c>
      <c r="AS185" s="403">
        <f t="shared" si="1"/>
        <v>1</v>
      </c>
    </row>
    <row r="186" spans="1:45" s="195" customFormat="1" ht="15.8" hidden="1" customHeight="1" x14ac:dyDescent="0.3">
      <c r="A186" s="403"/>
      <c r="B186" s="403" t="str">
        <f>'7. Intervenciones UDT- BH'!$C$8</f>
        <v>UDT BAJO HUALLAGA</v>
      </c>
      <c r="C186" s="403" t="str">
        <f>'7. Intervenciones UDT- BH'!$F$107</f>
        <v xml:space="preserve">ACR Cordillera Escalera </v>
      </c>
      <c r="D186" s="404" t="str">
        <f>+'7. Intervenciones UDT- BH'!A117</f>
        <v>Programas de inversión pública</v>
      </c>
      <c r="E186" s="404" t="str">
        <f>+'7. Intervenciones UDT- BH'!C117</f>
        <v>4.6.3</v>
      </c>
      <c r="F186" s="403" t="str">
        <f>+'7. Intervenciones UDT- BH'!D117</f>
        <v>Promover la planificación comunal en centros poblados del interior en base a la zonificación y zona de amortiguamiento teniendo como base al Plan Maestro (incluye acuerdos de conservación)</v>
      </c>
      <c r="G186" s="403" t="str">
        <f>+'7. Intervenciones UDT- BH'!E117</f>
        <v>Actualización y elaboración de planes de gestión comunal de las localidades acentuadas en las zonas de amortiguamiento con la finalidad de orientar adecuadamente la implementación y ejecución de proyectos.</v>
      </c>
      <c r="H186" s="948" t="s">
        <v>1857</v>
      </c>
      <c r="I186" s="946" t="s">
        <v>199</v>
      </c>
      <c r="J186" s="946" t="s">
        <v>2598</v>
      </c>
      <c r="K186" s="946" t="s">
        <v>2334</v>
      </c>
      <c r="L186" s="946" t="s">
        <v>201</v>
      </c>
      <c r="M186" s="418" t="s">
        <v>1883</v>
      </c>
      <c r="N186" s="948" t="s">
        <v>1887</v>
      </c>
      <c r="O186" s="948" t="s">
        <v>243</v>
      </c>
      <c r="P186" s="951" t="s">
        <v>1890</v>
      </c>
      <c r="Q186" s="948" t="str">
        <f>+'7. Intervenciones UDT- BH'!F117</f>
        <v>Planes de gestión comunal</v>
      </c>
      <c r="R186" s="405">
        <f>+'7. Intervenciones UDT- BH'!I117</f>
        <v>0</v>
      </c>
      <c r="S186" s="405">
        <f>+'7. Intervenciones UDT- BH'!J117</f>
        <v>9</v>
      </c>
      <c r="T186" s="405">
        <f>+'7. Intervenciones UDT- BH'!K117</f>
        <v>15</v>
      </c>
      <c r="U186" s="405">
        <f>+'7. Intervenciones UDT- BH'!L117</f>
        <v>10000</v>
      </c>
      <c r="V186" s="403" t="str">
        <f>+'7. Intervenciones UDT- BH'!M117</f>
        <v>Contratación de servicios profesionales para la elaboración de los planes de gestión comunal.</v>
      </c>
      <c r="W186" s="403" t="str">
        <f>+'7. Intervenciones UDT- BH'!N117</f>
        <v>Dircetur, Mincetur</v>
      </c>
      <c r="X186" s="588">
        <f>+'7. Intervenciones UDT- BH'!O117</f>
        <v>90000</v>
      </c>
      <c r="Y186" s="588">
        <f>+Tabla1[[#This Row],[2025 Directo]]*(1+$Y$3)</f>
        <v>90945</v>
      </c>
      <c r="Z186" s="588">
        <f>+'7. Intervenciones UDT- BH'!P117</f>
        <v>150000</v>
      </c>
      <c r="AA186" s="588">
        <f>+Tabla1[[#This Row],[2030 Directo]]*(1+$Y$3)</f>
        <v>151575</v>
      </c>
      <c r="AB186" s="588">
        <f>+'7. Intervenciones UDT- BH'!Q117</f>
        <v>18000</v>
      </c>
      <c r="AC186" s="588">
        <f>+Tabla1[[#This Row],[Año 1 Cto Directo]]*(1+$Y$3)</f>
        <v>18189</v>
      </c>
      <c r="AD186" s="588">
        <f>+'7. Intervenciones UDT- BH'!R117</f>
        <v>18000</v>
      </c>
      <c r="AE186" s="588">
        <f>+Tabla1[[#This Row],[Año 2 Cto. Directo]]*(1+$Y$3)</f>
        <v>18189</v>
      </c>
      <c r="AF186" s="588">
        <f>+'7. Intervenciones UDT- BH'!S117</f>
        <v>18000</v>
      </c>
      <c r="AG186" s="588">
        <f>+Tabla1[[#This Row],[Año 3 Cto. Directo]]*(1+$Y$3)</f>
        <v>18189</v>
      </c>
      <c r="AH186" s="588">
        <f>+'7. Intervenciones UDT- BH'!T117</f>
        <v>18000</v>
      </c>
      <c r="AI186" s="588">
        <f>+Tabla1[[#This Row],[Año 4 Cto. Directo]]*(1+$Y$3)</f>
        <v>18189</v>
      </c>
      <c r="AJ186" s="588">
        <f>+'7. Intervenciones UDT- BH'!U117</f>
        <v>18000</v>
      </c>
      <c r="AK186" s="588">
        <f>+Tabla1[[#This Row],[Año 5 Cto. Directo]]*(1+$Y$3)</f>
        <v>18189</v>
      </c>
      <c r="AL186" s="403">
        <f>+'7. Intervenciones UDT- BH'!V117</f>
        <v>0</v>
      </c>
      <c r="AM186" s="954"/>
      <c r="AN186" s="954" t="str">
        <f>+'7. Intervenciones UDT- BH'!X117</f>
        <v>X</v>
      </c>
      <c r="AO186" s="954"/>
      <c r="AP186" s="954"/>
      <c r="AQ186" s="954"/>
      <c r="AR186" s="954">
        <f>+'7. Intervenciones UDT- BH'!AB117</f>
        <v>3</v>
      </c>
      <c r="AS186" s="403">
        <f t="shared" si="1"/>
        <v>1</v>
      </c>
    </row>
    <row r="187" spans="1:45" s="195" customFormat="1" ht="15.8" hidden="1" customHeight="1" x14ac:dyDescent="0.3">
      <c r="A187" s="403"/>
      <c r="B187" s="403" t="str">
        <f>'7. Intervenciones UDT- BH'!$C$8</f>
        <v>UDT BAJO HUALLAGA</v>
      </c>
      <c r="C187" s="403" t="str">
        <f>'7. Intervenciones UDT- BH'!$F$107</f>
        <v xml:space="preserve">ACR Cordillera Escalera </v>
      </c>
      <c r="D187" s="404" t="str">
        <f>+'7. Intervenciones UDT- BH'!A118</f>
        <v>Programas de inversión privada</v>
      </c>
      <c r="E187" s="404" t="str">
        <f>+'7. Intervenciones UDT- BH'!C118</f>
        <v>4.6.4</v>
      </c>
      <c r="F187" s="403" t="str">
        <f>+'7. Intervenciones UDT- BH'!D118</f>
        <v>Promoción y difusión de circuitos turísticos en zona de amortiguamiento</v>
      </c>
      <c r="G187" s="403" t="str">
        <f>+'7. Intervenciones UDT- BH'!E118</f>
        <v>Campañas de promoción y difusión en el ámbito regional y nacional de los circuitos turísticos que existen en la zona de amortiguamiento.</v>
      </c>
      <c r="H187" s="948" t="s">
        <v>1857</v>
      </c>
      <c r="I187" s="946" t="s">
        <v>203</v>
      </c>
      <c r="J187" s="946" t="s">
        <v>2596</v>
      </c>
      <c r="K187" s="946" t="s">
        <v>2335</v>
      </c>
      <c r="L187" s="946" t="s">
        <v>205</v>
      </c>
      <c r="M187" s="418" t="s">
        <v>1881</v>
      </c>
      <c r="N187" s="948" t="s">
        <v>1879</v>
      </c>
      <c r="O187" s="948" t="s">
        <v>232</v>
      </c>
      <c r="P187" s="951" t="s">
        <v>1886</v>
      </c>
      <c r="Q187" s="948" t="str">
        <f>+'7. Intervenciones UDT- BH'!F118</f>
        <v>Campañas de promoción</v>
      </c>
      <c r="R187" s="405">
        <f>+'7. Intervenciones UDT- BH'!I118</f>
        <v>0</v>
      </c>
      <c r="S187" s="405">
        <f>+'7. Intervenciones UDT- BH'!J118</f>
        <v>12</v>
      </c>
      <c r="T187" s="405">
        <f>+'7. Intervenciones UDT- BH'!K118</f>
        <v>12</v>
      </c>
      <c r="U187" s="405">
        <f>+'7. Intervenciones UDT- BH'!L118</f>
        <v>4000</v>
      </c>
      <c r="V187" s="403" t="str">
        <f>+'7. Intervenciones UDT- BH'!M118</f>
        <v>Campañas de promoción que incluye, impresión de material de difusión, publicidad radial, televisiva y escrita.</v>
      </c>
      <c r="W187" s="403" t="str">
        <f>+'7. Intervenciones UDT- BH'!N118</f>
        <v>Dircetur, Mincetur</v>
      </c>
      <c r="X187" s="588">
        <f>+'7. Intervenciones UDT- BH'!O118</f>
        <v>240000</v>
      </c>
      <c r="Y187" s="588">
        <f>+Tabla1[[#This Row],[2025 Directo]]*(1+$Y$3)</f>
        <v>242520</v>
      </c>
      <c r="Z187" s="588">
        <f>+'7. Intervenciones UDT- BH'!P118</f>
        <v>240000</v>
      </c>
      <c r="AA187" s="588">
        <f>+Tabla1[[#This Row],[2030 Directo]]*(1+$Y$3)</f>
        <v>242520</v>
      </c>
      <c r="AB187" s="588">
        <f>+'7. Intervenciones UDT- BH'!Q118</f>
        <v>48000</v>
      </c>
      <c r="AC187" s="588">
        <f>+Tabla1[[#This Row],[Año 1 Cto Directo]]*(1+$Y$3)</f>
        <v>48504</v>
      </c>
      <c r="AD187" s="588">
        <f>+'7. Intervenciones UDT- BH'!R118</f>
        <v>48000</v>
      </c>
      <c r="AE187" s="588">
        <f>+Tabla1[[#This Row],[Año 2 Cto. Directo]]*(1+$Y$3)</f>
        <v>48504</v>
      </c>
      <c r="AF187" s="588">
        <f>+'7. Intervenciones UDT- BH'!S118</f>
        <v>48000</v>
      </c>
      <c r="AG187" s="588">
        <f>+Tabla1[[#This Row],[Año 3 Cto. Directo]]*(1+$Y$3)</f>
        <v>48504</v>
      </c>
      <c r="AH187" s="588">
        <f>+'7. Intervenciones UDT- BH'!T118</f>
        <v>48000</v>
      </c>
      <c r="AI187" s="588">
        <f>+Tabla1[[#This Row],[Año 4 Cto. Directo]]*(1+$Y$3)</f>
        <v>48504</v>
      </c>
      <c r="AJ187" s="588">
        <f>+'7. Intervenciones UDT- BH'!U118</f>
        <v>48000</v>
      </c>
      <c r="AK187" s="588">
        <f>+Tabla1[[#This Row],[Año 5 Cto. Directo]]*(1+$Y$3)</f>
        <v>48504</v>
      </c>
      <c r="AL187" s="403">
        <f>+'7. Intervenciones UDT- BH'!V118</f>
        <v>0</v>
      </c>
      <c r="AM187" s="954"/>
      <c r="AN187" s="954"/>
      <c r="AO187" s="954" t="str">
        <f>+'7. Intervenciones UDT- BH'!Y118</f>
        <v>X</v>
      </c>
      <c r="AP187" s="954"/>
      <c r="AQ187" s="954"/>
      <c r="AR187" s="954">
        <f>+'7. Intervenciones UDT- BH'!AB118</f>
        <v>3</v>
      </c>
      <c r="AS187" s="403">
        <f t="shared" si="1"/>
        <v>1</v>
      </c>
    </row>
    <row r="188" spans="1:45" s="195" customFormat="1" ht="15.8" hidden="1" customHeight="1" x14ac:dyDescent="0.3">
      <c r="A188" s="403"/>
      <c r="B188" s="403" t="str">
        <f>'7. Intervenciones UDT- BH'!$C$8</f>
        <v>UDT BAJO HUALLAGA</v>
      </c>
      <c r="C188" s="403" t="str">
        <f>'7. Intervenciones UDT- BH'!$F$107</f>
        <v xml:space="preserve">ACR Cordillera Escalera </v>
      </c>
      <c r="D188" s="404" t="str">
        <f>+'7. Intervenciones UDT- BH'!A119</f>
        <v>Programas de inversión privada</v>
      </c>
      <c r="E188" s="404" t="str">
        <f>+'7. Intervenciones UDT- BH'!C119</f>
        <v>4.6.5</v>
      </c>
      <c r="F188" s="403" t="str">
        <f>+'7. Intervenciones UDT- BH'!D119</f>
        <v>Promoción de agroforestería sostenible en zona de amortiguamiento</v>
      </c>
      <c r="G188" s="403" t="str">
        <f>+'7. Intervenciones UDT- BH'!E119</f>
        <v>Pasantías regionales con productores con la finalidad de conocer  los diferentes sistemas productivos sostenibles a ser replicados en las comunidades.</v>
      </c>
      <c r="H188" s="948" t="s">
        <v>1857</v>
      </c>
      <c r="I188" s="946" t="s">
        <v>203</v>
      </c>
      <c r="J188" s="946" t="s">
        <v>2596</v>
      </c>
      <c r="K188" s="946" t="s">
        <v>2335</v>
      </c>
      <c r="L188" s="946" t="s">
        <v>205</v>
      </c>
      <c r="M188" s="418" t="s">
        <v>1881</v>
      </c>
      <c r="N188" s="948" t="s">
        <v>1879</v>
      </c>
      <c r="O188" s="948" t="s">
        <v>232</v>
      </c>
      <c r="P188" s="951" t="s">
        <v>1886</v>
      </c>
      <c r="Q188" s="948" t="str">
        <f>+'7. Intervenciones UDT- BH'!F119</f>
        <v>Pasantías</v>
      </c>
      <c r="R188" s="405">
        <f>+'7. Intervenciones UDT- BH'!I119</f>
        <v>0</v>
      </c>
      <c r="S188" s="405">
        <f>+'7. Intervenciones UDT- BH'!J119</f>
        <v>6</v>
      </c>
      <c r="T188" s="405">
        <f>+'7. Intervenciones UDT- BH'!K119</f>
        <v>6</v>
      </c>
      <c r="U188" s="405">
        <f>+'7. Intervenciones UDT- BH'!L119</f>
        <v>2500</v>
      </c>
      <c r="V188" s="403" t="str">
        <f>+'7. Intervenciones UDT- BH'!M119</f>
        <v>El costo hace referencia a los gastos de pasajes, alimentación y otros para un grupo de 20 productores por pasantía.</v>
      </c>
      <c r="W188" s="403" t="str">
        <f>+'7. Intervenciones UDT- BH'!N119</f>
        <v>Drasam</v>
      </c>
      <c r="X188" s="588">
        <f>+'7. Intervenciones UDT- BH'!O119</f>
        <v>75000</v>
      </c>
      <c r="Y188" s="588">
        <f>+Tabla1[[#This Row],[2025 Directo]]*(1+$Y$3)</f>
        <v>75787.5</v>
      </c>
      <c r="Z188" s="588">
        <f>+'7. Intervenciones UDT- BH'!P119</f>
        <v>75000</v>
      </c>
      <c r="AA188" s="588">
        <f>+Tabla1[[#This Row],[2030 Directo]]*(1+$Y$3)</f>
        <v>75787.5</v>
      </c>
      <c r="AB188" s="588">
        <f>+'7. Intervenciones UDT- BH'!Q119</f>
        <v>15000</v>
      </c>
      <c r="AC188" s="588">
        <f>+Tabla1[[#This Row],[Año 1 Cto Directo]]*(1+$Y$3)</f>
        <v>15157.5</v>
      </c>
      <c r="AD188" s="588">
        <f>+'7. Intervenciones UDT- BH'!R119</f>
        <v>15000</v>
      </c>
      <c r="AE188" s="588">
        <f>+Tabla1[[#This Row],[Año 2 Cto. Directo]]*(1+$Y$3)</f>
        <v>15157.5</v>
      </c>
      <c r="AF188" s="588">
        <f>+'7. Intervenciones UDT- BH'!S119</f>
        <v>15000</v>
      </c>
      <c r="AG188" s="588">
        <f>+Tabla1[[#This Row],[Año 3 Cto. Directo]]*(1+$Y$3)</f>
        <v>15157.5</v>
      </c>
      <c r="AH188" s="588">
        <f>+'7. Intervenciones UDT- BH'!T119</f>
        <v>15000</v>
      </c>
      <c r="AI188" s="588">
        <f>+Tabla1[[#This Row],[Año 4 Cto. Directo]]*(1+$Y$3)</f>
        <v>15157.5</v>
      </c>
      <c r="AJ188" s="588">
        <f>+'7. Intervenciones UDT- BH'!U119</f>
        <v>15000</v>
      </c>
      <c r="AK188" s="588">
        <f>+Tabla1[[#This Row],[Año 5 Cto. Directo]]*(1+$Y$3)</f>
        <v>15157.5</v>
      </c>
      <c r="AL188" s="403">
        <f>+'7. Intervenciones UDT- BH'!V119</f>
        <v>0</v>
      </c>
      <c r="AM188" s="954"/>
      <c r="AN188" s="954"/>
      <c r="AO188" s="954" t="str">
        <f>+'7. Intervenciones UDT- BH'!Y119</f>
        <v>X</v>
      </c>
      <c r="AP188" s="954"/>
      <c r="AQ188" s="954"/>
      <c r="AR188" s="954">
        <f>+'7. Intervenciones UDT- BH'!AB119</f>
        <v>2</v>
      </c>
      <c r="AS188" s="403">
        <f t="shared" si="1"/>
        <v>1</v>
      </c>
    </row>
    <row r="189" spans="1:45" s="195" customFormat="1" ht="15.8" hidden="1" customHeight="1" x14ac:dyDescent="0.3">
      <c r="A189" s="403"/>
      <c r="B189" s="403" t="str">
        <f>'7. Intervenciones UDT- BH'!$C$8</f>
        <v>UDT BAJO HUALLAGA</v>
      </c>
      <c r="C189" s="403" t="str">
        <f>'7. Intervenciones UDT- BH'!$F$107</f>
        <v xml:space="preserve">ACR Cordillera Escalera </v>
      </c>
      <c r="D189" s="404" t="str">
        <f>+'7. Intervenciones UDT- BH'!A120</f>
        <v>Programas de inversión pública</v>
      </c>
      <c r="E189" s="404" t="str">
        <f>+'7. Intervenciones UDT- BH'!C120</f>
        <v>4.6.6</v>
      </c>
      <c r="F189" s="403" t="str">
        <f>+'7. Intervenciones UDT- BH'!D120</f>
        <v>Recuperación de la red hídrica en la zona de influencia de la ACR</v>
      </c>
      <c r="G189" s="403" t="str">
        <f>+'7. Intervenciones UDT- BH'!E120</f>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v>
      </c>
      <c r="H189" s="948" t="s">
        <v>1857</v>
      </c>
      <c r="I189" s="946" t="s">
        <v>203</v>
      </c>
      <c r="J189" s="946" t="s">
        <v>2595</v>
      </c>
      <c r="K189" s="946" t="s">
        <v>2333</v>
      </c>
      <c r="L189" s="946" t="s">
        <v>204</v>
      </c>
      <c r="M189" s="418" t="s">
        <v>1878</v>
      </c>
      <c r="N189" s="948" t="s">
        <v>1879</v>
      </c>
      <c r="O189" s="948" t="s">
        <v>225</v>
      </c>
      <c r="P189" s="951" t="s">
        <v>1880</v>
      </c>
      <c r="Q189" s="948" t="str">
        <f>+'7. Intervenciones UDT- BH'!F120</f>
        <v>Proyectos ejecutados</v>
      </c>
      <c r="R189" s="405">
        <f>+'7. Intervenciones UDT- BH'!I120</f>
        <v>0</v>
      </c>
      <c r="S189" s="405">
        <f>+'7. Intervenciones UDT- BH'!J120</f>
        <v>1</v>
      </c>
      <c r="T189" s="405">
        <f>+'7. Intervenciones UDT- BH'!K120</f>
        <v>1</v>
      </c>
      <c r="U189" s="405">
        <f>+'7. Intervenciones UDT- BH'!L120</f>
        <v>47000000</v>
      </c>
      <c r="V189" s="403" t="str">
        <f>+'7. Intervenciones UDT- BH'!M120</f>
        <v>Financiamiento para la elaboración de expedientes técnicos y estudios complementarios, así como la ejecución de proyectos de inversión pública o de cooperación que contemplen la recuperación de la cuenca hídrica con la finalidad de conservar el recurso.</v>
      </c>
      <c r="W189" s="403" t="str">
        <f>+'7. Intervenciones UDT- BH'!N120</f>
        <v>GRDE, ARA, Proyectos especiales</v>
      </c>
      <c r="X189" s="588">
        <f>+'7. Intervenciones UDT- BH'!O120</f>
        <v>47000000</v>
      </c>
      <c r="Y189" s="588">
        <f>+Tabla1[[#This Row],[2025 Directo]]*(1+$Y$3)</f>
        <v>47493500</v>
      </c>
      <c r="Z189" s="588">
        <f>+'7. Intervenciones UDT- BH'!P120</f>
        <v>47000000</v>
      </c>
      <c r="AA189" s="588">
        <f>+Tabla1[[#This Row],[2030 Directo]]*(1+$Y$3)</f>
        <v>47493500</v>
      </c>
      <c r="AB189" s="588">
        <f>+'7. Intervenciones UDT- BH'!Q120</f>
        <v>9400000</v>
      </c>
      <c r="AC189" s="588">
        <f>+Tabla1[[#This Row],[Año 1 Cto Directo]]*(1+$Y$3)</f>
        <v>9498700</v>
      </c>
      <c r="AD189" s="588">
        <f>+'7. Intervenciones UDT- BH'!R120</f>
        <v>9400000</v>
      </c>
      <c r="AE189" s="588">
        <f>+Tabla1[[#This Row],[Año 2 Cto. Directo]]*(1+$Y$3)</f>
        <v>9498700</v>
      </c>
      <c r="AF189" s="588">
        <f>+'7. Intervenciones UDT- BH'!S120</f>
        <v>9400000</v>
      </c>
      <c r="AG189" s="588">
        <f>+Tabla1[[#This Row],[Año 3 Cto. Directo]]*(1+$Y$3)</f>
        <v>9498700</v>
      </c>
      <c r="AH189" s="588">
        <f>+'7. Intervenciones UDT- BH'!T120</f>
        <v>9400000</v>
      </c>
      <c r="AI189" s="588">
        <f>+Tabla1[[#This Row],[Año 4 Cto. Directo]]*(1+$Y$3)</f>
        <v>9498700</v>
      </c>
      <c r="AJ189" s="588">
        <f>+'7. Intervenciones UDT- BH'!U120</f>
        <v>9400000</v>
      </c>
      <c r="AK189" s="588">
        <f>+Tabla1[[#This Row],[Año 5 Cto. Directo]]*(1+$Y$3)</f>
        <v>9498700</v>
      </c>
      <c r="AL189" s="403">
        <f>+'7. Intervenciones UDT- BH'!V120</f>
        <v>0</v>
      </c>
      <c r="AM189" s="954"/>
      <c r="AN189" s="954"/>
      <c r="AO189" s="954" t="str">
        <f>+'7. Intervenciones UDT- BH'!Y120</f>
        <v>X</v>
      </c>
      <c r="AP189" s="954"/>
      <c r="AQ189" s="954"/>
      <c r="AR189" s="954">
        <f>+'7. Intervenciones UDT- BH'!AB120</f>
        <v>3</v>
      </c>
      <c r="AS189" s="403">
        <f t="shared" si="1"/>
        <v>1</v>
      </c>
    </row>
    <row r="190" spans="1:45" s="195" customFormat="1" ht="15.8" hidden="1" customHeight="1" x14ac:dyDescent="0.3">
      <c r="A190" s="403"/>
      <c r="B190" s="403" t="str">
        <f>'7. Intervenciones UDT- BH'!$C$8</f>
        <v>UDT BAJO HUALLAGA</v>
      </c>
      <c r="C190" s="403" t="str">
        <f>'7. Intervenciones UDT- BH'!$F$107</f>
        <v xml:space="preserve">ACR Cordillera Escalera </v>
      </c>
      <c r="D190" s="404" t="str">
        <f>+'7. Intervenciones UDT- BH'!A121</f>
        <v>Ingresos y Capital</v>
      </c>
      <c r="E190" s="404" t="str">
        <f>+'7. Intervenciones UDT- BH'!C121</f>
        <v>4.6.7</v>
      </c>
      <c r="F190" s="403" t="str">
        <f>+'7. Intervenciones UDT- BH'!D121</f>
        <v>Incentivos financieros para promoción del ecoturismo y turismo comunitario</v>
      </c>
      <c r="G190" s="403" t="str">
        <f>+'7. Intervenciones UDT- BH'!E121</f>
        <v>Implementación de planes de negocios para el desarrollo de rutas turísticas, turismo vivencial comunitario, y otras modalidades de servicios que sean generadoras de ingresos económicos, respetando el medio ambiente.</v>
      </c>
      <c r="H190" s="948" t="s">
        <v>1857</v>
      </c>
      <c r="I190" s="946" t="s">
        <v>203</v>
      </c>
      <c r="J190" s="946" t="s">
        <v>2597</v>
      </c>
      <c r="K190" s="946" t="s">
        <v>2336</v>
      </c>
      <c r="L190" s="946" t="s">
        <v>195</v>
      </c>
      <c r="M190" s="418" t="s">
        <v>1871</v>
      </c>
      <c r="N190" s="948" t="s">
        <v>1879</v>
      </c>
      <c r="O190" s="948" t="s">
        <v>218</v>
      </c>
      <c r="P190" s="951" t="s">
        <v>1872</v>
      </c>
      <c r="Q190" s="948" t="str">
        <f>+'7. Intervenciones UDT- BH'!F121</f>
        <v>Planes de negocios</v>
      </c>
      <c r="R190" s="405">
        <f>+'7. Intervenciones UDT- BH'!I121</f>
        <v>0</v>
      </c>
      <c r="S190" s="405">
        <f>+'7. Intervenciones UDT- BH'!J121</f>
        <v>5</v>
      </c>
      <c r="T190" s="405">
        <f>+'7. Intervenciones UDT- BH'!K121</f>
        <v>8</v>
      </c>
      <c r="U190" s="405">
        <f>+'7. Intervenciones UDT- BH'!L121</f>
        <v>100000</v>
      </c>
      <c r="V190" s="403" t="str">
        <f>+'7. Intervenciones UDT- BH'!M121</f>
        <v xml:space="preserve">El costo presupuestado será considerado para los estudios preliminares requeridos para el plan de negocio, pago de especialista de ser el caso, implementación de infraestructura básica según la priorización de los operadores turísticos interesados. </v>
      </c>
      <c r="W190" s="403" t="str">
        <f>+'7. Intervenciones UDT- BH'!N121</f>
        <v>Dircetur, Mincetur</v>
      </c>
      <c r="X190" s="588">
        <f>+'7. Intervenciones UDT- BH'!O121</f>
        <v>500000</v>
      </c>
      <c r="Y190" s="588">
        <f>+Tabla1[[#This Row],[2025 Directo]]*(1+$Y$3)</f>
        <v>505250</v>
      </c>
      <c r="Z190" s="588">
        <f>+'7. Intervenciones UDT- BH'!P121</f>
        <v>800000</v>
      </c>
      <c r="AA190" s="588">
        <f>+Tabla1[[#This Row],[2030 Directo]]*(1+$Y$3)</f>
        <v>808400</v>
      </c>
      <c r="AB190" s="588">
        <f>+'7. Intervenciones UDT- BH'!Q121</f>
        <v>100000</v>
      </c>
      <c r="AC190" s="588">
        <f>+Tabla1[[#This Row],[Año 1 Cto Directo]]*(1+$Y$3)</f>
        <v>101050</v>
      </c>
      <c r="AD190" s="588">
        <f>+'7. Intervenciones UDT- BH'!R121</f>
        <v>100000</v>
      </c>
      <c r="AE190" s="588">
        <f>+Tabla1[[#This Row],[Año 2 Cto. Directo]]*(1+$Y$3)</f>
        <v>101050</v>
      </c>
      <c r="AF190" s="588">
        <f>+'7. Intervenciones UDT- BH'!S121</f>
        <v>100000</v>
      </c>
      <c r="AG190" s="588">
        <f>+Tabla1[[#This Row],[Año 3 Cto. Directo]]*(1+$Y$3)</f>
        <v>101050</v>
      </c>
      <c r="AH190" s="588">
        <f>+'7. Intervenciones UDT- BH'!T121</f>
        <v>100000</v>
      </c>
      <c r="AI190" s="588">
        <f>+Tabla1[[#This Row],[Año 4 Cto. Directo]]*(1+$Y$3)</f>
        <v>101050</v>
      </c>
      <c r="AJ190" s="588">
        <f>+'7. Intervenciones UDT- BH'!U121</f>
        <v>100000</v>
      </c>
      <c r="AK190" s="588">
        <f>+Tabla1[[#This Row],[Año 5 Cto. Directo]]*(1+$Y$3)</f>
        <v>101050</v>
      </c>
      <c r="AL190" s="403">
        <f>+'7. Intervenciones UDT- BH'!V121</f>
        <v>0</v>
      </c>
      <c r="AM190" s="954" t="str">
        <f>+'7. Intervenciones UDT- BH'!W121</f>
        <v>X</v>
      </c>
      <c r="AN190" s="954"/>
      <c r="AO190" s="954"/>
      <c r="AP190" s="954"/>
      <c r="AQ190" s="954" t="str">
        <f>+'7. Intervenciones UDT- BH'!AA121</f>
        <v>RE</v>
      </c>
      <c r="AR190" s="954">
        <f>+'7. Intervenciones UDT- BH'!AB121</f>
        <v>3</v>
      </c>
      <c r="AS190" s="403">
        <f t="shared" si="1"/>
        <v>1</v>
      </c>
    </row>
    <row r="191" spans="1:45" s="195" customFormat="1" ht="15.8" hidden="1" customHeight="1" x14ac:dyDescent="0.3">
      <c r="A191" s="403"/>
      <c r="B191" s="403" t="str">
        <f>'7. Intervenciones UDT- BH'!$C$8</f>
        <v>UDT BAJO HUALLAGA</v>
      </c>
      <c r="C191" s="403" t="str">
        <f>'7. Intervenciones UDT- BH'!$F$107</f>
        <v xml:space="preserve">ACR Cordillera Escalera </v>
      </c>
      <c r="D191" s="404" t="str">
        <f>+'7. Intervenciones UDT- BH'!A122</f>
        <v>Programas de inversión pública</v>
      </c>
      <c r="E191" s="404" t="str">
        <f>+'7. Intervenciones UDT- BH'!C122</f>
        <v>4.6.8</v>
      </c>
      <c r="F191" s="403" t="str">
        <f>+'7. Intervenciones UDT- BH'!D122</f>
        <v>Asistencia técnica para el desarrollo agroforestal diseñados e implementados</v>
      </c>
      <c r="G191" s="403" t="str">
        <f>+'7. Intervenciones UDT- BH'!E122</f>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v>
      </c>
      <c r="H191" s="948" t="s">
        <v>1857</v>
      </c>
      <c r="I191" s="946" t="s">
        <v>203</v>
      </c>
      <c r="J191" s="946" t="s">
        <v>2595</v>
      </c>
      <c r="K191" s="946" t="s">
        <v>2333</v>
      </c>
      <c r="L191" s="946" t="s">
        <v>204</v>
      </c>
      <c r="M191" s="418" t="s">
        <v>1878</v>
      </c>
      <c r="N191" s="948" t="s">
        <v>1879</v>
      </c>
      <c r="O191" s="948" t="s">
        <v>224</v>
      </c>
      <c r="P191" s="951" t="s">
        <v>1863</v>
      </c>
      <c r="Q191" s="948" t="str">
        <f>+'7. Intervenciones UDT- BH'!F122</f>
        <v>Especialistas</v>
      </c>
      <c r="R191" s="405">
        <f>+'7. Intervenciones UDT- BH'!I122</f>
        <v>0</v>
      </c>
      <c r="S191" s="405">
        <f>+'7. Intervenciones UDT- BH'!J122</f>
        <v>8</v>
      </c>
      <c r="T191" s="405">
        <f>+'7. Intervenciones UDT- BH'!K122</f>
        <v>8</v>
      </c>
      <c r="U191" s="405">
        <f>+'7. Intervenciones UDT- BH'!L122</f>
        <v>3500</v>
      </c>
      <c r="V191" s="403" t="str">
        <f>+'7. Intervenciones UDT- BH'!M122</f>
        <v>El costo comprende la contratación de profesionales para brindar asistencias técnica en los cultivos priorizados en la zona de intervención.</v>
      </c>
      <c r="W191" s="403" t="str">
        <f>+'7. Intervenciones UDT- BH'!N122</f>
        <v>Drasam</v>
      </c>
      <c r="X191" s="588">
        <f>+'7. Intervenciones UDT- BH'!O122</f>
        <v>1680000</v>
      </c>
      <c r="Y191" s="588">
        <f>+Tabla1[[#This Row],[2025 Directo]]*(1+$Y$3)</f>
        <v>1697640</v>
      </c>
      <c r="Z191" s="588">
        <f>+'7. Intervenciones UDT- BH'!P122</f>
        <v>1680000</v>
      </c>
      <c r="AA191" s="588">
        <f>+Tabla1[[#This Row],[2030 Directo]]*(1+$Y$3)</f>
        <v>1697640</v>
      </c>
      <c r="AB191" s="588">
        <f>+'7. Intervenciones UDT- BH'!Q122</f>
        <v>336000</v>
      </c>
      <c r="AC191" s="588">
        <f>+Tabla1[[#This Row],[Año 1 Cto Directo]]*(1+$Y$3)</f>
        <v>339528</v>
      </c>
      <c r="AD191" s="588">
        <f>+'7. Intervenciones UDT- BH'!R122</f>
        <v>336000</v>
      </c>
      <c r="AE191" s="588">
        <f>+Tabla1[[#This Row],[Año 2 Cto. Directo]]*(1+$Y$3)</f>
        <v>339528</v>
      </c>
      <c r="AF191" s="588">
        <f>+'7. Intervenciones UDT- BH'!S122</f>
        <v>336000</v>
      </c>
      <c r="AG191" s="588">
        <f>+Tabla1[[#This Row],[Año 3 Cto. Directo]]*(1+$Y$3)</f>
        <v>339528</v>
      </c>
      <c r="AH191" s="588">
        <f>+'7. Intervenciones UDT- BH'!T122</f>
        <v>336000</v>
      </c>
      <c r="AI191" s="588">
        <f>+Tabla1[[#This Row],[Año 4 Cto. Directo]]*(1+$Y$3)</f>
        <v>339528</v>
      </c>
      <c r="AJ191" s="588">
        <f>+'7. Intervenciones UDT- BH'!U122</f>
        <v>336000</v>
      </c>
      <c r="AK191" s="588">
        <f>+Tabla1[[#This Row],[Año 5 Cto. Directo]]*(1+$Y$3)</f>
        <v>339528</v>
      </c>
      <c r="AL191" s="403">
        <f>+'7. Intervenciones UDT- BH'!V122</f>
        <v>0</v>
      </c>
      <c r="AM191" s="954" t="str">
        <f>+'7. Intervenciones UDT- BH'!W122</f>
        <v>X</v>
      </c>
      <c r="AN191" s="954"/>
      <c r="AO191" s="954"/>
      <c r="AP191" s="954"/>
      <c r="AQ191" s="954" t="str">
        <f>+'7. Intervenciones UDT- BH'!AA122</f>
        <v>RE</v>
      </c>
      <c r="AR191" s="954">
        <f>+'7. Intervenciones UDT- BH'!AB122</f>
        <v>3</v>
      </c>
      <c r="AS191" s="403">
        <f t="shared" si="1"/>
        <v>1</v>
      </c>
    </row>
    <row r="192" spans="1:45" s="195" customFormat="1" ht="15.8" hidden="1" customHeight="1" x14ac:dyDescent="0.3">
      <c r="A192" s="403"/>
      <c r="B192" s="403" t="str">
        <f>'7. Intervenciones UDT- BH'!$C$8</f>
        <v>UDT BAJO HUALLAGA</v>
      </c>
      <c r="C192" s="403" t="str">
        <f>'7. Intervenciones UDT- BH'!$F$126</f>
        <v>ZOCRES</v>
      </c>
      <c r="D192" s="404" t="str">
        <f>+'7. Intervenciones UDT- BH'!A134</f>
        <v>Invasiones</v>
      </c>
      <c r="E192" s="404" t="str">
        <f>+'7. Intervenciones UDT- BH'!C134</f>
        <v>4.7.1</v>
      </c>
      <c r="F192" s="403" t="str">
        <f>+'7. Intervenciones UDT- BH'!D134</f>
        <v>Adecuación de ZoCRE a unidad de ordenamiento forestal y/o titulo habilitante forestal y de fauna silvestre de acuerdo a LFFS (Ley No 29763)</v>
      </c>
      <c r="G192" s="403" t="str">
        <f>+'7. Intervenciones UDT- BH'!E134</f>
        <v xml:space="preserve">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v>
      </c>
      <c r="H192" s="948" t="s">
        <v>1857</v>
      </c>
      <c r="I192" s="946" t="s">
        <v>199</v>
      </c>
      <c r="J192" s="946" t="s">
        <v>2591</v>
      </c>
      <c r="K192" s="946" t="s">
        <v>2331</v>
      </c>
      <c r="L192" s="946" t="s">
        <v>202</v>
      </c>
      <c r="M192" s="418" t="s">
        <v>1858</v>
      </c>
      <c r="N192" s="948" t="s">
        <v>1859</v>
      </c>
      <c r="O192" s="948" t="s">
        <v>223</v>
      </c>
      <c r="P192" s="951" t="s">
        <v>1860</v>
      </c>
      <c r="Q192" s="948" t="str">
        <f>+'7. Intervenciones UDT- BH'!F134</f>
        <v>Ha. con categoría territorial asignada</v>
      </c>
      <c r="R192" s="405">
        <f>+'7. Intervenciones UDT- BH'!I134</f>
        <v>80543.826408249835</v>
      </c>
      <c r="S192" s="405">
        <f>+'7. Intervenciones UDT- BH'!J134</f>
        <v>40271.913204124918</v>
      </c>
      <c r="T192" s="405">
        <f>+'7. Intervenciones UDT- BH'!K134</f>
        <v>40271.913204124918</v>
      </c>
      <c r="U192" s="405">
        <f>+'7. Intervenciones UDT- BH'!L134</f>
        <v>15</v>
      </c>
      <c r="V192" s="403" t="str">
        <f>+'7. Intervenciones UDT- BH'!M134</f>
        <v>Para la implementación de las intervención será mecesario la contratación de especialistas para realizar las acciones que comtemplen dicha actividad. Gastos logísticos y trámites documentarios.</v>
      </c>
      <c r="W192" s="403" t="str">
        <f>+'7. Intervenciones UDT- BH'!N134</f>
        <v>GRSM - DEGT</v>
      </c>
      <c r="X192" s="588">
        <f>+'7. Intervenciones UDT- BH'!O134</f>
        <v>604078.69806187379</v>
      </c>
      <c r="Y192" s="588">
        <f>+Tabla1[[#This Row],[2025 Directo]]*(1+$Y$3)</f>
        <v>610421.52439152345</v>
      </c>
      <c r="Z192" s="588">
        <f>+'7. Intervenciones UDT- BH'!P134</f>
        <v>604078.69806187379</v>
      </c>
      <c r="AA192" s="588">
        <f>+Tabla1[[#This Row],[2030 Directo]]*(1+$Y$3)</f>
        <v>610421.52439152345</v>
      </c>
      <c r="AB192" s="588">
        <f>+'7. Intervenciones UDT- BH'!Q134</f>
        <v>120815.73961237476</v>
      </c>
      <c r="AC192" s="588">
        <f>+Tabla1[[#This Row],[Año 1 Cto Directo]]*(1+$Y$3)</f>
        <v>122084.30487830468</v>
      </c>
      <c r="AD192" s="588">
        <f>+'7. Intervenciones UDT- BH'!R134</f>
        <v>120815.73961237476</v>
      </c>
      <c r="AE192" s="588">
        <f>+Tabla1[[#This Row],[Año 2 Cto. Directo]]*(1+$Y$3)</f>
        <v>122084.30487830468</v>
      </c>
      <c r="AF192" s="588">
        <f>+'7. Intervenciones UDT- BH'!S134</f>
        <v>120815.73961237476</v>
      </c>
      <c r="AG192" s="588">
        <f>+Tabla1[[#This Row],[Año 3 Cto. Directo]]*(1+$Y$3)</f>
        <v>122084.30487830468</v>
      </c>
      <c r="AH192" s="588">
        <f>+'7. Intervenciones UDT- BH'!T134</f>
        <v>120815.73961237476</v>
      </c>
      <c r="AI192" s="588">
        <f>+Tabla1[[#This Row],[Año 4 Cto. Directo]]*(1+$Y$3)</f>
        <v>122084.30487830468</v>
      </c>
      <c r="AJ192" s="588">
        <f>+'7. Intervenciones UDT- BH'!U134</f>
        <v>120815.73961237476</v>
      </c>
      <c r="AK192" s="588">
        <f>+Tabla1[[#This Row],[Año 5 Cto. Directo]]*(1+$Y$3)</f>
        <v>122084.30487830468</v>
      </c>
      <c r="AL192" s="403">
        <f>+'7. Intervenciones UDT- BH'!V134</f>
        <v>0</v>
      </c>
      <c r="AM192" s="954"/>
      <c r="AN192" s="954" t="str">
        <f>+'7. Intervenciones UDT- BH'!X134</f>
        <v>X</v>
      </c>
      <c r="AO192" s="954"/>
      <c r="AP192" s="954"/>
      <c r="AQ192" s="954"/>
      <c r="AR192" s="954">
        <f>+'7. Intervenciones UDT- BH'!AB134</f>
        <v>3</v>
      </c>
      <c r="AS192" s="403">
        <f t="shared" si="1"/>
        <v>1</v>
      </c>
    </row>
    <row r="193" spans="1:45" s="195" customFormat="1" ht="15.8" hidden="1" customHeight="1" x14ac:dyDescent="0.3">
      <c r="A193" s="403"/>
      <c r="B193" s="403" t="str">
        <f>'7. Intervenciones UDT- BH'!$C$8</f>
        <v>UDT BAJO HUALLAGA</v>
      </c>
      <c r="C193" s="403" t="str">
        <f>'7. Intervenciones UDT- BH'!$F$126</f>
        <v>ZOCRES</v>
      </c>
      <c r="D193" s="404" t="str">
        <f>+'7. Intervenciones UDT- BH'!A135</f>
        <v>Control y vigilancia</v>
      </c>
      <c r="E193" s="404" t="str">
        <f>+'7. Intervenciones UDT- BH'!C135</f>
        <v>4.7.2</v>
      </c>
      <c r="F193" s="403" t="str">
        <f>+'7. Intervenciones UDT- BH'!D135</f>
        <v>Fortalecimiento de capacidades de los responsables de la administración de las nuevas categorías de ordenamiento forestal y títulos habilitantes forestales</v>
      </c>
      <c r="G193" s="403" t="str">
        <f>+'7. Intervenciones UDT- BH'!E135</f>
        <v>Comprende la capacitación en manejo de normatividad forestal y manejo de bosques, contratación de especialistas para tener presencia física en el área, equipamiento e infraestructura.</v>
      </c>
      <c r="H193" s="948" t="s">
        <v>1857</v>
      </c>
      <c r="I193" s="946" t="s">
        <v>199</v>
      </c>
      <c r="J193" s="946" t="s">
        <v>2591</v>
      </c>
      <c r="K193" s="946" t="s">
        <v>2331</v>
      </c>
      <c r="L193" s="946" t="s">
        <v>202</v>
      </c>
      <c r="M193" s="418" t="s">
        <v>1858</v>
      </c>
      <c r="N193" s="948" t="s">
        <v>1859</v>
      </c>
      <c r="O193" s="948" t="s">
        <v>223</v>
      </c>
      <c r="P193" s="951" t="s">
        <v>1860</v>
      </c>
      <c r="Q193" s="948" t="str">
        <f>+'7. Intervenciones UDT- BH'!F135</f>
        <v xml:space="preserve">N° de responsables de administración que aprueban evaluación de capacitación </v>
      </c>
      <c r="R193" s="405">
        <f>+'7. Intervenciones UDT- BH'!I135</f>
        <v>0</v>
      </c>
      <c r="S193" s="405">
        <f>+'7. Intervenciones UDT- BH'!J135</f>
        <v>40</v>
      </c>
      <c r="T193" s="405">
        <f>+'7. Intervenciones UDT- BH'!K135</f>
        <v>40</v>
      </c>
      <c r="U193" s="405">
        <f>+'7. Intervenciones UDT- BH'!L135</f>
        <v>150</v>
      </c>
      <c r="V193" s="403" t="str">
        <f>+'7. Intervenciones UDT- BH'!M135</f>
        <v>Considera materiales de capacitación, alimentación a capacitados en el área cercana a su comunidad y gastos de capacitadores</v>
      </c>
      <c r="W193" s="403" t="str">
        <f>+'7. Intervenciones UDT- BH'!N135</f>
        <v>GRSM - DEGT</v>
      </c>
      <c r="X193" s="588">
        <f>+'7. Intervenciones UDT- BH'!O135</f>
        <v>6000</v>
      </c>
      <c r="Y193" s="588">
        <f>+Tabla1[[#This Row],[2025 Directo]]*(1+$Y$3)</f>
        <v>6063</v>
      </c>
      <c r="Z193" s="588">
        <f>+'7. Intervenciones UDT- BH'!P135</f>
        <v>6000</v>
      </c>
      <c r="AA193" s="588">
        <f>+Tabla1[[#This Row],[2030 Directo]]*(1+$Y$3)</f>
        <v>6063</v>
      </c>
      <c r="AB193" s="588">
        <f>+'7. Intervenciones UDT- BH'!Q135</f>
        <v>6000</v>
      </c>
      <c r="AC193" s="588">
        <f>+Tabla1[[#This Row],[Año 1 Cto Directo]]*(1+$Y$3)</f>
        <v>6063</v>
      </c>
      <c r="AD193" s="588">
        <f>+'7. Intervenciones UDT- BH'!R135</f>
        <v>0</v>
      </c>
      <c r="AE193" s="588">
        <f>+Tabla1[[#This Row],[Año 2 Cto. Directo]]*(1+$Y$3)</f>
        <v>0</v>
      </c>
      <c r="AF193" s="588">
        <f>+'7. Intervenciones UDT- BH'!S135</f>
        <v>0</v>
      </c>
      <c r="AG193" s="588">
        <f>+Tabla1[[#This Row],[Año 3 Cto. Directo]]*(1+$Y$3)</f>
        <v>0</v>
      </c>
      <c r="AH193" s="588">
        <f>+'7. Intervenciones UDT- BH'!T135</f>
        <v>0</v>
      </c>
      <c r="AI193" s="588">
        <f>+Tabla1[[#This Row],[Año 4 Cto. Directo]]*(1+$Y$3)</f>
        <v>0</v>
      </c>
      <c r="AJ193" s="588">
        <f>+'7. Intervenciones UDT- BH'!U135</f>
        <v>0</v>
      </c>
      <c r="AK193" s="588">
        <f>+Tabla1[[#This Row],[Año 5 Cto. Directo]]*(1+$Y$3)</f>
        <v>0</v>
      </c>
      <c r="AL193" s="403">
        <f>+'7. Intervenciones UDT- BH'!V135</f>
        <v>0</v>
      </c>
      <c r="AM193" s="954"/>
      <c r="AN193" s="954" t="str">
        <f>+'7. Intervenciones UDT- BH'!X135</f>
        <v>X</v>
      </c>
      <c r="AO193" s="954"/>
      <c r="AP193" s="954"/>
      <c r="AQ193" s="954"/>
      <c r="AR193" s="954">
        <f>+'7. Intervenciones UDT- BH'!AB135</f>
        <v>2</v>
      </c>
      <c r="AS193" s="403">
        <f t="shared" si="1"/>
        <v>1</v>
      </c>
    </row>
    <row r="194" spans="1:45" s="195" customFormat="1" ht="15.8" hidden="1" customHeight="1" x14ac:dyDescent="0.3">
      <c r="A194" s="403"/>
      <c r="B194" s="403" t="str">
        <f>'7. Intervenciones UDT- BH'!$C$8</f>
        <v>UDT BAJO HUALLAGA</v>
      </c>
      <c r="C194" s="403" t="str">
        <f>'7. Intervenciones UDT- BH'!$F$126</f>
        <v>ZOCRES</v>
      </c>
      <c r="D194" s="404" t="str">
        <f>+'7. Intervenciones UDT- BH'!A136</f>
        <v>Control y vigilancia</v>
      </c>
      <c r="E194" s="404" t="str">
        <f>+'7. Intervenciones UDT- BH'!C136</f>
        <v>4.7.3</v>
      </c>
      <c r="F194" s="403" t="str">
        <f>+'7. Intervenciones UDT- BH'!D136</f>
        <v>Elaboración del plan/declaración de manejo de las nuevas categorías de ordenamiento forestal y títulos habilitantes forestales</v>
      </c>
      <c r="G194" s="403" t="str">
        <f>+'7. Intervenciones UDT- BH'!E136</f>
        <v>Dependiendo de la categoría forestal a ser aplicada, se realizará un plan/declaración acorde la unidad, en el marco de la ley forestal y fauna silvestre N° 29763.</v>
      </c>
      <c r="H194" s="948" t="s">
        <v>1857</v>
      </c>
      <c r="I194" s="946" t="s">
        <v>199</v>
      </c>
      <c r="J194" s="946" t="s">
        <v>2591</v>
      </c>
      <c r="K194" s="946" t="s">
        <v>2331</v>
      </c>
      <c r="L194" s="946" t="s">
        <v>202</v>
      </c>
      <c r="M194" s="418" t="s">
        <v>1858</v>
      </c>
      <c r="N194" s="948" t="s">
        <v>1859</v>
      </c>
      <c r="O194" s="948" t="s">
        <v>223</v>
      </c>
      <c r="P194" s="951" t="s">
        <v>1860</v>
      </c>
      <c r="Q194" s="948" t="str">
        <f>+'7. Intervenciones UDT- BH'!F136</f>
        <v>N° Planes / Declaraciones elaborados</v>
      </c>
      <c r="R194" s="405">
        <f>+'7. Intervenciones UDT- BH'!I136</f>
        <v>0</v>
      </c>
      <c r="S194" s="405">
        <f>+'7. Intervenciones UDT- BH'!J136</f>
        <v>8</v>
      </c>
      <c r="T194" s="405">
        <f>+'7. Intervenciones UDT- BH'!K136</f>
        <v>8</v>
      </c>
      <c r="U194" s="405">
        <f>+'7. Intervenciones UDT- BH'!L136</f>
        <v>10000</v>
      </c>
      <c r="V194" s="403" t="str">
        <f>+'7. Intervenciones UDT- BH'!M136</f>
        <v>Se considera la contratación de profesionales para la elaboración de los expedientes y/o declaraciones identificadas en los diferentes procesos.</v>
      </c>
      <c r="W194" s="403" t="str">
        <f>+'7. Intervenciones UDT- BH'!N136</f>
        <v>GRSM - DEGT</v>
      </c>
      <c r="X194" s="588">
        <f>+'7. Intervenciones UDT- BH'!O136</f>
        <v>80000</v>
      </c>
      <c r="Y194" s="588">
        <f>+Tabla1[[#This Row],[2025 Directo]]*(1+$Y$3)</f>
        <v>80840</v>
      </c>
      <c r="Z194" s="588">
        <f>+'7. Intervenciones UDT- BH'!P136</f>
        <v>80000</v>
      </c>
      <c r="AA194" s="588">
        <f>+Tabla1[[#This Row],[2030 Directo]]*(1+$Y$3)</f>
        <v>80840</v>
      </c>
      <c r="AB194" s="588">
        <f>+'7. Intervenciones UDT- BH'!Q136</f>
        <v>24000</v>
      </c>
      <c r="AC194" s="588">
        <f>+Tabla1[[#This Row],[Año 1 Cto Directo]]*(1+$Y$3)</f>
        <v>24252</v>
      </c>
      <c r="AD194" s="588">
        <f>+'7. Intervenciones UDT- BH'!R136</f>
        <v>24000</v>
      </c>
      <c r="AE194" s="588">
        <f>+Tabla1[[#This Row],[Año 2 Cto. Directo]]*(1+$Y$3)</f>
        <v>24252</v>
      </c>
      <c r="AF194" s="588">
        <f>+'7. Intervenciones UDT- BH'!S136</f>
        <v>32000</v>
      </c>
      <c r="AG194" s="588">
        <f>+Tabla1[[#This Row],[Año 3 Cto. Directo]]*(1+$Y$3)</f>
        <v>32336</v>
      </c>
      <c r="AH194" s="588">
        <f>+'7. Intervenciones UDT- BH'!T136</f>
        <v>0</v>
      </c>
      <c r="AI194" s="588">
        <f>+Tabla1[[#This Row],[Año 4 Cto. Directo]]*(1+$Y$3)</f>
        <v>0</v>
      </c>
      <c r="AJ194" s="588">
        <f>+'7. Intervenciones UDT- BH'!U136</f>
        <v>0</v>
      </c>
      <c r="AK194" s="588">
        <f>+Tabla1[[#This Row],[Año 5 Cto. Directo]]*(1+$Y$3)</f>
        <v>0</v>
      </c>
      <c r="AL194" s="403">
        <f>+'7. Intervenciones UDT- BH'!V136</f>
        <v>0</v>
      </c>
      <c r="AM194" s="954"/>
      <c r="AN194" s="954" t="str">
        <f>+'7. Intervenciones UDT- BH'!X136</f>
        <v>X</v>
      </c>
      <c r="AO194" s="954"/>
      <c r="AP194" s="954"/>
      <c r="AQ194" s="954"/>
      <c r="AR194" s="954">
        <f>+'7. Intervenciones UDT- BH'!AB136</f>
        <v>2</v>
      </c>
      <c r="AS194" s="403">
        <f t="shared" si="1"/>
        <v>1</v>
      </c>
    </row>
    <row r="195" spans="1:45" s="195" customFormat="1" ht="15.8" hidden="1" customHeight="1" x14ac:dyDescent="0.3">
      <c r="A195" s="403"/>
      <c r="B195" s="403" t="str">
        <f>'7. Intervenciones UDT- BH'!$C$8</f>
        <v>UDT BAJO HUALLAGA</v>
      </c>
      <c r="C195" s="403" t="str">
        <f>'7. Intervenciones UDT- BH'!$F$126</f>
        <v>ZOCRES</v>
      </c>
      <c r="D195" s="404" t="str">
        <f>+'7. Intervenciones UDT- BH'!A137</f>
        <v>Invasiones</v>
      </c>
      <c r="E195" s="404" t="str">
        <f>+'7. Intervenciones UDT- BH'!C137</f>
        <v>4.7.4</v>
      </c>
      <c r="F195" s="403" t="str">
        <f>+'7. Intervenciones UDT- BH'!D137</f>
        <v>Inscripción en el catastro forestal y en registros públicos</v>
      </c>
      <c r="G195" s="403" t="str">
        <f>+'7. Intervenciones UDT- BH'!E137</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H195" s="948" t="s">
        <v>1857</v>
      </c>
      <c r="I195" s="946" t="s">
        <v>199</v>
      </c>
      <c r="J195" s="946" t="s">
        <v>2591</v>
      </c>
      <c r="K195" s="946" t="s">
        <v>2331</v>
      </c>
      <c r="L195" s="946" t="s">
        <v>202</v>
      </c>
      <c r="M195" s="418" t="s">
        <v>1858</v>
      </c>
      <c r="N195" s="948" t="s">
        <v>1859</v>
      </c>
      <c r="O195" s="948" t="s">
        <v>223</v>
      </c>
      <c r="P195" s="951" t="s">
        <v>1860</v>
      </c>
      <c r="Q195" s="948" t="str">
        <f>+'7. Intervenciones UDT- BH'!F137</f>
        <v>Ha. Inscritas</v>
      </c>
      <c r="R195" s="405">
        <f>+'7. Intervenciones UDT- BH'!I137</f>
        <v>80543.826408249835</v>
      </c>
      <c r="S195" s="405">
        <f>+'7. Intervenciones UDT- BH'!J137</f>
        <v>40271.913204124918</v>
      </c>
      <c r="T195" s="405">
        <f>+'7. Intervenciones UDT- BH'!K137</f>
        <v>40271.913204124918</v>
      </c>
      <c r="U195" s="405">
        <f>+'7. Intervenciones UDT- BH'!L137</f>
        <v>1</v>
      </c>
      <c r="V195" s="403" t="str">
        <f>+'7. Intervenciones UDT- BH'!M137</f>
        <v>Contratación de dos profesioales para agilizar procesos con sunarp.</v>
      </c>
      <c r="W195" s="403" t="str">
        <f>+'7. Intervenciones UDT- BH'!N137</f>
        <v>GRSM - DEGT</v>
      </c>
      <c r="X195" s="588">
        <f>+'7. Intervenciones UDT- BH'!O137</f>
        <v>40271.913204124918</v>
      </c>
      <c r="Y195" s="588">
        <f>+Tabla1[[#This Row],[2025 Directo]]*(1+$Y$3)</f>
        <v>40694.768292768225</v>
      </c>
      <c r="Z195" s="588">
        <f>+'7. Intervenciones UDT- BH'!P137</f>
        <v>40271.913204124918</v>
      </c>
      <c r="AA195" s="588">
        <f>+Tabla1[[#This Row],[2030 Directo]]*(1+$Y$3)</f>
        <v>40694.768292768225</v>
      </c>
      <c r="AB195" s="588">
        <f>+'7. Intervenciones UDT- BH'!Q137</f>
        <v>8054.3826408249843</v>
      </c>
      <c r="AC195" s="588">
        <f>+Tabla1[[#This Row],[Año 1 Cto Directo]]*(1+$Y$3)</f>
        <v>8138.9536585536462</v>
      </c>
      <c r="AD195" s="588">
        <f>+'7. Intervenciones UDT- BH'!R137</f>
        <v>8054.3826408249843</v>
      </c>
      <c r="AE195" s="588">
        <f>+Tabla1[[#This Row],[Año 2 Cto. Directo]]*(1+$Y$3)</f>
        <v>8138.9536585536462</v>
      </c>
      <c r="AF195" s="588">
        <f>+'7. Intervenciones UDT- BH'!S137</f>
        <v>8054.3826408249843</v>
      </c>
      <c r="AG195" s="588">
        <f>+Tabla1[[#This Row],[Año 3 Cto. Directo]]*(1+$Y$3)</f>
        <v>8138.9536585536462</v>
      </c>
      <c r="AH195" s="588">
        <f>+'7. Intervenciones UDT- BH'!T137</f>
        <v>8054.3826408249843</v>
      </c>
      <c r="AI195" s="588">
        <f>+Tabla1[[#This Row],[Año 4 Cto. Directo]]*(1+$Y$3)</f>
        <v>8138.9536585536462</v>
      </c>
      <c r="AJ195" s="588">
        <f>+'7. Intervenciones UDT- BH'!U137</f>
        <v>8054.3826408249843</v>
      </c>
      <c r="AK195" s="588">
        <f>+Tabla1[[#This Row],[Año 5 Cto. Directo]]*(1+$Y$3)</f>
        <v>8138.9536585536462</v>
      </c>
      <c r="AL195" s="403">
        <f>+'7. Intervenciones UDT- BH'!V137</f>
        <v>0</v>
      </c>
      <c r="AM195" s="954"/>
      <c r="AN195" s="954" t="str">
        <f>+'7. Intervenciones UDT- BH'!X137</f>
        <v>X</v>
      </c>
      <c r="AO195" s="954"/>
      <c r="AP195" s="954"/>
      <c r="AQ195" s="954"/>
      <c r="AR195" s="954">
        <f>+'7. Intervenciones UDT- BH'!AB137</f>
        <v>2</v>
      </c>
      <c r="AS195" s="403">
        <f t="shared" si="1"/>
        <v>1</v>
      </c>
    </row>
    <row r="196" spans="1:45" s="195" customFormat="1" ht="15.8" hidden="1" customHeight="1" x14ac:dyDescent="0.3">
      <c r="A196" s="403"/>
      <c r="B196" s="403" t="str">
        <f>'7. Intervenciones UDT- BH'!$C$8</f>
        <v>UDT BAJO HUALLAGA</v>
      </c>
      <c r="C196" s="403" t="str">
        <f>'7. Intervenciones UDT- BH'!$F$141</f>
        <v>Tierras sin categoría territorial asignada</v>
      </c>
      <c r="D196" s="404" t="str">
        <f>+'7. Intervenciones UDT- BH'!A149</f>
        <v>Invasiones</v>
      </c>
      <c r="E196" s="404" t="str">
        <f>+'7. Intervenciones UDT- BH'!C149</f>
        <v>4.8.1</v>
      </c>
      <c r="F196" s="404" t="str">
        <f>+'7. Intervenciones UDT- BH'!D149</f>
        <v>Creación y establecimiento de unidades de ordenamiento forestal, otorgamiento de títulos habilitantes forestales y tenencia de la tierra</v>
      </c>
      <c r="G196" s="404" t="str">
        <f>+'7. Intervenciones UDT- BH'!E149</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H196" s="948" t="s">
        <v>1857</v>
      </c>
      <c r="I196" s="946" t="s">
        <v>199</v>
      </c>
      <c r="J196" s="946" t="s">
        <v>2591</v>
      </c>
      <c r="K196" s="946" t="s">
        <v>2331</v>
      </c>
      <c r="L196" s="946" t="s">
        <v>202</v>
      </c>
      <c r="M196" s="418" t="s">
        <v>1858</v>
      </c>
      <c r="N196" s="948" t="s">
        <v>1859</v>
      </c>
      <c r="O196" s="948" t="s">
        <v>223</v>
      </c>
      <c r="P196" s="951" t="s">
        <v>1860</v>
      </c>
      <c r="Q196" s="948" t="str">
        <f>+'7. Intervenciones UDT- BH'!F149</f>
        <v>Ha. con categoría territorial asignada</v>
      </c>
      <c r="R196" s="405">
        <f>+'7. Intervenciones UDT- BH'!I149</f>
        <v>0</v>
      </c>
      <c r="S196" s="405">
        <f>+'7. Intervenciones UDT- BH'!J149</f>
        <v>47298.808366990103</v>
      </c>
      <c r="T196" s="405">
        <f>+'7. Intervenciones UDT- BH'!K149</f>
        <v>47298.808366990103</v>
      </c>
      <c r="U196" s="405">
        <f>+'7. Intervenciones UDT- BH'!L149</f>
        <v>15</v>
      </c>
      <c r="V196" s="405" t="str">
        <f>+'7. Intervenciones UDT- BH'!M149</f>
        <v>Para la implementación de las intervención será mecesario la contratación de especialistas para realizar las acciones que comtemplen dicha actividad. Gastos logísticos y trámites documentarios.</v>
      </c>
      <c r="W196" s="405" t="str">
        <f>+'7. Intervenciones UDT- BH'!N149</f>
        <v>GRSM - DEGT</v>
      </c>
      <c r="X196" s="588">
        <f>+'7. Intervenciones UDT- BH'!O149</f>
        <v>709482.12550485157</v>
      </c>
      <c r="Y196" s="588">
        <f>+Tabla1[[#This Row],[2025 Directo]]*(1+$Y$3)</f>
        <v>716931.68782265252</v>
      </c>
      <c r="Z196" s="588">
        <f>+'7. Intervenciones UDT- BH'!P149</f>
        <v>709482.12550485157</v>
      </c>
      <c r="AA196" s="588">
        <f>+Tabla1[[#This Row],[2030 Directo]]*(1+$Y$3)</f>
        <v>716931.68782265252</v>
      </c>
      <c r="AB196" s="588">
        <f>+'7. Intervenciones UDT- BH'!Q149</f>
        <v>141896.42510097031</v>
      </c>
      <c r="AC196" s="588">
        <f>+Tabla1[[#This Row],[Año 1 Cto Directo]]*(1+$Y$3)</f>
        <v>143386.33756453049</v>
      </c>
      <c r="AD196" s="588">
        <f>+'7. Intervenciones UDT- BH'!R149</f>
        <v>141896.42510097031</v>
      </c>
      <c r="AE196" s="588">
        <f>+Tabla1[[#This Row],[Año 2 Cto. Directo]]*(1+$Y$3)</f>
        <v>143386.33756453049</v>
      </c>
      <c r="AF196" s="588">
        <f>+'7. Intervenciones UDT- BH'!S149</f>
        <v>141896.42510097031</v>
      </c>
      <c r="AG196" s="588">
        <f>+Tabla1[[#This Row],[Año 3 Cto. Directo]]*(1+$Y$3)</f>
        <v>143386.33756453049</v>
      </c>
      <c r="AH196" s="588">
        <f>+'7. Intervenciones UDT- BH'!T149</f>
        <v>141896.42510097031</v>
      </c>
      <c r="AI196" s="588">
        <f>+Tabla1[[#This Row],[Año 4 Cto. Directo]]*(1+$Y$3)</f>
        <v>143386.33756453049</v>
      </c>
      <c r="AJ196" s="588">
        <f>+'7. Intervenciones UDT- BH'!U149</f>
        <v>141896.42510097031</v>
      </c>
      <c r="AK196" s="588">
        <f>+Tabla1[[#This Row],[Año 5 Cto. Directo]]*(1+$Y$3)</f>
        <v>143386.33756453049</v>
      </c>
      <c r="AL196" s="405">
        <f>+'7. Intervenciones UDT- BH'!V149</f>
        <v>0</v>
      </c>
      <c r="AM196" s="956"/>
      <c r="AN196" s="956" t="str">
        <f>+'7. Intervenciones UDT- BH'!X149</f>
        <v>X</v>
      </c>
      <c r="AO196" s="956"/>
      <c r="AP196" s="956"/>
      <c r="AQ196" s="956"/>
      <c r="AR196" s="954">
        <f>+'7. Intervenciones UDT- BH'!AB149</f>
        <v>3</v>
      </c>
      <c r="AS196" s="403">
        <f t="shared" si="1"/>
        <v>1</v>
      </c>
    </row>
    <row r="197" spans="1:45" s="195" customFormat="1" ht="15.8" hidden="1" customHeight="1" x14ac:dyDescent="0.3">
      <c r="A197" s="403"/>
      <c r="B197" s="403" t="str">
        <f>'7. Intervenciones UDT- BH'!$C$8</f>
        <v>UDT BAJO HUALLAGA</v>
      </c>
      <c r="C197" s="403" t="str">
        <f>'7. Intervenciones UDT- BH'!$F$141</f>
        <v>Tierras sin categoría territorial asignada</v>
      </c>
      <c r="D197" s="404" t="str">
        <f>+'7. Intervenciones UDT- BH'!A150</f>
        <v>Control y vigilancia</v>
      </c>
      <c r="E197" s="404" t="str">
        <f>+'7. Intervenciones UDT- BH'!C150</f>
        <v>4.8.2</v>
      </c>
      <c r="F197" s="404" t="str">
        <f>+'7. Intervenciones UDT- BH'!D150</f>
        <v>Fortalecimiento de capacidades de los responsables de la administración de las nuevas categorías de ordenamiento forestal y títulos habilitantes forestales</v>
      </c>
      <c r="G197" s="404" t="str">
        <f>+'7. Intervenciones UDT- BH'!E150</f>
        <v>Comprende la capacitación en manejo de normatividad forestal y manejo de bosques, contratación de especialistas para tener presencia física en el área, equipamiento e infraestructura.</v>
      </c>
      <c r="H197" s="948" t="s">
        <v>1857</v>
      </c>
      <c r="I197" s="946" t="s">
        <v>199</v>
      </c>
      <c r="J197" s="946" t="s">
        <v>2591</v>
      </c>
      <c r="K197" s="946" t="s">
        <v>2331</v>
      </c>
      <c r="L197" s="946" t="s">
        <v>202</v>
      </c>
      <c r="M197" s="418" t="s">
        <v>1858</v>
      </c>
      <c r="N197" s="948" t="s">
        <v>1859</v>
      </c>
      <c r="O197" s="948" t="s">
        <v>223</v>
      </c>
      <c r="P197" s="951" t="s">
        <v>1860</v>
      </c>
      <c r="Q197" s="948" t="str">
        <f>+'7. Intervenciones UDT- BH'!F150</f>
        <v xml:space="preserve">N° de responsables de administración que aprueban evaluación de capacitación </v>
      </c>
      <c r="R197" s="405">
        <f>+'7. Intervenciones UDT- BH'!I150</f>
        <v>0</v>
      </c>
      <c r="S197" s="405">
        <f>+'7. Intervenciones UDT- BH'!J150</f>
        <v>90</v>
      </c>
      <c r="T197" s="405">
        <f>+'7. Intervenciones UDT- BH'!K150</f>
        <v>90</v>
      </c>
      <c r="U197" s="405">
        <f>+'7. Intervenciones UDT- BH'!L150</f>
        <v>150</v>
      </c>
      <c r="V197" s="405" t="str">
        <f>+'7. Intervenciones UDT- BH'!M150</f>
        <v>Considera materiales de capacitación, alimentación a capacitados en el área cercana a su comunidad y gastos de capacitadores</v>
      </c>
      <c r="W197" s="405" t="str">
        <f>+'7. Intervenciones UDT- BH'!N150</f>
        <v>GRSM - DEGT</v>
      </c>
      <c r="X197" s="588">
        <f>+'7. Intervenciones UDT- BH'!O150</f>
        <v>13500</v>
      </c>
      <c r="Y197" s="588">
        <f>+Tabla1[[#This Row],[2025 Directo]]*(1+$Y$3)</f>
        <v>13641.75</v>
      </c>
      <c r="Z197" s="588">
        <f>+'7. Intervenciones UDT- BH'!P150</f>
        <v>13500</v>
      </c>
      <c r="AA197" s="588">
        <f>+Tabla1[[#This Row],[2030 Directo]]*(1+$Y$3)</f>
        <v>13641.75</v>
      </c>
      <c r="AB197" s="588">
        <f>+'7. Intervenciones UDT- BH'!Q150</f>
        <v>13500</v>
      </c>
      <c r="AC197" s="588">
        <f>+Tabla1[[#This Row],[Año 1 Cto Directo]]*(1+$Y$3)</f>
        <v>13641.75</v>
      </c>
      <c r="AD197" s="588">
        <f>+'7. Intervenciones UDT- BH'!R150</f>
        <v>0</v>
      </c>
      <c r="AE197" s="588">
        <f>+Tabla1[[#This Row],[Año 2 Cto. Directo]]*(1+$Y$3)</f>
        <v>0</v>
      </c>
      <c r="AF197" s="588">
        <f>+'7. Intervenciones UDT- BH'!S150</f>
        <v>0</v>
      </c>
      <c r="AG197" s="588">
        <f>+Tabla1[[#This Row],[Año 3 Cto. Directo]]*(1+$Y$3)</f>
        <v>0</v>
      </c>
      <c r="AH197" s="588">
        <f>+'7. Intervenciones UDT- BH'!T150</f>
        <v>0</v>
      </c>
      <c r="AI197" s="588">
        <f>+Tabla1[[#This Row],[Año 4 Cto. Directo]]*(1+$Y$3)</f>
        <v>0</v>
      </c>
      <c r="AJ197" s="588">
        <f>+'7. Intervenciones UDT- BH'!U150</f>
        <v>0</v>
      </c>
      <c r="AK197" s="588">
        <f>+Tabla1[[#This Row],[Año 5 Cto. Directo]]*(1+$Y$3)</f>
        <v>0</v>
      </c>
      <c r="AL197" s="405">
        <f>+'7. Intervenciones UDT- BH'!V150</f>
        <v>0</v>
      </c>
      <c r="AM197" s="956"/>
      <c r="AN197" s="956" t="str">
        <f>+'7. Intervenciones UDT- BH'!X150</f>
        <v>X</v>
      </c>
      <c r="AO197" s="956"/>
      <c r="AP197" s="956"/>
      <c r="AQ197" s="956"/>
      <c r="AR197" s="954">
        <f>+'7. Intervenciones UDT- BH'!AB150</f>
        <v>2</v>
      </c>
      <c r="AS197" s="403">
        <f t="shared" si="1"/>
        <v>1</v>
      </c>
    </row>
    <row r="198" spans="1:45" s="195" customFormat="1" ht="15.8" hidden="1" customHeight="1" x14ac:dyDescent="0.3">
      <c r="A198" s="403"/>
      <c r="B198" s="403" t="str">
        <f>'7. Intervenciones UDT- BH'!$C$8</f>
        <v>UDT BAJO HUALLAGA</v>
      </c>
      <c r="C198" s="403" t="str">
        <f>'7. Intervenciones UDT- BH'!$F$141</f>
        <v>Tierras sin categoría territorial asignada</v>
      </c>
      <c r="D198" s="404" t="str">
        <f>+'7. Intervenciones UDT- BH'!A151</f>
        <v>Control y vigilancia</v>
      </c>
      <c r="E198" s="404" t="str">
        <f>+'7. Intervenciones UDT- BH'!C151</f>
        <v>4.8.3</v>
      </c>
      <c r="F198" s="404" t="str">
        <f>+'7. Intervenciones UDT- BH'!D151</f>
        <v>Elaboración del plan/declaración de manejo de las nuevas categorías de ordenamiento forestal y títulos habilitantes forestales</v>
      </c>
      <c r="G198" s="404" t="str">
        <f>+'7. Intervenciones UDT- BH'!E151</f>
        <v>Dependiendo de la categoría forestal a ser aplicada, se realizará un plan/declaración acorde a la unidad, en el marco de la ley forestal y fauna silvestre N° 29763.</v>
      </c>
      <c r="H198" s="948" t="s">
        <v>1857</v>
      </c>
      <c r="I198" s="946" t="s">
        <v>199</v>
      </c>
      <c r="J198" s="946" t="s">
        <v>2591</v>
      </c>
      <c r="K198" s="946" t="s">
        <v>2331</v>
      </c>
      <c r="L198" s="946" t="s">
        <v>202</v>
      </c>
      <c r="M198" s="418" t="s">
        <v>1858</v>
      </c>
      <c r="N198" s="948" t="s">
        <v>1859</v>
      </c>
      <c r="O198" s="948" t="s">
        <v>223</v>
      </c>
      <c r="P198" s="951" t="s">
        <v>1860</v>
      </c>
      <c r="Q198" s="948" t="str">
        <f>+'7. Intervenciones UDT- BH'!F151</f>
        <v>N° Planes / Declaraciones elaborados</v>
      </c>
      <c r="R198" s="405">
        <f>+'7. Intervenciones UDT- BH'!I151</f>
        <v>0</v>
      </c>
      <c r="S198" s="405">
        <f>+'7. Intervenciones UDT- BH'!J151</f>
        <v>2</v>
      </c>
      <c r="T198" s="405">
        <f>+'7. Intervenciones UDT- BH'!K151</f>
        <v>2</v>
      </c>
      <c r="U198" s="405">
        <f>+'7. Intervenciones UDT- BH'!L151</f>
        <v>10000</v>
      </c>
      <c r="V198" s="405" t="str">
        <f>+'7. Intervenciones UDT- BH'!M151</f>
        <v>Se considera la contratación de profesionales para la elaboración de los expedientes y/o declaraciones identificadas en los diferentes procesos.</v>
      </c>
      <c r="W198" s="405" t="str">
        <f>+'7. Intervenciones UDT- BH'!N151</f>
        <v>GRSM - DEGT</v>
      </c>
      <c r="X198" s="588">
        <f>+'7. Intervenciones UDT- BH'!O151</f>
        <v>20000</v>
      </c>
      <c r="Y198" s="588">
        <f>+Tabla1[[#This Row],[2025 Directo]]*(1+$Y$3)</f>
        <v>20210</v>
      </c>
      <c r="Z198" s="588">
        <f>+'7. Intervenciones UDT- BH'!P151</f>
        <v>20000</v>
      </c>
      <c r="AA198" s="588">
        <f>+Tabla1[[#This Row],[2030 Directo]]*(1+$Y$3)</f>
        <v>20210</v>
      </c>
      <c r="AB198" s="588">
        <f>+'7. Intervenciones UDT- BH'!Q151</f>
        <v>6000</v>
      </c>
      <c r="AC198" s="588">
        <f>+Tabla1[[#This Row],[Año 1 Cto Directo]]*(1+$Y$3)</f>
        <v>6063</v>
      </c>
      <c r="AD198" s="588">
        <f>+'7. Intervenciones UDT- BH'!R151</f>
        <v>6000</v>
      </c>
      <c r="AE198" s="588">
        <f>+Tabla1[[#This Row],[Año 2 Cto. Directo]]*(1+$Y$3)</f>
        <v>6063</v>
      </c>
      <c r="AF198" s="588">
        <f>+'7. Intervenciones UDT- BH'!S151</f>
        <v>8000</v>
      </c>
      <c r="AG198" s="588">
        <f>+Tabla1[[#This Row],[Año 3 Cto. Directo]]*(1+$Y$3)</f>
        <v>8084</v>
      </c>
      <c r="AH198" s="588">
        <f>+'7. Intervenciones UDT- BH'!T151</f>
        <v>0</v>
      </c>
      <c r="AI198" s="588">
        <f>+Tabla1[[#This Row],[Año 4 Cto. Directo]]*(1+$Y$3)</f>
        <v>0</v>
      </c>
      <c r="AJ198" s="588">
        <f>+'7. Intervenciones UDT- BH'!U151</f>
        <v>0</v>
      </c>
      <c r="AK198" s="588">
        <f>+Tabla1[[#This Row],[Año 5 Cto. Directo]]*(1+$Y$3)</f>
        <v>0</v>
      </c>
      <c r="AL198" s="405">
        <f>+'7. Intervenciones UDT- BH'!V151</f>
        <v>0</v>
      </c>
      <c r="AM198" s="956"/>
      <c r="AN198" s="956" t="str">
        <f>+'7. Intervenciones UDT- BH'!X151</f>
        <v>X</v>
      </c>
      <c r="AO198" s="956"/>
      <c r="AP198" s="956"/>
      <c r="AQ198" s="956"/>
      <c r="AR198" s="954">
        <f>+'7. Intervenciones UDT- BH'!AB151</f>
        <v>2</v>
      </c>
      <c r="AS198" s="403">
        <f t="shared" si="1"/>
        <v>1</v>
      </c>
    </row>
    <row r="199" spans="1:45" s="195" customFormat="1" ht="15.8" hidden="1" customHeight="1" x14ac:dyDescent="0.3">
      <c r="A199" s="403"/>
      <c r="B199" s="403" t="str">
        <f>'7. Intervenciones UDT- BH'!$C$8</f>
        <v>UDT BAJO HUALLAGA</v>
      </c>
      <c r="C199" s="403" t="str">
        <f>'7. Intervenciones UDT- BH'!$F$141</f>
        <v>Tierras sin categoría territorial asignada</v>
      </c>
      <c r="D199" s="404" t="str">
        <f>+'7. Intervenciones UDT- BH'!A152</f>
        <v>Invasiones</v>
      </c>
      <c r="E199" s="404" t="str">
        <f>+'7. Intervenciones UDT- BH'!C152</f>
        <v>4.8.4</v>
      </c>
      <c r="F199" s="404" t="str">
        <f>+'7. Intervenciones UDT- BH'!D152</f>
        <v>Inscripción en el catastro forestal y en registros públicos</v>
      </c>
      <c r="G199" s="404" t="str">
        <f>+'7. Intervenciones UDT- BH'!E152</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H199" s="948" t="s">
        <v>1857</v>
      </c>
      <c r="I199" s="946" t="s">
        <v>199</v>
      </c>
      <c r="J199" s="946" t="s">
        <v>2591</v>
      </c>
      <c r="K199" s="946" t="s">
        <v>2331</v>
      </c>
      <c r="L199" s="946" t="s">
        <v>202</v>
      </c>
      <c r="M199" s="418" t="s">
        <v>1858</v>
      </c>
      <c r="N199" s="948" t="s">
        <v>1859</v>
      </c>
      <c r="O199" s="948" t="s">
        <v>223</v>
      </c>
      <c r="P199" s="951" t="s">
        <v>1860</v>
      </c>
      <c r="Q199" s="948" t="str">
        <f>+'7. Intervenciones UDT- BH'!F152</f>
        <v>Ha. Inscritas</v>
      </c>
      <c r="R199" s="405">
        <f>+'7. Intervenciones UDT- BH'!I152</f>
        <v>0</v>
      </c>
      <c r="S199" s="405">
        <f>+'7. Intervenciones UDT- BH'!J152</f>
        <v>47298.808366990103</v>
      </c>
      <c r="T199" s="405">
        <f>+'7. Intervenciones UDT- BH'!K152</f>
        <v>47298.808366990103</v>
      </c>
      <c r="U199" s="405">
        <f>+'7. Intervenciones UDT- BH'!L152</f>
        <v>1</v>
      </c>
      <c r="V199" s="405" t="str">
        <f>+'7. Intervenciones UDT- BH'!M152</f>
        <v>Contratación de dos profesioales para agilizar procesos con sunarp.</v>
      </c>
      <c r="W199" s="405" t="str">
        <f>+'7. Intervenciones UDT- BH'!N152</f>
        <v>GRSM - DEGT</v>
      </c>
      <c r="X199" s="588">
        <f>+'7. Intervenciones UDT- BH'!O152</f>
        <v>47298.808366990103</v>
      </c>
      <c r="Y199" s="588">
        <f>+Tabla1[[#This Row],[2025 Directo]]*(1+$Y$3)</f>
        <v>47795.4458548435</v>
      </c>
      <c r="Z199" s="588">
        <f>+'7. Intervenciones UDT- BH'!P152</f>
        <v>47298.808366990103</v>
      </c>
      <c r="AA199" s="588">
        <f>+Tabla1[[#This Row],[2030 Directo]]*(1+$Y$3)</f>
        <v>47795.4458548435</v>
      </c>
      <c r="AB199" s="588">
        <f>+'7. Intervenciones UDT- BH'!Q152</f>
        <v>9459.7616733980212</v>
      </c>
      <c r="AC199" s="588">
        <f>+Tabla1[[#This Row],[Año 1 Cto Directo]]*(1+$Y$3)</f>
        <v>9559.0891709687003</v>
      </c>
      <c r="AD199" s="588">
        <f>+'7. Intervenciones UDT- BH'!R152</f>
        <v>9459.7616733980212</v>
      </c>
      <c r="AE199" s="588">
        <f>+Tabla1[[#This Row],[Año 2 Cto. Directo]]*(1+$Y$3)</f>
        <v>9559.0891709687003</v>
      </c>
      <c r="AF199" s="588">
        <f>+'7. Intervenciones UDT- BH'!S152</f>
        <v>9459.7616733980212</v>
      </c>
      <c r="AG199" s="588">
        <f>+Tabla1[[#This Row],[Año 3 Cto. Directo]]*(1+$Y$3)</f>
        <v>9559.0891709687003</v>
      </c>
      <c r="AH199" s="588">
        <f>+'7. Intervenciones UDT- BH'!T152</f>
        <v>9459.7616733980212</v>
      </c>
      <c r="AI199" s="588">
        <f>+Tabla1[[#This Row],[Año 4 Cto. Directo]]*(1+$Y$3)</f>
        <v>9559.0891709687003</v>
      </c>
      <c r="AJ199" s="588">
        <f>+'7. Intervenciones UDT- BH'!U152</f>
        <v>9459.7616733980212</v>
      </c>
      <c r="AK199" s="588">
        <f>+Tabla1[[#This Row],[Año 5 Cto. Directo]]*(1+$Y$3)</f>
        <v>9559.0891709687003</v>
      </c>
      <c r="AL199" s="405">
        <f>+'7. Intervenciones UDT- BH'!V152</f>
        <v>0</v>
      </c>
      <c r="AM199" s="956"/>
      <c r="AN199" s="956" t="str">
        <f>+'7. Intervenciones UDT- BH'!X152</f>
        <v>X</v>
      </c>
      <c r="AO199" s="956"/>
      <c r="AP199" s="956"/>
      <c r="AQ199" s="956"/>
      <c r="AR199" s="954">
        <f>+'7. Intervenciones UDT- BH'!AB152</f>
        <v>2</v>
      </c>
      <c r="AS199" s="403">
        <f t="shared" si="1"/>
        <v>1</v>
      </c>
    </row>
    <row r="200" spans="1:45" s="195" customFormat="1" ht="15.8" hidden="1" customHeight="1" x14ac:dyDescent="0.3">
      <c r="A200" s="403"/>
      <c r="B200" s="403" t="str">
        <f>'7. Intervenciones UDT- BH'!$C$8</f>
        <v>UDT BAJO HUALLAGA</v>
      </c>
      <c r="C200" s="403" t="str">
        <f>'7. Intervenciones UDT- BH'!$F$141</f>
        <v>Tierras sin categoría territorial asignada</v>
      </c>
      <c r="D200" s="404" t="str">
        <f>+'7. Intervenciones UDT- BH'!A153</f>
        <v>Ingresos y Capital</v>
      </c>
      <c r="E200" s="404" t="str">
        <f>+'7. Intervenciones UDT- BH'!C153</f>
        <v>4.8.5</v>
      </c>
      <c r="F200" s="404" t="str">
        <f>+'7. Intervenciones UDT- BH'!D153</f>
        <v>Restauración de áreas degradadas</v>
      </c>
      <c r="G200" s="404" t="str">
        <f>+'7. Intervenciones UDT- BH'!E153</f>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v>
      </c>
      <c r="H200" s="948" t="s">
        <v>1857</v>
      </c>
      <c r="I200" s="946" t="s">
        <v>203</v>
      </c>
      <c r="J200" s="946" t="s">
        <v>2595</v>
      </c>
      <c r="K200" s="946" t="s">
        <v>2333</v>
      </c>
      <c r="L200" s="946" t="s">
        <v>204</v>
      </c>
      <c r="M200" s="418" t="s">
        <v>1878</v>
      </c>
      <c r="N200" s="948" t="s">
        <v>1859</v>
      </c>
      <c r="O200" s="948" t="s">
        <v>223</v>
      </c>
      <c r="P200" s="951" t="s">
        <v>1860</v>
      </c>
      <c r="Q200" s="948" t="str">
        <f>+'7. Intervenciones UDT- BH'!F153</f>
        <v>Hectáreas restauradas</v>
      </c>
      <c r="R200" s="405">
        <f>+'7. Intervenciones UDT- BH'!I153</f>
        <v>0</v>
      </c>
      <c r="S200" s="405">
        <f>+'7. Intervenciones UDT- BH'!J153</f>
        <v>7171.9365069078503</v>
      </c>
      <c r="T200" s="405">
        <f>+'7. Intervenciones UDT- BH'!K153</f>
        <v>7171.9365069078503</v>
      </c>
      <c r="U200" s="405">
        <f>+'7. Intervenciones UDT- BH'!L153</f>
        <v>500</v>
      </c>
      <c r="V200" s="405" t="str">
        <f>+'7. Intervenciones UDT- BH'!M153</f>
        <v>El costo incluye la restauración de una hectárea, esta actividad se desarrollara de acuerdo a la metodología propuesta por el ARA, en coordinación con los productores seleccionados.</v>
      </c>
      <c r="W200" s="405" t="str">
        <f>+'7. Intervenciones UDT- BH'!N153</f>
        <v>ARA</v>
      </c>
      <c r="X200" s="588">
        <f>+'7. Intervenciones UDT- BH'!O153</f>
        <v>3585968.2534539253</v>
      </c>
      <c r="Y200" s="588">
        <f>+Tabla1[[#This Row],[2025 Directo]]*(1+$Y$3)</f>
        <v>3623620.9201151915</v>
      </c>
      <c r="Z200" s="588">
        <f>+'7. Intervenciones UDT- BH'!P153</f>
        <v>3585968.2534539253</v>
      </c>
      <c r="AA200" s="588">
        <f>+Tabla1[[#This Row],[2030 Directo]]*(1+$Y$3)</f>
        <v>3623620.9201151915</v>
      </c>
      <c r="AB200" s="588">
        <f>+'7. Intervenciones UDT- BH'!Q153</f>
        <v>3585968.2534539253</v>
      </c>
      <c r="AC200" s="588">
        <f>+Tabla1[[#This Row],[Año 1 Cto Directo]]*(1+$Y$3)</f>
        <v>3623620.9201151915</v>
      </c>
      <c r="AD200" s="588">
        <f>+'7. Intervenciones UDT- BH'!R153</f>
        <v>0</v>
      </c>
      <c r="AE200" s="588">
        <f>+Tabla1[[#This Row],[Año 2 Cto. Directo]]*(1+$Y$3)</f>
        <v>0</v>
      </c>
      <c r="AF200" s="588">
        <f>+'7. Intervenciones UDT- BH'!S153</f>
        <v>0</v>
      </c>
      <c r="AG200" s="588">
        <f>+Tabla1[[#This Row],[Año 3 Cto. Directo]]*(1+$Y$3)</f>
        <v>0</v>
      </c>
      <c r="AH200" s="588">
        <f>+'7. Intervenciones UDT- BH'!T153</f>
        <v>0</v>
      </c>
      <c r="AI200" s="588">
        <f>+Tabla1[[#This Row],[Año 4 Cto. Directo]]*(1+$Y$3)</f>
        <v>0</v>
      </c>
      <c r="AJ200" s="588">
        <f>+'7. Intervenciones UDT- BH'!U153</f>
        <v>0</v>
      </c>
      <c r="AK200" s="588">
        <f>+Tabla1[[#This Row],[Año 5 Cto. Directo]]*(1+$Y$3)</f>
        <v>0</v>
      </c>
      <c r="AL200" s="405">
        <f>+'7. Intervenciones UDT- BH'!V153</f>
        <v>0</v>
      </c>
      <c r="AM200" s="956"/>
      <c r="AN200" s="956" t="str">
        <f>+'7. Intervenciones UDT- BH'!X153</f>
        <v>X</v>
      </c>
      <c r="AO200" s="956"/>
      <c r="AP200" s="956"/>
      <c r="AQ200" s="956"/>
      <c r="AR200" s="954">
        <f>+'7. Intervenciones UDT- BH'!AB153</f>
        <v>3</v>
      </c>
      <c r="AS200" s="403">
        <f t="shared" si="1"/>
        <v>1</v>
      </c>
    </row>
    <row r="201" spans="1:45" s="195" customFormat="1" ht="15.8" hidden="1" customHeight="1" x14ac:dyDescent="0.3">
      <c r="A201" s="403"/>
      <c r="B201" s="403" t="str">
        <f>'7. Intervenciones UDT- BH'!$C$8</f>
        <v>UDT BAJO HUALLAGA</v>
      </c>
      <c r="C201" s="403" t="str">
        <f>'7. Intervenciones UDT- BH'!$C$157</f>
        <v>Intervenciones Transversales x UDT</v>
      </c>
      <c r="D201" s="404" t="str">
        <f>+'7. Intervenciones UDT- BH'!A160</f>
        <v>Programas de inversión pública</v>
      </c>
      <c r="E201" s="404" t="str">
        <f>+'7. Intervenciones UDT- BH'!C160</f>
        <v>4.9.1</v>
      </c>
      <c r="F201" s="403" t="str">
        <f>+'7. Intervenciones UDT- BH'!D160</f>
        <v>Acuerdos con rondas campesinas y rondas nativas para cumplimiento de compromisos de no deforestación y tráfico de tierras e invasiones</v>
      </c>
      <c r="G201" s="403" t="str">
        <f>+'7. Intervenciones UDT- BH'!E160</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H201" s="948" t="s">
        <v>1857</v>
      </c>
      <c r="I201" s="946" t="s">
        <v>199</v>
      </c>
      <c r="J201" s="946" t="s">
        <v>2591</v>
      </c>
      <c r="K201" s="946" t="s">
        <v>2331</v>
      </c>
      <c r="L201" s="946" t="s">
        <v>202</v>
      </c>
      <c r="M201" s="418" t="s">
        <v>1858</v>
      </c>
      <c r="N201" s="948" t="s">
        <v>1887</v>
      </c>
      <c r="O201" s="948" t="s">
        <v>221</v>
      </c>
      <c r="P201" s="951" t="s">
        <v>1891</v>
      </c>
      <c r="Q201" s="948" t="str">
        <f>+'7. Intervenciones UDT- BH'!F160</f>
        <v>Acuerdos con rondas campesinas</v>
      </c>
      <c r="R201" s="405">
        <f>+'7. Intervenciones UDT- BH'!I160</f>
        <v>0</v>
      </c>
      <c r="S201" s="405">
        <f>+'7. Intervenciones UDT- BH'!J160</f>
        <v>19</v>
      </c>
      <c r="T201" s="405">
        <f>+'7. Intervenciones UDT- BH'!K160</f>
        <v>19</v>
      </c>
      <c r="U201" s="405">
        <f>+'7. Intervenciones UDT- BH'!L160</f>
        <v>2500</v>
      </c>
      <c r="V201" s="403" t="str">
        <f>+'7. Intervenciones UDT- BH'!M160</f>
        <v>Reuniones con los diferentes actores involucrados y la sociedad civil para llegar a acuerdos de no deforestación, lo cual incluye  gastos logísticos en general.</v>
      </c>
      <c r="W201" s="403" t="str">
        <f>+'7. Intervenciones UDT- BH'!N160</f>
        <v>GRIS</v>
      </c>
      <c r="X201" s="588">
        <f>+'7. Intervenciones UDT- BH'!O160</f>
        <v>237500</v>
      </c>
      <c r="Y201" s="588">
        <f>+Tabla1[[#This Row],[2025 Directo]]*(1+$Y$3)</f>
        <v>239993.75</v>
      </c>
      <c r="Z201" s="588">
        <f>+'7. Intervenciones UDT- BH'!P160</f>
        <v>237500</v>
      </c>
      <c r="AA201" s="588">
        <f>+Tabla1[[#This Row],[2030 Directo]]*(1+$Y$3)</f>
        <v>239993.75</v>
      </c>
      <c r="AB201" s="588">
        <f>+'7. Intervenciones UDT- BH'!Q160</f>
        <v>47500</v>
      </c>
      <c r="AC201" s="588">
        <f>+Tabla1[[#This Row],[Año 1 Cto Directo]]*(1+$Y$3)</f>
        <v>47998.75</v>
      </c>
      <c r="AD201" s="588">
        <f>+'7. Intervenciones UDT- BH'!R160</f>
        <v>47500</v>
      </c>
      <c r="AE201" s="588">
        <f>+Tabla1[[#This Row],[Año 2 Cto. Directo]]*(1+$Y$3)</f>
        <v>47998.75</v>
      </c>
      <c r="AF201" s="588">
        <f>+'7. Intervenciones UDT- BH'!S160</f>
        <v>47500</v>
      </c>
      <c r="AG201" s="588">
        <f>+Tabla1[[#This Row],[Año 3 Cto. Directo]]*(1+$Y$3)</f>
        <v>47998.75</v>
      </c>
      <c r="AH201" s="588">
        <f>+'7. Intervenciones UDT- BH'!T160</f>
        <v>47500</v>
      </c>
      <c r="AI201" s="588">
        <f>+Tabla1[[#This Row],[Año 4 Cto. Directo]]*(1+$Y$3)</f>
        <v>47998.75</v>
      </c>
      <c r="AJ201" s="588">
        <f>+'7. Intervenciones UDT- BH'!U160</f>
        <v>47500</v>
      </c>
      <c r="AK201" s="588">
        <f>+Tabla1[[#This Row],[Año 5 Cto. Directo]]*(1+$Y$3)</f>
        <v>47998.75</v>
      </c>
      <c r="AL201" s="403">
        <f>+'7. Intervenciones UDT- BH'!V160</f>
        <v>0</v>
      </c>
      <c r="AM201" s="954" t="s">
        <v>1123</v>
      </c>
      <c r="AN201" s="954"/>
      <c r="AO201" s="954"/>
      <c r="AP201" s="954"/>
      <c r="AQ201" s="954"/>
      <c r="AR201" s="954">
        <f>+'7. Intervenciones UDT- BH'!AB160</f>
        <v>3</v>
      </c>
      <c r="AS201" s="403">
        <f t="shared" si="1"/>
        <v>1</v>
      </c>
    </row>
    <row r="202" spans="1:45" s="195" customFormat="1" ht="15.8" hidden="1" customHeight="1" x14ac:dyDescent="0.3">
      <c r="A202" s="403"/>
      <c r="B202" s="403" t="str">
        <f>'7. Intervenciones UDT- BH'!$C$8</f>
        <v>UDT BAJO HUALLAGA</v>
      </c>
      <c r="C202" s="403" t="str">
        <f>'7. Intervenciones UDT- BH'!$C$157</f>
        <v>Intervenciones Transversales x UDT</v>
      </c>
      <c r="D202" s="404" t="str">
        <f>+'7. Intervenciones UDT- BH'!A161</f>
        <v>Programas de inversión pública</v>
      </c>
      <c r="E202" s="404" t="str">
        <f>+'7. Intervenciones UDT- BH'!C161</f>
        <v>4.9.2</v>
      </c>
      <c r="F202" s="403" t="str">
        <f>+'7. Intervenciones UDT- BH'!D161</f>
        <v>Mejoramiento de vías de acceso</v>
      </c>
      <c r="G202" s="403" t="str">
        <f>+'7. Intervenciones UDT- BH'!E161</f>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v>
      </c>
      <c r="H202" s="948" t="s">
        <v>1857</v>
      </c>
      <c r="I202" s="946" t="s">
        <v>199</v>
      </c>
      <c r="J202" s="946" t="s">
        <v>2598</v>
      </c>
      <c r="K202" s="946" t="s">
        <v>2334</v>
      </c>
      <c r="L202" s="946" t="s">
        <v>200</v>
      </c>
      <c r="M202" s="418" t="s">
        <v>1892</v>
      </c>
      <c r="N202" s="948" t="s">
        <v>1887</v>
      </c>
      <c r="O202" s="948" t="s">
        <v>221</v>
      </c>
      <c r="P202" s="951" t="s">
        <v>1891</v>
      </c>
      <c r="Q202" s="948" t="str">
        <f>+'7. Intervenciones UDT- BH'!F161</f>
        <v>Kilómetros mejorados</v>
      </c>
      <c r="R202" s="405">
        <f>+'7. Intervenciones UDT- BH'!I161</f>
        <v>328</v>
      </c>
      <c r="S202" s="405">
        <f>+'7. Intervenciones UDT- BH'!J161</f>
        <v>32.800000000000004</v>
      </c>
      <c r="T202" s="405">
        <f>+'7. Intervenciones UDT- BH'!K161</f>
        <v>32.800000000000004</v>
      </c>
      <c r="U202" s="405">
        <f>+'7. Intervenciones UDT- BH'!L161</f>
        <v>800000</v>
      </c>
      <c r="V202" s="403" t="str">
        <f>+'7. Intervenciones UDT- BH'!M161</f>
        <v>Costo promedio de por km2 de vía mejorada o asfaltada</v>
      </c>
      <c r="W202" s="403" t="str">
        <f>+'7. Intervenciones UDT- BH'!N161</f>
        <v>DRTyTC</v>
      </c>
      <c r="X202" s="588">
        <f>+'7. Intervenciones UDT- BH'!O161</f>
        <v>26240000.000000004</v>
      </c>
      <c r="Y202" s="588">
        <f>+Tabla1[[#This Row],[2025 Directo]]*(1+$Y$3)</f>
        <v>26515520.000000004</v>
      </c>
      <c r="Z202" s="588">
        <f>+'7. Intervenciones UDT- BH'!P161</f>
        <v>26240000.000000004</v>
      </c>
      <c r="AA202" s="588">
        <f>+Tabla1[[#This Row],[2030 Directo]]*(1+$Y$3)</f>
        <v>26515520.000000004</v>
      </c>
      <c r="AB202" s="588">
        <f>+'7. Intervenciones UDT- BH'!Q161</f>
        <v>5248000.0000000009</v>
      </c>
      <c r="AC202" s="588">
        <f>+Tabla1[[#This Row],[Año 1 Cto Directo]]*(1+$Y$3)</f>
        <v>5303104.0000000009</v>
      </c>
      <c r="AD202" s="588">
        <f>+'7. Intervenciones UDT- BH'!R161</f>
        <v>5248000.0000000009</v>
      </c>
      <c r="AE202" s="588">
        <f>+Tabla1[[#This Row],[Año 2 Cto. Directo]]*(1+$Y$3)</f>
        <v>5303104.0000000009</v>
      </c>
      <c r="AF202" s="588">
        <f>+'7. Intervenciones UDT- BH'!S161</f>
        <v>5248000.0000000009</v>
      </c>
      <c r="AG202" s="588">
        <f>+Tabla1[[#This Row],[Año 3 Cto. Directo]]*(1+$Y$3)</f>
        <v>5303104.0000000009</v>
      </c>
      <c r="AH202" s="588">
        <f>+'7. Intervenciones UDT- BH'!T161</f>
        <v>5248000.0000000009</v>
      </c>
      <c r="AI202" s="588">
        <f>+Tabla1[[#This Row],[Año 4 Cto. Directo]]*(1+$Y$3)</f>
        <v>5303104.0000000009</v>
      </c>
      <c r="AJ202" s="588">
        <f>+'7. Intervenciones UDT- BH'!U161</f>
        <v>5248000.0000000009</v>
      </c>
      <c r="AK202" s="588">
        <f>+Tabla1[[#This Row],[Año 5 Cto. Directo]]*(1+$Y$3)</f>
        <v>5303104.0000000009</v>
      </c>
      <c r="AL202" s="403">
        <f>+'7. Intervenciones UDT- BH'!V161</f>
        <v>0</v>
      </c>
      <c r="AM202" s="954" t="str">
        <f>+'7. Intervenciones UDT- BH'!W161</f>
        <v>X</v>
      </c>
      <c r="AN202" s="954"/>
      <c r="AO202" s="954"/>
      <c r="AP202" s="954"/>
      <c r="AQ202" s="954"/>
      <c r="AR202" s="954">
        <f>+'7. Intervenciones UDT- BH'!AB161</f>
        <v>2</v>
      </c>
      <c r="AS202" s="403">
        <f t="shared" si="1"/>
        <v>1</v>
      </c>
    </row>
    <row r="203" spans="1:45" s="195" customFormat="1" ht="15.8" hidden="1" customHeight="1" x14ac:dyDescent="0.3">
      <c r="A203" s="403"/>
      <c r="B203" s="403" t="str">
        <f>'7. Intervenciones UDT- BH'!$C$8</f>
        <v>UDT BAJO HUALLAGA</v>
      </c>
      <c r="C203" s="403" t="str">
        <f>'7. Intervenciones UDT- BH'!$C$157</f>
        <v>Intervenciones Transversales x UDT</v>
      </c>
      <c r="D203" s="404" t="str">
        <f>+'7. Intervenciones UDT- BH'!A162</f>
        <v>Programas de inversión pública</v>
      </c>
      <c r="E203" s="404" t="str">
        <f>+'7. Intervenciones UDT- BH'!C162</f>
        <v>4.9.3</v>
      </c>
      <c r="F203" s="403" t="str">
        <f>+'7. Intervenciones UDT- BH'!D162</f>
        <v>Restauración ecológica del paisaje</v>
      </c>
      <c r="G203" s="403" t="str">
        <f>+'7. Intervenciones UDT- BH'!E162</f>
        <v>Ejecución de proyectos de restauración dentro de las áreas con prioridad alta. La GRDE, el ARA y los proyectos especiales a través de sus diferentes direcciones de línea, deberán implementar esta actividad a través de los PIP y actividades propias de las direcciones.</v>
      </c>
      <c r="H203" s="948" t="s">
        <v>1857</v>
      </c>
      <c r="I203" s="946" t="s">
        <v>203</v>
      </c>
      <c r="J203" s="946" t="s">
        <v>2598</v>
      </c>
      <c r="K203" s="946" t="s">
        <v>2334</v>
      </c>
      <c r="L203" s="946" t="s">
        <v>204</v>
      </c>
      <c r="M203" s="418" t="s">
        <v>1878</v>
      </c>
      <c r="N203" s="948" t="s">
        <v>1879</v>
      </c>
      <c r="O203" s="948" t="s">
        <v>221</v>
      </c>
      <c r="P203" s="951" t="s">
        <v>1891</v>
      </c>
      <c r="Q203" s="948" t="str">
        <f>+'7. Intervenciones UDT- BH'!F162</f>
        <v>Hectáreas restauradas</v>
      </c>
      <c r="R203" s="405">
        <f>+'7. Intervenciones UDT- BH'!I162</f>
        <v>3078.73</v>
      </c>
      <c r="S203" s="405">
        <f>+'7. Intervenciones UDT- BH'!J162</f>
        <v>1539.365</v>
      </c>
      <c r="T203" s="405">
        <f>+'7. Intervenciones UDT- BH'!K162</f>
        <v>1539.365</v>
      </c>
      <c r="U203" s="405">
        <f>+'7. Intervenciones UDT- BH'!L162</f>
        <v>500</v>
      </c>
      <c r="V203" s="403" t="str">
        <f>+'7. Intervenciones UDT- BH'!M162</f>
        <v>El costo incluye la restauración de una hectárea, esta actividad se desarrollara de acuerdo a la metodología propuesta por el ARA, en coordinación con los productores seleccionados.</v>
      </c>
      <c r="W203" s="403" t="str">
        <f>+'7. Intervenciones UDT- BH'!N162</f>
        <v>ARA</v>
      </c>
      <c r="X203" s="588">
        <f>+'7. Intervenciones UDT- BH'!O162</f>
        <v>769682.5</v>
      </c>
      <c r="Y203" s="588">
        <f>+Tabla1[[#This Row],[2025 Directo]]*(1+$Y$3)</f>
        <v>777764.16625000001</v>
      </c>
      <c r="Z203" s="588">
        <f>+'7. Intervenciones UDT- BH'!P162</f>
        <v>769682.5</v>
      </c>
      <c r="AA203" s="588">
        <f>+Tabla1[[#This Row],[2030 Directo]]*(1+$Y$3)</f>
        <v>777764.16625000001</v>
      </c>
      <c r="AB203" s="588">
        <f>+'7. Intervenciones UDT- BH'!Q162</f>
        <v>153936.5</v>
      </c>
      <c r="AC203" s="588">
        <f>+Tabla1[[#This Row],[Año 1 Cto Directo]]*(1+$Y$3)</f>
        <v>155552.83325</v>
      </c>
      <c r="AD203" s="588">
        <f>+'7. Intervenciones UDT- BH'!R162</f>
        <v>153936.5</v>
      </c>
      <c r="AE203" s="588">
        <f>+Tabla1[[#This Row],[Año 2 Cto. Directo]]*(1+$Y$3)</f>
        <v>155552.83325</v>
      </c>
      <c r="AF203" s="588">
        <f>+'7. Intervenciones UDT- BH'!S162</f>
        <v>153936.5</v>
      </c>
      <c r="AG203" s="588">
        <f>+Tabla1[[#This Row],[Año 3 Cto. Directo]]*(1+$Y$3)</f>
        <v>155552.83325</v>
      </c>
      <c r="AH203" s="588">
        <f>+'7. Intervenciones UDT- BH'!T162</f>
        <v>153936.5</v>
      </c>
      <c r="AI203" s="588">
        <f>+Tabla1[[#This Row],[Año 4 Cto. Directo]]*(1+$Y$3)</f>
        <v>155552.83325</v>
      </c>
      <c r="AJ203" s="588">
        <f>+'7. Intervenciones UDT- BH'!U162</f>
        <v>153936.5</v>
      </c>
      <c r="AK203" s="588">
        <f>+Tabla1[[#This Row],[Año 5 Cto. Directo]]*(1+$Y$3)</f>
        <v>155552.83325</v>
      </c>
      <c r="AL203" s="403">
        <f>+'7. Intervenciones UDT- BH'!V162</f>
        <v>0</v>
      </c>
      <c r="AM203" s="954"/>
      <c r="AN203" s="954"/>
      <c r="AO203" s="954" t="str">
        <f>+'7. Intervenciones UDT- BH'!Y162</f>
        <v>X</v>
      </c>
      <c r="AP203" s="954"/>
      <c r="AQ203" s="954" t="str">
        <f>+'7. Intervenciones UDT- BH'!AA162</f>
        <v>RE</v>
      </c>
      <c r="AR203" s="954">
        <f>+'7. Intervenciones UDT- BH'!AB162</f>
        <v>3</v>
      </c>
      <c r="AS203" s="403">
        <f t="shared" si="1"/>
        <v>1</v>
      </c>
    </row>
    <row r="204" spans="1:45" s="195" customFormat="1" ht="15.8" hidden="1" customHeight="1" x14ac:dyDescent="0.3">
      <c r="A204" s="403"/>
      <c r="B204" s="403" t="str">
        <f>'7. Intervenciones UDT- BH'!$C$8</f>
        <v>UDT BAJO HUALLAGA</v>
      </c>
      <c r="C204" s="403" t="str">
        <f>'7. Intervenciones UDT- BH'!$C$157</f>
        <v>Intervenciones Transversales x UDT</v>
      </c>
      <c r="D204" s="404" t="str">
        <f>+'7. Intervenciones UDT- BH'!A163</f>
        <v>Programas de inversión pública</v>
      </c>
      <c r="E204" s="404" t="str">
        <f>+'7. Intervenciones UDT- BH'!C163</f>
        <v>4.9.4</v>
      </c>
      <c r="F204" s="403" t="str">
        <f>+'7. Intervenciones UDT- BH'!D163</f>
        <v>Mejor cobertura y calidad de servicios de educación y salud</v>
      </c>
      <c r="G204" s="403" t="str">
        <f>+'7. Intervenciones UDT- BH'!E163</f>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v>
      </c>
      <c r="H204" s="948" t="s">
        <v>1857</v>
      </c>
      <c r="I204" s="946" t="s">
        <v>199</v>
      </c>
      <c r="J204" s="946" t="s">
        <v>2598</v>
      </c>
      <c r="K204" s="946" t="s">
        <v>2334</v>
      </c>
      <c r="L204" s="946" t="s">
        <v>201</v>
      </c>
      <c r="M204" s="418" t="s">
        <v>1883</v>
      </c>
      <c r="N204" s="948" t="s">
        <v>1884</v>
      </c>
      <c r="O204" s="948" t="s">
        <v>221</v>
      </c>
      <c r="P204" s="951" t="s">
        <v>1891</v>
      </c>
      <c r="Q204" s="948" t="str">
        <f>+'7. Intervenciones UDT- BH'!F163</f>
        <v>Centros de salud y colegios implementados</v>
      </c>
      <c r="R204" s="405">
        <f>+'7. Intervenciones UDT- BH'!I163</f>
        <v>0</v>
      </c>
      <c r="S204" s="405">
        <f>+'7. Intervenciones UDT- BH'!J163</f>
        <v>2</v>
      </c>
      <c r="T204" s="405">
        <f>+'7. Intervenciones UDT- BH'!K163</f>
        <v>2</v>
      </c>
      <c r="U204" s="405">
        <f>+'7. Intervenciones UDT- BH'!L163</f>
        <v>3500000</v>
      </c>
      <c r="V204" s="403" t="str">
        <f>+'7. Intervenciones UDT- BH'!M163</f>
        <v>Construcción e implementación de centros educativos y postas medicas</v>
      </c>
      <c r="W204" s="403" t="str">
        <f>+'7. Intervenciones UDT- BH'!N163</f>
        <v>DRTyTC</v>
      </c>
      <c r="X204" s="588">
        <f>+'7. Intervenciones UDT- BH'!O163</f>
        <v>7000000</v>
      </c>
      <c r="Y204" s="588">
        <f>+Tabla1[[#This Row],[2025 Directo]]*(1+$Y$3)</f>
        <v>7073500</v>
      </c>
      <c r="Z204" s="588">
        <f>+'7. Intervenciones UDT- BH'!P163</f>
        <v>7000000</v>
      </c>
      <c r="AA204" s="588">
        <f>+Tabla1[[#This Row],[2030 Directo]]*(1+$Y$3)</f>
        <v>7073500</v>
      </c>
      <c r="AB204" s="588">
        <f>+'7. Intervenciones UDT- BH'!Q163</f>
        <v>1400000</v>
      </c>
      <c r="AC204" s="588">
        <f>+Tabla1[[#This Row],[Año 1 Cto Directo]]*(1+$Y$3)</f>
        <v>1414700</v>
      </c>
      <c r="AD204" s="588">
        <f>+'7. Intervenciones UDT- BH'!R163</f>
        <v>2100000</v>
      </c>
      <c r="AE204" s="588">
        <f>+Tabla1[[#This Row],[Año 2 Cto. Directo]]*(1+$Y$3)</f>
        <v>2122050</v>
      </c>
      <c r="AF204" s="588">
        <f>+'7. Intervenciones UDT- BH'!S163</f>
        <v>3500000</v>
      </c>
      <c r="AG204" s="588">
        <f>+Tabla1[[#This Row],[Año 3 Cto. Directo]]*(1+$Y$3)</f>
        <v>3536750</v>
      </c>
      <c r="AH204" s="588">
        <f>+'7. Intervenciones UDT- BH'!T163</f>
        <v>0</v>
      </c>
      <c r="AI204" s="588">
        <f>+Tabla1[[#This Row],[Año 4 Cto. Directo]]*(1+$Y$3)</f>
        <v>0</v>
      </c>
      <c r="AJ204" s="588">
        <f>+'7. Intervenciones UDT- BH'!U163</f>
        <v>0</v>
      </c>
      <c r="AK204" s="588">
        <f>+Tabla1[[#This Row],[Año 5 Cto. Directo]]*(1+$Y$3)</f>
        <v>0</v>
      </c>
      <c r="AL204" s="403">
        <f>+'7. Intervenciones UDT- BH'!V163</f>
        <v>0</v>
      </c>
      <c r="AM204" s="954"/>
      <c r="AN204" s="954" t="str">
        <f>+'7. Intervenciones UDT- BH'!X163</f>
        <v>X</v>
      </c>
      <c r="AO204" s="954"/>
      <c r="AP204" s="954"/>
      <c r="AQ204" s="954" t="str">
        <f>+'7. Intervenciones UDT- BH'!AA163</f>
        <v>RE</v>
      </c>
      <c r="AR204" s="954">
        <f>+'7. Intervenciones UDT- BH'!AB163</f>
        <v>3</v>
      </c>
      <c r="AS204" s="403">
        <f t="shared" si="1"/>
        <v>1</v>
      </c>
    </row>
    <row r="205" spans="1:45" s="195" customFormat="1" ht="15.8" hidden="1" customHeight="1" x14ac:dyDescent="0.3">
      <c r="A205" s="403"/>
      <c r="B205" s="403" t="str">
        <f>'7. Intervenciones UDT- BH'!$C$8</f>
        <v>UDT BAJO HUALLAGA</v>
      </c>
      <c r="C205" s="403" t="str">
        <f>'7. Intervenciones UDT- BH'!$C$157</f>
        <v>Intervenciones Transversales x UDT</v>
      </c>
      <c r="D205" s="404" t="str">
        <f>+'7. Intervenciones UDT- BH'!A164</f>
        <v>Programas de inversión pública</v>
      </c>
      <c r="E205" s="404" t="str">
        <f>+'7. Intervenciones UDT- BH'!C164</f>
        <v>4.9.5</v>
      </c>
      <c r="F205" s="403" t="str">
        <f>+'7. Intervenciones UDT- BH'!D164</f>
        <v>Programa de servicios públicos móviles</v>
      </c>
      <c r="G205" s="403" t="str">
        <f>+'7. Intervenciones UDT- BH'!E164</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v>
      </c>
      <c r="H205" s="948" t="s">
        <v>1857</v>
      </c>
      <c r="I205" s="946" t="s">
        <v>199</v>
      </c>
      <c r="J205" s="946" t="s">
        <v>2598</v>
      </c>
      <c r="K205" s="946" t="s">
        <v>2334</v>
      </c>
      <c r="L205" s="946" t="s">
        <v>201</v>
      </c>
      <c r="M205" s="418" t="s">
        <v>1883</v>
      </c>
      <c r="N205" s="948" t="s">
        <v>1884</v>
      </c>
      <c r="O205" s="948" t="s">
        <v>221</v>
      </c>
      <c r="P205" s="951" t="s">
        <v>1891</v>
      </c>
      <c r="Q205" s="948" t="str">
        <f>+'7. Intervenciones UDT- BH'!F164</f>
        <v>N° campañas</v>
      </c>
      <c r="R205" s="405">
        <f>+'7. Intervenciones UDT- BH'!I164</f>
        <v>0</v>
      </c>
      <c r="S205" s="405">
        <f>+'7. Intervenciones UDT- BH'!J164</f>
        <v>135.52500000000001</v>
      </c>
      <c r="T205" s="405">
        <f>+'7. Intervenciones UDT- BH'!K164</f>
        <v>135.52500000000001</v>
      </c>
      <c r="U205" s="405">
        <f>+'7. Intervenciones UDT- BH'!L164</f>
        <v>5000</v>
      </c>
      <c r="V205" s="403" t="str">
        <f>+'7. Intervenciones UDT- BH'!M164</f>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v>
      </c>
      <c r="W205" s="403" t="str">
        <f>+'7. Intervenciones UDT- BH'!N164</f>
        <v>GORESAM</v>
      </c>
      <c r="X205" s="588">
        <f>+'7. Intervenciones UDT- BH'!O164</f>
        <v>3388125</v>
      </c>
      <c r="Y205" s="588">
        <f>+Tabla1[[#This Row],[2025 Directo]]*(1+$Y$3)</f>
        <v>3423700.3125</v>
      </c>
      <c r="Z205" s="588">
        <f>+'7. Intervenciones UDT- BH'!P164</f>
        <v>3388125</v>
      </c>
      <c r="AA205" s="588">
        <f>+Tabla1[[#This Row],[2030 Directo]]*(1+$Y$3)</f>
        <v>3423700.3125</v>
      </c>
      <c r="AB205" s="588">
        <f>+'7. Intervenciones UDT- BH'!Q164</f>
        <v>677625</v>
      </c>
      <c r="AC205" s="588">
        <f>+Tabla1[[#This Row],[Año 1 Cto Directo]]*(1+$Y$3)</f>
        <v>684740.0625</v>
      </c>
      <c r="AD205" s="588">
        <f>+'7. Intervenciones UDT- BH'!R164</f>
        <v>677625</v>
      </c>
      <c r="AE205" s="588">
        <f>+Tabla1[[#This Row],[Año 2 Cto. Directo]]*(1+$Y$3)</f>
        <v>684740.0625</v>
      </c>
      <c r="AF205" s="588">
        <f>+'7. Intervenciones UDT- BH'!S164</f>
        <v>677625</v>
      </c>
      <c r="AG205" s="588">
        <f>+Tabla1[[#This Row],[Año 3 Cto. Directo]]*(1+$Y$3)</f>
        <v>684740.0625</v>
      </c>
      <c r="AH205" s="588">
        <f>+'7. Intervenciones UDT- BH'!T164</f>
        <v>677625</v>
      </c>
      <c r="AI205" s="588">
        <f>+Tabla1[[#This Row],[Año 4 Cto. Directo]]*(1+$Y$3)</f>
        <v>684740.0625</v>
      </c>
      <c r="AJ205" s="588">
        <f>+'7. Intervenciones UDT- BH'!U164</f>
        <v>677625</v>
      </c>
      <c r="AK205" s="588">
        <f>+Tabla1[[#This Row],[Año 5 Cto. Directo]]*(1+$Y$3)</f>
        <v>684740.0625</v>
      </c>
      <c r="AL205" s="403">
        <f>+'7. Intervenciones UDT- BH'!V164</f>
        <v>0</v>
      </c>
      <c r="AM205" s="954"/>
      <c r="AN205" s="954" t="str">
        <f>+'7. Intervenciones UDT- BH'!X164</f>
        <v>X</v>
      </c>
      <c r="AO205" s="954"/>
      <c r="AP205" s="954"/>
      <c r="AQ205" s="954" t="str">
        <f>+'7. Intervenciones UDT- BH'!AA164</f>
        <v>RE</v>
      </c>
      <c r="AR205" s="954">
        <f>+'7. Intervenciones UDT- BH'!AB164</f>
        <v>3</v>
      </c>
      <c r="AS205" s="403">
        <f t="shared" si="1"/>
        <v>1</v>
      </c>
    </row>
    <row r="206" spans="1:45" s="195" customFormat="1" ht="15.8" hidden="1" customHeight="1" x14ac:dyDescent="0.3">
      <c r="A206" s="403"/>
      <c r="B206" s="403" t="str">
        <f>'7. Intervenciones UDT- BH'!$C$8</f>
        <v>UDT BAJO HUALLAGA</v>
      </c>
      <c r="C206" s="403" t="str">
        <f>'7. Intervenciones UDT- BH'!$C$157</f>
        <v>Intervenciones Transversales x UDT</v>
      </c>
      <c r="D206" s="404" t="str">
        <f>+'7. Intervenciones UDT- BH'!A165</f>
        <v>Programas de inversión pública</v>
      </c>
      <c r="E206" s="404" t="str">
        <f>+'7. Intervenciones UDT- BH'!C165</f>
        <v>4.9.6</v>
      </c>
      <c r="F206" s="403" t="str">
        <f>+'7. Intervenciones UDT- BH'!D165</f>
        <v xml:space="preserve">Promoción Marca "San Martín Región" y "Aliados por la Conservación" </v>
      </c>
      <c r="G206" s="403" t="str">
        <f>+'7. Intervenciones UDT- BH'!E165</f>
        <v>Promoción al acceso de la marca con los productores que cumplan los criterios de elegibilidad solicitados por el programa, como una estrategia de ubicar mercados diferenciados para los productos provenientes de estas zonas.</v>
      </c>
      <c r="H206" s="948" t="s">
        <v>1857</v>
      </c>
      <c r="I206" s="946" t="s">
        <v>193</v>
      </c>
      <c r="J206" s="946" t="s">
        <v>2592</v>
      </c>
      <c r="K206" s="946" t="s">
        <v>2329</v>
      </c>
      <c r="L206" s="946" t="s">
        <v>197</v>
      </c>
      <c r="M206" s="418" t="s">
        <v>1876</v>
      </c>
      <c r="N206" s="948" t="s">
        <v>1862</v>
      </c>
      <c r="O206" s="948" t="s">
        <v>221</v>
      </c>
      <c r="P206" s="951" t="s">
        <v>1891</v>
      </c>
      <c r="Q206" s="948" t="str">
        <f>+'7. Intervenciones UDT- BH'!F165</f>
        <v>Organizaciones que acceden a la marca</v>
      </c>
      <c r="R206" s="405">
        <f>+'7. Intervenciones UDT- BH'!I165</f>
        <v>0</v>
      </c>
      <c r="S206" s="405">
        <f>+'7. Intervenciones UDT- BH'!J165</f>
        <v>10</v>
      </c>
      <c r="T206" s="405">
        <f>+'7. Intervenciones UDT- BH'!K165</f>
        <v>15</v>
      </c>
      <c r="U206" s="405">
        <f>+'7. Intervenciones UDT- BH'!L165</f>
        <v>3000</v>
      </c>
      <c r="V206" s="403" t="str">
        <f>+'7. Intervenciones UDT- BH'!M165</f>
        <v>El costo incluye: Una inspección anual anunciada,  elaboración de informe de inspección, administración y comunicación, certificación según los estándares de la marca.</v>
      </c>
      <c r="W206" s="403" t="str">
        <f>+'7. Intervenciones UDT- BH'!N165</f>
        <v>GRDE</v>
      </c>
      <c r="X206" s="588">
        <f>+'7. Intervenciones UDT- BH'!O165</f>
        <v>150000</v>
      </c>
      <c r="Y206" s="588">
        <f>+Tabla1[[#This Row],[2025 Directo]]*(1+$Y$3)</f>
        <v>151575</v>
      </c>
      <c r="Z206" s="588">
        <f>+'7. Intervenciones UDT- BH'!P165</f>
        <v>225000</v>
      </c>
      <c r="AA206" s="588">
        <f>+Tabla1[[#This Row],[2030 Directo]]*(1+$Y$3)</f>
        <v>227362.5</v>
      </c>
      <c r="AB206" s="588">
        <f>+'7. Intervenciones UDT- BH'!Q165</f>
        <v>30000</v>
      </c>
      <c r="AC206" s="588">
        <f>+Tabla1[[#This Row],[Año 1 Cto Directo]]*(1+$Y$3)</f>
        <v>30315</v>
      </c>
      <c r="AD206" s="588">
        <f>+'7. Intervenciones UDT- BH'!R165</f>
        <v>30000</v>
      </c>
      <c r="AE206" s="588">
        <f>+Tabla1[[#This Row],[Año 2 Cto. Directo]]*(1+$Y$3)</f>
        <v>30315</v>
      </c>
      <c r="AF206" s="588">
        <f>+'7. Intervenciones UDT- BH'!S165</f>
        <v>30000</v>
      </c>
      <c r="AG206" s="588">
        <f>+Tabla1[[#This Row],[Año 3 Cto. Directo]]*(1+$Y$3)</f>
        <v>30315</v>
      </c>
      <c r="AH206" s="588">
        <f>+'7. Intervenciones UDT- BH'!T165</f>
        <v>30000</v>
      </c>
      <c r="AI206" s="588">
        <f>+Tabla1[[#This Row],[Año 4 Cto. Directo]]*(1+$Y$3)</f>
        <v>30315</v>
      </c>
      <c r="AJ206" s="588">
        <f>+'7. Intervenciones UDT- BH'!U165</f>
        <v>30000</v>
      </c>
      <c r="AK206" s="588">
        <f>+Tabla1[[#This Row],[Año 5 Cto. Directo]]*(1+$Y$3)</f>
        <v>30315</v>
      </c>
      <c r="AL206" s="403">
        <f>+'7. Intervenciones UDT- BH'!V165</f>
        <v>0</v>
      </c>
      <c r="AM206" s="954"/>
      <c r="AN206" s="954"/>
      <c r="AO206" s="954" t="str">
        <f>+'7. Intervenciones UDT- BH'!Y165</f>
        <v>X</v>
      </c>
      <c r="AP206" s="954"/>
      <c r="AQ206" s="954"/>
      <c r="AR206" s="954">
        <f>+'7. Intervenciones UDT- BH'!AB165</f>
        <v>3</v>
      </c>
      <c r="AS206" s="403">
        <f t="shared" si="1"/>
        <v>1</v>
      </c>
    </row>
    <row r="207" spans="1:45" s="195" customFormat="1" ht="15.8" hidden="1" customHeight="1" x14ac:dyDescent="0.3">
      <c r="A207" s="403"/>
      <c r="B207" s="403" t="str">
        <f>'5. Intervenciones UDT - AH'!$C$8</f>
        <v xml:space="preserve">UDT ALTO HUALLAGA </v>
      </c>
      <c r="C207" s="403" t="str">
        <f>'5. Intervenciones UDT - AH'!$F$10</f>
        <v>Predios de agricultura familiar con producción destinada al autoconsumo y productos de exportación, con título o sin título de propiedad.</v>
      </c>
      <c r="D207" s="404" t="str">
        <f>+'5. Intervenciones UDT - AH'!A18</f>
        <v>Invasiones</v>
      </c>
      <c r="E207" s="404" t="str">
        <f>+'5. Intervenciones UDT - AH'!C18</f>
        <v>3.1.1</v>
      </c>
      <c r="F207" s="403" t="str">
        <f>+'5. Intervenciones UDT - AH'!D18</f>
        <v>Otorgamiento de derechos sobre la tierra/bosques</v>
      </c>
      <c r="G207" s="403" t="str">
        <f>+'5. Intervenciones UDT - AH'!E18</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207" s="948" t="s">
        <v>1857</v>
      </c>
      <c r="I207" s="946" t="s">
        <v>199</v>
      </c>
      <c r="J207" s="946" t="s">
        <v>2591</v>
      </c>
      <c r="K207" s="946" t="s">
        <v>2331</v>
      </c>
      <c r="L207" s="946" t="s">
        <v>202</v>
      </c>
      <c r="M207" s="418" t="s">
        <v>1858</v>
      </c>
      <c r="N207" s="948" t="s">
        <v>1859</v>
      </c>
      <c r="O207" s="948" t="s">
        <v>223</v>
      </c>
      <c r="P207" s="951" t="s">
        <v>1860</v>
      </c>
      <c r="Q207" s="948" t="str">
        <f>+'5. Intervenciones UDT - AH'!F18</f>
        <v>N° Títulos/Contratos otorgados</v>
      </c>
      <c r="R207" s="405">
        <f>+'5. Intervenciones UDT - AH'!I18</f>
        <v>6973.3958940467001</v>
      </c>
      <c r="S207" s="405">
        <f>+'5. Intervenciones UDT - AH'!J18</f>
        <v>3486.69794702335</v>
      </c>
      <c r="T207" s="405">
        <f>+'5. Intervenciones UDT - AH'!K18</f>
        <v>3486.69794702335</v>
      </c>
      <c r="U207" s="405">
        <f>+'5. Intervenciones UDT - AH'!L18</f>
        <v>2000</v>
      </c>
      <c r="V207" s="403" t="str">
        <f>+'5. Intervenciones UDT - AH'!M18</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207" s="403" t="str">
        <f>+'5. Intervenciones UDT - AH'!N18</f>
        <v>Programa de titulación PTR 3 / ARA</v>
      </c>
      <c r="X207" s="588">
        <f>+'5. Intervenciones UDT - AH'!O18</f>
        <v>6973395.8940466996</v>
      </c>
      <c r="Y207" s="588">
        <f>+Tabla1[[#This Row],[2025 Directo]]*(1+$Y$3)</f>
        <v>7046616.5509341899</v>
      </c>
      <c r="Z207" s="588">
        <f>+'5. Intervenciones UDT - AH'!P18</f>
        <v>6973395.8940466996</v>
      </c>
      <c r="AA207" s="588">
        <f>+Tabla1[[#This Row],[2030 Directo]]*(1+$Y$3)</f>
        <v>7046616.5509341899</v>
      </c>
      <c r="AB207" s="588">
        <f>+'5. Intervenciones UDT - AH'!Q18</f>
        <v>697339.58940467006</v>
      </c>
      <c r="AC207" s="588">
        <f>+Tabla1[[#This Row],[Año 1 Cto Directo]]*(1+$Y$3)</f>
        <v>704661.65509341902</v>
      </c>
      <c r="AD207" s="588">
        <f>+'5. Intervenciones UDT - AH'!R18</f>
        <v>1046009.3841070049</v>
      </c>
      <c r="AE207" s="588">
        <f>+Tabla1[[#This Row],[Año 2 Cto. Directo]]*(1+$Y$3)</f>
        <v>1056992.4826401283</v>
      </c>
      <c r="AF207" s="588">
        <f>+'5. Intervenciones UDT - AH'!S18</f>
        <v>1394679.1788093401</v>
      </c>
      <c r="AG207" s="588">
        <f>+Tabla1[[#This Row],[Año 3 Cto. Directo]]*(1+$Y$3)</f>
        <v>1409323.310186838</v>
      </c>
      <c r="AH207" s="588">
        <f>+'5. Intervenciones UDT - AH'!T18</f>
        <v>2092018.7682140097</v>
      </c>
      <c r="AI207" s="588">
        <f>+Tabla1[[#This Row],[Año 4 Cto. Directo]]*(1+$Y$3)</f>
        <v>2113984.9652802567</v>
      </c>
      <c r="AJ207" s="588">
        <f>+'5. Intervenciones UDT - AH'!U18</f>
        <v>1743348.9735116749</v>
      </c>
      <c r="AK207" s="588">
        <f>+Tabla1[[#This Row],[Año 5 Cto. Directo]]*(1+$Y$3)</f>
        <v>1761654.1377335475</v>
      </c>
      <c r="AL207" s="403">
        <f>+'5. Intervenciones UDT - AH'!V18</f>
        <v>0</v>
      </c>
      <c r="AM207" s="954"/>
      <c r="AN207" s="954"/>
      <c r="AO207" s="954" t="str">
        <f>+'5. Intervenciones UDT - AH'!Y18</f>
        <v>X</v>
      </c>
      <c r="AP207" s="954"/>
      <c r="AQ207" s="954" t="str">
        <f>+'5. Intervenciones UDT - AH'!AA18</f>
        <v>RE</v>
      </c>
      <c r="AR207" s="954">
        <f>+'5. Intervenciones UDT - AH'!AB18</f>
        <v>3</v>
      </c>
      <c r="AS207" s="403">
        <f t="shared" ref="AS207" si="12">COUNTIF(AM207:AP207, "X")</f>
        <v>1</v>
      </c>
    </row>
    <row r="208" spans="1:45" s="195" customFormat="1" ht="15.8" hidden="1" customHeight="1" x14ac:dyDescent="0.3">
      <c r="A208" s="403"/>
      <c r="B208" s="403" t="str">
        <f>'5. Intervenciones UDT - AH'!$C$8</f>
        <v xml:space="preserve">UDT ALTO HUALLAGA </v>
      </c>
      <c r="C208" s="403" t="str">
        <f>'5. Intervenciones UDT - AH'!$F$10</f>
        <v>Predios de agricultura familiar con producción destinada al autoconsumo y productos de exportación, con título o sin título de propiedad.</v>
      </c>
      <c r="D208" s="404" t="str">
        <f>+'5. Intervenciones UDT - AH'!A19</f>
        <v>Programas de inversión pública</v>
      </c>
      <c r="E208" s="404" t="str">
        <f>+'5. Intervenciones UDT - AH'!C19</f>
        <v>3.1.2</v>
      </c>
      <c r="F208" s="403" t="str">
        <f>+'5. Intervenciones UDT - AH'!D19</f>
        <v>Asistencia técnica con enfoque bajo en emisiones</v>
      </c>
      <c r="G208" s="403" t="str">
        <f>+'5. Intervenciones UDT - AH'!E19</f>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v>
      </c>
      <c r="H208" s="948" t="s">
        <v>1857</v>
      </c>
      <c r="I208" s="946" t="s">
        <v>193</v>
      </c>
      <c r="J208" s="946" t="s">
        <v>2592</v>
      </c>
      <c r="K208" s="946" t="s">
        <v>2329</v>
      </c>
      <c r="L208" s="946" t="s">
        <v>194</v>
      </c>
      <c r="M208" s="418" t="s">
        <v>1861</v>
      </c>
      <c r="N208" s="948" t="s">
        <v>1862</v>
      </c>
      <c r="O208" s="948" t="s">
        <v>224</v>
      </c>
      <c r="P208" s="951" t="s">
        <v>1863</v>
      </c>
      <c r="Q208" s="948" t="str">
        <f>+'5. Intervenciones UDT - AH'!F19</f>
        <v>Productores asistidos</v>
      </c>
      <c r="R208" s="405">
        <f>+'5. Intervenciones UDT - AH'!I19</f>
        <v>29823</v>
      </c>
      <c r="S208" s="405">
        <f>+'5. Intervenciones UDT - AH'!J19</f>
        <v>17893.8</v>
      </c>
      <c r="T208" s="405">
        <f>+'5. Intervenciones UDT - AH'!K19</f>
        <v>11929.2</v>
      </c>
      <c r="U208" s="405">
        <f>+'5. Intervenciones UDT - AH'!L19</f>
        <v>560</v>
      </c>
      <c r="V208" s="403" t="str">
        <f>+'5. Intervenciones UDT - AH'!M19</f>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v>
      </c>
      <c r="W208" s="403" t="str">
        <f>+'5. Intervenciones UDT - AH'!N19</f>
        <v>DRASAM</v>
      </c>
      <c r="X208" s="588">
        <f>+'5. Intervenciones UDT - AH'!O19</f>
        <v>10020528</v>
      </c>
      <c r="Y208" s="588">
        <f>+Tabla1[[#This Row],[2025 Directo]]*(1+$Y$3)</f>
        <v>10125743.544</v>
      </c>
      <c r="Z208" s="588">
        <f>+'5. Intervenciones UDT - AH'!P19</f>
        <v>6680352</v>
      </c>
      <c r="AA208" s="588">
        <f>+Tabla1[[#This Row],[2030 Directo]]*(1+$Y$3)</f>
        <v>6750495.6959999995</v>
      </c>
      <c r="AB208" s="588">
        <f>+'5. Intervenciones UDT - AH'!Q19</f>
        <v>2004105.6</v>
      </c>
      <c r="AC208" s="588">
        <f>+Tabla1[[#This Row],[Año 1 Cto Directo]]*(1+$Y$3)</f>
        <v>2025148.7087999999</v>
      </c>
      <c r="AD208" s="588">
        <f>+'5. Intervenciones UDT - AH'!R19</f>
        <v>2004105.6</v>
      </c>
      <c r="AE208" s="588">
        <f>+Tabla1[[#This Row],[Año 2 Cto. Directo]]*(1+$Y$3)</f>
        <v>2025148.7087999999</v>
      </c>
      <c r="AF208" s="588">
        <f>+'5. Intervenciones UDT - AH'!S19</f>
        <v>2004105.6</v>
      </c>
      <c r="AG208" s="588">
        <f>+Tabla1[[#This Row],[Año 3 Cto. Directo]]*(1+$Y$3)</f>
        <v>2025148.7087999999</v>
      </c>
      <c r="AH208" s="588">
        <f>+'5. Intervenciones UDT - AH'!T19</f>
        <v>2004105.6</v>
      </c>
      <c r="AI208" s="588">
        <f>+Tabla1[[#This Row],[Año 4 Cto. Directo]]*(1+$Y$3)</f>
        <v>2025148.7087999999</v>
      </c>
      <c r="AJ208" s="588">
        <f>+'5. Intervenciones UDT - AH'!U19</f>
        <v>2004105.6</v>
      </c>
      <c r="AK208" s="588">
        <f>+Tabla1[[#This Row],[Año 5 Cto. Directo]]*(1+$Y$3)</f>
        <v>2025148.7087999999</v>
      </c>
      <c r="AL208" s="403">
        <f>+'5. Intervenciones UDT - AH'!V19</f>
        <v>0</v>
      </c>
      <c r="AM208" s="954"/>
      <c r="AN208" s="954"/>
      <c r="AO208" s="954" t="str">
        <f>+'5. Intervenciones UDT - AH'!Y19</f>
        <v>X</v>
      </c>
      <c r="AP208" s="954"/>
      <c r="AQ208" s="954" t="str">
        <f>+'5. Intervenciones UDT - AH'!AA19</f>
        <v>RE</v>
      </c>
      <c r="AR208" s="954">
        <f>+'5. Intervenciones UDT - AH'!AB19</f>
        <v>3</v>
      </c>
      <c r="AS208" s="403">
        <f t="shared" si="1"/>
        <v>1</v>
      </c>
    </row>
    <row r="209" spans="1:45" s="195" customFormat="1" ht="15.8" hidden="1" customHeight="1" x14ac:dyDescent="0.3">
      <c r="A209" s="403"/>
      <c r="B209" s="403" t="str">
        <f>'5. Intervenciones UDT - AH'!$C$8</f>
        <v xml:space="preserve">UDT ALTO HUALLAGA </v>
      </c>
      <c r="C209" s="403" t="str">
        <f>'5. Intervenciones UDT - AH'!$F$10</f>
        <v>Predios de agricultura familiar con producción destinada al autoconsumo y productos de exportación, con título o sin título de propiedad.</v>
      </c>
      <c r="D209" s="404" t="str">
        <f>+'5. Intervenciones UDT - AH'!A20</f>
        <v>Programas de inversión pública</v>
      </c>
      <c r="E209" s="404" t="str">
        <f>+'5. Intervenciones UDT - AH'!C20</f>
        <v>3.1.3</v>
      </c>
      <c r="F209" s="403" t="str">
        <f>+'5. Intervenciones UDT - AH'!D20</f>
        <v>Manejo, conservación y recuperación de suelos degradados</v>
      </c>
      <c r="G209" s="403" t="str">
        <f>+'5. Intervenciones UDT - AH'!E20</f>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v>
      </c>
      <c r="H209" s="948" t="s">
        <v>1864</v>
      </c>
      <c r="I209" s="946" t="s">
        <v>193</v>
      </c>
      <c r="J209" s="946" t="s">
        <v>2592</v>
      </c>
      <c r="K209" s="946" t="s">
        <v>2329</v>
      </c>
      <c r="L209" s="946" t="s">
        <v>194</v>
      </c>
      <c r="M209" s="418" t="s">
        <v>1861</v>
      </c>
      <c r="N209" s="948" t="s">
        <v>1862</v>
      </c>
      <c r="O209" s="948" t="s">
        <v>219</v>
      </c>
      <c r="P209" s="951" t="s">
        <v>1865</v>
      </c>
      <c r="Q209" s="952" t="str">
        <f>+'5. Intervenciones UDT - AH'!F20</f>
        <v>Hectáreas intervenidas</v>
      </c>
      <c r="R209" s="405">
        <f>+'5. Intervenciones UDT - AH'!I20</f>
        <v>70028</v>
      </c>
      <c r="S209" s="405">
        <f>+'5. Intervenciones UDT - AH'!J20</f>
        <v>21008.399999999998</v>
      </c>
      <c r="T209" s="405">
        <f>+'5. Intervenciones UDT - AH'!K20</f>
        <v>21008.399999999998</v>
      </c>
      <c r="U209" s="405">
        <f>+'5. Intervenciones UDT - AH'!L20</f>
        <v>500</v>
      </c>
      <c r="V209" s="403" t="str">
        <f>+'5. Intervenciones UDT - AH'!M20</f>
        <v>El costo incluye adquisición de semillas, insumos, fertilizantes, entre otras para la producción de plantas agroforestales o coberturas  verdes.</v>
      </c>
      <c r="W209" s="403" t="str">
        <f>+'5. Intervenciones UDT - AH'!N20</f>
        <v>DRASAM</v>
      </c>
      <c r="X209" s="588">
        <f>+'5. Intervenciones UDT - AH'!O20</f>
        <v>10504199.999999998</v>
      </c>
      <c r="Y209" s="588">
        <f>+Tabla1[[#This Row],[2025 Directo]]*(1+$Y$3)</f>
        <v>10614494.099999998</v>
      </c>
      <c r="Z209" s="588">
        <f>+'5. Intervenciones UDT - AH'!P20</f>
        <v>10504199.999999998</v>
      </c>
      <c r="AA209" s="588">
        <f>+Tabla1[[#This Row],[2030 Directo]]*(1+$Y$3)</f>
        <v>10614494.099999998</v>
      </c>
      <c r="AB209" s="588">
        <f>+'5. Intervenciones UDT - AH'!Q20</f>
        <v>2100839.9999999995</v>
      </c>
      <c r="AC209" s="588">
        <f>+Tabla1[[#This Row],[Año 1 Cto Directo]]*(1+$Y$3)</f>
        <v>2122898.8199999994</v>
      </c>
      <c r="AD209" s="588">
        <f>+'5. Intervenciones UDT - AH'!R20</f>
        <v>2100839.9999999995</v>
      </c>
      <c r="AE209" s="588">
        <f>+Tabla1[[#This Row],[Año 2 Cto. Directo]]*(1+$Y$3)</f>
        <v>2122898.8199999994</v>
      </c>
      <c r="AF209" s="588">
        <f>+'5. Intervenciones UDT - AH'!S20</f>
        <v>2100839.9999999995</v>
      </c>
      <c r="AG209" s="588">
        <f>+Tabla1[[#This Row],[Año 3 Cto. Directo]]*(1+$Y$3)</f>
        <v>2122898.8199999994</v>
      </c>
      <c r="AH209" s="588">
        <f>+'5. Intervenciones UDT - AH'!T20</f>
        <v>2100839.9999999995</v>
      </c>
      <c r="AI209" s="588">
        <f>+Tabla1[[#This Row],[Año 4 Cto. Directo]]*(1+$Y$3)</f>
        <v>2122898.8199999994</v>
      </c>
      <c r="AJ209" s="588">
        <f>+'5. Intervenciones UDT - AH'!U20</f>
        <v>2100839.9999999995</v>
      </c>
      <c r="AK209" s="588">
        <f>+Tabla1[[#This Row],[Año 5 Cto. Directo]]*(1+$Y$3)</f>
        <v>2122898.8199999994</v>
      </c>
      <c r="AL209" s="403">
        <f>+'5. Intervenciones UDT - AH'!V20</f>
        <v>0</v>
      </c>
      <c r="AM209" s="954"/>
      <c r="AN209" s="954"/>
      <c r="AO209" s="954" t="str">
        <f>+'5. Intervenciones UDT - AH'!Y20</f>
        <v>X</v>
      </c>
      <c r="AP209" s="954"/>
      <c r="AQ209" s="954"/>
      <c r="AR209" s="954">
        <f>+'5. Intervenciones UDT - AH'!AB20</f>
        <v>3</v>
      </c>
      <c r="AS209" s="403">
        <f t="shared" si="1"/>
        <v>1</v>
      </c>
    </row>
    <row r="210" spans="1:45" s="195" customFormat="1" ht="15.8" hidden="1" customHeight="1" x14ac:dyDescent="0.3">
      <c r="A210" s="403"/>
      <c r="B210" s="403" t="str">
        <f>'5. Intervenciones UDT - AH'!$C$8</f>
        <v xml:space="preserve">UDT ALTO HUALLAGA </v>
      </c>
      <c r="C210" s="403" t="str">
        <f>'5. Intervenciones UDT - AH'!$F$10</f>
        <v>Predios de agricultura familiar con producción destinada al autoconsumo y productos de exportación, con título o sin título de propiedad.</v>
      </c>
      <c r="D210" s="404" t="str">
        <f>+'5. Intervenciones UDT - AH'!A21</f>
        <v>Programas de inversión pública</v>
      </c>
      <c r="E210" s="404" t="str">
        <f>+'5. Intervenciones UDT - AH'!C21</f>
        <v>3.1.4</v>
      </c>
      <c r="F210" s="403" t="str">
        <f>+'5. Intervenciones UDT - AH'!D21</f>
        <v>Fertilización de áreas productivas de acuerdo a la etapa fenológica del cultivo</v>
      </c>
      <c r="G210" s="403" t="str">
        <f>+'5. Intervenciones UDT - AH'!E21</f>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v>
      </c>
      <c r="H210" s="948" t="s">
        <v>1864</v>
      </c>
      <c r="I210" s="946" t="s">
        <v>193</v>
      </c>
      <c r="J210" s="946" t="s">
        <v>2592</v>
      </c>
      <c r="K210" s="946" t="s">
        <v>2329</v>
      </c>
      <c r="L210" s="946" t="s">
        <v>194</v>
      </c>
      <c r="M210" s="418" t="s">
        <v>1861</v>
      </c>
      <c r="N210" s="948" t="s">
        <v>1862</v>
      </c>
      <c r="O210" s="948" t="s">
        <v>219</v>
      </c>
      <c r="P210" s="951" t="s">
        <v>1865</v>
      </c>
      <c r="Q210" s="948" t="str">
        <f>+'5. Intervenciones UDT - AH'!F21</f>
        <v>hectáreas fertilizadas</v>
      </c>
      <c r="R210" s="405">
        <f>+'5. Intervenciones UDT - AH'!I21</f>
        <v>70028</v>
      </c>
      <c r="S210" s="405">
        <f>+'5. Intervenciones UDT - AH'!J21</f>
        <v>14005.6</v>
      </c>
      <c r="T210" s="405">
        <f>+'5. Intervenciones UDT - AH'!K21</f>
        <v>21008.399999999998</v>
      </c>
      <c r="U210" s="405">
        <f>+'5. Intervenciones UDT - AH'!L21</f>
        <v>2500</v>
      </c>
      <c r="V210" s="403" t="str">
        <f>+'5. Intervenciones UDT - AH'!M21</f>
        <v>El costo incluye un análisis de suelos, paquete de fertilización según los resultados del análisis y la adquisición de fertilizantes. El costo incluye los tres abonamientos requeridos en una campaña (1 año).</v>
      </c>
      <c r="W210" s="403" t="str">
        <f>+'5. Intervenciones UDT - AH'!N21</f>
        <v>Drasam</v>
      </c>
      <c r="X210" s="588">
        <f>+'5. Intervenciones UDT - AH'!O21</f>
        <v>35014000</v>
      </c>
      <c r="Y210" s="588">
        <f>+Tabla1[[#This Row],[2025 Directo]]*(1+$Y$3)</f>
        <v>35381647</v>
      </c>
      <c r="Z210" s="588">
        <f>+'5. Intervenciones UDT - AH'!P21</f>
        <v>52520999.999999993</v>
      </c>
      <c r="AA210" s="588">
        <f>+Tabla1[[#This Row],[2030 Directo]]*(1+$Y$3)</f>
        <v>53072470.499999993</v>
      </c>
      <c r="AB210" s="588">
        <f>+'5. Intervenciones UDT - AH'!Q21</f>
        <v>7002800</v>
      </c>
      <c r="AC210" s="588">
        <f>+Tabla1[[#This Row],[Año 1 Cto Directo]]*(1+$Y$3)</f>
        <v>7076329.3999999994</v>
      </c>
      <c r="AD210" s="588">
        <f>+'5. Intervenciones UDT - AH'!R21</f>
        <v>7002800</v>
      </c>
      <c r="AE210" s="588">
        <f>+Tabla1[[#This Row],[Año 2 Cto. Directo]]*(1+$Y$3)</f>
        <v>7076329.3999999994</v>
      </c>
      <c r="AF210" s="588">
        <f>+'5. Intervenciones UDT - AH'!S21</f>
        <v>7002800</v>
      </c>
      <c r="AG210" s="588">
        <f>+Tabla1[[#This Row],[Año 3 Cto. Directo]]*(1+$Y$3)</f>
        <v>7076329.3999999994</v>
      </c>
      <c r="AH210" s="588">
        <f>+'5. Intervenciones UDT - AH'!T21</f>
        <v>7002800</v>
      </c>
      <c r="AI210" s="588">
        <f>+Tabla1[[#This Row],[Año 4 Cto. Directo]]*(1+$Y$3)</f>
        <v>7076329.3999999994</v>
      </c>
      <c r="AJ210" s="588">
        <f>+'5. Intervenciones UDT - AH'!U21</f>
        <v>7002800</v>
      </c>
      <c r="AK210" s="588">
        <f>+Tabla1[[#This Row],[Año 5 Cto. Directo]]*(1+$Y$3)</f>
        <v>7076329.3999999994</v>
      </c>
      <c r="AL210" s="403">
        <f>+'5. Intervenciones UDT - AH'!V21</f>
        <v>0</v>
      </c>
      <c r="AM210" s="954"/>
      <c r="AN210" s="954"/>
      <c r="AO210" s="954" t="str">
        <f>+'5. Intervenciones UDT - AH'!Y21</f>
        <v>X</v>
      </c>
      <c r="AP210" s="954"/>
      <c r="AQ210" s="954" t="str">
        <f>+'5. Intervenciones UDT - AH'!AA21</f>
        <v>RE</v>
      </c>
      <c r="AR210" s="954">
        <f>+'5. Intervenciones UDT - AH'!AB21</f>
        <v>3</v>
      </c>
      <c r="AS210" s="403">
        <f t="shared" si="1"/>
        <v>1</v>
      </c>
    </row>
    <row r="211" spans="1:45" s="195" customFormat="1" ht="15.8" hidden="1" customHeight="1" x14ac:dyDescent="0.3">
      <c r="A211" s="403"/>
      <c r="B211" s="403" t="str">
        <f>'5. Intervenciones UDT - AH'!$C$8</f>
        <v xml:space="preserve">UDT ALTO HUALLAGA </v>
      </c>
      <c r="C211" s="403" t="str">
        <f>'5. Intervenciones UDT - AH'!$F$10</f>
        <v>Predios de agricultura familiar con producción destinada al autoconsumo y productos de exportación, con título o sin título de propiedad.</v>
      </c>
      <c r="D211" s="404" t="str">
        <f>+'5. Intervenciones UDT - AH'!A22</f>
        <v>Programas de inversión privada</v>
      </c>
      <c r="E211" s="404" t="str">
        <f>+'5. Intervenciones UDT - AH'!C22</f>
        <v>3.1.5</v>
      </c>
      <c r="F211" s="403" t="str">
        <f>+'5. Intervenciones UDT - AH'!D22</f>
        <v>Instalación de sistemas de fertirriego</v>
      </c>
      <c r="G211" s="403" t="str">
        <f>+'5. Intervenciones UDT - AH'!E22</f>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v>
      </c>
      <c r="H211" s="948" t="s">
        <v>1864</v>
      </c>
      <c r="I211" s="946" t="s">
        <v>193</v>
      </c>
      <c r="J211" s="946" t="s">
        <v>2592</v>
      </c>
      <c r="K211" s="946" t="s">
        <v>2329</v>
      </c>
      <c r="L211" s="946" t="s">
        <v>196</v>
      </c>
      <c r="M211" s="418" t="s">
        <v>1866</v>
      </c>
      <c r="N211" s="948" t="s">
        <v>1862</v>
      </c>
      <c r="O211" s="948" t="s">
        <v>219</v>
      </c>
      <c r="P211" s="951" t="s">
        <v>1865</v>
      </c>
      <c r="Q211" s="948" t="str">
        <f>+'5. Intervenciones UDT - AH'!F22</f>
        <v>Hectáreas con sistemas de riego</v>
      </c>
      <c r="R211" s="405">
        <f>+'5. Intervenciones UDT - AH'!I22</f>
        <v>70028</v>
      </c>
      <c r="S211" s="405">
        <f>+'5. Intervenciones UDT - AH'!J22</f>
        <v>3501.4</v>
      </c>
      <c r="T211" s="405">
        <f>+'5. Intervenciones UDT - AH'!K22</f>
        <v>4201.68</v>
      </c>
      <c r="U211" s="405">
        <f>+'5. Intervenciones UDT - AH'!L22</f>
        <v>11500</v>
      </c>
      <c r="V211" s="403" t="str">
        <f>+'5. Intervenciones UDT - AH'!M22</f>
        <v>El costo incluye la instalación de un sistema completo y un paquete de fertilización para la primera campaña. El costo va depender del tipo de cultivo, tipo de sistema y el tipo de materiales a usar en los sistemas de fertirriego.</v>
      </c>
      <c r="W211" s="403" t="str">
        <f>+'5. Intervenciones UDT - AH'!N22</f>
        <v>DRASAM</v>
      </c>
      <c r="X211" s="588">
        <f>+'5. Intervenciones UDT - AH'!O22</f>
        <v>40266100</v>
      </c>
      <c r="Y211" s="588">
        <f>+Tabla1[[#This Row],[2025 Directo]]*(1+$Y$3)</f>
        <v>40688894.049999997</v>
      </c>
      <c r="Z211" s="588">
        <f>+'5. Intervenciones UDT - AH'!P22</f>
        <v>48319320</v>
      </c>
      <c r="AA211" s="588">
        <f>+Tabla1[[#This Row],[2030 Directo]]*(1+$Y$3)</f>
        <v>48826672.859999999</v>
      </c>
      <c r="AB211" s="588">
        <f>+'5. Intervenciones UDT - AH'!Q22</f>
        <v>8053220</v>
      </c>
      <c r="AC211" s="588">
        <f>+Tabla1[[#This Row],[Año 1 Cto Directo]]*(1+$Y$3)</f>
        <v>8137778.8099999996</v>
      </c>
      <c r="AD211" s="588">
        <f>+'5. Intervenciones UDT - AH'!R22</f>
        <v>8053220</v>
      </c>
      <c r="AE211" s="588">
        <f>+Tabla1[[#This Row],[Año 2 Cto. Directo]]*(1+$Y$3)</f>
        <v>8137778.8099999996</v>
      </c>
      <c r="AF211" s="588">
        <f>+'5. Intervenciones UDT - AH'!S22</f>
        <v>8053220</v>
      </c>
      <c r="AG211" s="588">
        <f>+Tabla1[[#This Row],[Año 3 Cto. Directo]]*(1+$Y$3)</f>
        <v>8137778.8099999996</v>
      </c>
      <c r="AH211" s="588">
        <f>+'5. Intervenciones UDT - AH'!T22</f>
        <v>8053220</v>
      </c>
      <c r="AI211" s="588">
        <f>+Tabla1[[#This Row],[Año 4 Cto. Directo]]*(1+$Y$3)</f>
        <v>8137778.8099999996</v>
      </c>
      <c r="AJ211" s="588">
        <f>+'5. Intervenciones UDT - AH'!U22</f>
        <v>8053220</v>
      </c>
      <c r="AK211" s="588">
        <f>+Tabla1[[#This Row],[Año 5 Cto. Directo]]*(1+$Y$3)</f>
        <v>8137778.8099999996</v>
      </c>
      <c r="AL211" s="403">
        <f>+'5. Intervenciones UDT - AH'!V22</f>
        <v>0</v>
      </c>
      <c r="AM211" s="954"/>
      <c r="AN211" s="954"/>
      <c r="AO211" s="954" t="str">
        <f>+'5. Intervenciones UDT - AH'!Y22</f>
        <v>X</v>
      </c>
      <c r="AP211" s="954"/>
      <c r="AQ211" s="954" t="str">
        <f>+'5. Intervenciones UDT - AH'!AA22</f>
        <v>RE</v>
      </c>
      <c r="AR211" s="954">
        <f>+'5. Intervenciones UDT - AH'!AB22</f>
        <v>3</v>
      </c>
      <c r="AS211" s="403">
        <f t="shared" si="1"/>
        <v>1</v>
      </c>
    </row>
    <row r="212" spans="1:45" s="195" customFormat="1" ht="15.8" hidden="1" customHeight="1" x14ac:dyDescent="0.3">
      <c r="A212" s="403"/>
      <c r="B212" s="403" t="str">
        <f>'5. Intervenciones UDT - AH'!$C$8</f>
        <v xml:space="preserve">UDT ALTO HUALLAGA </v>
      </c>
      <c r="C212" s="403" t="str">
        <f>'5. Intervenciones UDT - AH'!$F$10</f>
        <v>Predios de agricultura familiar con producción destinada al autoconsumo y productos de exportación, con título o sin título de propiedad.</v>
      </c>
      <c r="D212" s="404" t="str">
        <f>+'5. Intervenciones UDT - AH'!A23</f>
        <v>Programas de inversión privada</v>
      </c>
      <c r="E212" s="404" t="str">
        <f>+'5. Intervenciones UDT - AH'!C23</f>
        <v>3.1.6</v>
      </c>
      <c r="F212" s="403" t="str">
        <f>+'5. Intervenciones UDT - AH'!D23</f>
        <v xml:space="preserve">Reconversión y diversificación productiva </v>
      </c>
      <c r="G212" s="403" t="str">
        <f>+'5. Intervenciones UDT - AH'!E23</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H212" s="948" t="s">
        <v>1867</v>
      </c>
      <c r="I212" s="946" t="s">
        <v>193</v>
      </c>
      <c r="J212" s="946" t="s">
        <v>2592</v>
      </c>
      <c r="K212" s="946" t="s">
        <v>2329</v>
      </c>
      <c r="L212" s="946" t="s">
        <v>196</v>
      </c>
      <c r="M212" s="418" t="s">
        <v>1866</v>
      </c>
      <c r="N212" s="948" t="s">
        <v>1862</v>
      </c>
      <c r="O212" s="948" t="s">
        <v>222</v>
      </c>
      <c r="P212" s="951" t="s">
        <v>1868</v>
      </c>
      <c r="Q212" s="948" t="str">
        <f>+'5. Intervenciones UDT - AH'!F23</f>
        <v>Hectáreas reconvertidas</v>
      </c>
      <c r="R212" s="405">
        <f>+'5. Intervenciones UDT - AH'!I23</f>
        <v>14005.6</v>
      </c>
      <c r="S212" s="405">
        <f>+'5. Intervenciones UDT - AH'!J23</f>
        <v>1400.5600000000002</v>
      </c>
      <c r="T212" s="405">
        <f>+'5. Intervenciones UDT - AH'!K23</f>
        <v>1400.5600000000002</v>
      </c>
      <c r="U212" s="405">
        <f>+'5. Intervenciones UDT - AH'!L23</f>
        <v>15000</v>
      </c>
      <c r="V212" s="403" t="str">
        <f>+'5. Intervenciones UDT - AH'!M23</f>
        <v>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Así mismo el GRSM debe contar con un staff de profesionales para la identificación y acceso a dichos fondos.</v>
      </c>
      <c r="W212" s="403" t="str">
        <f>+'5. Intervenciones UDT - AH'!N23</f>
        <v>Drasam, Agroideas</v>
      </c>
      <c r="X212" s="588">
        <f>+'5. Intervenciones UDT - AH'!O23</f>
        <v>21008400.000000004</v>
      </c>
      <c r="Y212" s="588">
        <f>+Tabla1[[#This Row],[2025 Directo]]*(1+$Y$3)</f>
        <v>21228988.200000003</v>
      </c>
      <c r="Z212" s="588">
        <f>+'5. Intervenciones UDT - AH'!P23</f>
        <v>21008400.000000004</v>
      </c>
      <c r="AA212" s="588">
        <f>+Tabla1[[#This Row],[2030 Directo]]*(1+$Y$3)</f>
        <v>21228988.200000003</v>
      </c>
      <c r="AB212" s="588">
        <f>+'5. Intervenciones UDT - AH'!Q23</f>
        <v>4201680.0000000009</v>
      </c>
      <c r="AC212" s="588">
        <f>+Tabla1[[#This Row],[Año 1 Cto Directo]]*(1+$Y$3)</f>
        <v>4245797.6400000006</v>
      </c>
      <c r="AD212" s="588">
        <f>+'5. Intervenciones UDT - AH'!R23</f>
        <v>4201680.0000000009</v>
      </c>
      <c r="AE212" s="588">
        <f>+Tabla1[[#This Row],[Año 2 Cto. Directo]]*(1+$Y$3)</f>
        <v>4245797.6400000006</v>
      </c>
      <c r="AF212" s="588">
        <f>+'5. Intervenciones UDT - AH'!S23</f>
        <v>4201680.0000000009</v>
      </c>
      <c r="AG212" s="588">
        <f>+Tabla1[[#This Row],[Año 3 Cto. Directo]]*(1+$Y$3)</f>
        <v>4245797.6400000006</v>
      </c>
      <c r="AH212" s="588">
        <f>+'5. Intervenciones UDT - AH'!T23</f>
        <v>4201680.0000000009</v>
      </c>
      <c r="AI212" s="588">
        <f>+Tabla1[[#This Row],[Año 4 Cto. Directo]]*(1+$Y$3)</f>
        <v>4245797.6400000006</v>
      </c>
      <c r="AJ212" s="588">
        <f>+'5. Intervenciones UDT - AH'!U23</f>
        <v>4201680.0000000009</v>
      </c>
      <c r="AK212" s="588">
        <f>+Tabla1[[#This Row],[Año 5 Cto. Directo]]*(1+$Y$3)</f>
        <v>4245797.6400000006</v>
      </c>
      <c r="AL212" s="403">
        <f>+'5. Intervenciones UDT - AH'!V23</f>
        <v>0</v>
      </c>
      <c r="AM212" s="954" t="str">
        <f>+'5. Intervenciones UDT - AH'!W23</f>
        <v>X</v>
      </c>
      <c r="AN212" s="954"/>
      <c r="AO212" s="954"/>
      <c r="AP212" s="954"/>
      <c r="AQ212" s="954" t="str">
        <f>+'5. Intervenciones UDT - AH'!AA23</f>
        <v>RE</v>
      </c>
      <c r="AR212" s="954">
        <f>+'5. Intervenciones UDT - AH'!AB23</f>
        <v>2</v>
      </c>
      <c r="AS212" s="403">
        <f t="shared" si="1"/>
        <v>1</v>
      </c>
    </row>
    <row r="213" spans="1:45" s="195" customFormat="1" ht="15.8" hidden="1" customHeight="1" x14ac:dyDescent="0.3">
      <c r="A213" s="403"/>
      <c r="B213" s="403" t="str">
        <f>'5. Intervenciones UDT - AH'!$C$8</f>
        <v xml:space="preserve">UDT ALTO HUALLAGA </v>
      </c>
      <c r="C213" s="403" t="str">
        <f>'5. Intervenciones UDT - AH'!$F$10</f>
        <v>Predios de agricultura familiar con producción destinada al autoconsumo y productos de exportación, con título o sin título de propiedad.</v>
      </c>
      <c r="D213" s="404" t="str">
        <f>+'5. Intervenciones UDT - AH'!A24</f>
        <v>Programas de inversión pública</v>
      </c>
      <c r="E213" s="404" t="str">
        <f>+'5. Intervenciones UDT - AH'!C24</f>
        <v>3.1.7</v>
      </c>
      <c r="F213" s="403" t="str">
        <f>+'5. Intervenciones UDT - AH'!D24</f>
        <v>Promoción de agricultura familiar con enfoque de mercado</v>
      </c>
      <c r="G213" s="403" t="str">
        <f>+'5. Intervenciones UDT - AH'!E24</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H213" s="948" t="s">
        <v>1869</v>
      </c>
      <c r="I213" s="946" t="s">
        <v>193</v>
      </c>
      <c r="J213" s="946" t="s">
        <v>2592</v>
      </c>
      <c r="K213" s="946" t="s">
        <v>2329</v>
      </c>
      <c r="L213" s="946" t="s">
        <v>194</v>
      </c>
      <c r="M213" s="418" t="s">
        <v>1861</v>
      </c>
      <c r="N213" s="948" t="s">
        <v>1862</v>
      </c>
      <c r="O213" s="948" t="s">
        <v>220</v>
      </c>
      <c r="P213" s="951" t="s">
        <v>1870</v>
      </c>
      <c r="Q213" s="948" t="str">
        <f>+'5. Intervenciones UDT - AH'!F24</f>
        <v>Productores beneficiados</v>
      </c>
      <c r="R213" s="405">
        <f>+'5. Intervenciones UDT - AH'!I24</f>
        <v>29823</v>
      </c>
      <c r="S213" s="405">
        <f>+'5. Intervenciones UDT - AH'!J24</f>
        <v>2982.3</v>
      </c>
      <c r="T213" s="405">
        <f>+'5. Intervenciones UDT - AH'!K24</f>
        <v>5906.2000000000007</v>
      </c>
      <c r="U213" s="405">
        <f>+'5. Intervenciones UDT - AH'!L24</f>
        <v>12900</v>
      </c>
      <c r="V213" s="403" t="str">
        <f>+'5. Intervenciones UDT - AH'!M24</f>
        <v>El costo incluye  la adquisición de insumos, materiales y equipos necesarios para poner en marcha los módulos de biohuertos y crianzas de animales menores, la asistencia técnica de los emprendimientos, los servicios de capacitación en nutrición y la implementación y acondicionamiento de mercados rurales para facilitar la articulación de bienes producidos. El costo aproximado es de 3 UIT por beneficiario.</v>
      </c>
      <c r="W213" s="403" t="str">
        <f>+'5. Intervenciones UDT - AH'!N24</f>
        <v>Goresam</v>
      </c>
      <c r="X213" s="588">
        <f>+'5. Intervenciones UDT - AH'!O24</f>
        <v>38471670</v>
      </c>
      <c r="Y213" s="588">
        <f>+Tabla1[[#This Row],[2025 Directo]]*(1+$Y$3)</f>
        <v>38875622.534999996</v>
      </c>
      <c r="Z213" s="588">
        <f>+'5. Intervenciones UDT - AH'!P24</f>
        <v>76189980.000000015</v>
      </c>
      <c r="AA213" s="588">
        <f>+Tabla1[[#This Row],[2030 Directo]]*(1+$Y$3)</f>
        <v>76989974.790000007</v>
      </c>
      <c r="AB213" s="588">
        <f>+'5. Intervenciones UDT - AH'!Q24</f>
        <v>7694334</v>
      </c>
      <c r="AC213" s="588">
        <f>+Tabla1[[#This Row],[Año 1 Cto Directo]]*(1+$Y$3)</f>
        <v>7775124.5069999993</v>
      </c>
      <c r="AD213" s="588">
        <f>+'5. Intervenciones UDT - AH'!R24</f>
        <v>7694334</v>
      </c>
      <c r="AE213" s="588">
        <f>+Tabla1[[#This Row],[Año 2 Cto. Directo]]*(1+$Y$3)</f>
        <v>7775124.5069999993</v>
      </c>
      <c r="AF213" s="588">
        <f>+'5. Intervenciones UDT - AH'!S24</f>
        <v>7694334</v>
      </c>
      <c r="AG213" s="588">
        <f>+Tabla1[[#This Row],[Año 3 Cto. Directo]]*(1+$Y$3)</f>
        <v>7775124.5069999993</v>
      </c>
      <c r="AH213" s="588">
        <f>+'5. Intervenciones UDT - AH'!T24</f>
        <v>7694334</v>
      </c>
      <c r="AI213" s="588">
        <f>+Tabla1[[#This Row],[Año 4 Cto. Directo]]*(1+$Y$3)</f>
        <v>7775124.5069999993</v>
      </c>
      <c r="AJ213" s="588">
        <f>+'5. Intervenciones UDT - AH'!U24</f>
        <v>7694334</v>
      </c>
      <c r="AK213" s="588">
        <f>+Tabla1[[#This Row],[Año 5 Cto. Directo]]*(1+$Y$3)</f>
        <v>7775124.5069999993</v>
      </c>
      <c r="AL213" s="403">
        <f>+'5. Intervenciones UDT - AH'!V24</f>
        <v>0</v>
      </c>
      <c r="AM213" s="954"/>
      <c r="AN213" s="954"/>
      <c r="AO213" s="954" t="str">
        <f>+'5. Intervenciones UDT - AH'!Y24</f>
        <v>X</v>
      </c>
      <c r="AP213" s="954"/>
      <c r="AQ213" s="954" t="str">
        <f>+'5. Intervenciones UDT - AH'!AA24</f>
        <v>RE</v>
      </c>
      <c r="AR213" s="954">
        <f>+'5. Intervenciones UDT - AH'!AB24</f>
        <v>2</v>
      </c>
      <c r="AS213" s="403">
        <f t="shared" si="1"/>
        <v>1</v>
      </c>
    </row>
    <row r="214" spans="1:45" s="195" customFormat="1" ht="15.8" hidden="1" customHeight="1" x14ac:dyDescent="0.3">
      <c r="A214" s="403"/>
      <c r="B214" s="403" t="str">
        <f>'5. Intervenciones UDT - AH'!$C$8</f>
        <v xml:space="preserve">UDT ALTO HUALLAGA </v>
      </c>
      <c r="C214" s="403" t="str">
        <f>'5. Intervenciones UDT - AH'!$F$10</f>
        <v>Predios de agricultura familiar con producción destinada al autoconsumo y productos de exportación, con título o sin título de propiedad.</v>
      </c>
      <c r="D214" s="404" t="str">
        <f>+'5. Intervenciones UDT - AH'!A25</f>
        <v>Programas de inversión pública</v>
      </c>
      <c r="E214" s="404" t="str">
        <f>+'5. Intervenciones UDT - AH'!C25</f>
        <v>3.1.8</v>
      </c>
      <c r="F214" s="403" t="str">
        <f>+'5. Intervenciones UDT - AH'!D25</f>
        <v>Asistencia técnica para el desarrollo de la acuicultura</v>
      </c>
      <c r="G214" s="403" t="str">
        <f>+'5. Intervenciones UDT - AH'!E25</f>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v>
      </c>
      <c r="H214" s="948" t="s">
        <v>1857</v>
      </c>
      <c r="I214" s="946" t="s">
        <v>193</v>
      </c>
      <c r="J214" s="946" t="s">
        <v>2592</v>
      </c>
      <c r="K214" s="946" t="s">
        <v>2329</v>
      </c>
      <c r="L214" s="946" t="s">
        <v>196</v>
      </c>
      <c r="M214" s="418" t="s">
        <v>1866</v>
      </c>
      <c r="N214" s="948" t="s">
        <v>1862</v>
      </c>
      <c r="O214" s="948" t="s">
        <v>224</v>
      </c>
      <c r="P214" s="951" t="s">
        <v>1863</v>
      </c>
      <c r="Q214" s="948" t="str">
        <f>+'5. Intervenciones UDT - AH'!F25</f>
        <v>Acuicultores asistidos</v>
      </c>
      <c r="R214" s="405">
        <f>+'5. Intervenciones UDT - AH'!I25</f>
        <v>431</v>
      </c>
      <c r="S214" s="405">
        <f>+'5. Intervenciones UDT - AH'!J25</f>
        <v>431</v>
      </c>
      <c r="T214" s="405">
        <f>+'5. Intervenciones UDT - AH'!K25</f>
        <v>431</v>
      </c>
      <c r="U214" s="405">
        <f>+'5. Intervenciones UDT - AH'!L25</f>
        <v>560</v>
      </c>
      <c r="V214" s="403" t="str">
        <f>+'5. Intervenciones UDT - AH'!M25</f>
        <v>El costo es de S/ 560,00 por productor por año, el cual incluye de 6 a 7 asistencias técnica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sanitario, educación ambiental, monitoreo de la crianza, asociatividad y comercialización.</v>
      </c>
      <c r="W214" s="403" t="str">
        <f>+'5. Intervenciones UDT - AH'!N25</f>
        <v>Direpro</v>
      </c>
      <c r="X214" s="588">
        <f>+'5. Intervenciones UDT - AH'!O25</f>
        <v>241360</v>
      </c>
      <c r="Y214" s="588">
        <f>+Tabla1[[#This Row],[2025 Directo]]*(1+$Y$3)</f>
        <v>243894.28</v>
      </c>
      <c r="Z214" s="588">
        <f>+'5. Intervenciones UDT - AH'!P25</f>
        <v>241360</v>
      </c>
      <c r="AA214" s="588">
        <f>+Tabla1[[#This Row],[2030 Directo]]*(1+$Y$3)</f>
        <v>243894.28</v>
      </c>
      <c r="AB214" s="588">
        <f>+'5. Intervenciones UDT - AH'!Q25</f>
        <v>48272</v>
      </c>
      <c r="AC214" s="588">
        <f>+Tabla1[[#This Row],[Año 1 Cto Directo]]*(1+$Y$3)</f>
        <v>48778.856</v>
      </c>
      <c r="AD214" s="588">
        <f>+'5. Intervenciones UDT - AH'!R25</f>
        <v>48272</v>
      </c>
      <c r="AE214" s="588">
        <f>+Tabla1[[#This Row],[Año 2 Cto. Directo]]*(1+$Y$3)</f>
        <v>48778.856</v>
      </c>
      <c r="AF214" s="588">
        <f>+'5. Intervenciones UDT - AH'!S25</f>
        <v>48272</v>
      </c>
      <c r="AG214" s="588">
        <f>+Tabla1[[#This Row],[Año 3 Cto. Directo]]*(1+$Y$3)</f>
        <v>48778.856</v>
      </c>
      <c r="AH214" s="588">
        <f>+'5. Intervenciones UDT - AH'!T25</f>
        <v>48272</v>
      </c>
      <c r="AI214" s="588">
        <f>+Tabla1[[#This Row],[Año 4 Cto. Directo]]*(1+$Y$3)</f>
        <v>48778.856</v>
      </c>
      <c r="AJ214" s="588">
        <f>+'5. Intervenciones UDT - AH'!U25</f>
        <v>48272</v>
      </c>
      <c r="AK214" s="588">
        <f>+Tabla1[[#This Row],[Año 5 Cto. Directo]]*(1+$Y$3)</f>
        <v>48778.856</v>
      </c>
      <c r="AL214" s="403">
        <f>+'5. Intervenciones UDT - AH'!V25</f>
        <v>0</v>
      </c>
      <c r="AM214" s="954"/>
      <c r="AN214" s="954"/>
      <c r="AO214" s="954" t="str">
        <f>+'5. Intervenciones UDT - AH'!Y25</f>
        <v>X</v>
      </c>
      <c r="AP214" s="954"/>
      <c r="AQ214" s="954" t="str">
        <f>+'5. Intervenciones UDT - AH'!AA25</f>
        <v>RE</v>
      </c>
      <c r="AR214" s="954">
        <f>+'5. Intervenciones UDT - AH'!AB25</f>
        <v>2</v>
      </c>
      <c r="AS214" s="403">
        <f t="shared" si="1"/>
        <v>1</v>
      </c>
    </row>
    <row r="215" spans="1:45" s="195" customFormat="1" ht="15.8" hidden="1" customHeight="1" x14ac:dyDescent="0.3">
      <c r="A215" s="403"/>
      <c r="B215" s="403" t="str">
        <f>'5. Intervenciones UDT - AH'!$C$8</f>
        <v xml:space="preserve">UDT ALTO HUALLAGA </v>
      </c>
      <c r="C215" s="403" t="str">
        <f>'5. Intervenciones UDT - AH'!$F$10</f>
        <v>Predios de agricultura familiar con producción destinada al autoconsumo y productos de exportación, con título o sin título de propiedad.</v>
      </c>
      <c r="D215" s="404" t="str">
        <f>+'5. Intervenciones UDT - AH'!A26</f>
        <v>Ingresos y Capital</v>
      </c>
      <c r="E215" s="404" t="str">
        <f>+'5. Intervenciones UDT - AH'!C26</f>
        <v>3.1.9</v>
      </c>
      <c r="F215" s="403" t="str">
        <f>+'5. Intervenciones UDT - AH'!D26</f>
        <v xml:space="preserve">Incentivos financieros para la acuicultura </v>
      </c>
      <c r="G215" s="403" t="str">
        <f>+'5. Intervenciones UDT - AH'!E26</f>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H215" s="948" t="s">
        <v>1864</v>
      </c>
      <c r="I215" s="946" t="s">
        <v>193</v>
      </c>
      <c r="J215" s="946" t="s">
        <v>2593</v>
      </c>
      <c r="K215" s="946" t="s">
        <v>2330</v>
      </c>
      <c r="L215" s="946" t="s">
        <v>195</v>
      </c>
      <c r="M215" s="418" t="s">
        <v>1871</v>
      </c>
      <c r="N215" s="948" t="s">
        <v>1862</v>
      </c>
      <c r="O215" s="948" t="s">
        <v>218</v>
      </c>
      <c r="P215" s="951" t="s">
        <v>1872</v>
      </c>
      <c r="Q215" s="948" t="str">
        <f>+'5. Intervenciones UDT - AH'!F26</f>
        <v>Créditos otorgados</v>
      </c>
      <c r="R215" s="405">
        <f>+'5. Intervenciones UDT - AH'!I26</f>
        <v>0</v>
      </c>
      <c r="S215" s="405">
        <f>+'5. Intervenciones UDT - AH'!J26</f>
        <v>431</v>
      </c>
      <c r="T215" s="405">
        <f>+'5. Intervenciones UDT - AH'!K26</f>
        <v>431</v>
      </c>
      <c r="U215" s="405">
        <f>+'5. Intervenciones UDT - AH'!L26</f>
        <v>12900</v>
      </c>
      <c r="V215" s="403" t="str">
        <f>+'5. Intervenciones UDT - AH'!M26</f>
        <v xml:space="preserve">El costo incluye los gastos en mejoramiento de los unidades productivas, compra de alimentos, ampliación de frontera acuícola y otros (adaptación a otros sistemas). El crédito estaría valorizado en 3 UIT, que cubrirá los gastos necesarios, el financiamiento tiene que estar en función del periodo de producción de la especie que permita a  su vez  capitalización.
</v>
      </c>
      <c r="W215" s="403" t="str">
        <f>+'5. Intervenciones UDT - AH'!N26</f>
        <v>Direpro, OPIPs</v>
      </c>
      <c r="X215" s="588">
        <f>+'5. Intervenciones UDT - AH'!O26</f>
        <v>5559900</v>
      </c>
      <c r="Y215" s="588">
        <f>+Tabla1[[#This Row],[2025 Directo]]*(1+$Y$3)</f>
        <v>5618278.9500000002</v>
      </c>
      <c r="Z215" s="588">
        <f>+'5. Intervenciones UDT - AH'!P26</f>
        <v>5559900</v>
      </c>
      <c r="AA215" s="588">
        <f>+Tabla1[[#This Row],[2030 Directo]]*(1+$Y$3)</f>
        <v>5618278.9500000002</v>
      </c>
      <c r="AB215" s="588">
        <f>+'5. Intervenciones UDT - AH'!Q26</f>
        <v>1111980</v>
      </c>
      <c r="AC215" s="588">
        <f>+Tabla1[[#This Row],[Año 1 Cto Directo]]*(1+$Y$3)</f>
        <v>1123655.79</v>
      </c>
      <c r="AD215" s="588">
        <f>+'5. Intervenciones UDT - AH'!R26</f>
        <v>1111980</v>
      </c>
      <c r="AE215" s="588">
        <f>+Tabla1[[#This Row],[Año 2 Cto. Directo]]*(1+$Y$3)</f>
        <v>1123655.79</v>
      </c>
      <c r="AF215" s="588">
        <f>+'5. Intervenciones UDT - AH'!S26</f>
        <v>1111980</v>
      </c>
      <c r="AG215" s="588">
        <f>+Tabla1[[#This Row],[Año 3 Cto. Directo]]*(1+$Y$3)</f>
        <v>1123655.79</v>
      </c>
      <c r="AH215" s="588">
        <f>+'5. Intervenciones UDT - AH'!T26</f>
        <v>1111980</v>
      </c>
      <c r="AI215" s="588">
        <f>+Tabla1[[#This Row],[Año 4 Cto. Directo]]*(1+$Y$3)</f>
        <v>1123655.79</v>
      </c>
      <c r="AJ215" s="588">
        <f>+'5. Intervenciones UDT - AH'!U26</f>
        <v>1111980</v>
      </c>
      <c r="AK215" s="588">
        <f>+Tabla1[[#This Row],[Año 5 Cto. Directo]]*(1+$Y$3)</f>
        <v>1123655.79</v>
      </c>
      <c r="AL215" s="403">
        <f>+'5. Intervenciones UDT - AH'!V26</f>
        <v>0</v>
      </c>
      <c r="AM215" s="954" t="str">
        <f>+'5. Intervenciones UDT - AH'!W26</f>
        <v>X</v>
      </c>
      <c r="AN215" s="954"/>
      <c r="AO215" s="954"/>
      <c r="AP215" s="954"/>
      <c r="AQ215" s="954" t="str">
        <f>+'5. Intervenciones UDT - AH'!AA26</f>
        <v>RE</v>
      </c>
      <c r="AR215" s="954">
        <f>+'5. Intervenciones UDT - AH'!AB26</f>
        <v>2</v>
      </c>
      <c r="AS215" s="403">
        <f t="shared" si="1"/>
        <v>1</v>
      </c>
    </row>
    <row r="216" spans="1:45" s="195" customFormat="1" ht="15.8" hidden="1" customHeight="1" x14ac:dyDescent="0.3">
      <c r="A216" s="403"/>
      <c r="B216" s="403" t="str">
        <f>'5. Intervenciones UDT - AH'!$C$8</f>
        <v xml:space="preserve">UDT ALTO HUALLAGA </v>
      </c>
      <c r="C216" s="403" t="str">
        <f>'5. Intervenciones UDT - AH'!$F$10</f>
        <v>Predios de agricultura familiar con producción destinada al autoconsumo y productos de exportación, con título o sin título de propiedad.</v>
      </c>
      <c r="D216" s="404" t="str">
        <f>+'5. Intervenciones UDT - AH'!A27</f>
        <v>Ingresos y Capital</v>
      </c>
      <c r="E216" s="404" t="str">
        <f>+'5. Intervenciones UDT - AH'!C27</f>
        <v>3.1.10</v>
      </c>
      <c r="F216" s="403" t="str">
        <f>+'5. Intervenciones UDT - AH'!D27</f>
        <v>Programa de acceso al financiamiento agropecuario condicionado</v>
      </c>
      <c r="G216" s="403" t="str">
        <f>+'5. Intervenciones UDT - AH'!E27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H216" s="948" t="s">
        <v>1864</v>
      </c>
      <c r="I216" s="946" t="s">
        <v>193</v>
      </c>
      <c r="J216" s="946" t="s">
        <v>2593</v>
      </c>
      <c r="K216" s="946" t="s">
        <v>2330</v>
      </c>
      <c r="L216" s="946" t="s">
        <v>195</v>
      </c>
      <c r="M216" s="418" t="s">
        <v>1871</v>
      </c>
      <c r="N216" s="948" t="s">
        <v>1862</v>
      </c>
      <c r="O216" s="948" t="s">
        <v>218</v>
      </c>
      <c r="P216" s="951" t="s">
        <v>1872</v>
      </c>
      <c r="Q216" s="948" t="str">
        <f>+'5. Intervenciones UDT - AH'!F27</f>
        <v>Créditos otorgados</v>
      </c>
      <c r="R216" s="405">
        <f>+'5. Intervenciones UDT - AH'!I27</f>
        <v>29823</v>
      </c>
      <c r="S216" s="405">
        <f>+'5. Intervenciones UDT - AH'!J27</f>
        <v>8946.9</v>
      </c>
      <c r="T216" s="405">
        <f>+'5. Intervenciones UDT - AH'!K27</f>
        <v>5964.6</v>
      </c>
      <c r="U216" s="405">
        <f>+'5. Intervenciones UDT - AH'!L27</f>
        <v>10750</v>
      </c>
      <c r="V216" s="403" t="str">
        <f>+'5. Intervenciones UDT - AH'!M27</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216" s="403" t="str">
        <f>+'5. Intervenciones UDT - AH'!N27</f>
        <v>Drasam, Direpro, OPIPs</v>
      </c>
      <c r="X216" s="588">
        <f>+'5. Intervenciones UDT - AH'!O27</f>
        <v>96179175</v>
      </c>
      <c r="Y216" s="588">
        <f>+Tabla1[[#This Row],[2025 Directo]]*(1+$Y$3)</f>
        <v>97189056.337499991</v>
      </c>
      <c r="Z216" s="588">
        <f>+'5. Intervenciones UDT - AH'!P27</f>
        <v>64119450.000000007</v>
      </c>
      <c r="AA216" s="588">
        <f>+Tabla1[[#This Row],[2030 Directo]]*(1+$Y$3)</f>
        <v>64792704.225000001</v>
      </c>
      <c r="AB216" s="588">
        <f>+'5. Intervenciones UDT - AH'!Q27</f>
        <v>19235835</v>
      </c>
      <c r="AC216" s="588">
        <f>+Tabla1[[#This Row],[Año 1 Cto Directo]]*(1+$Y$3)</f>
        <v>19437811.267499998</v>
      </c>
      <c r="AD216" s="588">
        <f>+'5. Intervenciones UDT - AH'!R27</f>
        <v>19235835</v>
      </c>
      <c r="AE216" s="588">
        <f>+Tabla1[[#This Row],[Año 2 Cto. Directo]]*(1+$Y$3)</f>
        <v>19437811.267499998</v>
      </c>
      <c r="AF216" s="588">
        <f>+'5. Intervenciones UDT - AH'!S27</f>
        <v>19235835</v>
      </c>
      <c r="AG216" s="588">
        <f>+Tabla1[[#This Row],[Año 3 Cto. Directo]]*(1+$Y$3)</f>
        <v>19437811.267499998</v>
      </c>
      <c r="AH216" s="588">
        <f>+'5. Intervenciones UDT - AH'!T27</f>
        <v>19235835</v>
      </c>
      <c r="AI216" s="588">
        <f>+Tabla1[[#This Row],[Año 4 Cto. Directo]]*(1+$Y$3)</f>
        <v>19437811.267499998</v>
      </c>
      <c r="AJ216" s="588">
        <f>+'5. Intervenciones UDT - AH'!U27</f>
        <v>19235835</v>
      </c>
      <c r="AK216" s="588">
        <f>+Tabla1[[#This Row],[Año 5 Cto. Directo]]*(1+$Y$3)</f>
        <v>19437811.267499998</v>
      </c>
      <c r="AL216" s="403">
        <f>+'5. Intervenciones UDT - AH'!V27</f>
        <v>0</v>
      </c>
      <c r="AM216" s="954" t="str">
        <f>+'5. Intervenciones UDT - AH'!W27</f>
        <v>X</v>
      </c>
      <c r="AN216" s="954"/>
      <c r="AO216" s="954"/>
      <c r="AP216" s="954"/>
      <c r="AQ216" s="954" t="str">
        <f>+'5. Intervenciones UDT - AH'!AA27</f>
        <v>RE</v>
      </c>
      <c r="AR216" s="954">
        <f>+'5. Intervenciones UDT - AH'!AB27</f>
        <v>2</v>
      </c>
      <c r="AS216" s="403">
        <f t="shared" si="1"/>
        <v>1</v>
      </c>
    </row>
    <row r="217" spans="1:45" s="195" customFormat="1" ht="15.8" hidden="1" customHeight="1" x14ac:dyDescent="0.3">
      <c r="A217" s="403"/>
      <c r="B217" s="403" t="str">
        <f>'5. Intervenciones UDT - AH'!$C$8</f>
        <v xml:space="preserve">UDT ALTO HUALLAGA </v>
      </c>
      <c r="C217" s="403" t="str">
        <f>'5. Intervenciones UDT - AH'!$F$10</f>
        <v>Predios de agricultura familiar con producción destinada al autoconsumo y productos de exportación, con título o sin título de propiedad.</v>
      </c>
      <c r="D217" s="404" t="str">
        <f>+'5. Intervenciones UDT - AH'!A28</f>
        <v>Programas de inversión privada</v>
      </c>
      <c r="E217" s="404" t="str">
        <f>+'5. Intervenciones UDT - AH'!C28</f>
        <v>3.1.11</v>
      </c>
      <c r="F217" s="403" t="str">
        <f>+'5. Intervenciones UDT - AH'!D28</f>
        <v xml:space="preserve">Implementación de infraestructura productiva con énfasis a la agro exportación </v>
      </c>
      <c r="G217" s="403" t="str">
        <f>+'5. Intervenciones UDT - AH'!E28</f>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H217" s="948" t="s">
        <v>1864</v>
      </c>
      <c r="I217" s="946" t="s">
        <v>193</v>
      </c>
      <c r="J217" s="946" t="s">
        <v>2592</v>
      </c>
      <c r="K217" s="946" t="s">
        <v>2329</v>
      </c>
      <c r="L217" s="946" t="s">
        <v>196</v>
      </c>
      <c r="M217" s="418" t="s">
        <v>1866</v>
      </c>
      <c r="N217" s="948" t="s">
        <v>1862</v>
      </c>
      <c r="O217" s="948" t="s">
        <v>227</v>
      </c>
      <c r="P217" s="951" t="s">
        <v>1873</v>
      </c>
      <c r="Q217" s="948" t="str">
        <f>+'5. Intervenciones UDT - AH'!F28</f>
        <v>Planes de negocios/proyectos ejecutados</v>
      </c>
      <c r="R217" s="405">
        <f>+'5. Intervenciones UDT - AH'!I28</f>
        <v>0</v>
      </c>
      <c r="S217" s="405">
        <f>+'5. Intervenciones UDT - AH'!J28</f>
        <v>5.6000000000000005</v>
      </c>
      <c r="T217" s="405">
        <f>+'5. Intervenciones UDT - AH'!K28</f>
        <v>8.4</v>
      </c>
      <c r="U217" s="405">
        <f>+'5. Intervenciones UDT - AH'!L28</f>
        <v>800000</v>
      </c>
      <c r="V217" s="403" t="str">
        <f>+'5. Intervenciones UDT - AH'!M28</f>
        <v xml:space="preserve">El presupuesto referido esta orientado a financiar planes de negocios  que promuevan la adopción de tecnología innovadora y/o convencional en donde se priorice la adquisición de equipos, maquinaria, insumos, infraestructura (almacenes, módulos de post cosecha, plantas de procesamiento) y la contratación de servicios especializados para asesorías en temas específicos. </v>
      </c>
      <c r="W217" s="403" t="str">
        <f>+'5. Intervenciones UDT - AH'!N28</f>
        <v>AGROIDEAS, PNIA, INNOVATE PERÚ</v>
      </c>
      <c r="X217" s="588">
        <f>+'5. Intervenciones UDT - AH'!O28</f>
        <v>4480000</v>
      </c>
      <c r="Y217" s="588">
        <f>+Tabla1[[#This Row],[2025 Directo]]*(1+$Y$3)</f>
        <v>4527040</v>
      </c>
      <c r="Z217" s="588">
        <f>+'5. Intervenciones UDT - AH'!P28</f>
        <v>6720000</v>
      </c>
      <c r="AA217" s="588">
        <f>+Tabla1[[#This Row],[2030 Directo]]*(1+$Y$3)</f>
        <v>6790560</v>
      </c>
      <c r="AB217" s="588">
        <f>+'5. Intervenciones UDT - AH'!Q28</f>
        <v>896000</v>
      </c>
      <c r="AC217" s="588">
        <f>+Tabla1[[#This Row],[Año 1 Cto Directo]]*(1+$Y$3)</f>
        <v>905408</v>
      </c>
      <c r="AD217" s="588">
        <f>+'5. Intervenciones UDT - AH'!R28</f>
        <v>896000</v>
      </c>
      <c r="AE217" s="588">
        <f>+Tabla1[[#This Row],[Año 2 Cto. Directo]]*(1+$Y$3)</f>
        <v>905408</v>
      </c>
      <c r="AF217" s="588">
        <f>+'5. Intervenciones UDT - AH'!S28</f>
        <v>896000</v>
      </c>
      <c r="AG217" s="588">
        <f>+Tabla1[[#This Row],[Año 3 Cto. Directo]]*(1+$Y$3)</f>
        <v>905408</v>
      </c>
      <c r="AH217" s="588">
        <f>+'5. Intervenciones UDT - AH'!T28</f>
        <v>896000</v>
      </c>
      <c r="AI217" s="588">
        <f>+Tabla1[[#This Row],[Año 4 Cto. Directo]]*(1+$Y$3)</f>
        <v>905408</v>
      </c>
      <c r="AJ217" s="588">
        <f>+'5. Intervenciones UDT - AH'!U28</f>
        <v>896000</v>
      </c>
      <c r="AK217" s="588">
        <f>+Tabla1[[#This Row],[Año 5 Cto. Directo]]*(1+$Y$3)</f>
        <v>905408</v>
      </c>
      <c r="AL217" s="403">
        <f>+'5. Intervenciones UDT - AH'!V28</f>
        <v>0</v>
      </c>
      <c r="AM217" s="954"/>
      <c r="AN217" s="954" t="s">
        <v>148</v>
      </c>
      <c r="AO217" s="954"/>
      <c r="AP217" s="954"/>
      <c r="AQ217" s="954" t="str">
        <f>+'5. Intervenciones UDT - AH'!AA28</f>
        <v>RE</v>
      </c>
      <c r="AR217" s="954">
        <f>+'5. Intervenciones UDT - AH'!AB28</f>
        <v>3</v>
      </c>
      <c r="AS217" s="403">
        <f t="shared" si="1"/>
        <v>1</v>
      </c>
    </row>
    <row r="218" spans="1:45" s="195" customFormat="1" ht="15.8" hidden="1" customHeight="1" x14ac:dyDescent="0.3">
      <c r="A218" s="403"/>
      <c r="B218" s="403" t="str">
        <f>'5. Intervenciones UDT - AH'!$C$8</f>
        <v xml:space="preserve">UDT ALTO HUALLAGA </v>
      </c>
      <c r="C218" s="403" t="str">
        <f>'5. Intervenciones UDT - AH'!$F$10</f>
        <v>Predios de agricultura familiar con producción destinada al autoconsumo y productos de exportación, con título o sin título de propiedad.</v>
      </c>
      <c r="D218" s="404" t="str">
        <f>+'5. Intervenciones UDT - AH'!A29</f>
        <v>Programas de inversión privada</v>
      </c>
      <c r="E218" s="404" t="str">
        <f>+'5. Intervenciones UDT - AH'!C29</f>
        <v>3.1.12</v>
      </c>
      <c r="F218" s="403" t="str">
        <f>+'5. Intervenciones UDT - AH'!D29</f>
        <v xml:space="preserve">Fortalecimiento de capacidades en gestión de la calidad en las distintas cadenas de valor </v>
      </c>
      <c r="G218" s="403" t="str">
        <f>+'5. Intervenciones UDT - AH'!E29</f>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v>
      </c>
      <c r="H218" s="948" t="s">
        <v>1857</v>
      </c>
      <c r="I218" s="946" t="s">
        <v>193</v>
      </c>
      <c r="J218" s="946" t="s">
        <v>2592</v>
      </c>
      <c r="K218" s="946" t="s">
        <v>2329</v>
      </c>
      <c r="L218" s="946" t="s">
        <v>194</v>
      </c>
      <c r="M218" s="418" t="s">
        <v>1861</v>
      </c>
      <c r="N218" s="948" t="s">
        <v>1862</v>
      </c>
      <c r="O218" s="948" t="s">
        <v>220</v>
      </c>
      <c r="P218" s="951" t="s">
        <v>1870</v>
      </c>
      <c r="Q218" s="948" t="str">
        <f>+'5. Intervenciones UDT - AH'!F29</f>
        <v>Empresas y organizaciones atendidas</v>
      </c>
      <c r="R218" s="405">
        <f>+'5. Intervenciones UDT - AH'!I29</f>
        <v>20</v>
      </c>
      <c r="S218" s="405">
        <f>+'5. Intervenciones UDT - AH'!J29</f>
        <v>10</v>
      </c>
      <c r="T218" s="405">
        <f>+'5. Intervenciones UDT - AH'!K29</f>
        <v>10</v>
      </c>
      <c r="U218" s="405">
        <f>+'5. Intervenciones UDT - AH'!L29</f>
        <v>50000</v>
      </c>
      <c r="V218" s="403" t="str">
        <f>+'5. Intervenciones UDT - AH'!M29</f>
        <v>El costo incluye la contratación de especialistas para brindar Asistencia Técnica en los procesos de implementación de las certificaciones de calidad, materiales para la capacitación y pasantías.</v>
      </c>
      <c r="W218" s="403" t="str">
        <f>+'5. Intervenciones UDT - AH'!N29</f>
        <v>DIREPRO</v>
      </c>
      <c r="X218" s="588">
        <f>+'5. Intervenciones UDT - AH'!O29</f>
        <v>500000</v>
      </c>
      <c r="Y218" s="588">
        <f>+Tabla1[[#This Row],[2025 Directo]]*(1+$Y$3)</f>
        <v>505250</v>
      </c>
      <c r="Z218" s="588">
        <f>+'5. Intervenciones UDT - AH'!P29</f>
        <v>500000</v>
      </c>
      <c r="AA218" s="588">
        <f>+Tabla1[[#This Row],[2030 Directo]]*(1+$Y$3)</f>
        <v>505250</v>
      </c>
      <c r="AB218" s="588">
        <f>+'5. Intervenciones UDT - AH'!Q29</f>
        <v>100000</v>
      </c>
      <c r="AC218" s="588">
        <f>+Tabla1[[#This Row],[Año 1 Cto Directo]]*(1+$Y$3)</f>
        <v>101050</v>
      </c>
      <c r="AD218" s="588">
        <f>+'5. Intervenciones UDT - AH'!R29</f>
        <v>100000</v>
      </c>
      <c r="AE218" s="588">
        <f>+Tabla1[[#This Row],[Año 2 Cto. Directo]]*(1+$Y$3)</f>
        <v>101050</v>
      </c>
      <c r="AF218" s="588">
        <f>+'5. Intervenciones UDT - AH'!S29</f>
        <v>100000</v>
      </c>
      <c r="AG218" s="588">
        <f>+Tabla1[[#This Row],[Año 3 Cto. Directo]]*(1+$Y$3)</f>
        <v>101050</v>
      </c>
      <c r="AH218" s="588">
        <f>+'5. Intervenciones UDT - AH'!T29</f>
        <v>100000</v>
      </c>
      <c r="AI218" s="588">
        <f>+Tabla1[[#This Row],[Año 4 Cto. Directo]]*(1+$Y$3)</f>
        <v>101050</v>
      </c>
      <c r="AJ218" s="588">
        <f>+'5. Intervenciones UDT - AH'!U29</f>
        <v>100000</v>
      </c>
      <c r="AK218" s="588">
        <f>+Tabla1[[#This Row],[Año 5 Cto. Directo]]*(1+$Y$3)</f>
        <v>101050</v>
      </c>
      <c r="AL218" s="403">
        <f>+'5. Intervenciones UDT - AH'!V29</f>
        <v>0</v>
      </c>
      <c r="AM218" s="954" t="str">
        <f>+'5. Intervenciones UDT - AH'!W29</f>
        <v>X</v>
      </c>
      <c r="AN218" s="954"/>
      <c r="AO218" s="954"/>
      <c r="AP218" s="954"/>
      <c r="AQ218" s="954" t="str">
        <f>+'5. Intervenciones UDT - AH'!AA29</f>
        <v>RE</v>
      </c>
      <c r="AR218" s="954">
        <f>+'5. Intervenciones UDT - AH'!AB29</f>
        <v>2</v>
      </c>
      <c r="AS218" s="403">
        <f t="shared" si="1"/>
        <v>1</v>
      </c>
    </row>
    <row r="219" spans="1:45" s="195" customFormat="1" ht="15.8" hidden="1" customHeight="1" x14ac:dyDescent="0.3">
      <c r="A219" s="403"/>
      <c r="B219" s="403" t="str">
        <f>'5. Intervenciones UDT - AH'!$C$8</f>
        <v xml:space="preserve">UDT ALTO HUALLAGA </v>
      </c>
      <c r="C219" s="403" t="str">
        <f>'5. Intervenciones UDT - AH'!$F$10</f>
        <v>Predios de agricultura familiar con producción destinada al autoconsumo y productos de exportación, con título o sin título de propiedad.</v>
      </c>
      <c r="D219" s="404" t="str">
        <f>+'5. Intervenciones UDT - AH'!A30</f>
        <v>Programas de inversión pública</v>
      </c>
      <c r="E219" s="404" t="str">
        <f>+'5. Intervenciones UDT - AH'!C30</f>
        <v>3.1.13</v>
      </c>
      <c r="F219" s="403" t="str">
        <f>+'5. Intervenciones UDT - AH'!D30</f>
        <v>Promoción de modelos asociativos sostenibles</v>
      </c>
      <c r="G219" s="403" t="str">
        <f>+'5. Intervenciones UDT - AH'!E30</f>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v>
      </c>
      <c r="H219" s="948" t="s">
        <v>1857</v>
      </c>
      <c r="I219" s="946" t="s">
        <v>193</v>
      </c>
      <c r="J219" s="946" t="s">
        <v>2594</v>
      </c>
      <c r="K219" s="946" t="s">
        <v>2332</v>
      </c>
      <c r="L219" s="946" t="s">
        <v>198</v>
      </c>
      <c r="M219" s="418" t="s">
        <v>1874</v>
      </c>
      <c r="N219" s="948" t="s">
        <v>1862</v>
      </c>
      <c r="O219" s="948" t="s">
        <v>230</v>
      </c>
      <c r="P219" s="951" t="s">
        <v>1875</v>
      </c>
      <c r="Q219" s="948" t="str">
        <f>+'5. Intervenciones UDT - AH'!F30</f>
        <v>Organizaciones auto sostenibles</v>
      </c>
      <c r="R219" s="405">
        <f>+'5. Intervenciones UDT - AH'!I30</f>
        <v>28</v>
      </c>
      <c r="S219" s="405">
        <f>+'5. Intervenciones UDT - AH'!J30</f>
        <v>10</v>
      </c>
      <c r="T219" s="405">
        <f>+'5. Intervenciones UDT - AH'!K30</f>
        <v>8.4</v>
      </c>
      <c r="U219" s="405">
        <f>+'5. Intervenciones UDT - AH'!L30</f>
        <v>120000</v>
      </c>
      <c r="V219" s="403" t="str">
        <f>+'5. Intervenciones UDT - AH'!M30</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219" s="403" t="str">
        <f>+'5. Intervenciones UDT - AH'!N30</f>
        <v>Drasam, Dircetur, Direpro</v>
      </c>
      <c r="X219" s="588">
        <f>+'5. Intervenciones UDT - AH'!O30</f>
        <v>1200000</v>
      </c>
      <c r="Y219" s="588">
        <f>+Tabla1[[#This Row],[2025 Directo]]*(1+$Y$3)</f>
        <v>1212600</v>
      </c>
      <c r="Z219" s="588">
        <f>+'5. Intervenciones UDT - AH'!P30</f>
        <v>1008000</v>
      </c>
      <c r="AA219" s="588">
        <f>+Tabla1[[#This Row],[2030 Directo]]*(1+$Y$3)</f>
        <v>1018584</v>
      </c>
      <c r="AB219" s="588">
        <f>+'5. Intervenciones UDT - AH'!Q30</f>
        <v>240000</v>
      </c>
      <c r="AC219" s="588">
        <f>+Tabla1[[#This Row],[Año 1 Cto Directo]]*(1+$Y$3)</f>
        <v>242520</v>
      </c>
      <c r="AD219" s="588">
        <f>+'5. Intervenciones UDT - AH'!R30</f>
        <v>240000</v>
      </c>
      <c r="AE219" s="588">
        <f>+Tabla1[[#This Row],[Año 2 Cto. Directo]]*(1+$Y$3)</f>
        <v>242520</v>
      </c>
      <c r="AF219" s="588">
        <f>+'5. Intervenciones UDT - AH'!S30</f>
        <v>240000</v>
      </c>
      <c r="AG219" s="588">
        <f>+Tabla1[[#This Row],[Año 3 Cto. Directo]]*(1+$Y$3)</f>
        <v>242520</v>
      </c>
      <c r="AH219" s="588">
        <f>+'5. Intervenciones UDT - AH'!T30</f>
        <v>240000</v>
      </c>
      <c r="AI219" s="588">
        <f>+Tabla1[[#This Row],[Año 4 Cto. Directo]]*(1+$Y$3)</f>
        <v>242520</v>
      </c>
      <c r="AJ219" s="588">
        <f>+'5. Intervenciones UDT - AH'!U30</f>
        <v>240000</v>
      </c>
      <c r="AK219" s="588">
        <f>+Tabla1[[#This Row],[Año 5 Cto. Directo]]*(1+$Y$3)</f>
        <v>242520</v>
      </c>
      <c r="AL219" s="403">
        <f>+'5. Intervenciones UDT - AH'!V30</f>
        <v>0</v>
      </c>
      <c r="AM219" s="954"/>
      <c r="AN219" s="954"/>
      <c r="AO219" s="954" t="str">
        <f>+'5. Intervenciones UDT - AH'!Y30</f>
        <v>X</v>
      </c>
      <c r="AP219" s="954"/>
      <c r="AQ219" s="954"/>
      <c r="AR219" s="954">
        <f>+'5. Intervenciones UDT - AH'!AB30</f>
        <v>3</v>
      </c>
      <c r="AS219" s="403">
        <f t="shared" si="1"/>
        <v>1</v>
      </c>
    </row>
    <row r="220" spans="1:45" s="195" customFormat="1" ht="15.8" hidden="1" customHeight="1" x14ac:dyDescent="0.3">
      <c r="A220" s="403"/>
      <c r="B220" s="403" t="str">
        <f>'5. Intervenciones UDT - AH'!$C$8</f>
        <v xml:space="preserve">UDT ALTO HUALLAGA </v>
      </c>
      <c r="C220" s="403" t="str">
        <f>'5. Intervenciones UDT - AH'!$F$10</f>
        <v>Predios de agricultura familiar con producción destinada al autoconsumo y productos de exportación, con título o sin título de propiedad.</v>
      </c>
      <c r="D220" s="404" t="str">
        <f>+'5. Intervenciones UDT - AH'!A31</f>
        <v>Programas de inversión privada</v>
      </c>
      <c r="E220" s="404" t="str">
        <f>+'5. Intervenciones UDT - AH'!C31</f>
        <v>3.1.14</v>
      </c>
      <c r="F220" s="403" t="str">
        <f>+'5. Intervenciones UDT - AH'!D31</f>
        <v>Certificación orgánica y  Comercio Justo</v>
      </c>
      <c r="G220" s="403" t="str">
        <f>+'5. Intervenciones UDT - AH'!E31</f>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v>
      </c>
      <c r="H220" s="948" t="s">
        <v>1857</v>
      </c>
      <c r="I220" s="946" t="s">
        <v>193</v>
      </c>
      <c r="J220" s="946" t="s">
        <v>2592</v>
      </c>
      <c r="K220" s="946" t="s">
        <v>2329</v>
      </c>
      <c r="L220" s="946" t="s">
        <v>197</v>
      </c>
      <c r="M220" s="418" t="s">
        <v>1876</v>
      </c>
      <c r="N220" s="948" t="s">
        <v>1862</v>
      </c>
      <c r="O220" s="948" t="s">
        <v>228</v>
      </c>
      <c r="P220" s="951" t="s">
        <v>1877</v>
      </c>
      <c r="Q220" s="948" t="str">
        <f>+'5. Intervenciones UDT - AH'!F31</f>
        <v>Organizaciones certificadas</v>
      </c>
      <c r="R220" s="405">
        <f>+'5. Intervenciones UDT - AH'!I31</f>
        <v>28</v>
      </c>
      <c r="S220" s="405">
        <f>+'5. Intervenciones UDT - AH'!J31</f>
        <v>14</v>
      </c>
      <c r="T220" s="405">
        <f>+'5. Intervenciones UDT - AH'!K31</f>
        <v>14</v>
      </c>
      <c r="U220" s="405">
        <f>+'5. Intervenciones UDT - AH'!L31</f>
        <v>40000</v>
      </c>
      <c r="V220" s="403" t="str">
        <f>+'5. Intervenciones UDT - AH'!M31</f>
        <v>El costo incluye: Una inspección anual anunciada,  elaboración de informe de inspección, administración y comunicación, certificación según los estándares de la certificadora. Así mismo la elaboración de los Sistemas Internos de Control que lo puede realizar la misma organización o puede contratar a terceros.</v>
      </c>
      <c r="W220" s="403" t="str">
        <f>+'5. Intervenciones UDT - AH'!N31</f>
        <v>Certificadora CERES</v>
      </c>
      <c r="X220" s="588">
        <f>+'5. Intervenciones UDT - AH'!O31</f>
        <v>2800000</v>
      </c>
      <c r="Y220" s="588">
        <f>+Tabla1[[#This Row],[2025 Directo]]*(1+$Y$3)</f>
        <v>2829400</v>
      </c>
      <c r="Z220" s="588">
        <f>+'5. Intervenciones UDT - AH'!P31</f>
        <v>2800000</v>
      </c>
      <c r="AA220" s="588">
        <f>+Tabla1[[#This Row],[2030 Directo]]*(1+$Y$3)</f>
        <v>2829400</v>
      </c>
      <c r="AB220" s="588">
        <f>+'5. Intervenciones UDT - AH'!Q31</f>
        <v>560000</v>
      </c>
      <c r="AC220" s="588">
        <f>+Tabla1[[#This Row],[Año 1 Cto Directo]]*(1+$Y$3)</f>
        <v>565880</v>
      </c>
      <c r="AD220" s="588">
        <f>+'5. Intervenciones UDT - AH'!R31</f>
        <v>560000</v>
      </c>
      <c r="AE220" s="588">
        <f>+Tabla1[[#This Row],[Año 2 Cto. Directo]]*(1+$Y$3)</f>
        <v>565880</v>
      </c>
      <c r="AF220" s="588">
        <f>+'5. Intervenciones UDT - AH'!S31</f>
        <v>560000</v>
      </c>
      <c r="AG220" s="588">
        <f>+Tabla1[[#This Row],[Año 3 Cto. Directo]]*(1+$Y$3)</f>
        <v>565880</v>
      </c>
      <c r="AH220" s="588">
        <f>+'5. Intervenciones UDT - AH'!T31</f>
        <v>560000</v>
      </c>
      <c r="AI220" s="588">
        <f>+Tabla1[[#This Row],[Año 4 Cto. Directo]]*(1+$Y$3)</f>
        <v>565880</v>
      </c>
      <c r="AJ220" s="588">
        <f>+'5. Intervenciones UDT - AH'!U31</f>
        <v>560000</v>
      </c>
      <c r="AK220" s="588">
        <f>+Tabla1[[#This Row],[Año 5 Cto. Directo]]*(1+$Y$3)</f>
        <v>565880</v>
      </c>
      <c r="AL220" s="403">
        <f>+'5. Intervenciones UDT - AH'!V31</f>
        <v>0</v>
      </c>
      <c r="AM220" s="954"/>
      <c r="AN220" s="954"/>
      <c r="AO220" s="954" t="str">
        <f>+'5. Intervenciones UDT - AH'!Y31</f>
        <v>X</v>
      </c>
      <c r="AP220" s="954"/>
      <c r="AQ220" s="954"/>
      <c r="AR220" s="954">
        <f>+'5. Intervenciones UDT - AH'!AB31</f>
        <v>3</v>
      </c>
      <c r="AS220" s="403">
        <f t="shared" si="1"/>
        <v>1</v>
      </c>
    </row>
    <row r="221" spans="1:45" s="195" customFormat="1" ht="15.8" hidden="1" customHeight="1" x14ac:dyDescent="0.3">
      <c r="A221" s="403"/>
      <c r="B221" s="403" t="str">
        <f>'5. Intervenciones UDT - AH'!$C$8</f>
        <v xml:space="preserve">UDT ALTO HUALLAGA </v>
      </c>
      <c r="C221" s="403" t="str">
        <f>'5. Intervenciones UDT - AH'!$F$10</f>
        <v>Predios de agricultura familiar con producción destinada al autoconsumo y productos de exportación, con título o sin título de propiedad.</v>
      </c>
      <c r="D221" s="404" t="str">
        <f>+'5. Intervenciones UDT - AH'!A32</f>
        <v>Control y vigilancia</v>
      </c>
      <c r="E221" s="404" t="str">
        <f>+'5. Intervenciones UDT - AH'!C32</f>
        <v>3.1.15</v>
      </c>
      <c r="F221" s="403" t="str">
        <f>+'5. Intervenciones UDT - AH'!D32</f>
        <v>Promoción y acceso a los Mecanismos de Retribución por Servicios Eco sistémicos (MERESE)</v>
      </c>
      <c r="G221" s="403" t="str">
        <f>+'5. Intervenciones UDT - AH'!E32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221" s="948" t="s">
        <v>1857</v>
      </c>
      <c r="I221" s="946" t="s">
        <v>203</v>
      </c>
      <c r="J221" s="946" t="s">
        <v>2595</v>
      </c>
      <c r="K221" s="946" t="s">
        <v>2333</v>
      </c>
      <c r="L221" s="946" t="s">
        <v>204</v>
      </c>
      <c r="M221" s="418" t="s">
        <v>1878</v>
      </c>
      <c r="N221" s="948" t="s">
        <v>1879</v>
      </c>
      <c r="O221" s="948" t="s">
        <v>225</v>
      </c>
      <c r="P221" s="951" t="s">
        <v>1880</v>
      </c>
      <c r="Q221" s="948" t="str">
        <f>+'5. Intervenciones UDT - AH'!F32</f>
        <v>Campañas de difusión y promoción</v>
      </c>
      <c r="R221" s="405">
        <f>+'5. Intervenciones UDT - AH'!I32</f>
        <v>0</v>
      </c>
      <c r="S221" s="405">
        <f>+'5. Intervenciones UDT - AH'!J32</f>
        <v>25</v>
      </c>
      <c r="T221" s="405">
        <f>+'5. Intervenciones UDT - AH'!K32</f>
        <v>25</v>
      </c>
      <c r="U221" s="405">
        <f>+'5. Intervenciones UDT - AH'!L32</f>
        <v>10000</v>
      </c>
      <c r="V221" s="403" t="str">
        <f>+'5. Intervenciones UDT - AH'!M32</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221" s="403" t="str">
        <f>+'5. Intervenciones UDT - AH'!N32</f>
        <v>SUNASS</v>
      </c>
      <c r="X221" s="588">
        <f>+'5. Intervenciones UDT - AH'!O32</f>
        <v>250000</v>
      </c>
      <c r="Y221" s="588">
        <f>+Tabla1[[#This Row],[2025 Directo]]*(1+$Y$3)</f>
        <v>252625</v>
      </c>
      <c r="Z221" s="588">
        <f>+'5. Intervenciones UDT - AH'!P32</f>
        <v>250000</v>
      </c>
      <c r="AA221" s="588">
        <f>+Tabla1[[#This Row],[2030 Directo]]*(1+$Y$3)</f>
        <v>252625</v>
      </c>
      <c r="AB221" s="588">
        <f>+'5. Intervenciones UDT - AH'!Q32</f>
        <v>50000</v>
      </c>
      <c r="AC221" s="588">
        <f>+Tabla1[[#This Row],[Año 1 Cto Directo]]*(1+$Y$3)</f>
        <v>50525</v>
      </c>
      <c r="AD221" s="588">
        <f>+'5. Intervenciones UDT - AH'!R32</f>
        <v>50000</v>
      </c>
      <c r="AE221" s="588">
        <f>+Tabla1[[#This Row],[Año 2 Cto. Directo]]*(1+$Y$3)</f>
        <v>50525</v>
      </c>
      <c r="AF221" s="588">
        <f>+'5. Intervenciones UDT - AH'!S32</f>
        <v>50000</v>
      </c>
      <c r="AG221" s="588">
        <f>+Tabla1[[#This Row],[Año 3 Cto. Directo]]*(1+$Y$3)</f>
        <v>50525</v>
      </c>
      <c r="AH221" s="588">
        <f>+'5. Intervenciones UDT - AH'!T32</f>
        <v>50000</v>
      </c>
      <c r="AI221" s="588">
        <f>+Tabla1[[#This Row],[Año 4 Cto. Directo]]*(1+$Y$3)</f>
        <v>50525</v>
      </c>
      <c r="AJ221" s="588">
        <f>+'5. Intervenciones UDT - AH'!U32</f>
        <v>50000</v>
      </c>
      <c r="AK221" s="588">
        <f>+Tabla1[[#This Row],[Año 5 Cto. Directo]]*(1+$Y$3)</f>
        <v>50525</v>
      </c>
      <c r="AL221" s="403">
        <f>+'5. Intervenciones UDT - AH'!V32</f>
        <v>0</v>
      </c>
      <c r="AM221" s="954"/>
      <c r="AN221" s="954"/>
      <c r="AO221" s="954" t="str">
        <f>+'5. Intervenciones UDT - AH'!Y32</f>
        <v>X</v>
      </c>
      <c r="AP221" s="954"/>
      <c r="AQ221" s="954"/>
      <c r="AR221" s="954">
        <f>+'5. Intervenciones UDT - AH'!AB32</f>
        <v>2</v>
      </c>
      <c r="AS221" s="403">
        <f t="shared" si="1"/>
        <v>1</v>
      </c>
    </row>
    <row r="222" spans="1:45" s="195" customFormat="1" ht="15.8" hidden="1" customHeight="1" x14ac:dyDescent="0.3">
      <c r="A222" s="403"/>
      <c r="B222" s="403" t="str">
        <f>'5. Intervenciones UDT - AH'!$C$8</f>
        <v xml:space="preserve">UDT ALTO HUALLAGA </v>
      </c>
      <c r="C222" s="403" t="str">
        <f>'5. Intervenciones UDT - AH'!$F$10</f>
        <v>Predios de agricultura familiar con producción destinada al autoconsumo y productos de exportación, con título o sin título de propiedad.</v>
      </c>
      <c r="D222" s="404" t="str">
        <f>+'5. Intervenciones UDT - AH'!A33</f>
        <v>Programas de inversión privada</v>
      </c>
      <c r="E222" s="404" t="str">
        <f>+'5. Intervenciones UDT - AH'!C33</f>
        <v>3.1.16</v>
      </c>
      <c r="F222" s="403" t="str">
        <f>+'5. Intervenciones UDT - AH'!D33</f>
        <v>Certificación RSPO</v>
      </c>
      <c r="G222" s="403" t="str">
        <f>+'5. Intervenciones UDT - AH'!E33</f>
        <v>Implementar y promover la certificación de plantaciones de 8,086 pequeños productores, los cuales tienen 30,728.3 ha. La certificación RSPO permite facilitar el acceso a los mercados de los productos derivados de la palma aceitera.</v>
      </c>
      <c r="H222" s="948" t="s">
        <v>1864</v>
      </c>
      <c r="I222" s="946" t="s">
        <v>193</v>
      </c>
      <c r="J222" s="946" t="s">
        <v>2592</v>
      </c>
      <c r="K222" s="946" t="s">
        <v>2329</v>
      </c>
      <c r="L222" s="946" t="s">
        <v>197</v>
      </c>
      <c r="M222" s="418" t="s">
        <v>1876</v>
      </c>
      <c r="N222" s="948" t="s">
        <v>1862</v>
      </c>
      <c r="O222" s="948" t="s">
        <v>228</v>
      </c>
      <c r="P222" s="951" t="s">
        <v>1877</v>
      </c>
      <c r="Q222" s="948" t="str">
        <f>+'5. Intervenciones UDT - AH'!F33</f>
        <v>Hectáreas certificadas</v>
      </c>
      <c r="R222" s="405">
        <f>+'5. Intervenciones UDT - AH'!I33</f>
        <v>0</v>
      </c>
      <c r="S222" s="405">
        <f>+'5. Intervenciones UDT - AH'!J33</f>
        <v>9218.4</v>
      </c>
      <c r="T222" s="405">
        <f>+'5. Intervenciones UDT - AH'!K33</f>
        <v>21509.599999999999</v>
      </c>
      <c r="U222" s="405">
        <f>+'5. Intervenciones UDT - AH'!L33</f>
        <v>2499.12</v>
      </c>
      <c r="V222" s="403" t="str">
        <f>+'5. Intervenciones UDT - AH'!M33</f>
        <v>Incluye: diagnóstico de línea de base, membresía RSPO, estudio LUCA - Land use change analysis (shapes &amp; mantenimiento), asistencia técnica para conformación de grupo y SIC, plan de capacitación, sistema documentario/de registros, pre auditoría y auditorías, asistencia técnica de implementación.
* no incl. Costos de infraestructura, HVC/HCS, costos de insumos y servicios de jornal, remediación y compensación entre otros</v>
      </c>
      <c r="W222" s="403" t="str">
        <f>+'5. Intervenciones UDT - AH'!N33</f>
        <v>Expertos RSPO &amp; RSPO</v>
      </c>
      <c r="X222" s="588">
        <f>+'5. Intervenciones UDT - AH'!O33</f>
        <v>23037887.807999998</v>
      </c>
      <c r="Y222" s="588">
        <f>+Tabla1[[#This Row],[2025 Directo]]*(1+$Y$3)</f>
        <v>23279785.629983999</v>
      </c>
      <c r="Z222" s="588">
        <f>+'5. Intervenciones UDT - AH'!P33</f>
        <v>53755071.551999994</v>
      </c>
      <c r="AA222" s="588">
        <f>+Tabla1[[#This Row],[2030 Directo]]*(1+$Y$3)</f>
        <v>54319499.803295992</v>
      </c>
      <c r="AB222" s="588">
        <f>+'5. Intervenciones UDT - AH'!Q33</f>
        <v>4607577.5615999997</v>
      </c>
      <c r="AC222" s="588">
        <f>+Tabla1[[#This Row],[Año 1 Cto Directo]]*(1+$Y$3)</f>
        <v>4655957.1259967992</v>
      </c>
      <c r="AD222" s="588">
        <f>+'5. Intervenciones UDT - AH'!R33</f>
        <v>4607577.5615999997</v>
      </c>
      <c r="AE222" s="588">
        <f>+Tabla1[[#This Row],[Año 2 Cto. Directo]]*(1+$Y$3)</f>
        <v>4655957.1259967992</v>
      </c>
      <c r="AF222" s="588">
        <f>+'5. Intervenciones UDT - AH'!S33</f>
        <v>4607577.5615999997</v>
      </c>
      <c r="AG222" s="588">
        <f>+Tabla1[[#This Row],[Año 3 Cto. Directo]]*(1+$Y$3)</f>
        <v>4655957.1259967992</v>
      </c>
      <c r="AH222" s="588">
        <f>+'5. Intervenciones UDT - AH'!T33</f>
        <v>4607577.5615999997</v>
      </c>
      <c r="AI222" s="588">
        <f>+Tabla1[[#This Row],[Año 4 Cto. Directo]]*(1+$Y$3)</f>
        <v>4655957.1259967992</v>
      </c>
      <c r="AJ222" s="588">
        <f>+'5. Intervenciones UDT - AH'!U33</f>
        <v>4607577.5615999997</v>
      </c>
      <c r="AK222" s="588">
        <f>+Tabla1[[#This Row],[Año 5 Cto. Directo]]*(1+$Y$3)</f>
        <v>4655957.1259967992</v>
      </c>
      <c r="AL222" s="403">
        <f>+'5. Intervenciones UDT - AH'!V33</f>
        <v>0</v>
      </c>
      <c r="AM222" s="954"/>
      <c r="AN222" s="954"/>
      <c r="AO222" s="954" t="str">
        <f>+'5. Intervenciones UDT - AH'!Y33</f>
        <v>X</v>
      </c>
      <c r="AP222" s="954"/>
      <c r="AQ222" s="954" t="str">
        <f>+'5. Intervenciones UDT - AH'!AA33</f>
        <v>RE</v>
      </c>
      <c r="AR222" s="954">
        <f>+'5. Intervenciones UDT - AH'!AB33</f>
        <v>2</v>
      </c>
      <c r="AS222" s="403">
        <f t="shared" si="1"/>
        <v>1</v>
      </c>
    </row>
    <row r="223" spans="1:45" s="195" customFormat="1" ht="15.8" hidden="1" customHeight="1" x14ac:dyDescent="0.3">
      <c r="A223" s="403"/>
      <c r="B223" s="403" t="str">
        <f>'5. Intervenciones UDT - AH'!$C$8</f>
        <v xml:space="preserve">UDT ALTO HUALLAGA </v>
      </c>
      <c r="C223" s="403" t="str">
        <f>'5. Intervenciones UDT - AH'!$F$37</f>
        <v xml:space="preserve">Predios privados dedicados a la producción comercial (arroz) </v>
      </c>
      <c r="D223" s="404" t="str">
        <f>+'5. Intervenciones UDT - AH'!A45</f>
        <v>Invasiones</v>
      </c>
      <c r="E223" s="404" t="str">
        <f>+'5. Intervenciones UDT - AH'!C45</f>
        <v>3.2.1</v>
      </c>
      <c r="F223" s="403" t="str">
        <f>+'5. Intervenciones UDT - AH'!D45</f>
        <v>Otorgamiento de derechos sobre la tierra/bosques</v>
      </c>
      <c r="G223" s="403" t="str">
        <f>+'5. Intervenciones UDT - AH'!E45</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223" s="948" t="s">
        <v>1857</v>
      </c>
      <c r="I223" s="946" t="s">
        <v>199</v>
      </c>
      <c r="J223" s="946" t="s">
        <v>2591</v>
      </c>
      <c r="K223" s="946" t="s">
        <v>2331</v>
      </c>
      <c r="L223" s="946" t="s">
        <v>202</v>
      </c>
      <c r="M223" s="418" t="s">
        <v>1858</v>
      </c>
      <c r="N223" s="948" t="s">
        <v>1859</v>
      </c>
      <c r="O223" s="948" t="s">
        <v>223</v>
      </c>
      <c r="P223" s="951" t="s">
        <v>1860</v>
      </c>
      <c r="Q223" s="948" t="str">
        <f>+'5. Intervenciones UDT - AH'!F45</f>
        <v>N° Títulos/Contratos otorgados</v>
      </c>
      <c r="R223" s="405">
        <f>+'5. Intervenciones UDT - AH'!I45</f>
        <v>95.985498947623199</v>
      </c>
      <c r="S223" s="405">
        <f>+'5. Intervenciones UDT - AH'!J45</f>
        <v>47.9927494738116</v>
      </c>
      <c r="T223" s="405">
        <f>+'5. Intervenciones UDT - AH'!K45</f>
        <v>47.9927494738116</v>
      </c>
      <c r="U223" s="405">
        <f>+'5. Intervenciones UDT - AH'!L45</f>
        <v>2000</v>
      </c>
      <c r="V223" s="403" t="str">
        <f>+'5. Intervenciones UDT - AH'!M45</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223" s="403" t="str">
        <f>+'5. Intervenciones UDT - AH'!N45</f>
        <v>Programa de titulación PTR 3 / ARA</v>
      </c>
      <c r="X223" s="588">
        <f>+'5. Intervenciones UDT - AH'!O45</f>
        <v>95985.4989476232</v>
      </c>
      <c r="Y223" s="588">
        <f>+Tabla1[[#This Row],[2025 Directo]]*(1+$Y$3)</f>
        <v>96993.346686573233</v>
      </c>
      <c r="Z223" s="588">
        <f>+'5. Intervenciones UDT - AH'!P45</f>
        <v>95985.4989476232</v>
      </c>
      <c r="AA223" s="588">
        <f>+Tabla1[[#This Row],[2030 Directo]]*(1+$Y$3)</f>
        <v>96993.346686573233</v>
      </c>
      <c r="AB223" s="588">
        <f>+'5. Intervenciones UDT - AH'!Q45</f>
        <v>9598.54989476232</v>
      </c>
      <c r="AC223" s="588">
        <f>+Tabla1[[#This Row],[Año 1 Cto Directo]]*(1+$Y$3)</f>
        <v>9699.3346686573241</v>
      </c>
      <c r="AD223" s="588">
        <f>+'5. Intervenciones UDT - AH'!R45</f>
        <v>14397.82484214348</v>
      </c>
      <c r="AE223" s="588">
        <f>+Tabla1[[#This Row],[Año 2 Cto. Directo]]*(1+$Y$3)</f>
        <v>14549.002002985986</v>
      </c>
      <c r="AF223" s="588">
        <f>+'5. Intervenciones UDT - AH'!S45</f>
        <v>19197.09978952464</v>
      </c>
      <c r="AG223" s="588">
        <f>+Tabla1[[#This Row],[Año 3 Cto. Directo]]*(1+$Y$3)</f>
        <v>19398.669337314648</v>
      </c>
      <c r="AH223" s="588">
        <f>+'5. Intervenciones UDT - AH'!T45</f>
        <v>28795.64968428696</v>
      </c>
      <c r="AI223" s="588">
        <f>+Tabla1[[#This Row],[Año 4 Cto. Directo]]*(1+$Y$3)</f>
        <v>29098.004005971972</v>
      </c>
      <c r="AJ223" s="588">
        <f>+'5. Intervenciones UDT - AH'!U45</f>
        <v>23996.3747369058</v>
      </c>
      <c r="AK223" s="588">
        <f>+Tabla1[[#This Row],[Año 5 Cto. Directo]]*(1+$Y$3)</f>
        <v>24248.336671643308</v>
      </c>
      <c r="AL223" s="403">
        <f>+'5. Intervenciones UDT - AH'!V45</f>
        <v>0</v>
      </c>
      <c r="AM223" s="954"/>
      <c r="AN223" s="954">
        <f>+'5. Intervenciones UDT - AH'!X45</f>
        <v>0</v>
      </c>
      <c r="AO223" s="954"/>
      <c r="AP223" s="954"/>
      <c r="AQ223" s="954" t="str">
        <f>+'5. Intervenciones UDT - AH'!AA45</f>
        <v>RE</v>
      </c>
      <c r="AR223" s="954">
        <f>+'5. Intervenciones UDT - AH'!AB45</f>
        <v>3</v>
      </c>
      <c r="AS223" s="403">
        <f t="shared" ref="AS223" si="13">COUNTIF(AM223:AP223, "X")</f>
        <v>0</v>
      </c>
    </row>
    <row r="224" spans="1:45" s="195" customFormat="1" ht="15.8" hidden="1" customHeight="1" x14ac:dyDescent="0.3">
      <c r="A224" s="403"/>
      <c r="B224" s="403" t="str">
        <f>'5. Intervenciones UDT - AH'!$C$8</f>
        <v xml:space="preserve">UDT ALTO HUALLAGA </v>
      </c>
      <c r="C224" s="403" t="str">
        <f>'5. Intervenciones UDT - AH'!$F$37</f>
        <v xml:space="preserve">Predios privados dedicados a la producción comercial (arroz) </v>
      </c>
      <c r="D224" s="404" t="str">
        <f>+'5. Intervenciones UDT - AH'!A46</f>
        <v>Programas de inversión pública</v>
      </c>
      <c r="E224" s="404" t="str">
        <f>+'5. Intervenciones UDT - AH'!C46</f>
        <v>3.2.2</v>
      </c>
      <c r="F224" s="403" t="str">
        <f>+'5. Intervenciones UDT - AH'!D46</f>
        <v>Promoción y desarrollo de proveedores de semillas mejoradas</v>
      </c>
      <c r="G224" s="403" t="str">
        <f>+'5. Intervenciones UDT - AH'!E46</f>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v>
      </c>
      <c r="H224" s="948" t="s">
        <v>1857</v>
      </c>
      <c r="I224" s="946" t="s">
        <v>193</v>
      </c>
      <c r="J224" s="946" t="s">
        <v>2592</v>
      </c>
      <c r="K224" s="946" t="s">
        <v>2329</v>
      </c>
      <c r="L224" s="946" t="s">
        <v>196</v>
      </c>
      <c r="M224" s="418" t="s">
        <v>1866</v>
      </c>
      <c r="N224" s="948" t="s">
        <v>1862</v>
      </c>
      <c r="O224" s="948" t="s">
        <v>219</v>
      </c>
      <c r="P224" s="951" t="s">
        <v>1865</v>
      </c>
      <c r="Q224" s="948" t="str">
        <f>+'5. Intervenciones UDT - AH'!F46</f>
        <v>Unidades semilleristas</v>
      </c>
      <c r="R224" s="405">
        <f>+'5. Intervenciones UDT - AH'!I46</f>
        <v>5</v>
      </c>
      <c r="S224" s="405">
        <f>+'5. Intervenciones UDT - AH'!J46</f>
        <v>2.5</v>
      </c>
      <c r="T224" s="405">
        <f>+'5. Intervenciones UDT - AH'!K46</f>
        <v>1.5</v>
      </c>
      <c r="U224" s="405">
        <f>+'5. Intervenciones UDT - AH'!L46</f>
        <v>15000</v>
      </c>
      <c r="V224" s="403" t="str">
        <f>+'5. Intervenciones UDT - AH'!M46</f>
        <v>El costo Incluye la adquisión de semillas certificadas, los pagos y trámites al CORESE  y los Servicios de Asistencia Técnica especializada. No incluye costos de alquiler de terrenos. Con respecto al fortalecimiento del INIA, se espera que el MINAGRI, asigne un mayor presupuesto para este rubro.</v>
      </c>
      <c r="W224" s="403" t="str">
        <f>+'5. Intervenciones UDT - AH'!N46</f>
        <v>DRASAM</v>
      </c>
      <c r="X224" s="588">
        <f>+'5. Intervenciones UDT - AH'!O46</f>
        <v>37500</v>
      </c>
      <c r="Y224" s="588">
        <f>+Tabla1[[#This Row],[2025 Directo]]*(1+$Y$3)</f>
        <v>37893.75</v>
      </c>
      <c r="Z224" s="588">
        <f>+'5. Intervenciones UDT - AH'!P46</f>
        <v>22500</v>
      </c>
      <c r="AA224" s="588">
        <f>+Tabla1[[#This Row],[2030 Directo]]*(1+$Y$3)</f>
        <v>22736.25</v>
      </c>
      <c r="AB224" s="588">
        <f>+'5. Intervenciones UDT - AH'!Q46</f>
        <v>7500</v>
      </c>
      <c r="AC224" s="588">
        <f>+Tabla1[[#This Row],[Año 1 Cto Directo]]*(1+$Y$3)</f>
        <v>7578.75</v>
      </c>
      <c r="AD224" s="588">
        <f>+'5. Intervenciones UDT - AH'!R46</f>
        <v>7500</v>
      </c>
      <c r="AE224" s="588">
        <f>+Tabla1[[#This Row],[Año 2 Cto. Directo]]*(1+$Y$3)</f>
        <v>7578.75</v>
      </c>
      <c r="AF224" s="588">
        <f>+'5. Intervenciones UDT - AH'!S46</f>
        <v>7500</v>
      </c>
      <c r="AG224" s="588">
        <f>+Tabla1[[#This Row],[Año 3 Cto. Directo]]*(1+$Y$3)</f>
        <v>7578.75</v>
      </c>
      <c r="AH224" s="588">
        <f>+'5. Intervenciones UDT - AH'!T46</f>
        <v>7500</v>
      </c>
      <c r="AI224" s="588">
        <f>+Tabla1[[#This Row],[Año 4 Cto. Directo]]*(1+$Y$3)</f>
        <v>7578.75</v>
      </c>
      <c r="AJ224" s="588">
        <f>+'5. Intervenciones UDT - AH'!U46</f>
        <v>7500</v>
      </c>
      <c r="AK224" s="588">
        <f>+Tabla1[[#This Row],[Año 5 Cto. Directo]]*(1+$Y$3)</f>
        <v>7578.75</v>
      </c>
      <c r="AL224" s="403">
        <f>+'5. Intervenciones UDT - AH'!V46</f>
        <v>0</v>
      </c>
      <c r="AM224" s="954"/>
      <c r="AN224" s="954" t="str">
        <f>+'5. Intervenciones UDT - AH'!X46</f>
        <v>X</v>
      </c>
      <c r="AO224" s="954"/>
      <c r="AP224" s="954"/>
      <c r="AQ224" s="954" t="str">
        <f>+'5. Intervenciones UDT - AH'!AA46</f>
        <v>RE</v>
      </c>
      <c r="AR224" s="954">
        <f>+'5. Intervenciones UDT - AH'!AB46</f>
        <v>3</v>
      </c>
      <c r="AS224" s="403">
        <f t="shared" si="1"/>
        <v>1</v>
      </c>
    </row>
    <row r="225" spans="1:45" s="195" customFormat="1" ht="15.8" hidden="1" customHeight="1" x14ac:dyDescent="0.3">
      <c r="A225" s="403"/>
      <c r="B225" s="403" t="str">
        <f>'5. Intervenciones UDT - AH'!$C$8</f>
        <v xml:space="preserve">UDT ALTO HUALLAGA </v>
      </c>
      <c r="C225" s="403" t="str">
        <f>'5. Intervenciones UDT - AH'!$F$37</f>
        <v xml:space="preserve">Predios privados dedicados a la producción comercial (arroz) </v>
      </c>
      <c r="D225" s="404" t="str">
        <f>+'5. Intervenciones UDT - AH'!A47</f>
        <v>Programas de inversión pública</v>
      </c>
      <c r="E225" s="404" t="str">
        <f>+'5. Intervenciones UDT - AH'!C47</f>
        <v>3.2.3</v>
      </c>
      <c r="F225" s="403" t="str">
        <f>+'5. Intervenciones UDT - AH'!D47</f>
        <v>Promoción de Sistemas de producción sostenibles</v>
      </c>
      <c r="G225" s="403" t="str">
        <f>+'5. Intervenciones UDT - AH'!E47</f>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v>
      </c>
      <c r="H225" s="948" t="s">
        <v>1857</v>
      </c>
      <c r="I225" s="946" t="s">
        <v>193</v>
      </c>
      <c r="J225" s="946" t="s">
        <v>2592</v>
      </c>
      <c r="K225" s="946" t="s">
        <v>2329</v>
      </c>
      <c r="L225" s="946" t="s">
        <v>194</v>
      </c>
      <c r="M225" s="418" t="s">
        <v>1861</v>
      </c>
      <c r="N225" s="948" t="s">
        <v>1862</v>
      </c>
      <c r="O225" s="948" t="s">
        <v>220</v>
      </c>
      <c r="P225" s="951" t="s">
        <v>1870</v>
      </c>
      <c r="Q225" s="948" t="str">
        <f>+'5. Intervenciones UDT - AH'!F47</f>
        <v>Productores asistidos</v>
      </c>
      <c r="R225" s="405">
        <f>+'5. Intervenciones UDT - AH'!I47</f>
        <v>985</v>
      </c>
      <c r="S225" s="405">
        <f>+'5. Intervenciones UDT - AH'!J47</f>
        <v>492.5</v>
      </c>
      <c r="T225" s="405">
        <f>+'5. Intervenciones UDT - AH'!K47</f>
        <v>295.5</v>
      </c>
      <c r="U225" s="405">
        <f>+'5. Intervenciones UDT - AH'!L47</f>
        <v>560</v>
      </c>
      <c r="V225" s="403" t="str">
        <f>+'5. Intervenciones UDT - AH'!M47</f>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  Los principales componentes serán el manejo agronómico del cultivo, educación ambiental, manejo y conservación de suelos, asociatividad y comercialización.</v>
      </c>
      <c r="W225" s="403" t="str">
        <f>+'5. Intervenciones UDT - AH'!N47</f>
        <v>DRASAM</v>
      </c>
      <c r="X225" s="588">
        <f>+'5. Intervenciones UDT - AH'!O47</f>
        <v>275800</v>
      </c>
      <c r="Y225" s="588">
        <f>+Tabla1[[#This Row],[2025 Directo]]*(1+$Y$3)</f>
        <v>278695.89999999997</v>
      </c>
      <c r="Z225" s="588">
        <f>+'5. Intervenciones UDT - AH'!P47</f>
        <v>165480</v>
      </c>
      <c r="AA225" s="588">
        <f>+Tabla1[[#This Row],[2030 Directo]]*(1+$Y$3)</f>
        <v>167217.53999999998</v>
      </c>
      <c r="AB225" s="588">
        <f>+'5. Intervenciones UDT - AH'!Q47</f>
        <v>55160</v>
      </c>
      <c r="AC225" s="588">
        <f>+Tabla1[[#This Row],[Año 1 Cto Directo]]*(1+$Y$3)</f>
        <v>55739.18</v>
      </c>
      <c r="AD225" s="588">
        <f>+'5. Intervenciones UDT - AH'!R47</f>
        <v>55160</v>
      </c>
      <c r="AE225" s="588">
        <f>+Tabla1[[#This Row],[Año 2 Cto. Directo]]*(1+$Y$3)</f>
        <v>55739.18</v>
      </c>
      <c r="AF225" s="588">
        <f>+'5. Intervenciones UDT - AH'!S47</f>
        <v>55160</v>
      </c>
      <c r="AG225" s="588">
        <f>+Tabla1[[#This Row],[Año 3 Cto. Directo]]*(1+$Y$3)</f>
        <v>55739.18</v>
      </c>
      <c r="AH225" s="588">
        <f>+'5. Intervenciones UDT - AH'!T47</f>
        <v>55160</v>
      </c>
      <c r="AI225" s="588">
        <f>+Tabla1[[#This Row],[Año 4 Cto. Directo]]*(1+$Y$3)</f>
        <v>55739.18</v>
      </c>
      <c r="AJ225" s="588">
        <f>+'5. Intervenciones UDT - AH'!U47</f>
        <v>55160</v>
      </c>
      <c r="AK225" s="588">
        <f>+Tabla1[[#This Row],[Año 5 Cto. Directo]]*(1+$Y$3)</f>
        <v>55739.18</v>
      </c>
      <c r="AL225" s="403">
        <f>+'5. Intervenciones UDT - AH'!V47</f>
        <v>0</v>
      </c>
      <c r="AM225" s="954"/>
      <c r="AN225" s="954"/>
      <c r="AO225" s="954" t="str">
        <f>+'5. Intervenciones UDT - AH'!Y47</f>
        <v>X</v>
      </c>
      <c r="AP225" s="954"/>
      <c r="AQ225" s="954" t="str">
        <f>+'5. Intervenciones UDT - AH'!AA47</f>
        <v>RE</v>
      </c>
      <c r="AR225" s="954">
        <f>+'5. Intervenciones UDT - AH'!AB47</f>
        <v>2</v>
      </c>
      <c r="AS225" s="403">
        <f t="shared" si="1"/>
        <v>1</v>
      </c>
    </row>
    <row r="226" spans="1:45" s="195" customFormat="1" ht="15.8" hidden="1" customHeight="1" x14ac:dyDescent="0.3">
      <c r="A226" s="403"/>
      <c r="B226" s="403" t="str">
        <f>'5. Intervenciones UDT - AH'!$C$8</f>
        <v xml:space="preserve">UDT ALTO HUALLAGA </v>
      </c>
      <c r="C226" s="403" t="str">
        <f>'5. Intervenciones UDT - AH'!$F$37</f>
        <v xml:space="preserve">Predios privados dedicados a la producción comercial (arroz) </v>
      </c>
      <c r="D226" s="404" t="str">
        <f>+'5. Intervenciones UDT - AH'!A48</f>
        <v>Programas de inversión privada</v>
      </c>
      <c r="E226" s="404" t="str">
        <f>+'5. Intervenciones UDT - AH'!C48</f>
        <v>3.2.4</v>
      </c>
      <c r="F226" s="403" t="str">
        <f>+'5. Intervenciones UDT - AH'!D48</f>
        <v xml:space="preserve">Reconversión y diversificación productiva </v>
      </c>
      <c r="G226" s="403" t="str">
        <f>+'5. Intervenciones UDT - AH'!E48</f>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v>
      </c>
      <c r="H226" s="948" t="s">
        <v>1867</v>
      </c>
      <c r="I226" s="946" t="s">
        <v>193</v>
      </c>
      <c r="J226" s="946" t="s">
        <v>2592</v>
      </c>
      <c r="K226" s="946" t="s">
        <v>2329</v>
      </c>
      <c r="L226" s="946" t="s">
        <v>196</v>
      </c>
      <c r="M226" s="418" t="s">
        <v>1866</v>
      </c>
      <c r="N226" s="948" t="s">
        <v>1862</v>
      </c>
      <c r="O226" s="948" t="s">
        <v>222</v>
      </c>
      <c r="P226" s="951" t="s">
        <v>1868</v>
      </c>
      <c r="Q226" s="948" t="str">
        <f>+'5. Intervenciones UDT - AH'!F48</f>
        <v>Hectáreas reconvertidas</v>
      </c>
      <c r="R226" s="405">
        <f>+'5. Intervenciones UDT - AH'!I48</f>
        <v>1001.4000000000001</v>
      </c>
      <c r="S226" s="405">
        <f>+'5. Intervenciones UDT - AH'!J48</f>
        <v>100.14000000000001</v>
      </c>
      <c r="T226" s="405">
        <f>+'5. Intervenciones UDT - AH'!K48</f>
        <v>200.28000000000003</v>
      </c>
      <c r="U226" s="405">
        <f>+'5. Intervenciones UDT - AH'!L48</f>
        <v>15000</v>
      </c>
      <c r="V226" s="403" t="str">
        <f>+'5. Intervenciones UDT - AH'!M48</f>
        <v xml:space="preserve">El valor presupuesto en la intervención corresponde a un costo promedio para la reconversión productiva por hectárea, dicho costo cubre los gastos de instalación y mantenimiento de los dos primeros años. Lo procesos administrativos corresponderán al programa al cual se aplique. </v>
      </c>
      <c r="W226" s="403" t="str">
        <f>+'5. Intervenciones UDT - AH'!N48</f>
        <v>AGROIDEAS</v>
      </c>
      <c r="X226" s="588">
        <f>+'5. Intervenciones UDT - AH'!O48</f>
        <v>1502100.0000000002</v>
      </c>
      <c r="Y226" s="588">
        <f>+Tabla1[[#This Row],[2025 Directo]]*(1+$Y$3)</f>
        <v>1517872.0500000003</v>
      </c>
      <c r="Z226" s="588">
        <f>+'5. Intervenciones UDT - AH'!P48</f>
        <v>3004200.0000000005</v>
      </c>
      <c r="AA226" s="588">
        <f>+Tabla1[[#This Row],[2030 Directo]]*(1+$Y$3)</f>
        <v>3035744.1000000006</v>
      </c>
      <c r="AB226" s="588">
        <f>+'5. Intervenciones UDT - AH'!Q48</f>
        <v>300420.00000000006</v>
      </c>
      <c r="AC226" s="588">
        <f>+Tabla1[[#This Row],[Año 1 Cto Directo]]*(1+$Y$3)</f>
        <v>303574.41000000003</v>
      </c>
      <c r="AD226" s="588">
        <f>+'5. Intervenciones UDT - AH'!R48</f>
        <v>300420.00000000006</v>
      </c>
      <c r="AE226" s="588">
        <f>+Tabla1[[#This Row],[Año 2 Cto. Directo]]*(1+$Y$3)</f>
        <v>303574.41000000003</v>
      </c>
      <c r="AF226" s="588">
        <f>+'5. Intervenciones UDT - AH'!S48</f>
        <v>300420.00000000006</v>
      </c>
      <c r="AG226" s="588">
        <f>+Tabla1[[#This Row],[Año 3 Cto. Directo]]*(1+$Y$3)</f>
        <v>303574.41000000003</v>
      </c>
      <c r="AH226" s="588">
        <f>+'5. Intervenciones UDT - AH'!T48</f>
        <v>300420.00000000006</v>
      </c>
      <c r="AI226" s="588">
        <f>+Tabla1[[#This Row],[Año 4 Cto. Directo]]*(1+$Y$3)</f>
        <v>303574.41000000003</v>
      </c>
      <c r="AJ226" s="588">
        <f>+'5. Intervenciones UDT - AH'!U48</f>
        <v>300420.00000000006</v>
      </c>
      <c r="AK226" s="588">
        <f>+Tabla1[[#This Row],[Año 5 Cto. Directo]]*(1+$Y$3)</f>
        <v>303574.41000000003</v>
      </c>
      <c r="AL226" s="403">
        <f>+'5. Intervenciones UDT - AH'!V48</f>
        <v>0</v>
      </c>
      <c r="AM226" s="954"/>
      <c r="AN226" s="954"/>
      <c r="AO226" s="954" t="str">
        <f>+'5. Intervenciones UDT - AH'!Y48</f>
        <v>X</v>
      </c>
      <c r="AP226" s="954"/>
      <c r="AQ226" s="954" t="str">
        <f>+'5. Intervenciones UDT - AH'!AA48</f>
        <v>RE</v>
      </c>
      <c r="AR226" s="954">
        <f>+'5. Intervenciones UDT - AH'!AB48</f>
        <v>3</v>
      </c>
      <c r="AS226" s="403">
        <f t="shared" si="1"/>
        <v>1</v>
      </c>
    </row>
    <row r="227" spans="1:45" s="195" customFormat="1" ht="15.8" hidden="1" customHeight="1" x14ac:dyDescent="0.3">
      <c r="A227" s="403"/>
      <c r="B227" s="403" t="str">
        <f>'5. Intervenciones UDT - AH'!$C$8</f>
        <v xml:space="preserve">UDT ALTO HUALLAGA </v>
      </c>
      <c r="C227" s="403" t="str">
        <f>'5. Intervenciones UDT - AH'!$F$37</f>
        <v xml:space="preserve">Predios privados dedicados a la producción comercial (arroz) </v>
      </c>
      <c r="D227" s="404" t="str">
        <f>+'5. Intervenciones UDT - AH'!A49</f>
        <v>Ingresos y Capital</v>
      </c>
      <c r="E227" s="404" t="str">
        <f>+'5. Intervenciones UDT - AH'!C49</f>
        <v>3.2.5</v>
      </c>
      <c r="F227" s="403" t="str">
        <f>+'5. Intervenciones UDT - AH'!D49</f>
        <v>Programa de acceso al financiamiento agropecuario condicionado</v>
      </c>
      <c r="G227" s="403" t="str">
        <f>+'5. Intervenciones UDT - AH'!E49</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v>
      </c>
      <c r="H227" s="948" t="s">
        <v>1864</v>
      </c>
      <c r="I227" s="946" t="s">
        <v>193</v>
      </c>
      <c r="J227" s="946" t="s">
        <v>2593</v>
      </c>
      <c r="K227" s="946" t="s">
        <v>2330</v>
      </c>
      <c r="L227" s="946" t="s">
        <v>195</v>
      </c>
      <c r="M227" s="418" t="s">
        <v>1871</v>
      </c>
      <c r="N227" s="948" t="s">
        <v>1862</v>
      </c>
      <c r="O227" s="948" t="s">
        <v>218</v>
      </c>
      <c r="P227" s="951" t="s">
        <v>1872</v>
      </c>
      <c r="Q227" s="948" t="str">
        <f>+'5. Intervenciones UDT - AH'!F49</f>
        <v>Productores atendidos</v>
      </c>
      <c r="R227" s="405">
        <f>+'5. Intervenciones UDT - AH'!I49</f>
        <v>985</v>
      </c>
      <c r="S227" s="405">
        <f>+'5. Intervenciones UDT - AH'!J49</f>
        <v>295.5</v>
      </c>
      <c r="T227" s="405">
        <f>+'5. Intervenciones UDT - AH'!K49</f>
        <v>197</v>
      </c>
      <c r="U227" s="405">
        <f>+'5. Intervenciones UDT - AH'!L49</f>
        <v>10750</v>
      </c>
      <c r="V227" s="403" t="str">
        <f>+'5. Intervenciones UDT - AH'!M49</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227" s="407" t="str">
        <f>+'5. Intervenciones UDT - AH'!N49</f>
        <v>DRASAM</v>
      </c>
      <c r="X227" s="588">
        <f>+'5. Intervenciones UDT - AH'!O49</f>
        <v>3176625</v>
      </c>
      <c r="Y227" s="588">
        <f>+Tabla1[[#This Row],[2025 Directo]]*(1+$Y$3)</f>
        <v>3209979.5625</v>
      </c>
      <c r="Z227" s="588">
        <f>+'5. Intervenciones UDT - AH'!P49</f>
        <v>2117750</v>
      </c>
      <c r="AA227" s="588">
        <f>+Tabla1[[#This Row],[2030 Directo]]*(1+$Y$3)</f>
        <v>2139986.375</v>
      </c>
      <c r="AB227" s="588">
        <f>+'5. Intervenciones UDT - AH'!Q49</f>
        <v>635325</v>
      </c>
      <c r="AC227" s="588">
        <f>+Tabla1[[#This Row],[Año 1 Cto Directo]]*(1+$Y$3)</f>
        <v>641995.91249999998</v>
      </c>
      <c r="AD227" s="588">
        <f>+'5. Intervenciones UDT - AH'!R49</f>
        <v>635325</v>
      </c>
      <c r="AE227" s="588">
        <f>+Tabla1[[#This Row],[Año 2 Cto. Directo]]*(1+$Y$3)</f>
        <v>641995.91249999998</v>
      </c>
      <c r="AF227" s="588">
        <f>+'5. Intervenciones UDT - AH'!S49</f>
        <v>635325</v>
      </c>
      <c r="AG227" s="588">
        <f>+Tabla1[[#This Row],[Año 3 Cto. Directo]]*(1+$Y$3)</f>
        <v>641995.91249999998</v>
      </c>
      <c r="AH227" s="588">
        <f>+'5. Intervenciones UDT - AH'!T49</f>
        <v>635325</v>
      </c>
      <c r="AI227" s="588">
        <f>+Tabla1[[#This Row],[Año 4 Cto. Directo]]*(1+$Y$3)</f>
        <v>641995.91249999998</v>
      </c>
      <c r="AJ227" s="588">
        <f>+'5. Intervenciones UDT - AH'!U49</f>
        <v>635325</v>
      </c>
      <c r="AK227" s="588">
        <f>+Tabla1[[#This Row],[Año 5 Cto. Directo]]*(1+$Y$3)</f>
        <v>641995.91249999998</v>
      </c>
      <c r="AL227" s="403">
        <f>+'5. Intervenciones UDT - AH'!V49</f>
        <v>0</v>
      </c>
      <c r="AM227" s="954" t="str">
        <f>+'5. Intervenciones UDT - AH'!W49</f>
        <v>X</v>
      </c>
      <c r="AN227" s="954"/>
      <c r="AO227" s="954"/>
      <c r="AP227" s="954"/>
      <c r="AQ227" s="954"/>
      <c r="AR227" s="954">
        <f>+'5. Intervenciones UDT - AH'!AB49</f>
        <v>3</v>
      </c>
      <c r="AS227" s="403">
        <f t="shared" si="1"/>
        <v>1</v>
      </c>
    </row>
    <row r="228" spans="1:45" s="195" customFormat="1" ht="15.8" hidden="1" customHeight="1" x14ac:dyDescent="0.3">
      <c r="A228" s="403"/>
      <c r="B228" s="403" t="str">
        <f>'5. Intervenciones UDT - AH'!$C$8</f>
        <v xml:space="preserve">UDT ALTO HUALLAGA </v>
      </c>
      <c r="C228" s="403" t="str">
        <f>'5. Intervenciones UDT - AH'!$F$37</f>
        <v xml:space="preserve">Predios privados dedicados a la producción comercial (arroz) </v>
      </c>
      <c r="D228" s="404" t="str">
        <f>+'5. Intervenciones UDT - AH'!A50</f>
        <v>Programas de inversión pública</v>
      </c>
      <c r="E228" s="404" t="str">
        <f>+'5. Intervenciones UDT - AH'!C50</f>
        <v>3.2.6</v>
      </c>
      <c r="F228" s="403" t="str">
        <f>+'5. Intervenciones UDT - AH'!D50</f>
        <v>Promoción de modelos asociativos sostenibles</v>
      </c>
      <c r="G228" s="403" t="str">
        <f>+'5. Intervenciones UDT - AH'!E50</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H228" s="948" t="s">
        <v>1857</v>
      </c>
      <c r="I228" s="946" t="s">
        <v>193</v>
      </c>
      <c r="J228" s="946" t="s">
        <v>2594</v>
      </c>
      <c r="K228" s="946" t="s">
        <v>2332</v>
      </c>
      <c r="L228" s="946" t="s">
        <v>198</v>
      </c>
      <c r="M228" s="418" t="s">
        <v>1874</v>
      </c>
      <c r="N228" s="948" t="s">
        <v>1862</v>
      </c>
      <c r="O228" s="948" t="s">
        <v>230</v>
      </c>
      <c r="P228" s="951" t="s">
        <v>1875</v>
      </c>
      <c r="Q228" s="948" t="str">
        <f>+'5. Intervenciones UDT - AH'!F50</f>
        <v>Organizaciones formalizadas</v>
      </c>
      <c r="R228" s="405">
        <f>+'5. Intervenciones UDT - AH'!I50</f>
        <v>0</v>
      </c>
      <c r="S228" s="405">
        <f>+'5. Intervenciones UDT - AH'!J50</f>
        <v>2</v>
      </c>
      <c r="T228" s="405">
        <f>+'5. Intervenciones UDT - AH'!K50</f>
        <v>2</v>
      </c>
      <c r="U228" s="405">
        <f>+'5. Intervenciones UDT - AH'!L50</f>
        <v>120000</v>
      </c>
      <c r="V228" s="403" t="str">
        <f>+'5. Intervenciones UDT - AH'!M50</f>
        <v>El costo implica la contratación de servicios especializados, quienes deben dar el soporte y acompañamiento a organizaciones con alto potencial de desarrollo social y empresarial, así mismo costos de pasantías o misiones empresariales, diseños de marcas, desarrollo de productos entre otros, con la finalidad de lograr la internacionalización de aquellas que estén en la capacidad de hacerlo.</v>
      </c>
      <c r="W228" s="403" t="str">
        <f>+'5. Intervenciones UDT - AH'!N50</f>
        <v>DRASAM</v>
      </c>
      <c r="X228" s="588">
        <f>+'5. Intervenciones UDT - AH'!O50</f>
        <v>1200000</v>
      </c>
      <c r="Y228" s="588">
        <f>+Tabla1[[#This Row],[2025 Directo]]*(1+$Y$3)</f>
        <v>1212600</v>
      </c>
      <c r="Z228" s="588">
        <f>+'5. Intervenciones UDT - AH'!P50</f>
        <v>1200000</v>
      </c>
      <c r="AA228" s="588">
        <f>+Tabla1[[#This Row],[2030 Directo]]*(1+$Y$3)</f>
        <v>1212600</v>
      </c>
      <c r="AB228" s="588">
        <f>+'5. Intervenciones UDT - AH'!Q50</f>
        <v>240000</v>
      </c>
      <c r="AC228" s="588">
        <f>+Tabla1[[#This Row],[Año 1 Cto Directo]]*(1+$Y$3)</f>
        <v>242520</v>
      </c>
      <c r="AD228" s="588">
        <f>+'5. Intervenciones UDT - AH'!R50</f>
        <v>240000</v>
      </c>
      <c r="AE228" s="588">
        <f>+Tabla1[[#This Row],[Año 2 Cto. Directo]]*(1+$Y$3)</f>
        <v>242520</v>
      </c>
      <c r="AF228" s="588">
        <f>+'5. Intervenciones UDT - AH'!S50</f>
        <v>240000</v>
      </c>
      <c r="AG228" s="588">
        <f>+Tabla1[[#This Row],[Año 3 Cto. Directo]]*(1+$Y$3)</f>
        <v>242520</v>
      </c>
      <c r="AH228" s="588">
        <f>+'5. Intervenciones UDT - AH'!T50</f>
        <v>240000</v>
      </c>
      <c r="AI228" s="588">
        <f>+Tabla1[[#This Row],[Año 4 Cto. Directo]]*(1+$Y$3)</f>
        <v>242520</v>
      </c>
      <c r="AJ228" s="588">
        <f>+'5. Intervenciones UDT - AH'!U50</f>
        <v>240000</v>
      </c>
      <c r="AK228" s="588">
        <f>+Tabla1[[#This Row],[Año 5 Cto. Directo]]*(1+$Y$3)</f>
        <v>242520</v>
      </c>
      <c r="AL228" s="403">
        <f>+'5. Intervenciones UDT - AH'!V50</f>
        <v>0</v>
      </c>
      <c r="AM228" s="954"/>
      <c r="AN228" s="954"/>
      <c r="AO228" s="954" t="str">
        <f>+'5. Intervenciones UDT - AH'!Y50</f>
        <v>X</v>
      </c>
      <c r="AP228" s="954"/>
      <c r="AQ228" s="954"/>
      <c r="AR228" s="954">
        <f>+'5. Intervenciones UDT - AH'!AB50</f>
        <v>3</v>
      </c>
      <c r="AS228" s="403">
        <f t="shared" si="1"/>
        <v>1</v>
      </c>
    </row>
    <row r="229" spans="1:45" s="195" customFormat="1" ht="15.8" hidden="1" customHeight="1" x14ac:dyDescent="0.3">
      <c r="A229" s="403"/>
      <c r="B229" s="403" t="str">
        <f>'5. Intervenciones UDT - AH'!$C$8</f>
        <v xml:space="preserve">UDT ALTO HUALLAGA </v>
      </c>
      <c r="C229" s="403" t="str">
        <f>'5. Intervenciones UDT - AH'!$F$37</f>
        <v xml:space="preserve">Predios privados dedicados a la producción comercial (arroz) </v>
      </c>
      <c r="D229" s="404" t="str">
        <f>+'5. Intervenciones UDT - AH'!A51</f>
        <v>Programas de inversión privada</v>
      </c>
      <c r="E229" s="404" t="str">
        <f>+'5. Intervenciones UDT - AH'!C51</f>
        <v>3.2.7</v>
      </c>
      <c r="F229" s="403" t="str">
        <f>+'5. Intervenciones UDT - AH'!D51</f>
        <v>Implementación de infraestructura productiva baja en emisiones</v>
      </c>
      <c r="G229" s="403" t="str">
        <f>+'5. Intervenciones UDT - AH'!E51</f>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v>
      </c>
      <c r="H229" s="948" t="s">
        <v>1857</v>
      </c>
      <c r="I229" s="946" t="s">
        <v>193</v>
      </c>
      <c r="J229" s="946" t="s">
        <v>2592</v>
      </c>
      <c r="K229" s="946" t="s">
        <v>2329</v>
      </c>
      <c r="L229" s="946" t="s">
        <v>196</v>
      </c>
      <c r="M229" s="418" t="s">
        <v>1866</v>
      </c>
      <c r="N229" s="948" t="s">
        <v>1862</v>
      </c>
      <c r="O229" s="948" t="s">
        <v>227</v>
      </c>
      <c r="P229" s="951" t="s">
        <v>1873</v>
      </c>
      <c r="Q229" s="948" t="str">
        <f>+'5. Intervenciones UDT - AH'!F51</f>
        <v>Planes de negocios ejecutados</v>
      </c>
      <c r="R229" s="405">
        <f>+'5. Intervenciones UDT - AH'!I51</f>
        <v>0</v>
      </c>
      <c r="S229" s="405">
        <f>+'5. Intervenciones UDT - AH'!J51</f>
        <v>2</v>
      </c>
      <c r="T229" s="405">
        <f>+'5. Intervenciones UDT - AH'!K51</f>
        <v>2</v>
      </c>
      <c r="U229" s="405">
        <f>+'5. Intervenciones UDT - AH'!L51</f>
        <v>15000</v>
      </c>
      <c r="V229" s="403" t="str">
        <f>+'5. Intervenciones UDT - AH'!M51</f>
        <v>Para el logro de los objetivos, se considera el pago de profesionales para la formulación de los planes de negocios que beneficiarían directamente a los pequeños productores.</v>
      </c>
      <c r="W229" s="407" t="str">
        <f>+'5. Intervenciones UDT - AH'!N51</f>
        <v>DRASAM</v>
      </c>
      <c r="X229" s="588">
        <f>+'5. Intervenciones UDT - AH'!O51</f>
        <v>150000</v>
      </c>
      <c r="Y229" s="588">
        <f>+Tabla1[[#This Row],[2025 Directo]]*(1+$Y$3)</f>
        <v>151575</v>
      </c>
      <c r="Z229" s="588">
        <f>+'5. Intervenciones UDT - AH'!P51</f>
        <v>150000</v>
      </c>
      <c r="AA229" s="588">
        <f>+Tabla1[[#This Row],[2030 Directo]]*(1+$Y$3)</f>
        <v>151575</v>
      </c>
      <c r="AB229" s="588">
        <f>+'5. Intervenciones UDT - AH'!Q51</f>
        <v>75000</v>
      </c>
      <c r="AC229" s="588">
        <f>+Tabla1[[#This Row],[Año 1 Cto Directo]]*(1+$Y$3)</f>
        <v>75787.5</v>
      </c>
      <c r="AD229" s="588">
        <f>+'5. Intervenciones UDT - AH'!R51</f>
        <v>0</v>
      </c>
      <c r="AE229" s="588">
        <f>+Tabla1[[#This Row],[Año 2 Cto. Directo]]*(1+$Y$3)</f>
        <v>0</v>
      </c>
      <c r="AF229" s="588">
        <f>+'5. Intervenciones UDT - AH'!S51</f>
        <v>75000</v>
      </c>
      <c r="AG229" s="588">
        <f>+Tabla1[[#This Row],[Año 3 Cto. Directo]]*(1+$Y$3)</f>
        <v>75787.5</v>
      </c>
      <c r="AH229" s="588">
        <f>+'5. Intervenciones UDT - AH'!T51</f>
        <v>0</v>
      </c>
      <c r="AI229" s="588">
        <f>+Tabla1[[#This Row],[Año 4 Cto. Directo]]*(1+$Y$3)</f>
        <v>0</v>
      </c>
      <c r="AJ229" s="588">
        <f>+'5. Intervenciones UDT - AH'!U51</f>
        <v>0</v>
      </c>
      <c r="AK229" s="588">
        <f>+Tabla1[[#This Row],[Año 5 Cto. Directo]]*(1+$Y$3)</f>
        <v>0</v>
      </c>
      <c r="AL229" s="403">
        <f>+'5. Intervenciones UDT - AH'!V51</f>
        <v>0</v>
      </c>
      <c r="AM229" s="954" t="str">
        <f>+'5. Intervenciones UDT - AH'!W51</f>
        <v>X</v>
      </c>
      <c r="AN229" s="954"/>
      <c r="AO229" s="954"/>
      <c r="AP229" s="954"/>
      <c r="AQ229" s="954"/>
      <c r="AR229" s="954">
        <f>+'5. Intervenciones UDT - AH'!AB51</f>
        <v>3</v>
      </c>
      <c r="AS229" s="403">
        <f t="shared" si="1"/>
        <v>1</v>
      </c>
    </row>
    <row r="230" spans="1:45" s="195" customFormat="1" ht="15.8" hidden="1" customHeight="1" x14ac:dyDescent="0.3">
      <c r="A230" s="403"/>
      <c r="B230" s="403" t="str">
        <f>'5. Intervenciones UDT - AH'!$C$8</f>
        <v xml:space="preserve">UDT ALTO HUALLAGA </v>
      </c>
      <c r="C230" s="403" t="str">
        <f>'5. Intervenciones UDT - AH'!$F$37</f>
        <v xml:space="preserve">Predios privados dedicados a la producción comercial (arroz) </v>
      </c>
      <c r="D230" s="404" t="str">
        <f>+'5. Intervenciones UDT - AH'!A52</f>
        <v>Control y vigilancia</v>
      </c>
      <c r="E230" s="404" t="str">
        <f>+'5. Intervenciones UDT - AH'!C52</f>
        <v>3.2.8</v>
      </c>
      <c r="F230" s="403" t="str">
        <f>+'5. Intervenciones UDT - AH'!D52</f>
        <v>Promoción y acceso a los Mecanismos de Retribución por Servicios Eco sistémicos (MERESE)</v>
      </c>
      <c r="G230" s="403" t="str">
        <f>+'5. Intervenciones UDT - AH'!E52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230" s="948" t="s">
        <v>1857</v>
      </c>
      <c r="I230" s="946" t="s">
        <v>203</v>
      </c>
      <c r="J230" s="946" t="s">
        <v>2595</v>
      </c>
      <c r="K230" s="946" t="s">
        <v>2333</v>
      </c>
      <c r="L230" s="946" t="s">
        <v>204</v>
      </c>
      <c r="M230" s="418" t="s">
        <v>1878</v>
      </c>
      <c r="N230" s="948" t="s">
        <v>1879</v>
      </c>
      <c r="O230" s="948" t="s">
        <v>225</v>
      </c>
      <c r="P230" s="951" t="s">
        <v>1880</v>
      </c>
      <c r="Q230" s="948" t="str">
        <f>+'5. Intervenciones UDT - AH'!F52</f>
        <v>Campañas de difusión y promoción</v>
      </c>
      <c r="R230" s="405">
        <f>+'5. Intervenciones UDT - AH'!I52</f>
        <v>0</v>
      </c>
      <c r="S230" s="405">
        <f>+'5. Intervenciones UDT - AH'!J52</f>
        <v>25</v>
      </c>
      <c r="T230" s="405">
        <f>+'5. Intervenciones UDT - AH'!K52</f>
        <v>25</v>
      </c>
      <c r="U230" s="405">
        <f>+'5. Intervenciones UDT - AH'!L52</f>
        <v>10000</v>
      </c>
      <c r="V230" s="403" t="str">
        <f>+'5. Intervenciones UDT - AH'!M52</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230" s="403" t="str">
        <f>+'5. Intervenciones UDT - AH'!N52</f>
        <v>SUNASS</v>
      </c>
      <c r="X230" s="588">
        <f>+'5. Intervenciones UDT - AH'!O52</f>
        <v>250000</v>
      </c>
      <c r="Y230" s="588">
        <f>+Tabla1[[#This Row],[2025 Directo]]*(1+$Y$3)</f>
        <v>252625</v>
      </c>
      <c r="Z230" s="588">
        <f>+'5. Intervenciones UDT - AH'!P52</f>
        <v>250000</v>
      </c>
      <c r="AA230" s="588">
        <f>+Tabla1[[#This Row],[2030 Directo]]*(1+$Y$3)</f>
        <v>252625</v>
      </c>
      <c r="AB230" s="588">
        <f>+'5. Intervenciones UDT - AH'!Q52</f>
        <v>50000</v>
      </c>
      <c r="AC230" s="588">
        <f>+Tabla1[[#This Row],[Año 1 Cto Directo]]*(1+$Y$3)</f>
        <v>50525</v>
      </c>
      <c r="AD230" s="588">
        <f>+'5. Intervenciones UDT - AH'!R52</f>
        <v>50000</v>
      </c>
      <c r="AE230" s="588">
        <f>+Tabla1[[#This Row],[Año 2 Cto. Directo]]*(1+$Y$3)</f>
        <v>50525</v>
      </c>
      <c r="AF230" s="588">
        <f>+'5. Intervenciones UDT - AH'!S52</f>
        <v>50000</v>
      </c>
      <c r="AG230" s="588">
        <f>+Tabla1[[#This Row],[Año 3 Cto. Directo]]*(1+$Y$3)</f>
        <v>50525</v>
      </c>
      <c r="AH230" s="588">
        <f>+'5. Intervenciones UDT - AH'!T52</f>
        <v>50000</v>
      </c>
      <c r="AI230" s="588">
        <f>+Tabla1[[#This Row],[Año 4 Cto. Directo]]*(1+$Y$3)</f>
        <v>50525</v>
      </c>
      <c r="AJ230" s="588">
        <f>+'5. Intervenciones UDT - AH'!U52</f>
        <v>50000</v>
      </c>
      <c r="AK230" s="588">
        <f>+Tabla1[[#This Row],[Año 5 Cto. Directo]]*(1+$Y$3)</f>
        <v>50525</v>
      </c>
      <c r="AL230" s="403">
        <f>+'5. Intervenciones UDT - AH'!V52</f>
        <v>0</v>
      </c>
      <c r="AM230" s="954" t="str">
        <f>+'5. Intervenciones UDT - AH'!W52</f>
        <v>X</v>
      </c>
      <c r="AN230" s="954"/>
      <c r="AO230" s="954"/>
      <c r="AP230" s="954"/>
      <c r="AQ230" s="954"/>
      <c r="AR230" s="954">
        <f>+'5. Intervenciones UDT - AH'!AB52</f>
        <v>3</v>
      </c>
      <c r="AS230" s="403">
        <f t="shared" si="1"/>
        <v>1</v>
      </c>
    </row>
    <row r="231" spans="1:45" s="195" customFormat="1" ht="15.8" hidden="1" customHeight="1" x14ac:dyDescent="0.3">
      <c r="A231" s="403"/>
      <c r="B231" s="403" t="str">
        <f>'5. Intervenciones UDT - AH'!$C$8</f>
        <v xml:space="preserve">UDT ALTO HUALLAGA </v>
      </c>
      <c r="C231" s="403" t="str">
        <f>'5. Intervenciones UDT - AH'!$F$56</f>
        <v>Predios privados para ganadería de leche y carne</v>
      </c>
      <c r="D231" s="404" t="str">
        <f>+'5. Intervenciones UDT - AH'!A64</f>
        <v>Invasiones</v>
      </c>
      <c r="E231" s="404" t="str">
        <f>+'5. Intervenciones UDT - AH'!C64</f>
        <v>3.3.1</v>
      </c>
      <c r="F231" s="403" t="str">
        <f>+'5. Intervenciones UDT - AH'!D64</f>
        <v>Otorgamiento de derechos sobre la tierra/bosques</v>
      </c>
      <c r="G231" s="403" t="str">
        <f>+'5. Intervenciones UDT - AH'!E64</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231" s="948" t="s">
        <v>1857</v>
      </c>
      <c r="I231" s="946" t="s">
        <v>199</v>
      </c>
      <c r="J231" s="946" t="s">
        <v>2591</v>
      </c>
      <c r="K231" s="946" t="s">
        <v>2331</v>
      </c>
      <c r="L231" s="946" t="s">
        <v>202</v>
      </c>
      <c r="M231" s="418" t="s">
        <v>1858</v>
      </c>
      <c r="N231" s="948" t="s">
        <v>1859</v>
      </c>
      <c r="O231" s="948" t="s">
        <v>223</v>
      </c>
      <c r="P231" s="951" t="s">
        <v>1860</v>
      </c>
      <c r="Q231" s="948" t="str">
        <f>+'5. Intervenciones UDT - AH'!F64</f>
        <v>N° Títulos/Contratos otorgados</v>
      </c>
      <c r="R231" s="405">
        <f>+'5. Intervenciones UDT - AH'!I64</f>
        <v>463.30581406844504</v>
      </c>
      <c r="S231" s="405">
        <f>+'5. Intervenciones UDT - AH'!J64</f>
        <v>231.65290703422252</v>
      </c>
      <c r="T231" s="405">
        <f>+'5. Intervenciones UDT - AH'!K64</f>
        <v>231.65290703422252</v>
      </c>
      <c r="U231" s="405">
        <f>+'5. Intervenciones UDT - AH'!L64</f>
        <v>2000</v>
      </c>
      <c r="V231" s="403" t="str">
        <f>+'5. Intervenciones UDT - AH'!M64</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231" s="403" t="str">
        <f>+'5. Intervenciones UDT - AH'!N64</f>
        <v>Programa de titulación PTR 3 / ARA</v>
      </c>
      <c r="X231" s="588">
        <f>+'5. Intervenciones UDT - AH'!O64</f>
        <v>463305.81406844506</v>
      </c>
      <c r="Y231" s="588">
        <f>+Tabla1[[#This Row],[2025 Directo]]*(1+$Y$3)</f>
        <v>468170.52511616371</v>
      </c>
      <c r="Z231" s="588">
        <f>+'5. Intervenciones UDT - AH'!P64</f>
        <v>463305.81406844506</v>
      </c>
      <c r="AA231" s="588">
        <f>+Tabla1[[#This Row],[2030 Directo]]*(1+$Y$3)</f>
        <v>468170.52511616371</v>
      </c>
      <c r="AB231" s="588">
        <f>+'5. Intervenciones UDT - AH'!Q64</f>
        <v>46330.581406844511</v>
      </c>
      <c r="AC231" s="588">
        <f>+Tabla1[[#This Row],[Año 1 Cto Directo]]*(1+$Y$3)</f>
        <v>46817.052511616377</v>
      </c>
      <c r="AD231" s="588">
        <f>+'5. Intervenciones UDT - AH'!R64</f>
        <v>69495.872110266762</v>
      </c>
      <c r="AE231" s="588">
        <f>+Tabla1[[#This Row],[Año 2 Cto. Directo]]*(1+$Y$3)</f>
        <v>70225.578767424566</v>
      </c>
      <c r="AF231" s="588">
        <f>+'5. Intervenciones UDT - AH'!S64</f>
        <v>92661.162813689021</v>
      </c>
      <c r="AG231" s="588">
        <f>+Tabla1[[#This Row],[Año 3 Cto. Directo]]*(1+$Y$3)</f>
        <v>93634.105023232754</v>
      </c>
      <c r="AH231" s="588">
        <f>+'5. Intervenciones UDT - AH'!T64</f>
        <v>138991.74422053352</v>
      </c>
      <c r="AI231" s="588">
        <f>+Tabla1[[#This Row],[Año 4 Cto. Directo]]*(1+$Y$3)</f>
        <v>140451.15753484913</v>
      </c>
      <c r="AJ231" s="588">
        <f>+'5. Intervenciones UDT - AH'!U64</f>
        <v>115826.45351711127</v>
      </c>
      <c r="AK231" s="588">
        <f>+Tabla1[[#This Row],[Año 5 Cto. Directo]]*(1+$Y$3)</f>
        <v>117042.63127904093</v>
      </c>
      <c r="AL231" s="403">
        <f>+'5. Intervenciones UDT - AH'!V64</f>
        <v>0</v>
      </c>
      <c r="AM231" s="954"/>
      <c r="AN231" s="954"/>
      <c r="AO231" s="954" t="str">
        <f>+'5. Intervenciones UDT - AH'!Y64</f>
        <v>X</v>
      </c>
      <c r="AP231" s="954"/>
      <c r="AQ231" s="954" t="str">
        <f>+'5. Intervenciones UDT - AH'!AA64</f>
        <v>RE</v>
      </c>
      <c r="AR231" s="954">
        <f>+'5. Intervenciones UDT - AH'!AB64</f>
        <v>3</v>
      </c>
      <c r="AS231" s="403">
        <f t="shared" ref="AS231" si="14">COUNTIF(AM231:AP231, "X")</f>
        <v>1</v>
      </c>
    </row>
    <row r="232" spans="1:45" s="195" customFormat="1" ht="15.8" hidden="1" customHeight="1" x14ac:dyDescent="0.3">
      <c r="A232" s="403"/>
      <c r="B232" s="403" t="str">
        <f>'5. Intervenciones UDT - AH'!$C$8</f>
        <v xml:space="preserve">UDT ALTO HUALLAGA </v>
      </c>
      <c r="C232" s="403" t="str">
        <f>'5. Intervenciones UDT - AH'!$F$56</f>
        <v>Predios privados para ganadería de leche y carne</v>
      </c>
      <c r="D232" s="404" t="str">
        <f>+'5. Intervenciones UDT - AH'!A65</f>
        <v>Programas de inversión pública</v>
      </c>
      <c r="E232" s="404" t="str">
        <f>+'5. Intervenciones UDT - AH'!C65</f>
        <v>3.3.2</v>
      </c>
      <c r="F232" s="403" t="str">
        <f>+'5. Intervenciones UDT - AH'!D65</f>
        <v xml:space="preserve">Asistencia técnica para el mejoramiento de pastos y ganadería </v>
      </c>
      <c r="G232" s="403" t="str">
        <f>+'5. Intervenciones UDT - AH'!E65</f>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H232" s="948" t="s">
        <v>1857</v>
      </c>
      <c r="I232" s="946" t="s">
        <v>193</v>
      </c>
      <c r="J232" s="946" t="s">
        <v>2592</v>
      </c>
      <c r="K232" s="946" t="s">
        <v>2329</v>
      </c>
      <c r="L232" s="946" t="s">
        <v>194</v>
      </c>
      <c r="M232" s="418" t="s">
        <v>1861</v>
      </c>
      <c r="N232" s="948" t="s">
        <v>1862</v>
      </c>
      <c r="O232" s="948" t="s">
        <v>224</v>
      </c>
      <c r="P232" s="951" t="s">
        <v>1863</v>
      </c>
      <c r="Q232" s="948" t="str">
        <f>+'5. Intervenciones UDT - AH'!F65</f>
        <v>Ganaderos asistidos</v>
      </c>
      <c r="R232" s="405">
        <f>+'5. Intervenciones UDT - AH'!I65</f>
        <v>587</v>
      </c>
      <c r="S232" s="405">
        <f>+'5. Intervenciones UDT - AH'!J65</f>
        <v>587</v>
      </c>
      <c r="T232" s="405">
        <f>+'5. Intervenciones UDT - AH'!K65</f>
        <v>587</v>
      </c>
      <c r="U232" s="405">
        <f>+'5. Intervenciones UDT - AH'!L65</f>
        <v>560</v>
      </c>
      <c r="V232" s="403" t="str">
        <f>+'5. Intervenciones UDT - AH'!M65</f>
        <v>El costo es de S/ 560,00 por productor por año, el cual incluye de 6 a 7 asistencias técnicas personalizadas y de 8 a 9 capacitaciones grupales durante un año. Se estima que un técnico puede brindar asistencia técnica de manera eficiente como máximo a 3 productores por día, lo cual equivale a una carga máxima de 75 productores por mes.</v>
      </c>
      <c r="W232" s="403" t="str">
        <f>+'5. Intervenciones UDT - AH'!N65</f>
        <v>DRASAM</v>
      </c>
      <c r="X232" s="588">
        <f>+'5. Intervenciones UDT - AH'!O65</f>
        <v>328720</v>
      </c>
      <c r="Y232" s="588">
        <f>+Tabla1[[#This Row],[2025 Directo]]*(1+$Y$3)</f>
        <v>332171.56</v>
      </c>
      <c r="Z232" s="588">
        <f>+'5. Intervenciones UDT - AH'!P65</f>
        <v>328720</v>
      </c>
      <c r="AA232" s="588">
        <f>+Tabla1[[#This Row],[2030 Directo]]*(1+$Y$3)</f>
        <v>332171.56</v>
      </c>
      <c r="AB232" s="588">
        <f>+'5. Intervenciones UDT - AH'!Q65</f>
        <v>65744</v>
      </c>
      <c r="AC232" s="588">
        <f>+Tabla1[[#This Row],[Año 1 Cto Directo]]*(1+$Y$3)</f>
        <v>66434.311999999991</v>
      </c>
      <c r="AD232" s="588">
        <f>+'5. Intervenciones UDT - AH'!R65</f>
        <v>65744</v>
      </c>
      <c r="AE232" s="588">
        <f>+Tabla1[[#This Row],[Año 2 Cto. Directo]]*(1+$Y$3)</f>
        <v>66434.311999999991</v>
      </c>
      <c r="AF232" s="588">
        <f>+'5. Intervenciones UDT - AH'!S65</f>
        <v>65744</v>
      </c>
      <c r="AG232" s="588">
        <f>+Tabla1[[#This Row],[Año 3 Cto. Directo]]*(1+$Y$3)</f>
        <v>66434.311999999991</v>
      </c>
      <c r="AH232" s="588">
        <f>+'5. Intervenciones UDT - AH'!T65</f>
        <v>65744</v>
      </c>
      <c r="AI232" s="588">
        <f>+Tabla1[[#This Row],[Año 4 Cto. Directo]]*(1+$Y$3)</f>
        <v>66434.311999999991</v>
      </c>
      <c r="AJ232" s="588">
        <f>+'5. Intervenciones UDT - AH'!U65</f>
        <v>65744</v>
      </c>
      <c r="AK232" s="588">
        <f>+Tabla1[[#This Row],[Año 5 Cto. Directo]]*(1+$Y$3)</f>
        <v>66434.311999999991</v>
      </c>
      <c r="AL232" s="403">
        <f>+'5. Intervenciones UDT - AH'!V65</f>
        <v>0</v>
      </c>
      <c r="AM232" s="954"/>
      <c r="AN232" s="954"/>
      <c r="AO232" s="954" t="str">
        <f>+'5. Intervenciones UDT - AH'!Y65</f>
        <v>X</v>
      </c>
      <c r="AP232" s="954"/>
      <c r="AQ232" s="954" t="str">
        <f>+'5. Intervenciones UDT - AH'!AA65</f>
        <v>RE</v>
      </c>
      <c r="AR232" s="954">
        <f>+'5. Intervenciones UDT - AH'!AB65</f>
        <v>3</v>
      </c>
      <c r="AS232" s="403">
        <f t="shared" si="1"/>
        <v>1</v>
      </c>
    </row>
    <row r="233" spans="1:45" s="195" customFormat="1" ht="15.8" hidden="1" customHeight="1" x14ac:dyDescent="0.3">
      <c r="A233" s="403"/>
      <c r="B233" s="403" t="str">
        <f>'5. Intervenciones UDT - AH'!$C$8</f>
        <v xml:space="preserve">UDT ALTO HUALLAGA </v>
      </c>
      <c r="C233" s="403" t="str">
        <f>'5. Intervenciones UDT - AH'!$F$56</f>
        <v>Predios privados para ganadería de leche y carne</v>
      </c>
      <c r="D233" s="404" t="str">
        <f>+'5. Intervenciones UDT - AH'!A66</f>
        <v>Programas de inversión pública</v>
      </c>
      <c r="E233" s="404" t="str">
        <f>+'5. Intervenciones UDT - AH'!C66</f>
        <v>3.3.3</v>
      </c>
      <c r="F233" s="403" t="str">
        <f>+'5. Intervenciones UDT - AH'!D66</f>
        <v>Manejo, conservación y recuperación de suelos degradados</v>
      </c>
      <c r="G233" s="403" t="str">
        <f>+'5. Intervenciones UDT - AH'!E66</f>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v>
      </c>
      <c r="H233" s="948" t="s">
        <v>1864</v>
      </c>
      <c r="I233" s="946" t="s">
        <v>193</v>
      </c>
      <c r="J233" s="946" t="s">
        <v>2592</v>
      </c>
      <c r="K233" s="946" t="s">
        <v>2329</v>
      </c>
      <c r="L233" s="946" t="s">
        <v>194</v>
      </c>
      <c r="M233" s="418" t="s">
        <v>1861</v>
      </c>
      <c r="N233" s="948" t="s">
        <v>1862</v>
      </c>
      <c r="O233" s="948" t="s">
        <v>219</v>
      </c>
      <c r="P233" s="951" t="s">
        <v>1865</v>
      </c>
      <c r="Q233" s="948" t="str">
        <f>+'5. Intervenciones UDT - AH'!F66</f>
        <v>Hectáreas intervenidas</v>
      </c>
      <c r="R233" s="405">
        <f>+'5. Intervenciones UDT - AH'!I66</f>
        <v>11251</v>
      </c>
      <c r="S233" s="405">
        <f>+'5. Intervenciones UDT - AH'!J66</f>
        <v>2250.2000000000003</v>
      </c>
      <c r="T233" s="405">
        <f>+'5. Intervenciones UDT - AH'!K66</f>
        <v>2250.2000000000003</v>
      </c>
      <c r="U233" s="405">
        <f>+'5. Intervenciones UDT - AH'!L66</f>
        <v>500</v>
      </c>
      <c r="V233" s="403" t="str">
        <f>+'5. Intervenciones UDT - AH'!M66</f>
        <v>El costo incluye adquisición de semillas, insumos, fertilizantes, entre otras para la producción de plantas agroforestales o coberturas  verdes.</v>
      </c>
      <c r="W233" s="403" t="str">
        <f>+'5. Intervenciones UDT - AH'!N66</f>
        <v>DRASAM</v>
      </c>
      <c r="X233" s="588">
        <f>+'5. Intervenciones UDT - AH'!O66</f>
        <v>1125100.0000000002</v>
      </c>
      <c r="Y233" s="588">
        <f>+Tabla1[[#This Row],[2025 Directo]]*(1+$Y$3)</f>
        <v>1136913.5500000003</v>
      </c>
      <c r="Z233" s="588">
        <f>+'5. Intervenciones UDT - AH'!P66</f>
        <v>1125100.0000000002</v>
      </c>
      <c r="AA233" s="588">
        <f>+Tabla1[[#This Row],[2030 Directo]]*(1+$Y$3)</f>
        <v>1136913.5500000003</v>
      </c>
      <c r="AB233" s="588">
        <f>+'5. Intervenciones UDT - AH'!Q66</f>
        <v>225020.00000000006</v>
      </c>
      <c r="AC233" s="588">
        <f>+Tabla1[[#This Row],[Año 1 Cto Directo]]*(1+$Y$3)</f>
        <v>227382.71000000005</v>
      </c>
      <c r="AD233" s="588">
        <f>+'5. Intervenciones UDT - AH'!R66</f>
        <v>225020.00000000006</v>
      </c>
      <c r="AE233" s="588">
        <f>+Tabla1[[#This Row],[Año 2 Cto. Directo]]*(1+$Y$3)</f>
        <v>227382.71000000005</v>
      </c>
      <c r="AF233" s="588">
        <f>+'5. Intervenciones UDT - AH'!S66</f>
        <v>225020.00000000006</v>
      </c>
      <c r="AG233" s="588">
        <f>+Tabla1[[#This Row],[Año 3 Cto. Directo]]*(1+$Y$3)</f>
        <v>227382.71000000005</v>
      </c>
      <c r="AH233" s="588">
        <f>+'5. Intervenciones UDT - AH'!T66</f>
        <v>225020.00000000006</v>
      </c>
      <c r="AI233" s="588">
        <f>+Tabla1[[#This Row],[Año 4 Cto. Directo]]*(1+$Y$3)</f>
        <v>227382.71000000005</v>
      </c>
      <c r="AJ233" s="588">
        <f>+'5. Intervenciones UDT - AH'!U66</f>
        <v>225020.00000000006</v>
      </c>
      <c r="AK233" s="588">
        <f>+Tabla1[[#This Row],[Año 5 Cto. Directo]]*(1+$Y$3)</f>
        <v>227382.71000000005</v>
      </c>
      <c r="AL233" s="403">
        <f>+'5. Intervenciones UDT - AH'!V66</f>
        <v>0</v>
      </c>
      <c r="AM233" s="954"/>
      <c r="AN233" s="954"/>
      <c r="AO233" s="954" t="str">
        <f>+'5. Intervenciones UDT - AH'!Y66</f>
        <v>X</v>
      </c>
      <c r="AP233" s="954"/>
      <c r="AQ233" s="954" t="str">
        <f>+'5. Intervenciones UDT - AH'!AA66</f>
        <v>RE</v>
      </c>
      <c r="AR233" s="954">
        <f>+'5. Intervenciones UDT - AH'!AB66</f>
        <v>2</v>
      </c>
      <c r="AS233" s="403">
        <f t="shared" si="1"/>
        <v>1</v>
      </c>
    </row>
    <row r="234" spans="1:45" s="195" customFormat="1" ht="15.8" hidden="1" customHeight="1" x14ac:dyDescent="0.3">
      <c r="A234" s="403"/>
      <c r="B234" s="403" t="str">
        <f>'5. Intervenciones UDT - AH'!$C$8</f>
        <v xml:space="preserve">UDT ALTO HUALLAGA </v>
      </c>
      <c r="C234" s="403" t="str">
        <f>'5. Intervenciones UDT - AH'!$F$56</f>
        <v>Predios privados para ganadería de leche y carne</v>
      </c>
      <c r="D234" s="404" t="str">
        <f>+'5. Intervenciones UDT - AH'!A67</f>
        <v>Programas de inversión pública</v>
      </c>
      <c r="E234" s="404" t="str">
        <f>+'5. Intervenciones UDT - AH'!C67</f>
        <v>3.3.4</v>
      </c>
      <c r="F234" s="403" t="str">
        <f>+'5. Intervenciones UDT - AH'!D67</f>
        <v>Mejoramiento genético de ganado bovino</v>
      </c>
      <c r="G234" s="403" t="str">
        <f>+'5. Intervenciones UDT - AH'!E67</f>
        <v>Reactivación  , implementación y gestión de las postas de inseminación artificial, importación de material genético (pajillas de semen), capacitación y entrenamiento a inseminadores, transferencia de embriones.</v>
      </c>
      <c r="H234" s="948" t="s">
        <v>1864</v>
      </c>
      <c r="I234" s="946" t="s">
        <v>193</v>
      </c>
      <c r="J234" s="946" t="s">
        <v>2592</v>
      </c>
      <c r="K234" s="946" t="s">
        <v>2329</v>
      </c>
      <c r="L234" s="946" t="s">
        <v>196</v>
      </c>
      <c r="M234" s="418" t="s">
        <v>1866</v>
      </c>
      <c r="N234" s="948" t="s">
        <v>1862</v>
      </c>
      <c r="O234" s="948" t="s">
        <v>219</v>
      </c>
      <c r="P234" s="951" t="s">
        <v>1865</v>
      </c>
      <c r="Q234" s="948" t="str">
        <f>+'5. Intervenciones UDT - AH'!F67</f>
        <v>Postas Reactivadas</v>
      </c>
      <c r="R234" s="405">
        <f>+'5. Intervenciones UDT - AH'!I67</f>
        <v>0</v>
      </c>
      <c r="S234" s="405">
        <f>+'5. Intervenciones UDT - AH'!J67</f>
        <v>2</v>
      </c>
      <c r="T234" s="405">
        <f>+'5. Intervenciones UDT - AH'!K67</f>
        <v>2</v>
      </c>
      <c r="U234" s="405">
        <f>+'5. Intervenciones UDT - AH'!L67</f>
        <v>54800</v>
      </c>
      <c r="V234" s="403" t="str">
        <f>+'5. Intervenciones UDT - AH'!M67</f>
        <v xml:space="preserve"> Costo por posta reactivada y/o instalada, cada una estará ubicada en un punto estratégico para coberturar la mayor cantidad de ganaderos. Considerando la implementación con tanques criogénicos, materiales diversos, pajillas, técnico especialista, movilidad entre otros. </v>
      </c>
      <c r="W234" s="403" t="str">
        <f>+'5. Intervenciones UDT - AH'!N67</f>
        <v>Direpro</v>
      </c>
      <c r="X234" s="588">
        <f>+'5. Intervenciones UDT - AH'!O67</f>
        <v>548000</v>
      </c>
      <c r="Y234" s="588">
        <f>+Tabla1[[#This Row],[2025 Directo]]*(1+$Y$3)</f>
        <v>553754</v>
      </c>
      <c r="Z234" s="588">
        <f>+'5. Intervenciones UDT - AH'!P67</f>
        <v>548000</v>
      </c>
      <c r="AA234" s="588">
        <f>+Tabla1[[#This Row],[2030 Directo]]*(1+$Y$3)</f>
        <v>553754</v>
      </c>
      <c r="AB234" s="588">
        <f>+'5. Intervenciones UDT - AH'!Q67</f>
        <v>109600</v>
      </c>
      <c r="AC234" s="588">
        <f>+Tabla1[[#This Row],[Año 1 Cto Directo]]*(1+$Y$3)</f>
        <v>110750.79999999999</v>
      </c>
      <c r="AD234" s="588">
        <f>+'5. Intervenciones UDT - AH'!R67</f>
        <v>109600</v>
      </c>
      <c r="AE234" s="588">
        <f>+Tabla1[[#This Row],[Año 2 Cto. Directo]]*(1+$Y$3)</f>
        <v>110750.79999999999</v>
      </c>
      <c r="AF234" s="588">
        <f>+'5. Intervenciones UDT - AH'!S67</f>
        <v>109600</v>
      </c>
      <c r="AG234" s="588">
        <f>+Tabla1[[#This Row],[Año 3 Cto. Directo]]*(1+$Y$3)</f>
        <v>110750.79999999999</v>
      </c>
      <c r="AH234" s="588">
        <f>+'5. Intervenciones UDT - AH'!T67</f>
        <v>109600</v>
      </c>
      <c r="AI234" s="588">
        <f>+Tabla1[[#This Row],[Año 4 Cto. Directo]]*(1+$Y$3)</f>
        <v>110750.79999999999</v>
      </c>
      <c r="AJ234" s="588">
        <f>+'5. Intervenciones UDT - AH'!U67</f>
        <v>109600</v>
      </c>
      <c r="AK234" s="588">
        <f>+Tabla1[[#This Row],[Año 5 Cto. Directo]]*(1+$Y$3)</f>
        <v>110750.79999999999</v>
      </c>
      <c r="AL234" s="403">
        <f>+'5. Intervenciones UDT - AH'!V67</f>
        <v>0</v>
      </c>
      <c r="AM234" s="954"/>
      <c r="AN234" s="954" t="str">
        <f>+'5. Intervenciones UDT - AH'!X67</f>
        <v>X</v>
      </c>
      <c r="AO234" s="954"/>
      <c r="AP234" s="954"/>
      <c r="AQ234" s="954"/>
      <c r="AR234" s="954">
        <f>+'5. Intervenciones UDT - AH'!AB67</f>
        <v>2</v>
      </c>
      <c r="AS234" s="403">
        <f t="shared" si="1"/>
        <v>1</v>
      </c>
    </row>
    <row r="235" spans="1:45" s="195" customFormat="1" ht="15.8" hidden="1" customHeight="1" x14ac:dyDescent="0.3">
      <c r="A235" s="403"/>
      <c r="B235" s="403" t="str">
        <f>'5. Intervenciones UDT - AH'!$C$8</f>
        <v xml:space="preserve">UDT ALTO HUALLAGA </v>
      </c>
      <c r="C235" s="403" t="str">
        <f>'5. Intervenciones UDT - AH'!$F$56</f>
        <v>Predios privados para ganadería de leche y carne</v>
      </c>
      <c r="D235" s="404" t="str">
        <f>+'5. Intervenciones UDT - AH'!A68</f>
        <v>Ingresos y Capital</v>
      </c>
      <c r="E235" s="404" t="str">
        <f>+'5. Intervenciones UDT - AH'!C68</f>
        <v>3.3.5</v>
      </c>
      <c r="F235" s="403" t="str">
        <f>+'5. Intervenciones UDT - AH'!D68</f>
        <v>Programa de acceso al financiamiento agropecuario condicionado</v>
      </c>
      <c r="G235" s="403" t="str">
        <f>+'5. Intervenciones UDT - AH'!E68</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v>
      </c>
      <c r="H235" s="948" t="s">
        <v>1864</v>
      </c>
      <c r="I235" s="946" t="s">
        <v>193</v>
      </c>
      <c r="J235" s="946" t="s">
        <v>2593</v>
      </c>
      <c r="K235" s="946" t="s">
        <v>2330</v>
      </c>
      <c r="L235" s="946" t="s">
        <v>195</v>
      </c>
      <c r="M235" s="418" t="s">
        <v>1871</v>
      </c>
      <c r="N235" s="948" t="s">
        <v>1862</v>
      </c>
      <c r="O235" s="948" t="s">
        <v>218</v>
      </c>
      <c r="P235" s="951" t="s">
        <v>1872</v>
      </c>
      <c r="Q235" s="948" t="str">
        <f>+'5. Intervenciones UDT - AH'!F68</f>
        <v>Ganaderos atendidos</v>
      </c>
      <c r="R235" s="405">
        <f>+'5. Intervenciones UDT - AH'!I68</f>
        <v>587</v>
      </c>
      <c r="S235" s="405">
        <f>+'5. Intervenciones UDT - AH'!J68</f>
        <v>176.1</v>
      </c>
      <c r="T235" s="405">
        <f>+'5. Intervenciones UDT - AH'!K68</f>
        <v>117.4</v>
      </c>
      <c r="U235" s="405">
        <f>+'5. Intervenciones UDT - AH'!L68</f>
        <v>10750</v>
      </c>
      <c r="V235" s="403" t="str">
        <f>+'5. Intervenciones UDT - AH'!M68</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235" s="403" t="str">
        <f>+'5. Intervenciones UDT - AH'!N68</f>
        <v>Drasam, Direpro, OPIPs</v>
      </c>
      <c r="X235" s="588">
        <f>+'5. Intervenciones UDT - AH'!O68</f>
        <v>1893075</v>
      </c>
      <c r="Y235" s="588">
        <f>+Tabla1[[#This Row],[2025 Directo]]*(1+$Y$3)</f>
        <v>1912952.2874999999</v>
      </c>
      <c r="Z235" s="588">
        <f>+'5. Intervenciones UDT - AH'!P68</f>
        <v>1262050</v>
      </c>
      <c r="AA235" s="588">
        <f>+Tabla1[[#This Row],[2030 Directo]]*(1+$Y$3)</f>
        <v>1275301.5249999999</v>
      </c>
      <c r="AB235" s="588">
        <f>+'5. Intervenciones UDT - AH'!Q68</f>
        <v>378615</v>
      </c>
      <c r="AC235" s="588">
        <f>+Tabla1[[#This Row],[Año 1 Cto Directo]]*(1+$Y$3)</f>
        <v>382590.45749999996</v>
      </c>
      <c r="AD235" s="588">
        <f>+'5. Intervenciones UDT - AH'!R68</f>
        <v>378615</v>
      </c>
      <c r="AE235" s="588">
        <f>+Tabla1[[#This Row],[Año 2 Cto. Directo]]*(1+$Y$3)</f>
        <v>382590.45749999996</v>
      </c>
      <c r="AF235" s="588">
        <f>+'5. Intervenciones UDT - AH'!S68</f>
        <v>378615</v>
      </c>
      <c r="AG235" s="588">
        <f>+Tabla1[[#This Row],[Año 3 Cto. Directo]]*(1+$Y$3)</f>
        <v>382590.45749999996</v>
      </c>
      <c r="AH235" s="588">
        <f>+'5. Intervenciones UDT - AH'!T68</f>
        <v>378615</v>
      </c>
      <c r="AI235" s="588">
        <f>+Tabla1[[#This Row],[Año 4 Cto. Directo]]*(1+$Y$3)</f>
        <v>382590.45749999996</v>
      </c>
      <c r="AJ235" s="588">
        <f>+'5. Intervenciones UDT - AH'!U68</f>
        <v>378615</v>
      </c>
      <c r="AK235" s="588">
        <f>+Tabla1[[#This Row],[Año 5 Cto. Directo]]*(1+$Y$3)</f>
        <v>382590.45749999996</v>
      </c>
      <c r="AL235" s="403">
        <f>+'5. Intervenciones UDT - AH'!V68</f>
        <v>0</v>
      </c>
      <c r="AM235" s="954" t="str">
        <f>+'5. Intervenciones UDT - AH'!W68</f>
        <v>X</v>
      </c>
      <c r="AN235" s="954"/>
      <c r="AO235" s="954"/>
      <c r="AP235" s="954"/>
      <c r="AQ235" s="954" t="str">
        <f>+'5. Intervenciones UDT - AH'!AA68</f>
        <v>RE</v>
      </c>
      <c r="AR235" s="954">
        <f>+'5. Intervenciones UDT - AH'!AB68</f>
        <v>3</v>
      </c>
      <c r="AS235" s="403">
        <f t="shared" si="1"/>
        <v>1</v>
      </c>
    </row>
    <row r="236" spans="1:45" s="195" customFormat="1" ht="15.8" hidden="1" customHeight="1" x14ac:dyDescent="0.3">
      <c r="A236" s="403"/>
      <c r="B236" s="403" t="str">
        <f>'5. Intervenciones UDT - AH'!$C$8</f>
        <v xml:space="preserve">UDT ALTO HUALLAGA </v>
      </c>
      <c r="C236" s="403" t="str">
        <f>'5. Intervenciones UDT - AH'!$F$56</f>
        <v>Predios privados para ganadería de leche y carne</v>
      </c>
      <c r="D236" s="404" t="str">
        <f>+'5. Intervenciones UDT - AH'!A69</f>
        <v>Programas de inversión pública</v>
      </c>
      <c r="E236" s="404" t="str">
        <f>+'5. Intervenciones UDT - AH'!C69</f>
        <v>3.3.6</v>
      </c>
      <c r="F236" s="403" t="str">
        <f>+'5. Intervenciones UDT - AH'!D69</f>
        <v>Promoción de modelos asociativos sostenibles</v>
      </c>
      <c r="G236" s="403" t="str">
        <f>+'5. Intervenciones UDT - AH'!E69</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H236" s="948" t="s">
        <v>1857</v>
      </c>
      <c r="I236" s="946" t="s">
        <v>193</v>
      </c>
      <c r="J236" s="946" t="s">
        <v>2594</v>
      </c>
      <c r="K236" s="946" t="s">
        <v>2332</v>
      </c>
      <c r="L236" s="946" t="s">
        <v>198</v>
      </c>
      <c r="M236" s="418" t="s">
        <v>1874</v>
      </c>
      <c r="N236" s="948" t="s">
        <v>1862</v>
      </c>
      <c r="O236" s="948" t="s">
        <v>230</v>
      </c>
      <c r="P236" s="951" t="s">
        <v>1875</v>
      </c>
      <c r="Q236" s="948" t="str">
        <f>+'5. Intervenciones UDT - AH'!F69</f>
        <v>Organizaciones fortalecidas</v>
      </c>
      <c r="R236" s="405">
        <f>+'5. Intervenciones UDT - AH'!I69</f>
        <v>0</v>
      </c>
      <c r="S236" s="405">
        <f>+'5. Intervenciones UDT - AH'!J69</f>
        <v>8</v>
      </c>
      <c r="T236" s="405">
        <f>+'5. Intervenciones UDT - AH'!K69</f>
        <v>8</v>
      </c>
      <c r="U236" s="405">
        <f>+'5. Intervenciones UDT - AH'!L69</f>
        <v>120000</v>
      </c>
      <c r="V236" s="403" t="str">
        <f>+'5. Intervenciones UDT - AH'!M69</f>
        <v>Costo implica la contratación de un profesional para realizar las labores de seguimiento y fortalecimiento de las organizaciones de forma permanente por el periodo de 10 años (120 meses)</v>
      </c>
      <c r="W236" s="403" t="str">
        <f>+'5. Intervenciones UDT - AH'!N69</f>
        <v>Drasam, Dircetur, Direpro</v>
      </c>
      <c r="X236" s="588">
        <f>+'5. Intervenciones UDT - AH'!O69</f>
        <v>4800000</v>
      </c>
      <c r="Y236" s="588">
        <f>+Tabla1[[#This Row],[2025 Directo]]*(1+$Y$3)</f>
        <v>4850400</v>
      </c>
      <c r="Z236" s="588">
        <f>+'5. Intervenciones UDT - AH'!P69</f>
        <v>4800000</v>
      </c>
      <c r="AA236" s="588">
        <f>+Tabla1[[#This Row],[2030 Directo]]*(1+$Y$3)</f>
        <v>4850400</v>
      </c>
      <c r="AB236" s="588">
        <f>+'5. Intervenciones UDT - AH'!Q69</f>
        <v>960000</v>
      </c>
      <c r="AC236" s="588">
        <f>+Tabla1[[#This Row],[Año 1 Cto Directo]]*(1+$Y$3)</f>
        <v>970080</v>
      </c>
      <c r="AD236" s="588">
        <f>+'5. Intervenciones UDT - AH'!R69</f>
        <v>960000</v>
      </c>
      <c r="AE236" s="588">
        <f>+Tabla1[[#This Row],[Año 2 Cto. Directo]]*(1+$Y$3)</f>
        <v>970080</v>
      </c>
      <c r="AF236" s="588">
        <f>+'5. Intervenciones UDT - AH'!S69</f>
        <v>960000</v>
      </c>
      <c r="AG236" s="588">
        <f>+Tabla1[[#This Row],[Año 3 Cto. Directo]]*(1+$Y$3)</f>
        <v>970080</v>
      </c>
      <c r="AH236" s="588">
        <f>+'5. Intervenciones UDT - AH'!T69</f>
        <v>960000</v>
      </c>
      <c r="AI236" s="588">
        <f>+Tabla1[[#This Row],[Año 4 Cto. Directo]]*(1+$Y$3)</f>
        <v>970080</v>
      </c>
      <c r="AJ236" s="588">
        <f>+'5. Intervenciones UDT - AH'!U69</f>
        <v>960000</v>
      </c>
      <c r="AK236" s="588">
        <f>+Tabla1[[#This Row],[Año 5 Cto. Directo]]*(1+$Y$3)</f>
        <v>970080</v>
      </c>
      <c r="AL236" s="403">
        <f>+'5. Intervenciones UDT - AH'!V69</f>
        <v>0</v>
      </c>
      <c r="AM236" s="954"/>
      <c r="AN236" s="954"/>
      <c r="AO236" s="954" t="str">
        <f>+'5. Intervenciones UDT - AH'!Y69</f>
        <v>X</v>
      </c>
      <c r="AP236" s="954"/>
      <c r="AQ236" s="954"/>
      <c r="AR236" s="954">
        <f>+'5. Intervenciones UDT - AH'!AB69</f>
        <v>3</v>
      </c>
      <c r="AS236" s="403">
        <f t="shared" si="1"/>
        <v>1</v>
      </c>
    </row>
    <row r="237" spans="1:45" s="195" customFormat="1" ht="15.8" hidden="1" customHeight="1" x14ac:dyDescent="0.3">
      <c r="A237" s="403"/>
      <c r="B237" s="403" t="str">
        <f>'5. Intervenciones UDT - AH'!$C$8</f>
        <v xml:space="preserve">UDT ALTO HUALLAGA </v>
      </c>
      <c r="C237" s="403" t="str">
        <f>'5. Intervenciones UDT - AH'!$F$56</f>
        <v>Predios privados para ganadería de leche y carne</v>
      </c>
      <c r="D237" s="404" t="str">
        <f>+'5. Intervenciones UDT - AH'!A70</f>
        <v>Programas de inversión privada</v>
      </c>
      <c r="E237" s="404" t="str">
        <f>+'5. Intervenciones UDT - AH'!C70</f>
        <v>3.3.7</v>
      </c>
      <c r="F237" s="403" t="str">
        <f>+'5. Intervenciones UDT - AH'!D70</f>
        <v>Implementación de infraestructura productiva baja en emisiones</v>
      </c>
      <c r="G237" s="403" t="str">
        <f>+'5. Intervenciones UDT - AH'!E70</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H237" s="948" t="s">
        <v>1869</v>
      </c>
      <c r="I237" s="946" t="s">
        <v>193</v>
      </c>
      <c r="J237" s="946" t="s">
        <v>2592</v>
      </c>
      <c r="K237" s="946" t="s">
        <v>2329</v>
      </c>
      <c r="L237" s="946" t="s">
        <v>196</v>
      </c>
      <c r="M237" s="418" t="s">
        <v>1866</v>
      </c>
      <c r="N237" s="948" t="s">
        <v>1862</v>
      </c>
      <c r="O237" s="948" t="s">
        <v>227</v>
      </c>
      <c r="P237" s="951" t="s">
        <v>1873</v>
      </c>
      <c r="Q237" s="948" t="str">
        <f>+'5. Intervenciones UDT - AH'!F70</f>
        <v>Planes de negocios implementados</v>
      </c>
      <c r="R237" s="405">
        <f>+'5. Intervenciones UDT - AH'!I70</f>
        <v>0</v>
      </c>
      <c r="S237" s="405">
        <f>+'5. Intervenciones UDT - AH'!J70</f>
        <v>8</v>
      </c>
      <c r="T237" s="405">
        <f>+'5. Intervenciones UDT - AH'!K70</f>
        <v>8</v>
      </c>
      <c r="U237" s="405">
        <f>+'5. Intervenciones UDT - AH'!L70</f>
        <v>800000</v>
      </c>
      <c r="V237" s="403" t="str">
        <f>+'5. Intervenciones UDT - AH'!M70</f>
        <v xml:space="preserve">Financiamiento e implementación de los planes de negocio de las organizaciones seleccionadas, con la finalidad de mejorar los sistemas de crianza, así mismo los órganos competentes del GRSM realizaron los debidos procesos de seguimiento y monitoreo en la ejecución. </v>
      </c>
      <c r="W237" s="403" t="str">
        <f>+'5. Intervenciones UDT - AH'!N70</f>
        <v>Agroideas, Goresam</v>
      </c>
      <c r="X237" s="588">
        <f>+'5. Intervenciones UDT - AH'!O70</f>
        <v>6400000</v>
      </c>
      <c r="Y237" s="588">
        <f>+Tabla1[[#This Row],[2025 Directo]]*(1+$Y$3)</f>
        <v>6467200</v>
      </c>
      <c r="Z237" s="588">
        <f>+'5. Intervenciones UDT - AH'!P70</f>
        <v>6400000</v>
      </c>
      <c r="AA237" s="588">
        <f>+Tabla1[[#This Row],[2030 Directo]]*(1+$Y$3)</f>
        <v>6467200</v>
      </c>
      <c r="AB237" s="588">
        <f>+'5. Intervenciones UDT - AH'!Q70</f>
        <v>1280000</v>
      </c>
      <c r="AC237" s="588">
        <f>+Tabla1[[#This Row],[Año 1 Cto Directo]]*(1+$Y$3)</f>
        <v>1293440</v>
      </c>
      <c r="AD237" s="588">
        <f>+'5. Intervenciones UDT - AH'!R70</f>
        <v>1280000</v>
      </c>
      <c r="AE237" s="588">
        <f>+Tabla1[[#This Row],[Año 2 Cto. Directo]]*(1+$Y$3)</f>
        <v>1293440</v>
      </c>
      <c r="AF237" s="588">
        <f>+'5. Intervenciones UDT - AH'!S70</f>
        <v>1280000</v>
      </c>
      <c r="AG237" s="588">
        <f>+Tabla1[[#This Row],[Año 3 Cto. Directo]]*(1+$Y$3)</f>
        <v>1293440</v>
      </c>
      <c r="AH237" s="588">
        <f>+'5. Intervenciones UDT - AH'!T70</f>
        <v>1280000</v>
      </c>
      <c r="AI237" s="588">
        <f>+Tabla1[[#This Row],[Año 4 Cto. Directo]]*(1+$Y$3)</f>
        <v>1293440</v>
      </c>
      <c r="AJ237" s="588">
        <f>+'5. Intervenciones UDT - AH'!U70</f>
        <v>1280000</v>
      </c>
      <c r="AK237" s="588">
        <f>+Tabla1[[#This Row],[Año 5 Cto. Directo]]*(1+$Y$3)</f>
        <v>1293440</v>
      </c>
      <c r="AL237" s="403">
        <f>+'5. Intervenciones UDT - AH'!V70</f>
        <v>0</v>
      </c>
      <c r="AM237" s="954" t="str">
        <f>+'5. Intervenciones UDT - AH'!W70</f>
        <v>X</v>
      </c>
      <c r="AN237" s="954"/>
      <c r="AO237" s="954"/>
      <c r="AP237" s="954"/>
      <c r="AQ237" s="954" t="str">
        <f>+'5. Intervenciones UDT - AH'!AA70</f>
        <v>RE</v>
      </c>
      <c r="AR237" s="954">
        <f>+'5. Intervenciones UDT - AH'!AB70</f>
        <v>2</v>
      </c>
      <c r="AS237" s="403">
        <f t="shared" si="1"/>
        <v>1</v>
      </c>
    </row>
    <row r="238" spans="1:45" s="195" customFormat="1" ht="15.8" hidden="1" customHeight="1" x14ac:dyDescent="0.3">
      <c r="A238" s="403"/>
      <c r="B238" s="403" t="str">
        <f>'5. Intervenciones UDT - AH'!$C$8</f>
        <v xml:space="preserve">UDT ALTO HUALLAGA </v>
      </c>
      <c r="C238" s="403" t="str">
        <f>'5. Intervenciones UDT - AH'!$F$56</f>
        <v>Predios privados para ganadería de leche y carne</v>
      </c>
      <c r="D238" s="404" t="str">
        <f>+'5. Intervenciones UDT - AH'!A71</f>
        <v>Control y vigilancia</v>
      </c>
      <c r="E238" s="404" t="str">
        <f>+'5. Intervenciones UDT - AH'!C71</f>
        <v>3.3.8</v>
      </c>
      <c r="F238" s="403" t="str">
        <f>+'5. Intervenciones UDT - AH'!D71</f>
        <v>Promoción y acceso a los Mecanismos de Retribución por Servicios Eco sistémicos (MERESE)</v>
      </c>
      <c r="G238" s="403" t="str">
        <f>+'5. Intervenciones UDT - AH'!E71</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H238" s="948" t="s">
        <v>1857</v>
      </c>
      <c r="I238" s="946" t="s">
        <v>203</v>
      </c>
      <c r="J238" s="946" t="s">
        <v>2595</v>
      </c>
      <c r="K238" s="946" t="s">
        <v>2333</v>
      </c>
      <c r="L238" s="946" t="s">
        <v>204</v>
      </c>
      <c r="M238" s="418" t="s">
        <v>1878</v>
      </c>
      <c r="N238" s="948" t="s">
        <v>1879</v>
      </c>
      <c r="O238" s="948" t="s">
        <v>225</v>
      </c>
      <c r="P238" s="951" t="s">
        <v>1880</v>
      </c>
      <c r="Q238" s="948" t="str">
        <f>+'5. Intervenciones UDT - AH'!F71</f>
        <v>Campañas de difusión y promoción</v>
      </c>
      <c r="R238" s="405">
        <f>+'5. Intervenciones UDT - AH'!I71</f>
        <v>0</v>
      </c>
      <c r="S238" s="405">
        <f>+'5. Intervenciones UDT - AH'!J71</f>
        <v>25</v>
      </c>
      <c r="T238" s="405">
        <f>+'5. Intervenciones UDT - AH'!K71</f>
        <v>25</v>
      </c>
      <c r="U238" s="405">
        <f>+'5. Intervenciones UDT - AH'!L71</f>
        <v>10000</v>
      </c>
      <c r="V238" s="403" t="str">
        <f>+'5. Intervenciones UDT - AH'!M71</f>
        <v>La propuesta implica implementar un programa de difusión masivo para concientizar tanto a los contribuyentes y a los retribuyentes, sobre la importancia de aplicación del mecanismo, así mismo brindar el soporte técnico a los gobiernos locales o grupos organizados que deseen implementar alguna propuesta</v>
      </c>
      <c r="W238" s="403" t="str">
        <f>+'5. Intervenciones UDT - AH'!N71</f>
        <v>SUNASS</v>
      </c>
      <c r="X238" s="588">
        <f>+'5. Intervenciones UDT - AH'!O71</f>
        <v>250000</v>
      </c>
      <c r="Y238" s="588">
        <f>+Tabla1[[#This Row],[2025 Directo]]*(1+$Y$3)</f>
        <v>252625</v>
      </c>
      <c r="Z238" s="588">
        <f>+'5. Intervenciones UDT - AH'!P71</f>
        <v>250000</v>
      </c>
      <c r="AA238" s="588">
        <f>+Tabla1[[#This Row],[2030 Directo]]*(1+$Y$3)</f>
        <v>252625</v>
      </c>
      <c r="AB238" s="588">
        <f>+'5. Intervenciones UDT - AH'!Q71</f>
        <v>50000</v>
      </c>
      <c r="AC238" s="588">
        <f>+Tabla1[[#This Row],[Año 1 Cto Directo]]*(1+$Y$3)</f>
        <v>50525</v>
      </c>
      <c r="AD238" s="588">
        <f>+'5. Intervenciones UDT - AH'!R71</f>
        <v>50000</v>
      </c>
      <c r="AE238" s="588">
        <f>+Tabla1[[#This Row],[Año 2 Cto. Directo]]*(1+$Y$3)</f>
        <v>50525</v>
      </c>
      <c r="AF238" s="588">
        <f>+'5. Intervenciones UDT - AH'!S71</f>
        <v>50000</v>
      </c>
      <c r="AG238" s="588">
        <f>+Tabla1[[#This Row],[Año 3 Cto. Directo]]*(1+$Y$3)</f>
        <v>50525</v>
      </c>
      <c r="AH238" s="588">
        <f>+'5. Intervenciones UDT - AH'!T71</f>
        <v>50000</v>
      </c>
      <c r="AI238" s="588">
        <f>+Tabla1[[#This Row],[Año 4 Cto. Directo]]*(1+$Y$3)</f>
        <v>50525</v>
      </c>
      <c r="AJ238" s="588">
        <f>+'5. Intervenciones UDT - AH'!U71</f>
        <v>50000</v>
      </c>
      <c r="AK238" s="588">
        <f>+Tabla1[[#This Row],[Año 5 Cto. Directo]]*(1+$Y$3)</f>
        <v>50525</v>
      </c>
      <c r="AL238" s="403">
        <f>+'5. Intervenciones UDT - AH'!V71</f>
        <v>0</v>
      </c>
      <c r="AM238" s="954" t="str">
        <f>+'5. Intervenciones UDT - AH'!W71</f>
        <v>X</v>
      </c>
      <c r="AN238" s="954"/>
      <c r="AO238" s="954"/>
      <c r="AP238" s="954"/>
      <c r="AQ238" s="954"/>
      <c r="AR238" s="954">
        <f>+'5. Intervenciones UDT - AH'!AB71</f>
        <v>2</v>
      </c>
      <c r="AS238" s="403">
        <f t="shared" si="1"/>
        <v>1</v>
      </c>
    </row>
    <row r="239" spans="1:45" s="195" customFormat="1" ht="15.8" hidden="1" customHeight="1" x14ac:dyDescent="0.3">
      <c r="A239" s="403"/>
      <c r="B239" s="403" t="str">
        <f>'5. Intervenciones UDT - AH'!$C$8</f>
        <v xml:space="preserve">UDT ALTO HUALLAGA </v>
      </c>
      <c r="C239" s="403" t="str">
        <f>'5. Intervenciones UDT - AH'!$F$75</f>
        <v>Empresas comercializadoras de palma y sus derivados.</v>
      </c>
      <c r="D239" s="404" t="str">
        <f>+'5. Intervenciones UDT - AH'!A83</f>
        <v>Invasiones</v>
      </c>
      <c r="E239" s="404" t="str">
        <f>+'5. Intervenciones UDT - AH'!C83</f>
        <v>3.4.1</v>
      </c>
      <c r="F239" s="403" t="str">
        <f>+'5. Intervenciones UDT - AH'!D83</f>
        <v>Otorgamiento de derechos sobre la tierra/bosques</v>
      </c>
      <c r="G239" s="403" t="str">
        <f>+'5. Intervenciones UDT - AH'!E83</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H239" s="948" t="s">
        <v>1864</v>
      </c>
      <c r="I239" s="946" t="s">
        <v>199</v>
      </c>
      <c r="J239" s="946" t="s">
        <v>2591</v>
      </c>
      <c r="K239" s="946" t="s">
        <v>2331</v>
      </c>
      <c r="L239" s="946" t="s">
        <v>202</v>
      </c>
      <c r="M239" s="418" t="s">
        <v>1858</v>
      </c>
      <c r="N239" s="948" t="s">
        <v>1859</v>
      </c>
      <c r="O239" s="948" t="s">
        <v>223</v>
      </c>
      <c r="P239" s="951" t="s">
        <v>1860</v>
      </c>
      <c r="Q239" s="948" t="str">
        <f>+'5. Intervenciones UDT - AH'!F83</f>
        <v>N° Títulos/Contratos otorgados</v>
      </c>
      <c r="R239" s="405">
        <f>+'5. Intervenciones UDT - AH'!I83</f>
        <v>1165.1265258785102</v>
      </c>
      <c r="S239" s="405">
        <f>+'5. Intervenciones UDT - AH'!J83</f>
        <v>582.56326293925508</v>
      </c>
      <c r="T239" s="405">
        <f>+'5. Intervenciones UDT - AH'!K83</f>
        <v>582.56326293925508</v>
      </c>
      <c r="U239" s="405">
        <f>+'5. Intervenciones UDT - AH'!L83</f>
        <v>2000</v>
      </c>
      <c r="V239" s="403" t="str">
        <f>+'5. Intervenciones UDT - AH'!M83</f>
        <v>Incluye: 
1) Levantamiento de información del suelo (calicatas), saneamiento físico legal, alinderamiento, rectificación de áreas, adjudicación de las áreas con capacidad de uso mayor agropecuario (A,C,P) y la  inscripción de predios rurales en la SUNARP. 
2) Coordinaciones con autoridades locales, reuniones de socialización con los productores y autoridades de las comunidades, georreferenciación del predio para verificar que productos tiene instalados y para verificar si no existe superposición, búsqueda en registros públicos, firma de compromisos con el productor.
De acuerdo con la ley forestal y de Fauna Silvestre N° 29763, se requieren cumplir requisitos establecidos por SERFOR (lineamiento nacional de requisitos). El gobierno regional puede sacar una directiva para simplificar el proceso, se aprueba con Ordenanza Regional. Existe en proceso un protocolo para la otorgación de CUSAF. Se debería dar la mirada de desarrollo de la cadena de valor de biocomercio, ya que se requiere un pago por parte del productor.</v>
      </c>
      <c r="W239" s="403" t="str">
        <f>+'5. Intervenciones UDT - AH'!N83</f>
        <v>Programa de titulación PTR 3 / ARA</v>
      </c>
      <c r="X239" s="588">
        <f>+'5. Intervenciones UDT - AH'!O83</f>
        <v>1165126.5258785102</v>
      </c>
      <c r="Y239" s="588">
        <f>+Tabla1[[#This Row],[2025 Directo]]*(1+$Y$3)</f>
        <v>1177360.3544002345</v>
      </c>
      <c r="Z239" s="588">
        <f>+'5. Intervenciones UDT - AH'!P83</f>
        <v>1165126.5258785102</v>
      </c>
      <c r="AA239" s="588">
        <f>+Tabla1[[#This Row],[2030 Directo]]*(1+$Y$3)</f>
        <v>1177360.3544002345</v>
      </c>
      <c r="AB239" s="588">
        <f>+'5. Intervenciones UDT - AH'!Q83</f>
        <v>116512.65258785103</v>
      </c>
      <c r="AC239" s="588">
        <f>+Tabla1[[#This Row],[Año 1 Cto Directo]]*(1+$Y$3)</f>
        <v>117736.03544002346</v>
      </c>
      <c r="AD239" s="588">
        <f>+'5. Intervenciones UDT - AH'!R83</f>
        <v>174768.97888177654</v>
      </c>
      <c r="AE239" s="588">
        <f>+Tabla1[[#This Row],[Año 2 Cto. Directo]]*(1+$Y$3)</f>
        <v>176604.05316003517</v>
      </c>
      <c r="AF239" s="588">
        <f>+'5. Intervenciones UDT - AH'!S83</f>
        <v>233025.30517570206</v>
      </c>
      <c r="AG239" s="588">
        <f>+Tabla1[[#This Row],[Año 3 Cto. Directo]]*(1+$Y$3)</f>
        <v>235472.07088004693</v>
      </c>
      <c r="AH239" s="588">
        <f>+'5. Intervenciones UDT - AH'!T83</f>
        <v>349537.95776355307</v>
      </c>
      <c r="AI239" s="588">
        <f>+Tabla1[[#This Row],[Año 4 Cto. Directo]]*(1+$Y$3)</f>
        <v>353208.10632007034</v>
      </c>
      <c r="AJ239" s="588">
        <f>+'5. Intervenciones UDT - AH'!U83</f>
        <v>291281.63146962755</v>
      </c>
      <c r="AK239" s="588">
        <f>+Tabla1[[#This Row],[Año 5 Cto. Directo]]*(1+$Y$3)</f>
        <v>294340.08860005863</v>
      </c>
      <c r="AL239" s="403">
        <f>+'5. Intervenciones UDT - AH'!V83</f>
        <v>0</v>
      </c>
      <c r="AM239" s="954"/>
      <c r="AN239" s="954"/>
      <c r="AO239" s="954" t="str">
        <f>+'5. Intervenciones UDT - AH'!Y83</f>
        <v>X</v>
      </c>
      <c r="AP239" s="954"/>
      <c r="AQ239" s="954" t="str">
        <f>+'5. Intervenciones UDT - AH'!AA83</f>
        <v>RE</v>
      </c>
      <c r="AR239" s="954">
        <f>+'5. Intervenciones UDT - AH'!AB83</f>
        <v>3</v>
      </c>
      <c r="AS239" s="403">
        <f t="shared" ref="AS239" si="15">COUNTIF(AM239:AP239, "X")</f>
        <v>1</v>
      </c>
    </row>
    <row r="240" spans="1:45" s="195" customFormat="1" ht="15.8" hidden="1" customHeight="1" x14ac:dyDescent="0.3">
      <c r="A240" s="403"/>
      <c r="B240" s="403" t="str">
        <f>'5. Intervenciones UDT - AH'!$C$8</f>
        <v xml:space="preserve">UDT ALTO HUALLAGA </v>
      </c>
      <c r="C240" s="403" t="str">
        <f>'5. Intervenciones UDT - AH'!$F$75</f>
        <v>Empresas comercializadoras de palma y sus derivados.</v>
      </c>
      <c r="D240" s="404" t="str">
        <f>+'5. Intervenciones UDT - AH'!A84</f>
        <v>Ingresos y Capital</v>
      </c>
      <c r="E240" s="404" t="str">
        <f>+'5. Intervenciones UDT - AH'!C84</f>
        <v>3.4.2</v>
      </c>
      <c r="F240" s="403" t="str">
        <f>+'5. Intervenciones UDT - AH'!D84</f>
        <v>Acceso a financiamiento para modelos de asociación con pequeños productores</v>
      </c>
      <c r="G240" s="403" t="str">
        <f>+'5. Intervenciones UDT - AH'!E84</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v>
      </c>
      <c r="H240" s="948" t="s">
        <v>1864</v>
      </c>
      <c r="I240" s="946" t="s">
        <v>193</v>
      </c>
      <c r="J240" s="946" t="s">
        <v>2595</v>
      </c>
      <c r="K240" s="946" t="s">
        <v>2333</v>
      </c>
      <c r="L240" s="946" t="s">
        <v>195</v>
      </c>
      <c r="M240" s="418" t="s">
        <v>1871</v>
      </c>
      <c r="N240" s="948" t="s">
        <v>1862</v>
      </c>
      <c r="O240" s="948" t="s">
        <v>218</v>
      </c>
      <c r="P240" s="951" t="s">
        <v>1872</v>
      </c>
      <c r="Q240" s="948" t="str">
        <f>+'5. Intervenciones UDT - AH'!F84</f>
        <v>Productores atendidos</v>
      </c>
      <c r="R240" s="405">
        <f>+'5. Intervenciones UDT - AH'!I84</f>
        <v>8086</v>
      </c>
      <c r="S240" s="405">
        <f>+'5. Intervenciones UDT - AH'!J84</f>
        <v>2425.7999999999997</v>
      </c>
      <c r="T240" s="405">
        <f>+'5. Intervenciones UDT - AH'!K84</f>
        <v>1617.2</v>
      </c>
      <c r="U240" s="405">
        <f>+'5. Intervenciones UDT - AH'!L84</f>
        <v>10750</v>
      </c>
      <c r="V240" s="403" t="str">
        <f>+'5. Intervenciones UDT - AH'!M84</f>
        <v>El costo hace referencia a monto de financiamiento promedio  requerido para el desarrollo de una determinada actividad productiva, dicho monto es igual a 2.5 UIT, cuyo valor de referencia de una UIT es del año 2020. cada crédito que solicite un productor tendrá su propia particularidad. Un productor podrá acceder a más de un crédito</v>
      </c>
      <c r="W240" s="403" t="str">
        <f>+'5. Intervenciones UDT - AH'!N84</f>
        <v>Drasam</v>
      </c>
      <c r="X240" s="588">
        <f>+'5. Intervenciones UDT - AH'!O84</f>
        <v>26077349.999999996</v>
      </c>
      <c r="Y240" s="588">
        <f>+Tabla1[[#This Row],[2025 Directo]]*(1+$Y$3)</f>
        <v>26351162.174999993</v>
      </c>
      <c r="Z240" s="588">
        <f>+'5. Intervenciones UDT - AH'!P84</f>
        <v>17384900</v>
      </c>
      <c r="AA240" s="588">
        <f>+Tabla1[[#This Row],[2030 Directo]]*(1+$Y$3)</f>
        <v>17567441.449999999</v>
      </c>
      <c r="AB240" s="588">
        <f>+'5. Intervenciones UDT - AH'!Q84</f>
        <v>5215470</v>
      </c>
      <c r="AC240" s="588">
        <f>+Tabla1[[#This Row],[Año 1 Cto Directo]]*(1+$Y$3)</f>
        <v>5270232.4349999996</v>
      </c>
      <c r="AD240" s="588">
        <f>+'5. Intervenciones UDT - AH'!R84</f>
        <v>5215470</v>
      </c>
      <c r="AE240" s="588">
        <f>+Tabla1[[#This Row],[Año 2 Cto. Directo]]*(1+$Y$3)</f>
        <v>5270232.4349999996</v>
      </c>
      <c r="AF240" s="588">
        <f>+'5. Intervenciones UDT - AH'!S84</f>
        <v>5215470</v>
      </c>
      <c r="AG240" s="588">
        <f>+Tabla1[[#This Row],[Año 3 Cto. Directo]]*(1+$Y$3)</f>
        <v>5270232.4349999996</v>
      </c>
      <c r="AH240" s="588">
        <f>+'5. Intervenciones UDT - AH'!T84</f>
        <v>5215470</v>
      </c>
      <c r="AI240" s="588">
        <f>+Tabla1[[#This Row],[Año 4 Cto. Directo]]*(1+$Y$3)</f>
        <v>5270232.4349999996</v>
      </c>
      <c r="AJ240" s="588">
        <f>+'5. Intervenciones UDT - AH'!U84</f>
        <v>5215470</v>
      </c>
      <c r="AK240" s="588">
        <f>+Tabla1[[#This Row],[Año 5 Cto. Directo]]*(1+$Y$3)</f>
        <v>5270232.4349999996</v>
      </c>
      <c r="AL240" s="403">
        <f>+'5. Intervenciones UDT - AH'!V84</f>
        <v>0</v>
      </c>
      <c r="AM240" s="954"/>
      <c r="AN240" s="954"/>
      <c r="AO240" s="954" t="str">
        <f>+'5. Intervenciones UDT - AH'!Y84</f>
        <v>X</v>
      </c>
      <c r="AP240" s="954"/>
      <c r="AQ240" s="954" t="str">
        <f>+'5. Intervenciones UDT - AH'!AA84</f>
        <v>RE</v>
      </c>
      <c r="AR240" s="954">
        <f>+'5. Intervenciones UDT - AH'!AB84</f>
        <v>3</v>
      </c>
      <c r="AS240" s="403">
        <f t="shared" si="1"/>
        <v>1</v>
      </c>
    </row>
    <row r="241" spans="1:45" s="195" customFormat="1" ht="15.8" hidden="1" customHeight="1" x14ac:dyDescent="0.3">
      <c r="A241" s="403"/>
      <c r="B241" s="403" t="str">
        <f>'5. Intervenciones UDT - AH'!$C$8</f>
        <v xml:space="preserve">UDT ALTO HUALLAGA </v>
      </c>
      <c r="C241" s="403" t="str">
        <f>'5. Intervenciones UDT - AH'!$F$75</f>
        <v>Empresas comercializadoras de palma y sus derivados.</v>
      </c>
      <c r="D241" s="404" t="str">
        <f>+'5. Intervenciones UDT - AH'!A85</f>
        <v>Programas de inversión privada</v>
      </c>
      <c r="E241" s="404" t="str">
        <f>+'5. Intervenciones UDT - AH'!C85</f>
        <v>3.4.3</v>
      </c>
      <c r="F241" s="403" t="str">
        <f>+'5. Intervenciones UDT - AH'!D85</f>
        <v>Acompañamiento de acuerdos comerciales entre empresas y medianos productores</v>
      </c>
      <c r="G241" s="403" t="str">
        <f>+'5. Intervenciones UDT - AH'!E85</f>
        <v>Brindar asesoramiento y acompañamiento a los productores organizados y no organizados en sus procesos de negociación, este acompañamiento permitirá llegar a buenos acuerdos con las empresas y asegurar que los pequeños productores tengan acceso a precios justos.</v>
      </c>
      <c r="H241" s="948" t="s">
        <v>1857</v>
      </c>
      <c r="I241" s="946" t="s">
        <v>193</v>
      </c>
      <c r="J241" s="946" t="s">
        <v>2596</v>
      </c>
      <c r="K241" s="946" t="s">
        <v>2335</v>
      </c>
      <c r="L241" s="946" t="s">
        <v>197</v>
      </c>
      <c r="M241" s="418" t="s">
        <v>1876</v>
      </c>
      <c r="N241" s="948" t="s">
        <v>1862</v>
      </c>
      <c r="O241" s="948" t="s">
        <v>228</v>
      </c>
      <c r="P241" s="951" t="s">
        <v>1877</v>
      </c>
      <c r="Q241" s="948" t="str">
        <f>+'5. Intervenciones UDT - AH'!F85</f>
        <v>Especialistas</v>
      </c>
      <c r="R241" s="405">
        <f>+'5. Intervenciones UDT - AH'!I85</f>
        <v>0</v>
      </c>
      <c r="S241" s="405">
        <f>+'5. Intervenciones UDT - AH'!J85</f>
        <v>2</v>
      </c>
      <c r="T241" s="405">
        <f>+'5. Intervenciones UDT - AH'!K85</f>
        <v>2</v>
      </c>
      <c r="U241" s="405">
        <f>+'5. Intervenciones UDT - AH'!L85</f>
        <v>3500</v>
      </c>
      <c r="V241" s="403" t="str">
        <f>+'5. Intervenciones UDT - AH'!M85</f>
        <v>El costo incluye la contratación de profesionales que se encarguen de identificar propuestas de alianzas comerciales entre productores y empresas privadas.</v>
      </c>
      <c r="W241" s="403" t="str">
        <f>+'5. Intervenciones UDT - AH'!N85</f>
        <v>Drasam</v>
      </c>
      <c r="X241" s="588">
        <f>+'5. Intervenciones UDT - AH'!O85</f>
        <v>420000</v>
      </c>
      <c r="Y241" s="588">
        <f>+Tabla1[[#This Row],[2025 Directo]]*(1+$Y$3)</f>
        <v>424410</v>
      </c>
      <c r="Z241" s="588">
        <f>+'5. Intervenciones UDT - AH'!P85</f>
        <v>420000</v>
      </c>
      <c r="AA241" s="588">
        <f>+Tabla1[[#This Row],[2030 Directo]]*(1+$Y$3)</f>
        <v>424410</v>
      </c>
      <c r="AB241" s="588">
        <f>+'5. Intervenciones UDT - AH'!Q85</f>
        <v>84000</v>
      </c>
      <c r="AC241" s="588">
        <f>+Tabla1[[#This Row],[Año 1 Cto Directo]]*(1+$Y$3)</f>
        <v>84882</v>
      </c>
      <c r="AD241" s="588">
        <f>+'5. Intervenciones UDT - AH'!R85</f>
        <v>84000</v>
      </c>
      <c r="AE241" s="588">
        <f>+Tabla1[[#This Row],[Año 2 Cto. Directo]]*(1+$Y$3)</f>
        <v>84882</v>
      </c>
      <c r="AF241" s="588">
        <f>+'5. Intervenciones UDT - AH'!S85</f>
        <v>84000</v>
      </c>
      <c r="AG241" s="588">
        <f>+Tabla1[[#This Row],[Año 3 Cto. Directo]]*(1+$Y$3)</f>
        <v>84882</v>
      </c>
      <c r="AH241" s="588">
        <f>+'5. Intervenciones UDT - AH'!T85</f>
        <v>84000</v>
      </c>
      <c r="AI241" s="588">
        <f>+Tabla1[[#This Row],[Año 4 Cto. Directo]]*(1+$Y$3)</f>
        <v>84882</v>
      </c>
      <c r="AJ241" s="588">
        <f>+'5. Intervenciones UDT - AH'!U85</f>
        <v>84000</v>
      </c>
      <c r="AK241" s="588">
        <f>+Tabla1[[#This Row],[Año 5 Cto. Directo]]*(1+$Y$3)</f>
        <v>84882</v>
      </c>
      <c r="AL241" s="403">
        <f>+'5. Intervenciones UDT - AH'!V85</f>
        <v>0</v>
      </c>
      <c r="AM241" s="954" t="str">
        <f>+'5. Intervenciones UDT - AH'!W85</f>
        <v>X</v>
      </c>
      <c r="AN241" s="954"/>
      <c r="AO241" s="954"/>
      <c r="AP241" s="954"/>
      <c r="AQ241" s="954" t="str">
        <f>+'5. Intervenciones UDT - AH'!AA85</f>
        <v>RE</v>
      </c>
      <c r="AR241" s="954">
        <f>+'5. Intervenciones UDT - AH'!AB85</f>
        <v>3</v>
      </c>
      <c r="AS241" s="403">
        <f t="shared" si="1"/>
        <v>1</v>
      </c>
    </row>
    <row r="242" spans="1:45" s="195" customFormat="1" ht="15.8" hidden="1" customHeight="1" x14ac:dyDescent="0.3">
      <c r="A242" s="403"/>
      <c r="B242" s="403" t="str">
        <f>'5. Intervenciones UDT - AH'!$C$8</f>
        <v xml:space="preserve">UDT ALTO HUALLAGA </v>
      </c>
      <c r="C242" s="403" t="str">
        <f>'5. Intervenciones UDT - AH'!$F$75</f>
        <v>Empresas comercializadoras de palma y sus derivados.</v>
      </c>
      <c r="D242" s="404" t="str">
        <f>+'5. Intervenciones UDT - AH'!A86</f>
        <v>Programas de inversión privada</v>
      </c>
      <c r="E242" s="404" t="str">
        <f>+'5. Intervenciones UDT - AH'!C86</f>
        <v>3.4.4</v>
      </c>
      <c r="F242" s="403" t="str">
        <f>+'5. Intervenciones UDT - AH'!D86</f>
        <v>Ampliación de estudios de HCS y HCV para nuevas áreas potenciales para asociación con pequeños productores</v>
      </c>
      <c r="G242" s="403" t="str">
        <f>+'5. Intervenciones UDT - AH'!E86</f>
        <v>Promover el financiamiento para el desarrollo e implementación de estudios de umbrales de carbono en el suelo y en los bosques.</v>
      </c>
      <c r="H242" s="948" t="s">
        <v>1857</v>
      </c>
      <c r="I242" s="946" t="s">
        <v>193</v>
      </c>
      <c r="J242" s="946" t="s">
        <v>2594</v>
      </c>
      <c r="K242" s="946" t="s">
        <v>2332</v>
      </c>
      <c r="L242" s="946" t="s">
        <v>197</v>
      </c>
      <c r="M242" s="418" t="s">
        <v>1876</v>
      </c>
      <c r="N242" s="948" t="s">
        <v>1862</v>
      </c>
      <c r="O242" s="948" t="s">
        <v>228</v>
      </c>
      <c r="P242" s="951" t="s">
        <v>1877</v>
      </c>
      <c r="Q242" s="948" t="str">
        <f>+'5. Intervenciones UDT - AH'!F86</f>
        <v xml:space="preserve">Estudios </v>
      </c>
      <c r="R242" s="405">
        <f>+'5. Intervenciones UDT - AH'!I86</f>
        <v>0</v>
      </c>
      <c r="S242" s="405">
        <f>+'5. Intervenciones UDT - AH'!J86</f>
        <v>2</v>
      </c>
      <c r="T242" s="405">
        <f>+'5. Intervenciones UDT - AH'!K86</f>
        <v>0</v>
      </c>
      <c r="U242" s="405">
        <f>+'5. Intervenciones UDT - AH'!L86</f>
        <v>220400</v>
      </c>
      <c r="V242" s="403" t="str">
        <f>+'5. Intervenciones UDT - AH'!M86</f>
        <v xml:space="preserve">Estudio integrado de HCS/HVC incluye: (1) Scooping: Mapas preliminares HCS/HVC, trabajo de campo e informe (2) Informe HCS/HVC, documentos de base del estudio (shapes, base de datos)
*Se sugiere implementación con enfoque jurisdiccional </v>
      </c>
      <c r="W242" s="403" t="str">
        <f>+'5. Intervenciones UDT - AH'!N86</f>
        <v>Earth Worm Foundation</v>
      </c>
      <c r="X242" s="588">
        <f>+'5. Intervenciones UDT - AH'!O86</f>
        <v>440800</v>
      </c>
      <c r="Y242" s="588">
        <f>+Tabla1[[#This Row],[2025 Directo]]*(1+$Y$3)</f>
        <v>445428.39999999997</v>
      </c>
      <c r="Z242" s="588">
        <f>+'5. Intervenciones UDT - AH'!P86</f>
        <v>0</v>
      </c>
      <c r="AA242" s="588">
        <f>+Tabla1[[#This Row],[2030 Directo]]*(1+$Y$3)</f>
        <v>0</v>
      </c>
      <c r="AB242" s="588">
        <f>+'5. Intervenciones UDT - AH'!Q86</f>
        <v>220400</v>
      </c>
      <c r="AC242" s="588">
        <f>+Tabla1[[#This Row],[Año 1 Cto Directo]]*(1+$Y$3)</f>
        <v>222714.19999999998</v>
      </c>
      <c r="AD242" s="588">
        <f>+'5. Intervenciones UDT - AH'!R86</f>
        <v>220400</v>
      </c>
      <c r="AE242" s="588">
        <f>+Tabla1[[#This Row],[Año 2 Cto. Directo]]*(1+$Y$3)</f>
        <v>222714.19999999998</v>
      </c>
      <c r="AF242" s="588">
        <f>+'5. Intervenciones UDT - AH'!S86</f>
        <v>0</v>
      </c>
      <c r="AG242" s="588">
        <f>+Tabla1[[#This Row],[Año 3 Cto. Directo]]*(1+$Y$3)</f>
        <v>0</v>
      </c>
      <c r="AH242" s="588">
        <f>+'5. Intervenciones UDT - AH'!T86</f>
        <v>0</v>
      </c>
      <c r="AI242" s="588">
        <f>+Tabla1[[#This Row],[Año 4 Cto. Directo]]*(1+$Y$3)</f>
        <v>0</v>
      </c>
      <c r="AJ242" s="588">
        <f>+'5. Intervenciones UDT - AH'!U86</f>
        <v>0</v>
      </c>
      <c r="AK242" s="588">
        <f>+Tabla1[[#This Row],[Año 5 Cto. Directo]]*(1+$Y$3)</f>
        <v>0</v>
      </c>
      <c r="AL242" s="403">
        <f>+'5. Intervenciones UDT - AH'!V86</f>
        <v>0</v>
      </c>
      <c r="AM242" s="954" t="str">
        <f>+'5. Intervenciones UDT - AH'!W86</f>
        <v>X</v>
      </c>
      <c r="AN242" s="954"/>
      <c r="AO242" s="954"/>
      <c r="AP242" s="954"/>
      <c r="AQ242" s="954" t="str">
        <f>+'5. Intervenciones UDT - AH'!AA86</f>
        <v>RE</v>
      </c>
      <c r="AR242" s="954">
        <f>+'5. Intervenciones UDT - AH'!AB86</f>
        <v>3</v>
      </c>
      <c r="AS242" s="403">
        <f t="shared" si="1"/>
        <v>1</v>
      </c>
    </row>
    <row r="243" spans="1:45" s="195" customFormat="1" ht="15.8" hidden="1" customHeight="1" x14ac:dyDescent="0.3">
      <c r="A243" s="403"/>
      <c r="B243" s="403" t="str">
        <f>'5. Intervenciones UDT - AH'!$C$8</f>
        <v xml:space="preserve">UDT ALTO HUALLAGA </v>
      </c>
      <c r="C243" s="403" t="str">
        <f>'5. Intervenciones UDT - AH'!$F$90</f>
        <v xml:space="preserve">Concesiones para conservación y ecoturismo </v>
      </c>
      <c r="D243" s="404" t="str">
        <f>+'5. Intervenciones UDT - AH'!A98</f>
        <v>Programas de inversión privada</v>
      </c>
      <c r="E243" s="404" t="str">
        <f>+'5. Intervenciones UDT - AH'!C98</f>
        <v>3.5.1</v>
      </c>
      <c r="F243" s="403" t="str">
        <f>+'5. Intervenciones UDT - AH'!D98</f>
        <v>Incentivos financieros para promoción del ecoturismo y turismo comunitario</v>
      </c>
      <c r="G243" s="403" t="str">
        <f>+'5. Intervenciones UDT - AH'!E98</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H243" s="948" t="s">
        <v>1867</v>
      </c>
      <c r="I243" s="946" t="s">
        <v>203</v>
      </c>
      <c r="J243" s="946" t="s">
        <v>2597</v>
      </c>
      <c r="K243" s="946" t="s">
        <v>2336</v>
      </c>
      <c r="L243" s="946" t="s">
        <v>195</v>
      </c>
      <c r="M243" s="418" t="s">
        <v>1871</v>
      </c>
      <c r="N243" s="948" t="s">
        <v>1879</v>
      </c>
      <c r="O243" s="948" t="s">
        <v>218</v>
      </c>
      <c r="P243" s="951" t="s">
        <v>1872</v>
      </c>
      <c r="Q243" s="951" t="str">
        <f>+'5. Intervenciones UDT - AH'!F98</f>
        <v>Planes de negocios</v>
      </c>
      <c r="R243" s="405">
        <f>+'5. Intervenciones UDT - AH'!I98</f>
        <v>0</v>
      </c>
      <c r="S243" s="405">
        <f>+'5. Intervenciones UDT - AH'!J98</f>
        <v>7</v>
      </c>
      <c r="T243" s="405">
        <f>+'5. Intervenciones UDT - AH'!K98</f>
        <v>10</v>
      </c>
      <c r="U243" s="405">
        <f>+'5. Intervenciones UDT - AH'!L98</f>
        <v>150000</v>
      </c>
      <c r="V243" s="403" t="str">
        <f>+'5. Intervenciones UDT - AH'!M98</f>
        <v xml:space="preserve">El costo presupuestado será considerado para los estudios preliminares requeridos para el plan de negocio, pago de especialista de ser el caso, implementación de infraestructura básica según la priorización de los operadores turísticos interesados. </v>
      </c>
      <c r="W243" s="403" t="str">
        <f>+'5. Intervenciones UDT - AH'!N98</f>
        <v>Dircetur</v>
      </c>
      <c r="X243" s="588">
        <f>+'5. Intervenciones UDT - AH'!O98</f>
        <v>1050000</v>
      </c>
      <c r="Y243" s="588">
        <f>+Tabla1[[#This Row],[2025 Directo]]*(1+$Y$3)</f>
        <v>1061025</v>
      </c>
      <c r="Z243" s="588">
        <f>+'5. Intervenciones UDT - AH'!P98</f>
        <v>1500000</v>
      </c>
      <c r="AA243" s="588">
        <f>+Tabla1[[#This Row],[2030 Directo]]*(1+$Y$3)</f>
        <v>1515750</v>
      </c>
      <c r="AB243" s="588">
        <f>+'5. Intervenciones UDT - AH'!Q98</f>
        <v>210000</v>
      </c>
      <c r="AC243" s="588">
        <f>+Tabla1[[#This Row],[Año 1 Cto Directo]]*(1+$Y$3)</f>
        <v>212205</v>
      </c>
      <c r="AD243" s="588">
        <f>+'5. Intervenciones UDT - AH'!R98</f>
        <v>210000</v>
      </c>
      <c r="AE243" s="588">
        <f>+Tabla1[[#This Row],[Año 2 Cto. Directo]]*(1+$Y$3)</f>
        <v>212205</v>
      </c>
      <c r="AF243" s="588">
        <f>+'5. Intervenciones UDT - AH'!S98</f>
        <v>210000</v>
      </c>
      <c r="AG243" s="588">
        <f>+Tabla1[[#This Row],[Año 3 Cto. Directo]]*(1+$Y$3)</f>
        <v>212205</v>
      </c>
      <c r="AH243" s="588">
        <f>+'5. Intervenciones UDT - AH'!T98</f>
        <v>210000</v>
      </c>
      <c r="AI243" s="588">
        <f>+Tabla1[[#This Row],[Año 4 Cto. Directo]]*(1+$Y$3)</f>
        <v>212205</v>
      </c>
      <c r="AJ243" s="588">
        <f>+'5. Intervenciones UDT - AH'!U98</f>
        <v>210000</v>
      </c>
      <c r="AK243" s="588">
        <f>+Tabla1[[#This Row],[Año 5 Cto. Directo]]*(1+$Y$3)</f>
        <v>212205</v>
      </c>
      <c r="AL243" s="403">
        <f>+'5. Intervenciones UDT - AH'!V98</f>
        <v>0</v>
      </c>
      <c r="AM243" s="954" t="str">
        <f>+'5. Intervenciones UDT - AH'!W98</f>
        <v>X</v>
      </c>
      <c r="AN243" s="954"/>
      <c r="AO243" s="954"/>
      <c r="AP243" s="954"/>
      <c r="AQ243" s="954" t="str">
        <f>+'5. Intervenciones UDT - AH'!AA98</f>
        <v>RE</v>
      </c>
      <c r="AR243" s="954">
        <f>+'5. Intervenciones UDT - AH'!AB98</f>
        <v>3</v>
      </c>
      <c r="AS243" s="403">
        <f t="shared" si="1"/>
        <v>1</v>
      </c>
    </row>
    <row r="244" spans="1:45" s="195" customFormat="1" ht="15.8" hidden="1" customHeight="1" x14ac:dyDescent="0.3">
      <c r="A244" s="403"/>
      <c r="B244" s="403" t="str">
        <f>'5. Intervenciones UDT - AH'!$C$8</f>
        <v xml:space="preserve">UDT ALTO HUALLAGA </v>
      </c>
      <c r="C244" s="403" t="str">
        <f>'5. Intervenciones UDT - AH'!$F$90</f>
        <v xml:space="preserve">Concesiones para conservación y ecoturismo </v>
      </c>
      <c r="D244" s="404" t="str">
        <f>+'5. Intervenciones UDT - AH'!A99</f>
        <v>Programas de inversión pública</v>
      </c>
      <c r="E244" s="404" t="str">
        <f>+'5. Intervenciones UDT - AH'!C99</f>
        <v>3.5.2</v>
      </c>
      <c r="F244" s="403" t="str">
        <f>+'5. Intervenciones UDT - AH'!D99</f>
        <v>Asistencia técnica para la gestión del turismo y acciones integradas para el desarrollo de las organizaciones  o emprendimientos comunitarios</v>
      </c>
      <c r="G244" s="403" t="str">
        <f>+'5. Intervenciones UDT - AH'!E99</f>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
2. Asistencia técnica, orientada al a) Fortalecimiento de la gestión del turismo, b) Consolidación de los productos de turismo y c) Fortalecimiento de la política institucional y la gobernanza del turismo.</v>
      </c>
      <c r="H244" s="948" t="s">
        <v>1857</v>
      </c>
      <c r="I244" s="946" t="s">
        <v>203</v>
      </c>
      <c r="J244" s="946" t="s">
        <v>2595</v>
      </c>
      <c r="K244" s="946" t="s">
        <v>2333</v>
      </c>
      <c r="L244" s="946" t="s">
        <v>204</v>
      </c>
      <c r="M244" s="418" t="s">
        <v>1878</v>
      </c>
      <c r="N244" s="948" t="s">
        <v>1879</v>
      </c>
      <c r="O244" s="948" t="s">
        <v>224</v>
      </c>
      <c r="P244" s="951" t="s">
        <v>1863</v>
      </c>
      <c r="Q244" s="951" t="str">
        <f>+'5. Intervenciones UDT - AH'!F99</f>
        <v>Especialistas</v>
      </c>
      <c r="R244" s="405">
        <f>+'5. Intervenciones UDT - AH'!I99</f>
        <v>0</v>
      </c>
      <c r="S244" s="405">
        <f>+'5. Intervenciones UDT - AH'!J99</f>
        <v>2</v>
      </c>
      <c r="T244" s="405">
        <f>+'5. Intervenciones UDT - AH'!K99</f>
        <v>2</v>
      </c>
      <c r="U244" s="405">
        <f>+'5. Intervenciones UDT - AH'!L99</f>
        <v>4000</v>
      </c>
      <c r="V244" s="403" t="str">
        <f>+'5. Intervenciones UDT - AH'!M99</f>
        <v>Contratación de especialista y gastos logísticos, pasantías regionales y nacionales para adquisición de know how en materia de turismo rural</v>
      </c>
      <c r="W244" s="403" t="str">
        <f>+'5. Intervenciones UDT - AH'!N99</f>
        <v>Dircetur</v>
      </c>
      <c r="X244" s="588">
        <f>+'5. Intervenciones UDT - AH'!O99</f>
        <v>480000</v>
      </c>
      <c r="Y244" s="588">
        <f>+Tabla1[[#This Row],[2025 Directo]]*(1+$Y$3)</f>
        <v>485040</v>
      </c>
      <c r="Z244" s="588">
        <f>+'5. Intervenciones UDT - AH'!P99</f>
        <v>480000</v>
      </c>
      <c r="AA244" s="588">
        <f>+Tabla1[[#This Row],[2030 Directo]]*(1+$Y$3)</f>
        <v>485040</v>
      </c>
      <c r="AB244" s="588">
        <f>+'5. Intervenciones UDT - AH'!Q99</f>
        <v>96000</v>
      </c>
      <c r="AC244" s="588">
        <f>+Tabla1[[#This Row],[Año 1 Cto Directo]]*(1+$Y$3)</f>
        <v>97008</v>
      </c>
      <c r="AD244" s="588">
        <f>+'5. Intervenciones UDT - AH'!R99</f>
        <v>96000</v>
      </c>
      <c r="AE244" s="588">
        <f>+Tabla1[[#This Row],[Año 2 Cto. Directo]]*(1+$Y$3)</f>
        <v>97008</v>
      </c>
      <c r="AF244" s="588">
        <f>+'5. Intervenciones UDT - AH'!S99</f>
        <v>96000</v>
      </c>
      <c r="AG244" s="588">
        <f>+Tabla1[[#This Row],[Año 3 Cto. Directo]]*(1+$Y$3)</f>
        <v>97008</v>
      </c>
      <c r="AH244" s="588">
        <f>+'5. Intervenciones UDT - AH'!T99</f>
        <v>96000</v>
      </c>
      <c r="AI244" s="588">
        <f>+Tabla1[[#This Row],[Año 4 Cto. Directo]]*(1+$Y$3)</f>
        <v>97008</v>
      </c>
      <c r="AJ244" s="588">
        <f>+'5. Intervenciones UDT - AH'!U99</f>
        <v>96000</v>
      </c>
      <c r="AK244" s="588">
        <f>+Tabla1[[#This Row],[Año 5 Cto. Directo]]*(1+$Y$3)</f>
        <v>97008</v>
      </c>
      <c r="AL244" s="403">
        <f>+'5. Intervenciones UDT - AH'!V99</f>
        <v>0</v>
      </c>
      <c r="AM244" s="954"/>
      <c r="AN244" s="954"/>
      <c r="AO244" s="954" t="str">
        <f>+'5. Intervenciones UDT - AH'!Y99</f>
        <v>X</v>
      </c>
      <c r="AP244" s="954"/>
      <c r="AQ244" s="954" t="str">
        <f>+'5. Intervenciones UDT - AH'!AA99</f>
        <v>RE</v>
      </c>
      <c r="AR244" s="954">
        <f>+'5. Intervenciones UDT - AH'!AB99</f>
        <v>3</v>
      </c>
      <c r="AS244" s="403">
        <f t="shared" si="1"/>
        <v>1</v>
      </c>
    </row>
    <row r="245" spans="1:45" s="195" customFormat="1" ht="15.8" hidden="1" customHeight="1" x14ac:dyDescent="0.3">
      <c r="A245" s="403"/>
      <c r="B245" s="403" t="str">
        <f>'5. Intervenciones UDT - AH'!$C$8</f>
        <v xml:space="preserve">UDT ALTO HUALLAGA </v>
      </c>
      <c r="C245" s="403" t="str">
        <f>'5. Intervenciones UDT - AH'!$F$90</f>
        <v xml:space="preserve">Concesiones para conservación y ecoturismo </v>
      </c>
      <c r="D245" s="404" t="str">
        <f>+'5. Intervenciones UDT - AH'!A100</f>
        <v>Programas de inversión privada</v>
      </c>
      <c r="E245" s="404" t="str">
        <f>+'5. Intervenciones UDT - AH'!C100</f>
        <v>3.5.3</v>
      </c>
      <c r="F245" s="403" t="str">
        <f>+'5. Intervenciones UDT - AH'!D100</f>
        <v xml:space="preserve">Promoción de Bionegocios con productos forestales no maderables </v>
      </c>
      <c r="G245" s="403" t="str">
        <f>+'5. Intervenciones UDT - AH'!E100</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H245" s="948" t="s">
        <v>1857</v>
      </c>
      <c r="I245" s="946" t="s">
        <v>203</v>
      </c>
      <c r="J245" s="946" t="s">
        <v>2596</v>
      </c>
      <c r="K245" s="946" t="s">
        <v>2335</v>
      </c>
      <c r="L245" s="946" t="s">
        <v>205</v>
      </c>
      <c r="M245" s="418" t="s">
        <v>1881</v>
      </c>
      <c r="N245" s="948" t="s">
        <v>1879</v>
      </c>
      <c r="O245" s="948" t="s">
        <v>231</v>
      </c>
      <c r="P245" s="951" t="s">
        <v>1882</v>
      </c>
      <c r="Q245" s="951" t="str">
        <f>+'5. Intervenciones UDT - AH'!F100</f>
        <v>Planes de negocio</v>
      </c>
      <c r="R245" s="405">
        <f>+'5. Intervenciones UDT - AH'!I100</f>
        <v>0</v>
      </c>
      <c r="S245" s="405">
        <f>+'5. Intervenciones UDT - AH'!J100</f>
        <v>4</v>
      </c>
      <c r="T245" s="405">
        <f>+'5. Intervenciones UDT - AH'!K100</f>
        <v>8</v>
      </c>
      <c r="U245" s="405">
        <f>+'5. Intervenciones UDT - AH'!L100</f>
        <v>150000</v>
      </c>
      <c r="V245" s="403" t="str">
        <f>+'5. Intervenciones UDT - AH'!M100</f>
        <v>El costo hace referencia al proceso de implementación y funcionamiento de los productos para el desarrollo de  los emprendimientos.</v>
      </c>
      <c r="W245" s="403" t="str">
        <f>+'5. Intervenciones UDT - AH'!N100</f>
        <v>Dircetur, Agroideas</v>
      </c>
      <c r="X245" s="588">
        <f>+'5. Intervenciones UDT - AH'!O100</f>
        <v>600000</v>
      </c>
      <c r="Y245" s="588">
        <f>+Tabla1[[#This Row],[2025 Directo]]*(1+$Y$3)</f>
        <v>606300</v>
      </c>
      <c r="Z245" s="588">
        <f>+'5. Intervenciones UDT - AH'!P100</f>
        <v>1200000</v>
      </c>
      <c r="AA245" s="588">
        <f>+Tabla1[[#This Row],[2030 Directo]]*(1+$Y$3)</f>
        <v>1212600</v>
      </c>
      <c r="AB245" s="588">
        <f>+'5. Intervenciones UDT - AH'!Q100</f>
        <v>120000</v>
      </c>
      <c r="AC245" s="588">
        <f>+Tabla1[[#This Row],[Año 1 Cto Directo]]*(1+$Y$3)</f>
        <v>121260</v>
      </c>
      <c r="AD245" s="588">
        <f>+'5. Intervenciones UDT - AH'!R100</f>
        <v>120000</v>
      </c>
      <c r="AE245" s="588">
        <f>+Tabla1[[#This Row],[Año 2 Cto. Directo]]*(1+$Y$3)</f>
        <v>121260</v>
      </c>
      <c r="AF245" s="588">
        <f>+'5. Intervenciones UDT - AH'!S100</f>
        <v>120000</v>
      </c>
      <c r="AG245" s="588">
        <f>+Tabla1[[#This Row],[Año 3 Cto. Directo]]*(1+$Y$3)</f>
        <v>121260</v>
      </c>
      <c r="AH245" s="588">
        <f>+'5. Intervenciones UDT - AH'!T100</f>
        <v>120000</v>
      </c>
      <c r="AI245" s="588">
        <f>+Tabla1[[#This Row],[Año 4 Cto. Directo]]*(1+$Y$3)</f>
        <v>121260</v>
      </c>
      <c r="AJ245" s="588">
        <f>+'5. Intervenciones UDT - AH'!U100</f>
        <v>120000</v>
      </c>
      <c r="AK245" s="588">
        <f>+Tabla1[[#This Row],[Año 5 Cto. Directo]]*(1+$Y$3)</f>
        <v>121260</v>
      </c>
      <c r="AL245" s="403">
        <f>+'5. Intervenciones UDT - AH'!V100</f>
        <v>0</v>
      </c>
      <c r="AM245" s="954" t="str">
        <f>+'5. Intervenciones UDT - AH'!W100</f>
        <v>X</v>
      </c>
      <c r="AN245" s="954"/>
      <c r="AO245" s="954"/>
      <c r="AP245" s="954"/>
      <c r="AQ245" s="954" t="str">
        <f>+'5. Intervenciones UDT - AH'!AA100</f>
        <v>RE</v>
      </c>
      <c r="AR245" s="954">
        <f>+'5. Intervenciones UDT - AH'!AB100</f>
        <v>3</v>
      </c>
      <c r="AS245" s="403">
        <f t="shared" si="1"/>
        <v>1</v>
      </c>
    </row>
    <row r="246" spans="1:45" s="195" customFormat="1" ht="15.8" hidden="1" customHeight="1" x14ac:dyDescent="0.3">
      <c r="A246" s="403"/>
      <c r="B246" s="403" t="str">
        <f>'5. Intervenciones UDT - AH'!$C$8</f>
        <v xml:space="preserve">UDT ALTO HUALLAGA </v>
      </c>
      <c r="C246" s="403" t="str">
        <f>'5. Intervenciones UDT - AH'!$F$90</f>
        <v xml:space="preserve">Concesiones para conservación y ecoturismo </v>
      </c>
      <c r="D246" s="404" t="str">
        <f>+'5. Intervenciones UDT - AH'!A101</f>
        <v>Programas de inversión privada</v>
      </c>
      <c r="E246" s="404" t="str">
        <f>+'5. Intervenciones UDT - AH'!C101</f>
        <v>3.5.4</v>
      </c>
      <c r="F246" s="403" t="str">
        <f>+'5. Intervenciones UDT - AH'!D101</f>
        <v xml:space="preserve"> Promoción de mercados turísticos</v>
      </c>
      <c r="G246" s="403" t="str">
        <f>+'5. Intervenciones UDT - AH'!E101</f>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v>
      </c>
      <c r="H246" s="948" t="s">
        <v>1857</v>
      </c>
      <c r="I246" s="946" t="s">
        <v>203</v>
      </c>
      <c r="J246" s="946" t="s">
        <v>2596</v>
      </c>
      <c r="K246" s="946" t="s">
        <v>2335</v>
      </c>
      <c r="L246" s="946" t="s">
        <v>205</v>
      </c>
      <c r="M246" s="418" t="s">
        <v>1881</v>
      </c>
      <c r="N246" s="948" t="s">
        <v>1879</v>
      </c>
      <c r="O246" s="948" t="s">
        <v>232</v>
      </c>
      <c r="P246" s="951" t="s">
        <v>1886</v>
      </c>
      <c r="Q246" s="951" t="str">
        <f>+'5. Intervenciones UDT - AH'!F101</f>
        <v>rutas turísticas promocionados</v>
      </c>
      <c r="R246" s="405">
        <f>+'5. Intervenciones UDT - AH'!I101</f>
        <v>0</v>
      </c>
      <c r="S246" s="405">
        <f>+'5. Intervenciones UDT - AH'!J101</f>
        <v>3</v>
      </c>
      <c r="T246" s="405">
        <f>+'5. Intervenciones UDT - AH'!K101</f>
        <v>3</v>
      </c>
      <c r="U246" s="405">
        <f>+'5. Intervenciones UDT - AH'!L101</f>
        <v>40000</v>
      </c>
      <c r="V246" s="403" t="str">
        <f>+'5. Intervenciones UDT - AH'!M101</f>
        <v xml:space="preserve">Participación en eventos de promoción (ferias regionales y nacionales, Fam Trip), el costo cubrirá gastos logísticos y administrativos de los operadores turísticos identificados </v>
      </c>
      <c r="W246" s="403" t="str">
        <f>+'5. Intervenciones UDT - AH'!N101</f>
        <v>Mincetur, Dircetur</v>
      </c>
      <c r="X246" s="588">
        <f>+'5. Intervenciones UDT - AH'!O101</f>
        <v>600000</v>
      </c>
      <c r="Y246" s="588">
        <f>+Tabla1[[#This Row],[2025 Directo]]*(1+$Y$3)</f>
        <v>606300</v>
      </c>
      <c r="Z246" s="588">
        <f>+'5. Intervenciones UDT - AH'!P101</f>
        <v>600000</v>
      </c>
      <c r="AA246" s="588">
        <f>+Tabla1[[#This Row],[2030 Directo]]*(1+$Y$3)</f>
        <v>606300</v>
      </c>
      <c r="AB246" s="588">
        <f>+'5. Intervenciones UDT - AH'!Q101</f>
        <v>120000</v>
      </c>
      <c r="AC246" s="588">
        <f>+Tabla1[[#This Row],[Año 1 Cto Directo]]*(1+$Y$3)</f>
        <v>121260</v>
      </c>
      <c r="AD246" s="588">
        <f>+'5. Intervenciones UDT - AH'!R101</f>
        <v>120000</v>
      </c>
      <c r="AE246" s="588">
        <f>+Tabla1[[#This Row],[Año 2 Cto. Directo]]*(1+$Y$3)</f>
        <v>121260</v>
      </c>
      <c r="AF246" s="588">
        <f>+'5. Intervenciones UDT - AH'!S101</f>
        <v>120000</v>
      </c>
      <c r="AG246" s="588">
        <f>+Tabla1[[#This Row],[Año 3 Cto. Directo]]*(1+$Y$3)</f>
        <v>121260</v>
      </c>
      <c r="AH246" s="588">
        <f>+'5. Intervenciones UDT - AH'!T101</f>
        <v>120000</v>
      </c>
      <c r="AI246" s="588">
        <f>+Tabla1[[#This Row],[Año 4 Cto. Directo]]*(1+$Y$3)</f>
        <v>121260</v>
      </c>
      <c r="AJ246" s="588">
        <f>+'5. Intervenciones UDT - AH'!U101</f>
        <v>120000</v>
      </c>
      <c r="AK246" s="588">
        <f>+Tabla1[[#This Row],[Año 5 Cto. Directo]]*(1+$Y$3)</f>
        <v>121260</v>
      </c>
      <c r="AL246" s="403">
        <f>+'5. Intervenciones UDT - AH'!V101</f>
        <v>0</v>
      </c>
      <c r="AM246" s="954"/>
      <c r="AN246" s="954"/>
      <c r="AO246" s="954" t="str">
        <f>+'5. Intervenciones UDT - AH'!Y101</f>
        <v>X</v>
      </c>
      <c r="AP246" s="954"/>
      <c r="AQ246" s="954" t="str">
        <f>+'5. Intervenciones UDT - AH'!AA101</f>
        <v>RE</v>
      </c>
      <c r="AR246" s="954">
        <f>+'5. Intervenciones UDT - AH'!AB101</f>
        <v>3</v>
      </c>
      <c r="AS246" s="403">
        <f t="shared" si="1"/>
        <v>1</v>
      </c>
    </row>
    <row r="247" spans="1:45" s="195" customFormat="1" ht="15.8" hidden="1" customHeight="1" x14ac:dyDescent="0.3">
      <c r="A247" s="403"/>
      <c r="B247" s="403" t="str">
        <f>'5. Intervenciones UDT - AH'!$C$8</f>
        <v xml:space="preserve">UDT ALTO HUALLAGA </v>
      </c>
      <c r="C247" s="403" t="str">
        <f>'5. Intervenciones UDT - AH'!$F$105</f>
        <v xml:space="preserve">Concesiones Forestales Maderables </v>
      </c>
      <c r="D247" s="404" t="str">
        <f>+'5. Intervenciones UDT - AH'!A113</f>
        <v>Invasiones</v>
      </c>
      <c r="E247" s="404" t="str">
        <f>+'5. Intervenciones UDT - AH'!C113</f>
        <v>3.6.1</v>
      </c>
      <c r="F247" s="403" t="str">
        <f>+'5. Intervenciones UDT - AH'!D113</f>
        <v>Exclusión y compensación de concesiones forestales maderables a solicitud del concesionario</v>
      </c>
      <c r="G247" s="403" t="str">
        <f>+'5. Intervenciones UDT - AH'!E113</f>
        <v>Realizar un sinceramiento de las concesiones forestales activas e inactivas para excluir o realizar nuevos otorgamientos a empresas que puedan cumplir técnica y económicamente con lo predispuesto en la directiva.</v>
      </c>
      <c r="H247" s="948" t="s">
        <v>1857</v>
      </c>
      <c r="I247" s="946" t="s">
        <v>199</v>
      </c>
      <c r="J247" s="946" t="s">
        <v>2591</v>
      </c>
      <c r="K247" s="946" t="s">
        <v>2331</v>
      </c>
      <c r="L247" s="946" t="s">
        <v>202</v>
      </c>
      <c r="M247" s="418" t="s">
        <v>1858</v>
      </c>
      <c r="N247" s="948" t="s">
        <v>1859</v>
      </c>
      <c r="O247" s="948" t="s">
        <v>223</v>
      </c>
      <c r="P247" s="951" t="s">
        <v>1860</v>
      </c>
      <c r="Q247" s="951" t="str">
        <f>+'5. Intervenciones UDT - AH'!F113</f>
        <v xml:space="preserve">N° de concesiones </v>
      </c>
      <c r="R247" s="405">
        <f>+'5. Intervenciones UDT - AH'!I113</f>
        <v>0</v>
      </c>
      <c r="S247" s="405">
        <f>+'5. Intervenciones UDT - AH'!J113</f>
        <v>9</v>
      </c>
      <c r="T247" s="405">
        <f>+'5. Intervenciones UDT - AH'!K113</f>
        <v>9</v>
      </c>
      <c r="U247" s="405">
        <f>+'5. Intervenciones UDT - AH'!L113</f>
        <v>30000</v>
      </c>
      <c r="V247" s="403" t="str">
        <f>+'5. Intervenciones UDT - AH'!M113</f>
        <v>Gastos operativos y logísticos para la elaboración de expedientes técnicos sustentatorios para los procesos legales y administrativos que conllevan dicho procedimiento.</v>
      </c>
      <c r="W247" s="403" t="str">
        <f>+'5. Intervenciones UDT - AH'!N113</f>
        <v>ARA, SERFOR, MINAM</v>
      </c>
      <c r="X247" s="588">
        <f>+'5. Intervenciones UDT - AH'!O113</f>
        <v>270000</v>
      </c>
      <c r="Y247" s="588">
        <f>+Tabla1[[#This Row],[2025 Directo]]*(1+$Y$3)</f>
        <v>272835</v>
      </c>
      <c r="Z247" s="588">
        <f>+'5. Intervenciones UDT - AH'!P113</f>
        <v>270000</v>
      </c>
      <c r="AA247" s="588">
        <f>+Tabla1[[#This Row],[2030 Directo]]*(1+$Y$3)</f>
        <v>272835</v>
      </c>
      <c r="AB247" s="588">
        <f>+'5. Intervenciones UDT - AH'!Q113</f>
        <v>54000</v>
      </c>
      <c r="AC247" s="588">
        <f>+Tabla1[[#This Row],[Año 1 Cto Directo]]*(1+$Y$3)</f>
        <v>54567</v>
      </c>
      <c r="AD247" s="588">
        <f>+'5. Intervenciones UDT - AH'!R113</f>
        <v>54000</v>
      </c>
      <c r="AE247" s="588">
        <f>+Tabla1[[#This Row],[Año 2 Cto. Directo]]*(1+$Y$3)</f>
        <v>54567</v>
      </c>
      <c r="AF247" s="588">
        <f>+'5. Intervenciones UDT - AH'!S113</f>
        <v>54000</v>
      </c>
      <c r="AG247" s="588">
        <f>+Tabla1[[#This Row],[Año 3 Cto. Directo]]*(1+$Y$3)</f>
        <v>54567</v>
      </c>
      <c r="AH247" s="588">
        <f>+'5. Intervenciones UDT - AH'!T113</f>
        <v>54000</v>
      </c>
      <c r="AI247" s="588">
        <f>+Tabla1[[#This Row],[Año 4 Cto. Directo]]*(1+$Y$3)</f>
        <v>54567</v>
      </c>
      <c r="AJ247" s="588">
        <f>+'5. Intervenciones UDT - AH'!U113</f>
        <v>54000</v>
      </c>
      <c r="AK247" s="588">
        <f>+Tabla1[[#This Row],[Año 5 Cto. Directo]]*(1+$Y$3)</f>
        <v>54567</v>
      </c>
      <c r="AL247" s="403">
        <f>+'5. Intervenciones UDT - AH'!V113</f>
        <v>0</v>
      </c>
      <c r="AM247" s="954"/>
      <c r="AN247" s="954"/>
      <c r="AO247" s="954" t="str">
        <f>+'5. Intervenciones UDT - AH'!Y113</f>
        <v>X</v>
      </c>
      <c r="AP247" s="954"/>
      <c r="AQ247" s="954"/>
      <c r="AR247" s="954">
        <f>+'5. Intervenciones UDT - AH'!AB113</f>
        <v>3</v>
      </c>
      <c r="AS247" s="403">
        <f t="shared" si="1"/>
        <v>1</v>
      </c>
    </row>
    <row r="248" spans="1:45" s="195" customFormat="1" ht="15.8" hidden="1" customHeight="1" x14ac:dyDescent="0.3">
      <c r="A248" s="403"/>
      <c r="B248" s="403" t="str">
        <f>'5. Intervenciones UDT - AH'!$C$8</f>
        <v xml:space="preserve">UDT ALTO HUALLAGA </v>
      </c>
      <c r="C248" s="403" t="str">
        <f>'5. Intervenciones UDT - AH'!$F$105</f>
        <v xml:space="preserve">Concesiones Forestales Maderables </v>
      </c>
      <c r="D248" s="404" t="str">
        <f>+'5. Intervenciones UDT - AH'!A114</f>
        <v>Programas de inversión privada</v>
      </c>
      <c r="E248" s="404" t="str">
        <f>+'5. Intervenciones UDT - AH'!C114</f>
        <v>3.6.2</v>
      </c>
      <c r="F248" s="403" t="str">
        <f>+'5. Intervenciones UDT - AH'!D114</f>
        <v>Incentivos financieros para manejo forestal sostenible</v>
      </c>
      <c r="G248" s="403" t="str">
        <f>+'5. Intervenciones UDT - AH'!E114</f>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v>
      </c>
      <c r="H248" s="948" t="s">
        <v>1867</v>
      </c>
      <c r="I248" s="946" t="s">
        <v>203</v>
      </c>
      <c r="J248" s="946" t="s">
        <v>2597</v>
      </c>
      <c r="K248" s="946" t="s">
        <v>2336</v>
      </c>
      <c r="L248" s="946" t="s">
        <v>195</v>
      </c>
      <c r="M248" s="418" t="s">
        <v>1871</v>
      </c>
      <c r="N248" s="948" t="s">
        <v>1879</v>
      </c>
      <c r="O248" s="948" t="s">
        <v>218</v>
      </c>
      <c r="P248" s="951" t="s">
        <v>1872</v>
      </c>
      <c r="Q248" s="951" t="str">
        <f>+'5. Intervenciones UDT - AH'!F114</f>
        <v>Créditos otorgados</v>
      </c>
      <c r="R248" s="405">
        <f>+'5. Intervenciones UDT - AH'!I114</f>
        <v>0</v>
      </c>
      <c r="S248" s="405">
        <f>+'5. Intervenciones UDT - AH'!J114</f>
        <v>3</v>
      </c>
      <c r="T248" s="405">
        <f>+'5. Intervenciones UDT - AH'!K114</f>
        <v>3</v>
      </c>
      <c r="U248" s="405">
        <f>+'5. Intervenciones UDT - AH'!L114</f>
        <v>150000</v>
      </c>
      <c r="V248" s="403" t="str">
        <f>+'5. Intervenciones UDT - AH'!M114</f>
        <v>El costo incluye los gastos operativos y logísticos para la extracción de la madera de acuerdo al plan de extracción y la implementación de los planes de manejo. ambiental.</v>
      </c>
      <c r="W248" s="403" t="str">
        <f>+'5. Intervenciones UDT - AH'!N114</f>
        <v>ARA, SERFOR, MINAM</v>
      </c>
      <c r="X248" s="588">
        <f>+'5. Intervenciones UDT - AH'!O114</f>
        <v>450000</v>
      </c>
      <c r="Y248" s="588">
        <f>+Tabla1[[#This Row],[2025 Directo]]*(1+$Y$3)</f>
        <v>454725</v>
      </c>
      <c r="Z248" s="588">
        <f>+'5. Intervenciones UDT - AH'!P114</f>
        <v>450000</v>
      </c>
      <c r="AA248" s="588">
        <f>+Tabla1[[#This Row],[2030 Directo]]*(1+$Y$3)</f>
        <v>454725</v>
      </c>
      <c r="AB248" s="588">
        <f>+'5. Intervenciones UDT - AH'!Q114</f>
        <v>90000</v>
      </c>
      <c r="AC248" s="588">
        <f>+Tabla1[[#This Row],[Año 1 Cto Directo]]*(1+$Y$3)</f>
        <v>90945</v>
      </c>
      <c r="AD248" s="588">
        <f>+'5. Intervenciones UDT - AH'!R114</f>
        <v>90000</v>
      </c>
      <c r="AE248" s="588">
        <f>+Tabla1[[#This Row],[Año 2 Cto. Directo]]*(1+$Y$3)</f>
        <v>90945</v>
      </c>
      <c r="AF248" s="588">
        <f>+'5. Intervenciones UDT - AH'!S114</f>
        <v>90000</v>
      </c>
      <c r="AG248" s="588">
        <f>+Tabla1[[#This Row],[Año 3 Cto. Directo]]*(1+$Y$3)</f>
        <v>90945</v>
      </c>
      <c r="AH248" s="588">
        <f>+'5. Intervenciones UDT - AH'!T114</f>
        <v>90000</v>
      </c>
      <c r="AI248" s="588">
        <f>+Tabla1[[#This Row],[Año 4 Cto. Directo]]*(1+$Y$3)</f>
        <v>90945</v>
      </c>
      <c r="AJ248" s="588">
        <f>+'5. Intervenciones UDT - AH'!U114</f>
        <v>90000</v>
      </c>
      <c r="AK248" s="588">
        <f>+Tabla1[[#This Row],[Año 5 Cto. Directo]]*(1+$Y$3)</f>
        <v>90945</v>
      </c>
      <c r="AL248" s="403">
        <f>+'5. Intervenciones UDT - AH'!V114</f>
        <v>0</v>
      </c>
      <c r="AM248" s="954" t="str">
        <f>+'5. Intervenciones UDT - AH'!W114</f>
        <v>X</v>
      </c>
      <c r="AN248" s="954"/>
      <c r="AO248" s="954"/>
      <c r="AP248" s="954"/>
      <c r="AQ248" s="954"/>
      <c r="AR248" s="954">
        <f>+'5. Intervenciones UDT - AH'!AB114</f>
        <v>3</v>
      </c>
      <c r="AS248" s="403">
        <f t="shared" si="1"/>
        <v>1</v>
      </c>
    </row>
    <row r="249" spans="1:45" s="195" customFormat="1" ht="15.8" hidden="1" customHeight="1" x14ac:dyDescent="0.3">
      <c r="A249" s="403"/>
      <c r="B249" s="403" t="str">
        <f>'5. Intervenciones UDT - AH'!$C$8</f>
        <v xml:space="preserve">UDT ALTO HUALLAGA </v>
      </c>
      <c r="C249" s="403" t="str">
        <f>'5. Intervenciones UDT - AH'!$F$105</f>
        <v xml:space="preserve">Concesiones Forestales Maderables </v>
      </c>
      <c r="D249" s="404" t="str">
        <f>+'5. Intervenciones UDT - AH'!A115</f>
        <v>Programas de inversión pública</v>
      </c>
      <c r="E249" s="404" t="str">
        <f>+'5. Intervenciones UDT - AH'!C115</f>
        <v>3.6.3</v>
      </c>
      <c r="F249" s="403" t="str">
        <f>+'5. Intervenciones UDT - AH'!D115</f>
        <v>Nuevos mecanismos de pagos de deudas por sanciones</v>
      </c>
      <c r="G249" s="403" t="str">
        <f>+'5. Intervenciones UDT - AH'!E115</f>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puedan acceder a este beneficio.</v>
      </c>
      <c r="H249" s="948" t="s">
        <v>1864</v>
      </c>
      <c r="I249" s="946" t="s">
        <v>199</v>
      </c>
      <c r="J249" s="946" t="s">
        <v>2591</v>
      </c>
      <c r="K249" s="946" t="s">
        <v>2331</v>
      </c>
      <c r="L249" s="946" t="s">
        <v>202</v>
      </c>
      <c r="M249" s="418" t="s">
        <v>1858</v>
      </c>
      <c r="N249" s="948" t="s">
        <v>1887</v>
      </c>
      <c r="O249" s="948" t="s">
        <v>244</v>
      </c>
      <c r="P249" s="951" t="s">
        <v>1888</v>
      </c>
      <c r="Q249" s="951" t="str">
        <f>+'5. Intervenciones UDT - AH'!F115</f>
        <v>Concesiones reactivas</v>
      </c>
      <c r="R249" s="405">
        <f>+'5. Intervenciones UDT - AH'!I115</f>
        <v>0</v>
      </c>
      <c r="S249" s="405">
        <f>+'5. Intervenciones UDT - AH'!J115</f>
        <v>9</v>
      </c>
      <c r="T249" s="405">
        <f>+'5. Intervenciones UDT - AH'!K115</f>
        <v>0</v>
      </c>
      <c r="U249" s="405">
        <f>+'5. Intervenciones UDT - AH'!L115</f>
        <v>20000</v>
      </c>
      <c r="V249" s="403" t="str">
        <f>+'5. Intervenciones UDT - AH'!M115</f>
        <v>Gastos operativos y logísticos para la elaboración de expedientes técnicos sustentatorios para los procesos legales y administrativos que conllevan dicho procedimiento.</v>
      </c>
      <c r="W249" s="403" t="str">
        <f>+'5. Intervenciones UDT - AH'!N115</f>
        <v>ARA, SERFOR, MINAM</v>
      </c>
      <c r="X249" s="588">
        <f>+'5. Intervenciones UDT - AH'!O115</f>
        <v>180000</v>
      </c>
      <c r="Y249" s="588">
        <f>+Tabla1[[#This Row],[2025 Directo]]*(1+$Y$3)</f>
        <v>181890</v>
      </c>
      <c r="Z249" s="588">
        <f>+'5. Intervenciones UDT - AH'!P115</f>
        <v>0</v>
      </c>
      <c r="AA249" s="588">
        <f>+Tabla1[[#This Row],[2030 Directo]]*(1+$Y$3)</f>
        <v>0</v>
      </c>
      <c r="AB249" s="588">
        <f>+'5. Intervenciones UDT - AH'!Q115</f>
        <v>36000</v>
      </c>
      <c r="AC249" s="588">
        <f>+Tabla1[[#This Row],[Año 1 Cto Directo]]*(1+$Y$3)</f>
        <v>36378</v>
      </c>
      <c r="AD249" s="588">
        <f>+'5. Intervenciones UDT - AH'!R115</f>
        <v>36000</v>
      </c>
      <c r="AE249" s="588">
        <f>+Tabla1[[#This Row],[Año 2 Cto. Directo]]*(1+$Y$3)</f>
        <v>36378</v>
      </c>
      <c r="AF249" s="588">
        <f>+'5. Intervenciones UDT - AH'!S115</f>
        <v>36000</v>
      </c>
      <c r="AG249" s="588">
        <f>+Tabla1[[#This Row],[Año 3 Cto. Directo]]*(1+$Y$3)</f>
        <v>36378</v>
      </c>
      <c r="AH249" s="588">
        <f>+'5. Intervenciones UDT - AH'!T115</f>
        <v>36000</v>
      </c>
      <c r="AI249" s="588">
        <f>+Tabla1[[#This Row],[Año 4 Cto. Directo]]*(1+$Y$3)</f>
        <v>36378</v>
      </c>
      <c r="AJ249" s="588">
        <f>+'5. Intervenciones UDT - AH'!U115</f>
        <v>36000</v>
      </c>
      <c r="AK249" s="588">
        <f>+Tabla1[[#This Row],[Año 5 Cto. Directo]]*(1+$Y$3)</f>
        <v>36378</v>
      </c>
      <c r="AL249" s="403">
        <f>+'5. Intervenciones UDT - AH'!V115</f>
        <v>0</v>
      </c>
      <c r="AM249" s="954"/>
      <c r="AN249" s="954"/>
      <c r="AO249" s="954" t="str">
        <f>+'5. Intervenciones UDT - AH'!Y115</f>
        <v>X</v>
      </c>
      <c r="AP249" s="954"/>
      <c r="AQ249" s="954"/>
      <c r="AR249" s="954">
        <f>+'5. Intervenciones UDT - AH'!AB115</f>
        <v>1</v>
      </c>
      <c r="AS249" s="403">
        <f t="shared" si="1"/>
        <v>1</v>
      </c>
    </row>
    <row r="250" spans="1:45" s="195" customFormat="1" ht="15.8" hidden="1" customHeight="1" x14ac:dyDescent="0.3">
      <c r="A250" s="403"/>
      <c r="B250" s="403" t="str">
        <f>'5. Intervenciones UDT - AH'!$C$8</f>
        <v xml:space="preserve">UDT ALTO HUALLAGA </v>
      </c>
      <c r="C250" s="403" t="str">
        <f>'5. Intervenciones UDT - AH'!$F$119</f>
        <v>Área de Conservación Regional Bosque Shunte y Mishollo</v>
      </c>
      <c r="D250" s="404" t="str">
        <f>+'5. Intervenciones UDT - AH'!A127</f>
        <v>Control y vigilancia</v>
      </c>
      <c r="E250" s="404" t="str">
        <f>+'5. Intervenciones UDT - AH'!C127</f>
        <v>3.7.1</v>
      </c>
      <c r="F250" s="403" t="str">
        <f>+'5. Intervenciones UDT - AH'!D127</f>
        <v>Elaborar lineamientos de uso de recursos y demarcación de límites</v>
      </c>
      <c r="G250" s="403" t="str">
        <f>+'5. Intervenciones UDT - AH'!E127</f>
        <v>Propuesta de lineamientos para aprovechamiento sostenible de los Recursos Naturales Presentes.</v>
      </c>
      <c r="H250" s="948" t="s">
        <v>1857</v>
      </c>
      <c r="I250" s="946" t="s">
        <v>199</v>
      </c>
      <c r="J250" s="946" t="s">
        <v>2591</v>
      </c>
      <c r="K250" s="946" t="s">
        <v>2331</v>
      </c>
      <c r="L250" s="946" t="s">
        <v>202</v>
      </c>
      <c r="M250" s="418" t="s">
        <v>1858</v>
      </c>
      <c r="N250" s="948" t="s">
        <v>1859</v>
      </c>
      <c r="O250" s="948" t="s">
        <v>223</v>
      </c>
      <c r="P250" s="951" t="s">
        <v>1860</v>
      </c>
      <c r="Q250" s="951" t="str">
        <f>+'5. Intervenciones UDT - AH'!F127</f>
        <v>Lineamientos</v>
      </c>
      <c r="R250" s="405">
        <f>+'5. Intervenciones UDT - AH'!I127</f>
        <v>0</v>
      </c>
      <c r="S250" s="405">
        <f>+'5. Intervenciones UDT - AH'!J127</f>
        <v>1</v>
      </c>
      <c r="T250" s="405">
        <f>+'5. Intervenciones UDT - AH'!K127</f>
        <v>0</v>
      </c>
      <c r="U250" s="405">
        <f>+'5. Intervenciones UDT - AH'!L127</f>
        <v>100000</v>
      </c>
      <c r="V250" s="403" t="str">
        <f>+'5. Intervenciones UDT - AH'!M127</f>
        <v>Contratación de equipo de profesionales para la elaboración de lineamientos de uso y demarcación de la ACR.</v>
      </c>
      <c r="W250" s="403" t="str">
        <f>+'5. Intervenciones UDT - AH'!N127</f>
        <v>Ara, serfor, Sernanp</v>
      </c>
      <c r="X250" s="588">
        <f>+'5. Intervenciones UDT - AH'!O127</f>
        <v>100000</v>
      </c>
      <c r="Y250" s="588">
        <f>+Tabla1[[#This Row],[2025 Directo]]*(1+$Y$3)</f>
        <v>101050</v>
      </c>
      <c r="Z250" s="588">
        <f>+'5. Intervenciones UDT - AH'!P127</f>
        <v>0</v>
      </c>
      <c r="AA250" s="588">
        <f>+Tabla1[[#This Row],[2030 Directo]]*(1+$Y$3)</f>
        <v>0</v>
      </c>
      <c r="AB250" s="588">
        <f>+'5. Intervenciones UDT - AH'!Q127</f>
        <v>100000</v>
      </c>
      <c r="AC250" s="588">
        <f>+Tabla1[[#This Row],[Año 1 Cto Directo]]*(1+$Y$3)</f>
        <v>101050</v>
      </c>
      <c r="AD250" s="588">
        <f>+'5. Intervenciones UDT - AH'!R127</f>
        <v>0</v>
      </c>
      <c r="AE250" s="588">
        <f>+Tabla1[[#This Row],[Año 2 Cto. Directo]]*(1+$Y$3)</f>
        <v>0</v>
      </c>
      <c r="AF250" s="588">
        <f>+'5. Intervenciones UDT - AH'!S127</f>
        <v>0</v>
      </c>
      <c r="AG250" s="588">
        <f>+Tabla1[[#This Row],[Año 3 Cto. Directo]]*(1+$Y$3)</f>
        <v>0</v>
      </c>
      <c r="AH250" s="588">
        <f>+'5. Intervenciones UDT - AH'!T127</f>
        <v>0</v>
      </c>
      <c r="AI250" s="588">
        <f>+Tabla1[[#This Row],[Año 4 Cto. Directo]]*(1+$Y$3)</f>
        <v>0</v>
      </c>
      <c r="AJ250" s="588">
        <f>+'5. Intervenciones UDT - AH'!U127</f>
        <v>0</v>
      </c>
      <c r="AK250" s="588">
        <f>+Tabla1[[#This Row],[Año 5 Cto. Directo]]*(1+$Y$3)</f>
        <v>0</v>
      </c>
      <c r="AL250" s="403">
        <f>+'5. Intervenciones UDT - AH'!V127</f>
        <v>0</v>
      </c>
      <c r="AM250" s="954"/>
      <c r="AN250" s="954" t="str">
        <f>+'5. Intervenciones UDT - AH'!X127</f>
        <v>X</v>
      </c>
      <c r="AO250" s="954"/>
      <c r="AP250" s="954"/>
      <c r="AQ250" s="954" t="str">
        <f>+'5. Intervenciones UDT - AH'!AA127</f>
        <v>RE</v>
      </c>
      <c r="AR250" s="954">
        <f>+'5. Intervenciones UDT - AH'!AB127</f>
        <v>3</v>
      </c>
      <c r="AS250" s="403">
        <f t="shared" si="1"/>
        <v>1</v>
      </c>
    </row>
    <row r="251" spans="1:45" s="195" customFormat="1" ht="15.8" hidden="1" customHeight="1" x14ac:dyDescent="0.3">
      <c r="A251" s="403"/>
      <c r="B251" s="403" t="str">
        <f>'5. Intervenciones UDT - AH'!$C$8</f>
        <v xml:space="preserve">UDT ALTO HUALLAGA </v>
      </c>
      <c r="C251" s="403" t="str">
        <f>'5. Intervenciones UDT - AH'!$F$119</f>
        <v>Área de Conservación Regional Bosque Shunte y Mishollo</v>
      </c>
      <c r="D251" s="404" t="str">
        <f>+'5. Intervenciones UDT - AH'!A128</f>
        <v>Control y vigilancia</v>
      </c>
      <c r="E251" s="404" t="str">
        <f>+'5. Intervenciones UDT - AH'!C128</f>
        <v>3.7.2</v>
      </c>
      <c r="F251" s="403" t="str">
        <f>+'5. Intervenciones UDT - AH'!D128</f>
        <v>Fortalecer el control y vigilancia</v>
      </c>
      <c r="G251" s="403" t="str">
        <f>+'5. Intervenciones UDT - AH'!E128</f>
        <v>Implementar con recursos necesarios al ente que administra el área, con la finalidad de aumentar el número de personas (guardaparques) que contribuyan a realizar acciones de control y vigilancia.</v>
      </c>
      <c r="H251" s="948" t="s">
        <v>1857</v>
      </c>
      <c r="I251" s="946" t="s">
        <v>203</v>
      </c>
      <c r="J251" s="946" t="s">
        <v>2591</v>
      </c>
      <c r="K251" s="946" t="s">
        <v>2331</v>
      </c>
      <c r="L251" s="946" t="s">
        <v>204</v>
      </c>
      <c r="M251" s="418" t="s">
        <v>1878</v>
      </c>
      <c r="N251" s="948" t="s">
        <v>1859</v>
      </c>
      <c r="O251" s="948" t="s">
        <v>229</v>
      </c>
      <c r="P251" s="951" t="s">
        <v>1889</v>
      </c>
      <c r="Q251" s="951" t="str">
        <f>+'5. Intervenciones UDT - AH'!F128</f>
        <v>Número de guardaparques</v>
      </c>
      <c r="R251" s="405">
        <f>+'5. Intervenciones UDT - AH'!I128</f>
        <v>0</v>
      </c>
      <c r="S251" s="405">
        <f>+'5. Intervenciones UDT - AH'!J128</f>
        <v>50</v>
      </c>
      <c r="T251" s="405">
        <f>+'5. Intervenciones UDT - AH'!K128</f>
        <v>50</v>
      </c>
      <c r="U251" s="405">
        <f>+'5. Intervenciones UDT - AH'!L128</f>
        <v>2000</v>
      </c>
      <c r="V251" s="403" t="str">
        <f>+'5. Intervenciones UDT - AH'!M128</f>
        <v>Contratación a guardaparques para garantizar el control y vigilancia del área otorgada.</v>
      </c>
      <c r="W251" s="403" t="str">
        <f>+'5. Intervenciones UDT - AH'!N128</f>
        <v>Ara, serfor, Sernanp</v>
      </c>
      <c r="X251" s="588">
        <f>+'5. Intervenciones UDT - AH'!O128</f>
        <v>6000000</v>
      </c>
      <c r="Y251" s="588">
        <f>+Tabla1[[#This Row],[2025 Directo]]*(1+$Y$3)</f>
        <v>6063000</v>
      </c>
      <c r="Z251" s="588">
        <f>+'5. Intervenciones UDT - AH'!P128</f>
        <v>6000000</v>
      </c>
      <c r="AA251" s="588">
        <f>+Tabla1[[#This Row],[2030 Directo]]*(1+$Y$3)</f>
        <v>6063000</v>
      </c>
      <c r="AB251" s="588">
        <f>+'5. Intervenciones UDT - AH'!Q128</f>
        <v>1200000</v>
      </c>
      <c r="AC251" s="588">
        <f>+Tabla1[[#This Row],[Año 1 Cto Directo]]*(1+$Y$3)</f>
        <v>1212600</v>
      </c>
      <c r="AD251" s="588">
        <f>+'5. Intervenciones UDT - AH'!R128</f>
        <v>1200000</v>
      </c>
      <c r="AE251" s="588">
        <f>+Tabla1[[#This Row],[Año 2 Cto. Directo]]*(1+$Y$3)</f>
        <v>1212600</v>
      </c>
      <c r="AF251" s="588">
        <f>+'5. Intervenciones UDT - AH'!S128</f>
        <v>1200000</v>
      </c>
      <c r="AG251" s="588">
        <f>+Tabla1[[#This Row],[Año 3 Cto. Directo]]*(1+$Y$3)</f>
        <v>1212600</v>
      </c>
      <c r="AH251" s="588">
        <f>+'5. Intervenciones UDT - AH'!T128</f>
        <v>1200000</v>
      </c>
      <c r="AI251" s="588">
        <f>+Tabla1[[#This Row],[Año 4 Cto. Directo]]*(1+$Y$3)</f>
        <v>1212600</v>
      </c>
      <c r="AJ251" s="588">
        <f>+'5. Intervenciones UDT - AH'!U128</f>
        <v>1200000</v>
      </c>
      <c r="AK251" s="588">
        <f>+Tabla1[[#This Row],[Año 5 Cto. Directo]]*(1+$Y$3)</f>
        <v>1212600</v>
      </c>
      <c r="AL251" s="403">
        <f>+'5. Intervenciones UDT - AH'!V128</f>
        <v>0</v>
      </c>
      <c r="AM251" s="954"/>
      <c r="AN251" s="954" t="str">
        <f>+'5. Intervenciones UDT - AH'!X128</f>
        <v>X</v>
      </c>
      <c r="AO251" s="954"/>
      <c r="AP251" s="954"/>
      <c r="AQ251" s="954" t="str">
        <f>+'5. Intervenciones UDT - AH'!AA128</f>
        <v>RE</v>
      </c>
      <c r="AR251" s="954">
        <f>+'5. Intervenciones UDT - AH'!AB128</f>
        <v>3</v>
      </c>
      <c r="AS251" s="403">
        <f t="shared" si="1"/>
        <v>1</v>
      </c>
    </row>
    <row r="252" spans="1:45" s="195" customFormat="1" ht="15.8" hidden="1" customHeight="1" x14ac:dyDescent="0.3">
      <c r="A252" s="403"/>
      <c r="B252" s="403" t="str">
        <f>'5. Intervenciones UDT - AH'!$C$8</f>
        <v xml:space="preserve">UDT ALTO HUALLAGA </v>
      </c>
      <c r="C252" s="403" t="str">
        <f>'5. Intervenciones UDT - AH'!$F$119</f>
        <v>Área de Conservación Regional Bosque Shunte y Mishollo</v>
      </c>
      <c r="D252" s="404" t="str">
        <f>+'5. Intervenciones UDT - AH'!A129</f>
        <v>Control y vigilancia</v>
      </c>
      <c r="E252" s="404" t="str">
        <f>+'5. Intervenciones UDT - AH'!C129</f>
        <v>3.7.3</v>
      </c>
      <c r="F252" s="403" t="str">
        <f>+'5. Intervenciones UDT - AH'!D129</f>
        <v>Sensibilización para el fortalecimiento del control y vigilancia en zona de amortiguamiento</v>
      </c>
      <c r="G252" s="403" t="str">
        <f>+'5. Intervenciones UDT - AH'!E129</f>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v>
      </c>
      <c r="H252" s="948" t="s">
        <v>1857</v>
      </c>
      <c r="I252" s="946" t="s">
        <v>203</v>
      </c>
      <c r="J252" s="946" t="s">
        <v>2591</v>
      </c>
      <c r="K252" s="946" t="s">
        <v>2331</v>
      </c>
      <c r="L252" s="946" t="s">
        <v>204</v>
      </c>
      <c r="M252" s="418" t="s">
        <v>1878</v>
      </c>
      <c r="N252" s="948" t="s">
        <v>1859</v>
      </c>
      <c r="O252" s="948" t="s">
        <v>229</v>
      </c>
      <c r="P252" s="951" t="s">
        <v>1889</v>
      </c>
      <c r="Q252" s="951" t="str">
        <f>+'5. Intervenciones UDT - AH'!F129</f>
        <v>Campañas de sensibilización</v>
      </c>
      <c r="R252" s="405">
        <f>+'5. Intervenciones UDT - AH'!I129</f>
        <v>0</v>
      </c>
      <c r="S252" s="405">
        <f>+'5. Intervenciones UDT - AH'!J129</f>
        <v>50</v>
      </c>
      <c r="T252" s="405">
        <f>+'5. Intervenciones UDT - AH'!K129</f>
        <v>50</v>
      </c>
      <c r="U252" s="405">
        <f>+'5. Intervenciones UDT - AH'!L129</f>
        <v>8000</v>
      </c>
      <c r="V252" s="403" t="str">
        <f>+'5. Intervenciones UDT - AH'!M129</f>
        <v>Campañas de sensibilización con equipos técnicos de las instituciones involucradas, gastos logísticos, impresión de material de difusión, publicidad radial, televisiva y escrita.</v>
      </c>
      <c r="W252" s="403" t="str">
        <f>+'5. Intervenciones UDT - AH'!N129</f>
        <v>Ara, serfor, Sernanp</v>
      </c>
      <c r="X252" s="588">
        <f>+'5. Intervenciones UDT - AH'!O129</f>
        <v>2000000</v>
      </c>
      <c r="Y252" s="588">
        <f>+Tabla1[[#This Row],[2025 Directo]]*(1+$Y$3)</f>
        <v>2021000</v>
      </c>
      <c r="Z252" s="588">
        <f>+'5. Intervenciones UDT - AH'!P129</f>
        <v>2000000</v>
      </c>
      <c r="AA252" s="588">
        <f>+Tabla1[[#This Row],[2030 Directo]]*(1+$Y$3)</f>
        <v>2021000</v>
      </c>
      <c r="AB252" s="588">
        <f>+'5. Intervenciones UDT - AH'!Q129</f>
        <v>400000</v>
      </c>
      <c r="AC252" s="588">
        <f>+Tabla1[[#This Row],[Año 1 Cto Directo]]*(1+$Y$3)</f>
        <v>404200</v>
      </c>
      <c r="AD252" s="588">
        <f>+'5. Intervenciones UDT - AH'!R129</f>
        <v>400000</v>
      </c>
      <c r="AE252" s="588">
        <f>+Tabla1[[#This Row],[Año 2 Cto. Directo]]*(1+$Y$3)</f>
        <v>404200</v>
      </c>
      <c r="AF252" s="588">
        <f>+'5. Intervenciones UDT - AH'!S129</f>
        <v>400000</v>
      </c>
      <c r="AG252" s="588">
        <f>+Tabla1[[#This Row],[Año 3 Cto. Directo]]*(1+$Y$3)</f>
        <v>404200</v>
      </c>
      <c r="AH252" s="588">
        <f>+'5. Intervenciones UDT - AH'!T129</f>
        <v>400000</v>
      </c>
      <c r="AI252" s="588">
        <f>+Tabla1[[#This Row],[Año 4 Cto. Directo]]*(1+$Y$3)</f>
        <v>404200</v>
      </c>
      <c r="AJ252" s="588">
        <f>+'5. Intervenciones UDT - AH'!U129</f>
        <v>400000</v>
      </c>
      <c r="AK252" s="588">
        <f>+Tabla1[[#This Row],[Año 5 Cto. Directo]]*(1+$Y$3)</f>
        <v>404200</v>
      </c>
      <c r="AL252" s="403">
        <f>+'5. Intervenciones UDT - AH'!V129</f>
        <v>0</v>
      </c>
      <c r="AM252" s="954"/>
      <c r="AN252" s="954" t="str">
        <f>+'5. Intervenciones UDT - AH'!X129</f>
        <v>X</v>
      </c>
      <c r="AO252" s="954"/>
      <c r="AP252" s="954"/>
      <c r="AQ252" s="954" t="str">
        <f>+'5. Intervenciones UDT - AH'!AA129</f>
        <v>RE</v>
      </c>
      <c r="AR252" s="954">
        <f>+'5. Intervenciones UDT - AH'!AB129</f>
        <v>3</v>
      </c>
      <c r="AS252" s="403">
        <f t="shared" si="1"/>
        <v>1</v>
      </c>
    </row>
    <row r="253" spans="1:45" s="195" customFormat="1" ht="15.8" hidden="1" customHeight="1" x14ac:dyDescent="0.3">
      <c r="A253" s="403"/>
      <c r="B253" s="403" t="str">
        <f>'5. Intervenciones UDT - AH'!$C$8</f>
        <v xml:space="preserve">UDT ALTO HUALLAGA </v>
      </c>
      <c r="C253" s="403" t="str">
        <f>'5. Intervenciones UDT - AH'!$F$119</f>
        <v>Área de Conservación Regional Bosque Shunte y Mishollo</v>
      </c>
      <c r="D253" s="404" t="str">
        <f>+'5. Intervenciones UDT - AH'!A130</f>
        <v>Programas de inversión privada</v>
      </c>
      <c r="E253" s="404" t="str">
        <f>+'5. Intervenciones UDT - AH'!C130</f>
        <v>3.7.4</v>
      </c>
      <c r="F253" s="403" t="str">
        <f>+'5. Intervenciones UDT - AH'!D130</f>
        <v>Promoción de agroforestería sostenible en zona de amortiguamiento</v>
      </c>
      <c r="G253" s="403" t="str">
        <f>+'5. Intervenciones UDT - AH'!E130</f>
        <v>Encuentros de productores con la finalidad de promocionar los diferentes sistemas productivos sostenibles a ser replicados en las comunidades.</v>
      </c>
      <c r="H253" s="948" t="s">
        <v>1857</v>
      </c>
      <c r="I253" s="946" t="s">
        <v>203</v>
      </c>
      <c r="J253" s="946" t="s">
        <v>2591</v>
      </c>
      <c r="K253" s="946" t="s">
        <v>2331</v>
      </c>
      <c r="L253" s="946" t="s">
        <v>205</v>
      </c>
      <c r="M253" s="418" t="s">
        <v>1881</v>
      </c>
      <c r="N253" s="948" t="s">
        <v>1879</v>
      </c>
      <c r="O253" s="948" t="s">
        <v>232</v>
      </c>
      <c r="P253" s="951" t="s">
        <v>1886</v>
      </c>
      <c r="Q253" s="951" t="str">
        <f>+'5. Intervenciones UDT - AH'!F130</f>
        <v>Encuentros</v>
      </c>
      <c r="R253" s="405">
        <f>+'5. Intervenciones UDT - AH'!I130</f>
        <v>0</v>
      </c>
      <c r="S253" s="405">
        <f>+'5. Intervenciones UDT - AH'!J130</f>
        <v>50</v>
      </c>
      <c r="T253" s="405">
        <f>+'5. Intervenciones UDT - AH'!K130</f>
        <v>50</v>
      </c>
      <c r="U253" s="405">
        <f>+'5. Intervenciones UDT - AH'!L130</f>
        <v>2500</v>
      </c>
      <c r="V253" s="403" t="str">
        <f>+'5. Intervenciones UDT - AH'!M130</f>
        <v>El costo hace referencia a los gastos de pasajes, alimentación y otros para un grupo de 20 productores por pasantía.</v>
      </c>
      <c r="W253" s="403" t="str">
        <f>+'5. Intervenciones UDT - AH'!N130</f>
        <v>Drasam</v>
      </c>
      <c r="X253" s="588">
        <f>+'5. Intervenciones UDT - AH'!O130</f>
        <v>625000</v>
      </c>
      <c r="Y253" s="588">
        <f>+Tabla1[[#This Row],[2025 Directo]]*(1+$Y$3)</f>
        <v>631562.5</v>
      </c>
      <c r="Z253" s="588">
        <f>+'5. Intervenciones UDT - AH'!P130</f>
        <v>625000</v>
      </c>
      <c r="AA253" s="588">
        <f>+Tabla1[[#This Row],[2030 Directo]]*(1+$Y$3)</f>
        <v>631562.5</v>
      </c>
      <c r="AB253" s="588">
        <f>+'5. Intervenciones UDT - AH'!Q130</f>
        <v>125000</v>
      </c>
      <c r="AC253" s="588">
        <f>+Tabla1[[#This Row],[Año 1 Cto Directo]]*(1+$Y$3)</f>
        <v>126312.5</v>
      </c>
      <c r="AD253" s="588">
        <f>+'5. Intervenciones UDT - AH'!R130</f>
        <v>125000</v>
      </c>
      <c r="AE253" s="588">
        <f>+Tabla1[[#This Row],[Año 2 Cto. Directo]]*(1+$Y$3)</f>
        <v>126312.5</v>
      </c>
      <c r="AF253" s="588">
        <f>+'5. Intervenciones UDT - AH'!S130</f>
        <v>125000</v>
      </c>
      <c r="AG253" s="588">
        <f>+Tabla1[[#This Row],[Año 3 Cto. Directo]]*(1+$Y$3)</f>
        <v>126312.5</v>
      </c>
      <c r="AH253" s="588">
        <f>+'5. Intervenciones UDT - AH'!T130</f>
        <v>125000</v>
      </c>
      <c r="AI253" s="588">
        <f>+Tabla1[[#This Row],[Año 4 Cto. Directo]]*(1+$Y$3)</f>
        <v>126312.5</v>
      </c>
      <c r="AJ253" s="588">
        <f>+'5. Intervenciones UDT - AH'!U130</f>
        <v>125000</v>
      </c>
      <c r="AK253" s="588">
        <f>+Tabla1[[#This Row],[Año 5 Cto. Directo]]*(1+$Y$3)</f>
        <v>126312.5</v>
      </c>
      <c r="AL253" s="403">
        <f>+'5. Intervenciones UDT - AH'!V130</f>
        <v>0</v>
      </c>
      <c r="AM253" s="954"/>
      <c r="AN253" s="954"/>
      <c r="AO253" s="954" t="str">
        <f>+'5. Intervenciones UDT - AH'!Y130</f>
        <v>X</v>
      </c>
      <c r="AP253" s="954"/>
      <c r="AQ253" s="954"/>
      <c r="AR253" s="954">
        <f>+'5. Intervenciones UDT - AH'!AB130</f>
        <v>3</v>
      </c>
      <c r="AS253" s="403">
        <f t="shared" si="1"/>
        <v>1</v>
      </c>
    </row>
    <row r="254" spans="1:45" s="195" customFormat="1" ht="15.8" hidden="1" customHeight="1" x14ac:dyDescent="0.3">
      <c r="A254" s="403"/>
      <c r="B254" s="403" t="str">
        <f>'5. Intervenciones UDT - AH'!$C$8</f>
        <v xml:space="preserve">UDT ALTO HUALLAGA </v>
      </c>
      <c r="C254" s="403" t="str">
        <f>'5. Intervenciones UDT - AH'!$F$119</f>
        <v>Área de Conservación Regional Bosque Shunte y Mishollo</v>
      </c>
      <c r="D254" s="404" t="str">
        <f>+'5. Intervenciones UDT - AH'!A131</f>
        <v>Programas de inversión privada</v>
      </c>
      <c r="E254" s="404" t="str">
        <f>+'5. Intervenciones UDT - AH'!C131</f>
        <v>3.7.5</v>
      </c>
      <c r="F254" s="403" t="str">
        <f>+'5. Intervenciones UDT - AH'!D131</f>
        <v>Promoción y difusión de circuitos turísticos en zona de amortiguamiento</v>
      </c>
      <c r="G254" s="403" t="str">
        <f>+'5. Intervenciones UDT - AH'!E131</f>
        <v>Campañas de promoción y difusión en el ámbito regional y nacional de los circuitos turísticos que existen en la zona de amortiguamiento.</v>
      </c>
      <c r="H254" s="948" t="s">
        <v>1857</v>
      </c>
      <c r="I254" s="946" t="s">
        <v>203</v>
      </c>
      <c r="J254" s="946" t="s">
        <v>2596</v>
      </c>
      <c r="K254" s="946" t="s">
        <v>2335</v>
      </c>
      <c r="L254" s="946" t="s">
        <v>205</v>
      </c>
      <c r="M254" s="418" t="s">
        <v>1881</v>
      </c>
      <c r="N254" s="948" t="s">
        <v>1879</v>
      </c>
      <c r="O254" s="948" t="s">
        <v>232</v>
      </c>
      <c r="P254" s="951" t="s">
        <v>1886</v>
      </c>
      <c r="Q254" s="951" t="str">
        <f>+'5. Intervenciones UDT - AH'!F131</f>
        <v>Campañas de promoción</v>
      </c>
      <c r="R254" s="405">
        <f>+'5. Intervenciones UDT - AH'!I131</f>
        <v>0</v>
      </c>
      <c r="S254" s="405">
        <f>+'5. Intervenciones UDT - AH'!J131</f>
        <v>10</v>
      </c>
      <c r="T254" s="405">
        <f>+'5. Intervenciones UDT - AH'!K131</f>
        <v>10</v>
      </c>
      <c r="U254" s="405">
        <f>+'5. Intervenciones UDT - AH'!L131</f>
        <v>4000</v>
      </c>
      <c r="V254" s="403" t="str">
        <f>+'5. Intervenciones UDT - AH'!M131</f>
        <v>Campañas de promoción que incluye, impresión de material de difusión, publicidad radial, televisiva y escrita.</v>
      </c>
      <c r="W254" s="403" t="str">
        <f>+'5. Intervenciones UDT - AH'!N131</f>
        <v>Dircetur, Mincetur</v>
      </c>
      <c r="X254" s="588">
        <f>+'5. Intervenciones UDT - AH'!O131</f>
        <v>200000</v>
      </c>
      <c r="Y254" s="588">
        <f>+Tabla1[[#This Row],[2025 Directo]]*(1+$Y$3)</f>
        <v>202100</v>
      </c>
      <c r="Z254" s="588">
        <f>+'5. Intervenciones UDT - AH'!P131</f>
        <v>200000</v>
      </c>
      <c r="AA254" s="588">
        <f>+Tabla1[[#This Row],[2030 Directo]]*(1+$Y$3)</f>
        <v>202100</v>
      </c>
      <c r="AB254" s="588">
        <f>+'5. Intervenciones UDT - AH'!Q131</f>
        <v>40000</v>
      </c>
      <c r="AC254" s="588">
        <f>+Tabla1[[#This Row],[Año 1 Cto Directo]]*(1+$Y$3)</f>
        <v>40420</v>
      </c>
      <c r="AD254" s="588">
        <f>+'5. Intervenciones UDT - AH'!R131</f>
        <v>40000</v>
      </c>
      <c r="AE254" s="588">
        <f>+Tabla1[[#This Row],[Año 2 Cto. Directo]]*(1+$Y$3)</f>
        <v>40420</v>
      </c>
      <c r="AF254" s="588">
        <f>+'5. Intervenciones UDT - AH'!S131</f>
        <v>40000</v>
      </c>
      <c r="AG254" s="588">
        <f>+Tabla1[[#This Row],[Año 3 Cto. Directo]]*(1+$Y$3)</f>
        <v>40420</v>
      </c>
      <c r="AH254" s="588">
        <f>+'5. Intervenciones UDT - AH'!T131</f>
        <v>40000</v>
      </c>
      <c r="AI254" s="588">
        <f>+Tabla1[[#This Row],[Año 4 Cto. Directo]]*(1+$Y$3)</f>
        <v>40420</v>
      </c>
      <c r="AJ254" s="588">
        <f>+'5. Intervenciones UDT - AH'!U131</f>
        <v>40000</v>
      </c>
      <c r="AK254" s="588">
        <f>+Tabla1[[#This Row],[Año 5 Cto. Directo]]*(1+$Y$3)</f>
        <v>40420</v>
      </c>
      <c r="AL254" s="403">
        <f>+'5. Intervenciones UDT - AH'!V131</f>
        <v>0</v>
      </c>
      <c r="AM254" s="954"/>
      <c r="AN254" s="954"/>
      <c r="AO254" s="954" t="str">
        <f>+'5. Intervenciones UDT - AH'!Y131</f>
        <v>X</v>
      </c>
      <c r="AP254" s="954"/>
      <c r="AQ254" s="954"/>
      <c r="AR254" s="954">
        <f>+'5. Intervenciones UDT - AH'!AB131</f>
        <v>3</v>
      </c>
      <c r="AS254" s="403">
        <f t="shared" si="1"/>
        <v>1</v>
      </c>
    </row>
    <row r="255" spans="1:45" s="195" customFormat="1" ht="15.8" hidden="1" customHeight="1" x14ac:dyDescent="0.3">
      <c r="A255" s="403"/>
      <c r="B255" s="403" t="str">
        <f>'5. Intervenciones UDT - AH'!$C$8</f>
        <v xml:space="preserve">UDT ALTO HUALLAGA </v>
      </c>
      <c r="C255" s="403" t="str">
        <f>'5. Intervenciones UDT - AH'!$F$119</f>
        <v>Área de Conservación Regional Bosque Shunte y Mishollo</v>
      </c>
      <c r="D255" s="404" t="str">
        <f>+'5. Intervenciones UDT - AH'!A132</f>
        <v>Programas de inversión pública</v>
      </c>
      <c r="E255" s="404" t="str">
        <f>+'5. Intervenciones UDT - AH'!C132</f>
        <v>3.7.6</v>
      </c>
      <c r="F255" s="403" t="str">
        <f>+'5. Intervenciones UDT - AH'!D132</f>
        <v>Promover la planificación comunal en centros poblados del interior en base a la zonificación y zona de amortiguamiento teniendo como base al Plan Maestro (incluye acuerdos de conservación)</v>
      </c>
      <c r="G255" s="403" t="str">
        <f>+'5. Intervenciones UDT - AH'!E132</f>
        <v>Actualización y elaboración de planes de gestión comunal de las localidades acentuadas en las zonas de amortiguamiento con la finalidad de orientar adecuadamente la implementación y ejecución de proyectos.</v>
      </c>
      <c r="H255" s="948" t="s">
        <v>1857</v>
      </c>
      <c r="I255" s="946" t="s">
        <v>199</v>
      </c>
      <c r="J255" s="946" t="s">
        <v>2598</v>
      </c>
      <c r="K255" s="946" t="s">
        <v>2334</v>
      </c>
      <c r="L255" s="946" t="s">
        <v>201</v>
      </c>
      <c r="M255" s="418" t="s">
        <v>1883</v>
      </c>
      <c r="N255" s="948" t="s">
        <v>1887</v>
      </c>
      <c r="O255" s="948" t="s">
        <v>243</v>
      </c>
      <c r="P255" s="951" t="s">
        <v>1890</v>
      </c>
      <c r="Q255" s="951" t="str">
        <f>+'5. Intervenciones UDT - AH'!F132</f>
        <v>Planes de gestión comunal</v>
      </c>
      <c r="R255" s="405">
        <f>+'5. Intervenciones UDT - AH'!I132</f>
        <v>0</v>
      </c>
      <c r="S255" s="405">
        <f>+'5. Intervenciones UDT - AH'!J132</f>
        <v>12</v>
      </c>
      <c r="T255" s="405">
        <f>+'5. Intervenciones UDT - AH'!K132</f>
        <v>20</v>
      </c>
      <c r="U255" s="405">
        <f>+'5. Intervenciones UDT - AH'!L132</f>
        <v>20000</v>
      </c>
      <c r="V255" s="403" t="str">
        <f>+'5. Intervenciones UDT - AH'!M132</f>
        <v>Contratación de servicios profesionales para la elaboración de los planes de gestión comunal.</v>
      </c>
      <c r="W255" s="403" t="str">
        <f>+'5. Intervenciones UDT - AH'!N132</f>
        <v>Dircetur, Mincetur</v>
      </c>
      <c r="X255" s="588">
        <f>+'5. Intervenciones UDT - AH'!O132</f>
        <v>240000</v>
      </c>
      <c r="Y255" s="588">
        <f>+Tabla1[[#This Row],[2025 Directo]]*(1+$Y$3)</f>
        <v>242520</v>
      </c>
      <c r="Z255" s="588">
        <f>+'5. Intervenciones UDT - AH'!P132</f>
        <v>400000</v>
      </c>
      <c r="AA255" s="588">
        <f>+Tabla1[[#This Row],[2030 Directo]]*(1+$Y$3)</f>
        <v>404200</v>
      </c>
      <c r="AB255" s="588">
        <f>+'5. Intervenciones UDT - AH'!Q132</f>
        <v>48000</v>
      </c>
      <c r="AC255" s="588">
        <f>+Tabla1[[#This Row],[Año 1 Cto Directo]]*(1+$Y$3)</f>
        <v>48504</v>
      </c>
      <c r="AD255" s="588">
        <f>+'5. Intervenciones UDT - AH'!R132</f>
        <v>48000</v>
      </c>
      <c r="AE255" s="588">
        <f>+Tabla1[[#This Row],[Año 2 Cto. Directo]]*(1+$Y$3)</f>
        <v>48504</v>
      </c>
      <c r="AF255" s="588">
        <f>+'5. Intervenciones UDT - AH'!S132</f>
        <v>48000</v>
      </c>
      <c r="AG255" s="588">
        <f>+Tabla1[[#This Row],[Año 3 Cto. Directo]]*(1+$Y$3)</f>
        <v>48504</v>
      </c>
      <c r="AH255" s="588">
        <f>+'5. Intervenciones UDT - AH'!T132</f>
        <v>48000</v>
      </c>
      <c r="AI255" s="588">
        <f>+Tabla1[[#This Row],[Año 4 Cto. Directo]]*(1+$Y$3)</f>
        <v>48504</v>
      </c>
      <c r="AJ255" s="588">
        <f>+'5. Intervenciones UDT - AH'!U132</f>
        <v>48000</v>
      </c>
      <c r="AK255" s="588">
        <f>+Tabla1[[#This Row],[Año 5 Cto. Directo]]*(1+$Y$3)</f>
        <v>48504</v>
      </c>
      <c r="AL255" s="403">
        <f>+'5. Intervenciones UDT - AH'!V132</f>
        <v>0</v>
      </c>
      <c r="AM255" s="954"/>
      <c r="AN255" s="954"/>
      <c r="AO255" s="954" t="str">
        <f>+'5. Intervenciones UDT - AH'!Y132</f>
        <v>X</v>
      </c>
      <c r="AP255" s="954"/>
      <c r="AQ255" s="954"/>
      <c r="AR255" s="954">
        <f>+'5. Intervenciones UDT - AH'!AB132</f>
        <v>3</v>
      </c>
      <c r="AS255" s="403">
        <f t="shared" si="1"/>
        <v>1</v>
      </c>
    </row>
    <row r="256" spans="1:45" s="195" customFormat="1" ht="15.8" hidden="1" customHeight="1" x14ac:dyDescent="0.3">
      <c r="A256" s="403"/>
      <c r="B256" s="403" t="str">
        <f>'5. Intervenciones UDT - AH'!$C$8</f>
        <v xml:space="preserve">UDT ALTO HUALLAGA </v>
      </c>
      <c r="C256" s="403" t="str">
        <f>'5. Intervenciones UDT - AH'!$F$119</f>
        <v>Área de Conservación Regional Bosque Shunte y Mishollo</v>
      </c>
      <c r="D256" s="404" t="str">
        <f>+'5. Intervenciones UDT - AH'!A133</f>
        <v>Programas de inversión pública</v>
      </c>
      <c r="E256" s="404" t="str">
        <f>+'5. Intervenciones UDT - AH'!C133</f>
        <v>3.7.7</v>
      </c>
      <c r="F256" s="403" t="str">
        <f>+'5. Intervenciones UDT - AH'!D133</f>
        <v>Recuperación de la red hídrica en la zona de influencia de la ACR</v>
      </c>
      <c r="G256" s="403" t="str">
        <f>+'5. Intervenciones UDT - AH'!E133</f>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v>
      </c>
      <c r="H256" s="948" t="s">
        <v>1857</v>
      </c>
      <c r="I256" s="946" t="s">
        <v>203</v>
      </c>
      <c r="J256" s="946" t="s">
        <v>2595</v>
      </c>
      <c r="K256" s="946" t="s">
        <v>2333</v>
      </c>
      <c r="L256" s="946" t="s">
        <v>204</v>
      </c>
      <c r="M256" s="418" t="s">
        <v>1878</v>
      </c>
      <c r="N256" s="948" t="s">
        <v>1879</v>
      </c>
      <c r="O256" s="948" t="s">
        <v>225</v>
      </c>
      <c r="P256" s="951" t="s">
        <v>1880</v>
      </c>
      <c r="Q256" s="951" t="str">
        <f>+'5. Intervenciones UDT - AH'!F133</f>
        <v>Proyectos ejecutados</v>
      </c>
      <c r="R256" s="405">
        <f>+'5. Intervenciones UDT - AH'!I133</f>
        <v>0</v>
      </c>
      <c r="S256" s="405">
        <f>+'5. Intervenciones UDT - AH'!J133</f>
        <v>1</v>
      </c>
      <c r="T256" s="405">
        <f>+'5. Intervenciones UDT - AH'!K133</f>
        <v>1</v>
      </c>
      <c r="U256" s="405">
        <f>+'5. Intervenciones UDT - AH'!L133</f>
        <v>47000000</v>
      </c>
      <c r="V256" s="403" t="str">
        <f>+'5. Intervenciones UDT - AH'!M133</f>
        <v>Financiamiento para la elaboración de expedientes técnicos y estudios complementarios, así como la ejecución de proyectos de inversión pública o de cooperación que contemplen la recuperación de la cuenca hídrica con la finalidad de conservar el recurso.</v>
      </c>
      <c r="W256" s="403" t="str">
        <f>+'5. Intervenciones UDT - AH'!N133</f>
        <v>GRDE, ARA, Proyectos especiales</v>
      </c>
      <c r="X256" s="588">
        <f>+'5. Intervenciones UDT - AH'!O133</f>
        <v>47000000</v>
      </c>
      <c r="Y256" s="588">
        <f>+Tabla1[[#This Row],[2025 Directo]]*(1+$Y$3)</f>
        <v>47493500</v>
      </c>
      <c r="Z256" s="588">
        <f>+'5. Intervenciones UDT - AH'!P133</f>
        <v>47000000</v>
      </c>
      <c r="AA256" s="588">
        <f>+Tabla1[[#This Row],[2030 Directo]]*(1+$Y$3)</f>
        <v>47493500</v>
      </c>
      <c r="AB256" s="588">
        <f>+'5. Intervenciones UDT - AH'!Q133</f>
        <v>9400000</v>
      </c>
      <c r="AC256" s="588">
        <f>+Tabla1[[#This Row],[Año 1 Cto Directo]]*(1+$Y$3)</f>
        <v>9498700</v>
      </c>
      <c r="AD256" s="588">
        <f>+'5. Intervenciones UDT - AH'!R133</f>
        <v>9400000</v>
      </c>
      <c r="AE256" s="588">
        <f>+Tabla1[[#This Row],[Año 2 Cto. Directo]]*(1+$Y$3)</f>
        <v>9498700</v>
      </c>
      <c r="AF256" s="588">
        <f>+'5. Intervenciones UDT - AH'!S133</f>
        <v>9400000</v>
      </c>
      <c r="AG256" s="588">
        <f>+Tabla1[[#This Row],[Año 3 Cto. Directo]]*(1+$Y$3)</f>
        <v>9498700</v>
      </c>
      <c r="AH256" s="588">
        <f>+'5. Intervenciones UDT - AH'!T133</f>
        <v>9400000</v>
      </c>
      <c r="AI256" s="588">
        <f>+Tabla1[[#This Row],[Año 4 Cto. Directo]]*(1+$Y$3)</f>
        <v>9498700</v>
      </c>
      <c r="AJ256" s="588">
        <f>+'5. Intervenciones UDT - AH'!U133</f>
        <v>9400000</v>
      </c>
      <c r="AK256" s="588">
        <f>+Tabla1[[#This Row],[Año 5 Cto. Directo]]*(1+$Y$3)</f>
        <v>9498700</v>
      </c>
      <c r="AL256" s="403">
        <f>+'5. Intervenciones UDT - AH'!V133</f>
        <v>0</v>
      </c>
      <c r="AM256" s="954"/>
      <c r="AN256" s="954"/>
      <c r="AO256" s="954" t="str">
        <f>+'5. Intervenciones UDT - AH'!Y133</f>
        <v>X</v>
      </c>
      <c r="AP256" s="954"/>
      <c r="AQ256" s="954" t="str">
        <f>+'5. Intervenciones UDT - AH'!AA133</f>
        <v>RE</v>
      </c>
      <c r="AR256" s="954">
        <f>+'5. Intervenciones UDT - AH'!AB133</f>
        <v>3</v>
      </c>
      <c r="AS256" s="403">
        <f t="shared" si="1"/>
        <v>1</v>
      </c>
    </row>
    <row r="257" spans="1:45" s="195" customFormat="1" ht="15.8" hidden="1" customHeight="1" x14ac:dyDescent="0.3">
      <c r="A257" s="403"/>
      <c r="B257" s="403" t="str">
        <f>'5. Intervenciones UDT - AH'!$C$8</f>
        <v xml:space="preserve">UDT ALTO HUALLAGA </v>
      </c>
      <c r="C257" s="403" t="str">
        <f>'5. Intervenciones UDT - AH'!$F$119</f>
        <v>Área de Conservación Regional Bosque Shunte y Mishollo</v>
      </c>
      <c r="D257" s="404" t="str">
        <f>+'5. Intervenciones UDT - AH'!A134</f>
        <v>Ingresos y Capital</v>
      </c>
      <c r="E257" s="404" t="str">
        <f>+'5. Intervenciones UDT - AH'!C134</f>
        <v>3.7.8</v>
      </c>
      <c r="F257" s="403" t="str">
        <f>+'5. Intervenciones UDT - AH'!D134</f>
        <v>Incentivos financieros para promoción del ecoturismo y turismo comunitario</v>
      </c>
      <c r="G257" s="403" t="str">
        <f>+'5. Intervenciones UDT - AH'!E134</f>
        <v>Implementación de planes de negocios para  la Diversificación y consolidación de la oferta turística, de esta manera promover el acondicionamiento y la gestión técnica en torno de los recursos y atractivos priorizados.</v>
      </c>
      <c r="H257" s="948" t="s">
        <v>1857</v>
      </c>
      <c r="I257" s="946" t="s">
        <v>203</v>
      </c>
      <c r="J257" s="946" t="s">
        <v>2597</v>
      </c>
      <c r="K257" s="946" t="s">
        <v>2336</v>
      </c>
      <c r="L257" s="946" t="s">
        <v>195</v>
      </c>
      <c r="M257" s="418" t="s">
        <v>1871</v>
      </c>
      <c r="N257" s="948" t="s">
        <v>1879</v>
      </c>
      <c r="O257" s="948" t="s">
        <v>218</v>
      </c>
      <c r="P257" s="951" t="s">
        <v>1872</v>
      </c>
      <c r="Q257" s="951" t="str">
        <f>+'5. Intervenciones UDT - AH'!F134</f>
        <v>Planes de negocios</v>
      </c>
      <c r="R257" s="405">
        <f>+'5. Intervenciones UDT - AH'!I134</f>
        <v>0</v>
      </c>
      <c r="S257" s="405">
        <f>+'5. Intervenciones UDT - AH'!J134</f>
        <v>10</v>
      </c>
      <c r="T257" s="405">
        <f>+'5. Intervenciones UDT - AH'!K134</f>
        <v>10</v>
      </c>
      <c r="U257" s="405">
        <f>+'5. Intervenciones UDT - AH'!L134</f>
        <v>100000</v>
      </c>
      <c r="V257" s="403" t="str">
        <f>+'5. Intervenciones UDT - AH'!M134</f>
        <v xml:space="preserve">El costo presupuestado será considerado para los estudios preliminares requeridos para el plan de negocio, pago de especialista de ser el caso, implementación de infraestructura básica según la priorización de los operadores turísticos interesados. </v>
      </c>
      <c r="W257" s="403" t="str">
        <f>+'5. Intervenciones UDT - AH'!N134</f>
        <v>Dircetur, Mincetur</v>
      </c>
      <c r="X257" s="588">
        <f>+'5. Intervenciones UDT - AH'!O134</f>
        <v>1000000</v>
      </c>
      <c r="Y257" s="588">
        <f>+Tabla1[[#This Row],[2025 Directo]]*(1+$Y$3)</f>
        <v>1010500</v>
      </c>
      <c r="Z257" s="588">
        <f>+'5. Intervenciones UDT - AH'!P134</f>
        <v>1000000</v>
      </c>
      <c r="AA257" s="588">
        <f>+Tabla1[[#This Row],[2030 Directo]]*(1+$Y$3)</f>
        <v>1010500</v>
      </c>
      <c r="AB257" s="588">
        <f>+'5. Intervenciones UDT - AH'!Q134</f>
        <v>200000</v>
      </c>
      <c r="AC257" s="588">
        <f>+Tabla1[[#This Row],[Año 1 Cto Directo]]*(1+$Y$3)</f>
        <v>202100</v>
      </c>
      <c r="AD257" s="588">
        <f>+'5. Intervenciones UDT - AH'!R134</f>
        <v>200000</v>
      </c>
      <c r="AE257" s="588">
        <f>+Tabla1[[#This Row],[Año 2 Cto. Directo]]*(1+$Y$3)</f>
        <v>202100</v>
      </c>
      <c r="AF257" s="588">
        <f>+'5. Intervenciones UDT - AH'!S134</f>
        <v>200000</v>
      </c>
      <c r="AG257" s="588">
        <f>+Tabla1[[#This Row],[Año 3 Cto. Directo]]*(1+$Y$3)</f>
        <v>202100</v>
      </c>
      <c r="AH257" s="588">
        <f>+'5. Intervenciones UDT - AH'!T134</f>
        <v>200000</v>
      </c>
      <c r="AI257" s="588">
        <f>+Tabla1[[#This Row],[Año 4 Cto. Directo]]*(1+$Y$3)</f>
        <v>202100</v>
      </c>
      <c r="AJ257" s="588">
        <f>+'5. Intervenciones UDT - AH'!U134</f>
        <v>200000</v>
      </c>
      <c r="AK257" s="588">
        <f>+Tabla1[[#This Row],[Año 5 Cto. Directo]]*(1+$Y$3)</f>
        <v>202100</v>
      </c>
      <c r="AL257" s="403">
        <f>+'5. Intervenciones UDT - AH'!V134</f>
        <v>0</v>
      </c>
      <c r="AM257" s="954" t="str">
        <f>+'5. Intervenciones UDT - AH'!W134</f>
        <v>X</v>
      </c>
      <c r="AN257" s="954"/>
      <c r="AO257" s="954"/>
      <c r="AP257" s="954"/>
      <c r="AQ257" s="954" t="str">
        <f>+'5. Intervenciones UDT - AH'!AA134</f>
        <v>RE</v>
      </c>
      <c r="AR257" s="954">
        <f>+'5. Intervenciones UDT - AH'!AB134</f>
        <v>3</v>
      </c>
      <c r="AS257" s="403">
        <f t="shared" si="1"/>
        <v>1</v>
      </c>
    </row>
    <row r="258" spans="1:45" s="195" customFormat="1" ht="15.8" hidden="1" customHeight="1" x14ac:dyDescent="0.3">
      <c r="A258" s="403"/>
      <c r="B258" s="403" t="str">
        <f>'5. Intervenciones UDT - AH'!$C$8</f>
        <v xml:space="preserve">UDT ALTO HUALLAGA </v>
      </c>
      <c r="C258" s="403" t="str">
        <f>'5. Intervenciones UDT - AH'!$F$140</f>
        <v>Tierras sin categoría territorial asignada</v>
      </c>
      <c r="D258" s="404" t="str">
        <f>+'5. Intervenciones UDT - AH'!A148</f>
        <v>Invasiones</v>
      </c>
      <c r="E258" s="404" t="str">
        <f>+'5. Intervenciones UDT - AH'!C148</f>
        <v>3.8.1</v>
      </c>
      <c r="F258" s="404" t="str">
        <f>+'5. Intervenciones UDT - AH'!D148</f>
        <v>Creación y establecimiento de unidades de ordenamiento forestal, otorgamiento de títulos habilitantes forestales y tenencia de la tierra</v>
      </c>
      <c r="G258" s="404" t="str">
        <f>+'5. Intervenciones UDT - AH'!E148</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H258" s="948" t="s">
        <v>1857</v>
      </c>
      <c r="I258" s="946" t="s">
        <v>199</v>
      </c>
      <c r="J258" s="946" t="s">
        <v>2591</v>
      </c>
      <c r="K258" s="946" t="s">
        <v>2331</v>
      </c>
      <c r="L258" s="946" t="s">
        <v>202</v>
      </c>
      <c r="M258" s="418" t="s">
        <v>1858</v>
      </c>
      <c r="N258" s="948" t="s">
        <v>1859</v>
      </c>
      <c r="O258" s="948" t="s">
        <v>223</v>
      </c>
      <c r="P258" s="951" t="s">
        <v>1860</v>
      </c>
      <c r="Q258" s="951" t="str">
        <f>+'5. Intervenciones UDT - AH'!F148</f>
        <v>Ha. con categoría territorial asignada</v>
      </c>
      <c r="R258" s="405">
        <f>+'5. Intervenciones UDT - AH'!I148</f>
        <v>37092.698274879796</v>
      </c>
      <c r="S258" s="405">
        <f>+'5. Intervenciones UDT - AH'!J148</f>
        <v>18546.349137439898</v>
      </c>
      <c r="T258" s="405">
        <f>+'5. Intervenciones UDT - AH'!K148</f>
        <v>18546.349137439898</v>
      </c>
      <c r="U258" s="405">
        <f>+'5. Intervenciones UDT - AH'!L148</f>
        <v>15</v>
      </c>
      <c r="V258" s="405" t="str">
        <f>+'5. Intervenciones UDT - AH'!M148</f>
        <v>Para la implementación de las intervención será mecesario la contratación de especialistas para realizar las acciones que comtemplen dicha actividad. Gastos logísticos y trámites documentarios.</v>
      </c>
      <c r="W258" s="405" t="str">
        <f>+'5. Intervenciones UDT - AH'!N148</f>
        <v>GRSM - DEGT</v>
      </c>
      <c r="X258" s="588">
        <f>+'5. Intervenciones UDT - AH'!O148</f>
        <v>278195.23706159845</v>
      </c>
      <c r="Y258" s="588">
        <f>+Tabla1[[#This Row],[2025 Directo]]*(1+$Y$3)</f>
        <v>281116.28705074522</v>
      </c>
      <c r="Z258" s="588">
        <f>+'5. Intervenciones UDT - AH'!P148</f>
        <v>278195.23706159845</v>
      </c>
      <c r="AA258" s="588">
        <f>+Tabla1[[#This Row],[2030 Directo]]*(1+$Y$3)</f>
        <v>281116.28705074522</v>
      </c>
      <c r="AB258" s="588">
        <f>+'5. Intervenciones UDT - AH'!Q148</f>
        <v>55639.047412319691</v>
      </c>
      <c r="AC258" s="588">
        <f>+Tabla1[[#This Row],[Año 1 Cto Directo]]*(1+$Y$3)</f>
        <v>56223.257410149046</v>
      </c>
      <c r="AD258" s="588">
        <f>+'5. Intervenciones UDT - AH'!R148</f>
        <v>55639.047412319691</v>
      </c>
      <c r="AE258" s="588">
        <f>+Tabla1[[#This Row],[Año 2 Cto. Directo]]*(1+$Y$3)</f>
        <v>56223.257410149046</v>
      </c>
      <c r="AF258" s="588">
        <f>+'5. Intervenciones UDT - AH'!S148</f>
        <v>55639.047412319691</v>
      </c>
      <c r="AG258" s="588">
        <f>+Tabla1[[#This Row],[Año 3 Cto. Directo]]*(1+$Y$3)</f>
        <v>56223.257410149046</v>
      </c>
      <c r="AH258" s="588">
        <f>+'5. Intervenciones UDT - AH'!T148</f>
        <v>55639.047412319691</v>
      </c>
      <c r="AI258" s="588">
        <f>+Tabla1[[#This Row],[Año 4 Cto. Directo]]*(1+$Y$3)</f>
        <v>56223.257410149046</v>
      </c>
      <c r="AJ258" s="588">
        <f>+'5. Intervenciones UDT - AH'!U148</f>
        <v>55639.047412319691</v>
      </c>
      <c r="AK258" s="588">
        <f>+Tabla1[[#This Row],[Año 5 Cto. Directo]]*(1+$Y$3)</f>
        <v>56223.257410149046</v>
      </c>
      <c r="AL258" s="405">
        <f>+'5. Intervenciones UDT - AH'!V148</f>
        <v>0</v>
      </c>
      <c r="AM258" s="956"/>
      <c r="AN258" s="956" t="str">
        <f>+'5. Intervenciones UDT - AH'!X148</f>
        <v>X</v>
      </c>
      <c r="AO258" s="956"/>
      <c r="AP258" s="956"/>
      <c r="AQ258" s="956"/>
      <c r="AR258" s="954">
        <f>+'5. Intervenciones UDT - AH'!AB148</f>
        <v>3</v>
      </c>
      <c r="AS258" s="403">
        <f t="shared" si="1"/>
        <v>1</v>
      </c>
    </row>
    <row r="259" spans="1:45" s="195" customFormat="1" ht="15.8" hidden="1" customHeight="1" x14ac:dyDescent="0.3">
      <c r="A259" s="403"/>
      <c r="B259" s="403" t="str">
        <f>'5. Intervenciones UDT - AH'!$C$8</f>
        <v xml:space="preserve">UDT ALTO HUALLAGA </v>
      </c>
      <c r="C259" s="403" t="str">
        <f>'5. Intervenciones UDT - AH'!$F$140</f>
        <v>Tierras sin categoría territorial asignada</v>
      </c>
      <c r="D259" s="404" t="str">
        <f>+'5. Intervenciones UDT - AH'!A149</f>
        <v>Control y vigilancia</v>
      </c>
      <c r="E259" s="404" t="str">
        <f>+'5. Intervenciones UDT - AH'!C149</f>
        <v>3.8.2</v>
      </c>
      <c r="F259" s="404" t="str">
        <f>+'5. Intervenciones UDT - AH'!D149</f>
        <v>Fortalecimiento de capacidades de los responsables de la administración de las nuevas categorías de ordenamiento forestal y títulos habilitantes forestales</v>
      </c>
      <c r="G259" s="404" t="str">
        <f>+'5. Intervenciones UDT - AH'!E149</f>
        <v>Comprende la capacitación en manejo de normatividad forestal y manejo de bosques, contratación de especialistas para tener presencia física en el área, equipamiento e infraestructura.</v>
      </c>
      <c r="H259" s="948" t="s">
        <v>1857</v>
      </c>
      <c r="I259" s="946" t="s">
        <v>199</v>
      </c>
      <c r="J259" s="946" t="s">
        <v>2591</v>
      </c>
      <c r="K259" s="946" t="s">
        <v>2331</v>
      </c>
      <c r="L259" s="946" t="s">
        <v>202</v>
      </c>
      <c r="M259" s="418" t="s">
        <v>1858</v>
      </c>
      <c r="N259" s="948" t="s">
        <v>1859</v>
      </c>
      <c r="O259" s="948" t="s">
        <v>223</v>
      </c>
      <c r="P259" s="951" t="s">
        <v>1860</v>
      </c>
      <c r="Q259" s="951" t="str">
        <f>+'5. Intervenciones UDT - AH'!F149</f>
        <v xml:space="preserve">N° de responsables de administración que aprueban evaluación de capacitación </v>
      </c>
      <c r="R259" s="405">
        <f>+'5. Intervenciones UDT - AH'!I149</f>
        <v>0</v>
      </c>
      <c r="S259" s="405">
        <f>+'5. Intervenciones UDT - AH'!J149</f>
        <v>80</v>
      </c>
      <c r="T259" s="405">
        <f>+'5. Intervenciones UDT - AH'!K149</f>
        <v>80</v>
      </c>
      <c r="U259" s="405">
        <f>+'5. Intervenciones UDT - AH'!L149</f>
        <v>150</v>
      </c>
      <c r="V259" s="405" t="str">
        <f>+'5. Intervenciones UDT - AH'!M149</f>
        <v>Considera materiales de capacitación, alimentación a capacitados en el área cercana a su comunidad y gastos de capacitadores</v>
      </c>
      <c r="W259" s="405" t="str">
        <f>+'5. Intervenciones UDT - AH'!N149</f>
        <v>GRSM - DEGT</v>
      </c>
      <c r="X259" s="588">
        <f>+'5. Intervenciones UDT - AH'!O149</f>
        <v>12000</v>
      </c>
      <c r="Y259" s="588">
        <f>+Tabla1[[#This Row],[2025 Directo]]*(1+$Y$3)</f>
        <v>12126</v>
      </c>
      <c r="Z259" s="588">
        <f>+'5. Intervenciones UDT - AH'!P149</f>
        <v>12000</v>
      </c>
      <c r="AA259" s="588">
        <f>+Tabla1[[#This Row],[2030 Directo]]*(1+$Y$3)</f>
        <v>12126</v>
      </c>
      <c r="AB259" s="588">
        <f>+'5. Intervenciones UDT - AH'!Q149</f>
        <v>12000</v>
      </c>
      <c r="AC259" s="588">
        <f>+Tabla1[[#This Row],[Año 1 Cto Directo]]*(1+$Y$3)</f>
        <v>12126</v>
      </c>
      <c r="AD259" s="588">
        <f>+'5. Intervenciones UDT - AH'!R149</f>
        <v>0</v>
      </c>
      <c r="AE259" s="588">
        <f>+Tabla1[[#This Row],[Año 2 Cto. Directo]]*(1+$Y$3)</f>
        <v>0</v>
      </c>
      <c r="AF259" s="588">
        <f>+'5. Intervenciones UDT - AH'!S149</f>
        <v>0</v>
      </c>
      <c r="AG259" s="588">
        <f>+Tabla1[[#This Row],[Año 3 Cto. Directo]]*(1+$Y$3)</f>
        <v>0</v>
      </c>
      <c r="AH259" s="588">
        <f>+'5. Intervenciones UDT - AH'!T149</f>
        <v>0</v>
      </c>
      <c r="AI259" s="588">
        <f>+Tabla1[[#This Row],[Año 4 Cto. Directo]]*(1+$Y$3)</f>
        <v>0</v>
      </c>
      <c r="AJ259" s="588">
        <f>+'5. Intervenciones UDT - AH'!U149</f>
        <v>0</v>
      </c>
      <c r="AK259" s="588">
        <f>+Tabla1[[#This Row],[Año 5 Cto. Directo]]*(1+$Y$3)</f>
        <v>0</v>
      </c>
      <c r="AL259" s="405">
        <f>+'5. Intervenciones UDT - AH'!V149</f>
        <v>0</v>
      </c>
      <c r="AM259" s="956"/>
      <c r="AN259" s="956" t="str">
        <f>+'5. Intervenciones UDT - AH'!X149</f>
        <v>X</v>
      </c>
      <c r="AO259" s="956"/>
      <c r="AP259" s="956"/>
      <c r="AQ259" s="956"/>
      <c r="AR259" s="954">
        <f>+'5. Intervenciones UDT - AH'!AB149</f>
        <v>2</v>
      </c>
      <c r="AS259" s="403">
        <f t="shared" si="1"/>
        <v>1</v>
      </c>
    </row>
    <row r="260" spans="1:45" s="195" customFormat="1" ht="15.8" hidden="1" customHeight="1" x14ac:dyDescent="0.3">
      <c r="A260" s="403"/>
      <c r="B260" s="403" t="str">
        <f>'5. Intervenciones UDT - AH'!$C$8</f>
        <v xml:space="preserve">UDT ALTO HUALLAGA </v>
      </c>
      <c r="C260" s="403" t="str">
        <f>'5. Intervenciones UDT - AH'!$F$140</f>
        <v>Tierras sin categoría territorial asignada</v>
      </c>
      <c r="D260" s="404" t="str">
        <f>+'5. Intervenciones UDT - AH'!A150</f>
        <v>Control y vigilancia</v>
      </c>
      <c r="E260" s="404" t="str">
        <f>+'5. Intervenciones UDT - AH'!C150</f>
        <v>3.8.3</v>
      </c>
      <c r="F260" s="404" t="str">
        <f>+'5. Intervenciones UDT - AH'!D150</f>
        <v>Elaboración del plan/declaración de manejo de las nuevas categorías de ordenamiento forestal y títulos habilitantes forestales</v>
      </c>
      <c r="G260" s="404" t="str">
        <f>+'5. Intervenciones UDT - AH'!E150</f>
        <v>Dependiendo de la categoría forestal a ser aplicada, se realizará un plan/declaración acorde a la unidad, en el marco de la ley forestal y fauna silvestre N° 29763.</v>
      </c>
      <c r="H260" s="948" t="s">
        <v>1857</v>
      </c>
      <c r="I260" s="946" t="s">
        <v>199</v>
      </c>
      <c r="J260" s="946" t="s">
        <v>2591</v>
      </c>
      <c r="K260" s="946" t="s">
        <v>2331</v>
      </c>
      <c r="L260" s="946" t="s">
        <v>202</v>
      </c>
      <c r="M260" s="418" t="s">
        <v>1858</v>
      </c>
      <c r="N260" s="948" t="s">
        <v>1859</v>
      </c>
      <c r="O260" s="948" t="s">
        <v>223</v>
      </c>
      <c r="P260" s="951" t="s">
        <v>1860</v>
      </c>
      <c r="Q260" s="951" t="str">
        <f>+'5. Intervenciones UDT - AH'!F150</f>
        <v>N° Planes / Declaraciones elaborados</v>
      </c>
      <c r="R260" s="405">
        <f>+'5. Intervenciones UDT - AH'!I150</f>
        <v>0</v>
      </c>
      <c r="S260" s="405">
        <f>+'5. Intervenciones UDT - AH'!J150</f>
        <v>8</v>
      </c>
      <c r="T260" s="405">
        <f>+'5. Intervenciones UDT - AH'!K150</f>
        <v>8</v>
      </c>
      <c r="U260" s="405">
        <f>+'5. Intervenciones UDT - AH'!L150</f>
        <v>10000</v>
      </c>
      <c r="V260" s="405" t="str">
        <f>+'5. Intervenciones UDT - AH'!M150</f>
        <v>Se considera la contratación de profesionales para la elaboración de los expedientes y/o declaraciones identificadas en los diferentes procesos.</v>
      </c>
      <c r="W260" s="405" t="str">
        <f>+'5. Intervenciones UDT - AH'!N150</f>
        <v>GRSM - DEGT</v>
      </c>
      <c r="X260" s="588">
        <f>+'5. Intervenciones UDT - AH'!O150</f>
        <v>80000</v>
      </c>
      <c r="Y260" s="588">
        <f>+Tabla1[[#This Row],[2025 Directo]]*(1+$Y$3)</f>
        <v>80840</v>
      </c>
      <c r="Z260" s="588">
        <f>+'5. Intervenciones UDT - AH'!P150</f>
        <v>80000</v>
      </c>
      <c r="AA260" s="588">
        <f>+Tabla1[[#This Row],[2030 Directo]]*(1+$Y$3)</f>
        <v>80840</v>
      </c>
      <c r="AB260" s="588">
        <f>+'5. Intervenciones UDT - AH'!Q150</f>
        <v>24000</v>
      </c>
      <c r="AC260" s="588">
        <f>+Tabla1[[#This Row],[Año 1 Cto Directo]]*(1+$Y$3)</f>
        <v>24252</v>
      </c>
      <c r="AD260" s="588">
        <f>+'5. Intervenciones UDT - AH'!R150</f>
        <v>24000</v>
      </c>
      <c r="AE260" s="588">
        <f>+Tabla1[[#This Row],[Año 2 Cto. Directo]]*(1+$Y$3)</f>
        <v>24252</v>
      </c>
      <c r="AF260" s="588">
        <f>+'5. Intervenciones UDT - AH'!S150</f>
        <v>32000</v>
      </c>
      <c r="AG260" s="588">
        <f>+Tabla1[[#This Row],[Año 3 Cto. Directo]]*(1+$Y$3)</f>
        <v>32336</v>
      </c>
      <c r="AH260" s="588">
        <f>+'5. Intervenciones UDT - AH'!T150</f>
        <v>0</v>
      </c>
      <c r="AI260" s="588">
        <f>+Tabla1[[#This Row],[Año 4 Cto. Directo]]*(1+$Y$3)</f>
        <v>0</v>
      </c>
      <c r="AJ260" s="588">
        <f>+'5. Intervenciones UDT - AH'!U150</f>
        <v>0</v>
      </c>
      <c r="AK260" s="588">
        <f>+Tabla1[[#This Row],[Año 5 Cto. Directo]]*(1+$Y$3)</f>
        <v>0</v>
      </c>
      <c r="AL260" s="405">
        <f>+'5. Intervenciones UDT - AH'!V150</f>
        <v>0</v>
      </c>
      <c r="AM260" s="956"/>
      <c r="AN260" s="956" t="str">
        <f>+'5. Intervenciones UDT - AH'!X150</f>
        <v>X</v>
      </c>
      <c r="AO260" s="956"/>
      <c r="AP260" s="956"/>
      <c r="AQ260" s="956"/>
      <c r="AR260" s="954">
        <f>+'5. Intervenciones UDT - AH'!AB150</f>
        <v>2</v>
      </c>
      <c r="AS260" s="403">
        <f t="shared" si="1"/>
        <v>1</v>
      </c>
    </row>
    <row r="261" spans="1:45" s="195" customFormat="1" ht="15.8" hidden="1" customHeight="1" x14ac:dyDescent="0.3">
      <c r="A261" s="403"/>
      <c r="B261" s="403" t="str">
        <f>'5. Intervenciones UDT - AH'!$C$8</f>
        <v xml:space="preserve">UDT ALTO HUALLAGA </v>
      </c>
      <c r="C261" s="403" t="str">
        <f>'5. Intervenciones UDT - AH'!$F$140</f>
        <v>Tierras sin categoría territorial asignada</v>
      </c>
      <c r="D261" s="404" t="str">
        <f>+'5. Intervenciones UDT - AH'!A151</f>
        <v>Invasiones</v>
      </c>
      <c r="E261" s="404" t="str">
        <f>+'5. Intervenciones UDT - AH'!C151</f>
        <v>3.8.4</v>
      </c>
      <c r="F261" s="404" t="str">
        <f>+'5. Intervenciones UDT - AH'!D151</f>
        <v>Inscripción en el catastro forestal y en registros públicos</v>
      </c>
      <c r="G261" s="404" t="str">
        <f>+'5. Intervenciones UDT - AH'!E151</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H261" s="948" t="s">
        <v>1857</v>
      </c>
      <c r="I261" s="946" t="s">
        <v>199</v>
      </c>
      <c r="J261" s="946" t="s">
        <v>2591</v>
      </c>
      <c r="K261" s="946" t="s">
        <v>2331</v>
      </c>
      <c r="L261" s="946" t="s">
        <v>202</v>
      </c>
      <c r="M261" s="418" t="s">
        <v>1858</v>
      </c>
      <c r="N261" s="948" t="s">
        <v>1859</v>
      </c>
      <c r="O261" s="948" t="s">
        <v>223</v>
      </c>
      <c r="P261" s="951" t="s">
        <v>1860</v>
      </c>
      <c r="Q261" s="951" t="str">
        <f>+'5. Intervenciones UDT - AH'!F151</f>
        <v>Ha. Inscritas</v>
      </c>
      <c r="R261" s="405">
        <f>+'5. Intervenciones UDT - AH'!I151</f>
        <v>37092.698274879796</v>
      </c>
      <c r="S261" s="405">
        <f>+'5. Intervenciones UDT - AH'!J151</f>
        <v>18546.349137439898</v>
      </c>
      <c r="T261" s="405">
        <f>+'5. Intervenciones UDT - AH'!K151</f>
        <v>18546.349137439898</v>
      </c>
      <c r="U261" s="405">
        <f>+'5. Intervenciones UDT - AH'!L151</f>
        <v>1</v>
      </c>
      <c r="V261" s="405" t="str">
        <f>+'5. Intervenciones UDT - AH'!M151</f>
        <v>Contratación de dos profesioales para agilizar procesos con sunarp.</v>
      </c>
      <c r="W261" s="405" t="str">
        <f>+'5. Intervenciones UDT - AH'!N151</f>
        <v>GRSM - DEGT</v>
      </c>
      <c r="X261" s="588">
        <f>+'5. Intervenciones UDT - AH'!O151</f>
        <v>18546.349137439898</v>
      </c>
      <c r="Y261" s="588">
        <f>+Tabla1[[#This Row],[2025 Directo]]*(1+$Y$3)</f>
        <v>18741.085803383015</v>
      </c>
      <c r="Z261" s="588">
        <f>+'5. Intervenciones UDT - AH'!P151</f>
        <v>18546.349137439898</v>
      </c>
      <c r="AA261" s="588">
        <f>+Tabla1[[#This Row],[2030 Directo]]*(1+$Y$3)</f>
        <v>18741.085803383015</v>
      </c>
      <c r="AB261" s="588">
        <f>+'5. Intervenciones UDT - AH'!Q151</f>
        <v>3709.2698274879799</v>
      </c>
      <c r="AC261" s="588">
        <f>+Tabla1[[#This Row],[Año 1 Cto Directo]]*(1+$Y$3)</f>
        <v>3748.2171606766037</v>
      </c>
      <c r="AD261" s="588">
        <f>+'5. Intervenciones UDT - AH'!R151</f>
        <v>3709.2698274879799</v>
      </c>
      <c r="AE261" s="588">
        <f>+Tabla1[[#This Row],[Año 2 Cto. Directo]]*(1+$Y$3)</f>
        <v>3748.2171606766037</v>
      </c>
      <c r="AF261" s="588">
        <f>+'5. Intervenciones UDT - AH'!S151</f>
        <v>3709.2698274879799</v>
      </c>
      <c r="AG261" s="588">
        <f>+Tabla1[[#This Row],[Año 3 Cto. Directo]]*(1+$Y$3)</f>
        <v>3748.2171606766037</v>
      </c>
      <c r="AH261" s="588">
        <f>+'5. Intervenciones UDT - AH'!T151</f>
        <v>3709.2698274879799</v>
      </c>
      <c r="AI261" s="588">
        <f>+Tabla1[[#This Row],[Año 4 Cto. Directo]]*(1+$Y$3)</f>
        <v>3748.2171606766037</v>
      </c>
      <c r="AJ261" s="588">
        <f>+'5. Intervenciones UDT - AH'!U151</f>
        <v>3709.2698274879799</v>
      </c>
      <c r="AK261" s="588">
        <f>+Tabla1[[#This Row],[Año 5 Cto. Directo]]*(1+$Y$3)</f>
        <v>3748.2171606766037</v>
      </c>
      <c r="AL261" s="405">
        <f>+'5. Intervenciones UDT - AH'!V151</f>
        <v>0</v>
      </c>
      <c r="AM261" s="956"/>
      <c r="AN261" s="956" t="str">
        <f>+'5. Intervenciones UDT - AH'!X151</f>
        <v>X</v>
      </c>
      <c r="AO261" s="956"/>
      <c r="AP261" s="956"/>
      <c r="AQ261" s="956"/>
      <c r="AR261" s="954">
        <f>+'5. Intervenciones UDT - AH'!AB151</f>
        <v>2</v>
      </c>
      <c r="AS261" s="403">
        <f t="shared" si="1"/>
        <v>1</v>
      </c>
    </row>
    <row r="262" spans="1:45" s="195" customFormat="1" ht="15.8" hidden="1" customHeight="1" x14ac:dyDescent="0.3">
      <c r="A262" s="403"/>
      <c r="B262" s="403" t="str">
        <f>'5. Intervenciones UDT - AH'!$C$8</f>
        <v xml:space="preserve">UDT ALTO HUALLAGA </v>
      </c>
      <c r="C262" s="403" t="str">
        <f>'5. Intervenciones UDT - AH'!$F$140</f>
        <v>Tierras sin categoría territorial asignada</v>
      </c>
      <c r="D262" s="404" t="str">
        <f>+'5. Intervenciones UDT - AH'!A152</f>
        <v>Ingresos y Capital</v>
      </c>
      <c r="E262" s="404" t="str">
        <f>+'5. Intervenciones UDT - AH'!C152</f>
        <v>3.8.5</v>
      </c>
      <c r="F262" s="404" t="str">
        <f>+'5. Intervenciones UDT - AH'!D152</f>
        <v>Restauración de áreas degradadas</v>
      </c>
      <c r="G262" s="404" t="str">
        <f>+'5. Intervenciones UDT - AH'!E152</f>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v>
      </c>
      <c r="H262" s="948" t="s">
        <v>1857</v>
      </c>
      <c r="I262" s="946" t="s">
        <v>203</v>
      </c>
      <c r="J262" s="946" t="s">
        <v>2595</v>
      </c>
      <c r="K262" s="946" t="s">
        <v>2333</v>
      </c>
      <c r="L262" s="946" t="s">
        <v>204</v>
      </c>
      <c r="M262" s="418" t="s">
        <v>1878</v>
      </c>
      <c r="N262" s="948" t="s">
        <v>1859</v>
      </c>
      <c r="O262" s="948" t="s">
        <v>223</v>
      </c>
      <c r="P262" s="951" t="s">
        <v>1860</v>
      </c>
      <c r="Q262" s="951" t="str">
        <f>+'5. Intervenciones UDT - AH'!F152</f>
        <v>Hectáreas restauradas</v>
      </c>
      <c r="R262" s="405">
        <f>+'5. Intervenciones UDT - AH'!I152</f>
        <v>0</v>
      </c>
      <c r="S262" s="405">
        <f>+'5. Intervenciones UDT - AH'!J152</f>
        <v>4281.2943442937603</v>
      </c>
      <c r="T262" s="405">
        <f>+'5. Intervenciones UDT - AH'!K152</f>
        <v>0</v>
      </c>
      <c r="U262" s="405">
        <f>+'5. Intervenciones UDT - AH'!L152</f>
        <v>500</v>
      </c>
      <c r="V262" s="405" t="str">
        <f>+'5. Intervenciones UDT - AH'!M152</f>
        <v>El costo incluye la restauración de una hectárea, esta actividad se desarrollara de acuerdo a la metodología propuesta por el ARA, en coordinación con los productores seleccionados.</v>
      </c>
      <c r="W262" s="405" t="str">
        <f>+'5. Intervenciones UDT - AH'!N152</f>
        <v>ARA</v>
      </c>
      <c r="X262" s="588">
        <f>+'5. Intervenciones UDT - AH'!O152</f>
        <v>2140647.1721468801</v>
      </c>
      <c r="Y262" s="588">
        <f>+Tabla1[[#This Row],[2025 Directo]]*(1+$Y$3)</f>
        <v>2163123.9674544223</v>
      </c>
      <c r="Z262" s="588">
        <f>+'5. Intervenciones UDT - AH'!P152</f>
        <v>0</v>
      </c>
      <c r="AA262" s="588">
        <f>+Tabla1[[#This Row],[2030 Directo]]*(1+$Y$3)</f>
        <v>0</v>
      </c>
      <c r="AB262" s="588">
        <f>+'5. Intervenciones UDT - AH'!Q152</f>
        <v>2140647.1721468801</v>
      </c>
      <c r="AC262" s="588">
        <f>+Tabla1[[#This Row],[Año 1 Cto Directo]]*(1+$Y$3)</f>
        <v>2163123.9674544223</v>
      </c>
      <c r="AD262" s="588">
        <f>+'5. Intervenciones UDT - AH'!R152</f>
        <v>0</v>
      </c>
      <c r="AE262" s="588">
        <f>+Tabla1[[#This Row],[Año 2 Cto. Directo]]*(1+$Y$3)</f>
        <v>0</v>
      </c>
      <c r="AF262" s="588">
        <f>+'5. Intervenciones UDT - AH'!S152</f>
        <v>0</v>
      </c>
      <c r="AG262" s="588">
        <f>+Tabla1[[#This Row],[Año 3 Cto. Directo]]*(1+$Y$3)</f>
        <v>0</v>
      </c>
      <c r="AH262" s="588">
        <f>+'5. Intervenciones UDT - AH'!T152</f>
        <v>0</v>
      </c>
      <c r="AI262" s="588">
        <f>+Tabla1[[#This Row],[Año 4 Cto. Directo]]*(1+$Y$3)</f>
        <v>0</v>
      </c>
      <c r="AJ262" s="588">
        <f>+'5. Intervenciones UDT - AH'!U152</f>
        <v>0</v>
      </c>
      <c r="AK262" s="588">
        <f>+Tabla1[[#This Row],[Año 5 Cto. Directo]]*(1+$Y$3)</f>
        <v>0</v>
      </c>
      <c r="AL262" s="405">
        <f>+'5. Intervenciones UDT - AH'!V152</f>
        <v>0</v>
      </c>
      <c r="AM262" s="956"/>
      <c r="AN262" s="956" t="str">
        <f>+'5. Intervenciones UDT - AH'!X152</f>
        <v>X</v>
      </c>
      <c r="AO262" s="956"/>
      <c r="AP262" s="956"/>
      <c r="AQ262" s="956"/>
      <c r="AR262" s="954">
        <f>+'5. Intervenciones UDT - AH'!AB152</f>
        <v>3</v>
      </c>
      <c r="AS262" s="403">
        <f t="shared" si="1"/>
        <v>1</v>
      </c>
    </row>
    <row r="263" spans="1:45" s="195" customFormat="1" ht="15.8" hidden="1" customHeight="1" x14ac:dyDescent="0.3">
      <c r="A263" s="403"/>
      <c r="B263" s="403" t="str">
        <f>'5. Intervenciones UDT - AH'!$C$8</f>
        <v xml:space="preserve">UDT ALTO HUALLAGA </v>
      </c>
      <c r="C263" s="403" t="str">
        <f>'5. Intervenciones UDT - AH'!$C$156</f>
        <v>Intervenciones Transversales x UDT</v>
      </c>
      <c r="D263" s="404" t="str">
        <f>+'5. Intervenciones UDT - AH'!A159</f>
        <v>Programas de inversión pública</v>
      </c>
      <c r="E263" s="404" t="str">
        <f>+'5. Intervenciones UDT - AH'!C159</f>
        <v>3.9.1</v>
      </c>
      <c r="F263" s="403" t="str">
        <f>+'5. Intervenciones UDT - AH'!D159</f>
        <v>Acuerdos con rondas campesinas para cumplimiento de compromisos de no deforestación y tráfico de tierras e invasiones</v>
      </c>
      <c r="G263" s="403" t="str">
        <f>+'5. Intervenciones UDT - AH'!E159</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H263" s="948" t="s">
        <v>1857</v>
      </c>
      <c r="I263" s="946" t="s">
        <v>199</v>
      </c>
      <c r="J263" s="946" t="s">
        <v>2591</v>
      </c>
      <c r="K263" s="946" t="s">
        <v>2331</v>
      </c>
      <c r="L263" s="946" t="s">
        <v>202</v>
      </c>
      <c r="M263" s="418" t="s">
        <v>1892</v>
      </c>
      <c r="N263" s="948" t="s">
        <v>1887</v>
      </c>
      <c r="O263" s="948" t="s">
        <v>221</v>
      </c>
      <c r="P263" s="951" t="s">
        <v>1891</v>
      </c>
      <c r="Q263" s="951" t="str">
        <f>+'5. Intervenciones UDT - AH'!F159</f>
        <v>Acuerdos con rondas campesinas</v>
      </c>
      <c r="R263" s="405">
        <f>+'5. Intervenciones UDT - AH'!I159</f>
        <v>0</v>
      </c>
      <c r="S263" s="405">
        <f>+'5. Intervenciones UDT - AH'!J159</f>
        <v>19</v>
      </c>
      <c r="T263" s="405">
        <f>+'5. Intervenciones UDT - AH'!K159</f>
        <v>19</v>
      </c>
      <c r="U263" s="405">
        <f>+'5. Intervenciones UDT - AH'!L159</f>
        <v>2500</v>
      </c>
      <c r="V263" s="403" t="str">
        <f>+'5. Intervenciones UDT - AH'!M159</f>
        <v>Reuniones con los diferentes actores involucrados y la sociedad civil para llegar a acuerdos de no deforestación, lo cual incluye  gastos logísticos en general.</v>
      </c>
      <c r="W263" s="403" t="str">
        <f>+'5. Intervenciones UDT - AH'!N159</f>
        <v>GRIS</v>
      </c>
      <c r="X263" s="588">
        <f>+'5. Intervenciones UDT - AH'!O159</f>
        <v>237500</v>
      </c>
      <c r="Y263" s="588">
        <f>+Tabla1[[#This Row],[2025 Directo]]*(1+$Y$3)</f>
        <v>239993.75</v>
      </c>
      <c r="Z263" s="588">
        <f>+'5. Intervenciones UDT - AH'!P159</f>
        <v>237500</v>
      </c>
      <c r="AA263" s="588">
        <f>+Tabla1[[#This Row],[2030 Directo]]*(1+$Y$3)</f>
        <v>239993.75</v>
      </c>
      <c r="AB263" s="588">
        <f>+'5. Intervenciones UDT - AH'!Q159</f>
        <v>47500</v>
      </c>
      <c r="AC263" s="588">
        <f>+Tabla1[[#This Row],[Año 1 Cto Directo]]*(1+$Y$3)</f>
        <v>47998.75</v>
      </c>
      <c r="AD263" s="588">
        <f>+'5. Intervenciones UDT - AH'!R159</f>
        <v>47500</v>
      </c>
      <c r="AE263" s="588">
        <f>+Tabla1[[#This Row],[Año 2 Cto. Directo]]*(1+$Y$3)</f>
        <v>47998.75</v>
      </c>
      <c r="AF263" s="588">
        <f>+'5. Intervenciones UDT - AH'!S159</f>
        <v>47500</v>
      </c>
      <c r="AG263" s="588">
        <f>+Tabla1[[#This Row],[Año 3 Cto. Directo]]*(1+$Y$3)</f>
        <v>47998.75</v>
      </c>
      <c r="AH263" s="588">
        <f>+'5. Intervenciones UDT - AH'!T159</f>
        <v>47500</v>
      </c>
      <c r="AI263" s="588">
        <f>+Tabla1[[#This Row],[Año 4 Cto. Directo]]*(1+$Y$3)</f>
        <v>47998.75</v>
      </c>
      <c r="AJ263" s="588">
        <f>+'5. Intervenciones UDT - AH'!U159</f>
        <v>47500</v>
      </c>
      <c r="AK263" s="588">
        <f>+Tabla1[[#This Row],[Año 5 Cto. Directo]]*(1+$Y$3)</f>
        <v>47998.75</v>
      </c>
      <c r="AL263" s="403">
        <f>+'5. Intervenciones UDT - AH'!V159</f>
        <v>0</v>
      </c>
      <c r="AM263" s="954"/>
      <c r="AN263" s="954"/>
      <c r="AO263" s="954" t="str">
        <f>+'5. Intervenciones UDT - AH'!Y159</f>
        <v>X</v>
      </c>
      <c r="AP263" s="954"/>
      <c r="AQ263" s="954" t="str">
        <f>+'5. Intervenciones UDT - AH'!AA159</f>
        <v>RE</v>
      </c>
      <c r="AR263" s="954">
        <f>+'5. Intervenciones UDT - AH'!AB159</f>
        <v>3</v>
      </c>
      <c r="AS263" s="403">
        <f t="shared" ref="AS263:AS264" si="16">COUNTIF(AM263:AP263, "X")</f>
        <v>1</v>
      </c>
    </row>
    <row r="264" spans="1:45" s="195" customFormat="1" ht="15.8" hidden="1" customHeight="1" x14ac:dyDescent="0.3">
      <c r="A264" s="403"/>
      <c r="B264" s="403" t="str">
        <f>'5. Intervenciones UDT - AH'!$C$8</f>
        <v xml:space="preserve">UDT ALTO HUALLAGA </v>
      </c>
      <c r="C264" s="403" t="str">
        <f>'5. Intervenciones UDT - AH'!$C$156</f>
        <v>Intervenciones Transversales x UDT</v>
      </c>
      <c r="D264" s="404" t="str">
        <f>+'5. Intervenciones UDT - AH'!A160</f>
        <v>Programas de inversión pública</v>
      </c>
      <c r="E264" s="404" t="str">
        <f>+'5. Intervenciones UDT - AH'!C160</f>
        <v>3.9.2</v>
      </c>
      <c r="F264" s="403" t="str">
        <f>+'5. Intervenciones UDT - AH'!D160</f>
        <v>Mejora de programas de desarrollo alternativo con salvaguardas ambientales</v>
      </c>
      <c r="G264" s="403" t="str">
        <f>+'5. Intervenciones UDT - AH'!E160</f>
        <v xml:space="preserve">Los cultivos alternativos promovidos por los programas de cooperación deberán considerar la no ampliación de la frontera agrícola, la no deforestación de bosques primarios y las intervenciones transversales de recuperación de áreas. </v>
      </c>
      <c r="H264" s="948" t="s">
        <v>1857</v>
      </c>
      <c r="I264" s="946" t="s">
        <v>193</v>
      </c>
      <c r="J264" s="946" t="s">
        <v>2598</v>
      </c>
      <c r="K264" s="946" t="s">
        <v>2334</v>
      </c>
      <c r="L264" s="946" t="s">
        <v>194</v>
      </c>
      <c r="M264" s="418" t="s">
        <v>1861</v>
      </c>
      <c r="N264" s="948" t="s">
        <v>1887</v>
      </c>
      <c r="O264" s="948" t="s">
        <v>221</v>
      </c>
      <c r="P264" s="951" t="s">
        <v>1891</v>
      </c>
      <c r="Q264" s="951" t="str">
        <f>+'5. Intervenciones UDT - AH'!F160</f>
        <v>Reuniones de coordinación</v>
      </c>
      <c r="R264" s="405">
        <f>+'5. Intervenciones UDT - AH'!I160</f>
        <v>0</v>
      </c>
      <c r="S264" s="405">
        <f>+'5. Intervenciones UDT - AH'!J160</f>
        <v>5</v>
      </c>
      <c r="T264" s="405">
        <f>+'5. Intervenciones UDT - AH'!K160</f>
        <v>5</v>
      </c>
      <c r="U264" s="405">
        <f>+'5. Intervenciones UDT - AH'!L160</f>
        <v>1800</v>
      </c>
      <c r="V264" s="403" t="str">
        <f>+'5. Intervenciones UDT - AH'!M160</f>
        <v>Costo para cubrir los gastos logísticos para las reuniones con los diferentes actores involucrados y la sociedad civil para llegar a acuerdos para la implementación de proyectos agroforestales.</v>
      </c>
      <c r="W264" s="403" t="str">
        <f>+'5. Intervenciones UDT - AH'!N160</f>
        <v>Drasam</v>
      </c>
      <c r="X264" s="588">
        <f>+'5. Intervenciones UDT - AH'!O160</f>
        <v>45000</v>
      </c>
      <c r="Y264" s="588">
        <f>+Tabla1[[#This Row],[2025 Directo]]*(1+$Y$3)</f>
        <v>45472.5</v>
      </c>
      <c r="Z264" s="588">
        <f>+'5. Intervenciones UDT - AH'!P160</f>
        <v>45000</v>
      </c>
      <c r="AA264" s="588">
        <f>+Tabla1[[#This Row],[2030 Directo]]*(1+$Y$3)</f>
        <v>45472.5</v>
      </c>
      <c r="AB264" s="588">
        <f>+'5. Intervenciones UDT - AH'!Q160</f>
        <v>9000</v>
      </c>
      <c r="AC264" s="588">
        <f>+Tabla1[[#This Row],[Año 1 Cto Directo]]*(1+$Y$3)</f>
        <v>9094.5</v>
      </c>
      <c r="AD264" s="588">
        <f>+'5. Intervenciones UDT - AH'!R160</f>
        <v>9000</v>
      </c>
      <c r="AE264" s="588">
        <f>+Tabla1[[#This Row],[Año 2 Cto. Directo]]*(1+$Y$3)</f>
        <v>9094.5</v>
      </c>
      <c r="AF264" s="588">
        <f>+'5. Intervenciones UDT - AH'!S160</f>
        <v>9000</v>
      </c>
      <c r="AG264" s="588">
        <f>+Tabla1[[#This Row],[Año 3 Cto. Directo]]*(1+$Y$3)</f>
        <v>9094.5</v>
      </c>
      <c r="AH264" s="588">
        <f>+'5. Intervenciones UDT - AH'!T160</f>
        <v>9000</v>
      </c>
      <c r="AI264" s="588">
        <f>+Tabla1[[#This Row],[Año 4 Cto. Directo]]*(1+$Y$3)</f>
        <v>9094.5</v>
      </c>
      <c r="AJ264" s="588">
        <f>+'5. Intervenciones UDT - AH'!U160</f>
        <v>9000</v>
      </c>
      <c r="AK264" s="588">
        <f>+Tabla1[[#This Row],[Año 5 Cto. Directo]]*(1+$Y$3)</f>
        <v>9094.5</v>
      </c>
      <c r="AL264" s="403">
        <f>+'5. Intervenciones UDT - AH'!V160</f>
        <v>0</v>
      </c>
      <c r="AM264" s="954"/>
      <c r="AN264" s="954"/>
      <c r="AO264" s="954" t="str">
        <f>+'5. Intervenciones UDT - AH'!Y160</f>
        <v>X</v>
      </c>
      <c r="AP264" s="954"/>
      <c r="AQ264" s="954" t="str">
        <f>+'5. Intervenciones UDT - AH'!AA160</f>
        <v>RE</v>
      </c>
      <c r="AR264" s="954">
        <f>+'5. Intervenciones UDT - AH'!AB160</f>
        <v>1</v>
      </c>
      <c r="AS264" s="403">
        <f t="shared" si="16"/>
        <v>1</v>
      </c>
    </row>
    <row r="265" spans="1:45" s="195" customFormat="1" ht="15.8" hidden="1" customHeight="1" x14ac:dyDescent="0.3">
      <c r="A265" s="403"/>
      <c r="B265" s="403" t="str">
        <f>'5. Intervenciones UDT - AH'!$C$8</f>
        <v xml:space="preserve">UDT ALTO HUALLAGA </v>
      </c>
      <c r="C265" s="403" t="str">
        <f>'5. Intervenciones UDT - AH'!$C$156</f>
        <v>Intervenciones Transversales x UDT</v>
      </c>
      <c r="D265" s="404" t="str">
        <f>+'5. Intervenciones UDT - AH'!A161</f>
        <v>Programas de inversión pública</v>
      </c>
      <c r="E265" s="404" t="str">
        <f>+'5. Intervenciones UDT - AH'!C161</f>
        <v>3.9.3</v>
      </c>
      <c r="F265" s="403" t="str">
        <f>+'5. Intervenciones UDT - AH'!D161</f>
        <v>Mejoramiento de vías de acceso</v>
      </c>
      <c r="G265" s="403" t="str">
        <f>+'5. Intervenciones UDT - AH'!E161</f>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v>
      </c>
      <c r="H265" s="948" t="s">
        <v>1857</v>
      </c>
      <c r="I265" s="946" t="s">
        <v>199</v>
      </c>
      <c r="J265" s="946" t="s">
        <v>2598</v>
      </c>
      <c r="K265" s="946" t="s">
        <v>2334</v>
      </c>
      <c r="L265" s="946" t="s">
        <v>200</v>
      </c>
      <c r="M265" s="418" t="s">
        <v>1892</v>
      </c>
      <c r="N265" s="948" t="s">
        <v>1887</v>
      </c>
      <c r="O265" s="948" t="s">
        <v>221</v>
      </c>
      <c r="P265" s="951" t="s">
        <v>1891</v>
      </c>
      <c r="Q265" s="951" t="str">
        <f>+'5. Intervenciones UDT - AH'!F161</f>
        <v>Kilómetros mejorados</v>
      </c>
      <c r="R265" s="405">
        <f>+'5. Intervenciones UDT - AH'!I161</f>
        <v>479</v>
      </c>
      <c r="S265" s="405">
        <f>+'5. Intervenciones UDT - AH'!J161</f>
        <v>47.900000000000006</v>
      </c>
      <c r="T265" s="405">
        <f>+'5. Intervenciones UDT - AH'!K161</f>
        <v>47.900000000000006</v>
      </c>
      <c r="U265" s="405">
        <f>+'5. Intervenciones UDT - AH'!L161</f>
        <v>800000</v>
      </c>
      <c r="V265" s="403" t="str">
        <f>+'5. Intervenciones UDT - AH'!M161</f>
        <v>Costo promedio de por km2 de vía mejorada o asfaltada</v>
      </c>
      <c r="W265" s="403" t="str">
        <f>+'5. Intervenciones UDT - AH'!N161</f>
        <v>DRTyTC</v>
      </c>
      <c r="X265" s="588">
        <f>+'5. Intervenciones UDT - AH'!O161</f>
        <v>38320000.000000007</v>
      </c>
      <c r="Y265" s="588">
        <f>+Tabla1[[#This Row],[2025 Directo]]*(1+$Y$3)</f>
        <v>38722360.000000007</v>
      </c>
      <c r="Z265" s="588">
        <f>+'5. Intervenciones UDT - AH'!P161</f>
        <v>38320000.000000007</v>
      </c>
      <c r="AA265" s="588">
        <f>+Tabla1[[#This Row],[2030 Directo]]*(1+$Y$3)</f>
        <v>38722360.000000007</v>
      </c>
      <c r="AB265" s="588">
        <f>+'5. Intervenciones UDT - AH'!Q161</f>
        <v>7664000.0000000019</v>
      </c>
      <c r="AC265" s="588">
        <f>+Tabla1[[#This Row],[Año 1 Cto Directo]]*(1+$Y$3)</f>
        <v>7744472.0000000019</v>
      </c>
      <c r="AD265" s="588">
        <f>+'5. Intervenciones UDT - AH'!R161</f>
        <v>7664000.0000000019</v>
      </c>
      <c r="AE265" s="588">
        <f>+Tabla1[[#This Row],[Año 2 Cto. Directo]]*(1+$Y$3)</f>
        <v>7744472.0000000019</v>
      </c>
      <c r="AF265" s="588">
        <f>+'5. Intervenciones UDT - AH'!S161</f>
        <v>7664000.0000000019</v>
      </c>
      <c r="AG265" s="588">
        <f>+Tabla1[[#This Row],[Año 3 Cto. Directo]]*(1+$Y$3)</f>
        <v>7744472.0000000019</v>
      </c>
      <c r="AH265" s="588">
        <f>+'5. Intervenciones UDT - AH'!T161</f>
        <v>7664000.0000000019</v>
      </c>
      <c r="AI265" s="588">
        <f>+Tabla1[[#This Row],[Año 4 Cto. Directo]]*(1+$Y$3)</f>
        <v>7744472.0000000019</v>
      </c>
      <c r="AJ265" s="588">
        <f>+'5. Intervenciones UDT - AH'!U161</f>
        <v>7664000.0000000019</v>
      </c>
      <c r="AK265" s="588">
        <f>+Tabla1[[#This Row],[Año 5 Cto. Directo]]*(1+$Y$3)</f>
        <v>7744472.0000000019</v>
      </c>
      <c r="AL265" s="403">
        <f>+'5. Intervenciones UDT - AH'!V161</f>
        <v>0</v>
      </c>
      <c r="AM265" s="954" t="str">
        <f>+'5. Intervenciones UDT - AH'!W161</f>
        <v>X</v>
      </c>
      <c r="AN265" s="954"/>
      <c r="AO265" s="954"/>
      <c r="AP265" s="954"/>
      <c r="AQ265" s="954"/>
      <c r="AR265" s="954">
        <f>+'5. Intervenciones UDT - AH'!AB161</f>
        <v>2</v>
      </c>
      <c r="AS265" s="403">
        <f t="shared" si="1"/>
        <v>1</v>
      </c>
    </row>
    <row r="266" spans="1:45" s="195" customFormat="1" ht="15.8" hidden="1" customHeight="1" x14ac:dyDescent="0.3">
      <c r="A266" s="403"/>
      <c r="B266" s="403" t="str">
        <f>'5. Intervenciones UDT - AH'!$C$8</f>
        <v xml:space="preserve">UDT ALTO HUALLAGA </v>
      </c>
      <c r="C266" s="403" t="str">
        <f>'5. Intervenciones UDT - AH'!$C$156</f>
        <v>Intervenciones Transversales x UDT</v>
      </c>
      <c r="D266" s="404" t="str">
        <f>+'5. Intervenciones UDT - AH'!A162</f>
        <v>Programas de inversión pública</v>
      </c>
      <c r="E266" s="404" t="str">
        <f>+'5. Intervenciones UDT - AH'!C162</f>
        <v>3.9.4</v>
      </c>
      <c r="F266" s="403" t="str">
        <f>+'5. Intervenciones UDT - AH'!D162</f>
        <v>Restauración ecológica del paisaje</v>
      </c>
      <c r="G266" s="403" t="str">
        <f>+'5. Intervenciones UDT - AH'!E162</f>
        <v>Ejecución de proyectos de restauración en las 663 Ha con probabilidad alta y muy alta para desarrollar esta actividad; se cuenta con 401 ha que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v>
      </c>
      <c r="H266" s="948" t="s">
        <v>1857</v>
      </c>
      <c r="I266" s="946" t="s">
        <v>203</v>
      </c>
      <c r="J266" s="946" t="s">
        <v>2598</v>
      </c>
      <c r="K266" s="946" t="s">
        <v>2334</v>
      </c>
      <c r="L266" s="946" t="s">
        <v>204</v>
      </c>
      <c r="M266" s="418" t="s">
        <v>1878</v>
      </c>
      <c r="N266" s="948" t="s">
        <v>1879</v>
      </c>
      <c r="O266" s="948" t="s">
        <v>221</v>
      </c>
      <c r="P266" s="951" t="s">
        <v>1891</v>
      </c>
      <c r="Q266" s="951" t="str">
        <f>+'5. Intervenciones UDT - AH'!F162</f>
        <v>Hectáreas restauradas</v>
      </c>
      <c r="R266" s="405">
        <f>+'5. Intervenciones UDT - AH'!I162</f>
        <v>3201.8</v>
      </c>
      <c r="S266" s="405">
        <f>+'5. Intervenciones UDT - AH'!J162</f>
        <v>800.45</v>
      </c>
      <c r="T266" s="405">
        <f>+'5. Intervenciones UDT - AH'!K162</f>
        <v>640.36000000000013</v>
      </c>
      <c r="U266" s="405">
        <f>+'5. Intervenciones UDT - AH'!L162</f>
        <v>500</v>
      </c>
      <c r="V266" s="403" t="str">
        <f>+'5. Intervenciones UDT - AH'!M162</f>
        <v>El costo incluye la restauración de una hectárea, esta actividad se desarrollara de acuerdo a la metodología propuesta por el ARA, en coordinación con los productores seleccionados.</v>
      </c>
      <c r="W266" s="403" t="str">
        <f>+'5. Intervenciones UDT - AH'!N162</f>
        <v>ARA, SERFOR</v>
      </c>
      <c r="X266" s="588">
        <f>+'5. Intervenciones UDT - AH'!O162</f>
        <v>400225</v>
      </c>
      <c r="Y266" s="588">
        <f>+Tabla1[[#This Row],[2025 Directo]]*(1+$Y$3)</f>
        <v>404427.36249999999</v>
      </c>
      <c r="Z266" s="588">
        <f>+'5. Intervenciones UDT - AH'!P162</f>
        <v>320180.00000000006</v>
      </c>
      <c r="AA266" s="588">
        <f>+Tabla1[[#This Row],[2030 Directo]]*(1+$Y$3)</f>
        <v>323541.89000000007</v>
      </c>
      <c r="AB266" s="588">
        <f>+'5. Intervenciones UDT - AH'!Q162</f>
        <v>80045</v>
      </c>
      <c r="AC266" s="588">
        <f>+Tabla1[[#This Row],[Año 1 Cto Directo]]*(1+$Y$3)</f>
        <v>80885.472500000003</v>
      </c>
      <c r="AD266" s="588">
        <f>+'5. Intervenciones UDT - AH'!R162</f>
        <v>80045</v>
      </c>
      <c r="AE266" s="588">
        <f>+Tabla1[[#This Row],[Año 2 Cto. Directo]]*(1+$Y$3)</f>
        <v>80885.472500000003</v>
      </c>
      <c r="AF266" s="588">
        <f>+'5. Intervenciones UDT - AH'!S162</f>
        <v>80045</v>
      </c>
      <c r="AG266" s="588">
        <f>+Tabla1[[#This Row],[Año 3 Cto. Directo]]*(1+$Y$3)</f>
        <v>80885.472500000003</v>
      </c>
      <c r="AH266" s="588">
        <f>+'5. Intervenciones UDT - AH'!T162</f>
        <v>80045</v>
      </c>
      <c r="AI266" s="588">
        <f>+Tabla1[[#This Row],[Año 4 Cto. Directo]]*(1+$Y$3)</f>
        <v>80885.472500000003</v>
      </c>
      <c r="AJ266" s="588">
        <f>+'5. Intervenciones UDT - AH'!U162</f>
        <v>80045</v>
      </c>
      <c r="AK266" s="588">
        <f>+Tabla1[[#This Row],[Año 5 Cto. Directo]]*(1+$Y$3)</f>
        <v>80885.472500000003</v>
      </c>
      <c r="AL266" s="403">
        <f>+'5. Intervenciones UDT - AH'!V162</f>
        <v>0</v>
      </c>
      <c r="AM266" s="954"/>
      <c r="AN266" s="954"/>
      <c r="AO266" s="954" t="str">
        <f>+'5. Intervenciones UDT - AH'!Y162</f>
        <v>X</v>
      </c>
      <c r="AP266" s="954"/>
      <c r="AQ266" s="954" t="str">
        <f>+'5. Intervenciones UDT - AH'!AA162</f>
        <v>RE</v>
      </c>
      <c r="AR266" s="954">
        <f>+'5. Intervenciones UDT - AH'!AB162</f>
        <v>3</v>
      </c>
      <c r="AS266" s="403">
        <f t="shared" si="1"/>
        <v>1</v>
      </c>
    </row>
    <row r="267" spans="1:45" s="195" customFormat="1" ht="15.8" hidden="1" customHeight="1" x14ac:dyDescent="0.3">
      <c r="A267" s="403"/>
      <c r="B267" s="403" t="str">
        <f>'5. Intervenciones UDT - AH'!$C$8</f>
        <v xml:space="preserve">UDT ALTO HUALLAGA </v>
      </c>
      <c r="C267" s="403" t="str">
        <f>'5. Intervenciones UDT - AH'!$C$156</f>
        <v>Intervenciones Transversales x UDT</v>
      </c>
      <c r="D267" s="404" t="str">
        <f>+'5. Intervenciones UDT - AH'!A163</f>
        <v>Programas de inversión pública</v>
      </c>
      <c r="E267" s="404" t="str">
        <f>+'5. Intervenciones UDT - AH'!C163</f>
        <v>3.9.5</v>
      </c>
      <c r="F267" s="403" t="str">
        <f>+'5. Intervenciones UDT - AH'!D163</f>
        <v>Mejor cobertura y calidad de servicios de educación y salud</v>
      </c>
      <c r="G267" s="403" t="str">
        <f>+'5. Intervenciones UDT - AH'!E163</f>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v>
      </c>
      <c r="H267" s="948" t="s">
        <v>1857</v>
      </c>
      <c r="I267" s="946" t="s">
        <v>199</v>
      </c>
      <c r="J267" s="946" t="s">
        <v>2598</v>
      </c>
      <c r="K267" s="946" t="s">
        <v>2334</v>
      </c>
      <c r="L267" s="946" t="s">
        <v>201</v>
      </c>
      <c r="M267" s="418" t="s">
        <v>1883</v>
      </c>
      <c r="N267" s="948" t="s">
        <v>1884</v>
      </c>
      <c r="O267" s="948" t="s">
        <v>221</v>
      </c>
      <c r="P267" s="951" t="s">
        <v>1891</v>
      </c>
      <c r="Q267" s="951" t="str">
        <f>+'5. Intervenciones UDT - AH'!F163</f>
        <v>Centros de salud y colegios implementados</v>
      </c>
      <c r="R267" s="405">
        <f>+'5. Intervenciones UDT - AH'!I163</f>
        <v>0</v>
      </c>
      <c r="S267" s="405">
        <f>+'5. Intervenciones UDT - AH'!J163</f>
        <v>7</v>
      </c>
      <c r="T267" s="405">
        <f>+'5. Intervenciones UDT - AH'!K163</f>
        <v>5</v>
      </c>
      <c r="U267" s="405">
        <f>+'5. Intervenciones UDT - AH'!L163</f>
        <v>3500000</v>
      </c>
      <c r="V267" s="403" t="str">
        <f>+'5. Intervenciones UDT - AH'!M163</f>
        <v>Construcción e implementación de centros educativos y postas medicas</v>
      </c>
      <c r="W267" s="403" t="str">
        <f>+'5. Intervenciones UDT - AH'!N163</f>
        <v>DRTyTC</v>
      </c>
      <c r="X267" s="588">
        <f>+'5. Intervenciones UDT - AH'!O163</f>
        <v>24500000</v>
      </c>
      <c r="Y267" s="588">
        <f>+Tabla1[[#This Row],[2025 Directo]]*(1+$Y$3)</f>
        <v>24757250</v>
      </c>
      <c r="Z267" s="588">
        <f>+'5. Intervenciones UDT - AH'!P163</f>
        <v>17500000</v>
      </c>
      <c r="AA267" s="588">
        <f>+Tabla1[[#This Row],[2030 Directo]]*(1+$Y$3)</f>
        <v>17683750</v>
      </c>
      <c r="AB267" s="588">
        <f>+'5. Intervenciones UDT - AH'!Q163</f>
        <v>4900000</v>
      </c>
      <c r="AC267" s="588">
        <f>+Tabla1[[#This Row],[Año 1 Cto Directo]]*(1+$Y$3)</f>
        <v>4951450</v>
      </c>
      <c r="AD267" s="588">
        <f>+'5. Intervenciones UDT - AH'!R163</f>
        <v>4900000</v>
      </c>
      <c r="AE267" s="588">
        <f>+Tabla1[[#This Row],[Año 2 Cto. Directo]]*(1+$Y$3)</f>
        <v>4951450</v>
      </c>
      <c r="AF267" s="588">
        <f>+'5. Intervenciones UDT - AH'!S163</f>
        <v>4900000</v>
      </c>
      <c r="AG267" s="588">
        <f>+Tabla1[[#This Row],[Año 3 Cto. Directo]]*(1+$Y$3)</f>
        <v>4951450</v>
      </c>
      <c r="AH267" s="588">
        <f>+'5. Intervenciones UDT - AH'!T163</f>
        <v>4900000</v>
      </c>
      <c r="AI267" s="588">
        <f>+Tabla1[[#This Row],[Año 4 Cto. Directo]]*(1+$Y$3)</f>
        <v>4951450</v>
      </c>
      <c r="AJ267" s="588">
        <f>+'5. Intervenciones UDT - AH'!U163</f>
        <v>4900000</v>
      </c>
      <c r="AK267" s="588">
        <f>+Tabla1[[#This Row],[Año 5 Cto. Directo]]*(1+$Y$3)</f>
        <v>4951450</v>
      </c>
      <c r="AL267" s="403">
        <f>+'5. Intervenciones UDT - AH'!V163</f>
        <v>0</v>
      </c>
      <c r="AM267" s="954"/>
      <c r="AN267" s="954" t="str">
        <f>+'5. Intervenciones UDT - AH'!X163</f>
        <v>X</v>
      </c>
      <c r="AO267" s="954"/>
      <c r="AP267" s="954"/>
      <c r="AQ267" s="954" t="str">
        <f>+'5. Intervenciones UDT - AH'!AA163</f>
        <v>RE</v>
      </c>
      <c r="AR267" s="954">
        <f>+'5. Intervenciones UDT - AH'!AB163</f>
        <v>3</v>
      </c>
      <c r="AS267" s="403">
        <f t="shared" si="1"/>
        <v>1</v>
      </c>
    </row>
    <row r="268" spans="1:45" s="195" customFormat="1" ht="15.8" hidden="1" customHeight="1" x14ac:dyDescent="0.3">
      <c r="A268" s="403"/>
      <c r="B268" s="403" t="str">
        <f>'5. Intervenciones UDT - AH'!$C$8</f>
        <v xml:space="preserve">UDT ALTO HUALLAGA </v>
      </c>
      <c r="C268" s="403" t="str">
        <f>'5. Intervenciones UDT - AH'!$C$156</f>
        <v>Intervenciones Transversales x UDT</v>
      </c>
      <c r="D268" s="404" t="str">
        <f>+'5. Intervenciones UDT - AH'!A164</f>
        <v>Programas de inversión pública</v>
      </c>
      <c r="E268" s="404" t="str">
        <f>+'5. Intervenciones UDT - AH'!C164</f>
        <v>3.9.6</v>
      </c>
      <c r="F268" s="403" t="str">
        <f>+'5. Intervenciones UDT - AH'!D164</f>
        <v>Programa de servicios públicos móviles</v>
      </c>
      <c r="G268" s="403" t="str">
        <f>+'5. Intervenciones UDT - AH'!E164</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v>
      </c>
      <c r="H268" s="948" t="s">
        <v>1857</v>
      </c>
      <c r="I268" s="946" t="s">
        <v>199</v>
      </c>
      <c r="J268" s="946" t="s">
        <v>2598</v>
      </c>
      <c r="K268" s="946" t="s">
        <v>2334</v>
      </c>
      <c r="L268" s="946" t="s">
        <v>201</v>
      </c>
      <c r="M268" s="418" t="s">
        <v>1883</v>
      </c>
      <c r="N268" s="948" t="s">
        <v>1884</v>
      </c>
      <c r="O268" s="948" t="s">
        <v>221</v>
      </c>
      <c r="P268" s="951" t="s">
        <v>1891</v>
      </c>
      <c r="Q268" s="951" t="str">
        <f>+'5. Intervenciones UDT - AH'!F164</f>
        <v>N° Campañas</v>
      </c>
      <c r="R268" s="405">
        <f>+'5. Intervenciones UDT - AH'!I164</f>
        <v>0</v>
      </c>
      <c r="S268" s="405">
        <f>+'5. Intervenciones UDT - AH'!J164</f>
        <v>149.11500000000001</v>
      </c>
      <c r="T268" s="405">
        <f>+'5. Intervenciones UDT - AH'!K164</f>
        <v>149.11500000000001</v>
      </c>
      <c r="U268" s="405">
        <f>+'5. Intervenciones UDT - AH'!L164</f>
        <v>5000</v>
      </c>
      <c r="V268" s="403" t="str">
        <f>+'5. Intervenciones UDT - AH'!M164</f>
        <v>El costo aproximado por cada campaña es de S/ 5,000.00,  el mismo que incluye los gastos de logística para que los responsables designados por cada sector puedan salir y realizar las campañas de asistencia social en cada localidad identificada en un diagnóstico previo que se deberá de realizar con la finalidad de tener un mapeo claro de los beneficiarios.</v>
      </c>
      <c r="W268" s="403" t="str">
        <f>+'5. Intervenciones UDT - AH'!N164</f>
        <v>GORESAM</v>
      </c>
      <c r="X268" s="588">
        <f>+'5. Intervenciones UDT - AH'!O164</f>
        <v>3727875</v>
      </c>
      <c r="Y268" s="588">
        <f>+Tabla1[[#This Row],[2025 Directo]]*(1+$Y$3)</f>
        <v>3767017.6875</v>
      </c>
      <c r="Z268" s="588">
        <f>+'5. Intervenciones UDT - AH'!P164</f>
        <v>3727875</v>
      </c>
      <c r="AA268" s="588">
        <f>+Tabla1[[#This Row],[2030 Directo]]*(1+$Y$3)</f>
        <v>3767017.6875</v>
      </c>
      <c r="AB268" s="588">
        <f>+'5. Intervenciones UDT - AH'!Q164</f>
        <v>745575</v>
      </c>
      <c r="AC268" s="588">
        <f>+Tabla1[[#This Row],[Año 1 Cto Directo]]*(1+$Y$3)</f>
        <v>753403.53749999998</v>
      </c>
      <c r="AD268" s="588">
        <f>+'5. Intervenciones UDT - AH'!R164</f>
        <v>745575</v>
      </c>
      <c r="AE268" s="588">
        <f>+Tabla1[[#This Row],[Año 2 Cto. Directo]]*(1+$Y$3)</f>
        <v>753403.53749999998</v>
      </c>
      <c r="AF268" s="588">
        <f>+'5. Intervenciones UDT - AH'!S164</f>
        <v>745575</v>
      </c>
      <c r="AG268" s="588">
        <f>+Tabla1[[#This Row],[Año 3 Cto. Directo]]*(1+$Y$3)</f>
        <v>753403.53749999998</v>
      </c>
      <c r="AH268" s="588">
        <f>+'5. Intervenciones UDT - AH'!T164</f>
        <v>745575</v>
      </c>
      <c r="AI268" s="588">
        <f>+Tabla1[[#This Row],[Año 4 Cto. Directo]]*(1+$Y$3)</f>
        <v>753403.53749999998</v>
      </c>
      <c r="AJ268" s="588">
        <f>+'5. Intervenciones UDT - AH'!U164</f>
        <v>745575</v>
      </c>
      <c r="AK268" s="588">
        <f>+Tabla1[[#This Row],[Año 5 Cto. Directo]]*(1+$Y$3)</f>
        <v>753403.53749999998</v>
      </c>
      <c r="AL268" s="403">
        <f>+'5. Intervenciones UDT - AH'!V164</f>
        <v>0</v>
      </c>
      <c r="AM268" s="954"/>
      <c r="AN268" s="954" t="str">
        <f>+'5. Intervenciones UDT - AH'!X164</f>
        <v>X</v>
      </c>
      <c r="AO268" s="954"/>
      <c r="AP268" s="954"/>
      <c r="AQ268" s="954" t="str">
        <f>+'5. Intervenciones UDT - AH'!AA164</f>
        <v>RE</v>
      </c>
      <c r="AR268" s="954">
        <f>+'5. Intervenciones UDT - AH'!AB164</f>
        <v>3</v>
      </c>
      <c r="AS268" s="403">
        <f t="shared" si="1"/>
        <v>1</v>
      </c>
    </row>
    <row r="269" spans="1:45" s="195" customFormat="1" ht="15.8" hidden="1" customHeight="1" x14ac:dyDescent="0.3">
      <c r="A269" s="403"/>
      <c r="B269" s="403" t="str">
        <f>'5. Intervenciones UDT - AH'!$C$8</f>
        <v xml:space="preserve">UDT ALTO HUALLAGA </v>
      </c>
      <c r="C269" s="403" t="str">
        <f>'5. Intervenciones UDT - AH'!$C$156</f>
        <v>Intervenciones Transversales x UDT</v>
      </c>
      <c r="D269" s="404" t="str">
        <f>+'5. Intervenciones UDT - AH'!A165</f>
        <v>Programas de inversión pública</v>
      </c>
      <c r="E269" s="404" t="str">
        <f>+'5. Intervenciones UDT - AH'!C165</f>
        <v>3.9.7</v>
      </c>
      <c r="F269" s="403" t="str">
        <f>+'5. Intervenciones UDT - AH'!D165</f>
        <v xml:space="preserve">Promoción Marca "San Martín Región" y "Aliados por la Conservación" </v>
      </c>
      <c r="G269" s="403" t="str">
        <f>+'5. Intervenciones UDT - AH'!E165</f>
        <v>Promoción al acceso de la marca con los productores que cumplan los criterios de elegibilidad solicitados por el programa, como una estrategia de ubicar mercados diferenciados para los productos provenientes de estas zonas.</v>
      </c>
      <c r="H269" s="948" t="s">
        <v>1857</v>
      </c>
      <c r="I269" s="946" t="s">
        <v>193</v>
      </c>
      <c r="J269" s="946" t="s">
        <v>2592</v>
      </c>
      <c r="K269" s="946" t="s">
        <v>2329</v>
      </c>
      <c r="L269" s="946" t="s">
        <v>197</v>
      </c>
      <c r="M269" s="418" t="s">
        <v>1876</v>
      </c>
      <c r="N269" s="948" t="s">
        <v>1862</v>
      </c>
      <c r="O269" s="948" t="s">
        <v>221</v>
      </c>
      <c r="P269" s="951" t="s">
        <v>1891</v>
      </c>
      <c r="Q269" s="951" t="str">
        <f>+'5. Intervenciones UDT - AH'!F165</f>
        <v>Organizaciones que acceden a la marca</v>
      </c>
      <c r="R269" s="405">
        <f>+'5. Intervenciones UDT - AH'!I165</f>
        <v>0</v>
      </c>
      <c r="S269" s="405">
        <f>+'5. Intervenciones UDT - AH'!J165</f>
        <v>25</v>
      </c>
      <c r="T269" s="405">
        <f>+'5. Intervenciones UDT - AH'!K165</f>
        <v>20</v>
      </c>
      <c r="U269" s="405">
        <f>+'5. Intervenciones UDT - AH'!L165</f>
        <v>3000</v>
      </c>
      <c r="V269" s="403" t="str">
        <f>+'5. Intervenciones UDT - AH'!M165</f>
        <v>El costo incluye: Una inspección anual anunciada,  elaboración de informe de inspección, administración y comunicación, certificación según los estándares de la marca.</v>
      </c>
      <c r="W269" s="403" t="str">
        <f>+'5. Intervenciones UDT - AH'!N165</f>
        <v>ARA</v>
      </c>
      <c r="X269" s="588">
        <f>+'5. Intervenciones UDT - AH'!O165</f>
        <v>375000</v>
      </c>
      <c r="Y269" s="588">
        <f>+Tabla1[[#This Row],[2025 Directo]]*(1+$Y$3)</f>
        <v>378937.5</v>
      </c>
      <c r="Z269" s="588">
        <f>+'5. Intervenciones UDT - AH'!P165</f>
        <v>300000</v>
      </c>
      <c r="AA269" s="588">
        <f>+Tabla1[[#This Row],[2030 Directo]]*(1+$Y$3)</f>
        <v>303150</v>
      </c>
      <c r="AB269" s="588">
        <f>+'5. Intervenciones UDT - AH'!Q165</f>
        <v>75000</v>
      </c>
      <c r="AC269" s="588">
        <f>+Tabla1[[#This Row],[Año 1 Cto Directo]]*(1+$Y$3)</f>
        <v>75787.5</v>
      </c>
      <c r="AD269" s="588">
        <f>+'5. Intervenciones UDT - AH'!R165</f>
        <v>75000</v>
      </c>
      <c r="AE269" s="588">
        <f>+Tabla1[[#This Row],[Año 2 Cto. Directo]]*(1+$Y$3)</f>
        <v>75787.5</v>
      </c>
      <c r="AF269" s="588">
        <f>+'5. Intervenciones UDT - AH'!S165</f>
        <v>75000</v>
      </c>
      <c r="AG269" s="588">
        <f>+Tabla1[[#This Row],[Año 3 Cto. Directo]]*(1+$Y$3)</f>
        <v>75787.5</v>
      </c>
      <c r="AH269" s="588">
        <f>+'5. Intervenciones UDT - AH'!T165</f>
        <v>75000</v>
      </c>
      <c r="AI269" s="588">
        <f>+Tabla1[[#This Row],[Año 4 Cto. Directo]]*(1+$Y$3)</f>
        <v>75787.5</v>
      </c>
      <c r="AJ269" s="588">
        <f>+'5. Intervenciones UDT - AH'!U165</f>
        <v>75000</v>
      </c>
      <c r="AK269" s="588">
        <f>+Tabla1[[#This Row],[Año 5 Cto. Directo]]*(1+$Y$3)</f>
        <v>75787.5</v>
      </c>
      <c r="AL269" s="407">
        <f>+'5. Intervenciones UDT - AH'!V165</f>
        <v>0</v>
      </c>
      <c r="AM269" s="954"/>
      <c r="AN269" s="954"/>
      <c r="AO269" s="954" t="str">
        <f>+'5. Intervenciones UDT - AH'!Y165</f>
        <v>X</v>
      </c>
      <c r="AP269" s="954"/>
      <c r="AQ269" s="954"/>
      <c r="AR269" s="954">
        <f>+'5. Intervenciones UDT - AH'!AB165</f>
        <v>3</v>
      </c>
      <c r="AS269" s="403">
        <f t="shared" si="1"/>
        <v>1</v>
      </c>
    </row>
    <row r="270" spans="1:45" s="195" customFormat="1" ht="15.8" hidden="1" customHeight="1" x14ac:dyDescent="0.3">
      <c r="A270" s="403"/>
      <c r="B270" s="403" t="s">
        <v>139</v>
      </c>
      <c r="C270" s="403" t="str">
        <f>'3.Intervenciones Transv. Region'!$C$6</f>
        <v>Intervenciones Transversales X Región</v>
      </c>
      <c r="D270" s="404" t="str">
        <f>+'3.Intervenciones Transv. Region'!A9</f>
        <v>Programas de inversión pública</v>
      </c>
      <c r="E270" s="404">
        <f>+'3.Intervenciones Transv. Region'!C9</f>
        <v>1</v>
      </c>
      <c r="F270" s="403" t="str">
        <f>+'3.Intervenciones Transv. Region'!D9</f>
        <v>Zonificación Agroecológica</v>
      </c>
      <c r="G270" s="403" t="str">
        <f>+'3.Intervenciones Transv. Region'!E9</f>
        <v xml:space="preserve">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v>
      </c>
      <c r="H270" s="948" t="s">
        <v>1857</v>
      </c>
      <c r="I270" s="946" t="s">
        <v>203</v>
      </c>
      <c r="J270" s="946" t="s">
        <v>2599</v>
      </c>
      <c r="K270" s="946" t="s">
        <v>2600</v>
      </c>
      <c r="L270" s="946" t="s">
        <v>204</v>
      </c>
      <c r="M270" s="418" t="s">
        <v>1892</v>
      </c>
      <c r="N270" s="948" t="s">
        <v>1887</v>
      </c>
      <c r="O270" s="948" t="s">
        <v>115</v>
      </c>
      <c r="P270" s="951" t="s">
        <v>1894</v>
      </c>
      <c r="Q270" s="951" t="str">
        <f>+'3.Intervenciones Transv. Region'!F9</f>
        <v>Plan de Ordenamiento Agroteritorial implementado</v>
      </c>
      <c r="R270" s="405">
        <f>+'3.Intervenciones Transv. Region'!I9</f>
        <v>1</v>
      </c>
      <c r="S270" s="405">
        <f>+'3.Intervenciones Transv. Region'!I9</f>
        <v>1</v>
      </c>
      <c r="T270" s="405">
        <f>+'3.Intervenciones Transv. Region'!J9</f>
        <v>0</v>
      </c>
      <c r="U270" s="405">
        <f>+'3.Intervenciones Transv. Region'!K9</f>
        <v>9082000</v>
      </c>
      <c r="V270" s="403" t="str">
        <f>+'3.Intervenciones Transv. Region'!L9</f>
        <v xml:space="preserve">Implementación de las actividades referidas al proyecto ZAE, asi mismo la contratación de dos profesionales para realizar el monitoreo de las estaciones metereologicas; seconsidera la compra de 77 estaciones para ser instaladas en cada distrito de la región, tambien se costea los gastos de mantenimiento de dichos equipos.  </v>
      </c>
      <c r="W270" s="403" t="str">
        <f>+'3.Intervenciones Transv. Region'!M9</f>
        <v>Drasam</v>
      </c>
      <c r="X270" s="588">
        <f>+'3.Intervenciones Transv. Region'!N9</f>
        <v>9082000</v>
      </c>
      <c r="Y270" s="588">
        <f>+Tabla1[[#This Row],[2025 Directo]]*(1+$Y$3)</f>
        <v>9177361</v>
      </c>
      <c r="Z270" s="588">
        <f>+'3.Intervenciones Transv. Region'!O9</f>
        <v>1635000</v>
      </c>
      <c r="AA270" s="588">
        <f>+Tabla1[[#This Row],[2030 Directo]]*(1+$Y$3)</f>
        <v>1652167.5</v>
      </c>
      <c r="AB270" s="588">
        <f>+'3.Intervenciones Transv. Region'!P9</f>
        <v>3374000</v>
      </c>
      <c r="AC270" s="588">
        <f>+Tabla1[[#This Row],[Año 1 Cto Directo]]*(1+$Y$3)</f>
        <v>3409427</v>
      </c>
      <c r="AD270" s="588">
        <f>+'3.Intervenciones Transv. Region'!Q9</f>
        <v>2527000</v>
      </c>
      <c r="AE270" s="588">
        <f>+Tabla1[[#This Row],[Año 2 Cto. Directo]]*(1+$Y$3)</f>
        <v>2553533.5</v>
      </c>
      <c r="AF270" s="588">
        <f>+'3.Intervenciones Transv. Region'!R9</f>
        <v>2527000</v>
      </c>
      <c r="AG270" s="588">
        <f>+Tabla1[[#This Row],[Año 3 Cto. Directo]]*(1+$Y$3)</f>
        <v>2553533.5</v>
      </c>
      <c r="AH270" s="588">
        <f>+'3.Intervenciones Transv. Region'!S9</f>
        <v>327000</v>
      </c>
      <c r="AI270" s="588">
        <f>+Tabla1[[#This Row],[Año 4 Cto. Directo]]*(1+$Y$3)</f>
        <v>330433.5</v>
      </c>
      <c r="AJ270" s="588">
        <f>+'3.Intervenciones Transv. Region'!T9</f>
        <v>327000</v>
      </c>
      <c r="AK270" s="588">
        <f>+Tabla1[[#This Row],[Año 5 Cto. Directo]]*(1+$Y$3)</f>
        <v>330433.5</v>
      </c>
      <c r="AL270" s="403">
        <f>+'3.Intervenciones Transv. Region'!U9</f>
        <v>0</v>
      </c>
      <c r="AM270" s="954"/>
      <c r="AN270" s="954" t="str">
        <f>+'3.Intervenciones Transv. Region'!W9</f>
        <v>X</v>
      </c>
      <c r="AO270" s="954"/>
      <c r="AP270" s="954"/>
      <c r="AQ270" s="954" t="str">
        <f>+'3.Intervenciones Transv. Region'!Z9</f>
        <v>RE</v>
      </c>
      <c r="AR270" s="954">
        <f>+'3.Intervenciones Transv. Region'!AA9</f>
        <v>3</v>
      </c>
      <c r="AS270" s="403">
        <f t="shared" si="1"/>
        <v>1</v>
      </c>
    </row>
    <row r="271" spans="1:45" s="195" customFormat="1" ht="15.8" hidden="1" customHeight="1" x14ac:dyDescent="0.3">
      <c r="A271" s="403"/>
      <c r="B271" s="403" t="s">
        <v>139</v>
      </c>
      <c r="C271" s="403" t="str">
        <f>'3.Intervenciones Transv. Region'!$C$6</f>
        <v>Intervenciones Transversales X Región</v>
      </c>
      <c r="D271" s="404" t="str">
        <f>+'3.Intervenciones Transv. Region'!A10</f>
        <v>Programas de inversión pública</v>
      </c>
      <c r="E271" s="404">
        <f>+'3.Intervenciones Transv. Region'!C10</f>
        <v>2</v>
      </c>
      <c r="F271" s="403" t="str">
        <f>+'3.Intervenciones Transv. Region'!D10</f>
        <v>Zonificación forestal, bosques sin categoría asignada, incluyendo ZOCREs actuales y propuestas.</v>
      </c>
      <c r="G271" s="403" t="str">
        <f>+'3.Intervenciones Transv. Region'!E10</f>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v>
      </c>
      <c r="H271" s="948" t="s">
        <v>1857</v>
      </c>
      <c r="I271" s="946" t="s">
        <v>203</v>
      </c>
      <c r="J271" s="946" t="s">
        <v>2599</v>
      </c>
      <c r="K271" s="946" t="s">
        <v>2600</v>
      </c>
      <c r="L271" s="946" t="s">
        <v>204</v>
      </c>
      <c r="M271" s="418" t="s">
        <v>1892</v>
      </c>
      <c r="N271" s="948" t="s">
        <v>1887</v>
      </c>
      <c r="O271" s="948" t="s">
        <v>115</v>
      </c>
      <c r="P271" s="951" t="s">
        <v>1894</v>
      </c>
      <c r="Q271" s="951" t="str">
        <f>+'3.Intervenciones Transv. Region'!F10</f>
        <v>Hectárea</v>
      </c>
      <c r="R271" s="405">
        <f>+'3.Intervenciones Transv. Region'!I10</f>
        <v>395356.07</v>
      </c>
      <c r="S271" s="405">
        <f>+'3.Intervenciones Transv. Region'!J10</f>
        <v>395356.07</v>
      </c>
      <c r="T271" s="405"/>
      <c r="U271" s="405">
        <f>+'3.Intervenciones Transv. Region'!K10</f>
        <v>16</v>
      </c>
      <c r="V271" s="403" t="str">
        <f>+'3.Intervenciones Transv. Region'!L10</f>
        <v>Para la implementación de las intervención será mecesario la contratación de especialistas para realizar las acciones que comtemplen dicha actividad. Gastos logísticos y trámites documentarios. Contratación de dos profesioales para agilizar procesos con sunarp.</v>
      </c>
      <c r="W271" s="403" t="str">
        <f>+'3.Intervenciones Transv. Region'!M10</f>
        <v>ARA</v>
      </c>
      <c r="X271" s="588">
        <f>+'3.Intervenciones Transv. Region'!N10</f>
        <v>6325697.1200000001</v>
      </c>
      <c r="Y271" s="588">
        <f>+Tabla1[[#This Row],[2025 Directo]]*(1+$Y$3)</f>
        <v>6392116.9397599995</v>
      </c>
      <c r="Z271" s="588">
        <f>+'3.Intervenciones Transv. Region'!O10</f>
        <v>6325697.1200000001</v>
      </c>
      <c r="AA271" s="588">
        <f>+Tabla1[[#This Row],[2030 Directo]]*(1+$Y$3)</f>
        <v>6392116.9397599995</v>
      </c>
      <c r="AB271" s="588">
        <f>+'3.Intervenciones Transv. Region'!P10</f>
        <v>1265139.4240000001</v>
      </c>
      <c r="AC271" s="588">
        <f>+Tabla1[[#This Row],[Año 1 Cto Directo]]*(1+$Y$3)</f>
        <v>1278423.3879520001</v>
      </c>
      <c r="AD271" s="588">
        <f>+'3.Intervenciones Transv. Region'!Q10</f>
        <v>1265139.4240000001</v>
      </c>
      <c r="AE271" s="588">
        <f>+Tabla1[[#This Row],[Año 2 Cto. Directo]]*(1+$Y$3)</f>
        <v>1278423.3879520001</v>
      </c>
      <c r="AF271" s="588">
        <f>+'3.Intervenciones Transv. Region'!R10</f>
        <v>1265139.4240000001</v>
      </c>
      <c r="AG271" s="588">
        <f>+Tabla1[[#This Row],[Año 3 Cto. Directo]]*(1+$Y$3)</f>
        <v>1278423.3879520001</v>
      </c>
      <c r="AH271" s="588">
        <f>+'3.Intervenciones Transv. Region'!S10</f>
        <v>1265139.4240000001</v>
      </c>
      <c r="AI271" s="588">
        <f>+Tabla1[[#This Row],[Año 4 Cto. Directo]]*(1+$Y$3)</f>
        <v>1278423.3879520001</v>
      </c>
      <c r="AJ271" s="588">
        <f>+'3.Intervenciones Transv. Region'!T10</f>
        <v>1265139.4240000001</v>
      </c>
      <c r="AK271" s="588">
        <f>+Tabla1[[#This Row],[Año 5 Cto. Directo]]*(1+$Y$3)</f>
        <v>1278423.3879520001</v>
      </c>
      <c r="AL271" s="403">
        <f>+'3.Intervenciones Transv. Region'!U10</f>
        <v>0</v>
      </c>
      <c r="AM271" s="954"/>
      <c r="AN271" s="954" t="str">
        <f>+'3.Intervenciones Transv. Region'!W10</f>
        <v>X</v>
      </c>
      <c r="AO271" s="954"/>
      <c r="AP271" s="954"/>
      <c r="AQ271" s="954"/>
      <c r="AR271" s="954">
        <f>+'3.Intervenciones Transv. Region'!AA10</f>
        <v>3</v>
      </c>
      <c r="AS271" s="403">
        <f t="shared" si="1"/>
        <v>1</v>
      </c>
    </row>
    <row r="272" spans="1:45" s="195" customFormat="1" ht="15.8" hidden="1" customHeight="1" x14ac:dyDescent="0.3">
      <c r="A272" s="403"/>
      <c r="B272" s="403" t="s">
        <v>139</v>
      </c>
      <c r="C272" s="403" t="str">
        <f>'3.Intervenciones Transv. Region'!$C$6</f>
        <v>Intervenciones Transversales X Región</v>
      </c>
      <c r="D272" s="404" t="str">
        <f>+'3.Intervenciones Transv. Region'!A11</f>
        <v>Programas de inversión pública</v>
      </c>
      <c r="E272" s="404">
        <f>+'3.Intervenciones Transv. Region'!C11</f>
        <v>3</v>
      </c>
      <c r="F272" s="403" t="str">
        <f>+'3.Intervenciones Transv. Region'!D11</f>
        <v>Promoción de actividad agrícola, pecuaria y acuícola adaptada al cambio climático.</v>
      </c>
      <c r="G272" s="403" t="str">
        <f>+'3.Intervenciones Transv. Region'!E11</f>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v>
      </c>
      <c r="H272" s="948" t="s">
        <v>1857</v>
      </c>
      <c r="I272" s="946" t="s">
        <v>193</v>
      </c>
      <c r="J272" s="946" t="s">
        <v>2601</v>
      </c>
      <c r="K272" s="946" t="s">
        <v>2602</v>
      </c>
      <c r="L272" s="946" t="s">
        <v>197</v>
      </c>
      <c r="M272" s="418" t="s">
        <v>1876</v>
      </c>
      <c r="N272" s="948" t="s">
        <v>1887</v>
      </c>
      <c r="O272" s="948" t="s">
        <v>115</v>
      </c>
      <c r="P272" s="951" t="s">
        <v>1894</v>
      </c>
      <c r="Q272" s="951" t="str">
        <f>+'3.Intervenciones Transv. Region'!F11</f>
        <v>Proyectos viables</v>
      </c>
      <c r="R272" s="405">
        <f>+'3.Intervenciones Transv. Region'!I11</f>
        <v>10</v>
      </c>
      <c r="S272" s="405">
        <f>+'3.Intervenciones Transv. Region'!J11</f>
        <v>15</v>
      </c>
      <c r="T272" s="405"/>
      <c r="U272" s="405">
        <f>+'3.Intervenciones Transv. Region'!K11</f>
        <v>6000000</v>
      </c>
      <c r="V272" s="403" t="str">
        <f>+'3.Intervenciones Transv. Region'!L11</f>
        <v>El costo es referencial para un proyecto agropecuario de acuerdo a las cadenas priorizadas, donde se consideran componentes como Asistencia Técnica, Fortalecimiento organizacional, promoción de mercados sostenibles, manejo ambiental, etc.</v>
      </c>
      <c r="W272" s="403" t="str">
        <f>+'3.Intervenciones Transv. Region'!M11</f>
        <v>Drasam, ARA, Dircetur, Direpro, GRDE</v>
      </c>
      <c r="X272" s="588">
        <f>+'3.Intervenciones Transv. Region'!N11</f>
        <v>60000000</v>
      </c>
      <c r="Y272" s="588">
        <f>+Tabla1[[#This Row],[2025 Directo]]*(1+$Y$3)</f>
        <v>60630000</v>
      </c>
      <c r="Z272" s="588">
        <f>+'3.Intervenciones Transv. Region'!O11</f>
        <v>90000000</v>
      </c>
      <c r="AA272" s="588">
        <f>+Tabla1[[#This Row],[2030 Directo]]*(1+$Y$3)</f>
        <v>90945000</v>
      </c>
      <c r="AB272" s="588">
        <f>+'3.Intervenciones Transv. Region'!P11</f>
        <v>12000000</v>
      </c>
      <c r="AC272" s="588">
        <f>+Tabla1[[#This Row],[Año 1 Cto Directo]]*(1+$Y$3)</f>
        <v>12126000</v>
      </c>
      <c r="AD272" s="588">
        <f>+'3.Intervenciones Transv. Region'!Q11</f>
        <v>12000000</v>
      </c>
      <c r="AE272" s="588">
        <f>+Tabla1[[#This Row],[Año 2 Cto. Directo]]*(1+$Y$3)</f>
        <v>12126000</v>
      </c>
      <c r="AF272" s="588">
        <f>+'3.Intervenciones Transv. Region'!R11</f>
        <v>12000000</v>
      </c>
      <c r="AG272" s="588">
        <f>+Tabla1[[#This Row],[Año 3 Cto. Directo]]*(1+$Y$3)</f>
        <v>12126000</v>
      </c>
      <c r="AH272" s="588">
        <f>+'3.Intervenciones Transv. Region'!S11</f>
        <v>12000000</v>
      </c>
      <c r="AI272" s="588">
        <f>+Tabla1[[#This Row],[Año 4 Cto. Directo]]*(1+$Y$3)</f>
        <v>12126000</v>
      </c>
      <c r="AJ272" s="588">
        <f>+'3.Intervenciones Transv. Region'!T11</f>
        <v>12000000</v>
      </c>
      <c r="AK272" s="588">
        <f>+Tabla1[[#This Row],[Año 5 Cto. Directo]]*(1+$Y$3)</f>
        <v>12126000</v>
      </c>
      <c r="AL272" s="403">
        <f>+'3.Intervenciones Transv. Region'!U11</f>
        <v>0</v>
      </c>
      <c r="AM272" s="954"/>
      <c r="AN272" s="954"/>
      <c r="AO272" s="954" t="str">
        <f>+'3.Intervenciones Transv. Region'!X11</f>
        <v>X</v>
      </c>
      <c r="AP272" s="954"/>
      <c r="AQ272" s="954" t="str">
        <f>+'3.Intervenciones Transv. Region'!Z11</f>
        <v>RE</v>
      </c>
      <c r="AR272" s="954">
        <f>+'3.Intervenciones Transv. Region'!AA11</f>
        <v>3</v>
      </c>
      <c r="AS272" s="403">
        <f t="shared" si="1"/>
        <v>1</v>
      </c>
    </row>
    <row r="273" spans="1:45" s="195" customFormat="1" ht="15.8" hidden="1" customHeight="1" x14ac:dyDescent="0.3">
      <c r="A273" s="403"/>
      <c r="B273" s="403" t="s">
        <v>139</v>
      </c>
      <c r="C273" s="403" t="str">
        <f>'3.Intervenciones Transv. Region'!$C$6</f>
        <v>Intervenciones Transversales X Región</v>
      </c>
      <c r="D273" s="404" t="str">
        <f>+'3.Intervenciones Transv. Region'!A12</f>
        <v>Programas de inversión privada</v>
      </c>
      <c r="E273" s="404">
        <f>+'3.Intervenciones Transv. Region'!C12</f>
        <v>4</v>
      </c>
      <c r="F273" s="403" t="str">
        <f>+'3.Intervenciones Transv. Region'!D12</f>
        <v>Aprovechamiento del recurso forestal maderable, provenientes de sistemas agroforestales sostenibles.</v>
      </c>
      <c r="G273" s="403" t="str">
        <f>+'3.Intervenciones Transv. Region'!E12</f>
        <v xml:space="preserve">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v>
      </c>
      <c r="H273" s="948" t="s">
        <v>1869</v>
      </c>
      <c r="I273" s="946" t="s">
        <v>203</v>
      </c>
      <c r="J273" s="946" t="s">
        <v>2599</v>
      </c>
      <c r="K273" s="946" t="s">
        <v>2600</v>
      </c>
      <c r="L273" s="946" t="s">
        <v>204</v>
      </c>
      <c r="M273" s="418" t="s">
        <v>1892</v>
      </c>
      <c r="N273" s="948" t="s">
        <v>1887</v>
      </c>
      <c r="O273" s="948" t="s">
        <v>115</v>
      </c>
      <c r="P273" s="951" t="s">
        <v>1894</v>
      </c>
      <c r="Q273" s="951" t="str">
        <f>+'3.Intervenciones Transv. Region'!F12</f>
        <v>Módulos implementados.</v>
      </c>
      <c r="R273" s="405">
        <f>+'3.Intervenciones Transv. Region'!I12</f>
        <v>10</v>
      </c>
      <c r="S273" s="405">
        <f>+'3.Intervenciones Transv. Region'!J12</f>
        <v>10</v>
      </c>
      <c r="T273" s="405"/>
      <c r="U273" s="405">
        <f>+'3.Intervenciones Transv. Region'!K12</f>
        <v>200000</v>
      </c>
      <c r="V273" s="403" t="str">
        <f>+'3.Intervenciones Transv. Region'!L12</f>
        <v>Implementación de maquinaria y equipos necesarios para el proceso y transformación de la madera.</v>
      </c>
      <c r="W273" s="403" t="str">
        <f>+'3.Intervenciones Transv. Region'!M12</f>
        <v>Ara, Serfor</v>
      </c>
      <c r="X273" s="588">
        <f>+'3.Intervenciones Transv. Region'!N12</f>
        <v>2000000</v>
      </c>
      <c r="Y273" s="588">
        <f>+Tabla1[[#This Row],[2025 Directo]]*(1+$Y$3)</f>
        <v>2021000</v>
      </c>
      <c r="Z273" s="588">
        <f>+'3.Intervenciones Transv. Region'!O12</f>
        <v>2000000</v>
      </c>
      <c r="AA273" s="588">
        <f>+Tabla1[[#This Row],[2030 Directo]]*(1+$Y$3)</f>
        <v>2021000</v>
      </c>
      <c r="AB273" s="588">
        <f>+'3.Intervenciones Transv. Region'!P12</f>
        <v>400000</v>
      </c>
      <c r="AC273" s="588">
        <f>+Tabla1[[#This Row],[Año 1 Cto Directo]]*(1+$Y$3)</f>
        <v>404200</v>
      </c>
      <c r="AD273" s="588">
        <f>+'3.Intervenciones Transv. Region'!Q12</f>
        <v>400000</v>
      </c>
      <c r="AE273" s="588">
        <f>+Tabla1[[#This Row],[Año 2 Cto. Directo]]*(1+$Y$3)</f>
        <v>404200</v>
      </c>
      <c r="AF273" s="588">
        <f>+'3.Intervenciones Transv. Region'!R12</f>
        <v>400000</v>
      </c>
      <c r="AG273" s="588">
        <f>+Tabla1[[#This Row],[Año 3 Cto. Directo]]*(1+$Y$3)</f>
        <v>404200</v>
      </c>
      <c r="AH273" s="588">
        <f>+'3.Intervenciones Transv. Region'!S12</f>
        <v>400000</v>
      </c>
      <c r="AI273" s="588">
        <f>+Tabla1[[#This Row],[Año 4 Cto. Directo]]*(1+$Y$3)</f>
        <v>404200</v>
      </c>
      <c r="AJ273" s="588">
        <f>+'3.Intervenciones Transv. Region'!T12</f>
        <v>400000</v>
      </c>
      <c r="AK273" s="588">
        <f>+Tabla1[[#This Row],[Año 5 Cto. Directo]]*(1+$Y$3)</f>
        <v>404200</v>
      </c>
      <c r="AL273" s="403">
        <f>+'3.Intervenciones Transv. Region'!U12</f>
        <v>0</v>
      </c>
      <c r="AM273" s="957" t="str">
        <f>+'3.Intervenciones Transv. Region'!V12</f>
        <v>X</v>
      </c>
      <c r="AN273" s="957"/>
      <c r="AO273" s="957"/>
      <c r="AP273" s="954"/>
      <c r="AQ273" s="954" t="str">
        <f>+'3.Intervenciones Transv. Region'!Z12</f>
        <v>RE</v>
      </c>
      <c r="AR273" s="954">
        <f>+'3.Intervenciones Transv. Region'!AA12</f>
        <v>2</v>
      </c>
      <c r="AS273" s="403">
        <f t="shared" si="1"/>
        <v>1</v>
      </c>
    </row>
    <row r="274" spans="1:45" s="195" customFormat="1" ht="15.8" hidden="1" customHeight="1" x14ac:dyDescent="0.3">
      <c r="A274" s="403"/>
      <c r="B274" s="403" t="s">
        <v>139</v>
      </c>
      <c r="C274" s="403" t="str">
        <f>'3.Intervenciones Transv. Region'!$C$6</f>
        <v>Intervenciones Transversales X Región</v>
      </c>
      <c r="D274" s="404" t="str">
        <f>+'3.Intervenciones Transv. Region'!A13</f>
        <v>Ingresos y Capital</v>
      </c>
      <c r="E274" s="404">
        <f>+'3.Intervenciones Transv. Region'!C13</f>
        <v>5</v>
      </c>
      <c r="F274" s="403" t="str">
        <f>+'3.Intervenciones Transv. Region'!D13</f>
        <v>Programa de incentivos a la restauración comunitaria con salvaguardas sociales y ambientales</v>
      </c>
      <c r="G274" s="403" t="str">
        <f>+'3.Intervenciones Transv. Region'!E13</f>
        <v>Implementar un programa de incentivos que podrán ser de asistencia técnica, ejecución de proyectos sociales u otras acciones que permitan mejorar las condiciones de vida de los productores que realicen acciones de restauración.</v>
      </c>
      <c r="H274" s="948" t="s">
        <v>1857</v>
      </c>
      <c r="I274" s="946" t="s">
        <v>203</v>
      </c>
      <c r="J274" s="946" t="s">
        <v>2599</v>
      </c>
      <c r="K274" s="946" t="s">
        <v>2600</v>
      </c>
      <c r="L274" s="946" t="s">
        <v>204</v>
      </c>
      <c r="M274" s="418" t="s">
        <v>1878</v>
      </c>
      <c r="N274" s="948" t="s">
        <v>1887</v>
      </c>
      <c r="O274" s="948" t="s">
        <v>115</v>
      </c>
      <c r="P274" s="951" t="s">
        <v>1894</v>
      </c>
      <c r="Q274" s="951" t="str">
        <f>+'3.Intervenciones Transv. Region'!F13</f>
        <v>Número de Organizaciones beneficiarias</v>
      </c>
      <c r="R274" s="405">
        <f>+'3.Intervenciones Transv. Region'!I13</f>
        <v>30</v>
      </c>
      <c r="S274" s="405">
        <f>+'3.Intervenciones Transv. Region'!J13</f>
        <v>20</v>
      </c>
      <c r="T274" s="405"/>
      <c r="U274" s="405">
        <f>+'3.Intervenciones Transv. Region'!K13</f>
        <v>100000</v>
      </c>
      <c r="V274" s="403" t="str">
        <f>+'3.Intervenciones Transv. Region'!L13</f>
        <v>Presupuesto que servirá para cubrir los gastos de los incentivos que se determinaran de acuerdo a la evaluación de los criterios correspondientes para los procesos de restauración.</v>
      </c>
      <c r="W274" s="403" t="str">
        <f>+'3.Intervenciones Transv. Region'!M13</f>
        <v>Drasam, ARA</v>
      </c>
      <c r="X274" s="588">
        <f>+'3.Intervenciones Transv. Region'!N13</f>
        <v>3000000</v>
      </c>
      <c r="Y274" s="588">
        <f>+Tabla1[[#This Row],[2025 Directo]]*(1+$Y$3)</f>
        <v>3031500</v>
      </c>
      <c r="Z274" s="588">
        <f>+'3.Intervenciones Transv. Region'!O13</f>
        <v>2000000</v>
      </c>
      <c r="AA274" s="588">
        <f>+Tabla1[[#This Row],[2030 Directo]]*(1+$Y$3)</f>
        <v>2021000</v>
      </c>
      <c r="AB274" s="588">
        <f>+'3.Intervenciones Transv. Region'!P13</f>
        <v>600000</v>
      </c>
      <c r="AC274" s="588">
        <f>+Tabla1[[#This Row],[Año 1 Cto Directo]]*(1+$Y$3)</f>
        <v>606300</v>
      </c>
      <c r="AD274" s="588">
        <f>+'3.Intervenciones Transv. Region'!Q13</f>
        <v>600000</v>
      </c>
      <c r="AE274" s="588">
        <f>+Tabla1[[#This Row],[Año 2 Cto. Directo]]*(1+$Y$3)</f>
        <v>606300</v>
      </c>
      <c r="AF274" s="588">
        <f>+'3.Intervenciones Transv. Region'!R13</f>
        <v>600000</v>
      </c>
      <c r="AG274" s="588">
        <f>+Tabla1[[#This Row],[Año 3 Cto. Directo]]*(1+$Y$3)</f>
        <v>606300</v>
      </c>
      <c r="AH274" s="588">
        <f>+'3.Intervenciones Transv. Region'!S13</f>
        <v>600000</v>
      </c>
      <c r="AI274" s="588">
        <f>+Tabla1[[#This Row],[Año 4 Cto. Directo]]*(1+$Y$3)</f>
        <v>606300</v>
      </c>
      <c r="AJ274" s="588">
        <f>+'3.Intervenciones Transv. Region'!T13</f>
        <v>600000</v>
      </c>
      <c r="AK274" s="588">
        <f>+Tabla1[[#This Row],[Año 5 Cto. Directo]]*(1+$Y$3)</f>
        <v>606300</v>
      </c>
      <c r="AL274" s="403">
        <f>+'3.Intervenciones Transv. Region'!U13</f>
        <v>0</v>
      </c>
      <c r="AM274" s="957"/>
      <c r="AN274" s="957"/>
      <c r="AO274" s="957" t="str">
        <f>+'3.Intervenciones Transv. Region'!X13</f>
        <v>X</v>
      </c>
      <c r="AP274" s="954"/>
      <c r="AQ274" s="954" t="str">
        <f>+'3.Intervenciones Transv. Region'!Z13</f>
        <v>RE</v>
      </c>
      <c r="AR274" s="954">
        <f>+'3.Intervenciones Transv. Region'!AA13</f>
        <v>3</v>
      </c>
      <c r="AS274" s="403">
        <f t="shared" si="1"/>
        <v>1</v>
      </c>
    </row>
    <row r="275" spans="1:45" s="195" customFormat="1" ht="15.8" hidden="1" customHeight="1" x14ac:dyDescent="0.3">
      <c r="A275" s="403"/>
      <c r="B275" s="403" t="s">
        <v>139</v>
      </c>
      <c r="C275" s="403" t="str">
        <f>'3.Intervenciones Transv. Region'!$C$6</f>
        <v>Intervenciones Transversales X Región</v>
      </c>
      <c r="D275" s="404" t="str">
        <f>+'3.Intervenciones Transv. Region'!A14</f>
        <v>Ingresos y Capital</v>
      </c>
      <c r="E275" s="404">
        <f>+'3.Intervenciones Transv. Region'!C14</f>
        <v>6</v>
      </c>
      <c r="F275" s="403" t="str">
        <f>+'3.Intervenciones Transv. Region'!D14</f>
        <v>Implementación del FONDESAM</v>
      </c>
      <c r="G275" s="403" t="str">
        <f>+'3.Intervenciones Transv. Region'!E14</f>
        <v>Implementar los lineamientos finales para poner en vigencia el fondo de garantía de 5 millones de soles, para beneficiar a productores agropecuarios forestales organizados y no organizados que cumplan los atributos de la Marca certificadora “San Martín Región” y los propios requisitos que se establezcan en la directiva del fondo el cual será elaborado por el Gobierno Regional de San Martín en coordinación con la institución que administrará dichos fondos (COFIDE). Dentro de la directiva para la implementación del FONDESAM, se incorporará los mecanismos de tasas preferenciales para los créditos orientados a la innovación (Hoja de ruta del FONDESAM con el beneficiario). a financiar impactos en la cadena de producción.</v>
      </c>
      <c r="H275" s="948" t="s">
        <v>1857</v>
      </c>
      <c r="I275" s="946" t="s">
        <v>193</v>
      </c>
      <c r="J275" s="946" t="s">
        <v>2593</v>
      </c>
      <c r="K275" s="946" t="s">
        <v>2330</v>
      </c>
      <c r="L275" s="946" t="s">
        <v>195</v>
      </c>
      <c r="M275" s="418" t="s">
        <v>1871</v>
      </c>
      <c r="N275" s="948" t="s">
        <v>1887</v>
      </c>
      <c r="O275" s="948" t="s">
        <v>115</v>
      </c>
      <c r="P275" s="951" t="s">
        <v>1894</v>
      </c>
      <c r="Q275" s="951" t="str">
        <f>+'3.Intervenciones Transv. Region'!F14</f>
        <v>Consultoría</v>
      </c>
      <c r="R275" s="405">
        <f>+'3.Intervenciones Transv. Region'!I14</f>
        <v>1</v>
      </c>
      <c r="S275" s="405">
        <f>+'3.Intervenciones Transv. Region'!I14</f>
        <v>1</v>
      </c>
      <c r="T275" s="405">
        <f>+'3.Intervenciones Transv. Region'!J14</f>
        <v>0</v>
      </c>
      <c r="U275" s="405">
        <f>+'3.Intervenciones Transv. Region'!K14</f>
        <v>100000</v>
      </c>
      <c r="V275" s="403" t="str">
        <f>+'3.Intervenciones Transv. Region'!L14</f>
        <v xml:space="preserve">Ejecución de informes de sustento para la Gerencia General del GRSM, consolidación del proceso de modificación del convenio entre el GRSM y COFIDE. Gastos logísticos, administrativos y contratación de especialistas y asesores para culminar el proceso. </v>
      </c>
      <c r="W275" s="403" t="str">
        <f>+'3.Intervenciones Transv. Region'!M14</f>
        <v>GRDE</v>
      </c>
      <c r="X275" s="588">
        <f>+'3.Intervenciones Transv. Region'!N14</f>
        <v>100000</v>
      </c>
      <c r="Y275" s="588">
        <f>+Tabla1[[#This Row],[2025 Directo]]*(1+$Y$3)</f>
        <v>101050</v>
      </c>
      <c r="Z275" s="588">
        <f>+'3.Intervenciones Transv. Region'!O14</f>
        <v>0</v>
      </c>
      <c r="AA275" s="588">
        <f>+Tabla1[[#This Row],[2030 Directo]]*(1+$Y$3)</f>
        <v>0</v>
      </c>
      <c r="AB275" s="588">
        <f>+'3.Intervenciones Transv. Region'!P14</f>
        <v>100000</v>
      </c>
      <c r="AC275" s="588">
        <f>+Tabla1[[#This Row],[Año 1 Cto Directo]]*(1+$Y$3)</f>
        <v>101050</v>
      </c>
      <c r="AD275" s="588">
        <f>+'3.Intervenciones Transv. Region'!Q14</f>
        <v>0</v>
      </c>
      <c r="AE275" s="588">
        <f>+Tabla1[[#This Row],[Año 2 Cto. Directo]]*(1+$Y$3)</f>
        <v>0</v>
      </c>
      <c r="AF275" s="588">
        <f>+'3.Intervenciones Transv. Region'!R14</f>
        <v>0</v>
      </c>
      <c r="AG275" s="588">
        <f>+Tabla1[[#This Row],[Año 3 Cto. Directo]]*(1+$Y$3)</f>
        <v>0</v>
      </c>
      <c r="AH275" s="588">
        <f>+'3.Intervenciones Transv. Region'!S14</f>
        <v>0</v>
      </c>
      <c r="AI275" s="588">
        <f>+Tabla1[[#This Row],[Año 4 Cto. Directo]]*(1+$Y$3)</f>
        <v>0</v>
      </c>
      <c r="AJ275" s="588">
        <f>+'3.Intervenciones Transv. Region'!T14</f>
        <v>0</v>
      </c>
      <c r="AK275" s="588">
        <f>+Tabla1[[#This Row],[Año 5 Cto. Directo]]*(1+$Y$3)</f>
        <v>0</v>
      </c>
      <c r="AL275" s="403">
        <f>+'3.Intervenciones Transv. Region'!U14</f>
        <v>0</v>
      </c>
      <c r="AM275" s="957"/>
      <c r="AN275" s="957"/>
      <c r="AO275" s="957" t="s">
        <v>148</v>
      </c>
      <c r="AP275" s="954"/>
      <c r="AQ275" s="954" t="str">
        <f>+'3.Intervenciones Transv. Region'!Z14</f>
        <v>RE</v>
      </c>
      <c r="AR275" s="954">
        <f>+'3.Intervenciones Transv. Region'!AA14</f>
        <v>3</v>
      </c>
      <c r="AS275" s="403">
        <f t="shared" si="1"/>
        <v>1</v>
      </c>
    </row>
    <row r="276" spans="1:45" s="195" customFormat="1" ht="15.8" hidden="1" customHeight="1" x14ac:dyDescent="0.3">
      <c r="A276" s="403"/>
      <c r="B276" s="403" t="s">
        <v>139</v>
      </c>
      <c r="C276" s="403" t="str">
        <f>'3.Intervenciones Transv. Region'!$C$6</f>
        <v>Intervenciones Transversales X Región</v>
      </c>
      <c r="D276" s="404" t="str">
        <f>+'3.Intervenciones Transv. Region'!A15</f>
        <v>Programas de inversión pública</v>
      </c>
      <c r="E276" s="404">
        <f>+'3.Intervenciones Transv. Region'!C15</f>
        <v>7</v>
      </c>
      <c r="F276" s="403" t="str">
        <f>+'3.Intervenciones Transv. Region'!D15</f>
        <v>Programa de Gestión Empresarial</v>
      </c>
      <c r="G276" s="403" t="str">
        <f>+'3.Intervenciones Transv. Region'!E15</f>
        <v xml:space="preserve">Implementar un programa para productores líderes, contemplando módulos como: Educación Financiera dirigido a pequeños y medianos productores del sector rural, Costos de producción, Productos y servicios financieros, ahorro, capital semilla,  endeudamiento, gestion empresarial, para mejorar la prodcutividad y competitividad. </v>
      </c>
      <c r="H276" s="948" t="s">
        <v>1857</v>
      </c>
      <c r="I276" s="946" t="s">
        <v>193</v>
      </c>
      <c r="J276" s="946" t="s">
        <v>2593</v>
      </c>
      <c r="K276" s="946" t="s">
        <v>2330</v>
      </c>
      <c r="L276" s="946" t="s">
        <v>198</v>
      </c>
      <c r="M276" s="418" t="s">
        <v>1874</v>
      </c>
      <c r="N276" s="948" t="s">
        <v>1887</v>
      </c>
      <c r="O276" s="948" t="s">
        <v>115</v>
      </c>
      <c r="P276" s="951" t="s">
        <v>1894</v>
      </c>
      <c r="Q276" s="951" t="str">
        <f>+'3.Intervenciones Transv. Region'!F15</f>
        <v>Especialistas</v>
      </c>
      <c r="R276" s="405">
        <f>+'3.Intervenciones Transv. Region'!I15</f>
        <v>20</v>
      </c>
      <c r="S276" s="405">
        <f>+'3.Intervenciones Transv. Region'!J15</f>
        <v>20</v>
      </c>
      <c r="T276" s="405"/>
      <c r="U276" s="405">
        <f>+'3.Intervenciones Transv. Region'!K15</f>
        <v>4000</v>
      </c>
      <c r="V276" s="403" t="str">
        <f>+'3.Intervenciones Transv. Region'!L15</f>
        <v>Contratación de profesionales a nivel regional para ejecutar acciones de enseñanza financiera a los productores agropecuarios organizados y no organizados.</v>
      </c>
      <c r="W276" s="403" t="str">
        <f>+'3.Intervenciones Transv. Region'!M15</f>
        <v>GRDE</v>
      </c>
      <c r="X276" s="588">
        <f>+'3.Intervenciones Transv. Region'!N15</f>
        <v>4800000</v>
      </c>
      <c r="Y276" s="588">
        <f>+Tabla1[[#This Row],[2025 Directo]]*(1+$Y$3)</f>
        <v>4850400</v>
      </c>
      <c r="Z276" s="588">
        <f>+'3.Intervenciones Transv. Region'!O15</f>
        <v>4800000</v>
      </c>
      <c r="AA276" s="588">
        <f>+Tabla1[[#This Row],[2030 Directo]]*(1+$Y$3)</f>
        <v>4850400</v>
      </c>
      <c r="AB276" s="588">
        <f>+'3.Intervenciones Transv. Region'!P15</f>
        <v>960000</v>
      </c>
      <c r="AC276" s="588">
        <f>+Tabla1[[#This Row],[Año 1 Cto Directo]]*(1+$Y$3)</f>
        <v>970080</v>
      </c>
      <c r="AD276" s="588">
        <f>+'3.Intervenciones Transv. Region'!Q15</f>
        <v>960000</v>
      </c>
      <c r="AE276" s="588">
        <f>+Tabla1[[#This Row],[Año 2 Cto. Directo]]*(1+$Y$3)</f>
        <v>970080</v>
      </c>
      <c r="AF276" s="588">
        <f>+'3.Intervenciones Transv. Region'!R15</f>
        <v>960000</v>
      </c>
      <c r="AG276" s="588">
        <f>+Tabla1[[#This Row],[Año 3 Cto. Directo]]*(1+$Y$3)</f>
        <v>970080</v>
      </c>
      <c r="AH276" s="588">
        <f>+'3.Intervenciones Transv. Region'!S15</f>
        <v>960000</v>
      </c>
      <c r="AI276" s="588">
        <f>+Tabla1[[#This Row],[Año 4 Cto. Directo]]*(1+$Y$3)</f>
        <v>970080</v>
      </c>
      <c r="AJ276" s="588">
        <f>+'3.Intervenciones Transv. Region'!T15</f>
        <v>960000</v>
      </c>
      <c r="AK276" s="588">
        <f>+Tabla1[[#This Row],[Año 5 Cto. Directo]]*(1+$Y$3)</f>
        <v>970080</v>
      </c>
      <c r="AL276" s="403">
        <f>+'3.Intervenciones Transv. Region'!U15</f>
        <v>0</v>
      </c>
      <c r="AM276" s="954"/>
      <c r="AN276" s="954"/>
      <c r="AO276" s="954" t="str">
        <f>+'3.Intervenciones Transv. Region'!X15</f>
        <v>X</v>
      </c>
      <c r="AP276" s="954"/>
      <c r="AQ276" s="954" t="str">
        <f>+'3.Intervenciones Transv. Region'!Z15</f>
        <v>RE</v>
      </c>
      <c r="AR276" s="954">
        <f>+'3.Intervenciones Transv. Region'!AA15</f>
        <v>2</v>
      </c>
      <c r="AS276" s="403">
        <f t="shared" si="1"/>
        <v>1</v>
      </c>
    </row>
    <row r="277" spans="1:45" s="195" customFormat="1" ht="15.8" hidden="1" customHeight="1" x14ac:dyDescent="0.3">
      <c r="A277" s="403"/>
      <c r="B277" s="403" t="s">
        <v>139</v>
      </c>
      <c r="C277" s="403" t="str">
        <f>'3.Intervenciones Transv. Region'!$C$6</f>
        <v>Intervenciones Transversales X Región</v>
      </c>
      <c r="D277" s="404" t="str">
        <f>+'3.Intervenciones Transv. Region'!A16</f>
        <v>Programas de inversión pública</v>
      </c>
      <c r="E277" s="404">
        <f>+'3.Intervenciones Transv. Region'!C16</f>
        <v>8</v>
      </c>
      <c r="F277" s="403" t="str">
        <f>+'3.Intervenciones Transv. Region'!D16</f>
        <v>Implementación de la "Marca San Martín Región"</v>
      </c>
      <c r="G277" s="403" t="str">
        <f>+'3.Intervenciones Transv. Region'!E16</f>
        <v>Implementar los lineamientos finales de la Marca Certificadora "San Martín Región", asignándole un presupuesto y equipo técnico para poner en vigencia esta herramienta que busca facilitar el acceso a mercados a empresas de los diferentes sectores (agrícola, pecuario, acuícola, apícola, biocomercio, y otros) de la región. Promoción y articulación a mercados diferenciados y  nichos de mercados de alto valor con atributos  de la marca San Martín ( Bajo en emisiones, no vinculado a actividades ilegales, Innovadores y con estándares de calidad). La búsqueda y diversificación de mercados a través de misiones comerciales nacionales e internacionales, con estrategias difernciadas para productos tradicionalmente vinculados a la deforestación. Ejemplo Palma Aceitera.</v>
      </c>
      <c r="H277" s="948" t="s">
        <v>1857</v>
      </c>
      <c r="I277" s="946" t="s">
        <v>193</v>
      </c>
      <c r="J277" s="946" t="s">
        <v>2601</v>
      </c>
      <c r="K277" s="946" t="s">
        <v>2602</v>
      </c>
      <c r="L277" s="946" t="s">
        <v>197</v>
      </c>
      <c r="M277" s="418" t="s">
        <v>1892</v>
      </c>
      <c r="N277" s="948" t="s">
        <v>1887</v>
      </c>
      <c r="O277" s="948" t="s">
        <v>115</v>
      </c>
      <c r="P277" s="951" t="s">
        <v>1894</v>
      </c>
      <c r="Q277" s="951" t="str">
        <f>+'3.Intervenciones Transv. Region'!F16</f>
        <v>Consultoría</v>
      </c>
      <c r="R277" s="405">
        <f>+'3.Intervenciones Transv. Region'!I16</f>
        <v>1</v>
      </c>
      <c r="S277" s="405">
        <f>+'3.Intervenciones Transv. Region'!I16</f>
        <v>1</v>
      </c>
      <c r="T277" s="405">
        <f>+'3.Intervenciones Transv. Region'!J16</f>
        <v>0</v>
      </c>
      <c r="U277" s="405">
        <f>+'3.Intervenciones Transv. Region'!K16</f>
        <v>100000</v>
      </c>
      <c r="V277" s="403" t="str">
        <f>+'3.Intervenciones Transv. Region'!L16</f>
        <v>Contratación de profesionales para culminar la descripción de los atributos y criterios priorizados, que permitan la operatividad de la marca certificadora "San Martín Región".</v>
      </c>
      <c r="W277" s="403" t="str">
        <f>+'3.Intervenciones Transv. Region'!M16</f>
        <v>GRDE, Dircetur</v>
      </c>
      <c r="X277" s="588">
        <f>+'3.Intervenciones Transv. Region'!N16</f>
        <v>100000</v>
      </c>
      <c r="Y277" s="588">
        <f>+Tabla1[[#This Row],[2025 Directo]]*(1+$Y$3)</f>
        <v>101050</v>
      </c>
      <c r="Z277" s="588">
        <f>+'3.Intervenciones Transv. Region'!O16</f>
        <v>0</v>
      </c>
      <c r="AA277" s="588">
        <f>+Tabla1[[#This Row],[2030 Directo]]*(1+$Y$3)</f>
        <v>0</v>
      </c>
      <c r="AB277" s="588">
        <f>+'3.Intervenciones Transv. Region'!P16</f>
        <v>100000</v>
      </c>
      <c r="AC277" s="588">
        <f>+Tabla1[[#This Row],[Año 1 Cto Directo]]*(1+$Y$3)</f>
        <v>101050</v>
      </c>
      <c r="AD277" s="588">
        <f>+'3.Intervenciones Transv. Region'!Q16</f>
        <v>0</v>
      </c>
      <c r="AE277" s="588">
        <f>+Tabla1[[#This Row],[Año 2 Cto. Directo]]*(1+$Y$3)</f>
        <v>0</v>
      </c>
      <c r="AF277" s="588">
        <f>+'3.Intervenciones Transv. Region'!R16</f>
        <v>0</v>
      </c>
      <c r="AG277" s="588">
        <f>+Tabla1[[#This Row],[Año 3 Cto. Directo]]*(1+$Y$3)</f>
        <v>0</v>
      </c>
      <c r="AH277" s="588">
        <f>+'3.Intervenciones Transv. Region'!S16</f>
        <v>0</v>
      </c>
      <c r="AI277" s="588">
        <f>+Tabla1[[#This Row],[Año 4 Cto. Directo]]*(1+$Y$3)</f>
        <v>0</v>
      </c>
      <c r="AJ277" s="588">
        <f>+'3.Intervenciones Transv. Region'!T16</f>
        <v>0</v>
      </c>
      <c r="AK277" s="588">
        <f>+Tabla1[[#This Row],[Año 5 Cto. Directo]]*(1+$Y$3)</f>
        <v>0</v>
      </c>
      <c r="AL277" s="403">
        <f>+'3.Intervenciones Transv. Region'!U16</f>
        <v>0</v>
      </c>
      <c r="AM277" s="957" t="str">
        <f>+'3.Intervenciones Transv. Region'!V16</f>
        <v>X</v>
      </c>
      <c r="AN277" s="957"/>
      <c r="AO277" s="957"/>
      <c r="AP277" s="954"/>
      <c r="AQ277" s="954"/>
      <c r="AR277" s="954">
        <f>+'3.Intervenciones Transv. Region'!AA16</f>
        <v>2</v>
      </c>
      <c r="AS277" s="403">
        <f t="shared" si="1"/>
        <v>1</v>
      </c>
    </row>
    <row r="278" spans="1:45" s="195" customFormat="1" ht="15.8" hidden="1" customHeight="1" x14ac:dyDescent="0.3">
      <c r="A278" s="403"/>
      <c r="B278" s="403" t="s">
        <v>139</v>
      </c>
      <c r="C278" s="403" t="str">
        <f>'3.Intervenciones Transv. Region'!$C$6</f>
        <v>Intervenciones Transversales X Región</v>
      </c>
      <c r="D278" s="404" t="str">
        <f>+'3.Intervenciones Transv. Region'!A17</f>
        <v>Programas de inversión pública</v>
      </c>
      <c r="E278" s="404">
        <f>+'3.Intervenciones Transv. Region'!C17</f>
        <v>9</v>
      </c>
      <c r="F278" s="403" t="str">
        <f>+'3.Intervenciones Transv. Region'!D17</f>
        <v>Fortalecimiento de la equidad de género y poblaciones vulnerables</v>
      </c>
      <c r="G278" s="403" t="str">
        <f>+'3.Intervenciones Transv. Region'!E17</f>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v>
      </c>
      <c r="H278" s="948" t="s">
        <v>1857</v>
      </c>
      <c r="I278" s="946" t="s">
        <v>199</v>
      </c>
      <c r="J278" s="946" t="s">
        <v>2603</v>
      </c>
      <c r="K278" s="946" t="s">
        <v>2604</v>
      </c>
      <c r="L278" s="946" t="s">
        <v>201</v>
      </c>
      <c r="M278" s="418" t="s">
        <v>1892</v>
      </c>
      <c r="N278" s="948" t="s">
        <v>1887</v>
      </c>
      <c r="O278" s="948" t="s">
        <v>115</v>
      </c>
      <c r="P278" s="951" t="s">
        <v>1894</v>
      </c>
      <c r="Q278" s="951" t="str">
        <f>+'3.Intervenciones Transv. Region'!F17</f>
        <v>Centros Informativos implementados</v>
      </c>
      <c r="R278" s="405">
        <f>+'3.Intervenciones Transv. Region'!I17</f>
        <v>50</v>
      </c>
      <c r="S278" s="405">
        <f>+'3.Intervenciones Transv. Region'!J17</f>
        <v>50</v>
      </c>
      <c r="T278" s="405"/>
      <c r="U278" s="405">
        <f>+'3.Intervenciones Transv. Region'!K17</f>
        <v>5000</v>
      </c>
      <c r="V278" s="403" t="str">
        <f>+'3.Intervenciones Transv. Region'!L17</f>
        <v xml:space="preserve">Se contratará personal adecuado para brindar orientación a la población en situación de vulnerabilidad, así mismo la implementación de los centros informativos con material divulgativo y promociones radiales. </v>
      </c>
      <c r="W278" s="403" t="str">
        <f>+'3.Intervenciones Transv. Region'!M17</f>
        <v>GRDS</v>
      </c>
      <c r="X278" s="588">
        <f>+'3.Intervenciones Transv. Region'!N17</f>
        <v>1250000</v>
      </c>
      <c r="Y278" s="588">
        <f>+Tabla1[[#This Row],[2025 Directo]]*(1+$Y$3)</f>
        <v>1263125</v>
      </c>
      <c r="Z278" s="588">
        <f>+'3.Intervenciones Transv. Region'!O17</f>
        <v>1250000</v>
      </c>
      <c r="AA278" s="588">
        <f>+Tabla1[[#This Row],[2030 Directo]]*(1+$Y$3)</f>
        <v>1263125</v>
      </c>
      <c r="AB278" s="588">
        <f>+'3.Intervenciones Transv. Region'!P17</f>
        <v>250000</v>
      </c>
      <c r="AC278" s="588">
        <f>+Tabla1[[#This Row],[Año 1 Cto Directo]]*(1+$Y$3)</f>
        <v>252625</v>
      </c>
      <c r="AD278" s="588">
        <f>+'3.Intervenciones Transv. Region'!Q17</f>
        <v>250000</v>
      </c>
      <c r="AE278" s="588">
        <f>+Tabla1[[#This Row],[Año 2 Cto. Directo]]*(1+$Y$3)</f>
        <v>252625</v>
      </c>
      <c r="AF278" s="588">
        <f>+'3.Intervenciones Transv. Region'!R17</f>
        <v>250000</v>
      </c>
      <c r="AG278" s="588">
        <f>+Tabla1[[#This Row],[Año 3 Cto. Directo]]*(1+$Y$3)</f>
        <v>252625</v>
      </c>
      <c r="AH278" s="588">
        <f>+'3.Intervenciones Transv. Region'!S17</f>
        <v>250000</v>
      </c>
      <c r="AI278" s="588">
        <f>+Tabla1[[#This Row],[Año 4 Cto. Directo]]*(1+$Y$3)</f>
        <v>252625</v>
      </c>
      <c r="AJ278" s="588">
        <f>+'3.Intervenciones Transv. Region'!T17</f>
        <v>250000</v>
      </c>
      <c r="AK278" s="588">
        <f>+Tabla1[[#This Row],[Año 5 Cto. Directo]]*(1+$Y$3)</f>
        <v>252625</v>
      </c>
      <c r="AL278" s="403">
        <f>+'3.Intervenciones Transv. Region'!U17</f>
        <v>0</v>
      </c>
      <c r="AM278" s="954"/>
      <c r="AN278" s="954" t="str">
        <f>+'3.Intervenciones Transv. Region'!W17</f>
        <v>X</v>
      </c>
      <c r="AO278" s="954"/>
      <c r="AP278" s="954"/>
      <c r="AQ278" s="954" t="str">
        <f>+'3.Intervenciones Transv. Region'!Z17</f>
        <v>RE</v>
      </c>
      <c r="AR278" s="954">
        <f>+'3.Intervenciones Transv. Region'!AA17</f>
        <v>2</v>
      </c>
      <c r="AS278" s="403">
        <f t="shared" si="1"/>
        <v>1</v>
      </c>
    </row>
    <row r="279" spans="1:45" s="195" customFormat="1" ht="15.8" hidden="1" customHeight="1" x14ac:dyDescent="0.3">
      <c r="A279" s="403"/>
      <c r="B279" s="403" t="s">
        <v>139</v>
      </c>
      <c r="C279" s="403" t="str">
        <f>'3.Intervenciones Transv. Region'!$C$6</f>
        <v>Intervenciones Transversales X Región</v>
      </c>
      <c r="D279" s="404" t="str">
        <f>+'3.Intervenciones Transv. Region'!A18</f>
        <v>Programas de inversión privada</v>
      </c>
      <c r="E279" s="404">
        <f>+'3.Intervenciones Transv. Region'!C18</f>
        <v>10</v>
      </c>
      <c r="F279" s="403" t="str">
        <f>+'3.Intervenciones Transv. Region'!D18</f>
        <v>Programa de emprendimiento rural juvenil, para promover el empalme generacional.</v>
      </c>
      <c r="G279" s="403" t="str">
        <f>+'3.Intervenciones Transv. Region'!E18</f>
        <v>Financiamiento de emprendimientos rurales juveniles para incentivar el empalme generacional y el empleo formal juvenil (incluye fondo de capital semilla para emprendimientos). Promover y financiar emprendimientos orientados a la reducción de emisiones.</v>
      </c>
      <c r="H279" s="948" t="s">
        <v>1857</v>
      </c>
      <c r="I279" s="946" t="s">
        <v>203</v>
      </c>
      <c r="J279" s="946" t="s">
        <v>2605</v>
      </c>
      <c r="K279" s="946" t="s">
        <v>2606</v>
      </c>
      <c r="L279" s="946" t="s">
        <v>205</v>
      </c>
      <c r="M279" s="418" t="s">
        <v>1881</v>
      </c>
      <c r="N279" s="948" t="s">
        <v>1887</v>
      </c>
      <c r="O279" s="948" t="s">
        <v>115</v>
      </c>
      <c r="P279" s="951" t="s">
        <v>1894</v>
      </c>
      <c r="Q279" s="951" t="str">
        <f>+'3.Intervenciones Transv. Region'!F18</f>
        <v>Planes de negocios</v>
      </c>
      <c r="R279" s="405">
        <f>+'3.Intervenciones Transv. Region'!I18</f>
        <v>250</v>
      </c>
      <c r="S279" s="405">
        <f>+'3.Intervenciones Transv. Region'!J18</f>
        <v>250</v>
      </c>
      <c r="T279" s="405"/>
      <c r="U279" s="405">
        <f>+'3.Intervenciones Transv. Region'!K18</f>
        <v>30000</v>
      </c>
      <c r="V279" s="403" t="str">
        <f>+'3.Intervenciones Transv. Region'!L18</f>
        <v>El presupuesto hace referencia a la implementación de planes de negocios agropecuarios, para cubrir gastos como, adquisición de semillas, materiales o equipos que hagan posible el desarrollo de los emprendimientos rurales juveniles.</v>
      </c>
      <c r="W279" s="403" t="str">
        <f>+'3.Intervenciones Transv. Region'!M18</f>
        <v>GRDE, ARA, Proyectos especiales</v>
      </c>
      <c r="X279" s="588">
        <f>+'3.Intervenciones Transv. Region'!N18</f>
        <v>7500000</v>
      </c>
      <c r="Y279" s="588">
        <f>+Tabla1[[#This Row],[2025 Directo]]*(1+$Y$3)</f>
        <v>7578750</v>
      </c>
      <c r="Z279" s="588">
        <f>+'3.Intervenciones Transv. Region'!O18</f>
        <v>7500000</v>
      </c>
      <c r="AA279" s="588">
        <f>+Tabla1[[#This Row],[2030 Directo]]*(1+$Y$3)</f>
        <v>7578750</v>
      </c>
      <c r="AB279" s="588">
        <f>+'3.Intervenciones Transv. Region'!P18</f>
        <v>1500000</v>
      </c>
      <c r="AC279" s="588">
        <f>+Tabla1[[#This Row],[Año 1 Cto Directo]]*(1+$Y$3)</f>
        <v>1515750</v>
      </c>
      <c r="AD279" s="588">
        <f>+'3.Intervenciones Transv. Region'!Q18</f>
        <v>1500000</v>
      </c>
      <c r="AE279" s="588">
        <f>+Tabla1[[#This Row],[Año 2 Cto. Directo]]*(1+$Y$3)</f>
        <v>1515750</v>
      </c>
      <c r="AF279" s="588">
        <f>+'3.Intervenciones Transv. Region'!R18</f>
        <v>1500000</v>
      </c>
      <c r="AG279" s="588">
        <f>+Tabla1[[#This Row],[Año 3 Cto. Directo]]*(1+$Y$3)</f>
        <v>1515750</v>
      </c>
      <c r="AH279" s="588">
        <f>+'3.Intervenciones Transv. Region'!S18</f>
        <v>1500000</v>
      </c>
      <c r="AI279" s="588">
        <f>+Tabla1[[#This Row],[Año 4 Cto. Directo]]*(1+$Y$3)</f>
        <v>1515750</v>
      </c>
      <c r="AJ279" s="588">
        <f>+'3.Intervenciones Transv. Region'!T18</f>
        <v>1500000</v>
      </c>
      <c r="AK279" s="588">
        <f>+Tabla1[[#This Row],[Año 5 Cto. Directo]]*(1+$Y$3)</f>
        <v>1515750</v>
      </c>
      <c r="AL279" s="403">
        <f>+'3.Intervenciones Transv. Region'!U18</f>
        <v>0</v>
      </c>
      <c r="AM279" s="954" t="str">
        <f>+'3.Intervenciones Transv. Region'!V18</f>
        <v>X</v>
      </c>
      <c r="AN279" s="954"/>
      <c r="AO279" s="954"/>
      <c r="AP279" s="954"/>
      <c r="AQ279" s="954" t="str">
        <f>+'3.Intervenciones Transv. Region'!Z18</f>
        <v>RE</v>
      </c>
      <c r="AR279" s="954">
        <f>+'3.Intervenciones Transv. Region'!AA18</f>
        <v>2</v>
      </c>
      <c r="AS279" s="403">
        <f t="shared" si="1"/>
        <v>1</v>
      </c>
    </row>
    <row r="280" spans="1:45" s="195" customFormat="1" ht="15.8" hidden="1" customHeight="1" x14ac:dyDescent="0.3">
      <c r="A280" s="403"/>
      <c r="B280" s="403" t="s">
        <v>139</v>
      </c>
      <c r="C280" s="403" t="str">
        <f>'3.Intervenciones Transv. Region'!$C$6</f>
        <v>Intervenciones Transversales X Región</v>
      </c>
      <c r="D280" s="404" t="str">
        <f>+'3.Intervenciones Transv. Region'!A19</f>
        <v>Programas de inversión privada</v>
      </c>
      <c r="E280" s="404">
        <f>+'3.Intervenciones Transv. Region'!C19</f>
        <v>11</v>
      </c>
      <c r="F280" s="403" t="str">
        <f>+'3.Intervenciones Transv. Region'!D19</f>
        <v>Mejorar la competitividad de la oferta e identificación de la demanda turística.</v>
      </c>
      <c r="G280" s="403" t="str">
        <f>+'3.Intervenciones Transv. Region'!E19</f>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
El programa debe regirse según las normas vigentes para  disminuir la informalidad en el sector, así mismo lograr la satisfacción plena de los turistas que visitan la región.</v>
      </c>
      <c r="H280" s="948" t="s">
        <v>1857</v>
      </c>
      <c r="I280" s="946" t="s">
        <v>203</v>
      </c>
      <c r="J280" s="946" t="s">
        <v>2605</v>
      </c>
      <c r="K280" s="946" t="s">
        <v>2606</v>
      </c>
      <c r="L280" s="946" t="s">
        <v>205</v>
      </c>
      <c r="M280" s="418" t="s">
        <v>1881</v>
      </c>
      <c r="N280" s="948" t="s">
        <v>1887</v>
      </c>
      <c r="O280" s="948" t="s">
        <v>115</v>
      </c>
      <c r="P280" s="951" t="s">
        <v>1894</v>
      </c>
      <c r="Q280" s="951" t="str">
        <f>+'3.Intervenciones Transv. Region'!F19</f>
        <v>Programas  de capacitación</v>
      </c>
      <c r="R280" s="405">
        <f>+'3.Intervenciones Transv. Region'!I19</f>
        <v>50</v>
      </c>
      <c r="S280" s="405">
        <f>+'3.Intervenciones Transv. Region'!J19</f>
        <v>50</v>
      </c>
      <c r="T280" s="405"/>
      <c r="U280" s="405">
        <f>+'3.Intervenciones Transv. Region'!K19</f>
        <v>62000</v>
      </c>
      <c r="V280" s="403" t="str">
        <f>+'3.Intervenciones Transv. Region'!L19</f>
        <v xml:space="preserve">El costo atribuye al fortalecimiento de capacidades de gestión de los diferentes prestadores de servicios turísticos, asi como la implementación de un diplomado para el fortalecimiento de capacidades del personal. </v>
      </c>
      <c r="W280" s="403" t="str">
        <f>+'3.Intervenciones Transv. Region'!M19</f>
        <v>GRSM, DIRCETUR</v>
      </c>
      <c r="X280" s="588">
        <f>+'3.Intervenciones Transv. Region'!N19</f>
        <v>560000</v>
      </c>
      <c r="Y280" s="588">
        <f>+Tabla1[[#This Row],[2025 Directo]]*(1+$Y$3)</f>
        <v>565880</v>
      </c>
      <c r="Z280" s="588">
        <f>+'3.Intervenciones Transv. Region'!O19</f>
        <v>500000</v>
      </c>
      <c r="AA280" s="588">
        <f>+Tabla1[[#This Row],[2030 Directo]]*(1+$Y$3)</f>
        <v>505250</v>
      </c>
      <c r="AB280" s="588">
        <f>+'3.Intervenciones Transv. Region'!P19</f>
        <v>160000</v>
      </c>
      <c r="AC280" s="588">
        <f>+Tabla1[[#This Row],[Año 1 Cto Directo]]*(1+$Y$3)</f>
        <v>161680</v>
      </c>
      <c r="AD280" s="588">
        <f>+'3.Intervenciones Transv. Region'!Q19</f>
        <v>100000</v>
      </c>
      <c r="AE280" s="588">
        <f>+Tabla1[[#This Row],[Año 2 Cto. Directo]]*(1+$Y$3)</f>
        <v>101050</v>
      </c>
      <c r="AF280" s="588">
        <f>+'3.Intervenciones Transv. Region'!R19</f>
        <v>100000</v>
      </c>
      <c r="AG280" s="588">
        <f>+Tabla1[[#This Row],[Año 3 Cto. Directo]]*(1+$Y$3)</f>
        <v>101050</v>
      </c>
      <c r="AH280" s="588">
        <f>+'3.Intervenciones Transv. Region'!S19</f>
        <v>100000</v>
      </c>
      <c r="AI280" s="588">
        <f>+Tabla1[[#This Row],[Año 4 Cto. Directo]]*(1+$Y$3)</f>
        <v>101050</v>
      </c>
      <c r="AJ280" s="588">
        <f>+'3.Intervenciones Transv. Region'!T19</f>
        <v>100000</v>
      </c>
      <c r="AK280" s="588">
        <f>+Tabla1[[#This Row],[Año 5 Cto. Directo]]*(1+$Y$3)</f>
        <v>101050</v>
      </c>
      <c r="AL280" s="403">
        <f>+'3.Intervenciones Transv. Region'!U19</f>
        <v>0</v>
      </c>
      <c r="AM280" s="954"/>
      <c r="AN280" s="954"/>
      <c r="AO280" s="954" t="str">
        <f>+'3.Intervenciones Transv. Region'!X19</f>
        <v>X</v>
      </c>
      <c r="AP280" s="954"/>
      <c r="AQ280" s="954"/>
      <c r="AR280" s="954">
        <f>+'3.Intervenciones Transv. Region'!AA19</f>
        <v>2</v>
      </c>
      <c r="AS280" s="403">
        <f t="shared" si="1"/>
        <v>1</v>
      </c>
    </row>
    <row r="281" spans="1:45" s="195" customFormat="1" ht="15.8" hidden="1" customHeight="1" x14ac:dyDescent="0.3">
      <c r="A281" s="403"/>
      <c r="B281" s="403" t="s">
        <v>139</v>
      </c>
      <c r="C281" s="403" t="str">
        <f>'3.Intervenciones Transv. Region'!$C$6</f>
        <v>Intervenciones Transversales X Región</v>
      </c>
      <c r="D281" s="404" t="str">
        <f>+'3.Intervenciones Transv. Region'!A20</f>
        <v>Programas de inversión pública</v>
      </c>
      <c r="E281" s="404">
        <f>+'3.Intervenciones Transv. Region'!C20</f>
        <v>12</v>
      </c>
      <c r="F281" s="403" t="str">
        <f>+'3.Intervenciones Transv. Region'!D20</f>
        <v>Promoción de la planificación comunal en centros poblados.</v>
      </c>
      <c r="G281" s="403" t="str">
        <f>+'3.Intervenciones Transv. Region'!E20</f>
        <v>Promover el desarrollo comunitario mediante la identificación y cuantificación de recursos disponibles en una determinada jurisdicción, promoviendo la participación activa de todos los actores clave y su articulación a los planes de desarrollo local.</v>
      </c>
      <c r="H281" s="948" t="s">
        <v>1857</v>
      </c>
      <c r="I281" s="946" t="s">
        <v>199</v>
      </c>
      <c r="J281" s="946" t="s">
        <v>2603</v>
      </c>
      <c r="K281" s="946" t="s">
        <v>2604</v>
      </c>
      <c r="L281" s="946" t="s">
        <v>201</v>
      </c>
      <c r="M281" s="418" t="s">
        <v>1883</v>
      </c>
      <c r="N281" s="948" t="s">
        <v>1887</v>
      </c>
      <c r="O281" s="948" t="s">
        <v>115</v>
      </c>
      <c r="P281" s="951" t="s">
        <v>1894</v>
      </c>
      <c r="Q281" s="951" t="str">
        <f>+'3.Intervenciones Transv. Region'!F20</f>
        <v>PDC</v>
      </c>
      <c r="R281" s="405">
        <f>+'3.Intervenciones Transv. Region'!I20</f>
        <v>100</v>
      </c>
      <c r="S281" s="405">
        <f>+'3.Intervenciones Transv. Region'!J20</f>
        <v>100</v>
      </c>
      <c r="T281" s="405"/>
      <c r="U281" s="405">
        <f>+'3.Intervenciones Transv. Region'!K20</f>
        <v>20000</v>
      </c>
      <c r="V281" s="403" t="str">
        <f>+'3.Intervenciones Transv. Region'!L20</f>
        <v>Contratación de servicios profesionales para la elaboración de los planes de desarrollo comunitario.</v>
      </c>
      <c r="W281" s="403" t="str">
        <f>+'3.Intervenciones Transv. Region'!M20</f>
        <v>GRSM, DRASAM</v>
      </c>
      <c r="X281" s="588">
        <f>+'3.Intervenciones Transv. Region'!N20</f>
        <v>2000000</v>
      </c>
      <c r="Y281" s="588">
        <f>+Tabla1[[#This Row],[2025 Directo]]*(1+$Y$3)</f>
        <v>2021000</v>
      </c>
      <c r="Z281" s="588">
        <f>+'3.Intervenciones Transv. Region'!O20</f>
        <v>2000000</v>
      </c>
      <c r="AA281" s="588">
        <f>+Tabla1[[#This Row],[2030 Directo]]*(1+$Y$3)</f>
        <v>2021000</v>
      </c>
      <c r="AB281" s="588">
        <f>+'3.Intervenciones Transv. Region'!P20</f>
        <v>400000</v>
      </c>
      <c r="AC281" s="588">
        <f>+Tabla1[[#This Row],[Año 1 Cto Directo]]*(1+$Y$3)</f>
        <v>404200</v>
      </c>
      <c r="AD281" s="588">
        <f>+'3.Intervenciones Transv. Region'!Q20</f>
        <v>400000</v>
      </c>
      <c r="AE281" s="588">
        <f>+Tabla1[[#This Row],[Año 2 Cto. Directo]]*(1+$Y$3)</f>
        <v>404200</v>
      </c>
      <c r="AF281" s="588">
        <f>+'3.Intervenciones Transv. Region'!R20</f>
        <v>400000</v>
      </c>
      <c r="AG281" s="588">
        <f>+Tabla1[[#This Row],[Año 3 Cto. Directo]]*(1+$Y$3)</f>
        <v>404200</v>
      </c>
      <c r="AH281" s="588">
        <f>+'3.Intervenciones Transv. Region'!S20</f>
        <v>400000</v>
      </c>
      <c r="AI281" s="588">
        <f>+Tabla1[[#This Row],[Año 4 Cto. Directo]]*(1+$Y$3)</f>
        <v>404200</v>
      </c>
      <c r="AJ281" s="588">
        <f>+'3.Intervenciones Transv. Region'!T20</f>
        <v>400000</v>
      </c>
      <c r="AK281" s="588">
        <f>+Tabla1[[#This Row],[Año 5 Cto. Directo]]*(1+$Y$3)</f>
        <v>404200</v>
      </c>
      <c r="AL281" s="405">
        <f>+'3.Intervenciones Transv. Region'!U20</f>
        <v>0</v>
      </c>
      <c r="AM281" s="954"/>
      <c r="AN281" s="954" t="str">
        <f>+'3.Intervenciones Transv. Region'!W20</f>
        <v>X</v>
      </c>
      <c r="AO281" s="954"/>
      <c r="AP281" s="954"/>
      <c r="AQ281" s="954"/>
      <c r="AR281" s="954">
        <f>+'3.Intervenciones Transv. Region'!AA20</f>
        <v>2</v>
      </c>
      <c r="AS281" s="403">
        <f t="shared" si="1"/>
        <v>1</v>
      </c>
    </row>
    <row r="282" spans="1:45" s="195" customFormat="1" ht="15.8" hidden="1" customHeight="1" x14ac:dyDescent="0.3">
      <c r="A282" s="403"/>
      <c r="B282" s="403" t="s">
        <v>139</v>
      </c>
      <c r="C282" s="403" t="str">
        <f>'3.Intervenciones Transv. Region'!$C$6</f>
        <v>Intervenciones Transversales X Región</v>
      </c>
      <c r="D282" s="404" t="str">
        <f>+'3.Intervenciones Transv. Region'!A21</f>
        <v>Programas de inversión pública</v>
      </c>
      <c r="E282" s="404">
        <f>+'3.Intervenciones Transv. Region'!C21</f>
        <v>13</v>
      </c>
      <c r="F282" s="403" t="str">
        <f>+'3.Intervenciones Transv. Region'!D21</f>
        <v>Fortalecer los procesos de Investigación, innovación, y transferencia tecnológica para la producción baja en emisiones.</v>
      </c>
      <c r="G282" s="403" t="str">
        <f>+'3.Intervenciones Transv. Region'!E21</f>
        <v xml:space="preserve">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v>
      </c>
      <c r="H282" s="948" t="s">
        <v>1857</v>
      </c>
      <c r="I282" s="946" t="s">
        <v>193</v>
      </c>
      <c r="J282" s="946" t="s">
        <v>2601</v>
      </c>
      <c r="K282" s="946" t="s">
        <v>2602</v>
      </c>
      <c r="L282" s="946" t="s">
        <v>196</v>
      </c>
      <c r="M282" s="418" t="s">
        <v>1866</v>
      </c>
      <c r="N282" s="948" t="s">
        <v>1887</v>
      </c>
      <c r="O282" s="948" t="s">
        <v>115</v>
      </c>
      <c r="P282" s="951" t="s">
        <v>1894</v>
      </c>
      <c r="Q282" s="951" t="str">
        <f>+'3.Intervenciones Transv. Region'!F21</f>
        <v>Nº de proyectos ejecutados alineados a las prioridades de investigación e innovación regionales</v>
      </c>
      <c r="R282" s="405">
        <f>+'3.Intervenciones Transv. Region'!I21</f>
        <v>10</v>
      </c>
      <c r="S282" s="405">
        <f>+'3.Intervenciones Transv. Region'!J21</f>
        <v>10</v>
      </c>
      <c r="T282" s="405"/>
      <c r="U282" s="405">
        <f>+'3.Intervenciones Transv. Region'!K21</f>
        <v>72000</v>
      </c>
      <c r="V282" s="403" t="str">
        <f>+'3.Intervenciones Transv. Region'!L21</f>
        <v>El costo va estar orientado a tener un equipo técnico especializado que apoye o promueva la generación de estas directivas del PMI, también la adecuación de los requisitos de los programas nacionales con la incorporación de las opiniones favorables del CTRIA y CGRA para ser elegibles; y por último la asistencia técnica para obtención y ejecución de la mayor cantidad de proyectos (de cualquier fuente), alineados a las prioridades regionales</v>
      </c>
      <c r="W282" s="403">
        <f>+'3.Intervenciones Transv. Region'!M21</f>
        <v>0</v>
      </c>
      <c r="X282" s="588">
        <f>+'3.Intervenciones Transv. Region'!N21</f>
        <v>720000</v>
      </c>
      <c r="Y282" s="588">
        <f>+Tabla1[[#This Row],[2025 Directo]]*(1+$Y$3)</f>
        <v>727560</v>
      </c>
      <c r="Z282" s="588">
        <f>+'3.Intervenciones Transv. Region'!O21</f>
        <v>720000</v>
      </c>
      <c r="AA282" s="588">
        <f>+Tabla1[[#This Row],[2030 Directo]]*(1+$Y$3)</f>
        <v>727560</v>
      </c>
      <c r="AB282" s="588">
        <f>+'3.Intervenciones Transv. Region'!P21</f>
        <v>144000</v>
      </c>
      <c r="AC282" s="588">
        <f>+Tabla1[[#This Row],[Año 1 Cto Directo]]*(1+$Y$3)</f>
        <v>145512</v>
      </c>
      <c r="AD282" s="588">
        <f>+'3.Intervenciones Transv. Region'!Q21</f>
        <v>144000</v>
      </c>
      <c r="AE282" s="588">
        <f>+Tabla1[[#This Row],[Año 2 Cto. Directo]]*(1+$Y$3)</f>
        <v>145512</v>
      </c>
      <c r="AF282" s="588">
        <f>+'3.Intervenciones Transv. Region'!R21</f>
        <v>144000</v>
      </c>
      <c r="AG282" s="588">
        <f>+Tabla1[[#This Row],[Año 3 Cto. Directo]]*(1+$Y$3)</f>
        <v>145512</v>
      </c>
      <c r="AH282" s="588">
        <f>+'3.Intervenciones Transv. Region'!S21</f>
        <v>144000</v>
      </c>
      <c r="AI282" s="588">
        <f>+Tabla1[[#This Row],[Año 4 Cto. Directo]]*(1+$Y$3)</f>
        <v>145512</v>
      </c>
      <c r="AJ282" s="588">
        <f>+'3.Intervenciones Transv. Region'!T21</f>
        <v>144000</v>
      </c>
      <c r="AK282" s="588">
        <f>+Tabla1[[#This Row],[Año 5 Cto. Directo]]*(1+$Y$3)</f>
        <v>145512</v>
      </c>
      <c r="AL282" s="405">
        <f>+'3.Intervenciones Transv. Region'!U21</f>
        <v>0</v>
      </c>
      <c r="AM282" s="954"/>
      <c r="AN282" s="954" t="str">
        <f>+'3.Intervenciones Transv. Region'!W21</f>
        <v>X</v>
      </c>
      <c r="AO282" s="954"/>
      <c r="AP282" s="954"/>
      <c r="AQ282" s="954"/>
      <c r="AR282" s="954">
        <f>+'3.Intervenciones Transv. Region'!AA21</f>
        <v>3</v>
      </c>
      <c r="AS282" s="403">
        <f t="shared" si="1"/>
        <v>1</v>
      </c>
    </row>
    <row r="283" spans="1:45" s="195" customFormat="1" ht="15.8" hidden="1" customHeight="1" x14ac:dyDescent="0.3">
      <c r="A283" s="403"/>
      <c r="B283" s="403" t="s">
        <v>139</v>
      </c>
      <c r="C283" s="403" t="str">
        <f>'3.Intervenciones Transv. Region'!$C$6</f>
        <v>Intervenciones Transversales X Región</v>
      </c>
      <c r="D283" s="404" t="str">
        <f>+'3.Intervenciones Transv. Region'!A22</f>
        <v>Programas de inversión privada</v>
      </c>
      <c r="E283" s="404">
        <f>+'3.Intervenciones Transv. Region'!C22</f>
        <v>14</v>
      </c>
      <c r="F283" s="403" t="str">
        <f>+'3.Intervenciones Transv. Region'!D22</f>
        <v xml:space="preserve">
Promoción de emprendimientos agroindustriales de la pequeña empresa sobre la base de los productos del biocomercio </v>
      </c>
      <c r="G283" s="403" t="str">
        <f>+'3.Intervenciones Transv. Region'!E22</f>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
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H283" s="948" t="s">
        <v>1857</v>
      </c>
      <c r="I283" s="946" t="s">
        <v>203</v>
      </c>
      <c r="J283" s="946" t="s">
        <v>2605</v>
      </c>
      <c r="K283" s="946" t="s">
        <v>2606</v>
      </c>
      <c r="L283" s="946" t="s">
        <v>205</v>
      </c>
      <c r="M283" s="418" t="s">
        <v>1892</v>
      </c>
      <c r="N283" s="948" t="s">
        <v>1887</v>
      </c>
      <c r="O283" s="948" t="s">
        <v>115</v>
      </c>
      <c r="P283" s="951" t="s">
        <v>1894</v>
      </c>
      <c r="Q283" s="951" t="str">
        <f>+'3.Intervenciones Transv. Region'!F22</f>
        <v>Planes de negocios</v>
      </c>
      <c r="R283" s="405">
        <f>+'3.Intervenciones Transv. Region'!I22</f>
        <v>25</v>
      </c>
      <c r="S283" s="405">
        <f>+'3.Intervenciones Transv. Region'!J22</f>
        <v>25</v>
      </c>
      <c r="T283" s="405"/>
      <c r="U283" s="405">
        <f>+'3.Intervenciones Transv. Region'!K22</f>
        <v>80000</v>
      </c>
      <c r="V283" s="403" t="str">
        <f>+'3.Intervenciones Transv. Region'!L22</f>
        <v>El presupuesto hace referencia a la implementación de planes de negocios agroindustriales para cubrir gastos y costos de implementación. Se debe desarrollar los lineamientos para orientar adecuadamente los recursos.</v>
      </c>
      <c r="W283" s="403" t="str">
        <f>+'3.Intervenciones Transv. Region'!M22</f>
        <v>DIREPRO</v>
      </c>
      <c r="X283" s="588">
        <f>+'3.Intervenciones Transv. Region'!N22</f>
        <v>2000000</v>
      </c>
      <c r="Y283" s="588">
        <f>+Tabla1[[#This Row],[2025 Directo]]*(1+$Y$3)</f>
        <v>2021000</v>
      </c>
      <c r="Z283" s="588">
        <f>+'3.Intervenciones Transv. Region'!O22</f>
        <v>2000000</v>
      </c>
      <c r="AA283" s="588">
        <f>+Tabla1[[#This Row],[2030 Directo]]*(1+$Y$3)</f>
        <v>2021000</v>
      </c>
      <c r="AB283" s="588">
        <f>+'3.Intervenciones Transv. Region'!P22</f>
        <v>400000</v>
      </c>
      <c r="AC283" s="588">
        <f>+Tabla1[[#This Row],[Año 1 Cto Directo]]*(1+$Y$3)</f>
        <v>404200</v>
      </c>
      <c r="AD283" s="588">
        <f>+'3.Intervenciones Transv. Region'!Q22</f>
        <v>400000</v>
      </c>
      <c r="AE283" s="588">
        <f>+Tabla1[[#This Row],[Año 2 Cto. Directo]]*(1+$Y$3)</f>
        <v>404200</v>
      </c>
      <c r="AF283" s="588">
        <f>+'3.Intervenciones Transv. Region'!R22</f>
        <v>400000</v>
      </c>
      <c r="AG283" s="588">
        <f>+Tabla1[[#This Row],[Año 3 Cto. Directo]]*(1+$Y$3)</f>
        <v>404200</v>
      </c>
      <c r="AH283" s="588">
        <f>+'3.Intervenciones Transv. Region'!S22</f>
        <v>400000</v>
      </c>
      <c r="AI283" s="588">
        <f>+Tabla1[[#This Row],[Año 4 Cto. Directo]]*(1+$Y$3)</f>
        <v>404200</v>
      </c>
      <c r="AJ283" s="588">
        <f>+'3.Intervenciones Transv. Region'!T22</f>
        <v>400000</v>
      </c>
      <c r="AK283" s="588">
        <f>+Tabla1[[#This Row],[Año 5 Cto. Directo]]*(1+$Y$3)</f>
        <v>404200</v>
      </c>
      <c r="AL283" s="405">
        <f>+'3.Intervenciones Transv. Region'!U22</f>
        <v>0</v>
      </c>
      <c r="AM283" s="956" t="str">
        <f>+'3.Intervenciones Transv. Region'!V22</f>
        <v>X</v>
      </c>
      <c r="AN283" s="956"/>
      <c r="AO283" s="956"/>
      <c r="AP283" s="956"/>
      <c r="AQ283" s="956"/>
      <c r="AR283" s="954">
        <f>+'3.Intervenciones Transv. Region'!AA22</f>
        <v>3</v>
      </c>
      <c r="AS283" s="403">
        <f t="shared" si="1"/>
        <v>1</v>
      </c>
    </row>
    <row r="284" spans="1:45" s="195" customFormat="1" ht="15.8" hidden="1" customHeight="1" x14ac:dyDescent="0.3">
      <c r="A284" s="403"/>
      <c r="B284" s="403" t="s">
        <v>139</v>
      </c>
      <c r="C284" s="403" t="str">
        <f>'3.Intervenciones Transv. Region'!$C$6</f>
        <v>Intervenciones Transversales X Región</v>
      </c>
      <c r="D284" s="404" t="str">
        <f>+'3.Intervenciones Transv. Region'!A23</f>
        <v>Programas de inversión privada</v>
      </c>
      <c r="E284" s="404">
        <f>+'3.Intervenciones Transv. Region'!C23</f>
        <v>15</v>
      </c>
      <c r="F284" s="403" t="str">
        <f>+'3.Intervenciones Transv. Region'!D23</f>
        <v>Promoción de productos derivados y gestión de calidad</v>
      </c>
      <c r="G284" s="403" t="str">
        <f>+'3.Intervenciones Transv. Region'!E23</f>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v>
      </c>
      <c r="H284" s="948" t="s">
        <v>1857</v>
      </c>
      <c r="I284" s="946" t="s">
        <v>193</v>
      </c>
      <c r="J284" s="946" t="s">
        <v>2601</v>
      </c>
      <c r="K284" s="946" t="s">
        <v>2602</v>
      </c>
      <c r="L284" s="946" t="s">
        <v>197</v>
      </c>
      <c r="M284" s="418" t="s">
        <v>1876</v>
      </c>
      <c r="N284" s="948" t="s">
        <v>1887</v>
      </c>
      <c r="O284" s="948" t="s">
        <v>115</v>
      </c>
      <c r="P284" s="951" t="s">
        <v>1894</v>
      </c>
      <c r="Q284" s="951" t="str">
        <f>+'3.Intervenciones Transv. Region'!F23</f>
        <v>Empresas y organizaciones atendidas</v>
      </c>
      <c r="R284" s="405">
        <f>+'3.Intervenciones Transv. Region'!I23</f>
        <v>30</v>
      </c>
      <c r="S284" s="405">
        <f>+'3.Intervenciones Transv. Region'!J23</f>
        <v>30</v>
      </c>
      <c r="T284" s="405"/>
      <c r="U284" s="405">
        <f>+'3.Intervenciones Transv. Region'!K23</f>
        <v>45000</v>
      </c>
      <c r="V284" s="403" t="str">
        <f>+'3.Intervenciones Transv. Region'!L23</f>
        <v>La inversión  estará enfocada a la gestión y renovación de registros sanitarios, implementación de Buenas Prácticas de Manufactura.</v>
      </c>
      <c r="W284" s="403" t="str">
        <f>+'3.Intervenciones Transv. Region'!M23</f>
        <v>DIREPRO, DIRCETUR</v>
      </c>
      <c r="X284" s="588">
        <f>+'3.Intervenciones Transv. Region'!N23</f>
        <v>6750000</v>
      </c>
      <c r="Y284" s="588">
        <f>+Tabla1[[#This Row],[2025 Directo]]*(1+$Y$3)</f>
        <v>6820875</v>
      </c>
      <c r="Z284" s="588">
        <f>+'3.Intervenciones Transv. Region'!O23</f>
        <v>6750000</v>
      </c>
      <c r="AA284" s="588">
        <f>+Tabla1[[#This Row],[2030 Directo]]*(1+$Y$3)</f>
        <v>6820875</v>
      </c>
      <c r="AB284" s="588">
        <f>+'3.Intervenciones Transv. Region'!P23</f>
        <v>1350000</v>
      </c>
      <c r="AC284" s="588">
        <f>+Tabla1[[#This Row],[Año 1 Cto Directo]]*(1+$Y$3)</f>
        <v>1364175</v>
      </c>
      <c r="AD284" s="588">
        <f>+'3.Intervenciones Transv. Region'!Q23</f>
        <v>1350000</v>
      </c>
      <c r="AE284" s="588">
        <f>+Tabla1[[#This Row],[Año 2 Cto. Directo]]*(1+$Y$3)</f>
        <v>1364175</v>
      </c>
      <c r="AF284" s="588">
        <f>+'3.Intervenciones Transv. Region'!R23</f>
        <v>1350000</v>
      </c>
      <c r="AG284" s="588">
        <f>+Tabla1[[#This Row],[Año 3 Cto. Directo]]*(1+$Y$3)</f>
        <v>1364175</v>
      </c>
      <c r="AH284" s="588">
        <f>+'3.Intervenciones Transv. Region'!S23</f>
        <v>1350000</v>
      </c>
      <c r="AI284" s="588">
        <f>+Tabla1[[#This Row],[Año 4 Cto. Directo]]*(1+$Y$3)</f>
        <v>1364175</v>
      </c>
      <c r="AJ284" s="588">
        <f>+'3.Intervenciones Transv. Region'!T23</f>
        <v>1350000</v>
      </c>
      <c r="AK284" s="588">
        <f>+Tabla1[[#This Row],[Año 5 Cto. Directo]]*(1+$Y$3)</f>
        <v>1364175</v>
      </c>
      <c r="AL284" s="405">
        <f>+'3.Intervenciones Transv. Region'!U23</f>
        <v>0</v>
      </c>
      <c r="AM284" s="956" t="str">
        <f>+'3.Intervenciones Transv. Region'!V23</f>
        <v>X</v>
      </c>
      <c r="AN284" s="956"/>
      <c r="AO284" s="956"/>
      <c r="AP284" s="956"/>
      <c r="AQ284" s="956"/>
      <c r="AR284" s="954">
        <f>+'3.Intervenciones Transv. Region'!AA23</f>
        <v>3</v>
      </c>
      <c r="AS284" s="403">
        <f t="shared" si="1"/>
        <v>1</v>
      </c>
    </row>
    <row r="285" spans="1:45" s="195" customFormat="1" ht="16.3" hidden="1" x14ac:dyDescent="0.3">
      <c r="A285" s="403"/>
      <c r="B285" s="403" t="s">
        <v>139</v>
      </c>
      <c r="C285" s="403" t="str">
        <f>'3.Intervenciones Transv. Region'!$C$6</f>
        <v>Intervenciones Transversales X Región</v>
      </c>
      <c r="D285" s="404" t="str">
        <f>+'3.Intervenciones Transv. Region'!A24</f>
        <v>Control y vigilancia</v>
      </c>
      <c r="E285" s="404">
        <f>+'3.Intervenciones Transv. Region'!C24</f>
        <v>16</v>
      </c>
      <c r="F285" s="403" t="str">
        <f>+'3.Intervenciones Transv. Region'!D24</f>
        <v>Implementación del Sistema de formalización del uso de la tierra y Recursos Naturales.</v>
      </c>
      <c r="G285" s="403" t="str">
        <f>+'3.Intervenciones Transv. Region'!E24</f>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v>
      </c>
      <c r="H285" s="948" t="s">
        <v>1857</v>
      </c>
      <c r="I285" s="946" t="s">
        <v>199</v>
      </c>
      <c r="J285" s="946" t="s">
        <v>2603</v>
      </c>
      <c r="K285" s="946" t="s">
        <v>2604</v>
      </c>
      <c r="L285" s="946" t="s">
        <v>202</v>
      </c>
      <c r="M285" s="418" t="s">
        <v>1858</v>
      </c>
      <c r="N285" s="948" t="s">
        <v>1887</v>
      </c>
      <c r="O285" s="948" t="s">
        <v>115</v>
      </c>
      <c r="P285" s="951" t="s">
        <v>1894</v>
      </c>
      <c r="Q285" s="951" t="str">
        <f>+'3.Intervenciones Transv. Region'!F24</f>
        <v>Títulos registrados</v>
      </c>
      <c r="R285" s="405">
        <f>+'3.Intervenciones Transv. Region'!I24</f>
        <v>1</v>
      </c>
      <c r="S285" s="405">
        <f>+'3.Intervenciones Transv. Region'!I24</f>
        <v>1</v>
      </c>
      <c r="T285" s="405">
        <f>+'3.Intervenciones Transv. Region'!J24</f>
        <v>0</v>
      </c>
      <c r="U285" s="405">
        <f>+'3.Intervenciones Transv. Region'!K24</f>
        <v>105000</v>
      </c>
      <c r="V285" s="403" t="str">
        <f>+'3.Intervenciones Transv. Region'!L24</f>
        <v>La implementación del sistema de formalización contempla el diseño de una plataforma digital y el desarrollo de un manual para su adecuado uso y mantenimiento.</v>
      </c>
      <c r="W285" s="403" t="str">
        <f>+'3.Intervenciones Transv. Region'!M24</f>
        <v>ARA-DRASAM-MINAGRI</v>
      </c>
      <c r="X285" s="588">
        <f>+'3.Intervenciones Transv. Region'!N24</f>
        <v>105000</v>
      </c>
      <c r="Y285" s="588">
        <f>+Tabla1[[#This Row],[2025 Directo]]*(1+$Y$3)</f>
        <v>106102.5</v>
      </c>
      <c r="Z285" s="588">
        <f>+'3.Intervenciones Transv. Region'!O24</f>
        <v>0</v>
      </c>
      <c r="AA285" s="588">
        <f>+Tabla1[[#This Row],[2030 Directo]]*(1+$Y$3)</f>
        <v>0</v>
      </c>
      <c r="AB285" s="588">
        <f>+'3.Intervenciones Transv. Region'!P24</f>
        <v>105000</v>
      </c>
      <c r="AC285" s="588">
        <f>+Tabla1[[#This Row],[Año 1 Cto Directo]]*(1+$Y$3)</f>
        <v>106102.5</v>
      </c>
      <c r="AD285" s="588">
        <f>+'3.Intervenciones Transv. Region'!Q24</f>
        <v>0</v>
      </c>
      <c r="AE285" s="588">
        <f>+Tabla1[[#This Row],[Año 2 Cto. Directo]]*(1+$Y$3)</f>
        <v>0</v>
      </c>
      <c r="AF285" s="588">
        <f>+'3.Intervenciones Transv. Region'!R24</f>
        <v>0</v>
      </c>
      <c r="AG285" s="588">
        <f>+Tabla1[[#This Row],[Año 3 Cto. Directo]]*(1+$Y$3)</f>
        <v>0</v>
      </c>
      <c r="AH285" s="588">
        <f>+'3.Intervenciones Transv. Region'!S24</f>
        <v>0</v>
      </c>
      <c r="AI285" s="588">
        <f>+Tabla1[[#This Row],[Año 4 Cto. Directo]]*(1+$Y$3)</f>
        <v>0</v>
      </c>
      <c r="AJ285" s="588">
        <f>+'3.Intervenciones Transv. Region'!T24</f>
        <v>0</v>
      </c>
      <c r="AK285" s="588">
        <f>+Tabla1[[#This Row],[Año 5 Cto. Directo]]*(1+$Y$3)</f>
        <v>0</v>
      </c>
      <c r="AL285" s="405">
        <f>+'3.Intervenciones Transv. Region'!U24</f>
        <v>0</v>
      </c>
      <c r="AM285" s="956"/>
      <c r="AN285" s="956" t="str">
        <f>+'3.Intervenciones Transv. Region'!W24</f>
        <v>X</v>
      </c>
      <c r="AO285" s="956"/>
      <c r="AP285" s="956"/>
      <c r="AQ285" s="956"/>
      <c r="AR285" s="954">
        <f>+'3.Intervenciones Transv. Region'!AA24</f>
        <v>3</v>
      </c>
      <c r="AS285" s="403">
        <f t="shared" ref="AS285" si="17">COUNTIF(AM285:AP285, "X")</f>
        <v>1</v>
      </c>
    </row>
    <row r="286" spans="1:45" s="195" customFormat="1" ht="15.8" hidden="1" customHeight="1" x14ac:dyDescent="0.3">
      <c r="B286" s="403" t="s">
        <v>139</v>
      </c>
      <c r="C286" s="403" t="str">
        <f>'3.Intervenciones Transv. Region'!$C$6</f>
        <v>Intervenciones Transversales X Región</v>
      </c>
      <c r="D286" s="404" t="str">
        <f>+'3.Intervenciones Transv. Region'!A25</f>
        <v>Programas de inversión privada</v>
      </c>
      <c r="E286" s="404">
        <f>+'3.Intervenciones Transv. Region'!C25</f>
        <v>17</v>
      </c>
      <c r="F286" s="410" t="str">
        <f>+'3.Intervenciones Transv. Region'!D25</f>
        <v>Promover servicios de asesoramiento empresarial en inversiones y facilitación del crédito</v>
      </c>
      <c r="G286" s="403" t="str">
        <f>+'3.Intervenciones Transv. Region'!E25</f>
        <v xml:space="preserve">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v>
      </c>
      <c r="H286" s="948" t="s">
        <v>1857</v>
      </c>
      <c r="I286" s="946" t="s">
        <v>193</v>
      </c>
      <c r="J286" s="946" t="s">
        <v>2593</v>
      </c>
      <c r="K286" s="946" t="s">
        <v>2330</v>
      </c>
      <c r="L286" s="946" t="s">
        <v>195</v>
      </c>
      <c r="M286" s="418" t="s">
        <v>1871</v>
      </c>
      <c r="N286" s="948" t="s">
        <v>1887</v>
      </c>
      <c r="O286" s="948" t="s">
        <v>115</v>
      </c>
      <c r="P286" s="951" t="s">
        <v>1894</v>
      </c>
      <c r="Q286" s="951" t="str">
        <f>+'3.Intervenciones Transv. Region'!F25</f>
        <v>Convocatorias / créditos</v>
      </c>
      <c r="R286" s="405">
        <f>+'3.Intervenciones Transv. Region'!I25</f>
        <v>5</v>
      </c>
      <c r="S286" s="405">
        <f>+'3.Intervenciones Transv. Region'!I25</f>
        <v>5</v>
      </c>
      <c r="T286" s="405">
        <f>+'3.Intervenciones Transv. Region'!J25</f>
        <v>5</v>
      </c>
      <c r="U286" s="405">
        <f>+'3.Intervenciones Transv. Region'!K25</f>
        <v>1500000</v>
      </c>
      <c r="V286" s="403" t="str">
        <f>+'3.Intervenciones Transv. Region'!L25</f>
        <v>Debe comprender costo de convocatoria, parte legal contractual, fondo de pago por éxitos (entre 1% a 3%), monitoreo y seguimiento</v>
      </c>
      <c r="W286" s="403" t="str">
        <f>+'3.Intervenciones Transv. Region'!M25</f>
        <v>OPIPs</v>
      </c>
      <c r="X286" s="588">
        <f>+'3.Intervenciones Transv. Region'!N25</f>
        <v>7500000</v>
      </c>
      <c r="Y286" s="588">
        <f>+Tabla1[[#This Row],[2025 Directo]]*(1+$Y$3)</f>
        <v>7578750</v>
      </c>
      <c r="Z286" s="588">
        <f>+'3.Intervenciones Transv. Region'!O25</f>
        <v>7500000</v>
      </c>
      <c r="AA286" s="588">
        <f>+Tabla1[[#This Row],[2030 Directo]]*(1+$Y$3)</f>
        <v>7578750</v>
      </c>
      <c r="AB286" s="588">
        <f>+'3.Intervenciones Transv. Region'!P25</f>
        <v>1500000</v>
      </c>
      <c r="AC286" s="588">
        <f>+Tabla1[[#This Row],[Año 1 Cto Directo]]*(1+$Y$3)</f>
        <v>1515750</v>
      </c>
      <c r="AD286" s="588">
        <f>+'3.Intervenciones Transv. Region'!Q25</f>
        <v>1500000</v>
      </c>
      <c r="AE286" s="588">
        <f>+Tabla1[[#This Row],[Año 2 Cto. Directo]]*(1+$Y$3)</f>
        <v>1515750</v>
      </c>
      <c r="AF286" s="588">
        <f>+'3.Intervenciones Transv. Region'!R25</f>
        <v>1500000</v>
      </c>
      <c r="AG286" s="588">
        <f>+Tabla1[[#This Row],[Año 3 Cto. Directo]]*(1+$Y$3)</f>
        <v>1515750</v>
      </c>
      <c r="AH286" s="588">
        <f>+'3.Intervenciones Transv. Region'!S25</f>
        <v>1500000</v>
      </c>
      <c r="AI286" s="588">
        <f>+Tabla1[[#This Row],[Año 4 Cto. Directo]]*(1+$Y$3)</f>
        <v>1515750</v>
      </c>
      <c r="AJ286" s="588">
        <f>+'3.Intervenciones Transv. Region'!T25</f>
        <v>1500000</v>
      </c>
      <c r="AK286" s="588">
        <f>+Tabla1[[#This Row],[Año 5 Cto. Directo]]*(1+$Y$3)</f>
        <v>1515750</v>
      </c>
      <c r="AL286" s="405">
        <f>+'3.Intervenciones Transv. Region'!U25</f>
        <v>0</v>
      </c>
      <c r="AM286" s="956"/>
      <c r="AN286" s="956"/>
      <c r="AO286" s="956">
        <f>+'3.Intervenciones Transv. Region'!X25</f>
        <v>0</v>
      </c>
      <c r="AP286" s="956"/>
      <c r="AQ286" s="956"/>
      <c r="AR286" s="954">
        <f>+'3.Intervenciones Transv. Region'!AA25</f>
        <v>2</v>
      </c>
      <c r="AS286" s="403">
        <f t="shared" ref="AS286:AS303" si="18">COUNTIF(AM286:AP286, "X")</f>
        <v>0</v>
      </c>
    </row>
    <row r="287" spans="1:45" s="195" customFormat="1" ht="15.8" hidden="1" customHeight="1" x14ac:dyDescent="0.3">
      <c r="B287" s="403" t="s">
        <v>139</v>
      </c>
      <c r="C287" s="403" t="str">
        <f>'3.Intervenciones Transv. Region'!$C$6</f>
        <v>Intervenciones Transversales X Región</v>
      </c>
      <c r="D287" s="404" t="str">
        <f>+'3.Intervenciones Transv. Region'!A26</f>
        <v>Ingresos y Capital</v>
      </c>
      <c r="E287" s="404">
        <f>+'3.Intervenciones Transv. Region'!C26</f>
        <v>18</v>
      </c>
      <c r="F287" s="410" t="str">
        <f>+'3.Intervenciones Transv. Region'!D26</f>
        <v>Diseño de productos financieros para la producción baja en emisiones</v>
      </c>
      <c r="G287" s="403" t="str">
        <f>+'3.Intervenciones Transv. Region'!E26</f>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v>
      </c>
      <c r="H287" s="948" t="s">
        <v>1857</v>
      </c>
      <c r="I287" s="946" t="s">
        <v>193</v>
      </c>
      <c r="J287" s="946" t="s">
        <v>2593</v>
      </c>
      <c r="K287" s="946" t="s">
        <v>2330</v>
      </c>
      <c r="L287" s="946" t="s">
        <v>195</v>
      </c>
      <c r="M287" s="418" t="s">
        <v>1871</v>
      </c>
      <c r="N287" s="948" t="s">
        <v>1887</v>
      </c>
      <c r="O287" s="948" t="s">
        <v>115</v>
      </c>
      <c r="P287" s="951" t="s">
        <v>1894</v>
      </c>
      <c r="Q287" s="951" t="str">
        <f>+'3.Intervenciones Transv. Region'!F26</f>
        <v>Productos financieros específicos para cada cadena implementados</v>
      </c>
      <c r="R287" s="405">
        <f>+'3.Intervenciones Transv. Region'!I26</f>
        <v>10</v>
      </c>
      <c r="S287" s="405">
        <f>+'3.Intervenciones Transv. Region'!I26</f>
        <v>10</v>
      </c>
      <c r="T287" s="405">
        <f>+'3.Intervenciones Transv. Region'!J26</f>
        <v>0</v>
      </c>
      <c r="U287" s="405">
        <f>+'3.Intervenciones Transv. Region'!K26</f>
        <v>35000</v>
      </c>
      <c r="V287" s="403" t="str">
        <f>+'3.Intervenciones Transv. Region'!L26</f>
        <v>Consultoría, sistematización de información en campo, al menos dos pilotos en campo, diseño de salvaguardas y monitoreo y compromisos</v>
      </c>
      <c r="W287" s="403" t="str">
        <f>+'3.Intervenciones Transv. Region'!M26</f>
        <v>GRDE-DRASAM-OPIPS</v>
      </c>
      <c r="X287" s="588">
        <f>+'3.Intervenciones Transv. Region'!N26</f>
        <v>350000</v>
      </c>
      <c r="Y287" s="588">
        <f>+Tabla1[[#This Row],[2025 Directo]]*(1+$Y$3)</f>
        <v>353675</v>
      </c>
      <c r="Z287" s="588">
        <f>+'3.Intervenciones Transv. Region'!O26</f>
        <v>0</v>
      </c>
      <c r="AA287" s="588">
        <f>+Tabla1[[#This Row],[2030 Directo]]*(1+$Y$3)</f>
        <v>0</v>
      </c>
      <c r="AB287" s="588">
        <f>+'3.Intervenciones Transv. Region'!P26</f>
        <v>70000</v>
      </c>
      <c r="AC287" s="588">
        <f>+Tabla1[[#This Row],[Año 1 Cto Directo]]*(1+$Y$3)</f>
        <v>70735</v>
      </c>
      <c r="AD287" s="588">
        <f>+'3.Intervenciones Transv. Region'!Q26</f>
        <v>70000</v>
      </c>
      <c r="AE287" s="588">
        <f>+Tabla1[[#This Row],[Año 2 Cto. Directo]]*(1+$Y$3)</f>
        <v>70735</v>
      </c>
      <c r="AF287" s="588">
        <f>+'3.Intervenciones Transv. Region'!R26</f>
        <v>70000</v>
      </c>
      <c r="AG287" s="588">
        <f>+Tabla1[[#This Row],[Año 3 Cto. Directo]]*(1+$Y$3)</f>
        <v>70735</v>
      </c>
      <c r="AH287" s="588">
        <f>+'3.Intervenciones Transv. Region'!S26</f>
        <v>70000</v>
      </c>
      <c r="AI287" s="588">
        <f>+Tabla1[[#This Row],[Año 4 Cto. Directo]]*(1+$Y$3)</f>
        <v>70735</v>
      </c>
      <c r="AJ287" s="588">
        <f>+'3.Intervenciones Transv. Region'!T26</f>
        <v>70000</v>
      </c>
      <c r="AK287" s="588">
        <f>+Tabla1[[#This Row],[Año 5 Cto. Directo]]*(1+$Y$3)</f>
        <v>70735</v>
      </c>
      <c r="AL287" s="405">
        <f>+'3.Intervenciones Transv. Region'!U26</f>
        <v>0</v>
      </c>
      <c r="AM287" s="956"/>
      <c r="AN287" s="956"/>
      <c r="AO287" s="956">
        <f>+'3.Intervenciones Transv. Region'!X26</f>
        <v>0</v>
      </c>
      <c r="AP287" s="956"/>
      <c r="AQ287" s="956"/>
      <c r="AR287" s="954">
        <f>+'3.Intervenciones Transv. Region'!AA26</f>
        <v>3</v>
      </c>
      <c r="AS287" s="403">
        <f t="shared" si="18"/>
        <v>0</v>
      </c>
    </row>
    <row r="288" spans="1:45" s="195" customFormat="1" ht="15.8" hidden="1" customHeight="1" x14ac:dyDescent="0.3">
      <c r="B288" s="403" t="s">
        <v>139</v>
      </c>
      <c r="C288" s="403" t="str">
        <f>'3.Intervenciones Transv. Region'!$C$6</f>
        <v>Intervenciones Transversales X Región</v>
      </c>
      <c r="D288" s="404" t="str">
        <f>+'3.Intervenciones Transv. Region'!A27</f>
        <v>Programas de inversión privada</v>
      </c>
      <c r="E288" s="404">
        <f>+'3.Intervenciones Transv. Region'!C27</f>
        <v>19</v>
      </c>
      <c r="F288" s="410" t="str">
        <f>+'3.Intervenciones Transv. Region'!D27</f>
        <v>Promoción y Desarrollo de alianzas comerciales entre grandes, medianas, pequeñas empresas y productores organizados y no organizados para producción baja en emisiones.</v>
      </c>
      <c r="G288" s="403" t="str">
        <f>+'3.Intervenciones Transv. Region'!E27</f>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v>
      </c>
      <c r="H288" s="948" t="s">
        <v>1857</v>
      </c>
      <c r="I288" s="946" t="s">
        <v>193</v>
      </c>
      <c r="J288" s="946" t="s">
        <v>2601</v>
      </c>
      <c r="K288" s="946" t="s">
        <v>2602</v>
      </c>
      <c r="L288" s="946" t="s">
        <v>197</v>
      </c>
      <c r="M288" s="418" t="s">
        <v>1876</v>
      </c>
      <c r="N288" s="948" t="s">
        <v>1887</v>
      </c>
      <c r="O288" s="948" t="s">
        <v>115</v>
      </c>
      <c r="P288" s="951" t="s">
        <v>1894</v>
      </c>
      <c r="Q288" s="951" t="str">
        <f>+'3.Intervenciones Transv. Region'!F27</f>
        <v>Alianzas privadas entre empresas y productores.</v>
      </c>
      <c r="R288" s="405">
        <f>+'3.Intervenciones Transv. Region'!I27</f>
        <v>50</v>
      </c>
      <c r="S288" s="405">
        <f>+'3.Intervenciones Transv. Region'!I27</f>
        <v>50</v>
      </c>
      <c r="T288" s="405">
        <f>+'3.Intervenciones Transv. Region'!J27</f>
        <v>40</v>
      </c>
      <c r="U288" s="405">
        <f>+'3.Intervenciones Transv. Region'!K27</f>
        <v>24000</v>
      </c>
      <c r="V288" s="403" t="str">
        <f>+'3.Intervenciones Transv. Region'!L27</f>
        <v>Contratación de especialistas para levantar la información de potenciales alianzas, asistencia técnica en fortalecimiento organizacional y comercial, relaciones comerciales, prácticas agrícolas innovadoras, desarrollo de proveedores y productos financieros, movilidad a áreas productivas, talleres con productores, reuniones con empresas y productores, preparación de propuestas de proyectos o acceso a financiamiento, elaboración de base de datos, diseño de salvaguardas y sistema de monitoreo.</v>
      </c>
      <c r="W288" s="403" t="str">
        <f>+'3.Intervenciones Transv. Region'!M27</f>
        <v>GRDE-DIRCETUR-OPIPS</v>
      </c>
      <c r="X288" s="588">
        <f>+'3.Intervenciones Transv. Region'!N27</f>
        <v>1200000</v>
      </c>
      <c r="Y288" s="588">
        <f>+Tabla1[[#This Row],[2025 Directo]]*(1+$Y$3)</f>
        <v>1212600</v>
      </c>
      <c r="Z288" s="588">
        <f>+'3.Intervenciones Transv. Region'!O27</f>
        <v>960000</v>
      </c>
      <c r="AA288" s="588">
        <f>+Tabla1[[#This Row],[2030 Directo]]*(1+$Y$3)</f>
        <v>970080</v>
      </c>
      <c r="AB288" s="588">
        <f>+'3.Intervenciones Transv. Region'!P27</f>
        <v>240000</v>
      </c>
      <c r="AC288" s="588">
        <f>+Tabla1[[#This Row],[Año 1 Cto Directo]]*(1+$Y$3)</f>
        <v>242520</v>
      </c>
      <c r="AD288" s="588">
        <f>+'3.Intervenciones Transv. Region'!Q27</f>
        <v>240000</v>
      </c>
      <c r="AE288" s="588">
        <f>+Tabla1[[#This Row],[Año 2 Cto. Directo]]*(1+$Y$3)</f>
        <v>242520</v>
      </c>
      <c r="AF288" s="588">
        <f>+'3.Intervenciones Transv. Region'!R27</f>
        <v>240000</v>
      </c>
      <c r="AG288" s="588">
        <f>+Tabla1[[#This Row],[Año 3 Cto. Directo]]*(1+$Y$3)</f>
        <v>242520</v>
      </c>
      <c r="AH288" s="588">
        <f>+'3.Intervenciones Transv. Region'!S27</f>
        <v>240000</v>
      </c>
      <c r="AI288" s="588">
        <f>+Tabla1[[#This Row],[Año 4 Cto. Directo]]*(1+$Y$3)</f>
        <v>242520</v>
      </c>
      <c r="AJ288" s="588">
        <f>+'3.Intervenciones Transv. Region'!T27</f>
        <v>240000</v>
      </c>
      <c r="AK288" s="588">
        <f>+Tabla1[[#This Row],[Año 5 Cto. Directo]]*(1+$Y$3)</f>
        <v>242520</v>
      </c>
      <c r="AL288" s="405">
        <f>+'3.Intervenciones Transv. Region'!U27</f>
        <v>0</v>
      </c>
      <c r="AM288" s="956"/>
      <c r="AN288" s="956"/>
      <c r="AO288" s="956">
        <f>+'3.Intervenciones Transv. Region'!X27</f>
        <v>0</v>
      </c>
      <c r="AP288" s="956"/>
      <c r="AQ288" s="956"/>
      <c r="AR288" s="954">
        <f>+'3.Intervenciones Transv. Region'!AA27</f>
        <v>2</v>
      </c>
      <c r="AS288" s="403">
        <f t="shared" si="18"/>
        <v>0</v>
      </c>
    </row>
    <row r="289" spans="2:45" s="195" customFormat="1" ht="15.8" hidden="1" customHeight="1" x14ac:dyDescent="0.3">
      <c r="B289" s="403" t="s">
        <v>139</v>
      </c>
      <c r="C289" s="403" t="str">
        <f>'3.Intervenciones Transv. Region'!$C$6</f>
        <v>Intervenciones Transversales X Región</v>
      </c>
      <c r="D289" s="404" t="str">
        <f>+'3.Intervenciones Transv. Region'!A28</f>
        <v>Programas de inversión privada</v>
      </c>
      <c r="E289" s="404">
        <f>+'3.Intervenciones Transv. Region'!C28</f>
        <v>20</v>
      </c>
      <c r="F289" s="410" t="str">
        <f>+'3.Intervenciones Transv. Region'!D28</f>
        <v>Estrategia de promoción de productos regionales bajos en emisiones.</v>
      </c>
      <c r="G289" s="403" t="str">
        <f>+'3.Intervenciones Transv. Region'!E28</f>
        <v xml:space="preserve">
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v>
      </c>
      <c r="H289" s="948" t="s">
        <v>1857</v>
      </c>
      <c r="I289" s="946" t="s">
        <v>193</v>
      </c>
      <c r="J289" s="946" t="s">
        <v>2601</v>
      </c>
      <c r="K289" s="946" t="s">
        <v>2602</v>
      </c>
      <c r="L289" s="946" t="s">
        <v>197</v>
      </c>
      <c r="M289" s="418" t="s">
        <v>1892</v>
      </c>
      <c r="N289" s="948" t="s">
        <v>1887</v>
      </c>
      <c r="O289" s="948" t="s">
        <v>115</v>
      </c>
      <c r="P289" s="951" t="s">
        <v>1894</v>
      </c>
      <c r="Q289" s="951" t="str">
        <f>+'3.Intervenciones Transv. Region'!F28</f>
        <v>Estudios de mercado</v>
      </c>
      <c r="R289" s="405">
        <f>+'3.Intervenciones Transv. Region'!I28</f>
        <v>8</v>
      </c>
      <c r="S289" s="405">
        <f>+'3.Intervenciones Transv. Region'!I28</f>
        <v>8</v>
      </c>
      <c r="T289" s="405">
        <f>+'3.Intervenciones Transv. Region'!J28</f>
        <v>8</v>
      </c>
      <c r="U289" s="405">
        <f>+'3.Intervenciones Transv. Region'!K28</f>
        <v>78000</v>
      </c>
      <c r="V289" s="403" t="str">
        <f>+'3.Intervenciones Transv. Region'!L28</f>
        <v>El costo incluye la elaboración de 8 estudios de mercado, estrategias comerciales  e implementación de instrumentos de promoción en los 4 primeros años (S/ 30,000.0 por estudio) y la contratación de  un especialista en DIRCETUR para monitoreo e implementación de dichos estudios por un monto de S/ 48,000.00 al año.</v>
      </c>
      <c r="W289" s="403" t="str">
        <f>+'3.Intervenciones Transv. Region'!M28</f>
        <v>DIRCETUR-GRDE</v>
      </c>
      <c r="X289" s="588">
        <f>+'3.Intervenciones Transv. Region'!N28</f>
        <v>480000</v>
      </c>
      <c r="Y289" s="588">
        <f>+Tabla1[[#This Row],[2025 Directo]]*(1+$Y$3)</f>
        <v>485040</v>
      </c>
      <c r="Z289" s="588">
        <f>+'3.Intervenciones Transv. Region'!O28</f>
        <v>480000</v>
      </c>
      <c r="AA289" s="588">
        <f>+Tabla1[[#This Row],[2030 Directo]]*(1+$Y$3)</f>
        <v>485040</v>
      </c>
      <c r="AB289" s="588">
        <f>+'3.Intervenciones Transv. Region'!P28</f>
        <v>108000</v>
      </c>
      <c r="AC289" s="588">
        <f>+Tabla1[[#This Row],[Año 1 Cto Directo]]*(1+$Y$3)</f>
        <v>109134</v>
      </c>
      <c r="AD289" s="588">
        <f>+'3.Intervenciones Transv. Region'!Q28</f>
        <v>108000</v>
      </c>
      <c r="AE289" s="588">
        <f>+Tabla1[[#This Row],[Año 2 Cto. Directo]]*(1+$Y$3)</f>
        <v>109134</v>
      </c>
      <c r="AF289" s="588">
        <f>+'3.Intervenciones Transv. Region'!R28</f>
        <v>108000</v>
      </c>
      <c r="AG289" s="588">
        <f>+Tabla1[[#This Row],[Año 3 Cto. Directo]]*(1+$Y$3)</f>
        <v>109134</v>
      </c>
      <c r="AH289" s="588">
        <f>+'3.Intervenciones Transv. Region'!S28</f>
        <v>108000</v>
      </c>
      <c r="AI289" s="588">
        <f>+Tabla1[[#This Row],[Año 4 Cto. Directo]]*(1+$Y$3)</f>
        <v>109134</v>
      </c>
      <c r="AJ289" s="588">
        <f>+'3.Intervenciones Transv. Region'!T28</f>
        <v>48000</v>
      </c>
      <c r="AK289" s="588">
        <f>+Tabla1[[#This Row],[Año 5 Cto. Directo]]*(1+$Y$3)</f>
        <v>48504</v>
      </c>
      <c r="AL289" s="405">
        <f>+'3.Intervenciones Transv. Region'!U28</f>
        <v>0</v>
      </c>
      <c r="AM289" s="956"/>
      <c r="AN289" s="956"/>
      <c r="AO289" s="956">
        <f>+'3.Intervenciones Transv. Region'!X28</f>
        <v>0</v>
      </c>
      <c r="AP289" s="956"/>
      <c r="AQ289" s="956"/>
      <c r="AR289" s="954">
        <f>+'3.Intervenciones Transv. Region'!AA28</f>
        <v>2</v>
      </c>
      <c r="AS289" s="403">
        <f t="shared" si="18"/>
        <v>0</v>
      </c>
    </row>
    <row r="290" spans="2:45" s="195" customFormat="1" ht="15.8" hidden="1" customHeight="1" x14ac:dyDescent="0.3">
      <c r="B290" s="403" t="s">
        <v>139</v>
      </c>
      <c r="C290" s="403" t="str">
        <f>'3.Intervenciones Transv. Region'!$C$6</f>
        <v>Intervenciones Transversales X Región</v>
      </c>
      <c r="D290" s="404" t="str">
        <f>+'3.Intervenciones Transv. Region'!A29</f>
        <v>Programas de inversión pública</v>
      </c>
      <c r="E290" s="404">
        <f>+'3.Intervenciones Transv. Region'!C29</f>
        <v>21</v>
      </c>
      <c r="F290" s="410" t="str">
        <f>+'3.Intervenciones Transv. Region'!D29</f>
        <v>Acuerdo regional de producción baja en emisiones e implementación de iniciativa de campeones por los bosques tropicales (TFC) en el marco de la coalición público privada por una producción sostenible.</v>
      </c>
      <c r="G290" s="403" t="str">
        <f>+'3.Intervenciones Transv. Region'!E29</f>
        <v>Reuniones de trabajo con gremios para firma de acuerdo, firma de acuerdo, monitoreo de cumplimiento, generar información para la iniciativa de campeones por los bosques tropicales (TFC), reuniones del espacio regional de la coalición público privada por una producción sostenible</v>
      </c>
      <c r="H290" s="948" t="s">
        <v>1857</v>
      </c>
      <c r="I290" s="946" t="s">
        <v>203</v>
      </c>
      <c r="J290" s="946" t="s">
        <v>2599</v>
      </c>
      <c r="K290" s="946" t="s">
        <v>2600</v>
      </c>
      <c r="L290" s="946" t="s">
        <v>204</v>
      </c>
      <c r="M290" s="418" t="s">
        <v>1892</v>
      </c>
      <c r="N290" s="948" t="s">
        <v>1887</v>
      </c>
      <c r="O290" s="948" t="s">
        <v>115</v>
      </c>
      <c r="P290" s="951" t="s">
        <v>1894</v>
      </c>
      <c r="Q290" s="951" t="str">
        <f>+'3.Intervenciones Transv. Region'!F29</f>
        <v xml:space="preserve">Acuerdos </v>
      </c>
      <c r="R290" s="405">
        <f>+'3.Intervenciones Transv. Region'!I29</f>
        <v>1</v>
      </c>
      <c r="S290" s="405">
        <f>+'3.Intervenciones Transv. Region'!I29</f>
        <v>1</v>
      </c>
      <c r="T290" s="405">
        <f>+'3.Intervenciones Transv. Region'!J29</f>
        <v>0</v>
      </c>
      <c r="U290" s="405">
        <f>+'3.Intervenciones Transv. Region'!K29</f>
        <v>61000</v>
      </c>
      <c r="V290" s="403" t="str">
        <f>+'3.Intervenciones Transv. Region'!L29</f>
        <v>Reuniones de trabajo con empresas, asociaciones de productores y gremios, generar información, reuniones públicas de presentación de acuerdos, difusión internacional de acuerdos</v>
      </c>
      <c r="W290" s="403" t="str">
        <f>+'3.Intervenciones Transv. Region'!M29</f>
        <v>ARA-SERFOR-DRASAM-GRDE</v>
      </c>
      <c r="X290" s="588">
        <f>+'3.Intervenciones Transv. Region'!N29</f>
        <v>61000</v>
      </c>
      <c r="Y290" s="588">
        <f>+Tabla1[[#This Row],[2025 Directo]]*(1+$Y$3)</f>
        <v>61640.5</v>
      </c>
      <c r="Z290" s="588">
        <f>+'3.Intervenciones Transv. Region'!O29</f>
        <v>0</v>
      </c>
      <c r="AA290" s="588">
        <f>+Tabla1[[#This Row],[2030 Directo]]*(1+$Y$3)</f>
        <v>0</v>
      </c>
      <c r="AB290" s="588">
        <f>+'3.Intervenciones Transv. Region'!P29</f>
        <v>30500</v>
      </c>
      <c r="AC290" s="588">
        <f>+Tabla1[[#This Row],[Año 1 Cto Directo]]*(1+$Y$3)</f>
        <v>30820.25</v>
      </c>
      <c r="AD290" s="588">
        <f>+'3.Intervenciones Transv. Region'!Q29</f>
        <v>30500</v>
      </c>
      <c r="AE290" s="588">
        <f>+Tabla1[[#This Row],[Año 2 Cto. Directo]]*(1+$Y$3)</f>
        <v>30820.25</v>
      </c>
      <c r="AF290" s="588">
        <f>+'3.Intervenciones Transv. Region'!R29</f>
        <v>0</v>
      </c>
      <c r="AG290" s="588">
        <f>+Tabla1[[#This Row],[Año 3 Cto. Directo]]*(1+$Y$3)</f>
        <v>0</v>
      </c>
      <c r="AH290" s="588">
        <f>+'3.Intervenciones Transv. Region'!S29</f>
        <v>0</v>
      </c>
      <c r="AI290" s="588">
        <f>+Tabla1[[#This Row],[Año 4 Cto. Directo]]*(1+$Y$3)</f>
        <v>0</v>
      </c>
      <c r="AJ290" s="588">
        <f>+'3.Intervenciones Transv. Region'!T29</f>
        <v>0</v>
      </c>
      <c r="AK290" s="588">
        <f>+Tabla1[[#This Row],[Año 5 Cto. Directo]]*(1+$Y$3)</f>
        <v>0</v>
      </c>
      <c r="AL290" s="405">
        <f>+'3.Intervenciones Transv. Region'!U29</f>
        <v>0</v>
      </c>
      <c r="AM290" s="956"/>
      <c r="AN290" s="956"/>
      <c r="AO290" s="956">
        <f>+'3.Intervenciones Transv. Region'!X29</f>
        <v>0</v>
      </c>
      <c r="AP290" s="956"/>
      <c r="AQ290" s="956"/>
      <c r="AR290" s="954">
        <f>+'3.Intervenciones Transv. Region'!AA29</f>
        <v>3</v>
      </c>
      <c r="AS290" s="403">
        <f t="shared" si="18"/>
        <v>0</v>
      </c>
    </row>
    <row r="291" spans="2:45" s="195" customFormat="1" ht="15.8" hidden="1" customHeight="1" x14ac:dyDescent="0.3">
      <c r="B291" s="403" t="s">
        <v>139</v>
      </c>
      <c r="C291" s="403" t="str">
        <f>'3.Intervenciones Transv. Region'!$C$6</f>
        <v>Intervenciones Transversales X Región</v>
      </c>
      <c r="D291" s="404" t="str">
        <f>+'3.Intervenciones Transv. Region'!A30</f>
        <v>Corrupción</v>
      </c>
      <c r="E291" s="404">
        <f>+'3.Intervenciones Transv. Region'!C30</f>
        <v>22</v>
      </c>
      <c r="F291" s="410" t="str">
        <f>+'3.Intervenciones Transv. Region'!D30</f>
        <v>Programa de capacitación para funcionarios del gobierno regional sobre ética y anticorrupción.</v>
      </c>
      <c r="G291" s="403" t="str">
        <f>+'3.Intervenciones Transv. Region'!E30</f>
        <v>Diseño de programa de capacitación e implementación, para hacer conocer y cumplir el código de ética de la función pública para evitar los actos de corrupción.</v>
      </c>
      <c r="H291" s="948" t="s">
        <v>1857</v>
      </c>
      <c r="I291" s="946" t="s">
        <v>199</v>
      </c>
      <c r="J291" s="946" t="s">
        <v>2603</v>
      </c>
      <c r="K291" s="946" t="s">
        <v>2604</v>
      </c>
      <c r="L291" s="946" t="s">
        <v>202</v>
      </c>
      <c r="M291" s="418" t="s">
        <v>1858</v>
      </c>
      <c r="N291" s="948" t="s">
        <v>1887</v>
      </c>
      <c r="O291" s="948" t="s">
        <v>115</v>
      </c>
      <c r="P291" s="951" t="s">
        <v>1894</v>
      </c>
      <c r="Q291" s="951" t="str">
        <f>+'3.Intervenciones Transv. Region'!F30</f>
        <v>Funcionarios capacitados que aprueban evaluación</v>
      </c>
      <c r="R291" s="405">
        <f>+'3.Intervenciones Transv. Region'!I30</f>
        <v>75</v>
      </c>
      <c r="S291" s="405">
        <f>+'3.Intervenciones Transv. Region'!I30</f>
        <v>75</v>
      </c>
      <c r="T291" s="405">
        <f>+'3.Intervenciones Transv. Region'!J30</f>
        <v>75</v>
      </c>
      <c r="U291" s="405">
        <f>+'3.Intervenciones Transv. Region'!K30</f>
        <v>25</v>
      </c>
      <c r="V291" s="403" t="str">
        <f>+'3.Intervenciones Transv. Region'!L30</f>
        <v>Diseño de modulo de capacitación, implementación de curso y evaluación para funcionarios regionales</v>
      </c>
      <c r="W291" s="403" t="str">
        <f>+'3.Intervenciones Transv. Region'!M30</f>
        <v>GRSM</v>
      </c>
      <c r="X291" s="588">
        <f>+'3.Intervenciones Transv. Region'!N30</f>
        <v>18750</v>
      </c>
      <c r="Y291" s="588">
        <f>+Tabla1[[#This Row],[2025 Directo]]*(1+$Y$3)</f>
        <v>18946.875</v>
      </c>
      <c r="Z291" s="588">
        <f>+'3.Intervenciones Transv. Region'!O30</f>
        <v>1875</v>
      </c>
      <c r="AA291" s="588">
        <f>+Tabla1[[#This Row],[2030 Directo]]*(1+$Y$3)</f>
        <v>1894.6875</v>
      </c>
      <c r="AB291" s="588">
        <f>+'3.Intervenciones Transv. Region'!P30</f>
        <v>3750</v>
      </c>
      <c r="AC291" s="588">
        <f>+Tabla1[[#This Row],[Año 1 Cto Directo]]*(1+$Y$3)</f>
        <v>3789.375</v>
      </c>
      <c r="AD291" s="588">
        <f>+'3.Intervenciones Transv. Region'!Q30</f>
        <v>3750</v>
      </c>
      <c r="AE291" s="588">
        <f>+Tabla1[[#This Row],[Año 2 Cto. Directo]]*(1+$Y$3)</f>
        <v>3789.375</v>
      </c>
      <c r="AF291" s="588">
        <f>+'3.Intervenciones Transv. Region'!R30</f>
        <v>3750</v>
      </c>
      <c r="AG291" s="588">
        <f>+Tabla1[[#This Row],[Año 3 Cto. Directo]]*(1+$Y$3)</f>
        <v>3789.375</v>
      </c>
      <c r="AH291" s="588">
        <f>+'3.Intervenciones Transv. Region'!S30</f>
        <v>3750</v>
      </c>
      <c r="AI291" s="588">
        <f>+Tabla1[[#This Row],[Año 4 Cto. Directo]]*(1+$Y$3)</f>
        <v>3789.375</v>
      </c>
      <c r="AJ291" s="588">
        <f>+'3.Intervenciones Transv. Region'!T30</f>
        <v>3750</v>
      </c>
      <c r="AK291" s="588">
        <f>+Tabla1[[#This Row],[Año 5 Cto. Directo]]*(1+$Y$3)</f>
        <v>3789.375</v>
      </c>
      <c r="AL291" s="405">
        <f>+'3.Intervenciones Transv. Region'!U30</f>
        <v>0</v>
      </c>
      <c r="AM291" s="956"/>
      <c r="AN291" s="956"/>
      <c r="AO291" s="956">
        <f>+'3.Intervenciones Transv. Region'!X30</f>
        <v>0</v>
      </c>
      <c r="AP291" s="956"/>
      <c r="AQ291" s="956"/>
      <c r="AR291" s="954">
        <f>+'3.Intervenciones Transv. Region'!AA30</f>
        <v>2</v>
      </c>
      <c r="AS291" s="403">
        <f t="shared" si="18"/>
        <v>0</v>
      </c>
    </row>
    <row r="292" spans="2:45" s="195" customFormat="1" ht="15.8" hidden="1" customHeight="1" x14ac:dyDescent="0.3">
      <c r="B292" s="403" t="s">
        <v>139</v>
      </c>
      <c r="C292" s="403" t="str">
        <f>'3.Intervenciones Transv. Region'!$C$6</f>
        <v>Intervenciones Transversales X Región</v>
      </c>
      <c r="D292" s="404" t="str">
        <f>+'3.Intervenciones Transv. Region'!A31</f>
        <v>Corrupción</v>
      </c>
      <c r="E292" s="404">
        <f>+'3.Intervenciones Transv. Region'!C31</f>
        <v>23</v>
      </c>
      <c r="F292" s="410" t="str">
        <f>+'3.Intervenciones Transv. Region'!D31</f>
        <v>Simplificación administrativa de tramites de derechos sobre la tierra y los recursos naturales.</v>
      </c>
      <c r="G292" s="403" t="str">
        <f>+'3.Intervenciones Transv. Region'!E31</f>
        <v>Mejora de los TUPAs (incluye proceso integrado para clasificación de suelos + uso actual de la ley forestal), material de difusión, y capacitaciones periódicas a usuarios</v>
      </c>
      <c r="H292" s="948" t="s">
        <v>1857</v>
      </c>
      <c r="I292" s="946" t="s">
        <v>199</v>
      </c>
      <c r="J292" s="946" t="s">
        <v>2603</v>
      </c>
      <c r="K292" s="946" t="s">
        <v>2604</v>
      </c>
      <c r="L292" s="946" t="s">
        <v>202</v>
      </c>
      <c r="M292" s="418" t="s">
        <v>1858</v>
      </c>
      <c r="N292" s="948" t="s">
        <v>1887</v>
      </c>
      <c r="O292" s="948" t="s">
        <v>115</v>
      </c>
      <c r="P292" s="951" t="s">
        <v>1894</v>
      </c>
      <c r="Q292" s="951" t="str">
        <f>+'3.Intervenciones Transv. Region'!F31</f>
        <v xml:space="preserve">TUPA  mejorado </v>
      </c>
      <c r="R292" s="405">
        <f>+'3.Intervenciones Transv. Region'!I31</f>
        <v>1</v>
      </c>
      <c r="S292" s="405">
        <f>+'3.Intervenciones Transv. Region'!I31</f>
        <v>1</v>
      </c>
      <c r="T292" s="405">
        <f>+'3.Intervenciones Transv. Region'!J31</f>
        <v>0</v>
      </c>
      <c r="U292" s="405">
        <f>+'3.Intervenciones Transv. Region'!K31</f>
        <v>150000</v>
      </c>
      <c r="V292" s="403" t="str">
        <f>+'3.Intervenciones Transv. Region'!L31</f>
        <v>Consultoría de análisis de procedimientos administrativos regionales de la DRA, ARA, GDE, OPIPS, elaboración de proyecto de TUPA, aprobación de TUPA, capacitación a funcionarios, difusión en portal web y elaboración de material informativo para usuarios</v>
      </c>
      <c r="W292" s="403" t="str">
        <f>+'3.Intervenciones Transv. Region'!M31</f>
        <v>GRSM</v>
      </c>
      <c r="X292" s="588">
        <f>+'3.Intervenciones Transv. Region'!N31</f>
        <v>150000</v>
      </c>
      <c r="Y292" s="588">
        <f>+Tabla1[[#This Row],[2025 Directo]]*(1+$Y$3)</f>
        <v>151575</v>
      </c>
      <c r="Z292" s="588">
        <f>+'3.Intervenciones Transv. Region'!O31</f>
        <v>0</v>
      </c>
      <c r="AA292" s="588">
        <f>+Tabla1[[#This Row],[2030 Directo]]*(1+$Y$3)</f>
        <v>0</v>
      </c>
      <c r="AB292" s="588">
        <f>+'3.Intervenciones Transv. Region'!P31</f>
        <v>150000</v>
      </c>
      <c r="AC292" s="588">
        <f>+Tabla1[[#This Row],[Año 1 Cto Directo]]*(1+$Y$3)</f>
        <v>151575</v>
      </c>
      <c r="AD292" s="588">
        <f>+'3.Intervenciones Transv. Region'!Q31</f>
        <v>0</v>
      </c>
      <c r="AE292" s="588">
        <f>+Tabla1[[#This Row],[Año 2 Cto. Directo]]*(1+$Y$3)</f>
        <v>0</v>
      </c>
      <c r="AF292" s="588">
        <f>+'3.Intervenciones Transv. Region'!R31</f>
        <v>0</v>
      </c>
      <c r="AG292" s="588">
        <f>+Tabla1[[#This Row],[Año 3 Cto. Directo]]*(1+$Y$3)</f>
        <v>0</v>
      </c>
      <c r="AH292" s="588">
        <f>+'3.Intervenciones Transv. Region'!S31</f>
        <v>0</v>
      </c>
      <c r="AI292" s="588">
        <f>+Tabla1[[#This Row],[Año 4 Cto. Directo]]*(1+$Y$3)</f>
        <v>0</v>
      </c>
      <c r="AJ292" s="588">
        <f>+'3.Intervenciones Transv. Region'!T31</f>
        <v>0</v>
      </c>
      <c r="AK292" s="588">
        <f>+Tabla1[[#This Row],[Año 5 Cto. Directo]]*(1+$Y$3)</f>
        <v>0</v>
      </c>
      <c r="AL292" s="405">
        <f>+'3.Intervenciones Transv. Region'!U31</f>
        <v>0</v>
      </c>
      <c r="AM292" s="956"/>
      <c r="AN292" s="956"/>
      <c r="AO292" s="956">
        <f>+'3.Intervenciones Transv. Region'!X31</f>
        <v>0</v>
      </c>
      <c r="AP292" s="956"/>
      <c r="AQ292" s="956"/>
      <c r="AR292" s="954">
        <f>+'3.Intervenciones Transv. Region'!AA31</f>
        <v>3</v>
      </c>
      <c r="AS292" s="403">
        <f t="shared" si="18"/>
        <v>0</v>
      </c>
    </row>
    <row r="293" spans="2:45" s="195" customFormat="1" ht="15.8" hidden="1" customHeight="1" x14ac:dyDescent="0.3">
      <c r="B293" s="403" t="s">
        <v>139</v>
      </c>
      <c r="C293" s="403" t="str">
        <f>'3.Intervenciones Transv. Region'!$C$6</f>
        <v>Intervenciones Transversales X Región</v>
      </c>
      <c r="D293" s="404" t="str">
        <f>+'3.Intervenciones Transv. Region'!A32</f>
        <v>Corrupción</v>
      </c>
      <c r="E293" s="404">
        <f>+'3.Intervenciones Transv. Region'!C32</f>
        <v>24</v>
      </c>
      <c r="F293" s="410" t="str">
        <f>+'3.Intervenciones Transv. Region'!D32</f>
        <v xml:space="preserve">Implementar un clasificador de cargos acorde a la normativa vigente para lograr la competitividad de los funcionarios públicos. </v>
      </c>
      <c r="G293" s="403" t="str">
        <f>+'3.Intervenciones Transv. Region'!E32</f>
        <v xml:space="preserve">Implementar a nivel regional un clasificador de cargos por especialidades y competencias de las distintas áreas del GRSM, con la finalidad de contar con profesionales altamente capacitados y con experiencia, acorde a los distintos cargos que se disponga en el ámbito regional. Considerar asi mismo afectar esta disposición a los cargos de confianza cumpliendo los requisitos plasmados en el clasificador. </v>
      </c>
      <c r="H293" s="948" t="s">
        <v>1857</v>
      </c>
      <c r="I293" s="946" t="s">
        <v>199</v>
      </c>
      <c r="J293" s="946" t="s">
        <v>2603</v>
      </c>
      <c r="K293" s="946" t="s">
        <v>2604</v>
      </c>
      <c r="L293" s="946" t="s">
        <v>202</v>
      </c>
      <c r="M293" s="418" t="s">
        <v>1858</v>
      </c>
      <c r="N293" s="948" t="s">
        <v>1887</v>
      </c>
      <c r="O293" s="948" t="s">
        <v>115</v>
      </c>
      <c r="P293" s="951" t="s">
        <v>1894</v>
      </c>
      <c r="Q293" s="951" t="str">
        <f>+'3.Intervenciones Transv. Region'!F32</f>
        <v>Clasificador de cargos implementado</v>
      </c>
      <c r="R293" s="405">
        <f>+'3.Intervenciones Transv. Region'!I32</f>
        <v>1</v>
      </c>
      <c r="S293" s="405">
        <f>+'3.Intervenciones Transv. Region'!I32</f>
        <v>1</v>
      </c>
      <c r="T293" s="405">
        <f>+'3.Intervenciones Transv. Region'!J32</f>
        <v>1</v>
      </c>
      <c r="U293" s="405">
        <f>+'3.Intervenciones Transv. Region'!K32</f>
        <v>50000</v>
      </c>
      <c r="V293" s="403" t="str">
        <f>+'3.Intervenciones Transv. Region'!L32</f>
        <v>Consultorías, reuniones con trabajadores, sistematización de información y punto focal responsable de implementación</v>
      </c>
      <c r="W293" s="403" t="str">
        <f>+'3.Intervenciones Transv. Region'!M32</f>
        <v>GRSM</v>
      </c>
      <c r="X293" s="588">
        <f>+'3.Intervenciones Transv. Region'!N32</f>
        <v>60000</v>
      </c>
      <c r="Y293" s="588">
        <f>+Tabla1[[#This Row],[2025 Directo]]*(1+$Y$3)</f>
        <v>60630</v>
      </c>
      <c r="Z293" s="588">
        <f>+'3.Intervenciones Transv. Region'!O32</f>
        <v>0</v>
      </c>
      <c r="AA293" s="588">
        <f>+Tabla1[[#This Row],[2030 Directo]]*(1+$Y$3)</f>
        <v>0</v>
      </c>
      <c r="AB293" s="588">
        <f>+'3.Intervenciones Transv. Region'!P32</f>
        <v>60000</v>
      </c>
      <c r="AC293" s="588">
        <f>+Tabla1[[#This Row],[Año 1 Cto Directo]]*(1+$Y$3)</f>
        <v>60630</v>
      </c>
      <c r="AD293" s="588">
        <f>+'3.Intervenciones Transv. Region'!Q32</f>
        <v>0</v>
      </c>
      <c r="AE293" s="588">
        <f>+Tabla1[[#This Row],[Año 2 Cto. Directo]]*(1+$Y$3)</f>
        <v>0</v>
      </c>
      <c r="AF293" s="588">
        <f>+'3.Intervenciones Transv. Region'!R32</f>
        <v>0</v>
      </c>
      <c r="AG293" s="588">
        <f>+Tabla1[[#This Row],[Año 3 Cto. Directo]]*(1+$Y$3)</f>
        <v>0</v>
      </c>
      <c r="AH293" s="588">
        <f>+'3.Intervenciones Transv. Region'!S32</f>
        <v>0</v>
      </c>
      <c r="AI293" s="588">
        <f>+Tabla1[[#This Row],[Año 4 Cto. Directo]]*(1+$Y$3)</f>
        <v>0</v>
      </c>
      <c r="AJ293" s="588">
        <f>+'3.Intervenciones Transv. Region'!T32</f>
        <v>0</v>
      </c>
      <c r="AK293" s="588">
        <f>+Tabla1[[#This Row],[Año 5 Cto. Directo]]*(1+$Y$3)</f>
        <v>0</v>
      </c>
      <c r="AL293" s="405">
        <f>+'3.Intervenciones Transv. Region'!U32</f>
        <v>0</v>
      </c>
      <c r="AM293" s="956"/>
      <c r="AN293" s="956"/>
      <c r="AO293" s="956">
        <f>+'3.Intervenciones Transv. Region'!X32</f>
        <v>0</v>
      </c>
      <c r="AP293" s="956"/>
      <c r="AQ293" s="956"/>
      <c r="AR293" s="954">
        <f>+'3.Intervenciones Transv. Region'!AA32</f>
        <v>2</v>
      </c>
      <c r="AS293" s="403">
        <f t="shared" si="18"/>
        <v>0</v>
      </c>
    </row>
    <row r="294" spans="2:45" s="195" customFormat="1" ht="15.8" hidden="1" customHeight="1" x14ac:dyDescent="0.3">
      <c r="B294" s="403" t="s">
        <v>139</v>
      </c>
      <c r="C294" s="403" t="str">
        <f>'3.Intervenciones Transv. Region'!$C$6</f>
        <v>Intervenciones Transversales X Región</v>
      </c>
      <c r="D294" s="404" t="str">
        <f>+'3.Intervenciones Transv. Region'!A33</f>
        <v>Corrupción</v>
      </c>
      <c r="E294" s="404">
        <f>+'3.Intervenciones Transv. Region'!C33</f>
        <v>25</v>
      </c>
      <c r="F294" s="410" t="str">
        <f>+'3.Intervenciones Transv. Region'!D33</f>
        <v>Fortalecimiento de la oficina de control interno del Gobierno Regional San Martín y la fiscalía anticorrupción regional.</v>
      </c>
      <c r="G294" s="403" t="str">
        <f>+'3.Intervenciones Transv. Region'!E33</f>
        <v>Ejecutar un estudio sobre las necesidades de la OCI Regional y las OCI de las diferentes direcciones regionales y proyectos especiales referidos a la necesidad de especialistas por cada oficina, asi mismo el perfil profesional minimo para cubrir dichos puestos. Con la finalidad de mejorar y asegurar el ejercicio oportuno, efectivo y eficiente del control gubernamental, así como de optimizar sus capacidades orientadas a la prevención y lucha contra la corrupción.</v>
      </c>
      <c r="H294" s="948" t="s">
        <v>1857</v>
      </c>
      <c r="I294" s="946" t="s">
        <v>199</v>
      </c>
      <c r="J294" s="946" t="s">
        <v>2603</v>
      </c>
      <c r="K294" s="946" t="s">
        <v>2604</v>
      </c>
      <c r="L294" s="946" t="s">
        <v>202</v>
      </c>
      <c r="M294" s="418" t="s">
        <v>1858</v>
      </c>
      <c r="N294" s="948" t="s">
        <v>1887</v>
      </c>
      <c r="O294" s="948" t="s">
        <v>115</v>
      </c>
      <c r="P294" s="951" t="s">
        <v>1894</v>
      </c>
      <c r="Q294" s="951" t="str">
        <f>+'3.Intervenciones Transv. Region'!F33</f>
        <v>Estudio</v>
      </c>
      <c r="R294" s="405">
        <f>+'3.Intervenciones Transv. Region'!I33</f>
        <v>1</v>
      </c>
      <c r="S294" s="405">
        <f>+'3.Intervenciones Transv. Region'!I33</f>
        <v>1</v>
      </c>
      <c r="T294" s="405">
        <f>+'3.Intervenciones Transv. Region'!J33</f>
        <v>1</v>
      </c>
      <c r="U294" s="405">
        <f>+'3.Intervenciones Transv. Region'!K33</f>
        <v>30000</v>
      </c>
      <c r="V294" s="403" t="str">
        <f>+'3.Intervenciones Transv. Region'!L33</f>
        <v xml:space="preserve">El costo va estar orientado a tener un equipo con personal especializado </v>
      </c>
      <c r="W294" s="403" t="str">
        <f>+'3.Intervenciones Transv. Region'!M33</f>
        <v>CONTRALORIA, OCI, GRSM</v>
      </c>
      <c r="X294" s="588">
        <f>+'3.Intervenciones Transv. Region'!N33</f>
        <v>50000</v>
      </c>
      <c r="Y294" s="588">
        <f>+Tabla1[[#This Row],[2025 Directo]]*(1+$Y$3)</f>
        <v>50525</v>
      </c>
      <c r="Z294" s="588">
        <f>+'3.Intervenciones Transv. Region'!O33</f>
        <v>0</v>
      </c>
      <c r="AA294" s="588">
        <f>+Tabla1[[#This Row],[2030 Directo]]*(1+$Y$3)</f>
        <v>0</v>
      </c>
      <c r="AB294" s="588">
        <f>+'3.Intervenciones Transv. Region'!P33</f>
        <v>50000</v>
      </c>
      <c r="AC294" s="588">
        <f>+Tabla1[[#This Row],[Año 1 Cto Directo]]*(1+$Y$3)</f>
        <v>50525</v>
      </c>
      <c r="AD294" s="588">
        <f>+'3.Intervenciones Transv. Region'!Q33</f>
        <v>0</v>
      </c>
      <c r="AE294" s="588">
        <f>+Tabla1[[#This Row],[Año 2 Cto. Directo]]*(1+$Y$3)</f>
        <v>0</v>
      </c>
      <c r="AF294" s="588">
        <f>+'3.Intervenciones Transv. Region'!R33</f>
        <v>0</v>
      </c>
      <c r="AG294" s="588">
        <f>+Tabla1[[#This Row],[Año 3 Cto. Directo]]*(1+$Y$3)</f>
        <v>0</v>
      </c>
      <c r="AH294" s="588">
        <f>+'3.Intervenciones Transv. Region'!S33</f>
        <v>0</v>
      </c>
      <c r="AI294" s="588">
        <f>+Tabla1[[#This Row],[Año 4 Cto. Directo]]*(1+$Y$3)</f>
        <v>0</v>
      </c>
      <c r="AJ294" s="588">
        <f>+'3.Intervenciones Transv. Region'!T33</f>
        <v>0</v>
      </c>
      <c r="AK294" s="588">
        <f>+Tabla1[[#This Row],[Año 5 Cto. Directo]]*(1+$Y$3)</f>
        <v>0</v>
      </c>
      <c r="AL294" s="405">
        <f>+'3.Intervenciones Transv. Region'!U33</f>
        <v>0</v>
      </c>
      <c r="AM294" s="956"/>
      <c r="AN294" s="956"/>
      <c r="AO294" s="956">
        <f>+'3.Intervenciones Transv. Region'!X33</f>
        <v>0</v>
      </c>
      <c r="AP294" s="956"/>
      <c r="AQ294" s="956"/>
      <c r="AR294" s="954">
        <f>+'3.Intervenciones Transv. Region'!AA33</f>
        <v>2</v>
      </c>
      <c r="AS294" s="403">
        <f t="shared" si="18"/>
        <v>0</v>
      </c>
    </row>
    <row r="295" spans="2:45" s="195" customFormat="1" ht="15.8" hidden="1" customHeight="1" x14ac:dyDescent="0.3">
      <c r="B295" s="403" t="s">
        <v>139</v>
      </c>
      <c r="C295" s="403" t="str">
        <f>'3.Intervenciones Transv. Region'!$C$6</f>
        <v>Intervenciones Transversales X Región</v>
      </c>
      <c r="D295" s="404" t="str">
        <f>+'3.Intervenciones Transv. Region'!A34</f>
        <v>Corrupción</v>
      </c>
      <c r="E295" s="404">
        <f>+'3.Intervenciones Transv. Region'!C34</f>
        <v>26</v>
      </c>
      <c r="F295" s="410" t="str">
        <f>+'3.Intervenciones Transv. Region'!D34</f>
        <v xml:space="preserve">Campañas de difusión y promoción para prevenir actos de corrupcion en los procesos del codigo de ética de la gestión pública. </v>
      </c>
      <c r="G295" s="403" t="str">
        <f>+'3.Intervenciones Transv. Region'!E34</f>
        <v xml:space="preserve">Campañas orientadas a sensibilizar el impacto negativo de la corrupcion al crecimiento de la región, asi mismo realizar las denuncias correspondientes de forma anónima para que los órganos competentes puedan aplicar sanciones a dichos actos de corrupción. Brindar las medidas de protección necesarias a las personas que denuncian estos actos. </v>
      </c>
      <c r="H295" s="948" t="s">
        <v>1857</v>
      </c>
      <c r="I295" s="946" t="s">
        <v>199</v>
      </c>
      <c r="J295" s="946" t="s">
        <v>2603</v>
      </c>
      <c r="K295" s="946" t="s">
        <v>2604</v>
      </c>
      <c r="L295" s="946" t="s">
        <v>202</v>
      </c>
      <c r="M295" s="418" t="s">
        <v>1892</v>
      </c>
      <c r="N295" s="948" t="s">
        <v>1887</v>
      </c>
      <c r="O295" s="948" t="s">
        <v>115</v>
      </c>
      <c r="P295" s="951" t="s">
        <v>1894</v>
      </c>
      <c r="Q295" s="951" t="str">
        <f>+'3.Intervenciones Transv. Region'!F34</f>
        <v>Campañas de difudión.</v>
      </c>
      <c r="R295" s="405">
        <f>+'3.Intervenciones Transv. Region'!I34</f>
        <v>1</v>
      </c>
      <c r="S295" s="405">
        <f>+'3.Intervenciones Transv. Region'!I34</f>
        <v>1</v>
      </c>
      <c r="T295" s="405">
        <f>+'3.Intervenciones Transv. Region'!J34</f>
        <v>1</v>
      </c>
      <c r="U295" s="405">
        <f>+'3.Intervenciones Transv. Region'!K34</f>
        <v>180000</v>
      </c>
      <c r="V295" s="403" t="str">
        <f>+'3.Intervenciones Transv. Region'!L34</f>
        <v>Reuniones de trabajo con empresas, asociaciones de productores y gremios, generar información, reuniones públicas de presentación de acuerdos</v>
      </c>
      <c r="W295" s="403" t="str">
        <f>+'3.Intervenciones Transv. Region'!M34</f>
        <v>GRSM</v>
      </c>
      <c r="X295" s="588">
        <f>+'3.Intervenciones Transv. Region'!N34</f>
        <v>900000</v>
      </c>
      <c r="Y295" s="588">
        <f>+Tabla1[[#This Row],[2025 Directo]]*(1+$Y$3)</f>
        <v>909450</v>
      </c>
      <c r="Z295" s="588">
        <f>+'3.Intervenciones Transv. Region'!O34</f>
        <v>900000</v>
      </c>
      <c r="AA295" s="588">
        <f>+Tabla1[[#This Row],[2030 Directo]]*(1+$Y$3)</f>
        <v>909450</v>
      </c>
      <c r="AB295" s="588">
        <f>+'3.Intervenciones Transv. Region'!P34</f>
        <v>180000</v>
      </c>
      <c r="AC295" s="588">
        <f>+Tabla1[[#This Row],[Año 1 Cto Directo]]*(1+$Y$3)</f>
        <v>181890</v>
      </c>
      <c r="AD295" s="588">
        <f>+'3.Intervenciones Transv. Region'!Q34</f>
        <v>180000</v>
      </c>
      <c r="AE295" s="588">
        <f>+Tabla1[[#This Row],[Año 2 Cto. Directo]]*(1+$Y$3)</f>
        <v>181890</v>
      </c>
      <c r="AF295" s="588">
        <f>+'3.Intervenciones Transv. Region'!R34</f>
        <v>180000</v>
      </c>
      <c r="AG295" s="588">
        <f>+Tabla1[[#This Row],[Año 3 Cto. Directo]]*(1+$Y$3)</f>
        <v>181890</v>
      </c>
      <c r="AH295" s="588">
        <f>+'3.Intervenciones Transv. Region'!S34</f>
        <v>180000</v>
      </c>
      <c r="AI295" s="588">
        <f>+Tabla1[[#This Row],[Año 4 Cto. Directo]]*(1+$Y$3)</f>
        <v>181890</v>
      </c>
      <c r="AJ295" s="588">
        <f>+'3.Intervenciones Transv. Region'!T34</f>
        <v>180000</v>
      </c>
      <c r="AK295" s="588">
        <f>+Tabla1[[#This Row],[Año 5 Cto. Directo]]*(1+$Y$3)</f>
        <v>181890</v>
      </c>
      <c r="AL295" s="405">
        <f>+'3.Intervenciones Transv. Region'!U34</f>
        <v>0</v>
      </c>
      <c r="AM295" s="956"/>
      <c r="AN295" s="956"/>
      <c r="AO295" s="956">
        <f>+'3.Intervenciones Transv. Region'!X34</f>
        <v>0</v>
      </c>
      <c r="AP295" s="956"/>
      <c r="AQ295" s="956"/>
      <c r="AR295" s="954">
        <f>+'3.Intervenciones Transv. Region'!AA34</f>
        <v>2</v>
      </c>
      <c r="AS295" s="403">
        <f t="shared" si="18"/>
        <v>0</v>
      </c>
    </row>
    <row r="296" spans="2:45" s="195" customFormat="1" ht="15.8" hidden="1" customHeight="1" x14ac:dyDescent="0.3">
      <c r="B296" s="403" t="s">
        <v>139</v>
      </c>
      <c r="C296" s="403" t="str">
        <f>'3.Intervenciones Transv. Region'!$C$6</f>
        <v>Intervenciones Transversales X Región</v>
      </c>
      <c r="D296" s="404" t="str">
        <f>+'3.Intervenciones Transv. Region'!A35</f>
        <v>Control y vigilancia</v>
      </c>
      <c r="E296" s="404">
        <f>+'3.Intervenciones Transv. Region'!C35</f>
        <v>27</v>
      </c>
      <c r="F296" s="410" t="str">
        <f>+'3.Intervenciones Transv. Region'!D35</f>
        <v>Implementación de la mesa regional de control y vigilancia forestal y de fauna silvestre.</v>
      </c>
      <c r="G296" s="403" t="str">
        <f>+'3.Intervenciones Transv. Region'!E35</f>
        <v xml:space="preserve">Reuniones periódicas y extraordinarias de mesa regional de control y vigilancia forestal y de fauna silvestre </v>
      </c>
      <c r="H296" s="948" t="s">
        <v>1857</v>
      </c>
      <c r="I296" s="946" t="s">
        <v>199</v>
      </c>
      <c r="J296" s="946" t="s">
        <v>2603</v>
      </c>
      <c r="K296" s="946" t="s">
        <v>2604</v>
      </c>
      <c r="L296" s="946" t="s">
        <v>202</v>
      </c>
      <c r="M296" s="418" t="s">
        <v>1858</v>
      </c>
      <c r="N296" s="948" t="s">
        <v>1887</v>
      </c>
      <c r="O296" s="948" t="s">
        <v>115</v>
      </c>
      <c r="P296" s="951" t="s">
        <v>1894</v>
      </c>
      <c r="Q296" s="951" t="str">
        <f>+'3.Intervenciones Transv. Region'!F35</f>
        <v>Acuerdos adoptados en las reuniones de la mesa</v>
      </c>
      <c r="R296" s="405">
        <f>+'3.Intervenciones Transv. Region'!I35</f>
        <v>40</v>
      </c>
      <c r="S296" s="405">
        <f>+'3.Intervenciones Transv. Region'!I35</f>
        <v>40</v>
      </c>
      <c r="T296" s="405">
        <f>+'3.Intervenciones Transv. Region'!J35</f>
        <v>40</v>
      </c>
      <c r="U296" s="405">
        <f>+'3.Intervenciones Transv. Region'!K35</f>
        <v>1000</v>
      </c>
      <c r="V296" s="403" t="str">
        <f>+'3.Intervenciones Transv. Region'!L35</f>
        <v>Reuniones entre instituciones públicas dedicadas al control y vigilancia forestal para articular protocolos, procedimientos y operativos para el control de la deforestación y tala ilegal</v>
      </c>
      <c r="W296" s="403" t="str">
        <f>+'3.Intervenciones Transv. Region'!M35</f>
        <v>SERFOR, ARA, MP, OSINFOR</v>
      </c>
      <c r="X296" s="588">
        <f>+'3.Intervenciones Transv. Region'!N35</f>
        <v>40000</v>
      </c>
      <c r="Y296" s="588">
        <f>+Tabla1[[#This Row],[2025 Directo]]*(1+$Y$3)</f>
        <v>40420</v>
      </c>
      <c r="Z296" s="588">
        <f>+'3.Intervenciones Transv. Region'!O35</f>
        <v>40000</v>
      </c>
      <c r="AA296" s="588">
        <f>+Tabla1[[#This Row],[2030 Directo]]*(1+$Y$3)</f>
        <v>40420</v>
      </c>
      <c r="AB296" s="588">
        <f>+'3.Intervenciones Transv. Region'!P35</f>
        <v>8000</v>
      </c>
      <c r="AC296" s="588">
        <f>+Tabla1[[#This Row],[Año 1 Cto Directo]]*(1+$Y$3)</f>
        <v>8084</v>
      </c>
      <c r="AD296" s="588">
        <f>+'3.Intervenciones Transv. Region'!Q35</f>
        <v>8000</v>
      </c>
      <c r="AE296" s="588">
        <f>+Tabla1[[#This Row],[Año 2 Cto. Directo]]*(1+$Y$3)</f>
        <v>8084</v>
      </c>
      <c r="AF296" s="588">
        <f>+'3.Intervenciones Transv. Region'!R35</f>
        <v>8000</v>
      </c>
      <c r="AG296" s="588">
        <f>+Tabla1[[#This Row],[Año 3 Cto. Directo]]*(1+$Y$3)</f>
        <v>8084</v>
      </c>
      <c r="AH296" s="588">
        <f>+'3.Intervenciones Transv. Region'!S35</f>
        <v>8000</v>
      </c>
      <c r="AI296" s="588">
        <f>+Tabla1[[#This Row],[Año 4 Cto. Directo]]*(1+$Y$3)</f>
        <v>8084</v>
      </c>
      <c r="AJ296" s="588">
        <f>+'3.Intervenciones Transv. Region'!T35</f>
        <v>8000</v>
      </c>
      <c r="AK296" s="588">
        <f>+Tabla1[[#This Row],[Año 5 Cto. Directo]]*(1+$Y$3)</f>
        <v>8084</v>
      </c>
      <c r="AL296" s="405">
        <f>+'3.Intervenciones Transv. Region'!U35</f>
        <v>0</v>
      </c>
      <c r="AM296" s="956"/>
      <c r="AN296" s="956"/>
      <c r="AO296" s="956">
        <f>+'3.Intervenciones Transv. Region'!X35</f>
        <v>0</v>
      </c>
      <c r="AP296" s="956"/>
      <c r="AQ296" s="956"/>
      <c r="AR296" s="954">
        <f>+'3.Intervenciones Transv. Region'!AA35</f>
        <v>2</v>
      </c>
      <c r="AS296" s="403">
        <f t="shared" si="18"/>
        <v>0</v>
      </c>
    </row>
    <row r="297" spans="2:45" s="195" customFormat="1" ht="15.8" hidden="1" customHeight="1" x14ac:dyDescent="0.3">
      <c r="B297" s="403" t="s">
        <v>139</v>
      </c>
      <c r="C297" s="403" t="str">
        <f>'3.Intervenciones Transv. Region'!$C$6</f>
        <v>Intervenciones Transversales X Región</v>
      </c>
      <c r="D297" s="404" t="str">
        <f>+'3.Intervenciones Transv. Region'!A36</f>
        <v>Control y vigilancia</v>
      </c>
      <c r="E297" s="404">
        <f>+'3.Intervenciones Transv. Region'!C36</f>
        <v>28</v>
      </c>
      <c r="F297" s="410" t="str">
        <f>+'3.Intervenciones Transv. Region'!D36</f>
        <v>Capacitación a comunidades nativas, campesinas y custodios forestales.</v>
      </c>
      <c r="G297" s="403" t="str">
        <f>+'3.Intervenciones Transv. Region'!E36</f>
        <v xml:space="preserve">1 capacitación de una semana en el ámbito cercano al trabajo de la comunidad (puede ser una capacitación espaciada) </v>
      </c>
      <c r="H297" s="948" t="s">
        <v>1857</v>
      </c>
      <c r="I297" s="946" t="s">
        <v>203</v>
      </c>
      <c r="J297" s="946" t="s">
        <v>2599</v>
      </c>
      <c r="K297" s="946" t="s">
        <v>2600</v>
      </c>
      <c r="L297" s="946" t="s">
        <v>204</v>
      </c>
      <c r="M297" s="418" t="s">
        <v>1892</v>
      </c>
      <c r="N297" s="948" t="s">
        <v>1887</v>
      </c>
      <c r="O297" s="948" t="s">
        <v>115</v>
      </c>
      <c r="P297" s="951" t="s">
        <v>1894</v>
      </c>
      <c r="Q297" s="951" t="str">
        <f>+'3.Intervenciones Transv. Region'!F36</f>
        <v xml:space="preserve">Ronderos y custodios que aprueban evaluación de capacitación </v>
      </c>
      <c r="R297" s="405">
        <f>+'3.Intervenciones Transv. Region'!I36</f>
        <v>250</v>
      </c>
      <c r="S297" s="405">
        <f>+'3.Intervenciones Transv. Region'!I36</f>
        <v>250</v>
      </c>
      <c r="T297" s="405">
        <f>+'3.Intervenciones Transv. Region'!J36</f>
        <v>250</v>
      </c>
      <c r="U297" s="405">
        <f>+'3.Intervenciones Transv. Region'!K36</f>
        <v>150</v>
      </c>
      <c r="V297" s="403" t="str">
        <f>+'3.Intervenciones Transv. Region'!L36</f>
        <v>Considera materiales de capacitación, alimentación a capacitados en el área cercana a su comunidad y gastos de capacitadores</v>
      </c>
      <c r="W297" s="403" t="str">
        <f>+'3.Intervenciones Transv. Region'!M36</f>
        <v>SERFOR, ARA, MP, OSINFOR</v>
      </c>
      <c r="X297" s="588">
        <f>+'3.Intervenciones Transv. Region'!N36</f>
        <v>37500</v>
      </c>
      <c r="Y297" s="588">
        <f>+Tabla1[[#This Row],[2025 Directo]]*(1+$Y$3)</f>
        <v>37893.75</v>
      </c>
      <c r="Z297" s="588">
        <f>+'3.Intervenciones Transv. Region'!O36</f>
        <v>37500</v>
      </c>
      <c r="AA297" s="588">
        <f>+Tabla1[[#This Row],[2030 Directo]]*(1+$Y$3)</f>
        <v>37893.75</v>
      </c>
      <c r="AB297" s="588">
        <f>+'3.Intervenciones Transv. Region'!P36</f>
        <v>7500</v>
      </c>
      <c r="AC297" s="588">
        <f>+Tabla1[[#This Row],[Año 1 Cto Directo]]*(1+$Y$3)</f>
        <v>7578.75</v>
      </c>
      <c r="AD297" s="588">
        <f>+'3.Intervenciones Transv. Region'!Q36</f>
        <v>7500</v>
      </c>
      <c r="AE297" s="588">
        <f>+Tabla1[[#This Row],[Año 2 Cto. Directo]]*(1+$Y$3)</f>
        <v>7578.75</v>
      </c>
      <c r="AF297" s="588">
        <f>+'3.Intervenciones Transv. Region'!R36</f>
        <v>7500</v>
      </c>
      <c r="AG297" s="588">
        <f>+Tabla1[[#This Row],[Año 3 Cto. Directo]]*(1+$Y$3)</f>
        <v>7578.75</v>
      </c>
      <c r="AH297" s="588">
        <f>+'3.Intervenciones Transv. Region'!S36</f>
        <v>7500</v>
      </c>
      <c r="AI297" s="588">
        <f>+Tabla1[[#This Row],[Año 4 Cto. Directo]]*(1+$Y$3)</f>
        <v>7578.75</v>
      </c>
      <c r="AJ297" s="588">
        <f>+'3.Intervenciones Transv. Region'!T36</f>
        <v>7500</v>
      </c>
      <c r="AK297" s="588">
        <f>+Tabla1[[#This Row],[Año 5 Cto. Directo]]*(1+$Y$3)</f>
        <v>7578.75</v>
      </c>
      <c r="AL297" s="405">
        <f>+'3.Intervenciones Transv. Region'!U36</f>
        <v>0</v>
      </c>
      <c r="AM297" s="956"/>
      <c r="AN297" s="956"/>
      <c r="AO297" s="956" t="str">
        <f>+'3.Intervenciones Transv. Region'!X36</f>
        <v>X</v>
      </c>
      <c r="AP297" s="956"/>
      <c r="AQ297" s="956"/>
      <c r="AR297" s="954">
        <f>+'3.Intervenciones Transv. Region'!AA36</f>
        <v>2</v>
      </c>
      <c r="AS297" s="403">
        <f t="shared" si="18"/>
        <v>1</v>
      </c>
    </row>
    <row r="298" spans="2:45" s="195" customFormat="1" ht="15.8" hidden="1" customHeight="1" x14ac:dyDescent="0.3">
      <c r="B298" s="403" t="s">
        <v>139</v>
      </c>
      <c r="C298" s="403" t="str">
        <f>'3.Intervenciones Transv. Region'!$C$6</f>
        <v>Intervenciones Transversales X Región</v>
      </c>
      <c r="D298" s="404" t="str">
        <f>+'3.Intervenciones Transv. Region'!A37</f>
        <v>Control y vigilancia</v>
      </c>
      <c r="E298" s="404">
        <f>+'3.Intervenciones Transv. Region'!C37</f>
        <v>29</v>
      </c>
      <c r="F298" s="410" t="str">
        <f>+'3.Intervenciones Transv. Region'!D37</f>
        <v>Equipamiento a rondas y custodios forestales.</v>
      </c>
      <c r="G298" s="403" t="str">
        <f>+'3.Intervenciones Transv. Region'!E37</f>
        <v>Uniforme básico, GPS por brigadas,  1 dron por comunidad, equipos de radio por comunidad (radio corta portátil)</v>
      </c>
      <c r="H298" s="948" t="s">
        <v>1857</v>
      </c>
      <c r="I298" s="946" t="s">
        <v>203</v>
      </c>
      <c r="J298" s="946" t="s">
        <v>2599</v>
      </c>
      <c r="K298" s="946" t="s">
        <v>2600</v>
      </c>
      <c r="L298" s="946" t="s">
        <v>204</v>
      </c>
      <c r="M298" s="418" t="s">
        <v>1892</v>
      </c>
      <c r="N298" s="948" t="s">
        <v>1887</v>
      </c>
      <c r="O298" s="948" t="s">
        <v>115</v>
      </c>
      <c r="P298" s="951" t="s">
        <v>1894</v>
      </c>
      <c r="Q298" s="951" t="str">
        <f>+'3.Intervenciones Transv. Region'!F37</f>
        <v>Ronderos y custodios equipados</v>
      </c>
      <c r="R298" s="405">
        <f>+'3.Intervenciones Transv. Region'!I37</f>
        <v>250</v>
      </c>
      <c r="S298" s="405">
        <f>+'3.Intervenciones Transv. Region'!I37</f>
        <v>250</v>
      </c>
      <c r="T298" s="405">
        <f>+'3.Intervenciones Transv. Region'!J37</f>
        <v>250</v>
      </c>
      <c r="U298" s="405">
        <f>+'3.Intervenciones Transv. Region'!K37</f>
        <v>1945</v>
      </c>
      <c r="V298" s="403" t="str">
        <f>+'3.Intervenciones Transv. Region'!L37</f>
        <v>Uniforme básico para 250 personas, GPS para 25 comunidades,  1 dron para 25 comunidades, equipos de radio para 25 comunidades (radio corta portátil)</v>
      </c>
      <c r="W298" s="403" t="str">
        <f>+'3.Intervenciones Transv. Region'!M37</f>
        <v xml:space="preserve">ARA </v>
      </c>
      <c r="X298" s="588">
        <f>+'3.Intervenciones Transv. Region'!N37</f>
        <v>486250</v>
      </c>
      <c r="Y298" s="588">
        <f>+Tabla1[[#This Row],[2025 Directo]]*(1+$Y$3)</f>
        <v>491355.625</v>
      </c>
      <c r="Z298" s="588">
        <f>+'3.Intervenciones Transv. Region'!O37</f>
        <v>486250</v>
      </c>
      <c r="AA298" s="588">
        <f>+Tabla1[[#This Row],[2030 Directo]]*(1+$Y$3)</f>
        <v>491355.625</v>
      </c>
      <c r="AB298" s="588">
        <f>+'3.Intervenciones Transv. Region'!P37</f>
        <v>97250</v>
      </c>
      <c r="AC298" s="588">
        <f>+Tabla1[[#This Row],[Año 1 Cto Directo]]*(1+$Y$3)</f>
        <v>98271.125</v>
      </c>
      <c r="AD298" s="588">
        <f>+'3.Intervenciones Transv. Region'!Q37</f>
        <v>97250</v>
      </c>
      <c r="AE298" s="588">
        <f>+Tabla1[[#This Row],[Año 2 Cto. Directo]]*(1+$Y$3)</f>
        <v>98271.125</v>
      </c>
      <c r="AF298" s="588">
        <f>+'3.Intervenciones Transv. Region'!R37</f>
        <v>97250</v>
      </c>
      <c r="AG298" s="588">
        <f>+Tabla1[[#This Row],[Año 3 Cto. Directo]]*(1+$Y$3)</f>
        <v>98271.125</v>
      </c>
      <c r="AH298" s="588">
        <f>+'3.Intervenciones Transv. Region'!S37</f>
        <v>97250</v>
      </c>
      <c r="AI298" s="588">
        <f>+Tabla1[[#This Row],[Año 4 Cto. Directo]]*(1+$Y$3)</f>
        <v>98271.125</v>
      </c>
      <c r="AJ298" s="588">
        <f>+'3.Intervenciones Transv. Region'!T37</f>
        <v>97250</v>
      </c>
      <c r="AK298" s="588">
        <f>+Tabla1[[#This Row],[Año 5 Cto. Directo]]*(1+$Y$3)</f>
        <v>98271.125</v>
      </c>
      <c r="AL298" s="405">
        <f>+'3.Intervenciones Transv. Region'!U37</f>
        <v>0</v>
      </c>
      <c r="AM298" s="956"/>
      <c r="AN298" s="956"/>
      <c r="AO298" s="956" t="str">
        <f>+'3.Intervenciones Transv. Region'!X37</f>
        <v>X</v>
      </c>
      <c r="AP298" s="956"/>
      <c r="AQ298" s="956"/>
      <c r="AR298" s="954">
        <f>+'3.Intervenciones Transv. Region'!AA37</f>
        <v>3</v>
      </c>
      <c r="AS298" s="403">
        <f t="shared" si="18"/>
        <v>1</v>
      </c>
    </row>
    <row r="299" spans="2:45" s="195" customFormat="1" ht="15.8" hidden="1" customHeight="1" x14ac:dyDescent="0.3">
      <c r="B299" s="403" t="s">
        <v>139</v>
      </c>
      <c r="C299" s="403" t="str">
        <f>'3.Intervenciones Transv. Region'!$C$6</f>
        <v>Intervenciones Transversales X Región</v>
      </c>
      <c r="D299" s="404" t="str">
        <f>+'3.Intervenciones Transv. Region'!A38</f>
        <v>Control y vigilancia</v>
      </c>
      <c r="E299" s="404">
        <f>+'3.Intervenciones Transv. Region'!C38</f>
        <v>30</v>
      </c>
      <c r="F299" s="410" t="str">
        <f>+'3.Intervenciones Transv. Region'!D38</f>
        <v>Implementación de unidad de control forestal y de fauna silvestre en el ARA (gastos corrientes).</v>
      </c>
      <c r="G299" s="403" t="str">
        <f>+'3.Intervenciones Transv. Region'!E38</f>
        <v>Personal de campo dedicado al control de actividades ilegales (deforestación y tala ilegal),  combustible y raciones para acciones de control</v>
      </c>
      <c r="H299" s="948" t="s">
        <v>1857</v>
      </c>
      <c r="I299" s="946" t="s">
        <v>199</v>
      </c>
      <c r="J299" s="946" t="s">
        <v>2603</v>
      </c>
      <c r="K299" s="946" t="s">
        <v>2604</v>
      </c>
      <c r="L299" s="946" t="s">
        <v>202</v>
      </c>
      <c r="M299" s="418" t="s">
        <v>1858</v>
      </c>
      <c r="N299" s="948" t="s">
        <v>1887</v>
      </c>
      <c r="O299" s="948" t="s">
        <v>115</v>
      </c>
      <c r="P299" s="951" t="s">
        <v>1894</v>
      </c>
      <c r="Q299" s="951" t="str">
        <f>+'3.Intervenciones Transv. Region'!F38</f>
        <v>Informes de inspecciones</v>
      </c>
      <c r="R299" s="405">
        <f>+'3.Intervenciones Transv. Region'!I38</f>
        <v>125</v>
      </c>
      <c r="S299" s="405">
        <f>+'3.Intervenciones Transv. Region'!I38</f>
        <v>125</v>
      </c>
      <c r="T299" s="405">
        <f>+'3.Intervenciones Transv. Region'!J38</f>
        <v>125</v>
      </c>
      <c r="U299" s="405">
        <f>+'3.Intervenciones Transv. Region'!K38</f>
        <v>236000</v>
      </c>
      <c r="V299" s="403" t="str">
        <f>+'3.Intervenciones Transv. Region'!L38</f>
        <v>Unidad conformada al menos por cuatro especialistas, y gastos de movilidad y alimentación</v>
      </c>
      <c r="W299" s="403" t="str">
        <f>+'3.Intervenciones Transv. Region'!M38</f>
        <v>ARA</v>
      </c>
      <c r="X299" s="588">
        <f>+'3.Intervenciones Transv. Region'!N38</f>
        <v>1180000</v>
      </c>
      <c r="Y299" s="588">
        <f>+Tabla1[[#This Row],[2025 Directo]]*(1+$Y$3)</f>
        <v>1192390</v>
      </c>
      <c r="Z299" s="588">
        <f>+'3.Intervenciones Transv. Region'!O38</f>
        <v>1180000</v>
      </c>
      <c r="AA299" s="588">
        <f>+Tabla1[[#This Row],[2030 Directo]]*(1+$Y$3)</f>
        <v>1192390</v>
      </c>
      <c r="AB299" s="588">
        <f>+'3.Intervenciones Transv. Region'!P38</f>
        <v>236000</v>
      </c>
      <c r="AC299" s="588">
        <f>+Tabla1[[#This Row],[Año 1 Cto Directo]]*(1+$Y$3)</f>
        <v>238478</v>
      </c>
      <c r="AD299" s="588">
        <f>+'3.Intervenciones Transv. Region'!Q38</f>
        <v>236000</v>
      </c>
      <c r="AE299" s="588">
        <f>+Tabla1[[#This Row],[Año 2 Cto. Directo]]*(1+$Y$3)</f>
        <v>238478</v>
      </c>
      <c r="AF299" s="588">
        <f>+'3.Intervenciones Transv. Region'!R38</f>
        <v>236000</v>
      </c>
      <c r="AG299" s="588">
        <f>+Tabla1[[#This Row],[Año 3 Cto. Directo]]*(1+$Y$3)</f>
        <v>238478</v>
      </c>
      <c r="AH299" s="588">
        <f>+'3.Intervenciones Transv. Region'!S38</f>
        <v>236000</v>
      </c>
      <c r="AI299" s="588">
        <f>+Tabla1[[#This Row],[Año 4 Cto. Directo]]*(1+$Y$3)</f>
        <v>238478</v>
      </c>
      <c r="AJ299" s="588">
        <f>+'3.Intervenciones Transv. Region'!T38</f>
        <v>236000</v>
      </c>
      <c r="AK299" s="588">
        <f>+Tabla1[[#This Row],[Año 5 Cto. Directo]]*(1+$Y$3)</f>
        <v>238478</v>
      </c>
      <c r="AL299" s="405">
        <f>+'3.Intervenciones Transv. Region'!U38</f>
        <v>0</v>
      </c>
      <c r="AM299" s="956"/>
      <c r="AN299" s="956"/>
      <c r="AO299" s="956">
        <f>+'3.Intervenciones Transv. Region'!X38</f>
        <v>0</v>
      </c>
      <c r="AP299" s="956"/>
      <c r="AQ299" s="956"/>
      <c r="AR299" s="954">
        <f>+'3.Intervenciones Transv. Region'!AA38</f>
        <v>3</v>
      </c>
      <c r="AS299" s="403">
        <f t="shared" si="18"/>
        <v>0</v>
      </c>
    </row>
    <row r="300" spans="2:45" s="195" customFormat="1" ht="15.8" hidden="1" customHeight="1" x14ac:dyDescent="0.3">
      <c r="B300" s="403" t="s">
        <v>139</v>
      </c>
      <c r="C300" s="403" t="str">
        <f>'3.Intervenciones Transv. Region'!$C$6</f>
        <v>Intervenciones Transversales X Región</v>
      </c>
      <c r="D300" s="404" t="str">
        <f>+'3.Intervenciones Transv. Region'!A39</f>
        <v>Control y vigilancia</v>
      </c>
      <c r="E300" s="404">
        <f>+'3.Intervenciones Transv. Region'!C39</f>
        <v>31</v>
      </c>
      <c r="F300" s="410" t="str">
        <f>+'3.Intervenciones Transv. Region'!D39</f>
        <v>Implementación de unidad de control forestal y de fauna silvestre en el ARA (gastos de inversión).</v>
      </c>
      <c r="G300" s="403" t="str">
        <f>+'3.Intervenciones Transv. Region'!E39</f>
        <v>Equipamiento (GPS, cámaras, computadora),  camionetas, carpas, sleepings, binoculares y uniformes</v>
      </c>
      <c r="H300" s="948" t="s">
        <v>1857</v>
      </c>
      <c r="I300" s="946" t="s">
        <v>199</v>
      </c>
      <c r="J300" s="946" t="s">
        <v>2603</v>
      </c>
      <c r="K300" s="946" t="s">
        <v>2604</v>
      </c>
      <c r="L300" s="946" t="s">
        <v>202</v>
      </c>
      <c r="M300" s="418" t="s">
        <v>1892</v>
      </c>
      <c r="N300" s="948" t="s">
        <v>1887</v>
      </c>
      <c r="O300" s="948" t="s">
        <v>115</v>
      </c>
      <c r="P300" s="951" t="s">
        <v>1894</v>
      </c>
      <c r="Q300" s="951" t="str">
        <f>+'3.Intervenciones Transv. Region'!F39</f>
        <v>Informes de inspecciones</v>
      </c>
      <c r="R300" s="405">
        <f>+'3.Intervenciones Transv. Region'!I39</f>
        <v>0</v>
      </c>
      <c r="S300" s="405">
        <f>+'3.Intervenciones Transv. Region'!I39</f>
        <v>0</v>
      </c>
      <c r="T300" s="405">
        <f>+'3.Intervenciones Transv. Region'!J39</f>
        <v>0</v>
      </c>
      <c r="U300" s="405">
        <f>+'3.Intervenciones Transv. Region'!K39</f>
        <v>1182.4000000000001</v>
      </c>
      <c r="V300" s="403" t="str">
        <f>+'3.Intervenciones Transv. Region'!L39</f>
        <v>Dos camionetas, cuatro computadoras, cuatro GPS, cuatro cámaras fotográficas,  ocho uniformes y equipo básico de campo para 4 personas (solo en los primeros cinco años). Considera uniformes nuevos al año 5</v>
      </c>
      <c r="W300" s="403" t="str">
        <f>+'3.Intervenciones Transv. Region'!M39</f>
        <v xml:space="preserve">ARA </v>
      </c>
      <c r="X300" s="588">
        <f>+'3.Intervenciones Transv. Region'!N39</f>
        <v>147800</v>
      </c>
      <c r="Y300" s="588">
        <f>+Tabla1[[#This Row],[2025 Directo]]*(1+$Y$3)</f>
        <v>149351.9</v>
      </c>
      <c r="Z300" s="588">
        <f>+'3.Intervenciones Transv. Region'!O39</f>
        <v>1600</v>
      </c>
      <c r="AA300" s="588">
        <f>+Tabla1[[#This Row],[2030 Directo]]*(1+$Y$3)</f>
        <v>1616.8</v>
      </c>
      <c r="AB300" s="588">
        <f>+'3.Intervenciones Transv. Region'!P39</f>
        <v>29560</v>
      </c>
      <c r="AC300" s="588">
        <f>+Tabla1[[#This Row],[Año 1 Cto Directo]]*(1+$Y$3)</f>
        <v>29870.379999999997</v>
      </c>
      <c r="AD300" s="588">
        <f>+'3.Intervenciones Transv. Region'!Q39</f>
        <v>29560</v>
      </c>
      <c r="AE300" s="588">
        <f>+Tabla1[[#This Row],[Año 2 Cto. Directo]]*(1+$Y$3)</f>
        <v>29870.379999999997</v>
      </c>
      <c r="AF300" s="588">
        <f>+'3.Intervenciones Transv. Region'!R39</f>
        <v>29560</v>
      </c>
      <c r="AG300" s="588">
        <f>+Tabla1[[#This Row],[Año 3 Cto. Directo]]*(1+$Y$3)</f>
        <v>29870.379999999997</v>
      </c>
      <c r="AH300" s="588">
        <f>+'3.Intervenciones Transv. Region'!S39</f>
        <v>29560</v>
      </c>
      <c r="AI300" s="588">
        <f>+Tabla1[[#This Row],[Año 4 Cto. Directo]]*(1+$Y$3)</f>
        <v>29870.379999999997</v>
      </c>
      <c r="AJ300" s="588">
        <f>+'3.Intervenciones Transv. Region'!T39</f>
        <v>29560</v>
      </c>
      <c r="AK300" s="588">
        <f>+Tabla1[[#This Row],[Año 5 Cto. Directo]]*(1+$Y$3)</f>
        <v>29870.379999999997</v>
      </c>
      <c r="AL300" s="405">
        <f>+'3.Intervenciones Transv. Region'!U39</f>
        <v>0</v>
      </c>
      <c r="AM300" s="956"/>
      <c r="AN300" s="956"/>
      <c r="AO300" s="956">
        <f>+'3.Intervenciones Transv. Region'!X39</f>
        <v>0</v>
      </c>
      <c r="AP300" s="956"/>
      <c r="AQ300" s="956"/>
      <c r="AR300" s="954">
        <f>+'3.Intervenciones Transv. Region'!AA39</f>
        <v>3</v>
      </c>
      <c r="AS300" s="403">
        <f t="shared" si="18"/>
        <v>0</v>
      </c>
    </row>
    <row r="301" spans="2:45" s="195" customFormat="1" ht="15.8" hidden="1" customHeight="1" x14ac:dyDescent="0.3">
      <c r="B301" s="403" t="s">
        <v>139</v>
      </c>
      <c r="C301" s="403" t="str">
        <f>'3.Intervenciones Transv. Region'!$C$6</f>
        <v>Intervenciones Transversales X Región</v>
      </c>
      <c r="D301" s="404" t="str">
        <f>+'3.Intervenciones Transv. Region'!A40</f>
        <v>Control y vigilancia</v>
      </c>
      <c r="E301" s="404" t="str">
        <f>+'3.Intervenciones Transv. Region'!C40</f>
        <v>32 A</v>
      </c>
      <c r="F301" s="410" t="str">
        <f>+'3.Intervenciones Transv. Region'!D40</f>
        <v>Fortalecimiento de las fiscalías especializadas en materia ambiental regionales. (A)</v>
      </c>
      <c r="G301" s="403" t="str">
        <f>+'3.Intervenciones Transv. Region'!E40</f>
        <v>Contratación de fiscales especializados en materia ambiental para que puedan atender oportunamente la necesidad de toda la región. Actualmente solo se cuenta con 5 fiscales en toda la región distribuidos de la siguiente manera: 2 fiscales para las provincias de (Tocache, Mariscal Cáceres, Bellavista y Huallaga) y 3 fiscales para las provincias de (El Dorado, Picota, Lamas, San Martín, Moyobamba Y Rioja).</v>
      </c>
      <c r="H301" s="948" t="s">
        <v>1857</v>
      </c>
      <c r="I301" s="946" t="s">
        <v>199</v>
      </c>
      <c r="J301" s="946" t="s">
        <v>2603</v>
      </c>
      <c r="K301" s="946" t="s">
        <v>2604</v>
      </c>
      <c r="L301" s="946" t="s">
        <v>202</v>
      </c>
      <c r="M301" s="418" t="s">
        <v>1858</v>
      </c>
      <c r="N301" s="948" t="s">
        <v>1887</v>
      </c>
      <c r="O301" s="948" t="s">
        <v>115</v>
      </c>
      <c r="P301" s="951" t="s">
        <v>1894</v>
      </c>
      <c r="Q301" s="951" t="str">
        <f>+'3.Intervenciones Transv. Region'!F40</f>
        <v>Contratación de fiscales</v>
      </c>
      <c r="R301" s="405">
        <f>+'3.Intervenciones Transv. Region'!I40</f>
        <v>6</v>
      </c>
      <c r="S301" s="405">
        <f>+'3.Intervenciones Transv. Region'!I40</f>
        <v>6</v>
      </c>
      <c r="T301" s="405">
        <f>+'3.Intervenciones Transv. Region'!J40</f>
        <v>6</v>
      </c>
      <c r="U301" s="405">
        <f>+'3.Intervenciones Transv. Region'!K40</f>
        <v>8000</v>
      </c>
      <c r="V301" s="403" t="str">
        <f>+'3.Intervenciones Transv. Region'!L40</f>
        <v>Contratación de fiscales.</v>
      </c>
      <c r="W301" s="403" t="str">
        <f>+'3.Intervenciones Transv. Region'!M40</f>
        <v>ARA</v>
      </c>
      <c r="X301" s="588">
        <f>+'3.Intervenciones Transv. Region'!N40</f>
        <v>2880000</v>
      </c>
      <c r="Y301" s="588">
        <f>+Tabla1[[#This Row],[2025 Directo]]*(1+$Y$3)</f>
        <v>2910240</v>
      </c>
      <c r="Z301" s="588">
        <f>+'3.Intervenciones Transv. Region'!O40</f>
        <v>2880000</v>
      </c>
      <c r="AA301" s="588">
        <f>+Tabla1[[#This Row],[2030 Directo]]*(1+$Y$3)</f>
        <v>2910240</v>
      </c>
      <c r="AB301" s="588">
        <f>+'3.Intervenciones Transv. Region'!P40</f>
        <v>576000</v>
      </c>
      <c r="AC301" s="588">
        <f>+Tabla1[[#This Row],[Año 1 Cto Directo]]*(1+$Y$3)</f>
        <v>582048</v>
      </c>
      <c r="AD301" s="588">
        <f>+'3.Intervenciones Transv. Region'!Q40</f>
        <v>576000</v>
      </c>
      <c r="AE301" s="588">
        <f>+Tabla1[[#This Row],[Año 2 Cto. Directo]]*(1+$Y$3)</f>
        <v>582048</v>
      </c>
      <c r="AF301" s="588">
        <f>+'3.Intervenciones Transv. Region'!R40</f>
        <v>576000</v>
      </c>
      <c r="AG301" s="588">
        <f>+Tabla1[[#This Row],[Año 3 Cto. Directo]]*(1+$Y$3)</f>
        <v>582048</v>
      </c>
      <c r="AH301" s="588">
        <f>+'3.Intervenciones Transv. Region'!S40</f>
        <v>576000</v>
      </c>
      <c r="AI301" s="588">
        <f>+Tabla1[[#This Row],[Año 4 Cto. Directo]]*(1+$Y$3)</f>
        <v>582048</v>
      </c>
      <c r="AJ301" s="588">
        <f>+'3.Intervenciones Transv. Region'!T40</f>
        <v>576000</v>
      </c>
      <c r="AK301" s="588">
        <f>+Tabla1[[#This Row],[Año 5 Cto. Directo]]*(1+$Y$3)</f>
        <v>582048</v>
      </c>
      <c r="AL301" s="405">
        <f>+'3.Intervenciones Transv. Region'!U40</f>
        <v>0</v>
      </c>
      <c r="AM301" s="956"/>
      <c r="AN301" s="956"/>
      <c r="AO301" s="956">
        <f>+'3.Intervenciones Transv. Region'!X40</f>
        <v>0</v>
      </c>
      <c r="AP301" s="956"/>
      <c r="AQ301" s="956"/>
      <c r="AR301" s="954">
        <f>+'3.Intervenciones Transv. Region'!AA40</f>
        <v>3</v>
      </c>
      <c r="AS301" s="403">
        <f t="shared" si="18"/>
        <v>0</v>
      </c>
    </row>
    <row r="302" spans="2:45" s="195" customFormat="1" ht="15.8" hidden="1" customHeight="1" x14ac:dyDescent="0.3">
      <c r="B302" s="403" t="s">
        <v>139</v>
      </c>
      <c r="C302" s="403" t="str">
        <f>'3.Intervenciones Transv. Region'!$C$6</f>
        <v>Intervenciones Transversales X Región</v>
      </c>
      <c r="D302" s="404" t="str">
        <f>+'3.Intervenciones Transv. Region'!A41</f>
        <v>Control y vigilancia</v>
      </c>
      <c r="E302" s="404" t="str">
        <f>+'3.Intervenciones Transv. Region'!C41</f>
        <v>32 B</v>
      </c>
      <c r="F302" s="410" t="str">
        <f>+'3.Intervenciones Transv. Region'!D41</f>
        <v>Fortalecimiento de las fiscalías especializadas en materia ambiental regionales. (B)</v>
      </c>
      <c r="G302" s="403" t="str">
        <f>+'3.Intervenciones Transv. Region'!E41</f>
        <v>Implementación de logística para fiscalías especializadas en materia ambiental</v>
      </c>
      <c r="H302" s="948" t="s">
        <v>1857</v>
      </c>
      <c r="I302" s="946" t="s">
        <v>199</v>
      </c>
      <c r="J302" s="946" t="s">
        <v>2603</v>
      </c>
      <c r="K302" s="946" t="s">
        <v>2604</v>
      </c>
      <c r="L302" s="946" t="s">
        <v>202</v>
      </c>
      <c r="M302" s="418" t="s">
        <v>1858</v>
      </c>
      <c r="N302" s="948" t="s">
        <v>1887</v>
      </c>
      <c r="O302" s="948" t="s">
        <v>115</v>
      </c>
      <c r="P302" s="951" t="s">
        <v>1894</v>
      </c>
      <c r="Q302" s="951" t="str">
        <f>+'3.Intervenciones Transv. Region'!F41</f>
        <v>Unidades móviles</v>
      </c>
      <c r="R302" s="405">
        <f>+'3.Intervenciones Transv. Region'!I41</f>
        <v>5</v>
      </c>
      <c r="S302" s="405">
        <f>+'3.Intervenciones Transv. Region'!I41</f>
        <v>5</v>
      </c>
      <c r="T302" s="405">
        <f>+'3.Intervenciones Transv. Region'!J41</f>
        <v>0</v>
      </c>
      <c r="U302" s="405">
        <f>+'3.Intervenciones Transv. Region'!K41</f>
        <v>150000</v>
      </c>
      <c r="V302" s="403" t="str">
        <f>+'3.Intervenciones Transv. Region'!L41</f>
        <v>Adquisión de movilidades para la inspección oportuna de los fiscales cuando se reporte algún tipo de delito ambiental.</v>
      </c>
      <c r="W302" s="403" t="str">
        <f>+'3.Intervenciones Transv. Region'!M41</f>
        <v>ARA</v>
      </c>
      <c r="X302" s="588">
        <f>+'3.Intervenciones Transv. Region'!N41</f>
        <v>750000</v>
      </c>
      <c r="Y302" s="588">
        <f>+Tabla1[[#This Row],[2025 Directo]]*(1+$Y$3)</f>
        <v>757875</v>
      </c>
      <c r="Z302" s="588">
        <f>+'3.Intervenciones Transv. Region'!O41</f>
        <v>0</v>
      </c>
      <c r="AA302" s="588">
        <f>+Tabla1[[#This Row],[2030 Directo]]*(1+$Y$3)</f>
        <v>0</v>
      </c>
      <c r="AB302" s="588">
        <f>+'3.Intervenciones Transv. Region'!P41</f>
        <v>750000</v>
      </c>
      <c r="AC302" s="588">
        <f>+Tabla1[[#This Row],[Año 1 Cto Directo]]*(1+$Y$3)</f>
        <v>757875</v>
      </c>
      <c r="AD302" s="588">
        <f>+'3.Intervenciones Transv. Region'!Q41</f>
        <v>0</v>
      </c>
      <c r="AE302" s="588">
        <f>+Tabla1[[#This Row],[Año 2 Cto. Directo]]*(1+$Y$3)</f>
        <v>0</v>
      </c>
      <c r="AF302" s="588">
        <f>+'3.Intervenciones Transv. Region'!R41</f>
        <v>0</v>
      </c>
      <c r="AG302" s="588">
        <f>+Tabla1[[#This Row],[Año 3 Cto. Directo]]*(1+$Y$3)</f>
        <v>0</v>
      </c>
      <c r="AH302" s="588">
        <f>+'3.Intervenciones Transv. Region'!S41</f>
        <v>0</v>
      </c>
      <c r="AI302" s="588">
        <f>+Tabla1[[#This Row],[Año 4 Cto. Directo]]*(1+$Y$3)</f>
        <v>0</v>
      </c>
      <c r="AJ302" s="588">
        <f>+'3.Intervenciones Transv. Region'!T41</f>
        <v>0</v>
      </c>
      <c r="AK302" s="588">
        <f>+Tabla1[[#This Row],[Año 5 Cto. Directo]]*(1+$Y$3)</f>
        <v>0</v>
      </c>
      <c r="AL302" s="405">
        <f>+'3.Intervenciones Transv. Region'!U41</f>
        <v>0</v>
      </c>
      <c r="AM302" s="956"/>
      <c r="AN302" s="956"/>
      <c r="AO302" s="956">
        <f>+'3.Intervenciones Transv. Region'!X41</f>
        <v>0</v>
      </c>
      <c r="AP302" s="956"/>
      <c r="AQ302" s="956"/>
      <c r="AR302" s="954">
        <f>+'3.Intervenciones Transv. Region'!AA41</f>
        <v>3</v>
      </c>
      <c r="AS302" s="403">
        <f t="shared" si="18"/>
        <v>0</v>
      </c>
    </row>
    <row r="303" spans="2:45" s="195" customFormat="1" ht="15.8" hidden="1" customHeight="1" x14ac:dyDescent="0.3">
      <c r="B303" s="403" t="s">
        <v>139</v>
      </c>
      <c r="C303" s="403" t="str">
        <f>'3.Intervenciones Transv. Region'!$C$6</f>
        <v>Intervenciones Transversales X Región</v>
      </c>
      <c r="D303" s="404" t="str">
        <f>+'3.Intervenciones Transv. Region'!A42</f>
        <v>Control y vigilancia</v>
      </c>
      <c r="E303" s="404">
        <f>+'3.Intervenciones Transv. Region'!C42</f>
        <v>33</v>
      </c>
      <c r="F303" s="410" t="str">
        <f>+'3.Intervenciones Transv. Region'!D42</f>
        <v>Implementación de operativos coordinados para el control forestal.</v>
      </c>
      <c r="G303" s="403" t="str">
        <f>+'3.Intervenciones Transv. Region'!E42</f>
        <v>Operativos específicos para control de tala ilegal y deforestación coordinado entre varias instituciones públicas (ARA, MP, OSINFOR, entre otros)</v>
      </c>
      <c r="H303" s="948" t="s">
        <v>1857</v>
      </c>
      <c r="I303" s="946" t="s">
        <v>199</v>
      </c>
      <c r="J303" s="946" t="s">
        <v>2603</v>
      </c>
      <c r="K303" s="946" t="s">
        <v>2604</v>
      </c>
      <c r="L303" s="946" t="s">
        <v>202</v>
      </c>
      <c r="M303" s="418" t="s">
        <v>1858</v>
      </c>
      <c r="N303" s="948" t="s">
        <v>1887</v>
      </c>
      <c r="O303" s="948" t="s">
        <v>115</v>
      </c>
      <c r="P303" s="951" t="s">
        <v>1894</v>
      </c>
      <c r="Q303" s="951" t="str">
        <f>+'3.Intervenciones Transv. Region'!F42</f>
        <v xml:space="preserve">Procesos administrativos o penales iniciados </v>
      </c>
      <c r="R303" s="405">
        <f>+'3.Intervenciones Transv. Region'!I42</f>
        <v>15</v>
      </c>
      <c r="S303" s="405">
        <f>+'3.Intervenciones Transv. Region'!I42</f>
        <v>15</v>
      </c>
      <c r="T303" s="405">
        <f>+'3.Intervenciones Transv. Region'!J42</f>
        <v>15</v>
      </c>
      <c r="U303" s="405">
        <f>+'3.Intervenciones Transv. Region'!K42</f>
        <v>30000</v>
      </c>
      <c r="V303" s="403" t="str">
        <f>+'3.Intervenciones Transv. Region'!L42</f>
        <v>Operativos en campo que implican desplazamiento de la policía nacional del Perú, el ministerio público (gasolina, raciones), sobrevuelo</v>
      </c>
      <c r="W303" s="403" t="str">
        <f>+'3.Intervenciones Transv. Region'!M42</f>
        <v>SERFOR, ARA, MP, OSINFOR</v>
      </c>
      <c r="X303" s="588">
        <f>+'3.Intervenciones Transv. Region'!N42</f>
        <v>450000</v>
      </c>
      <c r="Y303" s="588">
        <f>+Tabla1[[#This Row],[2025 Directo]]*(1+$Y$3)</f>
        <v>454725</v>
      </c>
      <c r="Z303" s="588">
        <f>+'3.Intervenciones Transv. Region'!O42</f>
        <v>450000</v>
      </c>
      <c r="AA303" s="588">
        <f>+Tabla1[[#This Row],[2030 Directo]]*(1+$Y$3)</f>
        <v>454725</v>
      </c>
      <c r="AB303" s="588">
        <f>+'3.Intervenciones Transv. Region'!P42</f>
        <v>90000</v>
      </c>
      <c r="AC303" s="588">
        <f>+Tabla1[[#This Row],[Año 1 Cto Directo]]*(1+$Y$3)</f>
        <v>90945</v>
      </c>
      <c r="AD303" s="588">
        <f>+'3.Intervenciones Transv. Region'!Q42</f>
        <v>90000</v>
      </c>
      <c r="AE303" s="588">
        <f>+Tabla1[[#This Row],[Año 2 Cto. Directo]]*(1+$Y$3)</f>
        <v>90945</v>
      </c>
      <c r="AF303" s="588">
        <f>+'3.Intervenciones Transv. Region'!R42</f>
        <v>90000</v>
      </c>
      <c r="AG303" s="588">
        <f>+Tabla1[[#This Row],[Año 3 Cto. Directo]]*(1+$Y$3)</f>
        <v>90945</v>
      </c>
      <c r="AH303" s="588">
        <f>+'3.Intervenciones Transv. Region'!S42</f>
        <v>90000</v>
      </c>
      <c r="AI303" s="588">
        <f>+Tabla1[[#This Row],[Año 4 Cto. Directo]]*(1+$Y$3)</f>
        <v>90945</v>
      </c>
      <c r="AJ303" s="588">
        <f>+'3.Intervenciones Transv. Region'!T42</f>
        <v>90000</v>
      </c>
      <c r="AK303" s="588">
        <f>+Tabla1[[#This Row],[Año 5 Cto. Directo]]*(1+$Y$3)</f>
        <v>90945</v>
      </c>
      <c r="AL303" s="405">
        <f>+'3.Intervenciones Transv. Region'!U42</f>
        <v>0</v>
      </c>
      <c r="AM303" s="956"/>
      <c r="AN303" s="956"/>
      <c r="AO303" s="956" t="str">
        <f>+'3.Intervenciones Transv. Region'!X42</f>
        <v>X</v>
      </c>
      <c r="AP303" s="956"/>
      <c r="AQ303" s="956"/>
      <c r="AR303" s="954">
        <f>+'3.Intervenciones Transv. Region'!AA42</f>
        <v>3</v>
      </c>
      <c r="AS303" s="403">
        <f t="shared" si="18"/>
        <v>1</v>
      </c>
    </row>
    <row r="304" spans="2:45" s="195" customFormat="1" ht="15.8" hidden="1" customHeight="1" x14ac:dyDescent="0.3">
      <c r="B304" s="403" t="s">
        <v>139</v>
      </c>
      <c r="C304" s="403" t="str">
        <f>'3.Intervenciones Transv. Region'!$C$6</f>
        <v>Intervenciones Transversales X Región</v>
      </c>
      <c r="D304" s="404" t="str">
        <f>+'3.Intervenciones Transv. Region'!A43</f>
        <v>Corrupción</v>
      </c>
      <c r="E304" s="404" t="str">
        <f>+'3.Intervenciones Transv. Region'!C43</f>
        <v>34 A</v>
      </c>
      <c r="F304" s="410" t="str">
        <f>+'3.Intervenciones Transv. Region'!D43</f>
        <v>Elaboración, aprobación e implementación de procedimiento regional integrado del cambio de uso actual para tierras A y C (Articulo No 38 LFFS Ley No 29763) con procedimientos de otorgamiento de la propiedad agraria (titulación de predios y adjudicaciones)</v>
      </c>
      <c r="G304" s="403" t="str">
        <f>+'3.Intervenciones Transv. Region'!E43</f>
        <v xml:space="preserve">a) Mapear procedimientos regionales vinculados a otorgamiento de propiedad agraria (titulación y adjudicaciones), cambio de uso actual de tierras de aptitud A y C, procesos de bosque y estudios de impacto ambiental del sector agrario, b) aprobación de lineamientos o norma complementaria nacional para implementación del  cambio de uso actual de acuerdo a nueva LFFS y RLFFS*, c) elaboración de propuesta de procedimiento regional articulado y modificaciones al TUPA del GORESAM, d) elaboración y aprobación de propuesta de ordenanza regional que aprueba procedimiento y modificación de TUPA del GORESAM, e) capacitación de funcionarios y socialización de actores claves, f) elaboración de estudios de suelos en áreas identificadas para futuros procesos de titulación y adjudicaciones, g) implementación de procedimiento de cambio de uso actual en A y C para definir áreas en donde es posible realizar adjudicaciones de acuerdo a LFFFS, h) ejecución de procedimientos de titulación de predios,  adjucación o cesión en uso. Nota1: la elaboración de estudios de suelos debe ser en grandes espacios en los donde se piensa promover la titulación de predios rurales (a nivel de unidades catastrales) y adjudicaciones agrarias, de maneras previas a las solicitudes de titulación. Nota2: evaluar con DGAA el nivel del estudio de suelo, se recomienda estudios simplificado y un proceso en etapas que permita liberar primero las tierras X y F. Nota 3: Reto opinión previa de SERFOR y MINAM ¿Como no demorar este proceso?                                               </v>
      </c>
      <c r="H304" s="948" t="s">
        <v>1857</v>
      </c>
      <c r="I304" s="946" t="s">
        <v>199</v>
      </c>
      <c r="J304" s="946" t="s">
        <v>2603</v>
      </c>
      <c r="K304" s="946" t="s">
        <v>2604</v>
      </c>
      <c r="L304" s="946" t="s">
        <v>202</v>
      </c>
      <c r="M304" s="418" t="s">
        <v>1858</v>
      </c>
      <c r="N304" s="948" t="s">
        <v>1887</v>
      </c>
      <c r="O304" s="948" t="s">
        <v>115</v>
      </c>
      <c r="P304" s="951" t="s">
        <v>1894</v>
      </c>
      <c r="Q304" s="951" t="str">
        <f>+'3.Intervenciones Transv. Region'!F43</f>
        <v>Documento técnico legal que mapea procesos vinculados al cambio de uso, otorgamiento de la propiedad agraria y evaluaciones de impacto ambiental en el GORESAM</v>
      </c>
      <c r="R304" s="405">
        <f>+'3.Intervenciones Transv. Region'!I43</f>
        <v>1</v>
      </c>
      <c r="S304" s="405">
        <f>+'3.Intervenciones Transv. Region'!I43</f>
        <v>1</v>
      </c>
      <c r="T304" s="405">
        <f>+'3.Intervenciones Transv. Region'!J43</f>
        <v>1</v>
      </c>
      <c r="U304" s="405">
        <f>+'3.Intervenciones Transv. Region'!K43</f>
        <v>20000</v>
      </c>
      <c r="V304" s="403" t="str">
        <f>+'3.Intervenciones Transv. Region'!L43</f>
        <v>Analisis técnico y legal (puede hacerse directamente por el equipo del GORESAM o a través de consultores), reuniones de trabajo, facilitadores de reuniones,</v>
      </c>
      <c r="W304" s="403" t="str">
        <f>+'3.Intervenciones Transv. Region'!M43</f>
        <v>ARA, DRASAM, GDE, GPP</v>
      </c>
      <c r="X304" s="588">
        <f>+'3.Intervenciones Transv. Region'!N43</f>
        <v>20000</v>
      </c>
      <c r="Y304" s="588">
        <f>+Tabla1[[#This Row],[2025 Directo]]*(1+$Y$3)</f>
        <v>20210</v>
      </c>
      <c r="Z304" s="588">
        <f>+'3.Intervenciones Transv. Region'!O43</f>
        <v>20000</v>
      </c>
      <c r="AA304" s="588">
        <f>+Tabla1[[#This Row],[2030 Directo]]*(1+$Y$3)</f>
        <v>20210</v>
      </c>
      <c r="AB304" s="588">
        <f>+'3.Intervenciones Transv. Region'!P43</f>
        <v>20000</v>
      </c>
      <c r="AC304" s="588">
        <f>+Tabla1[[#This Row],[Año 1 Cto Directo]]*(1+$Y$3)</f>
        <v>20210</v>
      </c>
      <c r="AD304" s="588">
        <f>+'3.Intervenciones Transv. Region'!Q43</f>
        <v>0</v>
      </c>
      <c r="AE304" s="588">
        <f>+Tabla1[[#This Row],[Año 2 Cto. Directo]]*(1+$Y$3)</f>
        <v>0</v>
      </c>
      <c r="AF304" s="588">
        <f>+'3.Intervenciones Transv. Region'!R43</f>
        <v>0</v>
      </c>
      <c r="AG304" s="588">
        <f>+Tabla1[[#This Row],[Año 3 Cto. Directo]]*(1+$Y$3)</f>
        <v>0</v>
      </c>
      <c r="AH304" s="588">
        <f>+'3.Intervenciones Transv. Region'!S43</f>
        <v>0</v>
      </c>
      <c r="AI304" s="588">
        <f>+Tabla1[[#This Row],[Año 4 Cto. Directo]]*(1+$Y$3)</f>
        <v>0</v>
      </c>
      <c r="AJ304" s="588">
        <f>+'3.Intervenciones Transv. Region'!T43</f>
        <v>0</v>
      </c>
      <c r="AK304" s="588">
        <f>+Tabla1[[#This Row],[Año 5 Cto. Directo]]*(1+$Y$3)</f>
        <v>0</v>
      </c>
      <c r="AL304" s="405">
        <f>+'3.Intervenciones Transv. Region'!U43</f>
        <v>0</v>
      </c>
      <c r="AM304" s="956"/>
      <c r="AN304" s="956"/>
      <c r="AO304" s="956">
        <f>+'3.Intervenciones Transv. Region'!X43</f>
        <v>0</v>
      </c>
      <c r="AP304" s="956"/>
      <c r="AQ304" s="956"/>
      <c r="AR304" s="954" t="str">
        <f>+'3.Intervenciones Transv. Region'!AA43</f>
        <v>X</v>
      </c>
      <c r="AS304" s="403">
        <f t="shared" ref="AS304:AS308" si="19">COUNTIF(AM304:AP304, "X")</f>
        <v>0</v>
      </c>
    </row>
    <row r="305" spans="1:48" s="195" customFormat="1" ht="15.8" hidden="1" customHeight="1" x14ac:dyDescent="0.3">
      <c r="B305" s="403" t="s">
        <v>139</v>
      </c>
      <c r="C305" s="403" t="str">
        <f>'3.Intervenciones Transv. Region'!$C$6</f>
        <v>Intervenciones Transversales X Región</v>
      </c>
      <c r="D305" s="404" t="str">
        <f>+'3.Intervenciones Transv. Region'!A44</f>
        <v xml:space="preserve">Invasiones </v>
      </c>
      <c r="E305" s="404" t="str">
        <f>+'3.Intervenciones Transv. Region'!C44</f>
        <v>34 B</v>
      </c>
      <c r="F305" s="410" t="str">
        <f>+'3.Intervenciones Transv. Region'!D44</f>
        <v>Elaboración, aprobación e implementación de procedimiento regional integrado del cambio de uso actual para tierras A y C (Articulo No 38 LFFS Ley No 29763) con procedimientos de otorgamiento de la propiedad agraria (titulación de predios y adjudicaciones)</v>
      </c>
      <c r="G305" s="403" t="str">
        <f>+'3.Intervenciones Transv. Region'!E44</f>
        <v>Descripciión compartida con 34 A</v>
      </c>
      <c r="H305" s="948" t="s">
        <v>1857</v>
      </c>
      <c r="I305" s="946" t="s">
        <v>199</v>
      </c>
      <c r="J305" s="946" t="s">
        <v>2603</v>
      </c>
      <c r="K305" s="946" t="s">
        <v>2604</v>
      </c>
      <c r="L305" s="946" t="s">
        <v>202</v>
      </c>
      <c r="M305" s="418" t="s">
        <v>1858</v>
      </c>
      <c r="N305" s="948" t="s">
        <v>1887</v>
      </c>
      <c r="O305" s="948" t="s">
        <v>115</v>
      </c>
      <c r="P305" s="951" t="s">
        <v>1894</v>
      </c>
      <c r="Q305" s="951" t="str">
        <f>+'3.Intervenciones Transv. Region'!F44</f>
        <v xml:space="preserve">Resolución Ministerial, o norma pertiente, que aprueba lineamientos a nivel nacional </v>
      </c>
      <c r="R305" s="405">
        <f>+'3.Intervenciones Transv. Region'!I44</f>
        <v>1</v>
      </c>
      <c r="S305" s="405">
        <f>+'3.Intervenciones Transv. Region'!I44</f>
        <v>1</v>
      </c>
      <c r="T305" s="405">
        <f>+'3.Intervenciones Transv. Region'!J44</f>
        <v>1</v>
      </c>
      <c r="U305" s="405">
        <f>+'3.Intervenciones Transv. Region'!K44</f>
        <v>20000</v>
      </c>
      <c r="V305" s="403" t="str">
        <f>+'3.Intervenciones Transv. Region'!L44</f>
        <v xml:space="preserve">Elaboración de propuesta de norma, talleres de socialización y retroalimentación a nivel nacional, </v>
      </c>
      <c r="W305" s="403" t="str">
        <f>+'3.Intervenciones Transv. Region'!M44</f>
        <v>MINAGRI, SERFOR, MINAM</v>
      </c>
      <c r="X305" s="588">
        <f>+'3.Intervenciones Transv. Region'!N44</f>
        <v>20000</v>
      </c>
      <c r="Y305" s="588">
        <f>+Tabla1[[#This Row],[2025 Directo]]*(1+$Y$3)</f>
        <v>20210</v>
      </c>
      <c r="Z305" s="588">
        <f>+'3.Intervenciones Transv. Region'!O44</f>
        <v>20000</v>
      </c>
      <c r="AA305" s="588">
        <f>+Tabla1[[#This Row],[2030 Directo]]*(1+$Y$3)</f>
        <v>20210</v>
      </c>
      <c r="AB305" s="588">
        <f>+'3.Intervenciones Transv. Region'!P44</f>
        <v>20000</v>
      </c>
      <c r="AC305" s="588">
        <f>+Tabla1[[#This Row],[Año 1 Cto Directo]]*(1+$Y$3)</f>
        <v>20210</v>
      </c>
      <c r="AD305" s="588">
        <f>+'3.Intervenciones Transv. Region'!Q44</f>
        <v>0</v>
      </c>
      <c r="AE305" s="588">
        <f>+Tabla1[[#This Row],[Año 2 Cto. Directo]]*(1+$Y$3)</f>
        <v>0</v>
      </c>
      <c r="AF305" s="588">
        <f>+'3.Intervenciones Transv. Region'!R44</f>
        <v>0</v>
      </c>
      <c r="AG305" s="588">
        <f>+Tabla1[[#This Row],[Año 3 Cto. Directo]]*(1+$Y$3)</f>
        <v>0</v>
      </c>
      <c r="AH305" s="588">
        <f>+'3.Intervenciones Transv. Region'!S44</f>
        <v>0</v>
      </c>
      <c r="AI305" s="588">
        <f>+Tabla1[[#This Row],[Año 4 Cto. Directo]]*(1+$Y$3)</f>
        <v>0</v>
      </c>
      <c r="AJ305" s="588">
        <f>+'3.Intervenciones Transv. Region'!T44</f>
        <v>0</v>
      </c>
      <c r="AK305" s="588">
        <f>+Tabla1[[#This Row],[Año 5 Cto. Directo]]*(1+$Y$3)</f>
        <v>0</v>
      </c>
      <c r="AL305" s="405">
        <f>+'3.Intervenciones Transv. Region'!U44</f>
        <v>0</v>
      </c>
      <c r="AM305" s="956"/>
      <c r="AN305" s="956"/>
      <c r="AO305" s="956">
        <f>+'3.Intervenciones Transv. Region'!X44</f>
        <v>0</v>
      </c>
      <c r="AP305" s="956"/>
      <c r="AQ305" s="956"/>
      <c r="AR305" s="954" t="str">
        <f>+'3.Intervenciones Transv. Region'!AA44</f>
        <v>x</v>
      </c>
      <c r="AS305" s="403">
        <f t="shared" si="19"/>
        <v>0</v>
      </c>
    </row>
    <row r="306" spans="1:48" s="195" customFormat="1" ht="15.8" hidden="1" customHeight="1" x14ac:dyDescent="0.3">
      <c r="B306" s="403" t="s">
        <v>139</v>
      </c>
      <c r="C306" s="403" t="str">
        <f>'3.Intervenciones Transv. Region'!$C$6</f>
        <v>Intervenciones Transversales X Región</v>
      </c>
      <c r="D306" s="404" t="str">
        <f>+'3.Intervenciones Transv. Region'!A45</f>
        <v>Corrupción</v>
      </c>
      <c r="E306" s="404" t="str">
        <f>+'3.Intervenciones Transv. Region'!C45</f>
        <v>34 C</v>
      </c>
      <c r="F306" s="410" t="str">
        <f>+'3.Intervenciones Transv. Region'!D45</f>
        <v>Elaboración, aprobación e implementación de procedimiento regional integrado del cambio de uso actual para tierras A y C (Articulo No 38 LFFS Ley No 29763) con procedimientos de otorgamiento de la propiedad agraria (titulación de predios y adjudicaciones)</v>
      </c>
      <c r="G306" s="403" t="str">
        <f>+'3.Intervenciones Transv. Region'!E45</f>
        <v>Descripciión compartida con 34 A</v>
      </c>
      <c r="H306" s="948" t="s">
        <v>1857</v>
      </c>
      <c r="I306" s="946" t="s">
        <v>199</v>
      </c>
      <c r="J306" s="946" t="s">
        <v>2603</v>
      </c>
      <c r="K306" s="946" t="s">
        <v>2604</v>
      </c>
      <c r="L306" s="946" t="s">
        <v>202</v>
      </c>
      <c r="M306" s="418" t="s">
        <v>1858</v>
      </c>
      <c r="N306" s="948" t="s">
        <v>1887</v>
      </c>
      <c r="O306" s="948" t="s">
        <v>115</v>
      </c>
      <c r="P306" s="951" t="s">
        <v>1894</v>
      </c>
      <c r="Q306" s="951" t="str">
        <f>+'3.Intervenciones Transv. Region'!F45</f>
        <v xml:space="preserve">Ordenanza regional de procedimiento integrado sobre cambio de </v>
      </c>
      <c r="R306" s="405">
        <f>+'3.Intervenciones Transv. Region'!I45</f>
        <v>1</v>
      </c>
      <c r="S306" s="405">
        <f>+'3.Intervenciones Transv. Region'!I45</f>
        <v>1</v>
      </c>
      <c r="T306" s="405">
        <f>+'3.Intervenciones Transv. Region'!J45</f>
        <v>0</v>
      </c>
      <c r="U306" s="405">
        <f>+'3.Intervenciones Transv. Region'!K45</f>
        <v>30000</v>
      </c>
      <c r="V306" s="403" t="str">
        <f>+'3.Intervenciones Transv. Region'!L45</f>
        <v>Consultoría para la elaboración de la propuesta de inclusión de procedimiento integrado  de cambio de uso actual.</v>
      </c>
      <c r="W306" s="403" t="str">
        <f>+'3.Intervenciones Transv. Region'!M45</f>
        <v>DRASAM, ARA, GPP</v>
      </c>
      <c r="X306" s="588">
        <f>+'3.Intervenciones Transv. Region'!N45</f>
        <v>30000</v>
      </c>
      <c r="Y306" s="588">
        <f>+Tabla1[[#This Row],[2025 Directo]]*(1+$Y$3)</f>
        <v>30315</v>
      </c>
      <c r="Z306" s="588">
        <f>+'3.Intervenciones Transv. Region'!O45</f>
        <v>0</v>
      </c>
      <c r="AA306" s="588">
        <f>+Tabla1[[#This Row],[2030 Directo]]*(1+$Y$3)</f>
        <v>0</v>
      </c>
      <c r="AB306" s="588">
        <f>+'3.Intervenciones Transv. Region'!P45</f>
        <v>30000</v>
      </c>
      <c r="AC306" s="588">
        <f>+Tabla1[[#This Row],[Año 1 Cto Directo]]*(1+$Y$3)</f>
        <v>30315</v>
      </c>
      <c r="AD306" s="588">
        <f>+'3.Intervenciones Transv. Region'!Q45</f>
        <v>0</v>
      </c>
      <c r="AE306" s="588">
        <f>+Tabla1[[#This Row],[Año 2 Cto. Directo]]*(1+$Y$3)</f>
        <v>0</v>
      </c>
      <c r="AF306" s="588">
        <f>+'3.Intervenciones Transv. Region'!R45</f>
        <v>0</v>
      </c>
      <c r="AG306" s="588">
        <f>+Tabla1[[#This Row],[Año 3 Cto. Directo]]*(1+$Y$3)</f>
        <v>0</v>
      </c>
      <c r="AH306" s="588">
        <f>+'3.Intervenciones Transv. Region'!S45</f>
        <v>0</v>
      </c>
      <c r="AI306" s="588">
        <f>+Tabla1[[#This Row],[Año 4 Cto. Directo]]*(1+$Y$3)</f>
        <v>0</v>
      </c>
      <c r="AJ306" s="588">
        <f>+'3.Intervenciones Transv. Region'!T45</f>
        <v>0</v>
      </c>
      <c r="AK306" s="588">
        <f>+Tabla1[[#This Row],[Año 5 Cto. Directo]]*(1+$Y$3)</f>
        <v>0</v>
      </c>
      <c r="AL306" s="405">
        <f>+'3.Intervenciones Transv. Region'!U45</f>
        <v>0</v>
      </c>
      <c r="AM306" s="956"/>
      <c r="AN306" s="956"/>
      <c r="AO306" s="956">
        <f>+'3.Intervenciones Transv. Region'!X45</f>
        <v>0</v>
      </c>
      <c r="AP306" s="956"/>
      <c r="AQ306" s="956"/>
      <c r="AR306" s="954" t="str">
        <f>+'3.Intervenciones Transv. Region'!AA45</f>
        <v>X</v>
      </c>
      <c r="AS306" s="403">
        <f t="shared" si="19"/>
        <v>0</v>
      </c>
    </row>
    <row r="307" spans="1:48" ht="15.8" hidden="1" customHeight="1" x14ac:dyDescent="0.3">
      <c r="A307" s="825"/>
      <c r="B307" s="403" t="s">
        <v>139</v>
      </c>
      <c r="C307" s="403" t="str">
        <f>'3.Intervenciones Transv. Region'!$C$6</f>
        <v>Intervenciones Transversales X Región</v>
      </c>
      <c r="D307" s="404" t="str">
        <f>+'3.Intervenciones Transv. Region'!A46</f>
        <v>Corrupción</v>
      </c>
      <c r="E307" s="404" t="str">
        <f>+'3.Intervenciones Transv. Region'!C46</f>
        <v>34 D</v>
      </c>
      <c r="F307" s="410" t="str">
        <f>+'3.Intervenciones Transv. Region'!D46</f>
        <v>Elaboración, aprobación e implementación de procedimiento regional integrado del cambio de uso actual para tierras A y C (Articulo No 38 LFFS Ley No 29763) con procedimientos de otorgamiento de la propiedad agraria (titulación de predios y adjudicaciones)</v>
      </c>
      <c r="G307" s="403" t="str">
        <f>+'3.Intervenciones Transv. Region'!E46</f>
        <v>Descripciión compartida con 34 A</v>
      </c>
      <c r="H307" s="948" t="s">
        <v>1857</v>
      </c>
      <c r="I307" s="946" t="s">
        <v>199</v>
      </c>
      <c r="J307" s="946" t="s">
        <v>2603</v>
      </c>
      <c r="K307" s="946" t="s">
        <v>2604</v>
      </c>
      <c r="L307" s="946" t="s">
        <v>202</v>
      </c>
      <c r="M307" s="418" t="s">
        <v>1858</v>
      </c>
      <c r="N307" s="948" t="s">
        <v>1887</v>
      </c>
      <c r="O307" s="948" t="s">
        <v>115</v>
      </c>
      <c r="P307" s="951" t="s">
        <v>1894</v>
      </c>
      <c r="Q307" s="951" t="str">
        <f>+'3.Intervenciones Transv. Region'!F46</f>
        <v xml:space="preserve">Guias didacticas para implementar el procedimiento </v>
      </c>
      <c r="R307" s="405">
        <f>+'3.Intervenciones Transv. Region'!I46</f>
        <v>1</v>
      </c>
      <c r="S307" s="405">
        <f>+'3.Intervenciones Transv. Region'!I46</f>
        <v>1</v>
      </c>
      <c r="T307" s="405">
        <f>+'3.Intervenciones Transv. Region'!J46</f>
        <v>0</v>
      </c>
      <c r="U307" s="405">
        <f>+'3.Intervenciones Transv. Region'!K46</f>
        <v>20000</v>
      </c>
      <c r="V307" s="403" t="str">
        <f>+'3.Intervenciones Transv. Region'!L46</f>
        <v xml:space="preserve">Elaboración de manual de capacitación y versiones sencillas del procedimiento, talleres de capacitación a usuarios y funcionarios. </v>
      </c>
      <c r="W307" s="403" t="str">
        <f>+'3.Intervenciones Transv. Region'!M46</f>
        <v>DRASAM, ARA</v>
      </c>
      <c r="X307" s="588">
        <f>+'3.Intervenciones Transv. Region'!N46</f>
        <v>20000</v>
      </c>
      <c r="Y307" s="588">
        <f>+Tabla1[[#This Row],[2025 Directo]]*(1+$Y$3)</f>
        <v>20210</v>
      </c>
      <c r="Z307" s="588">
        <f>+'3.Intervenciones Transv. Region'!O46</f>
        <v>0</v>
      </c>
      <c r="AA307" s="588">
        <f>+Tabla1[[#This Row],[2030 Directo]]*(1+$Y$3)</f>
        <v>0</v>
      </c>
      <c r="AB307" s="588">
        <f>+'3.Intervenciones Transv. Region'!P46</f>
        <v>20000</v>
      </c>
      <c r="AC307" s="588">
        <f>+Tabla1[[#This Row],[Año 1 Cto Directo]]*(1+$Y$3)</f>
        <v>20210</v>
      </c>
      <c r="AD307" s="588">
        <f>+'3.Intervenciones Transv. Region'!Q46</f>
        <v>0</v>
      </c>
      <c r="AE307" s="588">
        <f>+Tabla1[[#This Row],[Año 2 Cto. Directo]]*(1+$Y$3)</f>
        <v>0</v>
      </c>
      <c r="AF307" s="588">
        <f>+'3.Intervenciones Transv. Region'!R46</f>
        <v>0</v>
      </c>
      <c r="AG307" s="588">
        <f>+Tabla1[[#This Row],[Año 3 Cto. Directo]]*(1+$Y$3)</f>
        <v>0</v>
      </c>
      <c r="AH307" s="588">
        <f>+'3.Intervenciones Transv. Region'!S46</f>
        <v>0</v>
      </c>
      <c r="AI307" s="588">
        <f>+Tabla1[[#This Row],[Año 4 Cto. Directo]]*(1+$Y$3)</f>
        <v>0</v>
      </c>
      <c r="AJ307" s="588">
        <f>+'3.Intervenciones Transv. Region'!T46</f>
        <v>0</v>
      </c>
      <c r="AK307" s="588">
        <f>+Tabla1[[#This Row],[Año 5 Cto. Directo]]*(1+$Y$3)</f>
        <v>0</v>
      </c>
      <c r="AL307" s="405">
        <f>+'3.Intervenciones Transv. Region'!U46</f>
        <v>0</v>
      </c>
      <c r="AM307" s="956"/>
      <c r="AN307" s="956"/>
      <c r="AO307" s="956">
        <f>+'3.Intervenciones Transv. Region'!X46</f>
        <v>0</v>
      </c>
      <c r="AP307" s="956"/>
      <c r="AQ307" s="956"/>
      <c r="AR307" s="954" t="str">
        <f>+'3.Intervenciones Transv. Region'!AA46</f>
        <v>x</v>
      </c>
      <c r="AS307" s="403">
        <f t="shared" si="19"/>
        <v>0</v>
      </c>
      <c r="AT307" s="825"/>
      <c r="AU307" s="825"/>
    </row>
    <row r="308" spans="1:48" ht="15.8" hidden="1" customHeight="1" x14ac:dyDescent="0.3">
      <c r="A308" s="825"/>
      <c r="B308" s="403" t="s">
        <v>139</v>
      </c>
      <c r="C308" s="403" t="str">
        <f>'3.Intervenciones Transv. Region'!$C$6</f>
        <v>Intervenciones Transversales X Región</v>
      </c>
      <c r="D308" s="404" t="str">
        <f>+'3.Intervenciones Transv. Region'!A47</f>
        <v>Corrupción</v>
      </c>
      <c r="E308" s="404" t="str">
        <f>+'3.Intervenciones Transv. Region'!C47</f>
        <v>34 E</v>
      </c>
      <c r="F308" s="410" t="str">
        <f>+'3.Intervenciones Transv. Region'!D47</f>
        <v>Elaboración, aprobación e implementación de procedimiento regional integrado del cambio de uso actual para tierras A y C (Articulo No 38 LFFS Ley No 29763) con procedimientos de otorgamiento de la propiedad agraria (titulación de predios y adjudicaciones)</v>
      </c>
      <c r="G308" s="403" t="str">
        <f>+'3.Intervenciones Transv. Region'!E47</f>
        <v>Descripciión compartida con 34 A</v>
      </c>
      <c r="H308" s="948" t="s">
        <v>1857</v>
      </c>
      <c r="I308" s="946" t="s">
        <v>199</v>
      </c>
      <c r="J308" s="946" t="s">
        <v>2603</v>
      </c>
      <c r="K308" s="946" t="s">
        <v>2604</v>
      </c>
      <c r="L308" s="946" t="s">
        <v>202</v>
      </c>
      <c r="M308" s="418" t="s">
        <v>1858</v>
      </c>
      <c r="N308" s="948" t="s">
        <v>1887</v>
      </c>
      <c r="O308" s="948" t="s">
        <v>115</v>
      </c>
      <c r="P308" s="951" t="s">
        <v>1894</v>
      </c>
      <c r="Q308" s="951" t="str">
        <f>+'3.Intervenciones Transv. Region'!F47</f>
        <v xml:space="preserve">Hectáreas evaluadas bajo procedimiento de cambio actual con procedimientos integrados. </v>
      </c>
      <c r="R308" s="405">
        <f>+'3.Intervenciones Transv. Region'!I47</f>
        <v>493395.07454789948</v>
      </c>
      <c r="S308" s="405">
        <f>+'3.Intervenciones Transv. Region'!I47</f>
        <v>493395.07454789948</v>
      </c>
      <c r="T308" s="405">
        <f>+'3.Intervenciones Transv. Region'!J47</f>
        <v>493395.07454789948</v>
      </c>
      <c r="U308" s="405">
        <f>+'3.Intervenciones Transv. Region'!K47</f>
        <v>0.98</v>
      </c>
      <c r="V308" s="403" t="str">
        <f>+'3.Intervenciones Transv. Region'!L47</f>
        <v>Contratación de especialistas para mapeo de procedimientos administrativos, especialista legal, especialista de costeo, costo operativo de atención de trámites.</v>
      </c>
      <c r="W308" s="403" t="str">
        <f>+'3.Intervenciones Transv. Region'!M47</f>
        <v>DRASAM, ARA</v>
      </c>
      <c r="X308" s="588">
        <f>+'3.Intervenciones Transv. Region'!N47</f>
        <v>483527.17305694148</v>
      </c>
      <c r="Y308" s="588">
        <f>+Tabla1[[#This Row],[2025 Directo]]*(1+$Y$3)</f>
        <v>488604.20837403933</v>
      </c>
      <c r="Z308" s="588">
        <f>+'3.Intervenciones Transv. Region'!O47</f>
        <v>483527.17305694148</v>
      </c>
      <c r="AA308" s="588">
        <f>+Tabla1[[#This Row],[2030 Directo]]*(1+$Y$3)</f>
        <v>488604.20837403933</v>
      </c>
      <c r="AB308" s="588">
        <f>+'3.Intervenciones Transv. Region'!P47</f>
        <v>96705.434611388308</v>
      </c>
      <c r="AC308" s="588">
        <f>+Tabla1[[#This Row],[Año 1 Cto Directo]]*(1+$Y$3)</f>
        <v>97720.841674807874</v>
      </c>
      <c r="AD308" s="588">
        <f>+'3.Intervenciones Transv. Region'!Q47</f>
        <v>96705.434611388308</v>
      </c>
      <c r="AE308" s="588">
        <f>+Tabla1[[#This Row],[Año 2 Cto. Directo]]*(1+$Y$3)</f>
        <v>97720.841674807874</v>
      </c>
      <c r="AF308" s="588">
        <f>+'3.Intervenciones Transv. Region'!R47</f>
        <v>96705.434611388308</v>
      </c>
      <c r="AG308" s="588">
        <f>+Tabla1[[#This Row],[Año 3 Cto. Directo]]*(1+$Y$3)</f>
        <v>97720.841674807874</v>
      </c>
      <c r="AH308" s="588">
        <f>+'3.Intervenciones Transv. Region'!S47</f>
        <v>96705.434611388308</v>
      </c>
      <c r="AI308" s="588">
        <f>+Tabla1[[#This Row],[Año 4 Cto. Directo]]*(1+$Y$3)</f>
        <v>97720.841674807874</v>
      </c>
      <c r="AJ308" s="588">
        <f>+'3.Intervenciones Transv. Region'!T47</f>
        <v>96705.434611388308</v>
      </c>
      <c r="AK308" s="588">
        <f>+Tabla1[[#This Row],[Año 5 Cto. Directo]]*(1+$Y$3)</f>
        <v>97720.841674807874</v>
      </c>
      <c r="AL308" s="405">
        <f>+'3.Intervenciones Transv. Region'!U47</f>
        <v>0</v>
      </c>
      <c r="AM308" s="956"/>
      <c r="AN308" s="956"/>
      <c r="AO308" s="956">
        <f>+'3.Intervenciones Transv. Region'!X47</f>
        <v>0</v>
      </c>
      <c r="AP308" s="956"/>
      <c r="AQ308" s="956"/>
      <c r="AR308" s="954">
        <f>+'3.Intervenciones Transv. Region'!AA47</f>
        <v>2</v>
      </c>
      <c r="AS308" s="403">
        <f t="shared" si="19"/>
        <v>0</v>
      </c>
      <c r="AT308" s="825"/>
      <c r="AU308" s="825"/>
    </row>
    <row r="309" spans="1:48" ht="15.8" customHeight="1" x14ac:dyDescent="0.3">
      <c r="A309" s="825"/>
      <c r="B309" s="825"/>
      <c r="C309" s="825"/>
      <c r="D309" s="825"/>
      <c r="E309" s="70"/>
      <c r="F309" s="70"/>
      <c r="G309" s="195"/>
      <c r="H309" s="403"/>
      <c r="I309" s="974"/>
      <c r="J309" s="974"/>
      <c r="K309" s="974"/>
      <c r="L309" s="1185"/>
      <c r="M309" s="947"/>
      <c r="N309" s="945"/>
      <c r="O309" s="945"/>
      <c r="P309" s="945"/>
      <c r="Q309" s="953"/>
      <c r="R309" s="953"/>
      <c r="S309" s="19"/>
      <c r="T309" s="19"/>
      <c r="U309" s="19"/>
      <c r="V309" s="19"/>
      <c r="W309" s="825"/>
      <c r="X309" s="825"/>
      <c r="AM309" s="825"/>
      <c r="AN309" s="958"/>
      <c r="AO309" s="958"/>
      <c r="AP309" s="958"/>
      <c r="AQ309" s="958"/>
      <c r="AR309" s="958"/>
      <c r="AS309" s="958"/>
      <c r="AT309" s="825"/>
      <c r="AU309" s="825"/>
      <c r="AV309" s="825"/>
    </row>
    <row r="310" spans="1:48" ht="15.8" customHeight="1" x14ac:dyDescent="0.3">
      <c r="A310" s="825"/>
      <c r="B310" s="825"/>
      <c r="C310" s="825"/>
      <c r="D310" s="825"/>
      <c r="G310" s="195"/>
      <c r="H310" s="403"/>
      <c r="I310" s="195"/>
      <c r="K310" s="195"/>
      <c r="L310" s="1185"/>
      <c r="M310" s="947"/>
      <c r="N310" s="825"/>
      <c r="O310" s="825"/>
      <c r="P310" s="825"/>
      <c r="Q310" s="21"/>
      <c r="R310" s="21"/>
      <c r="S310" s="19"/>
      <c r="T310" s="19"/>
      <c r="U310" s="19"/>
      <c r="V310" s="19"/>
      <c r="W310" s="825"/>
      <c r="X310" s="825"/>
      <c r="AM310" s="825"/>
      <c r="AN310" s="958"/>
      <c r="AO310" s="958"/>
      <c r="AP310" s="958"/>
      <c r="AQ310" s="958"/>
      <c r="AR310" s="958"/>
      <c r="AS310" s="958"/>
      <c r="AT310" s="825"/>
      <c r="AU310" s="825"/>
      <c r="AV310" s="825"/>
    </row>
    <row r="311" spans="1:48" ht="15.8" customHeight="1" x14ac:dyDescent="0.3">
      <c r="A311" s="825"/>
      <c r="B311" s="825"/>
      <c r="C311" s="825"/>
      <c r="D311" s="825"/>
      <c r="G311" s="195"/>
      <c r="H311" s="403"/>
      <c r="I311" s="195"/>
      <c r="K311" s="195"/>
      <c r="L311" s="1185"/>
      <c r="M311" s="947"/>
      <c r="N311" s="825"/>
      <c r="O311" s="825"/>
      <c r="P311" s="825"/>
      <c r="Q311" s="21"/>
      <c r="R311" s="21"/>
      <c r="S311" s="19"/>
      <c r="T311" s="19"/>
      <c r="U311" s="19"/>
      <c r="V311" s="19"/>
      <c r="W311" s="825"/>
      <c r="X311" s="825"/>
      <c r="AM311" s="825"/>
      <c r="AN311" s="958"/>
      <c r="AO311" s="958"/>
      <c r="AP311" s="958"/>
      <c r="AQ311" s="958"/>
      <c r="AR311" s="958"/>
      <c r="AS311" s="958"/>
      <c r="AT311" s="825"/>
      <c r="AU311" s="825"/>
      <c r="AV311" s="825"/>
    </row>
    <row r="312" spans="1:48" ht="15.8" customHeight="1" x14ac:dyDescent="0.3">
      <c r="A312" s="825"/>
      <c r="B312" s="825"/>
      <c r="C312" s="825"/>
      <c r="D312" s="825"/>
      <c r="G312" s="825"/>
      <c r="H312" s="18"/>
      <c r="I312" s="195"/>
      <c r="K312" s="195"/>
      <c r="L312" s="1185"/>
      <c r="M312" s="947"/>
      <c r="N312" s="825"/>
      <c r="O312" s="825"/>
      <c r="P312" s="825"/>
      <c r="Q312" s="21"/>
      <c r="R312" s="21"/>
      <c r="S312" s="19"/>
      <c r="T312" s="19"/>
      <c r="U312" s="19"/>
      <c r="V312" s="19"/>
      <c r="W312" s="825"/>
      <c r="X312" s="63"/>
      <c r="Y312" s="63"/>
      <c r="AM312" s="825"/>
      <c r="AN312" s="958"/>
      <c r="AO312" s="958"/>
      <c r="AP312" s="958"/>
      <c r="AQ312" s="958"/>
      <c r="AR312" s="958"/>
      <c r="AS312" s="958"/>
      <c r="AT312" s="825"/>
      <c r="AU312" s="825"/>
      <c r="AV312" s="825"/>
    </row>
    <row r="313" spans="1:48" ht="15.8" customHeight="1" x14ac:dyDescent="0.3">
      <c r="A313" s="825"/>
      <c r="B313" s="825"/>
      <c r="C313" s="825"/>
      <c r="D313" s="825"/>
      <c r="G313" s="825"/>
      <c r="H313" s="18"/>
      <c r="I313" s="195"/>
      <c r="K313" s="195"/>
      <c r="L313" s="195"/>
      <c r="M313" s="825"/>
      <c r="N313" s="825"/>
      <c r="O313" s="825"/>
      <c r="P313" s="825"/>
      <c r="Q313" s="21"/>
      <c r="R313" s="21"/>
      <c r="S313" s="19"/>
      <c r="T313" s="19"/>
      <c r="U313" s="19"/>
      <c r="V313" s="19"/>
      <c r="W313" s="825"/>
      <c r="X313" s="63">
        <f>SUM(X7:X312)</f>
        <v>2932603734.4988966</v>
      </c>
      <c r="Y313" s="63">
        <f>SUM(Y7:Y312)</f>
        <v>2963396073.7111363</v>
      </c>
      <c r="AM313" s="825"/>
      <c r="AN313" s="958"/>
      <c r="AO313" s="958"/>
      <c r="AP313" s="958"/>
      <c r="AQ313" s="958"/>
      <c r="AR313" s="958"/>
      <c r="AS313" s="958"/>
      <c r="AT313" s="825"/>
      <c r="AU313" s="825"/>
      <c r="AV313" s="825"/>
    </row>
    <row r="314" spans="1:48" ht="15.8" customHeight="1" x14ac:dyDescent="0.3">
      <c r="A314" s="825"/>
      <c r="B314" s="825"/>
      <c r="C314" s="825"/>
      <c r="D314" s="825"/>
      <c r="G314" s="825"/>
      <c r="H314" s="18"/>
      <c r="I314" s="195"/>
      <c r="K314" s="195"/>
      <c r="L314" s="195"/>
      <c r="M314" s="825"/>
      <c r="N314" s="825"/>
      <c r="O314" s="825"/>
      <c r="P314" s="825"/>
      <c r="Q314" s="21"/>
      <c r="R314" s="21"/>
      <c r="S314" s="19"/>
      <c r="T314" s="19"/>
      <c r="U314" s="19"/>
      <c r="V314" s="19"/>
      <c r="W314" s="825"/>
      <c r="X314" s="825"/>
      <c r="AM314" s="825"/>
      <c r="AN314" s="958"/>
      <c r="AO314" s="958"/>
      <c r="AP314" s="958"/>
      <c r="AQ314" s="958"/>
      <c r="AR314" s="958"/>
      <c r="AS314" s="958"/>
      <c r="AT314" s="825"/>
      <c r="AU314" s="825"/>
      <c r="AV314" s="825"/>
    </row>
    <row r="315" spans="1:48" ht="15.8" customHeight="1" x14ac:dyDescent="0.3">
      <c r="A315" s="825"/>
      <c r="B315" s="825"/>
      <c r="C315" s="825"/>
      <c r="D315" s="825"/>
      <c r="G315" s="825"/>
      <c r="H315" s="18"/>
      <c r="I315" s="195"/>
      <c r="K315" s="195"/>
      <c r="L315" s="195"/>
      <c r="M315" s="825"/>
      <c r="N315" s="825"/>
      <c r="O315" s="825"/>
      <c r="P315" s="825"/>
      <c r="Q315" s="21"/>
      <c r="R315" s="21"/>
      <c r="S315" s="19"/>
      <c r="T315" s="19"/>
      <c r="U315" s="19"/>
      <c r="V315" s="19"/>
      <c r="W315" s="825"/>
      <c r="X315" s="825"/>
      <c r="AM315" s="825"/>
      <c r="AN315" s="958"/>
      <c r="AO315" s="958"/>
      <c r="AP315" s="958"/>
      <c r="AQ315" s="958"/>
      <c r="AR315" s="958"/>
      <c r="AS315" s="958"/>
      <c r="AT315" s="825"/>
      <c r="AU315" s="825"/>
      <c r="AV315" s="825"/>
    </row>
    <row r="316" spans="1:48" ht="15.8" customHeight="1" x14ac:dyDescent="0.3">
      <c r="A316" s="825"/>
      <c r="B316" s="825"/>
      <c r="C316" s="825"/>
      <c r="D316" s="825"/>
      <c r="G316" s="825"/>
      <c r="H316" s="18"/>
      <c r="I316" s="195"/>
      <c r="K316" s="195"/>
      <c r="L316" s="195"/>
      <c r="M316" s="825"/>
      <c r="N316" s="825"/>
      <c r="O316" s="825"/>
      <c r="P316" s="825"/>
      <c r="Q316" s="21"/>
      <c r="R316" s="21"/>
      <c r="S316" s="19"/>
      <c r="T316" s="19"/>
      <c r="U316" s="19"/>
      <c r="V316" s="19"/>
      <c r="W316" s="825"/>
      <c r="X316" s="825"/>
      <c r="AM316" s="825"/>
      <c r="AN316" s="958"/>
      <c r="AO316" s="958"/>
      <c r="AP316" s="958"/>
      <c r="AQ316" s="958"/>
      <c r="AR316" s="958"/>
      <c r="AS316" s="958"/>
      <c r="AT316" s="825"/>
      <c r="AU316" s="825"/>
      <c r="AV316" s="825"/>
    </row>
    <row r="317" spans="1:48" ht="15.8" customHeight="1" x14ac:dyDescent="0.3">
      <c r="A317" s="825"/>
      <c r="B317" s="825"/>
      <c r="C317" s="825"/>
      <c r="D317" s="825"/>
      <c r="G317" s="825"/>
      <c r="H317" s="18"/>
      <c r="I317" s="825"/>
      <c r="L317" s="825"/>
      <c r="M317" s="825"/>
      <c r="N317" s="825"/>
      <c r="O317" s="825"/>
      <c r="P317" s="825"/>
      <c r="Q317" s="21"/>
      <c r="R317" s="21"/>
      <c r="S317" s="19"/>
      <c r="T317" s="19"/>
      <c r="U317" s="19"/>
      <c r="V317" s="19"/>
      <c r="W317" s="825"/>
      <c r="X317" s="825"/>
      <c r="AM317" s="825"/>
      <c r="AN317" s="958"/>
      <c r="AO317" s="958"/>
      <c r="AP317" s="958"/>
      <c r="AQ317" s="958"/>
      <c r="AR317" s="958"/>
      <c r="AS317" s="958"/>
      <c r="AT317" s="825"/>
      <c r="AU317" s="825"/>
      <c r="AV317" s="825"/>
    </row>
    <row r="318" spans="1:48" ht="15.8" customHeight="1" x14ac:dyDescent="0.3">
      <c r="A318" s="825"/>
      <c r="B318" s="825"/>
      <c r="C318" s="825"/>
      <c r="D318" s="825"/>
      <c r="G318" s="825"/>
      <c r="H318" s="18"/>
      <c r="I318" s="825"/>
      <c r="L318" s="825"/>
      <c r="M318" s="825"/>
      <c r="N318" s="825"/>
      <c r="O318" s="825"/>
      <c r="P318" s="825"/>
      <c r="Q318" s="21"/>
      <c r="R318" s="21"/>
      <c r="S318" s="19"/>
      <c r="T318" s="19"/>
      <c r="U318" s="19"/>
      <c r="V318" s="19"/>
      <c r="W318" s="825"/>
      <c r="X318" s="825"/>
      <c r="AM318" s="825"/>
      <c r="AN318" s="958"/>
      <c r="AO318" s="958"/>
      <c r="AP318" s="958"/>
      <c r="AQ318" s="958"/>
      <c r="AR318" s="958"/>
      <c r="AS318" s="958"/>
      <c r="AT318" s="825"/>
      <c r="AU318" s="825"/>
      <c r="AV318" s="825"/>
    </row>
    <row r="319" spans="1:48" ht="15.8" customHeight="1" x14ac:dyDescent="0.3">
      <c r="A319" s="825"/>
      <c r="B319" s="825"/>
      <c r="C319" s="825"/>
      <c r="D319" s="825"/>
      <c r="G319" s="825"/>
      <c r="H319" s="18"/>
      <c r="I319" s="825"/>
      <c r="L319" s="825"/>
      <c r="M319" s="825"/>
      <c r="N319" s="825"/>
      <c r="O319" s="825"/>
      <c r="P319" s="825"/>
      <c r="Q319" s="21"/>
      <c r="R319" s="21"/>
      <c r="S319" s="19"/>
      <c r="T319" s="19"/>
      <c r="U319" s="19"/>
      <c r="V319" s="19"/>
      <c r="W319" s="825"/>
      <c r="X319" s="825"/>
      <c r="AM319" s="825"/>
      <c r="AN319" s="958"/>
      <c r="AO319" s="958"/>
      <c r="AP319" s="958"/>
      <c r="AQ319" s="958"/>
      <c r="AR319" s="958"/>
      <c r="AS319" s="958"/>
      <c r="AT319" s="825"/>
      <c r="AU319" s="825"/>
      <c r="AV319" s="825"/>
    </row>
    <row r="320" spans="1:48" ht="15.8" customHeight="1" x14ac:dyDescent="0.3">
      <c r="A320" s="825"/>
      <c r="B320" s="825"/>
      <c r="C320" s="825"/>
      <c r="D320" s="825"/>
      <c r="G320" s="825"/>
      <c r="H320" s="18"/>
      <c r="I320" s="825"/>
      <c r="L320" s="825"/>
      <c r="M320" s="825"/>
      <c r="N320" s="825"/>
      <c r="O320" s="825"/>
      <c r="P320" s="825"/>
      <c r="Q320" s="21"/>
      <c r="R320" s="21"/>
      <c r="S320" s="19"/>
      <c r="T320" s="19"/>
      <c r="U320" s="19"/>
      <c r="V320" s="19"/>
      <c r="W320" s="825"/>
      <c r="X320" s="825"/>
      <c r="AM320" s="825"/>
      <c r="AN320" s="958"/>
      <c r="AO320" s="958"/>
      <c r="AP320" s="958"/>
      <c r="AQ320" s="958"/>
      <c r="AR320" s="958"/>
      <c r="AS320" s="958"/>
      <c r="AT320" s="825"/>
      <c r="AU320" s="825"/>
      <c r="AV320" s="825"/>
    </row>
    <row r="321" spans="1:48" ht="15.8" customHeight="1" x14ac:dyDescent="0.3">
      <c r="A321" s="825"/>
      <c r="B321" s="825"/>
      <c r="C321" s="825"/>
      <c r="D321" s="825"/>
      <c r="G321" s="825"/>
      <c r="H321" s="18"/>
      <c r="I321" s="825"/>
      <c r="L321" s="825"/>
      <c r="M321" s="825"/>
      <c r="N321" s="825"/>
      <c r="O321" s="825"/>
      <c r="P321" s="825"/>
      <c r="Q321" s="21"/>
      <c r="R321" s="21"/>
      <c r="S321" s="19"/>
      <c r="T321" s="19"/>
      <c r="U321" s="19"/>
      <c r="V321" s="19"/>
      <c r="W321" s="825"/>
      <c r="X321" s="825"/>
      <c r="AM321" s="825"/>
      <c r="AN321" s="958"/>
      <c r="AO321" s="958"/>
      <c r="AP321" s="958"/>
      <c r="AQ321" s="958"/>
      <c r="AR321" s="958"/>
      <c r="AS321" s="958"/>
      <c r="AT321" s="825"/>
      <c r="AU321" s="825"/>
      <c r="AV321" s="825"/>
    </row>
    <row r="322" spans="1:48" ht="15.8" customHeight="1" x14ac:dyDescent="0.3">
      <c r="A322" s="825"/>
      <c r="B322" s="825"/>
      <c r="C322" s="825"/>
      <c r="D322" s="825"/>
      <c r="G322" s="825"/>
      <c r="H322" s="18"/>
      <c r="I322" s="825"/>
      <c r="L322" s="825"/>
      <c r="M322" s="825"/>
      <c r="N322" s="825"/>
      <c r="O322" s="825"/>
      <c r="P322" s="825"/>
      <c r="Q322" s="21"/>
      <c r="R322" s="21"/>
      <c r="S322" s="19"/>
      <c r="T322" s="19"/>
      <c r="U322" s="19"/>
      <c r="V322" s="19"/>
      <c r="W322" s="825"/>
      <c r="X322" s="825"/>
      <c r="AM322" s="825"/>
      <c r="AN322" s="958"/>
      <c r="AO322" s="958"/>
      <c r="AP322" s="958"/>
      <c r="AQ322" s="958"/>
      <c r="AR322" s="958"/>
      <c r="AS322" s="958"/>
      <c r="AT322" s="825"/>
      <c r="AU322" s="825"/>
      <c r="AV322" s="825"/>
    </row>
    <row r="323" spans="1:48" ht="15.8" customHeight="1" x14ac:dyDescent="0.3">
      <c r="A323" s="825"/>
      <c r="B323" s="825"/>
      <c r="C323" s="825"/>
      <c r="D323" s="825"/>
      <c r="G323" s="825"/>
      <c r="H323" s="18"/>
      <c r="I323" s="825"/>
      <c r="L323" s="825"/>
      <c r="M323" s="825"/>
      <c r="N323" s="825"/>
      <c r="O323" s="825"/>
      <c r="P323" s="825"/>
      <c r="Q323" s="21"/>
      <c r="R323" s="21"/>
      <c r="S323" s="19"/>
      <c r="T323" s="19"/>
      <c r="U323" s="19"/>
      <c r="V323" s="19"/>
      <c r="W323" s="825"/>
      <c r="X323" s="825"/>
      <c r="AM323" s="825"/>
      <c r="AN323" s="958"/>
      <c r="AO323" s="958"/>
      <c r="AP323" s="958"/>
      <c r="AQ323" s="958"/>
      <c r="AR323" s="958"/>
      <c r="AS323" s="958"/>
      <c r="AT323" s="825"/>
      <c r="AU323" s="825"/>
      <c r="AV323" s="825"/>
    </row>
    <row r="324" spans="1:48" ht="15.8" customHeight="1" x14ac:dyDescent="0.3">
      <c r="A324" s="825"/>
      <c r="B324" s="825"/>
      <c r="C324" s="825"/>
      <c r="D324" s="825"/>
      <c r="G324" s="825"/>
      <c r="H324" s="18"/>
      <c r="I324" s="825"/>
      <c r="L324" s="825"/>
      <c r="M324" s="825"/>
      <c r="N324" s="825"/>
      <c r="O324" s="825"/>
      <c r="P324" s="825"/>
      <c r="Q324" s="21"/>
      <c r="R324" s="21"/>
      <c r="S324" s="19"/>
      <c r="T324" s="19"/>
      <c r="U324" s="19"/>
      <c r="V324" s="19"/>
      <c r="W324" s="825"/>
      <c r="X324" s="825"/>
      <c r="AM324" s="825"/>
      <c r="AN324" s="958"/>
      <c r="AO324" s="958"/>
      <c r="AP324" s="958"/>
      <c r="AQ324" s="958"/>
      <c r="AR324" s="958"/>
      <c r="AS324" s="958"/>
      <c r="AT324" s="825"/>
      <c r="AU324" s="825"/>
      <c r="AV324" s="825"/>
    </row>
    <row r="325" spans="1:48" ht="15.8" customHeight="1" x14ac:dyDescent="0.3">
      <c r="A325" s="825"/>
      <c r="B325" s="825"/>
      <c r="C325" s="825"/>
      <c r="D325" s="825"/>
      <c r="G325" s="825"/>
      <c r="H325" s="18"/>
      <c r="I325" s="825"/>
      <c r="L325" s="825"/>
      <c r="M325" s="825"/>
      <c r="N325" s="825"/>
      <c r="O325" s="825"/>
      <c r="P325" s="825"/>
      <c r="Q325" s="21"/>
      <c r="R325" s="21"/>
      <c r="S325" s="19"/>
      <c r="T325" s="19"/>
      <c r="U325" s="19"/>
      <c r="V325" s="19"/>
      <c r="W325" s="825"/>
      <c r="X325" s="825"/>
      <c r="AM325" s="825"/>
      <c r="AN325" s="958"/>
      <c r="AO325" s="958"/>
      <c r="AP325" s="958"/>
      <c r="AQ325" s="958"/>
      <c r="AR325" s="958"/>
      <c r="AS325" s="958"/>
      <c r="AT325" s="825"/>
      <c r="AU325" s="825"/>
      <c r="AV325" s="825"/>
    </row>
    <row r="326" spans="1:48" ht="15.8" customHeight="1" x14ac:dyDescent="0.3">
      <c r="A326" s="825"/>
      <c r="B326" s="825"/>
      <c r="C326" s="825"/>
      <c r="D326" s="825"/>
      <c r="G326" s="825"/>
      <c r="H326" s="18"/>
      <c r="I326" s="825"/>
      <c r="L326" s="825"/>
      <c r="M326" s="825"/>
      <c r="N326" s="825"/>
      <c r="O326" s="825"/>
      <c r="P326" s="825"/>
      <c r="Q326" s="21"/>
      <c r="R326" s="21"/>
      <c r="S326" s="19"/>
      <c r="T326" s="19"/>
      <c r="U326" s="19"/>
      <c r="V326" s="19"/>
      <c r="W326" s="825"/>
      <c r="X326" s="825"/>
      <c r="AM326" s="825"/>
      <c r="AN326" s="958"/>
      <c r="AO326" s="958"/>
      <c r="AP326" s="958"/>
      <c r="AQ326" s="958"/>
      <c r="AR326" s="958"/>
      <c r="AS326" s="958"/>
      <c r="AT326" s="825"/>
      <c r="AU326" s="825"/>
      <c r="AV326" s="825"/>
    </row>
    <row r="327" spans="1:48" ht="15.8" customHeight="1" x14ac:dyDescent="0.3">
      <c r="A327" s="825"/>
      <c r="B327" s="825"/>
      <c r="C327" s="825"/>
      <c r="D327" s="825"/>
      <c r="G327" s="825"/>
      <c r="H327" s="18"/>
      <c r="I327" s="825"/>
      <c r="L327" s="825"/>
      <c r="M327" s="825"/>
      <c r="N327" s="825"/>
      <c r="O327" s="825"/>
      <c r="P327" s="825"/>
      <c r="Q327" s="21"/>
      <c r="R327" s="21"/>
      <c r="S327" s="19"/>
      <c r="T327" s="19"/>
      <c r="U327" s="19"/>
      <c r="V327" s="19"/>
      <c r="W327" s="825"/>
      <c r="X327" s="825"/>
      <c r="AM327" s="825"/>
      <c r="AN327" s="958"/>
      <c r="AO327" s="958"/>
      <c r="AP327" s="958"/>
      <c r="AQ327" s="958"/>
      <c r="AR327" s="958"/>
      <c r="AS327" s="958"/>
      <c r="AT327" s="825"/>
      <c r="AU327" s="825"/>
      <c r="AV327" s="825"/>
    </row>
    <row r="328" spans="1:48" ht="15.8" customHeight="1" x14ac:dyDescent="0.3">
      <c r="A328" s="825"/>
      <c r="B328" s="825"/>
      <c r="C328" s="825"/>
      <c r="D328" s="825"/>
      <c r="G328" s="825"/>
      <c r="H328" s="18"/>
      <c r="I328" s="825"/>
      <c r="L328" s="825"/>
      <c r="M328" s="825"/>
      <c r="N328" s="825"/>
      <c r="O328" s="825"/>
      <c r="P328" s="825"/>
      <c r="Q328" s="21"/>
      <c r="R328" s="21"/>
      <c r="S328" s="19"/>
      <c r="T328" s="19"/>
      <c r="U328" s="19"/>
      <c r="V328" s="19"/>
      <c r="W328" s="825"/>
      <c r="X328" s="825"/>
      <c r="AM328" s="825"/>
      <c r="AN328" s="958"/>
      <c r="AO328" s="958"/>
      <c r="AP328" s="958"/>
      <c r="AQ328" s="958"/>
      <c r="AR328" s="958"/>
      <c r="AS328" s="958"/>
      <c r="AT328" s="825"/>
      <c r="AU328" s="825"/>
      <c r="AV328" s="825"/>
    </row>
    <row r="329" spans="1:48" ht="15.8" customHeight="1" x14ac:dyDescent="0.3">
      <c r="A329" s="825"/>
      <c r="B329" s="825"/>
      <c r="C329" s="825"/>
      <c r="D329" s="825"/>
      <c r="G329" s="825"/>
      <c r="H329" s="18"/>
      <c r="I329" s="825"/>
      <c r="L329" s="825"/>
      <c r="M329" s="825"/>
      <c r="N329" s="825"/>
      <c r="O329" s="825"/>
      <c r="P329" s="825"/>
      <c r="Q329" s="21"/>
      <c r="R329" s="21"/>
      <c r="S329" s="19"/>
      <c r="T329" s="19"/>
      <c r="U329" s="19"/>
      <c r="V329" s="19"/>
      <c r="W329" s="825"/>
      <c r="X329" s="825"/>
      <c r="AM329" s="825"/>
      <c r="AN329" s="958"/>
      <c r="AO329" s="958"/>
      <c r="AP329" s="958"/>
      <c r="AQ329" s="958"/>
      <c r="AR329" s="958"/>
      <c r="AS329" s="958"/>
      <c r="AT329" s="825"/>
      <c r="AU329" s="825"/>
      <c r="AV329" s="825"/>
    </row>
    <row r="330" spans="1:48" ht="15.8" customHeight="1" x14ac:dyDescent="0.3">
      <c r="A330" s="825"/>
      <c r="B330" s="825"/>
      <c r="C330" s="825"/>
      <c r="D330" s="825"/>
      <c r="G330" s="825"/>
      <c r="H330" s="18"/>
      <c r="I330" s="825"/>
      <c r="L330" s="825"/>
      <c r="M330" s="825"/>
      <c r="N330" s="825"/>
      <c r="O330" s="825"/>
      <c r="P330" s="825"/>
      <c r="Q330" s="21"/>
      <c r="R330" s="21"/>
      <c r="S330" s="19"/>
      <c r="T330" s="19"/>
      <c r="U330" s="19"/>
      <c r="V330" s="19"/>
      <c r="W330" s="825"/>
      <c r="X330" s="825"/>
      <c r="AM330" s="825"/>
      <c r="AN330" s="958"/>
      <c r="AO330" s="958"/>
      <c r="AP330" s="958"/>
      <c r="AQ330" s="958"/>
      <c r="AR330" s="958"/>
      <c r="AS330" s="958"/>
      <c r="AT330" s="825"/>
      <c r="AU330" s="825"/>
      <c r="AV330" s="825"/>
    </row>
    <row r="331" spans="1:48" ht="15.8" customHeight="1" x14ac:dyDescent="0.3">
      <c r="A331" s="825"/>
      <c r="B331" s="825"/>
      <c r="C331" s="825"/>
      <c r="D331" s="825"/>
      <c r="G331" s="825"/>
      <c r="H331" s="18"/>
      <c r="I331" s="825"/>
      <c r="L331" s="825"/>
      <c r="M331" s="825"/>
      <c r="N331" s="825"/>
      <c r="O331" s="825"/>
      <c r="P331" s="825"/>
      <c r="Q331" s="21"/>
      <c r="R331" s="21"/>
      <c r="S331" s="19"/>
      <c r="T331" s="19"/>
      <c r="U331" s="19"/>
      <c r="V331" s="19"/>
      <c r="W331" s="825"/>
      <c r="X331" s="825"/>
      <c r="AM331" s="825"/>
      <c r="AN331" s="958"/>
      <c r="AO331" s="958"/>
      <c r="AP331" s="958"/>
      <c r="AQ331" s="958"/>
      <c r="AR331" s="958"/>
      <c r="AS331" s="958"/>
      <c r="AT331" s="825"/>
      <c r="AU331" s="825"/>
      <c r="AV331" s="825"/>
    </row>
    <row r="332" spans="1:48" ht="15.8" customHeight="1" x14ac:dyDescent="0.3">
      <c r="A332" s="825"/>
      <c r="B332" s="825"/>
      <c r="C332" s="825"/>
      <c r="D332" s="825"/>
      <c r="G332" s="825"/>
      <c r="H332" s="18"/>
      <c r="I332" s="825"/>
      <c r="L332" s="825"/>
      <c r="M332" s="825"/>
      <c r="N332" s="825"/>
      <c r="O332" s="825"/>
      <c r="P332" s="825"/>
      <c r="Q332" s="21"/>
      <c r="R332" s="21"/>
      <c r="S332" s="19"/>
      <c r="T332" s="19"/>
      <c r="U332" s="19"/>
      <c r="V332" s="19"/>
      <c r="W332" s="825"/>
      <c r="X332" s="825"/>
      <c r="AM332" s="825"/>
      <c r="AN332" s="958"/>
      <c r="AO332" s="958"/>
      <c r="AP332" s="958"/>
      <c r="AQ332" s="958"/>
      <c r="AR332" s="958"/>
      <c r="AS332" s="958"/>
      <c r="AT332" s="825"/>
      <c r="AU332" s="825"/>
      <c r="AV332" s="825"/>
    </row>
    <row r="333" spans="1:48" ht="15.8" customHeight="1" x14ac:dyDescent="0.3">
      <c r="A333" s="825"/>
      <c r="B333" s="825"/>
      <c r="C333" s="825"/>
      <c r="D333" s="825"/>
      <c r="G333" s="825"/>
      <c r="H333" s="18"/>
      <c r="I333" s="825"/>
      <c r="L333" s="825"/>
      <c r="M333" s="825"/>
      <c r="N333" s="825"/>
      <c r="O333" s="825"/>
      <c r="P333" s="825"/>
      <c r="Q333" s="21"/>
      <c r="R333" s="21"/>
      <c r="S333" s="19"/>
      <c r="T333" s="19"/>
      <c r="U333" s="19"/>
      <c r="V333" s="19"/>
      <c r="W333" s="825"/>
      <c r="X333" s="825"/>
      <c r="AM333" s="825"/>
      <c r="AN333" s="958"/>
      <c r="AO333" s="958"/>
      <c r="AP333" s="958"/>
      <c r="AQ333" s="958"/>
      <c r="AR333" s="958"/>
      <c r="AS333" s="958"/>
      <c r="AT333" s="825"/>
      <c r="AU333" s="825"/>
      <c r="AV333" s="825"/>
    </row>
    <row r="334" spans="1:48" ht="15.8" customHeight="1" x14ac:dyDescent="0.3">
      <c r="A334" s="825"/>
      <c r="B334" s="825"/>
      <c r="C334" s="825"/>
      <c r="D334" s="825"/>
      <c r="G334" s="825"/>
      <c r="H334" s="18"/>
      <c r="I334" s="825"/>
      <c r="L334" s="825"/>
      <c r="M334" s="825"/>
      <c r="N334" s="825"/>
      <c r="O334" s="825"/>
      <c r="P334" s="825"/>
      <c r="Q334" s="21"/>
      <c r="R334" s="21"/>
      <c r="S334" s="19"/>
      <c r="T334" s="19"/>
      <c r="U334" s="19"/>
      <c r="V334" s="19"/>
      <c r="W334" s="825"/>
      <c r="X334" s="825"/>
      <c r="AM334" s="825"/>
      <c r="AN334" s="958"/>
      <c r="AO334" s="958"/>
      <c r="AP334" s="958"/>
      <c r="AQ334" s="958"/>
      <c r="AR334" s="958"/>
      <c r="AS334" s="958"/>
      <c r="AT334" s="825"/>
      <c r="AU334" s="825"/>
      <c r="AV334" s="825"/>
    </row>
    <row r="335" spans="1:48" ht="15.8" customHeight="1" x14ac:dyDescent="0.3">
      <c r="A335" s="825"/>
      <c r="B335" s="825"/>
      <c r="C335" s="825"/>
      <c r="D335" s="825"/>
      <c r="G335" s="825"/>
      <c r="H335" s="18"/>
      <c r="I335" s="825"/>
      <c r="L335" s="825"/>
      <c r="M335" s="825"/>
      <c r="N335" s="825"/>
      <c r="O335" s="825"/>
      <c r="P335" s="825"/>
      <c r="Q335" s="21"/>
      <c r="R335" s="21"/>
      <c r="S335" s="19"/>
      <c r="T335" s="19"/>
      <c r="U335" s="19"/>
      <c r="V335" s="19"/>
      <c r="W335" s="825"/>
      <c r="X335" s="825"/>
      <c r="AM335" s="825"/>
      <c r="AN335" s="958"/>
      <c r="AO335" s="958"/>
      <c r="AP335" s="958"/>
      <c r="AQ335" s="958"/>
      <c r="AR335" s="958"/>
      <c r="AS335" s="958"/>
      <c r="AT335" s="825"/>
      <c r="AU335" s="825"/>
      <c r="AV335" s="825"/>
    </row>
    <row r="336" spans="1:48" ht="15.8" customHeight="1" x14ac:dyDescent="0.3">
      <c r="A336" s="825"/>
      <c r="B336" s="825"/>
      <c r="C336" s="825"/>
      <c r="D336" s="825"/>
      <c r="G336" s="825"/>
      <c r="H336" s="18"/>
      <c r="I336" s="825"/>
      <c r="L336" s="825"/>
      <c r="M336" s="825"/>
      <c r="N336" s="825"/>
      <c r="O336" s="825"/>
      <c r="P336" s="825"/>
      <c r="Q336" s="21"/>
      <c r="R336" s="21"/>
      <c r="S336" s="19"/>
      <c r="T336" s="19"/>
      <c r="U336" s="19"/>
      <c r="V336" s="19"/>
      <c r="W336" s="825"/>
      <c r="X336" s="825"/>
      <c r="AM336" s="825"/>
      <c r="AN336" s="958"/>
      <c r="AO336" s="958"/>
      <c r="AP336" s="958"/>
      <c r="AQ336" s="958"/>
      <c r="AR336" s="958"/>
      <c r="AS336" s="958"/>
      <c r="AT336" s="825"/>
      <c r="AU336" s="825"/>
      <c r="AV336" s="825"/>
    </row>
    <row r="337" spans="1:48" ht="15.8" customHeight="1" x14ac:dyDescent="0.3">
      <c r="A337" s="825"/>
      <c r="B337" s="825"/>
      <c r="C337" s="825"/>
      <c r="D337" s="825"/>
      <c r="G337" s="825"/>
      <c r="H337" s="18"/>
      <c r="I337" s="825"/>
      <c r="L337" s="825"/>
      <c r="M337" s="825"/>
      <c r="N337" s="825"/>
      <c r="O337" s="825"/>
      <c r="P337" s="825"/>
      <c r="Q337" s="21"/>
      <c r="R337" s="21"/>
      <c r="S337" s="19"/>
      <c r="T337" s="19"/>
      <c r="U337" s="19"/>
      <c r="V337" s="19"/>
      <c r="W337" s="825"/>
      <c r="X337" s="825"/>
      <c r="AM337" s="825"/>
      <c r="AN337" s="958"/>
      <c r="AO337" s="958"/>
      <c r="AP337" s="958"/>
      <c r="AQ337" s="958"/>
      <c r="AR337" s="958"/>
      <c r="AS337" s="958"/>
      <c r="AT337" s="825"/>
      <c r="AU337" s="825"/>
      <c r="AV337" s="825"/>
    </row>
    <row r="338" spans="1:48" ht="15.8" customHeight="1" x14ac:dyDescent="0.3">
      <c r="A338" s="825"/>
      <c r="B338" s="825"/>
      <c r="C338" s="825"/>
      <c r="D338" s="825"/>
      <c r="G338" s="825"/>
      <c r="H338" s="18"/>
      <c r="I338" s="825"/>
      <c r="L338" s="825"/>
      <c r="M338" s="825"/>
      <c r="N338" s="825"/>
      <c r="O338" s="825"/>
      <c r="P338" s="825"/>
      <c r="Q338" s="21"/>
      <c r="R338" s="21"/>
      <c r="S338" s="19"/>
      <c r="T338" s="19"/>
      <c r="U338" s="19"/>
      <c r="V338" s="19"/>
      <c r="W338" s="825"/>
      <c r="X338" s="825"/>
      <c r="AM338" s="825"/>
      <c r="AN338" s="958"/>
      <c r="AO338" s="958"/>
      <c r="AP338" s="958"/>
      <c r="AQ338" s="958"/>
      <c r="AR338" s="958"/>
      <c r="AS338" s="958"/>
      <c r="AT338" s="825"/>
      <c r="AU338" s="825"/>
      <c r="AV338" s="825"/>
    </row>
    <row r="339" spans="1:48" ht="15.8" customHeight="1" x14ac:dyDescent="0.3">
      <c r="A339" s="825"/>
      <c r="B339" s="825"/>
      <c r="C339" s="825"/>
      <c r="D339" s="825"/>
      <c r="G339" s="825"/>
      <c r="H339" s="18"/>
      <c r="I339" s="825"/>
      <c r="L339" s="825"/>
      <c r="M339" s="825"/>
      <c r="N339" s="825"/>
      <c r="O339" s="825"/>
      <c r="P339" s="825"/>
      <c r="Q339" s="21"/>
      <c r="R339" s="21"/>
      <c r="S339" s="19"/>
      <c r="T339" s="19"/>
      <c r="U339" s="19"/>
      <c r="V339" s="19"/>
      <c r="W339" s="825"/>
      <c r="X339" s="825"/>
      <c r="AM339" s="825"/>
      <c r="AN339" s="958"/>
      <c r="AO339" s="958"/>
      <c r="AP339" s="958"/>
      <c r="AQ339" s="958"/>
      <c r="AR339" s="958"/>
      <c r="AS339" s="958"/>
      <c r="AT339" s="825"/>
      <c r="AU339" s="825"/>
      <c r="AV339" s="825"/>
    </row>
    <row r="340" spans="1:48" ht="15.8" customHeight="1" x14ac:dyDescent="0.3">
      <c r="A340" s="825"/>
      <c r="B340" s="825"/>
      <c r="C340" s="825"/>
      <c r="D340" s="825"/>
      <c r="G340" s="825"/>
      <c r="H340" s="18"/>
      <c r="I340" s="825"/>
      <c r="L340" s="825"/>
      <c r="M340" s="825"/>
      <c r="N340" s="825"/>
      <c r="O340" s="825"/>
      <c r="P340" s="825"/>
      <c r="Q340" s="21"/>
      <c r="R340" s="21"/>
      <c r="S340" s="19"/>
      <c r="T340" s="19"/>
      <c r="U340" s="19"/>
      <c r="V340" s="19"/>
      <c r="W340" s="825"/>
      <c r="X340" s="825"/>
      <c r="AM340" s="825"/>
      <c r="AN340" s="958"/>
      <c r="AO340" s="958"/>
      <c r="AP340" s="958"/>
      <c r="AQ340" s="958"/>
      <c r="AR340" s="958"/>
      <c r="AS340" s="958"/>
      <c r="AT340" s="825"/>
      <c r="AU340" s="825"/>
      <c r="AV340" s="825"/>
    </row>
    <row r="341" spans="1:48" ht="15.8" customHeight="1" x14ac:dyDescent="0.3">
      <c r="A341" s="825"/>
      <c r="B341" s="825"/>
      <c r="C341" s="825"/>
      <c r="D341" s="825"/>
      <c r="G341" s="825"/>
      <c r="H341" s="18"/>
      <c r="I341" s="825"/>
      <c r="L341" s="825"/>
      <c r="M341" s="825"/>
      <c r="N341" s="825"/>
      <c r="O341" s="825"/>
      <c r="P341" s="825"/>
      <c r="Q341" s="21"/>
      <c r="R341" s="21"/>
      <c r="S341" s="19"/>
      <c r="T341" s="19"/>
      <c r="U341" s="19"/>
      <c r="V341" s="19"/>
      <c r="W341" s="825"/>
      <c r="X341" s="825"/>
      <c r="AM341" s="825"/>
      <c r="AN341" s="825"/>
      <c r="AO341" s="825"/>
      <c r="AP341" s="825"/>
      <c r="AQ341" s="825"/>
      <c r="AR341" s="825"/>
      <c r="AS341" s="825"/>
      <c r="AT341" s="825"/>
      <c r="AU341" s="825"/>
      <c r="AV341" s="825"/>
    </row>
    <row r="342" spans="1:48" ht="15.8" customHeight="1" x14ac:dyDescent="0.3">
      <c r="A342" s="825"/>
      <c r="B342" s="825"/>
      <c r="C342" s="825"/>
      <c r="D342" s="825"/>
      <c r="G342" s="825"/>
      <c r="H342" s="18"/>
      <c r="I342" s="825"/>
      <c r="L342" s="825"/>
      <c r="M342" s="825"/>
      <c r="N342" s="825"/>
      <c r="O342" s="825"/>
      <c r="P342" s="825"/>
      <c r="Q342" s="21"/>
      <c r="R342" s="21"/>
      <c r="S342" s="19"/>
      <c r="T342" s="19"/>
      <c r="U342" s="19"/>
      <c r="V342" s="19"/>
      <c r="W342" s="825"/>
      <c r="X342" s="825"/>
      <c r="AM342" s="825"/>
      <c r="AN342" s="825"/>
      <c r="AO342" s="825"/>
      <c r="AP342" s="825"/>
      <c r="AQ342" s="825"/>
      <c r="AR342" s="825"/>
      <c r="AS342" s="825"/>
      <c r="AT342" s="825"/>
      <c r="AU342" s="825"/>
      <c r="AV342" s="825"/>
    </row>
    <row r="343" spans="1:48" ht="15.8" customHeight="1" x14ac:dyDescent="0.3">
      <c r="A343" s="825"/>
      <c r="B343" s="825"/>
      <c r="C343" s="825"/>
      <c r="D343" s="825"/>
      <c r="G343" s="825"/>
      <c r="H343" s="18"/>
      <c r="I343" s="825"/>
      <c r="L343" s="825"/>
      <c r="M343" s="825"/>
      <c r="N343" s="825"/>
      <c r="O343" s="825"/>
      <c r="P343" s="825"/>
      <c r="Q343" s="21"/>
      <c r="R343" s="21"/>
      <c r="S343" s="19"/>
      <c r="T343" s="19"/>
      <c r="U343" s="19"/>
      <c r="V343" s="19"/>
      <c r="W343" s="825"/>
      <c r="X343" s="825"/>
      <c r="AM343" s="825"/>
      <c r="AN343" s="825"/>
      <c r="AO343" s="825"/>
      <c r="AP343" s="825"/>
      <c r="AQ343" s="825"/>
      <c r="AR343" s="825"/>
      <c r="AS343" s="825"/>
      <c r="AT343" s="825"/>
      <c r="AU343" s="825"/>
      <c r="AV343" s="825"/>
    </row>
    <row r="344" spans="1:48" ht="15.8" customHeight="1" x14ac:dyDescent="0.3">
      <c r="A344" s="825"/>
      <c r="B344" s="825"/>
      <c r="C344" s="825"/>
      <c r="D344" s="825"/>
      <c r="G344" s="825"/>
      <c r="H344" s="18"/>
      <c r="I344" s="825"/>
      <c r="L344" s="825"/>
      <c r="M344" s="825"/>
      <c r="N344" s="825"/>
      <c r="O344" s="825"/>
      <c r="P344" s="825"/>
      <c r="Q344" s="21"/>
      <c r="R344" s="21"/>
      <c r="S344" s="19"/>
      <c r="T344" s="19"/>
      <c r="U344" s="19"/>
      <c r="V344" s="19"/>
      <c r="W344" s="825"/>
      <c r="X344" s="825"/>
      <c r="AM344" s="825"/>
      <c r="AN344" s="825"/>
      <c r="AO344" s="825"/>
      <c r="AP344" s="825"/>
      <c r="AQ344" s="825"/>
      <c r="AR344" s="825"/>
      <c r="AS344" s="825"/>
      <c r="AT344" s="825"/>
      <c r="AU344" s="825"/>
      <c r="AV344" s="825"/>
    </row>
    <row r="345" spans="1:48" ht="15.8" customHeight="1" x14ac:dyDescent="0.3">
      <c r="A345" s="825"/>
      <c r="B345" s="825"/>
      <c r="C345" s="825"/>
      <c r="D345" s="825"/>
      <c r="G345" s="825"/>
      <c r="H345" s="18"/>
      <c r="I345" s="825"/>
      <c r="L345" s="825"/>
      <c r="M345" s="825"/>
      <c r="N345" s="825"/>
      <c r="O345" s="825"/>
      <c r="P345" s="825"/>
      <c r="Q345" s="21"/>
      <c r="R345" s="21"/>
      <c r="S345" s="19"/>
      <c r="T345" s="19"/>
      <c r="U345" s="19"/>
      <c r="V345" s="19"/>
      <c r="W345" s="825"/>
      <c r="X345" s="825"/>
      <c r="AM345" s="825"/>
      <c r="AN345" s="825"/>
      <c r="AO345" s="825"/>
      <c r="AP345" s="825"/>
      <c r="AQ345" s="825"/>
      <c r="AR345" s="825"/>
      <c r="AS345" s="825"/>
      <c r="AT345" s="825"/>
      <c r="AU345" s="825"/>
      <c r="AV345" s="825"/>
    </row>
    <row r="346" spans="1:48" ht="15.8" customHeight="1" x14ac:dyDescent="0.3">
      <c r="A346" s="825"/>
      <c r="B346" s="825"/>
      <c r="C346" s="825"/>
      <c r="D346" s="825"/>
      <c r="G346" s="825"/>
      <c r="H346" s="18"/>
      <c r="I346" s="825"/>
      <c r="L346" s="825"/>
      <c r="M346" s="825"/>
      <c r="N346" s="825"/>
      <c r="O346" s="825"/>
      <c r="P346" s="825"/>
      <c r="Q346" s="21"/>
      <c r="R346" s="21"/>
      <c r="S346" s="19"/>
      <c r="T346" s="19"/>
      <c r="U346" s="19"/>
      <c r="V346" s="19"/>
      <c r="W346" s="825"/>
      <c r="X346" s="825"/>
      <c r="AM346" s="825"/>
      <c r="AN346" s="825"/>
      <c r="AO346" s="825"/>
      <c r="AP346" s="825"/>
      <c r="AQ346" s="825"/>
      <c r="AR346" s="825"/>
      <c r="AS346" s="825"/>
      <c r="AT346" s="825"/>
      <c r="AU346" s="825"/>
      <c r="AV346" s="825"/>
    </row>
    <row r="347" spans="1:48" ht="15.8" customHeight="1" x14ac:dyDescent="0.3">
      <c r="A347" s="825"/>
      <c r="B347" s="825"/>
      <c r="C347" s="825"/>
      <c r="D347" s="825"/>
      <c r="G347" s="825"/>
      <c r="H347" s="18"/>
      <c r="I347" s="825"/>
      <c r="L347" s="825"/>
      <c r="M347" s="825"/>
      <c r="N347" s="825"/>
      <c r="O347" s="825"/>
      <c r="P347" s="825"/>
      <c r="Q347" s="21"/>
      <c r="R347" s="21"/>
      <c r="S347" s="19"/>
      <c r="T347" s="19"/>
      <c r="U347" s="19"/>
      <c r="V347" s="19"/>
      <c r="W347" s="825"/>
      <c r="X347" s="825"/>
      <c r="AM347" s="825"/>
      <c r="AN347" s="825"/>
      <c r="AO347" s="825"/>
      <c r="AP347" s="825"/>
      <c r="AQ347" s="825"/>
      <c r="AR347" s="825"/>
      <c r="AS347" s="825"/>
      <c r="AT347" s="825"/>
      <c r="AU347" s="825"/>
      <c r="AV347" s="825"/>
    </row>
    <row r="348" spans="1:48" ht="15.8" customHeight="1" x14ac:dyDescent="0.3">
      <c r="A348" s="825"/>
      <c r="B348" s="825"/>
      <c r="C348" s="825"/>
      <c r="D348" s="825"/>
      <c r="G348" s="825"/>
      <c r="H348" s="18"/>
      <c r="I348" s="825"/>
      <c r="L348" s="825"/>
      <c r="M348" s="825"/>
      <c r="N348" s="825"/>
      <c r="O348" s="825"/>
      <c r="P348" s="825"/>
      <c r="Q348" s="21"/>
      <c r="R348" s="21"/>
      <c r="S348" s="19"/>
      <c r="T348" s="19"/>
      <c r="U348" s="19"/>
      <c r="V348" s="19"/>
      <c r="W348" s="825"/>
      <c r="X348" s="825"/>
      <c r="AM348" s="825"/>
      <c r="AN348" s="825"/>
      <c r="AO348" s="825"/>
      <c r="AP348" s="825"/>
      <c r="AQ348" s="825"/>
      <c r="AR348" s="825"/>
      <c r="AS348" s="825"/>
      <c r="AT348" s="825"/>
      <c r="AU348" s="825"/>
      <c r="AV348" s="825"/>
    </row>
    <row r="349" spans="1:48" ht="15.8" customHeight="1" x14ac:dyDescent="0.3">
      <c r="A349" s="825"/>
      <c r="B349" s="825"/>
      <c r="C349" s="825"/>
      <c r="D349" s="825"/>
      <c r="G349" s="825"/>
      <c r="H349" s="18"/>
      <c r="I349" s="825"/>
      <c r="L349" s="825"/>
      <c r="M349" s="825"/>
      <c r="N349" s="825"/>
      <c r="O349" s="825"/>
      <c r="P349" s="825"/>
      <c r="Q349" s="21"/>
      <c r="R349" s="21"/>
      <c r="S349" s="19"/>
      <c r="T349" s="19"/>
      <c r="U349" s="19"/>
      <c r="V349" s="19"/>
      <c r="W349" s="825"/>
      <c r="X349" s="825"/>
      <c r="AM349" s="825"/>
      <c r="AN349" s="825"/>
      <c r="AO349" s="825"/>
      <c r="AP349" s="825"/>
      <c r="AQ349" s="825"/>
      <c r="AR349" s="825"/>
      <c r="AS349" s="825"/>
      <c r="AT349" s="825"/>
      <c r="AU349" s="825"/>
      <c r="AV349" s="825"/>
    </row>
    <row r="350" spans="1:48" ht="15.8" customHeight="1" x14ac:dyDescent="0.3">
      <c r="A350" s="825"/>
      <c r="B350" s="825"/>
      <c r="C350" s="825"/>
      <c r="D350" s="825"/>
      <c r="G350" s="825"/>
      <c r="H350" s="18"/>
      <c r="I350" s="825"/>
      <c r="L350" s="825"/>
      <c r="M350" s="825"/>
      <c r="N350" s="825"/>
      <c r="O350" s="825"/>
      <c r="P350" s="825"/>
      <c r="Q350" s="21"/>
      <c r="R350" s="21"/>
      <c r="S350" s="19"/>
      <c r="T350" s="19"/>
      <c r="U350" s="19"/>
      <c r="V350" s="19"/>
      <c r="W350" s="825"/>
      <c r="X350" s="825"/>
      <c r="AM350" s="825"/>
      <c r="AN350" s="825"/>
      <c r="AO350" s="825"/>
      <c r="AP350" s="825"/>
      <c r="AQ350" s="825"/>
      <c r="AR350" s="825"/>
      <c r="AS350" s="825"/>
      <c r="AT350" s="825"/>
      <c r="AU350" s="825"/>
      <c r="AV350" s="825"/>
    </row>
    <row r="351" spans="1:48" ht="15.8" customHeight="1" x14ac:dyDescent="0.3">
      <c r="A351" s="825"/>
      <c r="B351" s="825"/>
      <c r="C351" s="825"/>
      <c r="D351" s="825"/>
      <c r="G351" s="825"/>
      <c r="H351" s="18"/>
      <c r="I351" s="825"/>
      <c r="L351" s="825"/>
      <c r="M351" s="825"/>
      <c r="N351" s="825"/>
      <c r="O351" s="825"/>
      <c r="P351" s="825"/>
      <c r="Q351" s="21"/>
      <c r="R351" s="21"/>
      <c r="S351" s="19"/>
      <c r="T351" s="19"/>
      <c r="U351" s="19"/>
      <c r="V351" s="19"/>
      <c r="W351" s="825"/>
      <c r="X351" s="825"/>
      <c r="AM351" s="825"/>
      <c r="AN351" s="825"/>
      <c r="AO351" s="825"/>
      <c r="AP351" s="825"/>
      <c r="AQ351" s="825"/>
      <c r="AR351" s="825"/>
      <c r="AS351" s="825"/>
      <c r="AT351" s="825"/>
      <c r="AU351" s="825"/>
      <c r="AV351" s="825"/>
    </row>
    <row r="352" spans="1:48" ht="15.8" customHeight="1" x14ac:dyDescent="0.3">
      <c r="A352" s="825"/>
      <c r="B352" s="825"/>
      <c r="C352" s="825"/>
      <c r="D352" s="825"/>
      <c r="G352" s="825"/>
      <c r="H352" s="18"/>
      <c r="I352" s="825"/>
      <c r="L352" s="825"/>
      <c r="M352" s="825"/>
      <c r="N352" s="825"/>
      <c r="O352" s="825"/>
      <c r="P352" s="825"/>
      <c r="Q352" s="21"/>
      <c r="R352" s="21"/>
      <c r="S352" s="19"/>
      <c r="T352" s="19"/>
      <c r="U352" s="19"/>
      <c r="V352" s="19"/>
      <c r="W352" s="825"/>
      <c r="X352" s="825"/>
      <c r="AM352" s="825"/>
      <c r="AN352" s="825"/>
      <c r="AO352" s="825"/>
      <c r="AP352" s="825"/>
      <c r="AQ352" s="825"/>
      <c r="AR352" s="825"/>
      <c r="AS352" s="825"/>
      <c r="AT352" s="825"/>
      <c r="AU352" s="825"/>
      <c r="AV352" s="825"/>
    </row>
    <row r="353" spans="1:48" ht="15.8" customHeight="1" x14ac:dyDescent="0.3">
      <c r="A353" s="825"/>
      <c r="B353" s="825"/>
      <c r="C353" s="825"/>
      <c r="D353" s="825"/>
      <c r="G353" s="825"/>
      <c r="H353" s="18"/>
      <c r="I353" s="825"/>
      <c r="L353" s="825"/>
      <c r="M353" s="825"/>
      <c r="N353" s="825"/>
      <c r="O353" s="825"/>
      <c r="P353" s="825"/>
      <c r="Q353" s="21"/>
      <c r="R353" s="21"/>
      <c r="S353" s="19"/>
      <c r="T353" s="19"/>
      <c r="U353" s="19"/>
      <c r="V353" s="19"/>
      <c r="W353" s="825"/>
      <c r="X353" s="825"/>
      <c r="AM353" s="825"/>
      <c r="AN353" s="825"/>
      <c r="AO353" s="825"/>
      <c r="AP353" s="825"/>
      <c r="AQ353" s="825"/>
      <c r="AR353" s="825"/>
      <c r="AS353" s="825"/>
      <c r="AT353" s="825"/>
      <c r="AU353" s="825"/>
      <c r="AV353" s="825"/>
    </row>
    <row r="354" spans="1:48" ht="15.8" customHeight="1" x14ac:dyDescent="0.3">
      <c r="A354" s="825"/>
      <c r="B354" s="825"/>
      <c r="C354" s="825"/>
      <c r="D354" s="825"/>
      <c r="G354" s="825"/>
      <c r="H354" s="18"/>
      <c r="I354" s="825"/>
      <c r="L354" s="825"/>
      <c r="M354" s="825"/>
      <c r="N354" s="825"/>
      <c r="O354" s="825"/>
      <c r="P354" s="825"/>
      <c r="Q354" s="21"/>
      <c r="R354" s="21"/>
      <c r="S354" s="19"/>
      <c r="T354" s="19"/>
      <c r="U354" s="19"/>
      <c r="V354" s="19"/>
      <c r="W354" s="825"/>
      <c r="X354" s="825"/>
      <c r="AM354" s="825"/>
      <c r="AN354" s="825"/>
      <c r="AO354" s="825"/>
      <c r="AP354" s="825"/>
      <c r="AQ354" s="825"/>
      <c r="AR354" s="825"/>
      <c r="AS354" s="825"/>
      <c r="AT354" s="825"/>
      <c r="AU354" s="825"/>
      <c r="AV354" s="825"/>
    </row>
    <row r="355" spans="1:48" ht="15.8" customHeight="1" x14ac:dyDescent="0.3">
      <c r="A355" s="825"/>
      <c r="B355" s="825"/>
      <c r="C355" s="825"/>
      <c r="D355" s="825"/>
      <c r="G355" s="825"/>
      <c r="H355" s="18"/>
      <c r="I355" s="825"/>
      <c r="L355" s="825"/>
      <c r="M355" s="825"/>
      <c r="N355" s="825"/>
      <c r="O355" s="825"/>
      <c r="P355" s="825"/>
      <c r="Q355" s="21"/>
      <c r="R355" s="21"/>
      <c r="S355" s="19"/>
      <c r="T355" s="19"/>
      <c r="U355" s="19"/>
      <c r="V355" s="19"/>
      <c r="W355" s="825"/>
      <c r="X355" s="825"/>
      <c r="AM355" s="825"/>
      <c r="AN355" s="825"/>
      <c r="AO355" s="825"/>
      <c r="AP355" s="825"/>
      <c r="AQ355" s="825"/>
      <c r="AR355" s="825"/>
      <c r="AS355" s="825"/>
      <c r="AT355" s="825"/>
      <c r="AU355" s="825"/>
      <c r="AV355" s="825"/>
    </row>
    <row r="356" spans="1:48" ht="15.8" customHeight="1" x14ac:dyDescent="0.3">
      <c r="A356" s="825"/>
      <c r="B356" s="825"/>
      <c r="C356" s="825"/>
      <c r="D356" s="825"/>
      <c r="G356" s="825"/>
      <c r="H356" s="18"/>
      <c r="I356" s="825"/>
      <c r="L356" s="825"/>
      <c r="M356" s="825"/>
      <c r="N356" s="825"/>
      <c r="O356" s="825"/>
      <c r="P356" s="825"/>
      <c r="Q356" s="21"/>
      <c r="R356" s="21"/>
      <c r="S356" s="19"/>
      <c r="T356" s="19"/>
      <c r="U356" s="19"/>
      <c r="V356" s="19"/>
      <c r="W356" s="825"/>
      <c r="X356" s="825"/>
      <c r="AM356" s="825"/>
      <c r="AN356" s="825"/>
      <c r="AO356" s="825"/>
      <c r="AP356" s="825"/>
      <c r="AQ356" s="825"/>
      <c r="AR356" s="825"/>
      <c r="AS356" s="825"/>
      <c r="AT356" s="825"/>
      <c r="AU356" s="825"/>
      <c r="AV356" s="825"/>
    </row>
    <row r="357" spans="1:48" ht="15.8" customHeight="1" x14ac:dyDescent="0.3">
      <c r="A357" s="825"/>
      <c r="B357" s="825"/>
      <c r="C357" s="825"/>
      <c r="D357" s="825"/>
      <c r="G357" s="825"/>
      <c r="H357" s="18"/>
      <c r="I357" s="825"/>
      <c r="L357" s="825"/>
      <c r="M357" s="825"/>
      <c r="N357" s="825"/>
      <c r="O357" s="825"/>
      <c r="P357" s="825"/>
      <c r="Q357" s="21"/>
      <c r="R357" s="21"/>
      <c r="S357" s="19"/>
      <c r="T357" s="19"/>
      <c r="U357" s="19"/>
      <c r="V357" s="19"/>
      <c r="W357" s="825"/>
      <c r="X357" s="825"/>
      <c r="AM357" s="825"/>
      <c r="AN357" s="825"/>
      <c r="AO357" s="825"/>
      <c r="AP357" s="825"/>
      <c r="AQ357" s="825"/>
      <c r="AR357" s="825"/>
      <c r="AS357" s="825"/>
      <c r="AT357" s="825"/>
      <c r="AU357" s="825"/>
      <c r="AV357" s="825"/>
    </row>
    <row r="358" spans="1:48" ht="15.8" customHeight="1" x14ac:dyDescent="0.3">
      <c r="A358" s="825"/>
      <c r="B358" s="825"/>
      <c r="C358" s="825"/>
      <c r="D358" s="825"/>
      <c r="G358" s="825"/>
      <c r="H358" s="18"/>
      <c r="I358" s="825"/>
      <c r="L358" s="825"/>
      <c r="M358" s="825"/>
      <c r="N358" s="825"/>
      <c r="O358" s="825"/>
      <c r="P358" s="825"/>
      <c r="Q358" s="21"/>
      <c r="R358" s="21"/>
      <c r="S358" s="19"/>
      <c r="T358" s="19"/>
      <c r="U358" s="19"/>
      <c r="V358" s="19"/>
      <c r="W358" s="825"/>
      <c r="X358" s="825"/>
      <c r="AM358" s="825"/>
      <c r="AN358" s="825"/>
      <c r="AO358" s="825"/>
      <c r="AP358" s="825"/>
      <c r="AQ358" s="825"/>
      <c r="AR358" s="825"/>
      <c r="AS358" s="825"/>
      <c r="AT358" s="825"/>
      <c r="AU358" s="825"/>
      <c r="AV358" s="825"/>
    </row>
    <row r="359" spans="1:48" ht="15.8" customHeight="1" x14ac:dyDescent="0.3">
      <c r="A359" s="825"/>
      <c r="B359" s="825"/>
      <c r="C359" s="825"/>
      <c r="D359" s="825"/>
      <c r="G359" s="825"/>
      <c r="H359" s="18"/>
      <c r="I359" s="825"/>
      <c r="L359" s="825"/>
      <c r="M359" s="825"/>
      <c r="N359" s="825"/>
      <c r="O359" s="825"/>
      <c r="P359" s="825"/>
      <c r="Q359" s="21"/>
      <c r="R359" s="21"/>
      <c r="S359" s="19"/>
      <c r="T359" s="19"/>
      <c r="U359" s="19"/>
      <c r="V359" s="19"/>
      <c r="W359" s="825"/>
      <c r="X359" s="825"/>
      <c r="AM359" s="825"/>
      <c r="AN359" s="825"/>
      <c r="AO359" s="825"/>
      <c r="AP359" s="825"/>
      <c r="AQ359" s="825"/>
      <c r="AR359" s="825"/>
      <c r="AS359" s="825"/>
      <c r="AT359" s="825"/>
      <c r="AU359" s="825"/>
      <c r="AV359" s="825"/>
    </row>
    <row r="360" spans="1:48" ht="15.8" customHeight="1" x14ac:dyDescent="0.3">
      <c r="A360" s="825"/>
      <c r="B360" s="825"/>
      <c r="C360" s="825"/>
      <c r="D360" s="825"/>
      <c r="G360" s="825"/>
      <c r="H360" s="18"/>
      <c r="I360" s="825"/>
      <c r="L360" s="825"/>
      <c r="M360" s="825"/>
      <c r="N360" s="825"/>
      <c r="O360" s="825"/>
      <c r="P360" s="825"/>
      <c r="Q360" s="21"/>
      <c r="R360" s="21"/>
      <c r="S360" s="19"/>
      <c r="T360" s="19"/>
      <c r="U360" s="19"/>
      <c r="V360" s="19"/>
      <c r="W360" s="825"/>
      <c r="X360" s="825"/>
      <c r="AM360" s="825"/>
      <c r="AN360" s="825"/>
      <c r="AO360" s="825"/>
      <c r="AP360" s="825"/>
      <c r="AQ360" s="825"/>
      <c r="AR360" s="825"/>
      <c r="AS360" s="825"/>
      <c r="AT360" s="825"/>
      <c r="AU360" s="825"/>
      <c r="AV360" s="825"/>
    </row>
    <row r="361" spans="1:48" ht="15.8" customHeight="1" x14ac:dyDescent="0.3">
      <c r="A361" s="825"/>
      <c r="B361" s="825"/>
      <c r="C361" s="825"/>
      <c r="D361" s="825"/>
      <c r="G361" s="825"/>
      <c r="H361" s="18"/>
      <c r="I361" s="825"/>
      <c r="L361" s="825"/>
      <c r="M361" s="825"/>
      <c r="N361" s="825"/>
      <c r="O361" s="825"/>
      <c r="P361" s="825"/>
      <c r="Q361" s="21"/>
      <c r="R361" s="21"/>
      <c r="S361" s="19"/>
      <c r="T361" s="19"/>
      <c r="U361" s="19"/>
      <c r="V361" s="19"/>
      <c r="W361" s="825"/>
      <c r="X361" s="825"/>
      <c r="AM361" s="825"/>
      <c r="AN361" s="825"/>
      <c r="AO361" s="825"/>
      <c r="AP361" s="825"/>
      <c r="AQ361" s="825"/>
      <c r="AR361" s="825"/>
      <c r="AS361" s="825"/>
      <c r="AT361" s="825"/>
      <c r="AU361" s="825"/>
      <c r="AV361" s="825"/>
    </row>
    <row r="362" spans="1:48" ht="15.8" customHeight="1" x14ac:dyDescent="0.3">
      <c r="A362" s="825"/>
      <c r="B362" s="825"/>
      <c r="C362" s="825"/>
      <c r="D362" s="825"/>
      <c r="G362" s="825"/>
      <c r="H362" s="18"/>
      <c r="I362" s="825"/>
      <c r="L362" s="825"/>
      <c r="M362" s="825"/>
      <c r="N362" s="825"/>
      <c r="O362" s="825"/>
      <c r="P362" s="825"/>
      <c r="Q362" s="21"/>
      <c r="R362" s="21"/>
      <c r="S362" s="19"/>
      <c r="T362" s="19"/>
      <c r="U362" s="19"/>
      <c r="V362" s="19"/>
      <c r="W362" s="825"/>
      <c r="X362" s="825"/>
      <c r="AM362" s="825"/>
      <c r="AN362" s="825"/>
      <c r="AO362" s="825"/>
      <c r="AP362" s="825"/>
      <c r="AQ362" s="825"/>
      <c r="AR362" s="825"/>
      <c r="AS362" s="825"/>
      <c r="AT362" s="825"/>
      <c r="AU362" s="825"/>
      <c r="AV362" s="825"/>
    </row>
    <row r="363" spans="1:48" ht="15.8" customHeight="1" x14ac:dyDescent="0.3">
      <c r="A363" s="825"/>
      <c r="B363" s="825"/>
      <c r="C363" s="825"/>
      <c r="D363" s="825"/>
      <c r="G363" s="825"/>
      <c r="H363" s="18"/>
      <c r="I363" s="825"/>
      <c r="L363" s="825"/>
      <c r="M363" s="825"/>
      <c r="N363" s="825"/>
      <c r="O363" s="825"/>
      <c r="P363" s="825"/>
      <c r="Q363" s="21"/>
      <c r="R363" s="21"/>
      <c r="S363" s="19"/>
      <c r="T363" s="19"/>
      <c r="U363" s="19"/>
      <c r="V363" s="19"/>
      <c r="W363" s="825"/>
      <c r="X363" s="825"/>
      <c r="AM363" s="825"/>
      <c r="AN363" s="825"/>
      <c r="AO363" s="825"/>
      <c r="AP363" s="825"/>
      <c r="AQ363" s="825"/>
      <c r="AR363" s="825"/>
      <c r="AS363" s="825"/>
      <c r="AT363" s="825"/>
      <c r="AU363" s="825"/>
      <c r="AV363" s="825"/>
    </row>
    <row r="364" spans="1:48" ht="15.8" customHeight="1" x14ac:dyDescent="0.3">
      <c r="A364" s="825"/>
      <c r="B364" s="825"/>
      <c r="C364" s="825"/>
      <c r="D364" s="825"/>
      <c r="G364" s="825"/>
      <c r="H364" s="18"/>
      <c r="I364" s="825"/>
      <c r="L364" s="825"/>
      <c r="M364" s="825"/>
      <c r="N364" s="825"/>
      <c r="O364" s="825"/>
      <c r="P364" s="825"/>
      <c r="Q364" s="21"/>
      <c r="R364" s="21"/>
      <c r="S364" s="19"/>
      <c r="T364" s="19"/>
      <c r="U364" s="19"/>
      <c r="V364" s="19"/>
      <c r="W364" s="825"/>
      <c r="X364" s="825"/>
      <c r="AM364" s="825"/>
      <c r="AN364" s="825"/>
      <c r="AO364" s="825"/>
      <c r="AP364" s="825"/>
      <c r="AQ364" s="825"/>
      <c r="AR364" s="825"/>
      <c r="AS364" s="825"/>
      <c r="AT364" s="825"/>
      <c r="AU364" s="825"/>
      <c r="AV364" s="825"/>
    </row>
    <row r="365" spans="1:48" ht="15.8" customHeight="1" x14ac:dyDescent="0.3">
      <c r="A365" s="825"/>
      <c r="B365" s="825"/>
      <c r="C365" s="825"/>
      <c r="D365" s="825"/>
      <c r="G365" s="825"/>
      <c r="H365" s="18"/>
      <c r="I365" s="825"/>
      <c r="L365" s="825"/>
      <c r="M365" s="825"/>
      <c r="N365" s="825"/>
      <c r="O365" s="825"/>
      <c r="P365" s="825"/>
      <c r="Q365" s="21"/>
      <c r="R365" s="21"/>
      <c r="S365" s="19"/>
      <c r="T365" s="19"/>
      <c r="U365" s="19"/>
      <c r="V365" s="19"/>
      <c r="W365" s="825"/>
      <c r="X365" s="825"/>
      <c r="AM365" s="825"/>
      <c r="AN365" s="825"/>
      <c r="AO365" s="825"/>
      <c r="AP365" s="825"/>
      <c r="AQ365" s="825"/>
      <c r="AR365" s="825"/>
      <c r="AS365" s="825"/>
      <c r="AT365" s="825"/>
      <c r="AU365" s="825"/>
      <c r="AV365" s="825"/>
    </row>
    <row r="366" spans="1:48" ht="15.8" customHeight="1" x14ac:dyDescent="0.3">
      <c r="A366" s="825"/>
      <c r="B366" s="825"/>
      <c r="C366" s="825"/>
      <c r="D366" s="825"/>
      <c r="G366" s="825"/>
      <c r="H366" s="18"/>
      <c r="I366" s="825"/>
      <c r="L366" s="825"/>
      <c r="M366" s="825"/>
      <c r="N366" s="825"/>
      <c r="O366" s="825"/>
      <c r="P366" s="825"/>
      <c r="Q366" s="21"/>
      <c r="R366" s="21"/>
      <c r="S366" s="19"/>
      <c r="T366" s="19"/>
      <c r="U366" s="19"/>
      <c r="V366" s="19"/>
      <c r="W366" s="825"/>
      <c r="X366" s="825"/>
      <c r="AM366" s="825"/>
      <c r="AN366" s="825"/>
      <c r="AO366" s="825"/>
      <c r="AP366" s="825"/>
      <c r="AQ366" s="825"/>
      <c r="AR366" s="825"/>
      <c r="AS366" s="825"/>
      <c r="AT366" s="825"/>
      <c r="AU366" s="825"/>
      <c r="AV366" s="825"/>
    </row>
    <row r="367" spans="1:48" ht="15.8" customHeight="1" x14ac:dyDescent="0.3">
      <c r="A367" s="825"/>
      <c r="B367" s="825"/>
      <c r="C367" s="825"/>
      <c r="D367" s="825"/>
      <c r="G367" s="825"/>
      <c r="H367" s="18"/>
      <c r="I367" s="825"/>
      <c r="L367" s="825"/>
      <c r="M367" s="825"/>
      <c r="N367" s="825"/>
      <c r="O367" s="825"/>
      <c r="P367" s="825"/>
      <c r="Q367" s="21"/>
      <c r="R367" s="21"/>
      <c r="S367" s="19"/>
      <c r="T367" s="19"/>
      <c r="U367" s="19"/>
      <c r="V367" s="19"/>
      <c r="W367" s="825"/>
      <c r="X367" s="825"/>
      <c r="AM367" s="825"/>
      <c r="AN367" s="825"/>
      <c r="AO367" s="825"/>
      <c r="AP367" s="825"/>
      <c r="AQ367" s="825"/>
      <c r="AR367" s="825"/>
      <c r="AS367" s="825"/>
      <c r="AT367" s="825"/>
      <c r="AU367" s="825"/>
      <c r="AV367" s="825"/>
    </row>
    <row r="368" spans="1:48" ht="15.8" customHeight="1" x14ac:dyDescent="0.3">
      <c r="A368" s="825"/>
      <c r="B368" s="825"/>
      <c r="C368" s="825"/>
      <c r="D368" s="825"/>
      <c r="G368" s="825"/>
      <c r="H368" s="18"/>
      <c r="I368" s="825"/>
      <c r="L368" s="825"/>
      <c r="M368" s="825"/>
      <c r="N368" s="825"/>
      <c r="O368" s="825"/>
      <c r="P368" s="825"/>
      <c r="Q368" s="21"/>
      <c r="R368" s="21"/>
      <c r="S368" s="19"/>
      <c r="T368" s="19"/>
      <c r="U368" s="19"/>
      <c r="V368" s="19"/>
      <c r="W368" s="825"/>
      <c r="X368" s="825"/>
      <c r="AM368" s="825"/>
      <c r="AN368" s="825"/>
      <c r="AO368" s="825"/>
      <c r="AP368" s="825"/>
      <c r="AQ368" s="825"/>
      <c r="AR368" s="825"/>
      <c r="AS368" s="825"/>
      <c r="AT368" s="825"/>
      <c r="AU368" s="825"/>
      <c r="AV368" s="825"/>
    </row>
    <row r="369" spans="1:48" ht="15.8" customHeight="1" x14ac:dyDescent="0.3">
      <c r="A369" s="825"/>
      <c r="B369" s="825"/>
      <c r="C369" s="825"/>
      <c r="D369" s="825"/>
      <c r="G369" s="825"/>
      <c r="H369" s="18"/>
      <c r="I369" s="825"/>
      <c r="L369" s="825"/>
      <c r="M369" s="825"/>
      <c r="N369" s="825"/>
      <c r="O369" s="825"/>
      <c r="P369" s="825"/>
      <c r="Q369" s="21"/>
      <c r="R369" s="21"/>
      <c r="S369" s="19"/>
      <c r="T369" s="19"/>
      <c r="U369" s="19"/>
      <c r="V369" s="19"/>
      <c r="W369" s="825"/>
      <c r="X369" s="825"/>
      <c r="AM369" s="825"/>
      <c r="AN369" s="825"/>
      <c r="AO369" s="825"/>
      <c r="AP369" s="825"/>
      <c r="AQ369" s="825"/>
      <c r="AR369" s="825"/>
      <c r="AS369" s="825"/>
      <c r="AT369" s="825"/>
      <c r="AU369" s="825"/>
      <c r="AV369" s="825"/>
    </row>
    <row r="370" spans="1:48" ht="15.8" customHeight="1" x14ac:dyDescent="0.3">
      <c r="A370" s="825"/>
      <c r="B370" s="825"/>
      <c r="C370" s="825"/>
      <c r="D370" s="825"/>
      <c r="G370" s="825"/>
      <c r="H370" s="18"/>
      <c r="I370" s="825"/>
      <c r="L370" s="825"/>
      <c r="M370" s="825"/>
      <c r="N370" s="825"/>
      <c r="O370" s="825"/>
      <c r="P370" s="825"/>
      <c r="Q370" s="21"/>
      <c r="R370" s="21"/>
      <c r="S370" s="19"/>
      <c r="T370" s="19"/>
      <c r="U370" s="19"/>
      <c r="V370" s="19"/>
      <c r="W370" s="825"/>
      <c r="X370" s="825"/>
      <c r="AM370" s="825"/>
      <c r="AN370" s="825"/>
      <c r="AO370" s="825"/>
      <c r="AP370" s="825"/>
      <c r="AQ370" s="825"/>
      <c r="AR370" s="825"/>
      <c r="AS370" s="825"/>
      <c r="AT370" s="825"/>
      <c r="AU370" s="825"/>
      <c r="AV370" s="825"/>
    </row>
    <row r="371" spans="1:48" ht="15.8" customHeight="1" x14ac:dyDescent="0.3">
      <c r="A371" s="825"/>
      <c r="B371" s="825"/>
      <c r="C371" s="825"/>
      <c r="D371" s="825"/>
      <c r="G371" s="825"/>
      <c r="H371" s="18"/>
      <c r="I371" s="825"/>
      <c r="L371" s="825"/>
      <c r="M371" s="825"/>
      <c r="N371" s="825"/>
      <c r="O371" s="825"/>
      <c r="P371" s="825"/>
      <c r="Q371" s="21"/>
      <c r="R371" s="21"/>
      <c r="S371" s="19"/>
      <c r="T371" s="19"/>
      <c r="U371" s="19"/>
      <c r="V371" s="19"/>
      <c r="W371" s="825"/>
      <c r="X371" s="825"/>
      <c r="AM371" s="825"/>
      <c r="AN371" s="825"/>
      <c r="AO371" s="825"/>
      <c r="AP371" s="825"/>
      <c r="AQ371" s="825"/>
      <c r="AR371" s="825"/>
      <c r="AS371" s="825"/>
      <c r="AT371" s="825"/>
      <c r="AU371" s="825"/>
      <c r="AV371" s="825"/>
    </row>
    <row r="372" spans="1:48" ht="15.8" customHeight="1" x14ac:dyDescent="0.3">
      <c r="A372" s="825"/>
      <c r="B372" s="825"/>
      <c r="C372" s="825"/>
      <c r="D372" s="825"/>
      <c r="G372" s="825"/>
      <c r="H372" s="18"/>
      <c r="I372" s="825"/>
      <c r="L372" s="825"/>
      <c r="M372" s="825"/>
      <c r="N372" s="825"/>
      <c r="O372" s="825"/>
      <c r="P372" s="825"/>
      <c r="Q372" s="21"/>
      <c r="R372" s="21"/>
      <c r="S372" s="19"/>
      <c r="T372" s="19"/>
      <c r="U372" s="19"/>
      <c r="V372" s="19"/>
      <c r="W372" s="825"/>
      <c r="X372" s="825"/>
      <c r="AM372" s="825"/>
      <c r="AN372" s="825"/>
      <c r="AO372" s="825"/>
      <c r="AP372" s="825"/>
      <c r="AQ372" s="825"/>
      <c r="AR372" s="825"/>
      <c r="AS372" s="825"/>
      <c r="AT372" s="825"/>
      <c r="AU372" s="825"/>
      <c r="AV372" s="825"/>
    </row>
    <row r="373" spans="1:48" ht="15.8" customHeight="1" x14ac:dyDescent="0.3">
      <c r="A373" s="825"/>
      <c r="B373" s="825"/>
      <c r="C373" s="825"/>
      <c r="D373" s="825"/>
      <c r="G373" s="825"/>
      <c r="H373" s="18"/>
      <c r="I373" s="825"/>
      <c r="L373" s="825"/>
      <c r="M373" s="825"/>
      <c r="N373" s="825"/>
      <c r="O373" s="825"/>
      <c r="P373" s="825"/>
      <c r="Q373" s="21"/>
      <c r="R373" s="21"/>
      <c r="S373" s="19"/>
      <c r="T373" s="19"/>
      <c r="U373" s="19"/>
      <c r="V373" s="19"/>
      <c r="W373" s="825"/>
      <c r="X373" s="825"/>
      <c r="AM373" s="825"/>
      <c r="AN373" s="825"/>
      <c r="AO373" s="825"/>
      <c r="AP373" s="825"/>
      <c r="AQ373" s="825"/>
      <c r="AR373" s="825"/>
      <c r="AS373" s="825"/>
      <c r="AT373" s="825"/>
      <c r="AU373" s="825"/>
      <c r="AV373" s="825"/>
    </row>
    <row r="374" spans="1:48" ht="15.8" customHeight="1" x14ac:dyDescent="0.3">
      <c r="A374" s="825"/>
      <c r="B374" s="825"/>
      <c r="C374" s="825"/>
      <c r="D374" s="825"/>
      <c r="G374" s="825"/>
      <c r="H374" s="18"/>
      <c r="I374" s="825"/>
      <c r="L374" s="825"/>
      <c r="M374" s="825"/>
      <c r="N374" s="825"/>
      <c r="O374" s="825"/>
      <c r="P374" s="825"/>
      <c r="Q374" s="21"/>
      <c r="R374" s="21"/>
      <c r="S374" s="19"/>
      <c r="T374" s="19"/>
      <c r="U374" s="19"/>
      <c r="V374" s="19"/>
      <c r="W374" s="825"/>
      <c r="X374" s="825"/>
      <c r="AM374" s="825"/>
      <c r="AN374" s="825"/>
      <c r="AO374" s="825"/>
      <c r="AP374" s="825"/>
      <c r="AQ374" s="825"/>
      <c r="AR374" s="825"/>
      <c r="AS374" s="825"/>
      <c r="AT374" s="825"/>
      <c r="AU374" s="825"/>
      <c r="AV374" s="825"/>
    </row>
    <row r="375" spans="1:48" ht="15.8" customHeight="1" x14ac:dyDescent="0.3">
      <c r="A375" s="825"/>
      <c r="B375" s="825"/>
      <c r="C375" s="825"/>
      <c r="D375" s="825"/>
      <c r="G375" s="825"/>
      <c r="H375" s="18"/>
      <c r="I375" s="825"/>
      <c r="L375" s="825"/>
      <c r="M375" s="825"/>
      <c r="N375" s="825"/>
      <c r="O375" s="825"/>
      <c r="P375" s="825"/>
      <c r="Q375" s="21"/>
      <c r="R375" s="21"/>
      <c r="S375" s="19"/>
      <c r="T375" s="19"/>
      <c r="U375" s="19"/>
      <c r="V375" s="19"/>
      <c r="W375" s="825"/>
      <c r="X375" s="825"/>
      <c r="AM375" s="825"/>
      <c r="AN375" s="825"/>
      <c r="AO375" s="825"/>
      <c r="AP375" s="825"/>
      <c r="AQ375" s="825"/>
      <c r="AR375" s="825"/>
      <c r="AS375" s="825"/>
      <c r="AT375" s="825"/>
      <c r="AU375" s="825"/>
      <c r="AV375" s="825"/>
    </row>
    <row r="376" spans="1:48" ht="15.8" customHeight="1" x14ac:dyDescent="0.3">
      <c r="A376" s="825"/>
      <c r="B376" s="825"/>
      <c r="C376" s="825"/>
      <c r="D376" s="825"/>
      <c r="G376" s="825"/>
      <c r="H376" s="18"/>
      <c r="I376" s="825"/>
      <c r="L376" s="825"/>
      <c r="M376" s="825"/>
      <c r="N376" s="825"/>
      <c r="O376" s="825"/>
      <c r="P376" s="825"/>
      <c r="Q376" s="21"/>
      <c r="R376" s="21"/>
      <c r="S376" s="19"/>
      <c r="T376" s="19"/>
      <c r="U376" s="19"/>
      <c r="V376" s="19"/>
      <c r="W376" s="825"/>
      <c r="X376" s="825"/>
      <c r="AM376" s="825"/>
      <c r="AN376" s="825"/>
      <c r="AO376" s="825"/>
      <c r="AP376" s="825"/>
      <c r="AQ376" s="825"/>
      <c r="AR376" s="825"/>
      <c r="AS376" s="825"/>
      <c r="AT376" s="825"/>
      <c r="AU376" s="825"/>
      <c r="AV376" s="825"/>
    </row>
    <row r="377" spans="1:48" ht="15.8" customHeight="1" x14ac:dyDescent="0.3">
      <c r="A377" s="825"/>
      <c r="B377" s="825"/>
      <c r="C377" s="825"/>
      <c r="D377" s="825"/>
      <c r="G377" s="825"/>
      <c r="H377" s="18"/>
      <c r="I377" s="825"/>
      <c r="L377" s="825"/>
      <c r="M377" s="825"/>
      <c r="N377" s="825"/>
      <c r="O377" s="825"/>
      <c r="P377" s="825"/>
      <c r="Q377" s="21"/>
      <c r="R377" s="21"/>
      <c r="S377" s="19"/>
      <c r="T377" s="19"/>
      <c r="U377" s="19"/>
      <c r="V377" s="19"/>
      <c r="W377" s="825"/>
      <c r="X377" s="825"/>
      <c r="AM377" s="825"/>
      <c r="AN377" s="825"/>
      <c r="AO377" s="825"/>
      <c r="AP377" s="825"/>
      <c r="AQ377" s="825"/>
      <c r="AR377" s="825"/>
      <c r="AS377" s="825"/>
      <c r="AT377" s="825"/>
      <c r="AU377" s="825"/>
      <c r="AV377" s="825"/>
    </row>
    <row r="378" spans="1:48" ht="15.8" customHeight="1" x14ac:dyDescent="0.3">
      <c r="A378" s="825"/>
      <c r="B378" s="825"/>
      <c r="C378" s="825"/>
      <c r="D378" s="825"/>
      <c r="G378" s="825"/>
      <c r="H378" s="18"/>
      <c r="I378" s="825"/>
      <c r="L378" s="825"/>
      <c r="M378" s="825"/>
      <c r="N378" s="825"/>
      <c r="O378" s="825"/>
      <c r="P378" s="825"/>
      <c r="Q378" s="21"/>
      <c r="R378" s="21"/>
      <c r="S378" s="19"/>
      <c r="T378" s="19"/>
      <c r="U378" s="19"/>
      <c r="V378" s="19"/>
      <c r="W378" s="825"/>
      <c r="X378" s="825"/>
      <c r="AM378" s="825"/>
      <c r="AN378" s="825"/>
      <c r="AO378" s="825"/>
      <c r="AP378" s="825"/>
      <c r="AQ378" s="825"/>
      <c r="AR378" s="825"/>
      <c r="AS378" s="825"/>
      <c r="AT378" s="825"/>
      <c r="AU378" s="825"/>
      <c r="AV378" s="825"/>
    </row>
    <row r="379" spans="1:48" ht="15.8" customHeight="1" x14ac:dyDescent="0.3">
      <c r="A379" s="825"/>
      <c r="B379" s="825"/>
      <c r="C379" s="825"/>
      <c r="D379" s="825"/>
      <c r="G379" s="825"/>
      <c r="H379" s="18"/>
      <c r="I379" s="825"/>
      <c r="L379" s="825"/>
      <c r="M379" s="825"/>
      <c r="N379" s="825"/>
      <c r="O379" s="825"/>
      <c r="P379" s="825"/>
      <c r="Q379" s="21"/>
      <c r="R379" s="21"/>
      <c r="S379" s="19"/>
      <c r="T379" s="19"/>
      <c r="U379" s="19"/>
      <c r="V379" s="19"/>
      <c r="W379" s="825"/>
      <c r="X379" s="825"/>
      <c r="AM379" s="825"/>
      <c r="AN379" s="825"/>
      <c r="AO379" s="825"/>
      <c r="AP379" s="825"/>
      <c r="AQ379" s="825"/>
      <c r="AR379" s="825"/>
      <c r="AS379" s="825"/>
      <c r="AT379" s="825"/>
      <c r="AU379" s="825"/>
      <c r="AV379" s="825"/>
    </row>
    <row r="380" spans="1:48" ht="15.8" customHeight="1" x14ac:dyDescent="0.3">
      <c r="A380" s="825"/>
      <c r="B380" s="825"/>
      <c r="C380" s="825"/>
      <c r="D380" s="825"/>
      <c r="G380" s="825"/>
      <c r="H380" s="18"/>
      <c r="I380" s="825"/>
      <c r="L380" s="825"/>
      <c r="M380" s="825"/>
      <c r="N380" s="825"/>
      <c r="O380" s="825"/>
      <c r="P380" s="825"/>
      <c r="Q380" s="21"/>
      <c r="R380" s="21"/>
      <c r="S380" s="19"/>
      <c r="T380" s="19"/>
      <c r="U380" s="19"/>
      <c r="V380" s="19"/>
      <c r="W380" s="825"/>
      <c r="X380" s="825"/>
      <c r="AM380" s="825"/>
      <c r="AN380" s="825"/>
      <c r="AO380" s="825"/>
      <c r="AP380" s="825"/>
      <c r="AQ380" s="825"/>
      <c r="AR380" s="825"/>
      <c r="AS380" s="825"/>
      <c r="AT380" s="825"/>
      <c r="AU380" s="825"/>
      <c r="AV380" s="825"/>
    </row>
    <row r="381" spans="1:48" ht="15.8" customHeight="1" x14ac:dyDescent="0.3">
      <c r="A381" s="825"/>
      <c r="B381" s="825"/>
      <c r="C381" s="825"/>
      <c r="D381" s="825"/>
      <c r="G381" s="825"/>
      <c r="H381" s="18"/>
      <c r="I381" s="825"/>
      <c r="L381" s="825"/>
      <c r="M381" s="825"/>
      <c r="N381" s="825"/>
      <c r="O381" s="825"/>
      <c r="P381" s="825"/>
      <c r="Q381" s="21"/>
      <c r="R381" s="21"/>
      <c r="S381" s="19"/>
      <c r="T381" s="19"/>
      <c r="U381" s="19"/>
      <c r="V381" s="19"/>
      <c r="W381" s="825"/>
      <c r="X381" s="825"/>
      <c r="AM381" s="825"/>
      <c r="AN381" s="825"/>
      <c r="AO381" s="825"/>
      <c r="AP381" s="825"/>
      <c r="AQ381" s="825"/>
      <c r="AR381" s="825"/>
      <c r="AS381" s="825"/>
      <c r="AT381" s="825"/>
      <c r="AU381" s="825"/>
      <c r="AV381" s="825"/>
    </row>
    <row r="382" spans="1:48" ht="15.8" customHeight="1" x14ac:dyDescent="0.3">
      <c r="A382" s="825"/>
      <c r="B382" s="825"/>
      <c r="C382" s="825"/>
      <c r="D382" s="825"/>
      <c r="G382" s="825"/>
      <c r="H382" s="18"/>
      <c r="I382" s="825"/>
      <c r="L382" s="825"/>
      <c r="M382" s="825"/>
      <c r="N382" s="825"/>
      <c r="O382" s="825"/>
      <c r="P382" s="825"/>
      <c r="Q382" s="21"/>
      <c r="R382" s="21"/>
      <c r="S382" s="19"/>
      <c r="T382" s="19"/>
      <c r="U382" s="19"/>
      <c r="V382" s="19"/>
      <c r="W382" s="825"/>
      <c r="X382" s="825"/>
      <c r="AM382" s="825"/>
      <c r="AN382" s="825"/>
      <c r="AO382" s="825"/>
      <c r="AP382" s="825"/>
      <c r="AQ382" s="825"/>
      <c r="AR382" s="825"/>
      <c r="AS382" s="825"/>
      <c r="AT382" s="825"/>
      <c r="AU382" s="825"/>
      <c r="AV382" s="825"/>
    </row>
    <row r="383" spans="1:48" ht="15.8" customHeight="1" x14ac:dyDescent="0.3">
      <c r="A383" s="825"/>
      <c r="B383" s="825"/>
      <c r="C383" s="825"/>
      <c r="D383" s="825"/>
      <c r="G383" s="825"/>
      <c r="H383" s="18"/>
      <c r="I383" s="825"/>
      <c r="L383" s="825"/>
      <c r="M383" s="825"/>
      <c r="N383" s="825"/>
      <c r="O383" s="825"/>
      <c r="P383" s="825"/>
      <c r="Q383" s="21"/>
      <c r="R383" s="21"/>
      <c r="S383" s="19"/>
      <c r="T383" s="19"/>
      <c r="U383" s="19"/>
      <c r="V383" s="19"/>
      <c r="W383" s="825"/>
      <c r="X383" s="825"/>
      <c r="AM383" s="825"/>
      <c r="AN383" s="825"/>
      <c r="AO383" s="825"/>
      <c r="AP383" s="825"/>
      <c r="AQ383" s="825"/>
      <c r="AR383" s="825"/>
      <c r="AS383" s="825"/>
      <c r="AT383" s="825"/>
      <c r="AU383" s="825"/>
      <c r="AV383" s="825"/>
    </row>
    <row r="384" spans="1:48" ht="15.8" customHeight="1" x14ac:dyDescent="0.3">
      <c r="A384" s="825"/>
      <c r="B384" s="825"/>
      <c r="C384" s="825"/>
      <c r="D384" s="825"/>
      <c r="G384" s="825"/>
      <c r="H384" s="18"/>
      <c r="I384" s="825"/>
      <c r="L384" s="825"/>
      <c r="M384" s="825"/>
      <c r="N384" s="825"/>
      <c r="O384" s="825"/>
      <c r="P384" s="825"/>
      <c r="Q384" s="21"/>
      <c r="R384" s="21"/>
      <c r="S384" s="19"/>
      <c r="T384" s="19"/>
      <c r="U384" s="19"/>
      <c r="V384" s="19"/>
      <c r="W384" s="825"/>
      <c r="X384" s="825"/>
      <c r="AM384" s="825"/>
      <c r="AN384" s="825"/>
      <c r="AO384" s="825"/>
      <c r="AP384" s="825"/>
      <c r="AQ384" s="825"/>
      <c r="AR384" s="825"/>
      <c r="AS384" s="825"/>
      <c r="AT384" s="825"/>
      <c r="AU384" s="825"/>
      <c r="AV384" s="825"/>
    </row>
    <row r="385" spans="1:48" ht="15.8" customHeight="1" x14ac:dyDescent="0.3">
      <c r="A385" s="825"/>
      <c r="B385" s="825"/>
      <c r="C385" s="825"/>
      <c r="D385" s="825"/>
      <c r="G385" s="825"/>
      <c r="H385" s="18"/>
      <c r="I385" s="825"/>
      <c r="L385" s="825"/>
      <c r="M385" s="825"/>
      <c r="N385" s="825"/>
      <c r="O385" s="825"/>
      <c r="P385" s="825"/>
      <c r="Q385" s="21"/>
      <c r="R385" s="21"/>
      <c r="S385" s="19"/>
      <c r="T385" s="19"/>
      <c r="U385" s="19"/>
      <c r="V385" s="19"/>
      <c r="W385" s="825"/>
      <c r="X385" s="825"/>
      <c r="AM385" s="825"/>
      <c r="AN385" s="825"/>
      <c r="AO385" s="825"/>
      <c r="AP385" s="825"/>
      <c r="AQ385" s="825"/>
      <c r="AR385" s="825"/>
      <c r="AS385" s="825"/>
      <c r="AT385" s="825"/>
      <c r="AU385" s="825"/>
      <c r="AV385" s="825"/>
    </row>
    <row r="386" spans="1:48" ht="15.8" customHeight="1" x14ac:dyDescent="0.3">
      <c r="A386" s="825"/>
      <c r="B386" s="825"/>
      <c r="C386" s="825"/>
      <c r="D386" s="825"/>
      <c r="G386" s="825"/>
      <c r="H386" s="18"/>
      <c r="I386" s="825"/>
      <c r="L386" s="825"/>
      <c r="M386" s="825"/>
      <c r="N386" s="825"/>
      <c r="O386" s="825"/>
      <c r="P386" s="825"/>
      <c r="Q386" s="21"/>
      <c r="R386" s="21"/>
      <c r="S386" s="19"/>
      <c r="T386" s="19"/>
      <c r="U386" s="19"/>
      <c r="V386" s="19"/>
      <c r="W386" s="825"/>
      <c r="X386" s="825"/>
      <c r="AM386" s="825"/>
      <c r="AN386" s="825"/>
      <c r="AO386" s="825"/>
      <c r="AP386" s="825"/>
      <c r="AQ386" s="825"/>
      <c r="AR386" s="825"/>
      <c r="AS386" s="825"/>
      <c r="AT386" s="825"/>
      <c r="AU386" s="825"/>
      <c r="AV386" s="825"/>
    </row>
    <row r="387" spans="1:48" ht="15.8" customHeight="1" x14ac:dyDescent="0.3">
      <c r="A387" s="825"/>
      <c r="B387" s="825"/>
      <c r="C387" s="825"/>
      <c r="D387" s="825"/>
      <c r="G387" s="825"/>
      <c r="H387" s="18"/>
      <c r="I387" s="825"/>
      <c r="L387" s="825"/>
      <c r="M387" s="825"/>
      <c r="N387" s="825"/>
      <c r="O387" s="825"/>
      <c r="P387" s="825"/>
      <c r="Q387" s="21"/>
      <c r="R387" s="21"/>
      <c r="S387" s="19"/>
      <c r="T387" s="19"/>
      <c r="U387" s="19"/>
      <c r="V387" s="19"/>
      <c r="W387" s="825"/>
      <c r="X387" s="825"/>
      <c r="AM387" s="825"/>
      <c r="AN387" s="825"/>
      <c r="AO387" s="825"/>
      <c r="AP387" s="825"/>
      <c r="AQ387" s="825"/>
      <c r="AR387" s="825"/>
      <c r="AS387" s="825"/>
      <c r="AT387" s="825"/>
      <c r="AU387" s="825"/>
      <c r="AV387" s="825"/>
    </row>
    <row r="388" spans="1:48" ht="15.8" customHeight="1" x14ac:dyDescent="0.3">
      <c r="A388" s="825"/>
      <c r="B388" s="825"/>
      <c r="C388" s="825"/>
      <c r="D388" s="825"/>
      <c r="G388" s="825"/>
      <c r="H388" s="18"/>
      <c r="I388" s="825"/>
      <c r="L388" s="825"/>
      <c r="M388" s="825"/>
      <c r="N388" s="825"/>
      <c r="O388" s="825"/>
      <c r="P388" s="825"/>
      <c r="Q388" s="21"/>
      <c r="R388" s="21"/>
      <c r="S388" s="19"/>
      <c r="T388" s="19"/>
      <c r="U388" s="19"/>
      <c r="V388" s="19"/>
      <c r="W388" s="825"/>
      <c r="X388" s="825"/>
      <c r="AM388" s="825"/>
      <c r="AN388" s="825"/>
      <c r="AO388" s="825"/>
      <c r="AP388" s="825"/>
      <c r="AQ388" s="825"/>
      <c r="AR388" s="825"/>
      <c r="AS388" s="825"/>
      <c r="AT388" s="825"/>
      <c r="AU388" s="825"/>
      <c r="AV388" s="825"/>
    </row>
    <row r="389" spans="1:48" ht="15.8" customHeight="1" x14ac:dyDescent="0.3">
      <c r="A389" s="825"/>
      <c r="B389" s="825"/>
      <c r="C389" s="825"/>
      <c r="D389" s="825"/>
      <c r="G389" s="825"/>
      <c r="H389" s="18"/>
      <c r="I389" s="825"/>
      <c r="L389" s="825"/>
      <c r="M389" s="825"/>
      <c r="N389" s="825"/>
      <c r="O389" s="825"/>
      <c r="P389" s="825"/>
      <c r="Q389" s="21"/>
      <c r="R389" s="21"/>
      <c r="S389" s="19"/>
      <c r="T389" s="19"/>
      <c r="U389" s="19"/>
      <c r="V389" s="19"/>
      <c r="W389" s="825"/>
      <c r="X389" s="825"/>
      <c r="AM389" s="825"/>
      <c r="AN389" s="825"/>
      <c r="AO389" s="825"/>
      <c r="AP389" s="825"/>
      <c r="AQ389" s="825"/>
      <c r="AR389" s="825"/>
      <c r="AS389" s="825"/>
      <c r="AT389" s="825"/>
      <c r="AU389" s="825"/>
      <c r="AV389" s="825"/>
    </row>
    <row r="390" spans="1:48" ht="15.8" customHeight="1" x14ac:dyDescent="0.3">
      <c r="A390" s="825"/>
      <c r="B390" s="825"/>
      <c r="C390" s="825"/>
      <c r="D390" s="825"/>
      <c r="G390" s="825"/>
      <c r="H390" s="18"/>
      <c r="I390" s="825"/>
      <c r="L390" s="825"/>
      <c r="M390" s="825"/>
      <c r="N390" s="825"/>
      <c r="O390" s="825"/>
      <c r="P390" s="825"/>
      <c r="Q390" s="21"/>
      <c r="R390" s="21"/>
      <c r="S390" s="19"/>
      <c r="T390" s="19"/>
      <c r="U390" s="19"/>
      <c r="V390" s="19"/>
      <c r="W390" s="825"/>
      <c r="X390" s="825"/>
      <c r="AM390" s="825"/>
      <c r="AN390" s="825"/>
      <c r="AO390" s="825"/>
      <c r="AP390" s="825"/>
      <c r="AQ390" s="825"/>
      <c r="AR390" s="825"/>
      <c r="AS390" s="825"/>
      <c r="AT390" s="825"/>
      <c r="AU390" s="825"/>
      <c r="AV390" s="825"/>
    </row>
    <row r="391" spans="1:48" ht="15.8" customHeight="1" x14ac:dyDescent="0.3">
      <c r="A391" s="825"/>
      <c r="B391" s="825"/>
      <c r="C391" s="825"/>
      <c r="D391" s="825"/>
      <c r="G391" s="825"/>
      <c r="H391" s="18"/>
      <c r="I391" s="825"/>
      <c r="L391" s="825"/>
      <c r="M391" s="825"/>
      <c r="N391" s="825"/>
      <c r="O391" s="825"/>
      <c r="P391" s="825"/>
      <c r="Q391" s="21"/>
      <c r="R391" s="21"/>
      <c r="S391" s="19"/>
      <c r="T391" s="19"/>
      <c r="U391" s="19"/>
      <c r="V391" s="19"/>
      <c r="W391" s="825"/>
      <c r="X391" s="825"/>
      <c r="AM391" s="825"/>
      <c r="AN391" s="825"/>
      <c r="AO391" s="825"/>
      <c r="AP391" s="825"/>
      <c r="AQ391" s="825"/>
      <c r="AR391" s="825"/>
      <c r="AS391" s="825"/>
      <c r="AT391" s="825"/>
      <c r="AU391" s="825"/>
      <c r="AV391" s="825"/>
    </row>
    <row r="392" spans="1:48" ht="15.8" customHeight="1" x14ac:dyDescent="0.3">
      <c r="A392" s="825"/>
      <c r="B392" s="825"/>
      <c r="C392" s="825"/>
      <c r="D392" s="825"/>
      <c r="G392" s="825"/>
      <c r="H392" s="18"/>
      <c r="I392" s="825"/>
      <c r="L392" s="825"/>
      <c r="M392" s="825"/>
      <c r="N392" s="825"/>
      <c r="O392" s="825"/>
      <c r="P392" s="825"/>
      <c r="Q392" s="21"/>
      <c r="R392" s="21"/>
      <c r="S392" s="19"/>
      <c r="T392" s="19"/>
      <c r="U392" s="19"/>
      <c r="V392" s="19"/>
      <c r="W392" s="825"/>
      <c r="X392" s="825"/>
      <c r="AM392" s="825"/>
      <c r="AN392" s="825"/>
      <c r="AO392" s="825"/>
      <c r="AP392" s="825"/>
      <c r="AQ392" s="825"/>
      <c r="AR392" s="825"/>
      <c r="AS392" s="825"/>
      <c r="AT392" s="825"/>
      <c r="AU392" s="825"/>
      <c r="AV392" s="825"/>
    </row>
    <row r="393" spans="1:48" ht="15.8" customHeight="1" x14ac:dyDescent="0.3">
      <c r="A393" s="825"/>
      <c r="B393" s="825"/>
      <c r="C393" s="825"/>
      <c r="D393" s="825"/>
      <c r="G393" s="825"/>
      <c r="H393" s="18"/>
      <c r="I393" s="825"/>
      <c r="L393" s="825"/>
      <c r="M393" s="825"/>
      <c r="N393" s="825"/>
      <c r="O393" s="825"/>
      <c r="P393" s="825"/>
      <c r="Q393" s="21"/>
      <c r="R393" s="21"/>
      <c r="S393" s="19"/>
      <c r="T393" s="19"/>
      <c r="U393" s="19"/>
      <c r="V393" s="19"/>
      <c r="W393" s="825"/>
      <c r="X393" s="825"/>
      <c r="AM393" s="825"/>
      <c r="AN393" s="825"/>
      <c r="AO393" s="825"/>
      <c r="AP393" s="825"/>
      <c r="AQ393" s="825"/>
      <c r="AR393" s="825"/>
      <c r="AS393" s="825"/>
      <c r="AT393" s="825"/>
      <c r="AU393" s="825"/>
      <c r="AV393" s="825"/>
    </row>
    <row r="394" spans="1:48" ht="15.8" customHeight="1" x14ac:dyDescent="0.3">
      <c r="A394" s="825"/>
      <c r="B394" s="825"/>
      <c r="C394" s="825"/>
      <c r="D394" s="825"/>
      <c r="G394" s="825"/>
      <c r="H394" s="18"/>
      <c r="I394" s="825"/>
      <c r="L394" s="825"/>
      <c r="M394" s="825"/>
      <c r="N394" s="825"/>
      <c r="O394" s="825"/>
      <c r="P394" s="825"/>
      <c r="Q394" s="21"/>
      <c r="R394" s="21"/>
      <c r="S394" s="19"/>
      <c r="T394" s="19"/>
      <c r="U394" s="19"/>
      <c r="V394" s="19"/>
      <c r="W394" s="825"/>
      <c r="X394" s="825"/>
      <c r="AM394" s="825"/>
      <c r="AN394" s="825"/>
      <c r="AO394" s="825"/>
      <c r="AP394" s="825"/>
      <c r="AQ394" s="825"/>
      <c r="AR394" s="825"/>
      <c r="AS394" s="825"/>
      <c r="AT394" s="825"/>
      <c r="AU394" s="825"/>
      <c r="AV394" s="825"/>
    </row>
    <row r="395" spans="1:48" ht="15.8" customHeight="1" x14ac:dyDescent="0.3">
      <c r="A395" s="825"/>
      <c r="B395" s="825"/>
      <c r="C395" s="825"/>
      <c r="D395" s="825"/>
      <c r="G395" s="825"/>
      <c r="H395" s="18"/>
      <c r="I395" s="825"/>
      <c r="L395" s="825"/>
      <c r="M395" s="825"/>
      <c r="N395" s="825"/>
      <c r="O395" s="825"/>
      <c r="P395" s="825"/>
      <c r="Q395" s="21"/>
      <c r="R395" s="21"/>
      <c r="S395" s="19"/>
      <c r="T395" s="19"/>
      <c r="U395" s="19"/>
      <c r="V395" s="19"/>
      <c r="W395" s="825"/>
      <c r="X395" s="825"/>
      <c r="AM395" s="825"/>
      <c r="AN395" s="825"/>
      <c r="AO395" s="825"/>
      <c r="AP395" s="825"/>
      <c r="AQ395" s="825"/>
      <c r="AR395" s="825"/>
      <c r="AS395" s="825"/>
      <c r="AT395" s="825"/>
      <c r="AU395" s="825"/>
      <c r="AV395" s="825"/>
    </row>
    <row r="396" spans="1:48" ht="15.8" customHeight="1" x14ac:dyDescent="0.3">
      <c r="A396" s="825"/>
      <c r="B396" s="825"/>
      <c r="C396" s="825"/>
      <c r="D396" s="825"/>
      <c r="G396" s="825"/>
      <c r="H396" s="18"/>
      <c r="I396" s="825"/>
      <c r="L396" s="825"/>
      <c r="M396" s="825"/>
      <c r="N396" s="825"/>
      <c r="O396" s="825"/>
      <c r="P396" s="825"/>
      <c r="Q396" s="21"/>
      <c r="R396" s="21"/>
      <c r="S396" s="19"/>
      <c r="T396" s="19"/>
      <c r="U396" s="19"/>
      <c r="V396" s="19"/>
      <c r="W396" s="825"/>
      <c r="X396" s="825"/>
      <c r="AM396" s="825"/>
      <c r="AN396" s="825"/>
      <c r="AO396" s="825"/>
      <c r="AP396" s="825"/>
      <c r="AQ396" s="825"/>
      <c r="AR396" s="825"/>
      <c r="AS396" s="825"/>
      <c r="AT396" s="825"/>
      <c r="AU396" s="825"/>
      <c r="AV396" s="825"/>
    </row>
    <row r="397" spans="1:48" ht="15.8" customHeight="1" x14ac:dyDescent="0.3">
      <c r="A397" s="825"/>
      <c r="B397" s="825"/>
      <c r="C397" s="825"/>
      <c r="D397" s="825"/>
      <c r="G397" s="825"/>
      <c r="H397" s="18"/>
      <c r="I397" s="825"/>
      <c r="L397" s="825"/>
      <c r="M397" s="825"/>
      <c r="N397" s="825"/>
      <c r="O397" s="825"/>
      <c r="P397" s="825"/>
      <c r="Q397" s="21"/>
      <c r="R397" s="21"/>
      <c r="S397" s="19"/>
      <c r="T397" s="19"/>
      <c r="U397" s="19"/>
      <c r="V397" s="19"/>
      <c r="W397" s="825"/>
      <c r="X397" s="825"/>
      <c r="AM397" s="825"/>
      <c r="AN397" s="825"/>
      <c r="AO397" s="825"/>
      <c r="AP397" s="825"/>
      <c r="AQ397" s="825"/>
      <c r="AR397" s="825"/>
      <c r="AS397" s="825"/>
      <c r="AT397" s="825"/>
      <c r="AU397" s="825"/>
      <c r="AV397" s="825"/>
    </row>
    <row r="398" spans="1:48" ht="15.8" customHeight="1" x14ac:dyDescent="0.3">
      <c r="A398" s="825"/>
      <c r="B398" s="825"/>
      <c r="C398" s="825"/>
      <c r="D398" s="825"/>
      <c r="G398" s="825"/>
      <c r="H398" s="18"/>
      <c r="I398" s="825"/>
      <c r="L398" s="825"/>
      <c r="M398" s="825"/>
      <c r="N398" s="825"/>
      <c r="O398" s="825"/>
      <c r="P398" s="825"/>
      <c r="Q398" s="21"/>
      <c r="R398" s="21"/>
      <c r="S398" s="19"/>
      <c r="T398" s="19"/>
      <c r="U398" s="19"/>
      <c r="V398" s="19"/>
      <c r="W398" s="825"/>
      <c r="X398" s="825"/>
      <c r="AM398" s="825"/>
      <c r="AN398" s="825"/>
      <c r="AO398" s="825"/>
      <c r="AP398" s="825"/>
      <c r="AQ398" s="825"/>
      <c r="AR398" s="825"/>
      <c r="AS398" s="825"/>
      <c r="AT398" s="825"/>
      <c r="AU398" s="825"/>
      <c r="AV398" s="825"/>
    </row>
    <row r="399" spans="1:48" ht="15.8" customHeight="1" x14ac:dyDescent="0.3">
      <c r="A399" s="825"/>
      <c r="B399" s="825"/>
      <c r="C399" s="825"/>
      <c r="D399" s="825"/>
      <c r="G399" s="825"/>
      <c r="H399" s="18"/>
      <c r="I399" s="825"/>
      <c r="L399" s="825"/>
      <c r="M399" s="825"/>
      <c r="N399" s="825"/>
      <c r="O399" s="825"/>
      <c r="P399" s="825"/>
      <c r="Q399" s="21"/>
      <c r="R399" s="21"/>
      <c r="S399" s="19"/>
      <c r="T399" s="19"/>
      <c r="U399" s="19"/>
      <c r="V399" s="19"/>
      <c r="W399" s="825"/>
      <c r="X399" s="825"/>
      <c r="AM399" s="825"/>
      <c r="AN399" s="825"/>
      <c r="AO399" s="825"/>
      <c r="AP399" s="825"/>
      <c r="AQ399" s="825"/>
      <c r="AR399" s="825"/>
      <c r="AS399" s="825"/>
      <c r="AT399" s="825"/>
      <c r="AU399" s="825"/>
      <c r="AV399" s="825"/>
    </row>
    <row r="400" spans="1:48" ht="15.8" customHeight="1" x14ac:dyDescent="0.3">
      <c r="A400" s="825"/>
      <c r="B400" s="825"/>
      <c r="C400" s="825"/>
      <c r="D400" s="825"/>
      <c r="G400" s="825"/>
      <c r="H400" s="18"/>
      <c r="I400" s="825"/>
      <c r="L400" s="825"/>
      <c r="M400" s="825"/>
      <c r="N400" s="825"/>
      <c r="O400" s="825"/>
      <c r="P400" s="825"/>
      <c r="Q400" s="21"/>
      <c r="R400" s="21"/>
      <c r="S400" s="19"/>
      <c r="T400" s="19"/>
      <c r="U400" s="19"/>
      <c r="V400" s="19"/>
      <c r="W400" s="825"/>
      <c r="X400" s="825"/>
      <c r="AM400" s="825"/>
      <c r="AN400" s="825"/>
      <c r="AO400" s="825"/>
      <c r="AP400" s="825"/>
      <c r="AQ400" s="825"/>
      <c r="AR400" s="825"/>
      <c r="AS400" s="825"/>
      <c r="AT400" s="825"/>
      <c r="AU400" s="825"/>
      <c r="AV400" s="825"/>
    </row>
    <row r="401" spans="1:48" ht="15.8" customHeight="1" x14ac:dyDescent="0.3">
      <c r="A401" s="825"/>
      <c r="B401" s="825"/>
      <c r="C401" s="825"/>
      <c r="D401" s="825"/>
      <c r="G401" s="825"/>
      <c r="H401" s="18"/>
      <c r="I401" s="825"/>
      <c r="L401" s="825"/>
      <c r="M401" s="825"/>
      <c r="N401" s="825"/>
      <c r="O401" s="825"/>
      <c r="P401" s="825"/>
      <c r="Q401" s="21"/>
      <c r="R401" s="21"/>
      <c r="S401" s="19"/>
      <c r="T401" s="19"/>
      <c r="U401" s="19"/>
      <c r="V401" s="19"/>
      <c r="W401" s="825"/>
      <c r="X401" s="825"/>
      <c r="AM401" s="825"/>
      <c r="AN401" s="825"/>
      <c r="AO401" s="825"/>
      <c r="AP401" s="825"/>
      <c r="AQ401" s="825"/>
      <c r="AR401" s="825"/>
      <c r="AS401" s="825"/>
      <c r="AT401" s="825"/>
      <c r="AU401" s="825"/>
      <c r="AV401" s="825"/>
    </row>
    <row r="402" spans="1:48" ht="15.8" customHeight="1" x14ac:dyDescent="0.3">
      <c r="A402" s="825"/>
      <c r="B402" s="825"/>
      <c r="C402" s="825"/>
      <c r="D402" s="825"/>
      <c r="G402" s="825"/>
      <c r="H402" s="18"/>
      <c r="I402" s="825"/>
      <c r="L402" s="825"/>
      <c r="M402" s="825"/>
      <c r="N402" s="825"/>
      <c r="O402" s="825"/>
      <c r="P402" s="825"/>
      <c r="Q402" s="21"/>
      <c r="R402" s="21"/>
      <c r="S402" s="19"/>
      <c r="T402" s="19"/>
      <c r="U402" s="19"/>
      <c r="V402" s="19"/>
      <c r="W402" s="825"/>
      <c r="X402" s="825"/>
      <c r="AM402" s="825"/>
      <c r="AN402" s="825"/>
      <c r="AO402" s="825"/>
      <c r="AP402" s="825"/>
      <c r="AQ402" s="825"/>
      <c r="AR402" s="825"/>
      <c r="AS402" s="825"/>
      <c r="AT402" s="825"/>
      <c r="AU402" s="825"/>
      <c r="AV402" s="825"/>
    </row>
    <row r="403" spans="1:48" ht="15.8" customHeight="1" x14ac:dyDescent="0.3">
      <c r="A403" s="825"/>
      <c r="B403" s="825"/>
      <c r="C403" s="825"/>
      <c r="D403" s="825"/>
      <c r="G403" s="825"/>
      <c r="H403" s="18"/>
      <c r="I403" s="825"/>
      <c r="L403" s="825"/>
      <c r="M403" s="825"/>
      <c r="N403" s="825"/>
      <c r="O403" s="825"/>
      <c r="P403" s="825"/>
      <c r="Q403" s="21"/>
      <c r="R403" s="21"/>
      <c r="S403" s="19"/>
      <c r="T403" s="19"/>
      <c r="U403" s="19"/>
      <c r="V403" s="19"/>
      <c r="W403" s="825"/>
      <c r="X403" s="825"/>
      <c r="AM403" s="825"/>
      <c r="AN403" s="825"/>
      <c r="AO403" s="825"/>
      <c r="AP403" s="825"/>
      <c r="AQ403" s="825"/>
      <c r="AR403" s="825"/>
      <c r="AS403" s="825"/>
      <c r="AT403" s="825"/>
      <c r="AU403" s="825"/>
      <c r="AV403" s="825"/>
    </row>
    <row r="404" spans="1:48" ht="15.8" customHeight="1" x14ac:dyDescent="0.3">
      <c r="A404" s="825"/>
      <c r="B404" s="825"/>
      <c r="C404" s="825"/>
      <c r="D404" s="825"/>
      <c r="G404" s="825"/>
      <c r="H404" s="18"/>
      <c r="I404" s="825"/>
      <c r="L404" s="825"/>
      <c r="M404" s="825"/>
      <c r="N404" s="825"/>
      <c r="O404" s="825"/>
      <c r="P404" s="825"/>
      <c r="Q404" s="21"/>
      <c r="R404" s="21"/>
      <c r="S404" s="19"/>
      <c r="T404" s="19"/>
      <c r="U404" s="19"/>
      <c r="V404" s="19"/>
      <c r="W404" s="825"/>
      <c r="X404" s="825"/>
      <c r="AM404" s="825"/>
      <c r="AN404" s="825"/>
      <c r="AO404" s="825"/>
      <c r="AP404" s="825"/>
      <c r="AQ404" s="825"/>
      <c r="AR404" s="825"/>
      <c r="AS404" s="825"/>
      <c r="AT404" s="825"/>
      <c r="AU404" s="825"/>
      <c r="AV404" s="825"/>
    </row>
    <row r="405" spans="1:48" ht="15.8" customHeight="1" x14ac:dyDescent="0.3">
      <c r="A405" s="825"/>
      <c r="B405" s="825"/>
      <c r="C405" s="825"/>
      <c r="D405" s="825"/>
      <c r="G405" s="825"/>
      <c r="H405" s="18"/>
      <c r="I405" s="825"/>
      <c r="L405" s="825"/>
      <c r="M405" s="825"/>
      <c r="N405" s="825"/>
      <c r="O405" s="825"/>
      <c r="P405" s="825"/>
      <c r="Q405" s="21"/>
      <c r="R405" s="21"/>
      <c r="S405" s="19"/>
      <c r="T405" s="19"/>
      <c r="U405" s="19"/>
      <c r="V405" s="19"/>
      <c r="W405" s="825"/>
      <c r="X405" s="825"/>
      <c r="AM405" s="825"/>
      <c r="AN405" s="825"/>
      <c r="AO405" s="825"/>
      <c r="AP405" s="825"/>
      <c r="AQ405" s="825"/>
      <c r="AR405" s="825"/>
      <c r="AS405" s="825"/>
      <c r="AT405" s="825"/>
      <c r="AU405" s="825"/>
      <c r="AV405" s="825"/>
    </row>
    <row r="406" spans="1:48" ht="15.8" customHeight="1" x14ac:dyDescent="0.3">
      <c r="A406" s="825"/>
      <c r="B406" s="825"/>
      <c r="C406" s="825"/>
      <c r="D406" s="825"/>
      <c r="G406" s="825"/>
      <c r="H406" s="18"/>
      <c r="I406" s="825"/>
      <c r="L406" s="825"/>
      <c r="M406" s="825"/>
      <c r="N406" s="825"/>
      <c r="O406" s="825"/>
      <c r="P406" s="825"/>
      <c r="Q406" s="21"/>
      <c r="R406" s="21"/>
      <c r="S406" s="19"/>
      <c r="T406" s="19"/>
      <c r="U406" s="19"/>
      <c r="V406" s="19"/>
      <c r="W406" s="825"/>
      <c r="X406" s="825"/>
      <c r="AM406" s="825"/>
      <c r="AN406" s="825"/>
      <c r="AO406" s="825"/>
      <c r="AP406" s="825"/>
      <c r="AQ406" s="825"/>
      <c r="AR406" s="825"/>
      <c r="AS406" s="825"/>
      <c r="AT406" s="825"/>
      <c r="AU406" s="825"/>
      <c r="AV406" s="825"/>
    </row>
    <row r="407" spans="1:48" ht="15.8" customHeight="1" x14ac:dyDescent="0.3">
      <c r="A407" s="825"/>
      <c r="B407" s="825"/>
      <c r="C407" s="825"/>
      <c r="D407" s="825"/>
      <c r="G407" s="825"/>
      <c r="H407" s="18"/>
      <c r="I407" s="825"/>
      <c r="L407" s="825"/>
      <c r="M407" s="825"/>
      <c r="N407" s="825"/>
      <c r="O407" s="825"/>
      <c r="P407" s="825"/>
      <c r="Q407" s="21"/>
      <c r="R407" s="21"/>
      <c r="S407" s="19"/>
      <c r="T407" s="19"/>
      <c r="U407" s="19"/>
      <c r="V407" s="19"/>
      <c r="W407" s="825"/>
      <c r="X407" s="825"/>
      <c r="AM407" s="825"/>
      <c r="AN407" s="825"/>
      <c r="AO407" s="825"/>
      <c r="AP407" s="825"/>
      <c r="AQ407" s="825"/>
      <c r="AR407" s="825"/>
      <c r="AS407" s="825"/>
      <c r="AT407" s="825"/>
      <c r="AU407" s="825"/>
      <c r="AV407" s="825"/>
    </row>
    <row r="408" spans="1:48" ht="15.8" customHeight="1" x14ac:dyDescent="0.3">
      <c r="A408" s="825"/>
      <c r="B408" s="825"/>
      <c r="C408" s="825"/>
      <c r="D408" s="825"/>
      <c r="G408" s="825"/>
      <c r="H408" s="18"/>
      <c r="I408" s="825"/>
      <c r="L408" s="825"/>
      <c r="M408" s="825"/>
      <c r="N408" s="825"/>
      <c r="O408" s="825"/>
      <c r="P408" s="825"/>
      <c r="Q408" s="21"/>
      <c r="R408" s="21"/>
      <c r="S408" s="19"/>
      <c r="T408" s="19"/>
      <c r="U408" s="19"/>
      <c r="V408" s="19"/>
      <c r="W408" s="825"/>
      <c r="X408" s="825"/>
      <c r="AM408" s="825"/>
      <c r="AN408" s="825"/>
      <c r="AO408" s="825"/>
      <c r="AP408" s="825"/>
      <c r="AQ408" s="825"/>
      <c r="AR408" s="825"/>
      <c r="AS408" s="825"/>
      <c r="AT408" s="825"/>
      <c r="AU408" s="825"/>
      <c r="AV408" s="825"/>
    </row>
    <row r="409" spans="1:48" ht="15.8" customHeight="1" x14ac:dyDescent="0.3">
      <c r="A409" s="825"/>
      <c r="B409" s="825"/>
      <c r="C409" s="825"/>
      <c r="D409" s="825"/>
      <c r="G409" s="825"/>
      <c r="H409" s="18"/>
      <c r="I409" s="825"/>
      <c r="L409" s="825"/>
      <c r="M409" s="825"/>
      <c r="N409" s="825"/>
      <c r="O409" s="825"/>
      <c r="P409" s="825"/>
      <c r="Q409" s="21"/>
      <c r="R409" s="21"/>
      <c r="S409" s="19"/>
      <c r="T409" s="19"/>
      <c r="U409" s="19"/>
      <c r="V409" s="19"/>
      <c r="W409" s="825"/>
      <c r="X409" s="825"/>
      <c r="AM409" s="825"/>
      <c r="AN409" s="825"/>
      <c r="AO409" s="825"/>
      <c r="AP409" s="825"/>
      <c r="AQ409" s="825"/>
      <c r="AR409" s="825"/>
      <c r="AS409" s="825"/>
      <c r="AT409" s="825"/>
      <c r="AU409" s="825"/>
      <c r="AV409" s="825"/>
    </row>
    <row r="410" spans="1:48" ht="15.8" customHeight="1" x14ac:dyDescent="0.3">
      <c r="A410" s="825"/>
      <c r="B410" s="825"/>
      <c r="C410" s="825"/>
      <c r="D410" s="825"/>
      <c r="G410" s="825"/>
      <c r="H410" s="18"/>
      <c r="I410" s="825"/>
      <c r="L410" s="825"/>
      <c r="M410" s="825"/>
      <c r="N410" s="825"/>
      <c r="O410" s="825"/>
      <c r="P410" s="825"/>
      <c r="Q410" s="21"/>
      <c r="R410" s="21"/>
      <c r="S410" s="19"/>
      <c r="T410" s="19"/>
      <c r="U410" s="19"/>
      <c r="V410" s="19"/>
      <c r="W410" s="825"/>
      <c r="X410" s="825"/>
      <c r="AM410" s="825"/>
      <c r="AN410" s="825"/>
      <c r="AO410" s="825"/>
      <c r="AP410" s="825"/>
      <c r="AQ410" s="825"/>
      <c r="AR410" s="825"/>
      <c r="AS410" s="825"/>
      <c r="AT410" s="825"/>
      <c r="AU410" s="825"/>
      <c r="AV410" s="825"/>
    </row>
    <row r="411" spans="1:48" ht="15.8" customHeight="1" x14ac:dyDescent="0.3">
      <c r="A411" s="825"/>
      <c r="B411" s="825"/>
      <c r="C411" s="825"/>
      <c r="D411" s="825"/>
      <c r="G411" s="825"/>
      <c r="H411" s="18"/>
      <c r="I411" s="825"/>
      <c r="L411" s="825"/>
      <c r="M411" s="825"/>
      <c r="N411" s="825"/>
      <c r="O411" s="825"/>
      <c r="P411" s="825"/>
      <c r="Q411" s="21"/>
      <c r="R411" s="21"/>
      <c r="S411" s="19"/>
      <c r="T411" s="19"/>
      <c r="U411" s="19"/>
      <c r="V411" s="19"/>
      <c r="W411" s="825"/>
      <c r="X411" s="825"/>
      <c r="AM411" s="825"/>
      <c r="AN411" s="825"/>
      <c r="AO411" s="825"/>
      <c r="AP411" s="825"/>
      <c r="AQ411" s="825"/>
      <c r="AR411" s="825"/>
      <c r="AS411" s="825"/>
      <c r="AT411" s="825"/>
      <c r="AU411" s="825"/>
      <c r="AV411" s="825"/>
    </row>
    <row r="412" spans="1:48" ht="15.8" customHeight="1" x14ac:dyDescent="0.3">
      <c r="A412" s="825"/>
      <c r="B412" s="825"/>
      <c r="C412" s="825"/>
      <c r="D412" s="825"/>
      <c r="G412" s="825"/>
      <c r="H412" s="18"/>
      <c r="I412" s="825"/>
      <c r="L412" s="825"/>
      <c r="M412" s="825"/>
      <c r="N412" s="825"/>
      <c r="O412" s="825"/>
      <c r="P412" s="825"/>
      <c r="Q412" s="21"/>
      <c r="R412" s="21"/>
      <c r="S412" s="19"/>
      <c r="T412" s="19"/>
      <c r="U412" s="19"/>
      <c r="V412" s="19"/>
      <c r="W412" s="825"/>
      <c r="X412" s="825"/>
      <c r="AM412" s="825"/>
      <c r="AN412" s="825"/>
      <c r="AO412" s="825"/>
      <c r="AP412" s="825"/>
      <c r="AQ412" s="825"/>
      <c r="AR412" s="825"/>
      <c r="AS412" s="825"/>
      <c r="AT412" s="825"/>
      <c r="AU412" s="825"/>
      <c r="AV412" s="825"/>
    </row>
    <row r="413" spans="1:48" ht="15.8" customHeight="1" x14ac:dyDescent="0.3">
      <c r="A413" s="825"/>
      <c r="B413" s="825"/>
      <c r="C413" s="825"/>
      <c r="D413" s="825"/>
      <c r="G413" s="825"/>
      <c r="H413" s="18"/>
      <c r="I413" s="825"/>
      <c r="L413" s="825"/>
      <c r="M413" s="825"/>
      <c r="N413" s="825"/>
      <c r="O413" s="825"/>
      <c r="P413" s="825"/>
      <c r="Q413" s="21"/>
      <c r="R413" s="21"/>
      <c r="S413" s="19"/>
      <c r="T413" s="19"/>
      <c r="U413" s="19"/>
      <c r="V413" s="19"/>
      <c r="W413" s="825"/>
      <c r="X413" s="825"/>
      <c r="AM413" s="825"/>
      <c r="AN413" s="825"/>
      <c r="AO413" s="825"/>
      <c r="AP413" s="825"/>
      <c r="AQ413" s="825"/>
      <c r="AR413" s="825"/>
      <c r="AS413" s="825"/>
      <c r="AT413" s="825"/>
      <c r="AU413" s="825"/>
      <c r="AV413" s="825"/>
    </row>
    <row r="414" spans="1:48" ht="15.8" customHeight="1" x14ac:dyDescent="0.3">
      <c r="A414" s="825"/>
      <c r="B414" s="825"/>
      <c r="C414" s="825"/>
      <c r="D414" s="825"/>
      <c r="G414" s="825"/>
      <c r="H414" s="18"/>
      <c r="I414" s="825"/>
      <c r="L414" s="825"/>
      <c r="M414" s="825"/>
      <c r="N414" s="825"/>
      <c r="O414" s="825"/>
      <c r="P414" s="825"/>
      <c r="Q414" s="21"/>
      <c r="R414" s="21"/>
      <c r="S414" s="19"/>
      <c r="T414" s="19"/>
      <c r="U414" s="19"/>
      <c r="V414" s="19"/>
      <c r="W414" s="825"/>
      <c r="X414" s="825"/>
      <c r="AM414" s="825"/>
      <c r="AN414" s="825"/>
      <c r="AO414" s="825"/>
      <c r="AP414" s="825"/>
      <c r="AQ414" s="825"/>
      <c r="AR414" s="825"/>
      <c r="AS414" s="825"/>
      <c r="AT414" s="825"/>
      <c r="AU414" s="825"/>
      <c r="AV414" s="825"/>
    </row>
    <row r="415" spans="1:48" ht="15.8" customHeight="1" x14ac:dyDescent="0.3">
      <c r="A415" s="825"/>
      <c r="B415" s="825"/>
      <c r="C415" s="825"/>
      <c r="D415" s="825"/>
      <c r="G415" s="825"/>
      <c r="H415" s="18"/>
      <c r="I415" s="825"/>
      <c r="L415" s="825"/>
      <c r="M415" s="825"/>
      <c r="N415" s="825"/>
      <c r="O415" s="825"/>
      <c r="P415" s="825"/>
      <c r="Q415" s="21"/>
      <c r="R415" s="21"/>
      <c r="S415" s="19"/>
      <c r="T415" s="19"/>
      <c r="U415" s="19"/>
      <c r="V415" s="19"/>
      <c r="W415" s="825"/>
      <c r="X415" s="825"/>
      <c r="AM415" s="825"/>
      <c r="AN415" s="825"/>
      <c r="AO415" s="825"/>
      <c r="AP415" s="825"/>
      <c r="AQ415" s="825"/>
      <c r="AR415" s="825"/>
      <c r="AS415" s="825"/>
      <c r="AT415" s="825"/>
      <c r="AU415" s="825"/>
      <c r="AV415" s="825"/>
    </row>
    <row r="416" spans="1:48" ht="15.8" customHeight="1" x14ac:dyDescent="0.3">
      <c r="A416" s="825"/>
      <c r="B416" s="825"/>
      <c r="C416" s="825"/>
      <c r="D416" s="825"/>
      <c r="G416" s="825"/>
      <c r="H416" s="18"/>
      <c r="I416" s="825"/>
      <c r="L416" s="825"/>
      <c r="M416" s="825"/>
      <c r="N416" s="825"/>
      <c r="O416" s="825"/>
      <c r="P416" s="825"/>
      <c r="Q416" s="21"/>
      <c r="R416" s="21"/>
      <c r="S416" s="19"/>
      <c r="T416" s="19"/>
      <c r="U416" s="19"/>
      <c r="V416" s="19"/>
      <c r="W416" s="825"/>
      <c r="X416" s="825"/>
      <c r="AM416" s="825"/>
      <c r="AN416" s="825"/>
      <c r="AO416" s="825"/>
      <c r="AP416" s="825"/>
      <c r="AQ416" s="825"/>
      <c r="AR416" s="825"/>
      <c r="AS416" s="825"/>
      <c r="AT416" s="825"/>
      <c r="AU416" s="825"/>
      <c r="AV416" s="825"/>
    </row>
    <row r="417" spans="1:48" ht="15.8" customHeight="1" x14ac:dyDescent="0.3">
      <c r="A417" s="825"/>
      <c r="B417" s="825"/>
      <c r="C417" s="825"/>
      <c r="D417" s="825"/>
      <c r="G417" s="825"/>
      <c r="H417" s="18"/>
      <c r="I417" s="825"/>
      <c r="L417" s="825"/>
      <c r="M417" s="825"/>
      <c r="N417" s="825"/>
      <c r="O417" s="825"/>
      <c r="P417" s="825"/>
      <c r="Q417" s="21"/>
      <c r="R417" s="21"/>
      <c r="S417" s="19"/>
      <c r="T417" s="19"/>
      <c r="U417" s="19"/>
      <c r="V417" s="19"/>
      <c r="W417" s="825"/>
      <c r="X417" s="825"/>
      <c r="AM417" s="825"/>
      <c r="AN417" s="825"/>
      <c r="AO417" s="825"/>
      <c r="AP417" s="825"/>
      <c r="AQ417" s="825"/>
      <c r="AR417" s="825"/>
      <c r="AS417" s="825"/>
      <c r="AT417" s="825"/>
      <c r="AU417" s="825"/>
      <c r="AV417" s="825"/>
    </row>
    <row r="418" spans="1:48" ht="15.8" customHeight="1" x14ac:dyDescent="0.3">
      <c r="A418" s="825"/>
      <c r="B418" s="825"/>
      <c r="C418" s="825"/>
      <c r="D418" s="825"/>
      <c r="G418" s="825"/>
      <c r="H418" s="18"/>
      <c r="I418" s="825"/>
      <c r="L418" s="825"/>
      <c r="M418" s="825"/>
      <c r="N418" s="825"/>
      <c r="O418" s="825"/>
      <c r="P418" s="825"/>
      <c r="Q418" s="21"/>
      <c r="R418" s="21"/>
      <c r="S418" s="19"/>
      <c r="T418" s="19"/>
      <c r="U418" s="19"/>
      <c r="V418" s="19"/>
      <c r="W418" s="825"/>
      <c r="X418" s="825"/>
      <c r="AM418" s="825"/>
      <c r="AN418" s="825"/>
      <c r="AO418" s="825"/>
      <c r="AP418" s="825"/>
      <c r="AQ418" s="825"/>
      <c r="AR418" s="825"/>
      <c r="AS418" s="825"/>
      <c r="AT418" s="825"/>
      <c r="AU418" s="825"/>
      <c r="AV418" s="825"/>
    </row>
    <row r="419" spans="1:48" ht="15.8" customHeight="1" x14ac:dyDescent="0.3">
      <c r="A419" s="825"/>
      <c r="B419" s="825"/>
      <c r="C419" s="825"/>
      <c r="D419" s="825"/>
      <c r="G419" s="825"/>
      <c r="H419" s="18"/>
      <c r="I419" s="825"/>
      <c r="L419" s="825"/>
      <c r="M419" s="825"/>
      <c r="N419" s="825"/>
      <c r="O419" s="825"/>
      <c r="P419" s="825"/>
      <c r="Q419" s="21"/>
      <c r="R419" s="21"/>
      <c r="S419" s="19"/>
      <c r="T419" s="19"/>
      <c r="U419" s="19"/>
      <c r="V419" s="19"/>
      <c r="W419" s="825"/>
      <c r="X419" s="825"/>
      <c r="AM419" s="825"/>
      <c r="AN419" s="825"/>
      <c r="AO419" s="825"/>
      <c r="AP419" s="825"/>
      <c r="AQ419" s="825"/>
      <c r="AR419" s="825"/>
      <c r="AS419" s="825"/>
      <c r="AT419" s="825"/>
      <c r="AU419" s="825"/>
      <c r="AV419" s="825"/>
    </row>
    <row r="420" spans="1:48" ht="15.8" customHeight="1" x14ac:dyDescent="0.3">
      <c r="A420" s="825"/>
      <c r="B420" s="825"/>
      <c r="C420" s="825"/>
      <c r="D420" s="825"/>
      <c r="G420" s="825"/>
      <c r="H420" s="18"/>
      <c r="I420" s="825"/>
      <c r="L420" s="825"/>
      <c r="M420" s="825"/>
      <c r="N420" s="825"/>
      <c r="O420" s="825"/>
      <c r="P420" s="825"/>
      <c r="Q420" s="21"/>
      <c r="R420" s="21"/>
      <c r="S420" s="19"/>
      <c r="T420" s="19"/>
      <c r="U420" s="19"/>
      <c r="V420" s="19"/>
      <c r="W420" s="825"/>
      <c r="X420" s="825"/>
      <c r="AM420" s="825"/>
      <c r="AN420" s="825"/>
      <c r="AO420" s="825"/>
      <c r="AP420" s="825"/>
      <c r="AQ420" s="825"/>
      <c r="AR420" s="825"/>
      <c r="AS420" s="825"/>
      <c r="AT420" s="825"/>
      <c r="AU420" s="825"/>
      <c r="AV420" s="825"/>
    </row>
    <row r="421" spans="1:48" ht="15.8" customHeight="1" x14ac:dyDescent="0.3">
      <c r="A421" s="825"/>
      <c r="B421" s="825"/>
      <c r="C421" s="825"/>
      <c r="D421" s="825"/>
      <c r="G421" s="825"/>
      <c r="H421" s="18"/>
      <c r="I421" s="825"/>
      <c r="L421" s="825"/>
      <c r="M421" s="825"/>
      <c r="N421" s="825"/>
      <c r="O421" s="825"/>
      <c r="P421" s="825"/>
      <c r="Q421" s="21"/>
      <c r="R421" s="21"/>
      <c r="S421" s="19"/>
      <c r="T421" s="19"/>
      <c r="U421" s="19"/>
      <c r="V421" s="19"/>
      <c r="W421" s="825"/>
      <c r="X421" s="825"/>
      <c r="AM421" s="825"/>
      <c r="AN421" s="825"/>
      <c r="AO421" s="825"/>
      <c r="AP421" s="825"/>
      <c r="AQ421" s="825"/>
      <c r="AR421" s="825"/>
      <c r="AS421" s="825"/>
      <c r="AT421" s="825"/>
      <c r="AU421" s="825"/>
      <c r="AV421" s="825"/>
    </row>
    <row r="422" spans="1:48" ht="15.8" customHeight="1" x14ac:dyDescent="0.3">
      <c r="A422" s="825"/>
      <c r="B422" s="825"/>
      <c r="C422" s="825"/>
      <c r="D422" s="825"/>
      <c r="G422" s="825"/>
      <c r="H422" s="18"/>
      <c r="I422" s="825"/>
      <c r="L422" s="825"/>
      <c r="M422" s="825"/>
      <c r="N422" s="825"/>
      <c r="O422" s="825"/>
      <c r="P422" s="825"/>
      <c r="Q422" s="21"/>
      <c r="R422" s="21"/>
      <c r="S422" s="19"/>
      <c r="T422" s="19"/>
      <c r="U422" s="19"/>
      <c r="V422" s="19"/>
      <c r="W422" s="825"/>
      <c r="X422" s="825"/>
      <c r="AM422" s="825"/>
      <c r="AN422" s="825"/>
      <c r="AO422" s="825"/>
      <c r="AP422" s="825"/>
      <c r="AQ422" s="825"/>
      <c r="AR422" s="825"/>
      <c r="AS422" s="825"/>
      <c r="AT422" s="825"/>
      <c r="AU422" s="825"/>
      <c r="AV422" s="825"/>
    </row>
    <row r="423" spans="1:48" ht="15.8" customHeight="1" x14ac:dyDescent="0.3">
      <c r="A423" s="825"/>
      <c r="B423" s="825"/>
      <c r="C423" s="825"/>
      <c r="D423" s="825"/>
      <c r="G423" s="825"/>
      <c r="H423" s="18"/>
      <c r="I423" s="825"/>
      <c r="L423" s="825"/>
      <c r="M423" s="825"/>
      <c r="N423" s="825"/>
      <c r="O423" s="825"/>
      <c r="P423" s="825"/>
      <c r="Q423" s="21"/>
      <c r="R423" s="21"/>
      <c r="S423" s="19"/>
      <c r="T423" s="19"/>
      <c r="U423" s="19"/>
      <c r="V423" s="19"/>
      <c r="W423" s="825"/>
      <c r="X423" s="825"/>
      <c r="AM423" s="825"/>
      <c r="AN423" s="825"/>
      <c r="AO423" s="825"/>
      <c r="AP423" s="825"/>
      <c r="AQ423" s="825"/>
      <c r="AR423" s="825"/>
      <c r="AS423" s="825"/>
      <c r="AT423" s="825"/>
      <c r="AU423" s="825"/>
      <c r="AV423" s="825"/>
    </row>
    <row r="424" spans="1:48" ht="15.8" customHeight="1" x14ac:dyDescent="0.3">
      <c r="A424" s="825"/>
      <c r="B424" s="825"/>
      <c r="C424" s="825"/>
      <c r="D424" s="825"/>
      <c r="G424" s="825"/>
      <c r="H424" s="18"/>
      <c r="I424" s="825"/>
      <c r="L424" s="825"/>
      <c r="M424" s="825"/>
      <c r="N424" s="825"/>
      <c r="O424" s="825"/>
      <c r="P424" s="825"/>
      <c r="Q424" s="21"/>
      <c r="R424" s="21"/>
      <c r="S424" s="19"/>
      <c r="T424" s="19"/>
      <c r="U424" s="19"/>
      <c r="V424" s="19"/>
      <c r="W424" s="825"/>
      <c r="X424" s="825"/>
      <c r="AM424" s="825"/>
      <c r="AN424" s="825"/>
      <c r="AO424" s="825"/>
      <c r="AP424" s="825"/>
      <c r="AQ424" s="825"/>
      <c r="AR424" s="825"/>
      <c r="AS424" s="825"/>
      <c r="AT424" s="825"/>
      <c r="AU424" s="825"/>
      <c r="AV424" s="825"/>
    </row>
    <row r="425" spans="1:48" ht="15.8" customHeight="1" x14ac:dyDescent="0.3">
      <c r="A425" s="825"/>
      <c r="B425" s="825"/>
      <c r="C425" s="825"/>
      <c r="D425" s="825"/>
      <c r="G425" s="825"/>
      <c r="H425" s="18"/>
      <c r="I425" s="825"/>
      <c r="L425" s="825"/>
      <c r="M425" s="825"/>
      <c r="N425" s="825"/>
      <c r="O425" s="825"/>
      <c r="P425" s="825"/>
      <c r="Q425" s="21"/>
      <c r="R425" s="21"/>
      <c r="S425" s="19"/>
      <c r="T425" s="19"/>
      <c r="U425" s="19"/>
      <c r="V425" s="19"/>
      <c r="W425" s="825"/>
      <c r="X425" s="825"/>
      <c r="AM425" s="825"/>
      <c r="AN425" s="825"/>
      <c r="AO425" s="825"/>
      <c r="AP425" s="825"/>
      <c r="AQ425" s="825"/>
      <c r="AR425" s="825"/>
      <c r="AS425" s="825"/>
      <c r="AT425" s="825"/>
      <c r="AU425" s="825"/>
      <c r="AV425" s="825"/>
    </row>
    <row r="426" spans="1:48" ht="15.8" customHeight="1" x14ac:dyDescent="0.3">
      <c r="A426" s="825"/>
      <c r="B426" s="825"/>
      <c r="C426" s="825"/>
      <c r="D426" s="825"/>
      <c r="G426" s="825"/>
      <c r="H426" s="18"/>
      <c r="I426" s="825"/>
      <c r="L426" s="825"/>
      <c r="M426" s="825"/>
      <c r="N426" s="825"/>
      <c r="O426" s="825"/>
      <c r="P426" s="825"/>
      <c r="Q426" s="21"/>
      <c r="R426" s="21"/>
      <c r="S426" s="19"/>
      <c r="T426" s="19"/>
      <c r="U426" s="19"/>
      <c r="V426" s="19"/>
      <c r="W426" s="825"/>
      <c r="X426" s="825"/>
      <c r="AM426" s="825"/>
      <c r="AN426" s="825"/>
      <c r="AO426" s="825"/>
      <c r="AP426" s="825"/>
      <c r="AQ426" s="825"/>
      <c r="AR426" s="825"/>
      <c r="AS426" s="825"/>
      <c r="AT426" s="825"/>
      <c r="AU426" s="825"/>
      <c r="AV426" s="825"/>
    </row>
    <row r="427" spans="1:48" ht="15.8" customHeight="1" x14ac:dyDescent="0.3">
      <c r="A427" s="825"/>
      <c r="B427" s="825"/>
      <c r="C427" s="825"/>
      <c r="D427" s="825"/>
      <c r="G427" s="825"/>
      <c r="H427" s="18"/>
      <c r="I427" s="825"/>
      <c r="L427" s="825"/>
      <c r="M427" s="825"/>
      <c r="N427" s="825"/>
      <c r="O427" s="825"/>
      <c r="P427" s="825"/>
      <c r="Q427" s="21"/>
      <c r="R427" s="21"/>
      <c r="S427" s="19"/>
      <c r="T427" s="19"/>
      <c r="U427" s="19"/>
      <c r="V427" s="19"/>
      <c r="W427" s="825"/>
      <c r="X427" s="825"/>
      <c r="AM427" s="825"/>
      <c r="AN427" s="825"/>
      <c r="AO427" s="825"/>
      <c r="AP427" s="825"/>
      <c r="AQ427" s="825"/>
      <c r="AR427" s="825"/>
      <c r="AS427" s="825"/>
      <c r="AT427" s="825"/>
      <c r="AU427" s="825"/>
      <c r="AV427" s="825"/>
    </row>
    <row r="428" spans="1:48" ht="15.8" customHeight="1" x14ac:dyDescent="0.3">
      <c r="A428" s="825"/>
      <c r="B428" s="825"/>
      <c r="C428" s="825"/>
      <c r="D428" s="825"/>
      <c r="G428" s="825"/>
      <c r="H428" s="18"/>
      <c r="I428" s="825"/>
      <c r="L428" s="825"/>
      <c r="M428" s="825"/>
      <c r="N428" s="825"/>
      <c r="O428" s="825"/>
      <c r="P428" s="825"/>
      <c r="Q428" s="21"/>
      <c r="R428" s="21"/>
      <c r="S428" s="19"/>
      <c r="T428" s="19"/>
      <c r="U428" s="19"/>
      <c r="V428" s="19"/>
      <c r="W428" s="825"/>
      <c r="X428" s="825"/>
      <c r="AM428" s="825"/>
      <c r="AN428" s="825"/>
      <c r="AO428" s="825"/>
      <c r="AP428" s="825"/>
      <c r="AQ428" s="825"/>
      <c r="AR428" s="825"/>
      <c r="AS428" s="825"/>
      <c r="AT428" s="825"/>
      <c r="AU428" s="825"/>
      <c r="AV428" s="825"/>
    </row>
    <row r="429" spans="1:48" ht="15.8" customHeight="1" x14ac:dyDescent="0.3">
      <c r="A429" s="825"/>
      <c r="B429" s="825"/>
      <c r="C429" s="825"/>
      <c r="D429" s="825"/>
      <c r="G429" s="825"/>
      <c r="H429" s="18"/>
      <c r="I429" s="825"/>
      <c r="L429" s="825"/>
      <c r="M429" s="825"/>
      <c r="N429" s="825"/>
      <c r="O429" s="825"/>
      <c r="P429" s="825"/>
      <c r="Q429" s="21"/>
      <c r="R429" s="21"/>
      <c r="S429" s="19"/>
      <c r="T429" s="19"/>
      <c r="U429" s="19"/>
      <c r="V429" s="19"/>
      <c r="W429" s="825"/>
      <c r="X429" s="825"/>
      <c r="AM429" s="825"/>
      <c r="AN429" s="825"/>
      <c r="AO429" s="825"/>
      <c r="AP429" s="825"/>
      <c r="AQ429" s="825"/>
      <c r="AR429" s="825"/>
      <c r="AS429" s="825"/>
      <c r="AT429" s="825"/>
      <c r="AU429" s="825"/>
      <c r="AV429" s="825"/>
    </row>
    <row r="430" spans="1:48" ht="15.8" customHeight="1" x14ac:dyDescent="0.3">
      <c r="A430" s="825"/>
      <c r="B430" s="825"/>
      <c r="C430" s="825"/>
      <c r="D430" s="825"/>
      <c r="G430" s="825"/>
      <c r="H430" s="18"/>
      <c r="I430" s="825"/>
      <c r="L430" s="825"/>
      <c r="M430" s="825"/>
      <c r="N430" s="825"/>
      <c r="O430" s="825"/>
      <c r="P430" s="825"/>
      <c r="Q430" s="21"/>
      <c r="R430" s="21"/>
      <c r="S430" s="19"/>
      <c r="T430" s="19"/>
      <c r="U430" s="19"/>
      <c r="V430" s="19"/>
      <c r="W430" s="825"/>
      <c r="X430" s="825"/>
      <c r="AM430" s="825"/>
      <c r="AN430" s="825"/>
      <c r="AO430" s="825"/>
      <c r="AP430" s="825"/>
      <c r="AQ430" s="825"/>
      <c r="AR430" s="825"/>
      <c r="AS430" s="825"/>
      <c r="AT430" s="825"/>
      <c r="AU430" s="825"/>
      <c r="AV430" s="825"/>
    </row>
    <row r="431" spans="1:48" ht="15.8" customHeight="1" x14ac:dyDescent="0.3">
      <c r="A431" s="825"/>
      <c r="B431" s="825"/>
      <c r="C431" s="825"/>
      <c r="D431" s="825"/>
      <c r="G431" s="825"/>
      <c r="H431" s="18"/>
      <c r="I431" s="825"/>
      <c r="L431" s="825"/>
      <c r="M431" s="825"/>
      <c r="N431" s="825"/>
      <c r="O431" s="825"/>
      <c r="P431" s="825"/>
      <c r="Q431" s="21"/>
      <c r="R431" s="21"/>
      <c r="S431" s="19"/>
      <c r="T431" s="19"/>
      <c r="U431" s="19"/>
      <c r="V431" s="19"/>
      <c r="W431" s="825"/>
      <c r="X431" s="825"/>
      <c r="AM431" s="825"/>
      <c r="AN431" s="825"/>
      <c r="AO431" s="825"/>
      <c r="AP431" s="825"/>
      <c r="AQ431" s="825"/>
      <c r="AR431" s="825"/>
      <c r="AS431" s="825"/>
      <c r="AT431" s="825"/>
      <c r="AU431" s="825"/>
      <c r="AV431" s="825"/>
    </row>
    <row r="432" spans="1:48" ht="15.8" customHeight="1" x14ac:dyDescent="0.3">
      <c r="A432" s="825"/>
      <c r="B432" s="825"/>
      <c r="C432" s="825"/>
      <c r="D432" s="825"/>
      <c r="G432" s="825"/>
      <c r="H432" s="18"/>
      <c r="I432" s="825"/>
      <c r="L432" s="825"/>
      <c r="M432" s="825"/>
      <c r="N432" s="825"/>
      <c r="O432" s="825"/>
      <c r="P432" s="825"/>
      <c r="Q432" s="21"/>
      <c r="R432" s="21"/>
      <c r="S432" s="19"/>
      <c r="T432" s="19"/>
      <c r="U432" s="19"/>
      <c r="V432" s="19"/>
      <c r="W432" s="825"/>
      <c r="X432" s="825"/>
      <c r="AM432" s="825"/>
      <c r="AN432" s="825"/>
      <c r="AO432" s="825"/>
      <c r="AP432" s="825"/>
      <c r="AQ432" s="825"/>
      <c r="AR432" s="825"/>
      <c r="AS432" s="825"/>
      <c r="AT432" s="825"/>
      <c r="AU432" s="825"/>
      <c r="AV432" s="825"/>
    </row>
    <row r="433" spans="1:48" ht="15.8" customHeight="1" x14ac:dyDescent="0.3">
      <c r="A433" s="825"/>
      <c r="B433" s="825"/>
      <c r="C433" s="825"/>
      <c r="D433" s="825"/>
      <c r="G433" s="825"/>
      <c r="H433" s="18"/>
      <c r="I433" s="825"/>
      <c r="L433" s="825"/>
      <c r="M433" s="825"/>
      <c r="N433" s="825"/>
      <c r="O433" s="825"/>
      <c r="P433" s="825"/>
      <c r="Q433" s="21"/>
      <c r="R433" s="21"/>
      <c r="S433" s="19"/>
      <c r="T433" s="19"/>
      <c r="U433" s="19"/>
      <c r="V433" s="19"/>
      <c r="W433" s="825"/>
      <c r="X433" s="825"/>
      <c r="AM433" s="825"/>
      <c r="AN433" s="825"/>
      <c r="AO433" s="825"/>
      <c r="AP433" s="825"/>
      <c r="AQ433" s="825"/>
      <c r="AR433" s="825"/>
      <c r="AS433" s="825"/>
      <c r="AT433" s="825"/>
      <c r="AU433" s="825"/>
      <c r="AV433" s="825"/>
    </row>
    <row r="434" spans="1:48" ht="15.8" customHeight="1" x14ac:dyDescent="0.3">
      <c r="A434" s="825"/>
      <c r="B434" s="825"/>
      <c r="C434" s="825"/>
      <c r="D434" s="825"/>
      <c r="G434" s="825"/>
      <c r="H434" s="18"/>
      <c r="I434" s="825"/>
      <c r="L434" s="825"/>
      <c r="M434" s="825"/>
      <c r="N434" s="825"/>
      <c r="O434" s="825"/>
      <c r="P434" s="825"/>
      <c r="Q434" s="21"/>
      <c r="R434" s="21"/>
      <c r="S434" s="19"/>
      <c r="T434" s="19"/>
      <c r="U434" s="19"/>
      <c r="V434" s="19"/>
      <c r="W434" s="825"/>
      <c r="X434" s="825"/>
      <c r="AM434" s="825"/>
      <c r="AN434" s="825"/>
      <c r="AO434" s="825"/>
      <c r="AP434" s="825"/>
      <c r="AQ434" s="825"/>
      <c r="AR434" s="825"/>
      <c r="AS434" s="825"/>
      <c r="AT434" s="825"/>
      <c r="AU434" s="825"/>
      <c r="AV434" s="825"/>
    </row>
    <row r="435" spans="1:48" ht="15.8" customHeight="1" x14ac:dyDescent="0.3">
      <c r="A435" s="825"/>
      <c r="B435" s="825"/>
      <c r="C435" s="825"/>
      <c r="D435" s="825"/>
      <c r="G435" s="825"/>
      <c r="H435" s="18"/>
      <c r="I435" s="825"/>
      <c r="L435" s="825"/>
      <c r="M435" s="825"/>
      <c r="N435" s="825"/>
      <c r="O435" s="825"/>
      <c r="P435" s="825"/>
      <c r="Q435" s="21"/>
      <c r="R435" s="21"/>
      <c r="S435" s="19"/>
      <c r="T435" s="19"/>
      <c r="U435" s="19"/>
      <c r="V435" s="19"/>
      <c r="W435" s="825"/>
      <c r="X435" s="825"/>
      <c r="AM435" s="825"/>
      <c r="AN435" s="825"/>
      <c r="AO435" s="825"/>
      <c r="AP435" s="825"/>
      <c r="AQ435" s="825"/>
      <c r="AR435" s="825"/>
      <c r="AS435" s="825"/>
      <c r="AT435" s="825"/>
      <c r="AU435" s="825"/>
      <c r="AV435" s="825"/>
    </row>
    <row r="436" spans="1:48" ht="15.8" customHeight="1" x14ac:dyDescent="0.3">
      <c r="A436" s="825"/>
      <c r="B436" s="825"/>
      <c r="C436" s="825"/>
      <c r="D436" s="825"/>
      <c r="G436" s="825"/>
      <c r="H436" s="18"/>
      <c r="I436" s="825"/>
      <c r="L436" s="825"/>
      <c r="M436" s="825"/>
      <c r="N436" s="825"/>
      <c r="O436" s="825"/>
      <c r="P436" s="825"/>
      <c r="Q436" s="21"/>
      <c r="R436" s="21"/>
      <c r="S436" s="19"/>
      <c r="T436" s="19"/>
      <c r="U436" s="19"/>
      <c r="V436" s="19"/>
      <c r="W436" s="825"/>
      <c r="X436" s="825"/>
      <c r="AM436" s="825"/>
      <c r="AN436" s="825"/>
      <c r="AO436" s="825"/>
      <c r="AP436" s="825"/>
      <c r="AQ436" s="825"/>
      <c r="AR436" s="825"/>
      <c r="AS436" s="825"/>
      <c r="AT436" s="825"/>
      <c r="AU436" s="825"/>
      <c r="AV436" s="825"/>
    </row>
    <row r="437" spans="1:48" ht="15.8" customHeight="1" x14ac:dyDescent="0.3">
      <c r="A437" s="825"/>
      <c r="B437" s="825"/>
      <c r="C437" s="825"/>
      <c r="D437" s="825"/>
      <c r="G437" s="825"/>
      <c r="H437" s="18"/>
      <c r="I437" s="825"/>
      <c r="L437" s="825"/>
      <c r="M437" s="825"/>
      <c r="N437" s="825"/>
      <c r="O437" s="825"/>
      <c r="P437" s="825"/>
      <c r="Q437" s="21"/>
      <c r="R437" s="21"/>
      <c r="S437" s="19"/>
      <c r="T437" s="19"/>
      <c r="U437" s="19"/>
      <c r="V437" s="19"/>
      <c r="W437" s="825"/>
      <c r="X437" s="825"/>
      <c r="AM437" s="825"/>
      <c r="AN437" s="825"/>
      <c r="AO437" s="825"/>
      <c r="AP437" s="825"/>
      <c r="AQ437" s="825"/>
      <c r="AR437" s="825"/>
      <c r="AS437" s="825"/>
      <c r="AT437" s="825"/>
      <c r="AU437" s="825"/>
      <c r="AV437" s="825"/>
    </row>
    <row r="438" spans="1:48" ht="15.8" customHeight="1" x14ac:dyDescent="0.3">
      <c r="A438" s="825"/>
      <c r="B438" s="825"/>
      <c r="C438" s="825"/>
      <c r="D438" s="825"/>
      <c r="G438" s="825"/>
      <c r="H438" s="18"/>
      <c r="I438" s="825"/>
      <c r="L438" s="825"/>
      <c r="M438" s="825"/>
      <c r="N438" s="825"/>
      <c r="O438" s="825"/>
      <c r="P438" s="825"/>
      <c r="Q438" s="21"/>
      <c r="R438" s="21"/>
      <c r="S438" s="19"/>
      <c r="T438" s="19"/>
      <c r="U438" s="19"/>
      <c r="V438" s="19"/>
      <c r="W438" s="825"/>
      <c r="X438" s="825"/>
      <c r="AM438" s="825"/>
      <c r="AN438" s="825"/>
      <c r="AO438" s="825"/>
      <c r="AP438" s="825"/>
      <c r="AQ438" s="825"/>
      <c r="AR438" s="825"/>
      <c r="AS438" s="825"/>
      <c r="AT438" s="825"/>
      <c r="AU438" s="825"/>
      <c r="AV438" s="825"/>
    </row>
    <row r="439" spans="1:48" ht="15.8" customHeight="1" x14ac:dyDescent="0.3">
      <c r="A439" s="825"/>
      <c r="B439" s="825"/>
      <c r="C439" s="825"/>
      <c r="D439" s="825"/>
      <c r="G439" s="825"/>
      <c r="H439" s="18"/>
      <c r="I439" s="825"/>
      <c r="L439" s="825"/>
      <c r="M439" s="825"/>
      <c r="N439" s="825"/>
      <c r="O439" s="825"/>
      <c r="P439" s="825"/>
      <c r="Q439" s="21"/>
      <c r="R439" s="21"/>
      <c r="S439" s="19"/>
      <c r="T439" s="19"/>
      <c r="U439" s="19"/>
      <c r="V439" s="19"/>
      <c r="W439" s="825"/>
      <c r="X439" s="825"/>
      <c r="AM439" s="825"/>
      <c r="AN439" s="825"/>
      <c r="AO439" s="825"/>
      <c r="AP439" s="825"/>
      <c r="AQ439" s="825"/>
      <c r="AR439" s="825"/>
      <c r="AS439" s="825"/>
      <c r="AT439" s="825"/>
      <c r="AU439" s="825"/>
      <c r="AV439" s="825"/>
    </row>
    <row r="440" spans="1:48" ht="15.8" customHeight="1" x14ac:dyDescent="0.3">
      <c r="A440" s="825"/>
      <c r="B440" s="825"/>
      <c r="C440" s="825"/>
      <c r="D440" s="825"/>
      <c r="G440" s="825"/>
      <c r="H440" s="18"/>
      <c r="I440" s="825"/>
      <c r="L440" s="825"/>
      <c r="M440" s="825"/>
      <c r="N440" s="825"/>
      <c r="O440" s="825"/>
      <c r="P440" s="825"/>
      <c r="Q440" s="21"/>
      <c r="R440" s="21"/>
      <c r="S440" s="19"/>
      <c r="T440" s="19"/>
      <c r="U440" s="19"/>
      <c r="V440" s="19"/>
      <c r="W440" s="825"/>
      <c r="X440" s="825"/>
      <c r="AM440" s="825"/>
      <c r="AN440" s="825"/>
      <c r="AO440" s="825"/>
      <c r="AP440" s="825"/>
      <c r="AQ440" s="825"/>
      <c r="AR440" s="825"/>
      <c r="AS440" s="825"/>
      <c r="AT440" s="825"/>
      <c r="AU440" s="825"/>
      <c r="AV440" s="825"/>
    </row>
    <row r="441" spans="1:48" ht="15.8" customHeight="1" x14ac:dyDescent="0.3">
      <c r="A441" s="825"/>
      <c r="B441" s="825"/>
      <c r="C441" s="825"/>
      <c r="D441" s="825"/>
      <c r="G441" s="825"/>
      <c r="H441" s="18"/>
      <c r="I441" s="825"/>
      <c r="L441" s="825"/>
      <c r="M441" s="825"/>
      <c r="N441" s="825"/>
      <c r="O441" s="825"/>
      <c r="P441" s="825"/>
      <c r="Q441" s="21"/>
      <c r="R441" s="21"/>
      <c r="S441" s="19"/>
      <c r="T441" s="19"/>
      <c r="U441" s="19"/>
      <c r="V441" s="19"/>
      <c r="W441" s="825"/>
      <c r="X441" s="825"/>
      <c r="AM441" s="825"/>
      <c r="AN441" s="825"/>
      <c r="AO441" s="825"/>
      <c r="AP441" s="825"/>
      <c r="AQ441" s="825"/>
      <c r="AR441" s="825"/>
      <c r="AS441" s="825"/>
      <c r="AT441" s="825"/>
      <c r="AU441" s="825"/>
      <c r="AV441" s="825"/>
    </row>
    <row r="442" spans="1:48" ht="15.8" customHeight="1" x14ac:dyDescent="0.3">
      <c r="A442" s="825"/>
      <c r="B442" s="825"/>
      <c r="C442" s="825"/>
      <c r="D442" s="825"/>
      <c r="G442" s="825"/>
      <c r="H442" s="18"/>
      <c r="I442" s="825"/>
      <c r="L442" s="825"/>
      <c r="M442" s="825"/>
      <c r="N442" s="825"/>
      <c r="O442" s="825"/>
      <c r="P442" s="825"/>
      <c r="Q442" s="21"/>
      <c r="R442" s="21"/>
      <c r="S442" s="19"/>
      <c r="T442" s="19"/>
      <c r="U442" s="19"/>
      <c r="V442" s="19"/>
      <c r="W442" s="825"/>
      <c r="X442" s="825"/>
      <c r="AM442" s="825"/>
      <c r="AN442" s="825"/>
      <c r="AO442" s="825"/>
      <c r="AP442" s="825"/>
      <c r="AQ442" s="825"/>
      <c r="AR442" s="825"/>
      <c r="AS442" s="825"/>
      <c r="AT442" s="825"/>
      <c r="AU442" s="825"/>
      <c r="AV442" s="825"/>
    </row>
    <row r="443" spans="1:48" ht="15.8" customHeight="1" x14ac:dyDescent="0.3">
      <c r="A443" s="825"/>
      <c r="B443" s="825"/>
      <c r="C443" s="825"/>
      <c r="D443" s="825"/>
      <c r="G443" s="825"/>
      <c r="H443" s="18"/>
      <c r="I443" s="825"/>
      <c r="L443" s="825"/>
      <c r="M443" s="825"/>
      <c r="N443" s="825"/>
      <c r="O443" s="825"/>
      <c r="P443" s="825"/>
      <c r="Q443" s="21"/>
      <c r="R443" s="21"/>
      <c r="S443" s="19"/>
      <c r="T443" s="19"/>
      <c r="U443" s="19"/>
      <c r="V443" s="19"/>
      <c r="W443" s="825"/>
      <c r="X443" s="825"/>
      <c r="AM443" s="825"/>
      <c r="AN443" s="825"/>
      <c r="AO443" s="825"/>
      <c r="AP443" s="825"/>
      <c r="AQ443" s="825"/>
      <c r="AR443" s="825"/>
      <c r="AS443" s="825"/>
      <c r="AT443" s="825"/>
      <c r="AU443" s="825"/>
      <c r="AV443" s="825"/>
    </row>
    <row r="444" spans="1:48" ht="15.8" customHeight="1" x14ac:dyDescent="0.3">
      <c r="A444" s="825"/>
      <c r="B444" s="825"/>
      <c r="C444" s="825"/>
      <c r="D444" s="825"/>
      <c r="G444" s="825"/>
      <c r="H444" s="18"/>
      <c r="I444" s="825"/>
      <c r="L444" s="825"/>
      <c r="M444" s="825"/>
      <c r="N444" s="825"/>
      <c r="O444" s="825"/>
      <c r="P444" s="825"/>
      <c r="Q444" s="21"/>
      <c r="R444" s="21"/>
      <c r="S444" s="19"/>
      <c r="T444" s="19"/>
      <c r="U444" s="19"/>
      <c r="V444" s="19"/>
      <c r="W444" s="825"/>
      <c r="X444" s="825"/>
      <c r="AM444" s="825"/>
      <c r="AN444" s="825"/>
      <c r="AO444" s="825"/>
      <c r="AP444" s="825"/>
      <c r="AQ444" s="825"/>
      <c r="AR444" s="825"/>
      <c r="AS444" s="825"/>
      <c r="AT444" s="825"/>
      <c r="AU444" s="825"/>
      <c r="AV444" s="825"/>
    </row>
    <row r="445" spans="1:48" ht="15.8" customHeight="1" x14ac:dyDescent="0.3">
      <c r="A445" s="825"/>
      <c r="B445" s="825"/>
      <c r="C445" s="825"/>
      <c r="D445" s="825"/>
      <c r="G445" s="825"/>
      <c r="H445" s="18"/>
      <c r="I445" s="825"/>
      <c r="L445" s="825"/>
      <c r="M445" s="825"/>
      <c r="N445" s="825"/>
      <c r="O445" s="825"/>
      <c r="P445" s="825"/>
      <c r="Q445" s="21"/>
      <c r="R445" s="21"/>
      <c r="S445" s="19"/>
      <c r="T445" s="19"/>
      <c r="U445" s="19"/>
      <c r="V445" s="19"/>
      <c r="W445" s="825"/>
      <c r="X445" s="825"/>
      <c r="AM445" s="825"/>
      <c r="AN445" s="825"/>
      <c r="AO445" s="825"/>
      <c r="AP445" s="825"/>
      <c r="AQ445" s="825"/>
      <c r="AR445" s="825"/>
      <c r="AS445" s="825"/>
      <c r="AT445" s="825"/>
      <c r="AU445" s="825"/>
      <c r="AV445" s="825"/>
    </row>
    <row r="446" spans="1:48" ht="15.8" customHeight="1" x14ac:dyDescent="0.3">
      <c r="A446" s="825"/>
      <c r="B446" s="825"/>
      <c r="C446" s="825"/>
      <c r="D446" s="825"/>
      <c r="G446" s="825"/>
      <c r="H446" s="18"/>
      <c r="I446" s="825"/>
      <c r="L446" s="825"/>
      <c r="M446" s="825"/>
      <c r="N446" s="825"/>
      <c r="O446" s="825"/>
      <c r="P446" s="825"/>
      <c r="Q446" s="21"/>
      <c r="R446" s="21"/>
      <c r="S446" s="19"/>
      <c r="T446" s="19"/>
      <c r="U446" s="19"/>
      <c r="V446" s="19"/>
      <c r="W446" s="825"/>
      <c r="X446" s="825"/>
      <c r="AM446" s="825"/>
      <c r="AN446" s="825"/>
      <c r="AO446" s="825"/>
      <c r="AP446" s="825"/>
      <c r="AQ446" s="825"/>
      <c r="AR446" s="825"/>
      <c r="AS446" s="825"/>
      <c r="AT446" s="825"/>
      <c r="AU446" s="825"/>
      <c r="AV446" s="825"/>
    </row>
    <row r="447" spans="1:48" ht="15.8" customHeight="1" x14ac:dyDescent="0.3">
      <c r="A447" s="825"/>
      <c r="B447" s="825"/>
      <c r="C447" s="825"/>
      <c r="D447" s="825"/>
      <c r="G447" s="825"/>
      <c r="H447" s="18"/>
      <c r="I447" s="825"/>
      <c r="L447" s="825"/>
      <c r="M447" s="825"/>
      <c r="N447" s="825"/>
      <c r="O447" s="825"/>
      <c r="P447" s="825"/>
      <c r="Q447" s="21"/>
      <c r="R447" s="21"/>
      <c r="S447" s="19"/>
      <c r="T447" s="19"/>
      <c r="U447" s="19"/>
      <c r="V447" s="19"/>
      <c r="W447" s="825"/>
      <c r="X447" s="825"/>
      <c r="AM447" s="825"/>
      <c r="AN447" s="825"/>
      <c r="AO447" s="825"/>
      <c r="AP447" s="825"/>
      <c r="AQ447" s="825"/>
      <c r="AR447" s="825"/>
      <c r="AS447" s="825"/>
      <c r="AT447" s="825"/>
      <c r="AU447" s="825"/>
      <c r="AV447" s="825"/>
    </row>
    <row r="448" spans="1:48" ht="15.8" customHeight="1" x14ac:dyDescent="0.3">
      <c r="A448" s="825"/>
      <c r="B448" s="825"/>
      <c r="C448" s="825"/>
      <c r="D448" s="825"/>
      <c r="G448" s="825"/>
      <c r="H448" s="18"/>
      <c r="I448" s="825"/>
      <c r="L448" s="825"/>
      <c r="M448" s="825"/>
      <c r="N448" s="825"/>
      <c r="O448" s="825"/>
      <c r="P448" s="825"/>
      <c r="Q448" s="21"/>
      <c r="R448" s="21"/>
      <c r="S448" s="19"/>
      <c r="T448" s="19"/>
      <c r="U448" s="19"/>
      <c r="V448" s="19"/>
      <c r="W448" s="825"/>
      <c r="X448" s="825"/>
      <c r="AM448" s="825"/>
      <c r="AN448" s="825"/>
      <c r="AO448" s="825"/>
      <c r="AP448" s="825"/>
      <c r="AQ448" s="825"/>
      <c r="AR448" s="825"/>
      <c r="AS448" s="825"/>
      <c r="AT448" s="825"/>
      <c r="AU448" s="825"/>
      <c r="AV448" s="825"/>
    </row>
    <row r="449" spans="1:48" ht="15.8" customHeight="1" x14ac:dyDescent="0.3">
      <c r="A449" s="825"/>
      <c r="B449" s="825"/>
      <c r="C449" s="825"/>
      <c r="D449" s="825"/>
      <c r="G449" s="825"/>
      <c r="H449" s="18"/>
      <c r="I449" s="825"/>
      <c r="L449" s="825"/>
      <c r="M449" s="825"/>
      <c r="N449" s="825"/>
      <c r="O449" s="825"/>
      <c r="P449" s="825"/>
      <c r="Q449" s="21"/>
      <c r="R449" s="21"/>
      <c r="S449" s="19"/>
      <c r="T449" s="19"/>
      <c r="U449" s="19"/>
      <c r="V449" s="19"/>
      <c r="W449" s="825"/>
      <c r="X449" s="825"/>
      <c r="AM449" s="825"/>
      <c r="AN449" s="825"/>
      <c r="AO449" s="825"/>
      <c r="AP449" s="825"/>
      <c r="AQ449" s="825"/>
      <c r="AR449" s="825"/>
      <c r="AS449" s="825"/>
      <c r="AT449" s="825"/>
      <c r="AU449" s="825"/>
      <c r="AV449" s="825"/>
    </row>
    <row r="450" spans="1:48" ht="15.8" customHeight="1" x14ac:dyDescent="0.3">
      <c r="A450" s="825"/>
      <c r="B450" s="825"/>
      <c r="C450" s="825"/>
      <c r="D450" s="825"/>
      <c r="G450" s="825"/>
      <c r="H450" s="18"/>
      <c r="I450" s="825"/>
      <c r="L450" s="825"/>
      <c r="M450" s="825"/>
      <c r="N450" s="825"/>
      <c r="O450" s="825"/>
      <c r="P450" s="825"/>
      <c r="Q450" s="21"/>
      <c r="R450" s="21"/>
      <c r="S450" s="19"/>
      <c r="T450" s="19"/>
      <c r="U450" s="19"/>
      <c r="V450" s="19"/>
      <c r="W450" s="825"/>
      <c r="X450" s="825"/>
      <c r="AM450" s="825"/>
      <c r="AN450" s="825"/>
      <c r="AO450" s="825"/>
      <c r="AP450" s="825"/>
      <c r="AQ450" s="825"/>
      <c r="AR450" s="825"/>
      <c r="AS450" s="825"/>
      <c r="AT450" s="825"/>
      <c r="AU450" s="825"/>
      <c r="AV450" s="825"/>
    </row>
    <row r="451" spans="1:48" ht="15.8" customHeight="1" x14ac:dyDescent="0.3">
      <c r="A451" s="825"/>
      <c r="B451" s="825"/>
      <c r="C451" s="825"/>
      <c r="D451" s="825"/>
      <c r="G451" s="825"/>
      <c r="H451" s="18"/>
      <c r="I451" s="825"/>
      <c r="L451" s="825"/>
      <c r="M451" s="825"/>
      <c r="N451" s="825"/>
      <c r="O451" s="825"/>
      <c r="P451" s="825"/>
      <c r="Q451" s="21"/>
      <c r="R451" s="21"/>
      <c r="S451" s="19"/>
      <c r="T451" s="19"/>
      <c r="U451" s="19"/>
      <c r="V451" s="19"/>
      <c r="W451" s="825"/>
      <c r="X451" s="825"/>
      <c r="AM451" s="825"/>
      <c r="AN451" s="825"/>
      <c r="AO451" s="825"/>
      <c r="AP451" s="825"/>
      <c r="AQ451" s="825"/>
      <c r="AR451" s="825"/>
      <c r="AS451" s="825"/>
      <c r="AT451" s="825"/>
      <c r="AU451" s="825"/>
      <c r="AV451" s="825"/>
    </row>
    <row r="452" spans="1:48" ht="15.8" customHeight="1" x14ac:dyDescent="0.3">
      <c r="A452" s="825"/>
      <c r="B452" s="825"/>
      <c r="C452" s="825"/>
      <c r="D452" s="825"/>
      <c r="G452" s="825"/>
      <c r="H452" s="18"/>
      <c r="I452" s="825"/>
      <c r="L452" s="825"/>
      <c r="M452" s="825"/>
      <c r="N452" s="825"/>
      <c r="O452" s="825"/>
      <c r="P452" s="825"/>
      <c r="Q452" s="21"/>
      <c r="R452" s="21"/>
      <c r="S452" s="19"/>
      <c r="T452" s="19"/>
      <c r="U452" s="19"/>
      <c r="V452" s="19"/>
      <c r="W452" s="825"/>
      <c r="X452" s="825"/>
      <c r="AM452" s="825"/>
      <c r="AN452" s="825"/>
      <c r="AO452" s="825"/>
      <c r="AP452" s="825"/>
      <c r="AQ452" s="825"/>
      <c r="AR452" s="825"/>
      <c r="AS452" s="825"/>
      <c r="AT452" s="825"/>
      <c r="AU452" s="825"/>
      <c r="AV452" s="825"/>
    </row>
    <row r="453" spans="1:48" ht="15.8" customHeight="1" x14ac:dyDescent="0.3">
      <c r="A453" s="825"/>
      <c r="B453" s="825"/>
      <c r="C453" s="825"/>
      <c r="D453" s="825"/>
      <c r="G453" s="825"/>
      <c r="H453" s="18"/>
      <c r="I453" s="825"/>
      <c r="L453" s="825"/>
      <c r="M453" s="825"/>
      <c r="N453" s="825"/>
      <c r="O453" s="825"/>
      <c r="P453" s="825"/>
      <c r="Q453" s="21"/>
      <c r="R453" s="21"/>
      <c r="S453" s="19"/>
      <c r="T453" s="19"/>
      <c r="U453" s="19"/>
      <c r="V453" s="19"/>
      <c r="W453" s="825"/>
      <c r="X453" s="825"/>
      <c r="AM453" s="825"/>
      <c r="AN453" s="825"/>
      <c r="AO453" s="825"/>
      <c r="AP453" s="825"/>
      <c r="AQ453" s="825"/>
      <c r="AR453" s="825"/>
      <c r="AS453" s="825"/>
      <c r="AT453" s="825"/>
      <c r="AU453" s="825"/>
      <c r="AV453" s="825"/>
    </row>
    <row r="454" spans="1:48" ht="15.8" customHeight="1" x14ac:dyDescent="0.3">
      <c r="A454" s="825"/>
      <c r="B454" s="825"/>
      <c r="C454" s="825"/>
      <c r="D454" s="825"/>
      <c r="G454" s="825"/>
      <c r="H454" s="18"/>
      <c r="I454" s="825"/>
      <c r="L454" s="825"/>
      <c r="M454" s="825"/>
      <c r="N454" s="825"/>
      <c r="O454" s="825"/>
      <c r="P454" s="825"/>
      <c r="Q454" s="21"/>
      <c r="R454" s="21"/>
      <c r="S454" s="19"/>
      <c r="T454" s="19"/>
      <c r="U454" s="19"/>
      <c r="V454" s="19"/>
      <c r="W454" s="825"/>
      <c r="X454" s="825"/>
      <c r="AM454" s="825"/>
      <c r="AN454" s="825"/>
      <c r="AO454" s="825"/>
      <c r="AP454" s="825"/>
      <c r="AQ454" s="825"/>
      <c r="AR454" s="825"/>
      <c r="AS454" s="825"/>
      <c r="AT454" s="825"/>
      <c r="AU454" s="825"/>
      <c r="AV454" s="825"/>
    </row>
    <row r="455" spans="1:48" ht="15.8" customHeight="1" x14ac:dyDescent="0.3">
      <c r="A455" s="825"/>
      <c r="B455" s="825"/>
      <c r="C455" s="825"/>
      <c r="D455" s="825"/>
      <c r="G455" s="825"/>
      <c r="H455" s="18"/>
      <c r="I455" s="825"/>
      <c r="L455" s="825"/>
      <c r="M455" s="825"/>
      <c r="N455" s="825"/>
      <c r="O455" s="825"/>
      <c r="P455" s="825"/>
      <c r="Q455" s="21"/>
      <c r="R455" s="21"/>
      <c r="S455" s="19"/>
      <c r="T455" s="19"/>
      <c r="U455" s="19"/>
      <c r="V455" s="19"/>
      <c r="W455" s="825"/>
      <c r="X455" s="825"/>
      <c r="AM455" s="825"/>
      <c r="AN455" s="825"/>
      <c r="AO455" s="825"/>
      <c r="AP455" s="825"/>
      <c r="AQ455" s="825"/>
      <c r="AR455" s="825"/>
      <c r="AS455" s="825"/>
      <c r="AT455" s="825"/>
      <c r="AU455" s="825"/>
      <c r="AV455" s="825"/>
    </row>
    <row r="456" spans="1:48" ht="15.8" customHeight="1" x14ac:dyDescent="0.3">
      <c r="A456" s="825"/>
      <c r="B456" s="825"/>
      <c r="C456" s="825"/>
      <c r="D456" s="825"/>
      <c r="G456" s="825"/>
      <c r="H456" s="18"/>
      <c r="I456" s="825"/>
      <c r="L456" s="825"/>
      <c r="M456" s="825"/>
      <c r="N456" s="825"/>
      <c r="O456" s="825"/>
      <c r="P456" s="825"/>
      <c r="Q456" s="21"/>
      <c r="R456" s="21"/>
      <c r="S456" s="19"/>
      <c r="T456" s="19"/>
      <c r="U456" s="19"/>
      <c r="V456" s="19"/>
      <c r="W456" s="825"/>
      <c r="X456" s="825"/>
      <c r="AM456" s="825"/>
      <c r="AN456" s="825"/>
      <c r="AO456" s="825"/>
      <c r="AP456" s="825"/>
      <c r="AQ456" s="825"/>
      <c r="AR456" s="825"/>
      <c r="AS456" s="825"/>
      <c r="AT456" s="825"/>
      <c r="AU456" s="825"/>
      <c r="AV456" s="825"/>
    </row>
    <row r="457" spans="1:48" ht="15.8" customHeight="1" x14ac:dyDescent="0.3">
      <c r="A457" s="825"/>
      <c r="B457" s="825"/>
      <c r="C457" s="825"/>
      <c r="D457" s="825"/>
      <c r="G457" s="825"/>
      <c r="H457" s="18"/>
      <c r="I457" s="825"/>
      <c r="L457" s="825"/>
      <c r="M457" s="825"/>
      <c r="N457" s="825"/>
      <c r="O457" s="825"/>
      <c r="P457" s="825"/>
      <c r="Q457" s="21"/>
      <c r="R457" s="21"/>
      <c r="S457" s="19"/>
      <c r="T457" s="19"/>
      <c r="U457" s="19"/>
      <c r="V457" s="19"/>
      <c r="W457" s="825"/>
      <c r="X457" s="825"/>
      <c r="AM457" s="825"/>
      <c r="AN457" s="825"/>
      <c r="AO457" s="825"/>
      <c r="AP457" s="825"/>
      <c r="AQ457" s="825"/>
      <c r="AR457" s="825"/>
      <c r="AS457" s="825"/>
      <c r="AT457" s="825"/>
      <c r="AU457" s="825"/>
      <c r="AV457" s="825"/>
    </row>
    <row r="458" spans="1:48" ht="15.8" customHeight="1" x14ac:dyDescent="0.3">
      <c r="A458" s="825"/>
      <c r="B458" s="825"/>
      <c r="C458" s="825"/>
      <c r="D458" s="825"/>
      <c r="G458" s="825"/>
      <c r="H458" s="18"/>
      <c r="I458" s="825"/>
      <c r="L458" s="825"/>
      <c r="M458" s="825"/>
      <c r="N458" s="825"/>
      <c r="O458" s="825"/>
      <c r="P458" s="825"/>
      <c r="Q458" s="21"/>
      <c r="R458" s="21"/>
      <c r="S458" s="19"/>
      <c r="T458" s="19"/>
      <c r="U458" s="19"/>
      <c r="V458" s="19"/>
      <c r="W458" s="825"/>
      <c r="X458" s="825"/>
      <c r="AM458" s="825"/>
      <c r="AN458" s="825"/>
      <c r="AO458" s="825"/>
      <c r="AP458" s="825"/>
      <c r="AQ458" s="825"/>
      <c r="AR458" s="825"/>
      <c r="AS458" s="825"/>
      <c r="AT458" s="825"/>
      <c r="AU458" s="825"/>
      <c r="AV458" s="825"/>
    </row>
    <row r="459" spans="1:48" ht="15.8" customHeight="1" x14ac:dyDescent="0.3">
      <c r="A459" s="825"/>
      <c r="B459" s="825"/>
      <c r="C459" s="825"/>
      <c r="D459" s="825"/>
      <c r="G459" s="825"/>
      <c r="H459" s="18"/>
      <c r="I459" s="825"/>
      <c r="L459" s="825"/>
      <c r="M459" s="825"/>
      <c r="N459" s="825"/>
      <c r="O459" s="825"/>
      <c r="P459" s="825"/>
      <c r="Q459" s="21"/>
      <c r="R459" s="21"/>
      <c r="S459" s="19"/>
      <c r="T459" s="19"/>
      <c r="U459" s="19"/>
      <c r="V459" s="19"/>
      <c r="W459" s="825"/>
      <c r="X459" s="825"/>
      <c r="AM459" s="825"/>
      <c r="AN459" s="825"/>
      <c r="AO459" s="825"/>
      <c r="AP459" s="825"/>
      <c r="AQ459" s="825"/>
      <c r="AR459" s="825"/>
      <c r="AS459" s="825"/>
      <c r="AT459" s="825"/>
      <c r="AU459" s="825"/>
      <c r="AV459" s="825"/>
    </row>
    <row r="460" spans="1:48" ht="15.8" customHeight="1" x14ac:dyDescent="0.3">
      <c r="A460" s="825"/>
      <c r="B460" s="825"/>
      <c r="C460" s="825"/>
      <c r="D460" s="825"/>
      <c r="G460" s="825"/>
      <c r="H460" s="18"/>
      <c r="I460" s="825"/>
      <c r="L460" s="825"/>
      <c r="M460" s="825"/>
      <c r="N460" s="825"/>
      <c r="O460" s="825"/>
      <c r="P460" s="825"/>
      <c r="Q460" s="21"/>
      <c r="R460" s="21"/>
      <c r="S460" s="19"/>
      <c r="T460" s="19"/>
      <c r="U460" s="19"/>
      <c r="V460" s="19"/>
      <c r="W460" s="825"/>
      <c r="X460" s="825"/>
      <c r="AM460" s="825"/>
      <c r="AN460" s="825"/>
      <c r="AO460" s="825"/>
      <c r="AP460" s="825"/>
      <c r="AQ460" s="825"/>
      <c r="AR460" s="825"/>
      <c r="AS460" s="825"/>
      <c r="AT460" s="825"/>
      <c r="AU460" s="825"/>
      <c r="AV460" s="825"/>
    </row>
    <row r="461" spans="1:48" ht="15.8" customHeight="1" x14ac:dyDescent="0.3">
      <c r="A461" s="825"/>
      <c r="B461" s="825"/>
      <c r="C461" s="825"/>
      <c r="D461" s="825"/>
      <c r="G461" s="825"/>
      <c r="H461" s="18"/>
      <c r="I461" s="825"/>
      <c r="L461" s="825"/>
      <c r="M461" s="825"/>
      <c r="N461" s="825"/>
      <c r="O461" s="825"/>
      <c r="P461" s="825"/>
      <c r="Q461" s="21"/>
      <c r="R461" s="21"/>
      <c r="S461" s="19"/>
      <c r="T461" s="19"/>
      <c r="U461" s="19"/>
      <c r="V461" s="19"/>
      <c r="W461" s="825"/>
      <c r="X461" s="825"/>
      <c r="AM461" s="825"/>
      <c r="AN461" s="825"/>
      <c r="AO461" s="825"/>
      <c r="AP461" s="825"/>
      <c r="AQ461" s="825"/>
      <c r="AR461" s="825"/>
      <c r="AS461" s="825"/>
      <c r="AT461" s="825"/>
      <c r="AU461" s="825"/>
      <c r="AV461" s="825"/>
    </row>
    <row r="462" spans="1:48" ht="15.8" customHeight="1" x14ac:dyDescent="0.3">
      <c r="A462" s="825"/>
      <c r="B462" s="825"/>
      <c r="C462" s="825"/>
      <c r="D462" s="825"/>
      <c r="G462" s="825"/>
      <c r="H462" s="18"/>
      <c r="I462" s="825"/>
      <c r="L462" s="825"/>
      <c r="M462" s="825"/>
      <c r="N462" s="825"/>
      <c r="O462" s="825"/>
      <c r="P462" s="825"/>
      <c r="Q462" s="21"/>
      <c r="R462" s="21"/>
      <c r="S462" s="19"/>
      <c r="T462" s="19"/>
      <c r="U462" s="19"/>
      <c r="V462" s="19"/>
      <c r="W462" s="825"/>
      <c r="X462" s="825"/>
      <c r="AM462" s="825"/>
      <c r="AN462" s="825"/>
      <c r="AO462" s="825"/>
      <c r="AP462" s="825"/>
      <c r="AQ462" s="825"/>
      <c r="AR462" s="825"/>
      <c r="AS462" s="825"/>
      <c r="AT462" s="825"/>
      <c r="AU462" s="825"/>
      <c r="AV462" s="825"/>
    </row>
    <row r="463" spans="1:48" ht="15.8" customHeight="1" x14ac:dyDescent="0.3">
      <c r="A463" s="825"/>
      <c r="B463" s="825"/>
      <c r="C463" s="825"/>
      <c r="D463" s="825"/>
      <c r="G463" s="825"/>
      <c r="H463" s="18"/>
      <c r="I463" s="825"/>
      <c r="L463" s="825"/>
      <c r="M463" s="825"/>
      <c r="N463" s="825"/>
      <c r="O463" s="825"/>
      <c r="P463" s="825"/>
      <c r="Q463" s="21"/>
      <c r="R463" s="21"/>
      <c r="S463" s="19"/>
      <c r="T463" s="19"/>
      <c r="U463" s="19"/>
      <c r="V463" s="19"/>
      <c r="W463" s="825"/>
      <c r="X463" s="825"/>
      <c r="AM463" s="825"/>
      <c r="AN463" s="825"/>
      <c r="AO463" s="825"/>
      <c r="AP463" s="825"/>
      <c r="AQ463" s="825"/>
      <c r="AR463" s="825"/>
      <c r="AS463" s="825"/>
      <c r="AT463" s="825"/>
      <c r="AU463" s="825"/>
      <c r="AV463" s="825"/>
    </row>
    <row r="464" spans="1:48" ht="15.8" customHeight="1" x14ac:dyDescent="0.3">
      <c r="A464" s="825"/>
      <c r="B464" s="825"/>
      <c r="C464" s="825"/>
      <c r="D464" s="825"/>
      <c r="G464" s="825"/>
      <c r="H464" s="18"/>
      <c r="I464" s="825"/>
      <c r="L464" s="825"/>
      <c r="M464" s="825"/>
      <c r="N464" s="825"/>
      <c r="O464" s="825"/>
      <c r="P464" s="825"/>
      <c r="Q464" s="21"/>
      <c r="R464" s="21"/>
      <c r="S464" s="19"/>
      <c r="T464" s="19"/>
      <c r="U464" s="19"/>
      <c r="V464" s="19"/>
      <c r="W464" s="825"/>
      <c r="X464" s="825"/>
      <c r="AM464" s="825"/>
      <c r="AN464" s="825"/>
      <c r="AO464" s="825"/>
      <c r="AP464" s="825"/>
      <c r="AQ464" s="825"/>
      <c r="AR464" s="825"/>
      <c r="AS464" s="825"/>
      <c r="AT464" s="825"/>
      <c r="AU464" s="825"/>
      <c r="AV464" s="825"/>
    </row>
    <row r="465" spans="1:48" ht="15.8" customHeight="1" x14ac:dyDescent="0.3">
      <c r="A465" s="825"/>
      <c r="B465" s="825"/>
      <c r="C465" s="825"/>
      <c r="D465" s="825"/>
      <c r="G465" s="825"/>
      <c r="H465" s="18"/>
      <c r="I465" s="825"/>
      <c r="L465" s="825"/>
      <c r="M465" s="825"/>
      <c r="N465" s="825"/>
      <c r="O465" s="825"/>
      <c r="P465" s="825"/>
      <c r="Q465" s="21"/>
      <c r="R465" s="21"/>
      <c r="S465" s="19"/>
      <c r="T465" s="19"/>
      <c r="U465" s="19"/>
      <c r="V465" s="19"/>
      <c r="W465" s="825"/>
      <c r="X465" s="825"/>
      <c r="AM465" s="825"/>
      <c r="AN465" s="825"/>
      <c r="AO465" s="825"/>
      <c r="AP465" s="825"/>
      <c r="AQ465" s="825"/>
      <c r="AR465" s="825"/>
      <c r="AS465" s="825"/>
      <c r="AT465" s="825"/>
      <c r="AU465" s="825"/>
      <c r="AV465" s="825"/>
    </row>
    <row r="466" spans="1:48" ht="15.8" customHeight="1" x14ac:dyDescent="0.3">
      <c r="A466" s="825"/>
      <c r="B466" s="825"/>
      <c r="C466" s="825"/>
      <c r="D466" s="825"/>
      <c r="G466" s="825"/>
      <c r="H466" s="18"/>
      <c r="I466" s="825"/>
      <c r="L466" s="825"/>
      <c r="M466" s="825"/>
      <c r="N466" s="825"/>
      <c r="O466" s="825"/>
      <c r="P466" s="825"/>
      <c r="Q466" s="21"/>
      <c r="R466" s="21"/>
      <c r="S466" s="19"/>
      <c r="T466" s="19"/>
      <c r="U466" s="19"/>
      <c r="V466" s="19"/>
      <c r="W466" s="825"/>
      <c r="X466" s="825"/>
      <c r="AM466" s="825"/>
      <c r="AN466" s="825"/>
      <c r="AO466" s="825"/>
      <c r="AP466" s="825"/>
      <c r="AQ466" s="825"/>
      <c r="AR466" s="825"/>
      <c r="AS466" s="825"/>
      <c r="AT466" s="825"/>
      <c r="AU466" s="825"/>
      <c r="AV466" s="825"/>
    </row>
    <row r="467" spans="1:48" ht="15.8" customHeight="1" x14ac:dyDescent="0.3">
      <c r="A467" s="825"/>
      <c r="B467" s="825"/>
      <c r="C467" s="825"/>
      <c r="D467" s="825"/>
      <c r="G467" s="825"/>
      <c r="H467" s="18"/>
      <c r="I467" s="825"/>
      <c r="L467" s="825"/>
      <c r="M467" s="825"/>
      <c r="N467" s="825"/>
      <c r="O467" s="825"/>
      <c r="P467" s="825"/>
      <c r="Q467" s="21"/>
      <c r="R467" s="21"/>
      <c r="S467" s="19"/>
      <c r="T467" s="19"/>
      <c r="U467" s="19"/>
      <c r="V467" s="19"/>
      <c r="W467" s="825"/>
      <c r="X467" s="825"/>
      <c r="AM467" s="825"/>
      <c r="AN467" s="825"/>
      <c r="AO467" s="825"/>
      <c r="AP467" s="825"/>
      <c r="AQ467" s="825"/>
      <c r="AR467" s="825"/>
      <c r="AS467" s="825"/>
      <c r="AT467" s="825"/>
      <c r="AU467" s="825"/>
      <c r="AV467" s="825"/>
    </row>
    <row r="468" spans="1:48" ht="15.8" customHeight="1" x14ac:dyDescent="0.3">
      <c r="A468" s="825"/>
      <c r="B468" s="825"/>
      <c r="C468" s="825"/>
      <c r="D468" s="825"/>
      <c r="G468" s="825"/>
      <c r="H468" s="18"/>
      <c r="I468" s="825"/>
      <c r="L468" s="825"/>
      <c r="M468" s="825"/>
      <c r="N468" s="825"/>
      <c r="O468" s="825"/>
      <c r="P468" s="825"/>
      <c r="Q468" s="21"/>
      <c r="R468" s="21"/>
      <c r="S468" s="19"/>
      <c r="T468" s="19"/>
      <c r="U468" s="19"/>
      <c r="V468" s="19"/>
      <c r="W468" s="825"/>
      <c r="X468" s="825"/>
      <c r="AM468" s="825"/>
      <c r="AN468" s="825"/>
      <c r="AO468" s="825"/>
      <c r="AP468" s="825"/>
      <c r="AQ468" s="825"/>
      <c r="AR468" s="825"/>
      <c r="AS468" s="825"/>
      <c r="AT468" s="825"/>
      <c r="AU468" s="825"/>
      <c r="AV468" s="825"/>
    </row>
    <row r="469" spans="1:48" ht="15.8" customHeight="1" x14ac:dyDescent="0.3">
      <c r="A469" s="825"/>
      <c r="B469" s="825"/>
      <c r="C469" s="825"/>
      <c r="D469" s="825"/>
      <c r="G469" s="825"/>
      <c r="H469" s="18"/>
      <c r="I469" s="825"/>
      <c r="L469" s="825"/>
      <c r="M469" s="825"/>
      <c r="N469" s="825"/>
      <c r="O469" s="825"/>
      <c r="P469" s="825"/>
      <c r="Q469" s="21"/>
      <c r="R469" s="21"/>
      <c r="S469" s="19"/>
      <c r="T469" s="19"/>
      <c r="U469" s="19"/>
      <c r="V469" s="19"/>
      <c r="W469" s="825"/>
      <c r="X469" s="825"/>
      <c r="AM469" s="825"/>
      <c r="AN469" s="825"/>
      <c r="AO469" s="825"/>
      <c r="AP469" s="825"/>
      <c r="AQ469" s="825"/>
      <c r="AR469" s="825"/>
      <c r="AS469" s="825"/>
      <c r="AT469" s="825"/>
      <c r="AU469" s="825"/>
      <c r="AV469" s="825"/>
    </row>
    <row r="470" spans="1:48" ht="15.8" customHeight="1" x14ac:dyDescent="0.3">
      <c r="A470" s="825"/>
      <c r="B470" s="825"/>
      <c r="C470" s="825"/>
      <c r="D470" s="825"/>
      <c r="G470" s="825"/>
      <c r="H470" s="18"/>
      <c r="I470" s="825"/>
      <c r="L470" s="825"/>
      <c r="M470" s="825"/>
      <c r="N470" s="825"/>
      <c r="O470" s="825"/>
      <c r="P470" s="825"/>
      <c r="Q470" s="21"/>
      <c r="R470" s="21"/>
      <c r="S470" s="19"/>
      <c r="T470" s="19"/>
      <c r="U470" s="19"/>
      <c r="V470" s="19"/>
      <c r="W470" s="825"/>
      <c r="X470" s="825"/>
      <c r="AM470" s="825"/>
      <c r="AN470" s="825"/>
      <c r="AO470" s="825"/>
      <c r="AP470" s="825"/>
      <c r="AQ470" s="825"/>
      <c r="AR470" s="825"/>
      <c r="AS470" s="825"/>
      <c r="AT470" s="825"/>
      <c r="AU470" s="825"/>
      <c r="AV470" s="825"/>
    </row>
    <row r="471" spans="1:48" ht="15.8" customHeight="1" x14ac:dyDescent="0.3">
      <c r="A471" s="825"/>
      <c r="B471" s="825"/>
      <c r="C471" s="825"/>
      <c r="D471" s="825"/>
      <c r="G471" s="825"/>
      <c r="H471" s="18"/>
      <c r="I471" s="825"/>
      <c r="L471" s="825"/>
      <c r="M471" s="825"/>
      <c r="N471" s="825"/>
      <c r="O471" s="825"/>
      <c r="P471" s="825"/>
      <c r="Q471" s="21"/>
      <c r="R471" s="21"/>
      <c r="S471" s="19"/>
      <c r="T471" s="19"/>
      <c r="U471" s="19"/>
      <c r="V471" s="19"/>
      <c r="W471" s="825"/>
      <c r="X471" s="825"/>
      <c r="AM471" s="825"/>
      <c r="AN471" s="825"/>
      <c r="AO471" s="825"/>
      <c r="AP471" s="825"/>
      <c r="AQ471" s="825"/>
      <c r="AR471" s="825"/>
      <c r="AS471" s="825"/>
      <c r="AT471" s="825"/>
      <c r="AU471" s="825"/>
      <c r="AV471" s="825"/>
    </row>
    <row r="472" spans="1:48" ht="15.8" customHeight="1" x14ac:dyDescent="0.3">
      <c r="A472" s="825"/>
      <c r="B472" s="825"/>
      <c r="C472" s="825"/>
      <c r="D472" s="825"/>
      <c r="G472" s="825"/>
      <c r="H472" s="18"/>
      <c r="I472" s="825"/>
      <c r="L472" s="825"/>
      <c r="M472" s="825"/>
      <c r="N472" s="825"/>
      <c r="O472" s="825"/>
      <c r="P472" s="825"/>
      <c r="Q472" s="21"/>
      <c r="R472" s="21"/>
      <c r="S472" s="19"/>
      <c r="T472" s="19"/>
      <c r="U472" s="19"/>
      <c r="V472" s="19"/>
      <c r="W472" s="825"/>
      <c r="X472" s="825"/>
      <c r="AM472" s="825"/>
      <c r="AN472" s="825"/>
      <c r="AO472" s="825"/>
      <c r="AP472" s="825"/>
      <c r="AQ472" s="825"/>
      <c r="AR472" s="825"/>
      <c r="AS472" s="825"/>
      <c r="AT472" s="825"/>
      <c r="AU472" s="825"/>
      <c r="AV472" s="825"/>
    </row>
    <row r="473" spans="1:48" ht="15.8" customHeight="1" x14ac:dyDescent="0.3">
      <c r="A473" s="825"/>
      <c r="B473" s="825"/>
      <c r="C473" s="825"/>
      <c r="D473" s="825"/>
      <c r="G473" s="825"/>
      <c r="H473" s="18"/>
      <c r="I473" s="825"/>
      <c r="L473" s="825"/>
      <c r="M473" s="825"/>
      <c r="N473" s="825"/>
      <c r="O473" s="825"/>
      <c r="P473" s="825"/>
      <c r="Q473" s="21"/>
      <c r="R473" s="21"/>
      <c r="S473" s="19"/>
      <c r="T473" s="19"/>
      <c r="U473" s="19"/>
      <c r="V473" s="19"/>
      <c r="W473" s="825"/>
      <c r="X473" s="825"/>
      <c r="AM473" s="825"/>
      <c r="AN473" s="825"/>
      <c r="AO473" s="825"/>
      <c r="AP473" s="825"/>
      <c r="AQ473" s="825"/>
      <c r="AR473" s="825"/>
      <c r="AS473" s="825"/>
      <c r="AT473" s="825"/>
      <c r="AU473" s="825"/>
      <c r="AV473" s="825"/>
    </row>
    <row r="474" spans="1:48" ht="15.8" customHeight="1" x14ac:dyDescent="0.3">
      <c r="A474" s="825"/>
      <c r="B474" s="825"/>
      <c r="C474" s="825"/>
      <c r="D474" s="825"/>
      <c r="G474" s="825"/>
      <c r="H474" s="18"/>
      <c r="I474" s="825"/>
      <c r="L474" s="825"/>
      <c r="M474" s="825"/>
      <c r="N474" s="825"/>
      <c r="O474" s="825"/>
      <c r="P474" s="825"/>
      <c r="Q474" s="21"/>
      <c r="R474" s="21"/>
      <c r="S474" s="19"/>
      <c r="T474" s="19"/>
      <c r="U474" s="19"/>
      <c r="V474" s="19"/>
      <c r="W474" s="825"/>
      <c r="X474" s="825"/>
      <c r="AM474" s="825"/>
      <c r="AN474" s="825"/>
      <c r="AO474" s="825"/>
      <c r="AP474" s="825"/>
      <c r="AQ474" s="825"/>
      <c r="AR474" s="825"/>
      <c r="AS474" s="825"/>
      <c r="AT474" s="825"/>
      <c r="AU474" s="825"/>
      <c r="AV474" s="825"/>
    </row>
    <row r="475" spans="1:48" ht="15.8" customHeight="1" x14ac:dyDescent="0.3">
      <c r="A475" s="825"/>
      <c r="B475" s="825"/>
      <c r="C475" s="825"/>
      <c r="D475" s="825"/>
      <c r="G475" s="825"/>
      <c r="H475" s="18"/>
      <c r="I475" s="825"/>
      <c r="L475" s="825"/>
      <c r="M475" s="825"/>
      <c r="N475" s="825"/>
      <c r="O475" s="825"/>
      <c r="P475" s="825"/>
      <c r="Q475" s="21"/>
      <c r="R475" s="21"/>
      <c r="S475" s="19"/>
      <c r="T475" s="19"/>
      <c r="U475" s="19"/>
      <c r="V475" s="19"/>
      <c r="W475" s="825"/>
      <c r="X475" s="825"/>
      <c r="AM475" s="825"/>
      <c r="AN475" s="825"/>
      <c r="AO475" s="825"/>
      <c r="AP475" s="825"/>
      <c r="AQ475" s="825"/>
      <c r="AR475" s="825"/>
      <c r="AS475" s="825"/>
      <c r="AT475" s="825"/>
      <c r="AU475" s="825"/>
      <c r="AV475" s="825"/>
    </row>
    <row r="476" spans="1:48" ht="15.8" customHeight="1" x14ac:dyDescent="0.3">
      <c r="A476" s="825"/>
      <c r="B476" s="825"/>
      <c r="C476" s="825"/>
      <c r="D476" s="825"/>
      <c r="G476" s="825"/>
      <c r="H476" s="18"/>
      <c r="I476" s="825"/>
      <c r="L476" s="825"/>
      <c r="M476" s="825"/>
      <c r="N476" s="825"/>
      <c r="O476" s="825"/>
      <c r="P476" s="825"/>
      <c r="Q476" s="21"/>
      <c r="R476" s="21"/>
      <c r="S476" s="19"/>
      <c r="T476" s="19"/>
      <c r="U476" s="19"/>
      <c r="V476" s="19"/>
      <c r="W476" s="825"/>
      <c r="X476" s="825"/>
      <c r="AM476" s="825"/>
      <c r="AN476" s="825"/>
      <c r="AO476" s="825"/>
      <c r="AP476" s="825"/>
      <c r="AQ476" s="825"/>
      <c r="AR476" s="825"/>
      <c r="AS476" s="825"/>
      <c r="AT476" s="825"/>
      <c r="AU476" s="825"/>
      <c r="AV476" s="825"/>
    </row>
    <row r="477" spans="1:48" ht="15.8" customHeight="1" x14ac:dyDescent="0.3">
      <c r="A477" s="825"/>
      <c r="B477" s="825"/>
      <c r="C477" s="825"/>
      <c r="D477" s="825"/>
      <c r="G477" s="825"/>
      <c r="H477" s="18"/>
      <c r="I477" s="825"/>
      <c r="L477" s="825"/>
      <c r="M477" s="825"/>
      <c r="N477" s="825"/>
      <c r="O477" s="825"/>
      <c r="P477" s="825"/>
      <c r="Q477" s="21"/>
      <c r="R477" s="21"/>
      <c r="S477" s="19"/>
      <c r="T477" s="19"/>
      <c r="U477" s="19"/>
      <c r="V477" s="19"/>
      <c r="W477" s="825"/>
      <c r="X477" s="825"/>
      <c r="AM477" s="825"/>
      <c r="AN477" s="825"/>
      <c r="AO477" s="825"/>
      <c r="AP477" s="825"/>
      <c r="AQ477" s="825"/>
      <c r="AR477" s="825"/>
      <c r="AS477" s="825"/>
      <c r="AT477" s="825"/>
      <c r="AU477" s="825"/>
      <c r="AV477" s="825"/>
    </row>
    <row r="478" spans="1:48" ht="15.8" customHeight="1" x14ac:dyDescent="0.3">
      <c r="A478" s="825"/>
      <c r="B478" s="825"/>
      <c r="C478" s="825"/>
      <c r="D478" s="825"/>
      <c r="G478" s="825"/>
      <c r="H478" s="18"/>
      <c r="I478" s="825"/>
      <c r="L478" s="825"/>
      <c r="M478" s="825"/>
      <c r="N478" s="825"/>
      <c r="O478" s="825"/>
      <c r="P478" s="825"/>
      <c r="Q478" s="21"/>
      <c r="R478" s="21"/>
      <c r="S478" s="19"/>
      <c r="T478" s="19"/>
      <c r="U478" s="19"/>
      <c r="V478" s="19"/>
      <c r="W478" s="825"/>
      <c r="X478" s="825"/>
      <c r="AM478" s="825"/>
      <c r="AN478" s="825"/>
      <c r="AO478" s="825"/>
      <c r="AP478" s="825"/>
      <c r="AQ478" s="825"/>
      <c r="AR478" s="825"/>
      <c r="AS478" s="825"/>
      <c r="AT478" s="825"/>
      <c r="AU478" s="825"/>
      <c r="AV478" s="825"/>
    </row>
    <row r="479" spans="1:48" ht="15.8" customHeight="1" x14ac:dyDescent="0.3">
      <c r="A479" s="825"/>
      <c r="B479" s="825"/>
      <c r="C479" s="825"/>
      <c r="D479" s="825"/>
      <c r="G479" s="825"/>
      <c r="H479" s="18"/>
      <c r="I479" s="825"/>
      <c r="L479" s="825"/>
      <c r="M479" s="825"/>
      <c r="N479" s="825"/>
      <c r="O479" s="825"/>
      <c r="P479" s="825"/>
      <c r="Q479" s="21"/>
      <c r="R479" s="21"/>
      <c r="S479" s="19"/>
      <c r="T479" s="19"/>
      <c r="U479" s="19"/>
      <c r="V479" s="19"/>
      <c r="W479" s="825"/>
      <c r="X479" s="825"/>
      <c r="AM479" s="825"/>
      <c r="AN479" s="825"/>
      <c r="AO479" s="825"/>
      <c r="AP479" s="825"/>
      <c r="AQ479" s="825"/>
      <c r="AR479" s="825"/>
      <c r="AS479" s="825"/>
      <c r="AT479" s="825"/>
      <c r="AU479" s="825"/>
      <c r="AV479" s="825"/>
    </row>
    <row r="480" spans="1:48" ht="15.8" customHeight="1" x14ac:dyDescent="0.3">
      <c r="A480" s="825"/>
      <c r="B480" s="825"/>
      <c r="C480" s="825"/>
      <c r="D480" s="825"/>
      <c r="G480" s="825"/>
      <c r="H480" s="18"/>
      <c r="I480" s="825"/>
      <c r="L480" s="825"/>
      <c r="M480" s="825"/>
      <c r="N480" s="825"/>
      <c r="O480" s="825"/>
      <c r="P480" s="825"/>
      <c r="Q480" s="21"/>
      <c r="R480" s="21"/>
      <c r="S480" s="19"/>
      <c r="T480" s="19"/>
      <c r="U480" s="19"/>
      <c r="V480" s="19"/>
      <c r="W480" s="825"/>
      <c r="X480" s="825"/>
      <c r="AM480" s="825"/>
      <c r="AN480" s="825"/>
      <c r="AO480" s="825"/>
      <c r="AP480" s="825"/>
      <c r="AQ480" s="825"/>
      <c r="AR480" s="825"/>
      <c r="AS480" s="825"/>
      <c r="AT480" s="825"/>
      <c r="AU480" s="825"/>
      <c r="AV480" s="825"/>
    </row>
    <row r="481" spans="1:48" ht="15.8" customHeight="1" x14ac:dyDescent="0.3">
      <c r="A481" s="825"/>
      <c r="B481" s="825"/>
      <c r="C481" s="825"/>
      <c r="D481" s="825"/>
      <c r="G481" s="825"/>
      <c r="H481" s="18"/>
      <c r="I481" s="825"/>
      <c r="L481" s="825"/>
      <c r="M481" s="825"/>
      <c r="N481" s="825"/>
      <c r="O481" s="825"/>
      <c r="P481" s="825"/>
      <c r="Q481" s="21"/>
      <c r="R481" s="21"/>
      <c r="S481" s="19"/>
      <c r="T481" s="19"/>
      <c r="U481" s="19"/>
      <c r="V481" s="19"/>
      <c r="W481" s="825"/>
      <c r="X481" s="825"/>
      <c r="AM481" s="825"/>
      <c r="AN481" s="825"/>
      <c r="AO481" s="825"/>
      <c r="AP481" s="825"/>
      <c r="AQ481" s="825"/>
      <c r="AR481" s="825"/>
      <c r="AS481" s="825"/>
      <c r="AT481" s="825"/>
      <c r="AU481" s="825"/>
      <c r="AV481" s="825"/>
    </row>
    <row r="482" spans="1:48" ht="15.8" customHeight="1" x14ac:dyDescent="0.3">
      <c r="A482" s="825"/>
      <c r="B482" s="825"/>
      <c r="C482" s="825"/>
      <c r="D482" s="825"/>
      <c r="G482" s="825"/>
      <c r="H482" s="18"/>
      <c r="I482" s="825"/>
      <c r="L482" s="825"/>
      <c r="M482" s="825"/>
      <c r="N482" s="825"/>
      <c r="O482" s="825"/>
      <c r="P482" s="825"/>
      <c r="Q482" s="21"/>
      <c r="R482" s="21"/>
      <c r="S482" s="19"/>
      <c r="T482" s="19"/>
      <c r="U482" s="19"/>
      <c r="V482" s="19"/>
      <c r="W482" s="825"/>
      <c r="X482" s="825"/>
      <c r="AM482" s="825"/>
      <c r="AN482" s="825"/>
      <c r="AO482" s="825"/>
      <c r="AP482" s="825"/>
      <c r="AQ482" s="825"/>
      <c r="AR482" s="825"/>
      <c r="AS482" s="825"/>
      <c r="AT482" s="825"/>
      <c r="AU482" s="825"/>
      <c r="AV482" s="825"/>
    </row>
    <row r="483" spans="1:48" ht="15.8" customHeight="1" x14ac:dyDescent="0.3">
      <c r="A483" s="825"/>
      <c r="B483" s="825"/>
      <c r="C483" s="825"/>
      <c r="D483" s="825"/>
      <c r="G483" s="825"/>
      <c r="H483" s="18"/>
      <c r="I483" s="825"/>
      <c r="L483" s="825"/>
      <c r="M483" s="825"/>
      <c r="N483" s="825"/>
      <c r="O483" s="825"/>
      <c r="P483" s="825"/>
      <c r="Q483" s="21"/>
      <c r="R483" s="21"/>
      <c r="S483" s="19"/>
      <c r="T483" s="19"/>
      <c r="U483" s="19"/>
      <c r="V483" s="19"/>
      <c r="W483" s="825"/>
      <c r="X483" s="825"/>
      <c r="AM483" s="825"/>
      <c r="AN483" s="825"/>
      <c r="AO483" s="825"/>
      <c r="AP483" s="825"/>
      <c r="AQ483" s="825"/>
      <c r="AR483" s="825"/>
      <c r="AS483" s="825"/>
      <c r="AT483" s="825"/>
      <c r="AU483" s="825"/>
      <c r="AV483" s="825"/>
    </row>
    <row r="484" spans="1:48" ht="15.8" customHeight="1" x14ac:dyDescent="0.3">
      <c r="A484" s="825"/>
      <c r="B484" s="825"/>
      <c r="C484" s="825"/>
      <c r="D484" s="825"/>
      <c r="G484" s="825"/>
      <c r="H484" s="18"/>
      <c r="I484" s="825"/>
      <c r="L484" s="825"/>
      <c r="M484" s="825"/>
      <c r="N484" s="825"/>
      <c r="O484" s="825"/>
      <c r="P484" s="825"/>
      <c r="Q484" s="21"/>
      <c r="R484" s="21"/>
      <c r="S484" s="19"/>
      <c r="T484" s="19"/>
      <c r="U484" s="19"/>
      <c r="V484" s="19"/>
      <c r="W484" s="825"/>
      <c r="X484" s="825"/>
      <c r="AM484" s="825"/>
      <c r="AN484" s="825"/>
      <c r="AO484" s="825"/>
      <c r="AP484" s="825"/>
      <c r="AQ484" s="825"/>
      <c r="AR484" s="825"/>
      <c r="AS484" s="825"/>
      <c r="AT484" s="825"/>
      <c r="AU484" s="825"/>
      <c r="AV484" s="825"/>
    </row>
    <row r="485" spans="1:48" ht="15.8" customHeight="1" x14ac:dyDescent="0.3">
      <c r="A485" s="825"/>
      <c r="B485" s="825"/>
      <c r="C485" s="825"/>
      <c r="D485" s="825"/>
      <c r="G485" s="825"/>
      <c r="H485" s="18"/>
      <c r="I485" s="825"/>
      <c r="L485" s="825"/>
      <c r="M485" s="825"/>
      <c r="N485" s="825"/>
      <c r="O485" s="825"/>
      <c r="P485" s="825"/>
      <c r="Q485" s="21"/>
      <c r="R485" s="21"/>
      <c r="S485" s="19"/>
      <c r="T485" s="19"/>
      <c r="U485" s="19"/>
      <c r="V485" s="19"/>
      <c r="W485" s="825"/>
      <c r="X485" s="825"/>
      <c r="AM485" s="825"/>
      <c r="AN485" s="825"/>
      <c r="AO485" s="825"/>
      <c r="AP485" s="825"/>
      <c r="AQ485" s="825"/>
      <c r="AR485" s="825"/>
      <c r="AS485" s="825"/>
      <c r="AT485" s="825"/>
      <c r="AU485" s="825"/>
      <c r="AV485" s="825"/>
    </row>
    <row r="486" spans="1:48" ht="15.8" customHeight="1" x14ac:dyDescent="0.3">
      <c r="A486" s="825"/>
      <c r="B486" s="825"/>
      <c r="C486" s="825"/>
      <c r="D486" s="825"/>
      <c r="G486" s="825"/>
      <c r="H486" s="18"/>
      <c r="I486" s="825"/>
      <c r="L486" s="825"/>
      <c r="M486" s="825"/>
      <c r="N486" s="825"/>
      <c r="O486" s="825"/>
      <c r="P486" s="825"/>
      <c r="Q486" s="21"/>
      <c r="R486" s="21"/>
      <c r="S486" s="19"/>
      <c r="T486" s="19"/>
      <c r="U486" s="19"/>
      <c r="V486" s="19"/>
      <c r="W486" s="825"/>
      <c r="X486" s="825"/>
      <c r="AM486" s="825"/>
      <c r="AN486" s="825"/>
      <c r="AO486" s="825"/>
      <c r="AP486" s="825"/>
      <c r="AQ486" s="825"/>
      <c r="AR486" s="825"/>
      <c r="AS486" s="825"/>
      <c r="AT486" s="825"/>
      <c r="AU486" s="825"/>
      <c r="AV486" s="825"/>
    </row>
    <row r="487" spans="1:48" ht="15.8" customHeight="1" x14ac:dyDescent="0.3">
      <c r="A487" s="825"/>
      <c r="B487" s="825"/>
      <c r="C487" s="825"/>
      <c r="D487" s="825"/>
      <c r="G487" s="825"/>
      <c r="H487" s="18"/>
      <c r="I487" s="825"/>
      <c r="L487" s="825"/>
      <c r="M487" s="825"/>
      <c r="N487" s="825"/>
      <c r="O487" s="825"/>
      <c r="P487" s="825"/>
      <c r="Q487" s="21"/>
      <c r="R487" s="21"/>
      <c r="S487" s="19"/>
      <c r="T487" s="19"/>
      <c r="U487" s="19"/>
      <c r="V487" s="19"/>
      <c r="W487" s="825"/>
      <c r="X487" s="825"/>
      <c r="AM487" s="825"/>
      <c r="AN487" s="825"/>
      <c r="AO487" s="825"/>
      <c r="AP487" s="825"/>
      <c r="AQ487" s="825"/>
      <c r="AR487" s="825"/>
      <c r="AS487" s="825"/>
      <c r="AT487" s="825"/>
      <c r="AU487" s="825"/>
      <c r="AV487" s="825"/>
    </row>
    <row r="488" spans="1:48" ht="15.8" customHeight="1" x14ac:dyDescent="0.3">
      <c r="A488" s="825"/>
      <c r="B488" s="825"/>
      <c r="C488" s="825"/>
      <c r="D488" s="825"/>
      <c r="G488" s="825"/>
      <c r="H488" s="18"/>
      <c r="I488" s="825"/>
      <c r="L488" s="825"/>
      <c r="M488" s="825"/>
      <c r="N488" s="825"/>
      <c r="O488" s="825"/>
      <c r="P488" s="825"/>
      <c r="Q488" s="21"/>
      <c r="R488" s="21"/>
      <c r="S488" s="19"/>
      <c r="T488" s="19"/>
      <c r="U488" s="19"/>
      <c r="V488" s="19"/>
      <c r="W488" s="825"/>
      <c r="X488" s="825"/>
      <c r="AM488" s="825"/>
      <c r="AN488" s="825"/>
      <c r="AO488" s="825"/>
      <c r="AP488" s="825"/>
      <c r="AQ488" s="825"/>
      <c r="AR488" s="825"/>
      <c r="AS488" s="825"/>
      <c r="AT488" s="825"/>
      <c r="AU488" s="825"/>
      <c r="AV488" s="825"/>
    </row>
    <row r="489" spans="1:48" ht="15.8" customHeight="1" x14ac:dyDescent="0.3">
      <c r="A489" s="825"/>
      <c r="B489" s="825"/>
      <c r="C489" s="825"/>
      <c r="D489" s="825"/>
      <c r="G489" s="825"/>
      <c r="H489" s="18"/>
      <c r="I489" s="825"/>
      <c r="L489" s="825"/>
      <c r="M489" s="825"/>
      <c r="N489" s="825"/>
      <c r="O489" s="825"/>
      <c r="P489" s="825"/>
      <c r="Q489" s="21"/>
      <c r="R489" s="21"/>
      <c r="S489" s="19"/>
      <c r="T489" s="19"/>
      <c r="U489" s="19"/>
      <c r="V489" s="19"/>
      <c r="W489" s="825"/>
      <c r="X489" s="825"/>
      <c r="AM489" s="825"/>
      <c r="AN489" s="825"/>
      <c r="AO489" s="825"/>
      <c r="AP489" s="825"/>
      <c r="AQ489" s="825"/>
      <c r="AR489" s="825"/>
      <c r="AS489" s="825"/>
      <c r="AT489" s="825"/>
      <c r="AU489" s="825"/>
      <c r="AV489" s="825"/>
    </row>
    <row r="490" spans="1:48" ht="15.8" customHeight="1" x14ac:dyDescent="0.3">
      <c r="A490" s="825"/>
      <c r="B490" s="825"/>
      <c r="C490" s="825"/>
      <c r="D490" s="825"/>
      <c r="G490" s="825"/>
      <c r="H490" s="18"/>
      <c r="I490" s="825"/>
      <c r="L490" s="825"/>
      <c r="M490" s="825"/>
      <c r="N490" s="825"/>
      <c r="O490" s="825"/>
      <c r="P490" s="825"/>
      <c r="Q490" s="21"/>
      <c r="R490" s="21"/>
      <c r="S490" s="19"/>
      <c r="T490" s="19"/>
      <c r="U490" s="19"/>
      <c r="V490" s="19"/>
      <c r="W490" s="825"/>
      <c r="X490" s="825"/>
      <c r="AM490" s="825"/>
      <c r="AN490" s="825"/>
      <c r="AO490" s="825"/>
      <c r="AP490" s="825"/>
      <c r="AQ490" s="825"/>
      <c r="AR490" s="825"/>
      <c r="AS490" s="825"/>
      <c r="AT490" s="825"/>
      <c r="AU490" s="825"/>
      <c r="AV490" s="825"/>
    </row>
    <row r="491" spans="1:48" ht="15.8" customHeight="1" x14ac:dyDescent="0.3">
      <c r="A491" s="825"/>
      <c r="B491" s="825"/>
      <c r="C491" s="825"/>
      <c r="D491" s="825"/>
      <c r="G491" s="825"/>
      <c r="H491" s="18"/>
      <c r="I491" s="825"/>
      <c r="L491" s="825"/>
      <c r="M491" s="825"/>
      <c r="N491" s="825"/>
      <c r="O491" s="825"/>
      <c r="P491" s="825"/>
      <c r="Q491" s="21"/>
      <c r="R491" s="21"/>
      <c r="S491" s="19"/>
      <c r="T491" s="19"/>
      <c r="U491" s="19"/>
      <c r="V491" s="19"/>
      <c r="W491" s="825"/>
      <c r="X491" s="825"/>
      <c r="AM491" s="825"/>
      <c r="AN491" s="825"/>
      <c r="AO491" s="825"/>
      <c r="AP491" s="825"/>
      <c r="AQ491" s="825"/>
      <c r="AR491" s="825"/>
      <c r="AS491" s="825"/>
      <c r="AT491" s="825"/>
      <c r="AU491" s="825"/>
      <c r="AV491" s="825"/>
    </row>
    <row r="492" spans="1:48" ht="15.8" customHeight="1" x14ac:dyDescent="0.3">
      <c r="A492" s="825"/>
      <c r="B492" s="825"/>
      <c r="C492" s="825"/>
      <c r="D492" s="825"/>
      <c r="G492" s="825"/>
      <c r="H492" s="18"/>
      <c r="I492" s="825"/>
      <c r="L492" s="825"/>
      <c r="M492" s="825"/>
      <c r="N492" s="825"/>
      <c r="O492" s="825"/>
      <c r="P492" s="825"/>
      <c r="Q492" s="21"/>
      <c r="R492" s="21"/>
      <c r="S492" s="19"/>
      <c r="T492" s="19"/>
      <c r="U492" s="19"/>
      <c r="V492" s="19"/>
      <c r="W492" s="825"/>
      <c r="X492" s="825"/>
      <c r="AM492" s="825"/>
      <c r="AN492" s="825"/>
      <c r="AO492" s="825"/>
      <c r="AP492" s="825"/>
      <c r="AQ492" s="825"/>
      <c r="AR492" s="825"/>
      <c r="AS492" s="825"/>
      <c r="AT492" s="825"/>
      <c r="AU492" s="825"/>
      <c r="AV492" s="825"/>
    </row>
    <row r="493" spans="1:48" ht="15.8" customHeight="1" x14ac:dyDescent="0.3">
      <c r="A493" s="825"/>
      <c r="B493" s="825"/>
      <c r="C493" s="825"/>
      <c r="D493" s="825"/>
      <c r="G493" s="825"/>
      <c r="H493" s="18"/>
      <c r="I493" s="825"/>
      <c r="L493" s="825"/>
      <c r="M493" s="825"/>
      <c r="N493" s="825"/>
      <c r="O493" s="825"/>
      <c r="P493" s="825"/>
      <c r="Q493" s="21"/>
      <c r="R493" s="21"/>
      <c r="S493" s="19"/>
      <c r="T493" s="19"/>
      <c r="U493" s="19"/>
      <c r="V493" s="19"/>
      <c r="W493" s="825"/>
      <c r="X493" s="825"/>
      <c r="AM493" s="825"/>
      <c r="AN493" s="825"/>
      <c r="AO493" s="825"/>
      <c r="AP493" s="825"/>
      <c r="AQ493" s="825"/>
      <c r="AR493" s="825"/>
      <c r="AS493" s="825"/>
      <c r="AT493" s="825"/>
      <c r="AU493" s="825"/>
      <c r="AV493" s="825"/>
    </row>
    <row r="494" spans="1:48" ht="15.8" customHeight="1" x14ac:dyDescent="0.3">
      <c r="A494" s="825"/>
      <c r="B494" s="825"/>
      <c r="C494" s="825"/>
      <c r="D494" s="825"/>
      <c r="G494" s="825"/>
      <c r="H494" s="18"/>
      <c r="I494" s="825"/>
      <c r="L494" s="825"/>
      <c r="M494" s="825"/>
      <c r="N494" s="825"/>
      <c r="O494" s="825"/>
      <c r="P494" s="825"/>
      <c r="Q494" s="21"/>
      <c r="R494" s="21"/>
      <c r="S494" s="19"/>
      <c r="T494" s="19"/>
      <c r="U494" s="19"/>
      <c r="V494" s="19"/>
      <c r="W494" s="825"/>
      <c r="X494" s="825"/>
      <c r="AM494" s="825"/>
      <c r="AN494" s="825"/>
      <c r="AO494" s="825"/>
      <c r="AP494" s="825"/>
      <c r="AQ494" s="825"/>
      <c r="AR494" s="825"/>
      <c r="AS494" s="825"/>
      <c r="AT494" s="825"/>
      <c r="AU494" s="825"/>
      <c r="AV494" s="825"/>
    </row>
    <row r="495" spans="1:48" ht="15.8" customHeight="1" x14ac:dyDescent="0.3">
      <c r="A495" s="825"/>
      <c r="B495" s="825"/>
      <c r="C495" s="825"/>
      <c r="D495" s="825"/>
      <c r="G495" s="825"/>
      <c r="H495" s="18"/>
      <c r="I495" s="825"/>
      <c r="L495" s="825"/>
      <c r="M495" s="825"/>
      <c r="N495" s="825"/>
      <c r="O495" s="825"/>
      <c r="P495" s="825"/>
      <c r="Q495" s="21"/>
      <c r="R495" s="21"/>
      <c r="S495" s="19"/>
      <c r="T495" s="19"/>
      <c r="U495" s="19"/>
      <c r="V495" s="19"/>
      <c r="W495" s="825"/>
      <c r="X495" s="825"/>
      <c r="AM495" s="825"/>
      <c r="AN495" s="825"/>
      <c r="AO495" s="825"/>
      <c r="AP495" s="825"/>
      <c r="AQ495" s="825"/>
      <c r="AR495" s="825"/>
      <c r="AS495" s="825"/>
      <c r="AT495" s="825"/>
      <c r="AU495" s="825"/>
      <c r="AV495" s="825"/>
    </row>
    <row r="496" spans="1:48" ht="15.8" customHeight="1" x14ac:dyDescent="0.3">
      <c r="A496" s="825"/>
      <c r="B496" s="825"/>
      <c r="C496" s="825"/>
      <c r="D496" s="825"/>
      <c r="G496" s="825"/>
      <c r="H496" s="18"/>
      <c r="I496" s="825"/>
      <c r="L496" s="825"/>
      <c r="M496" s="825"/>
      <c r="N496" s="825"/>
      <c r="O496" s="825"/>
      <c r="P496" s="825"/>
      <c r="Q496" s="21"/>
      <c r="R496" s="21"/>
      <c r="S496" s="19"/>
      <c r="T496" s="19"/>
      <c r="U496" s="19"/>
      <c r="V496" s="19"/>
      <c r="W496" s="825"/>
      <c r="X496" s="825"/>
      <c r="AM496" s="825"/>
      <c r="AN496" s="825"/>
      <c r="AO496" s="825"/>
      <c r="AP496" s="825"/>
      <c r="AQ496" s="825"/>
      <c r="AR496" s="825"/>
      <c r="AS496" s="825"/>
      <c r="AT496" s="825"/>
      <c r="AU496" s="825"/>
      <c r="AV496" s="825"/>
    </row>
    <row r="497" spans="1:48" ht="15.8" customHeight="1" x14ac:dyDescent="0.3">
      <c r="A497" s="825"/>
      <c r="B497" s="825"/>
      <c r="C497" s="825"/>
      <c r="D497" s="825"/>
      <c r="G497" s="825"/>
      <c r="H497" s="18"/>
      <c r="I497" s="825"/>
      <c r="L497" s="825"/>
      <c r="M497" s="825"/>
      <c r="N497" s="825"/>
      <c r="O497" s="825"/>
      <c r="P497" s="825"/>
      <c r="Q497" s="21"/>
      <c r="R497" s="21"/>
      <c r="S497" s="19"/>
      <c r="T497" s="19"/>
      <c r="U497" s="19"/>
      <c r="V497" s="19"/>
      <c r="W497" s="825"/>
      <c r="X497" s="825"/>
      <c r="AM497" s="825"/>
      <c r="AN497" s="825"/>
      <c r="AO497" s="825"/>
      <c r="AP497" s="825"/>
      <c r="AQ497" s="825"/>
      <c r="AR497" s="825"/>
      <c r="AS497" s="825"/>
      <c r="AT497" s="825"/>
      <c r="AU497" s="825"/>
      <c r="AV497" s="825"/>
    </row>
    <row r="498" spans="1:48" ht="15.8" customHeight="1" x14ac:dyDescent="0.3">
      <c r="A498" s="825"/>
      <c r="B498" s="825"/>
      <c r="C498" s="825"/>
      <c r="D498" s="825"/>
      <c r="G498" s="825"/>
      <c r="H498" s="18"/>
      <c r="I498" s="825"/>
      <c r="L498" s="825"/>
      <c r="M498" s="825"/>
      <c r="N498" s="825"/>
      <c r="O498" s="825"/>
      <c r="P498" s="825"/>
      <c r="Q498" s="21"/>
      <c r="R498" s="21"/>
      <c r="S498" s="19"/>
      <c r="T498" s="19"/>
      <c r="U498" s="19"/>
      <c r="V498" s="19"/>
      <c r="W498" s="825"/>
      <c r="X498" s="825"/>
      <c r="AM498" s="825"/>
      <c r="AN498" s="825"/>
      <c r="AO498" s="825"/>
      <c r="AP498" s="825"/>
      <c r="AQ498" s="825"/>
      <c r="AR498" s="825"/>
      <c r="AS498" s="825"/>
      <c r="AT498" s="825"/>
      <c r="AU498" s="825"/>
      <c r="AV498" s="825"/>
    </row>
    <row r="499" spans="1:48" ht="15.8" customHeight="1" x14ac:dyDescent="0.3">
      <c r="A499" s="825"/>
      <c r="B499" s="825"/>
      <c r="C499" s="825"/>
      <c r="D499" s="825"/>
      <c r="G499" s="825"/>
      <c r="H499" s="18"/>
      <c r="I499" s="825"/>
      <c r="L499" s="825"/>
      <c r="M499" s="825"/>
      <c r="N499" s="825"/>
      <c r="O499" s="825"/>
      <c r="P499" s="825"/>
      <c r="Q499" s="21"/>
      <c r="R499" s="21"/>
      <c r="S499" s="19"/>
      <c r="T499" s="19"/>
      <c r="U499" s="19"/>
      <c r="V499" s="19"/>
      <c r="W499" s="825"/>
      <c r="X499" s="825"/>
      <c r="AM499" s="825"/>
      <c r="AN499" s="825"/>
      <c r="AO499" s="825"/>
      <c r="AP499" s="825"/>
      <c r="AQ499" s="825"/>
      <c r="AR499" s="825"/>
      <c r="AS499" s="825"/>
      <c r="AT499" s="825"/>
      <c r="AU499" s="825"/>
      <c r="AV499" s="825"/>
    </row>
    <row r="500" spans="1:48" ht="15.8" customHeight="1" x14ac:dyDescent="0.3">
      <c r="A500" s="825"/>
      <c r="B500" s="825"/>
      <c r="C500" s="825"/>
      <c r="D500" s="825"/>
      <c r="G500" s="825"/>
      <c r="H500" s="18"/>
      <c r="I500" s="825"/>
      <c r="L500" s="825"/>
      <c r="M500" s="825"/>
      <c r="N500" s="825"/>
      <c r="O500" s="825"/>
      <c r="P500" s="825"/>
      <c r="Q500" s="21"/>
      <c r="R500" s="21"/>
      <c r="S500" s="19"/>
      <c r="T500" s="19"/>
      <c r="U500" s="19"/>
      <c r="V500" s="19"/>
      <c r="W500" s="825"/>
      <c r="X500" s="825"/>
      <c r="AM500" s="825"/>
      <c r="AN500" s="825"/>
      <c r="AO500" s="825"/>
      <c r="AP500" s="825"/>
      <c r="AQ500" s="825"/>
      <c r="AR500" s="825"/>
      <c r="AS500" s="825"/>
      <c r="AT500" s="825"/>
      <c r="AU500" s="825"/>
      <c r="AV500" s="825"/>
    </row>
    <row r="501" spans="1:48" ht="15.8" customHeight="1" x14ac:dyDescent="0.3">
      <c r="A501" s="825"/>
      <c r="B501" s="825"/>
      <c r="C501" s="825"/>
      <c r="D501" s="825"/>
      <c r="G501" s="825"/>
      <c r="H501" s="18"/>
      <c r="I501" s="825"/>
      <c r="L501" s="825"/>
      <c r="M501" s="825"/>
      <c r="N501" s="825"/>
      <c r="O501" s="825"/>
      <c r="P501" s="825"/>
      <c r="Q501" s="21"/>
      <c r="R501" s="21"/>
      <c r="S501" s="19"/>
      <c r="T501" s="19"/>
      <c r="U501" s="19"/>
      <c r="V501" s="19"/>
      <c r="W501" s="825"/>
      <c r="X501" s="825"/>
      <c r="AM501" s="825"/>
      <c r="AN501" s="825"/>
      <c r="AO501" s="825"/>
      <c r="AP501" s="825"/>
      <c r="AQ501" s="825"/>
      <c r="AR501" s="825"/>
      <c r="AS501" s="825"/>
      <c r="AT501" s="825"/>
      <c r="AU501" s="825"/>
      <c r="AV501" s="825"/>
    </row>
    <row r="502" spans="1:48" ht="15.8" customHeight="1" x14ac:dyDescent="0.3">
      <c r="A502" s="825"/>
      <c r="B502" s="825"/>
      <c r="C502" s="825"/>
      <c r="D502" s="825"/>
      <c r="G502" s="825"/>
      <c r="H502" s="18"/>
      <c r="I502" s="825"/>
      <c r="L502" s="825"/>
      <c r="M502" s="825"/>
      <c r="N502" s="825"/>
      <c r="O502" s="825"/>
      <c r="P502" s="825"/>
      <c r="Q502" s="21"/>
      <c r="R502" s="21"/>
      <c r="S502" s="19"/>
      <c r="T502" s="19"/>
      <c r="U502" s="19"/>
      <c r="V502" s="19"/>
      <c r="W502" s="825"/>
      <c r="X502" s="825"/>
      <c r="AM502" s="825"/>
      <c r="AN502" s="825"/>
      <c r="AO502" s="825"/>
      <c r="AP502" s="825"/>
      <c r="AQ502" s="825"/>
      <c r="AR502" s="825"/>
      <c r="AS502" s="825"/>
      <c r="AT502" s="825"/>
      <c r="AU502" s="825"/>
      <c r="AV502" s="825"/>
    </row>
    <row r="503" spans="1:48" ht="15.8" customHeight="1" x14ac:dyDescent="0.3">
      <c r="A503" s="825"/>
      <c r="B503" s="825"/>
      <c r="C503" s="825"/>
      <c r="D503" s="825"/>
      <c r="G503" s="825"/>
      <c r="H503" s="18"/>
      <c r="I503" s="825"/>
      <c r="L503" s="825"/>
      <c r="M503" s="825"/>
      <c r="N503" s="825"/>
      <c r="O503" s="825"/>
      <c r="P503" s="825"/>
      <c r="Q503" s="21"/>
      <c r="R503" s="21"/>
      <c r="S503" s="19"/>
      <c r="T503" s="19"/>
      <c r="U503" s="19"/>
      <c r="V503" s="19"/>
      <c r="W503" s="825"/>
      <c r="X503" s="825"/>
      <c r="AM503" s="825"/>
      <c r="AN503" s="825"/>
      <c r="AO503" s="825"/>
      <c r="AP503" s="825"/>
      <c r="AQ503" s="825"/>
      <c r="AR503" s="825"/>
      <c r="AS503" s="825"/>
      <c r="AT503" s="825"/>
      <c r="AU503" s="825"/>
      <c r="AV503" s="825"/>
    </row>
    <row r="504" spans="1:48" ht="15.8" customHeight="1" x14ac:dyDescent="0.3">
      <c r="A504" s="825"/>
      <c r="B504" s="825"/>
      <c r="C504" s="825"/>
      <c r="D504" s="825"/>
      <c r="G504" s="825"/>
      <c r="H504" s="18"/>
      <c r="I504" s="825"/>
      <c r="L504" s="825"/>
      <c r="M504" s="825"/>
      <c r="N504" s="825"/>
      <c r="O504" s="825"/>
      <c r="P504" s="825"/>
      <c r="Q504" s="21"/>
      <c r="R504" s="21"/>
      <c r="S504" s="19"/>
      <c r="T504" s="19"/>
      <c r="U504" s="19"/>
      <c r="V504" s="19"/>
      <c r="W504" s="825"/>
      <c r="X504" s="825"/>
      <c r="AM504" s="825"/>
      <c r="AN504" s="825"/>
      <c r="AO504" s="825"/>
      <c r="AP504" s="825"/>
      <c r="AQ504" s="825"/>
      <c r="AR504" s="825"/>
      <c r="AS504" s="825"/>
      <c r="AT504" s="825"/>
      <c r="AU504" s="825"/>
      <c r="AV504" s="825"/>
    </row>
    <row r="505" spans="1:48" ht="15.8" customHeight="1" x14ac:dyDescent="0.3">
      <c r="A505" s="825"/>
      <c r="B505" s="825"/>
      <c r="C505" s="825"/>
      <c r="D505" s="825"/>
      <c r="G505" s="825"/>
      <c r="H505" s="18"/>
      <c r="I505" s="825"/>
      <c r="L505" s="825"/>
      <c r="M505" s="825"/>
      <c r="N505" s="825"/>
      <c r="O505" s="825"/>
      <c r="P505" s="825"/>
      <c r="Q505" s="21"/>
      <c r="R505" s="21"/>
      <c r="S505" s="19"/>
      <c r="T505" s="19"/>
      <c r="U505" s="19"/>
      <c r="V505" s="19"/>
      <c r="W505" s="825"/>
      <c r="X505" s="825"/>
      <c r="AM505" s="825"/>
      <c r="AN505" s="825"/>
      <c r="AO505" s="825"/>
      <c r="AP505" s="825"/>
      <c r="AQ505" s="825"/>
      <c r="AR505" s="825"/>
      <c r="AS505" s="825"/>
      <c r="AT505" s="825"/>
      <c r="AU505" s="825"/>
      <c r="AV505" s="825"/>
    </row>
    <row r="506" spans="1:48" ht="15.8" customHeight="1" x14ac:dyDescent="0.3">
      <c r="A506" s="825"/>
      <c r="B506" s="825"/>
      <c r="C506" s="825"/>
      <c r="D506" s="825"/>
      <c r="G506" s="825"/>
      <c r="H506" s="18"/>
      <c r="I506" s="825"/>
      <c r="L506" s="825"/>
      <c r="M506" s="825"/>
      <c r="N506" s="825"/>
      <c r="O506" s="825"/>
      <c r="P506" s="825"/>
      <c r="Q506" s="21"/>
      <c r="R506" s="21"/>
      <c r="S506" s="19"/>
      <c r="T506" s="19"/>
      <c r="U506" s="19"/>
      <c r="V506" s="19"/>
      <c r="W506" s="825"/>
      <c r="X506" s="825"/>
      <c r="AM506" s="825"/>
      <c r="AN506" s="825"/>
      <c r="AO506" s="825"/>
      <c r="AP506" s="825"/>
      <c r="AQ506" s="825"/>
      <c r="AR506" s="825"/>
      <c r="AS506" s="825"/>
      <c r="AT506" s="825"/>
      <c r="AU506" s="825"/>
      <c r="AV506" s="825"/>
    </row>
    <row r="507" spans="1:48" ht="15.8" customHeight="1" x14ac:dyDescent="0.3">
      <c r="A507" s="825"/>
      <c r="B507" s="825"/>
      <c r="C507" s="825"/>
      <c r="D507" s="825"/>
      <c r="G507" s="825"/>
      <c r="H507" s="18"/>
      <c r="I507" s="825"/>
      <c r="L507" s="825"/>
      <c r="M507" s="825"/>
      <c r="N507" s="825"/>
      <c r="O507" s="825"/>
      <c r="P507" s="825"/>
      <c r="Q507" s="21"/>
      <c r="R507" s="21"/>
      <c r="S507" s="19"/>
      <c r="T507" s="19"/>
      <c r="U507" s="19"/>
      <c r="V507" s="19"/>
      <c r="W507" s="825"/>
      <c r="X507" s="825"/>
      <c r="AM507" s="825"/>
      <c r="AN507" s="825"/>
      <c r="AO507" s="825"/>
      <c r="AP507" s="825"/>
      <c r="AQ507" s="825"/>
      <c r="AR507" s="825"/>
      <c r="AS507" s="825"/>
      <c r="AT507" s="825"/>
      <c r="AU507" s="825"/>
      <c r="AV507" s="825"/>
    </row>
    <row r="508" spans="1:48" ht="15.8" customHeight="1" x14ac:dyDescent="0.3">
      <c r="A508" s="825"/>
      <c r="B508" s="825"/>
      <c r="C508" s="825"/>
      <c r="D508" s="825"/>
      <c r="G508" s="825"/>
      <c r="H508" s="18"/>
      <c r="I508" s="825"/>
      <c r="L508" s="825"/>
      <c r="M508" s="825"/>
      <c r="N508" s="825"/>
      <c r="O508" s="825"/>
      <c r="P508" s="825"/>
      <c r="Q508" s="21"/>
      <c r="R508" s="21"/>
      <c r="S508" s="19"/>
      <c r="T508" s="19"/>
      <c r="U508" s="19"/>
      <c r="V508" s="19"/>
      <c r="W508" s="825"/>
      <c r="X508" s="825"/>
      <c r="AM508" s="825"/>
      <c r="AN508" s="825"/>
      <c r="AO508" s="825"/>
      <c r="AP508" s="825"/>
      <c r="AQ508" s="825"/>
      <c r="AR508" s="825"/>
      <c r="AS508" s="825"/>
      <c r="AT508" s="825"/>
      <c r="AU508" s="825"/>
      <c r="AV508" s="825"/>
    </row>
    <row r="509" spans="1:48" ht="15.8" customHeight="1" x14ac:dyDescent="0.3">
      <c r="A509" s="825"/>
      <c r="B509" s="825"/>
      <c r="C509" s="825"/>
      <c r="D509" s="825"/>
      <c r="G509" s="825"/>
      <c r="H509" s="18"/>
      <c r="I509" s="825"/>
      <c r="L509" s="825"/>
      <c r="M509" s="825"/>
      <c r="N509" s="825"/>
      <c r="O509" s="825"/>
      <c r="P509" s="825"/>
      <c r="Q509" s="21"/>
      <c r="R509" s="21"/>
      <c r="S509" s="19"/>
      <c r="T509" s="19"/>
      <c r="U509" s="19"/>
      <c r="V509" s="19"/>
      <c r="W509" s="825"/>
      <c r="X509" s="825"/>
      <c r="AM509" s="825"/>
      <c r="AN509" s="825"/>
      <c r="AO509" s="825"/>
      <c r="AP509" s="825"/>
      <c r="AQ509" s="825"/>
      <c r="AR509" s="825"/>
      <c r="AS509" s="825"/>
      <c r="AT509" s="825"/>
      <c r="AU509" s="825"/>
      <c r="AV509" s="825"/>
    </row>
    <row r="510" spans="1:48" ht="15.8" customHeight="1" x14ac:dyDescent="0.3">
      <c r="A510" s="825"/>
      <c r="B510" s="825"/>
      <c r="C510" s="825"/>
      <c r="D510" s="825"/>
      <c r="G510" s="825"/>
      <c r="H510" s="18"/>
      <c r="I510" s="825"/>
      <c r="L510" s="825"/>
      <c r="M510" s="825"/>
      <c r="N510" s="825"/>
      <c r="O510" s="825"/>
      <c r="P510" s="825"/>
      <c r="Q510" s="21"/>
      <c r="R510" s="21"/>
      <c r="S510" s="19"/>
      <c r="T510" s="19"/>
      <c r="U510" s="19"/>
      <c r="V510" s="19"/>
      <c r="W510" s="825"/>
      <c r="X510" s="825"/>
      <c r="AM510" s="825"/>
      <c r="AN510" s="825"/>
      <c r="AO510" s="825"/>
      <c r="AP510" s="825"/>
      <c r="AQ510" s="825"/>
      <c r="AR510" s="825"/>
      <c r="AS510" s="825"/>
      <c r="AT510" s="825"/>
      <c r="AU510" s="825"/>
      <c r="AV510" s="825"/>
    </row>
    <row r="511" spans="1:48" ht="15.8" customHeight="1" x14ac:dyDescent="0.3">
      <c r="A511" s="825"/>
      <c r="B511" s="825"/>
      <c r="C511" s="825"/>
      <c r="D511" s="825"/>
      <c r="G511" s="825"/>
      <c r="H511" s="18"/>
      <c r="I511" s="825"/>
      <c r="L511" s="825"/>
      <c r="M511" s="825"/>
      <c r="N511" s="825"/>
      <c r="O511" s="825"/>
      <c r="P511" s="825"/>
      <c r="Q511" s="21"/>
      <c r="R511" s="21"/>
      <c r="S511" s="19"/>
      <c r="T511" s="19"/>
      <c r="U511" s="19"/>
      <c r="V511" s="19"/>
      <c r="W511" s="825"/>
      <c r="X511" s="825"/>
      <c r="AM511" s="825"/>
      <c r="AN511" s="825"/>
      <c r="AO511" s="825"/>
      <c r="AP511" s="825"/>
      <c r="AQ511" s="825"/>
      <c r="AR511" s="825"/>
      <c r="AS511" s="825"/>
      <c r="AT511" s="825"/>
      <c r="AU511" s="825"/>
      <c r="AV511" s="825"/>
    </row>
    <row r="512" spans="1:48" ht="15.8" customHeight="1" x14ac:dyDescent="0.3">
      <c r="A512" s="825"/>
      <c r="B512" s="825"/>
      <c r="C512" s="825"/>
      <c r="D512" s="825"/>
      <c r="G512" s="825"/>
      <c r="H512" s="18"/>
      <c r="I512" s="825"/>
      <c r="L512" s="825"/>
      <c r="M512" s="825"/>
      <c r="N512" s="825"/>
      <c r="O512" s="825"/>
      <c r="P512" s="825"/>
      <c r="Q512" s="21"/>
      <c r="R512" s="21"/>
      <c r="S512" s="19"/>
      <c r="T512" s="19"/>
      <c r="U512" s="19"/>
      <c r="V512" s="19"/>
      <c r="W512" s="825"/>
      <c r="X512" s="825"/>
      <c r="AM512" s="825"/>
      <c r="AN512" s="825"/>
      <c r="AO512" s="825"/>
      <c r="AP512" s="825"/>
      <c r="AQ512" s="825"/>
      <c r="AR512" s="825"/>
      <c r="AS512" s="825"/>
      <c r="AT512" s="825"/>
      <c r="AU512" s="825"/>
      <c r="AV512" s="825"/>
    </row>
    <row r="513" spans="1:48" ht="15.8" customHeight="1" x14ac:dyDescent="0.3">
      <c r="A513" s="825"/>
      <c r="B513" s="825"/>
      <c r="C513" s="825"/>
      <c r="D513" s="825"/>
      <c r="G513" s="825"/>
      <c r="H513" s="18"/>
      <c r="I513" s="825"/>
      <c r="L513" s="825"/>
      <c r="M513" s="825"/>
      <c r="N513" s="825"/>
      <c r="O513" s="825"/>
      <c r="P513" s="825"/>
      <c r="Q513" s="21"/>
      <c r="R513" s="21"/>
      <c r="S513" s="19"/>
      <c r="T513" s="19"/>
      <c r="U513" s="19"/>
      <c r="V513" s="19"/>
      <c r="W513" s="825"/>
      <c r="X513" s="825"/>
      <c r="AM513" s="825"/>
      <c r="AN513" s="825"/>
      <c r="AO513" s="825"/>
      <c r="AP513" s="825"/>
      <c r="AQ513" s="825"/>
      <c r="AR513" s="825"/>
      <c r="AS513" s="825"/>
      <c r="AT513" s="825"/>
      <c r="AU513" s="825"/>
      <c r="AV513" s="825"/>
    </row>
    <row r="514" spans="1:48" ht="15.8" customHeight="1" x14ac:dyDescent="0.3">
      <c r="A514" s="825"/>
      <c r="B514" s="825"/>
      <c r="C514" s="825"/>
      <c r="D514" s="825"/>
      <c r="G514" s="825"/>
      <c r="H514" s="18"/>
      <c r="I514" s="825"/>
      <c r="L514" s="825"/>
      <c r="M514" s="825"/>
      <c r="N514" s="825"/>
      <c r="O514" s="825"/>
      <c r="P514" s="825"/>
      <c r="Q514" s="21"/>
      <c r="R514" s="21"/>
      <c r="S514" s="19"/>
      <c r="T514" s="19"/>
      <c r="U514" s="19"/>
      <c r="V514" s="19"/>
      <c r="W514" s="825"/>
      <c r="X514" s="825"/>
      <c r="AM514" s="825"/>
      <c r="AN514" s="825"/>
      <c r="AO514" s="825"/>
      <c r="AP514" s="825"/>
      <c r="AQ514" s="825"/>
      <c r="AR514" s="825"/>
      <c r="AS514" s="825"/>
      <c r="AT514" s="825"/>
      <c r="AU514" s="825"/>
      <c r="AV514" s="825"/>
    </row>
    <row r="515" spans="1:48" ht="15.8" customHeight="1" x14ac:dyDescent="0.3">
      <c r="A515" s="825"/>
      <c r="B515" s="825"/>
      <c r="C515" s="825"/>
      <c r="D515" s="825"/>
      <c r="G515" s="825"/>
      <c r="H515" s="18"/>
      <c r="I515" s="825"/>
      <c r="L515" s="825"/>
      <c r="M515" s="825"/>
      <c r="N515" s="825"/>
      <c r="O515" s="825"/>
      <c r="P515" s="825"/>
      <c r="Q515" s="21"/>
      <c r="R515" s="21"/>
      <c r="S515" s="19"/>
      <c r="T515" s="19"/>
      <c r="U515" s="19"/>
      <c r="V515" s="19"/>
      <c r="W515" s="825"/>
      <c r="X515" s="825"/>
      <c r="AM515" s="825"/>
      <c r="AN515" s="825"/>
      <c r="AO515" s="825"/>
      <c r="AP515" s="825"/>
      <c r="AQ515" s="825"/>
      <c r="AR515" s="825"/>
      <c r="AS515" s="825"/>
      <c r="AT515" s="825"/>
      <c r="AU515" s="825"/>
      <c r="AV515" s="825"/>
    </row>
    <row r="516" spans="1:48" ht="15.8" customHeight="1" x14ac:dyDescent="0.3">
      <c r="A516" s="825"/>
      <c r="B516" s="825"/>
      <c r="C516" s="825"/>
      <c r="D516" s="825"/>
      <c r="G516" s="825"/>
      <c r="H516" s="18"/>
      <c r="I516" s="825"/>
      <c r="L516" s="825"/>
      <c r="M516" s="825"/>
      <c r="N516" s="825"/>
      <c r="O516" s="825"/>
      <c r="P516" s="825"/>
      <c r="Q516" s="21"/>
      <c r="R516" s="21"/>
      <c r="S516" s="19"/>
      <c r="T516" s="19"/>
      <c r="U516" s="19"/>
      <c r="V516" s="19"/>
      <c r="W516" s="825"/>
      <c r="X516" s="825"/>
      <c r="AM516" s="825"/>
      <c r="AN516" s="825"/>
      <c r="AO516" s="825"/>
      <c r="AP516" s="825"/>
      <c r="AQ516" s="825"/>
      <c r="AR516" s="825"/>
      <c r="AS516" s="825"/>
      <c r="AT516" s="825"/>
      <c r="AU516" s="825"/>
      <c r="AV516" s="825"/>
    </row>
    <row r="517" spans="1:48" ht="15.8" customHeight="1" x14ac:dyDescent="0.3">
      <c r="A517" s="825"/>
      <c r="B517" s="825"/>
      <c r="C517" s="825"/>
      <c r="D517" s="825"/>
      <c r="G517" s="825"/>
      <c r="H517" s="18"/>
      <c r="I517" s="825"/>
      <c r="L517" s="825"/>
      <c r="M517" s="825"/>
      <c r="N517" s="825"/>
      <c r="O517" s="825"/>
      <c r="P517" s="825"/>
      <c r="Q517" s="21"/>
      <c r="R517" s="21"/>
      <c r="S517" s="19"/>
      <c r="T517" s="19"/>
      <c r="U517" s="19"/>
      <c r="V517" s="19"/>
      <c r="W517" s="825"/>
      <c r="X517" s="825"/>
      <c r="AM517" s="825"/>
      <c r="AN517" s="825"/>
      <c r="AO517" s="825"/>
      <c r="AP517" s="825"/>
      <c r="AQ517" s="825"/>
      <c r="AR517" s="825"/>
      <c r="AS517" s="825"/>
      <c r="AT517" s="825"/>
      <c r="AU517" s="825"/>
      <c r="AV517" s="825"/>
    </row>
    <row r="518" spans="1:48" ht="15.8" customHeight="1" x14ac:dyDescent="0.3">
      <c r="A518" s="825"/>
      <c r="B518" s="825"/>
      <c r="C518" s="825"/>
      <c r="D518" s="825"/>
      <c r="G518" s="825"/>
      <c r="H518" s="18"/>
      <c r="I518" s="825"/>
      <c r="L518" s="825"/>
      <c r="M518" s="825"/>
      <c r="N518" s="825"/>
      <c r="O518" s="825"/>
      <c r="P518" s="825"/>
      <c r="Q518" s="21"/>
      <c r="R518" s="21"/>
      <c r="S518" s="19"/>
      <c r="T518" s="19"/>
      <c r="U518" s="19"/>
      <c r="V518" s="19"/>
      <c r="W518" s="825"/>
      <c r="X518" s="825"/>
      <c r="AM518" s="825"/>
      <c r="AN518" s="825"/>
      <c r="AO518" s="825"/>
      <c r="AP518" s="825"/>
      <c r="AQ518" s="825"/>
      <c r="AR518" s="825"/>
      <c r="AS518" s="825"/>
      <c r="AT518" s="825"/>
      <c r="AU518" s="825"/>
      <c r="AV518" s="825"/>
    </row>
    <row r="519" spans="1:48" ht="15.8" customHeight="1" x14ac:dyDescent="0.3">
      <c r="A519" s="825"/>
      <c r="B519" s="825"/>
      <c r="C519" s="825"/>
      <c r="D519" s="825"/>
      <c r="G519" s="825"/>
      <c r="H519" s="18"/>
      <c r="I519" s="825"/>
      <c r="L519" s="825"/>
      <c r="M519" s="825"/>
      <c r="N519" s="825"/>
      <c r="O519" s="825"/>
      <c r="P519" s="825"/>
      <c r="Q519" s="21"/>
      <c r="R519" s="21"/>
      <c r="S519" s="19"/>
      <c r="T519" s="19"/>
      <c r="U519" s="19"/>
      <c r="V519" s="19"/>
      <c r="W519" s="825"/>
      <c r="X519" s="825"/>
      <c r="AM519" s="825"/>
      <c r="AN519" s="825"/>
      <c r="AO519" s="825"/>
      <c r="AP519" s="825"/>
      <c r="AQ519" s="825"/>
      <c r="AR519" s="825"/>
      <c r="AS519" s="825"/>
      <c r="AT519" s="825"/>
      <c r="AU519" s="825"/>
      <c r="AV519" s="825"/>
    </row>
    <row r="520" spans="1:48" ht="15.8" customHeight="1" x14ac:dyDescent="0.3">
      <c r="A520" s="825"/>
      <c r="B520" s="825"/>
      <c r="C520" s="825"/>
      <c r="D520" s="825"/>
      <c r="G520" s="825"/>
      <c r="H520" s="18"/>
      <c r="I520" s="825"/>
      <c r="L520" s="825"/>
      <c r="M520" s="825"/>
      <c r="N520" s="825"/>
      <c r="O520" s="825"/>
      <c r="P520" s="825"/>
      <c r="Q520" s="21"/>
      <c r="R520" s="21"/>
      <c r="S520" s="19"/>
      <c r="T520" s="19"/>
      <c r="U520" s="19"/>
      <c r="V520" s="19"/>
      <c r="W520" s="825"/>
      <c r="X520" s="825"/>
      <c r="AM520" s="825"/>
      <c r="AN520" s="825"/>
      <c r="AO520" s="825"/>
      <c r="AP520" s="825"/>
      <c r="AQ520" s="825"/>
      <c r="AR520" s="825"/>
      <c r="AS520" s="825"/>
      <c r="AT520" s="825"/>
      <c r="AU520" s="825"/>
      <c r="AV520" s="825"/>
    </row>
    <row r="521" spans="1:48" ht="15.8" customHeight="1" x14ac:dyDescent="0.3">
      <c r="A521" s="825"/>
      <c r="B521" s="825"/>
      <c r="C521" s="825"/>
      <c r="D521" s="825"/>
      <c r="G521" s="825"/>
      <c r="H521" s="18"/>
      <c r="I521" s="825"/>
      <c r="L521" s="825"/>
      <c r="M521" s="825"/>
      <c r="N521" s="825"/>
      <c r="O521" s="825"/>
      <c r="P521" s="825"/>
      <c r="Q521" s="21"/>
      <c r="R521" s="21"/>
      <c r="S521" s="19"/>
      <c r="T521" s="19"/>
      <c r="U521" s="19"/>
      <c r="V521" s="19"/>
      <c r="W521" s="825"/>
      <c r="X521" s="825"/>
      <c r="AM521" s="825"/>
      <c r="AN521" s="825"/>
      <c r="AO521" s="825"/>
      <c r="AP521" s="825"/>
      <c r="AQ521" s="825"/>
      <c r="AR521" s="825"/>
      <c r="AS521" s="825"/>
      <c r="AT521" s="825"/>
      <c r="AU521" s="825"/>
      <c r="AV521" s="825"/>
    </row>
    <row r="522" spans="1:48" ht="15.8" customHeight="1" x14ac:dyDescent="0.3">
      <c r="A522" s="825"/>
      <c r="B522" s="825"/>
      <c r="C522" s="825"/>
      <c r="D522" s="825"/>
      <c r="G522" s="825"/>
      <c r="H522" s="18"/>
      <c r="I522" s="825"/>
      <c r="L522" s="825"/>
      <c r="M522" s="825"/>
      <c r="N522" s="825"/>
      <c r="O522" s="825"/>
      <c r="P522" s="825"/>
      <c r="Q522" s="21"/>
      <c r="R522" s="21"/>
      <c r="S522" s="19"/>
      <c r="T522" s="19"/>
      <c r="U522" s="19"/>
      <c r="V522" s="19"/>
      <c r="W522" s="825"/>
      <c r="X522" s="825"/>
      <c r="AM522" s="825"/>
      <c r="AN522" s="825"/>
      <c r="AO522" s="825"/>
      <c r="AP522" s="825"/>
      <c r="AQ522" s="825"/>
      <c r="AR522" s="825"/>
      <c r="AS522" s="825"/>
      <c r="AT522" s="825"/>
      <c r="AU522" s="825"/>
      <c r="AV522" s="825"/>
    </row>
    <row r="523" spans="1:48" ht="15.8" customHeight="1" x14ac:dyDescent="0.3">
      <c r="A523" s="825"/>
      <c r="B523" s="825"/>
      <c r="C523" s="825"/>
      <c r="D523" s="825"/>
      <c r="G523" s="825"/>
      <c r="H523" s="18"/>
      <c r="I523" s="825"/>
      <c r="L523" s="825"/>
      <c r="M523" s="825"/>
      <c r="N523" s="825"/>
      <c r="O523" s="825"/>
      <c r="P523" s="825"/>
      <c r="Q523" s="21"/>
      <c r="R523" s="21"/>
      <c r="S523" s="19"/>
      <c r="T523" s="19"/>
      <c r="U523" s="19"/>
      <c r="V523" s="19"/>
      <c r="W523" s="825"/>
      <c r="X523" s="825"/>
      <c r="AM523" s="825"/>
      <c r="AN523" s="825"/>
      <c r="AO523" s="825"/>
      <c r="AP523" s="825"/>
      <c r="AQ523" s="825"/>
      <c r="AR523" s="825"/>
      <c r="AS523" s="825"/>
      <c r="AT523" s="825"/>
      <c r="AU523" s="825"/>
      <c r="AV523" s="825"/>
    </row>
    <row r="524" spans="1:48" ht="15.8" customHeight="1" x14ac:dyDescent="0.3">
      <c r="A524" s="825"/>
      <c r="B524" s="825"/>
      <c r="C524" s="825"/>
      <c r="D524" s="825"/>
      <c r="G524" s="825"/>
      <c r="H524" s="18"/>
      <c r="I524" s="825"/>
      <c r="L524" s="825"/>
      <c r="M524" s="825"/>
      <c r="N524" s="825"/>
      <c r="O524" s="825"/>
      <c r="P524" s="825"/>
      <c r="Q524" s="21"/>
      <c r="R524" s="21"/>
      <c r="S524" s="19"/>
      <c r="T524" s="19"/>
      <c r="U524" s="19"/>
      <c r="V524" s="19"/>
      <c r="W524" s="825"/>
      <c r="X524" s="825"/>
      <c r="AM524" s="825"/>
      <c r="AN524" s="825"/>
      <c r="AO524" s="825"/>
      <c r="AP524" s="825"/>
      <c r="AQ524" s="825"/>
      <c r="AR524" s="825"/>
      <c r="AS524" s="825"/>
      <c r="AT524" s="825"/>
      <c r="AU524" s="825"/>
      <c r="AV524" s="825"/>
    </row>
    <row r="525" spans="1:48" ht="15.8" customHeight="1" x14ac:dyDescent="0.3">
      <c r="A525" s="825"/>
      <c r="B525" s="825"/>
      <c r="C525" s="825"/>
      <c r="D525" s="825"/>
      <c r="G525" s="825"/>
      <c r="H525" s="18"/>
      <c r="I525" s="825"/>
      <c r="L525" s="825"/>
      <c r="M525" s="825"/>
      <c r="N525" s="825"/>
      <c r="O525" s="825"/>
      <c r="P525" s="825"/>
      <c r="Q525" s="21"/>
      <c r="R525" s="21"/>
      <c r="S525" s="19"/>
      <c r="T525" s="19"/>
      <c r="U525" s="19"/>
      <c r="V525" s="19"/>
      <c r="W525" s="825"/>
      <c r="X525" s="825"/>
      <c r="AM525" s="825"/>
      <c r="AN525" s="825"/>
      <c r="AO525" s="825"/>
      <c r="AP525" s="825"/>
      <c r="AQ525" s="825"/>
      <c r="AR525" s="825"/>
      <c r="AS525" s="825"/>
      <c r="AT525" s="825"/>
      <c r="AU525" s="825"/>
      <c r="AV525" s="825"/>
    </row>
    <row r="526" spans="1:48" ht="15.8" customHeight="1" x14ac:dyDescent="0.3">
      <c r="A526" s="825"/>
      <c r="B526" s="825"/>
      <c r="C526" s="825"/>
      <c r="D526" s="825"/>
      <c r="G526" s="825"/>
      <c r="H526" s="18"/>
      <c r="I526" s="825"/>
      <c r="L526" s="825"/>
      <c r="M526" s="825"/>
      <c r="N526" s="825"/>
      <c r="O526" s="825"/>
      <c r="P526" s="825"/>
      <c r="Q526" s="21"/>
      <c r="R526" s="21"/>
      <c r="S526" s="19"/>
      <c r="T526" s="19"/>
      <c r="U526" s="19"/>
      <c r="V526" s="19"/>
      <c r="W526" s="825"/>
      <c r="X526" s="825"/>
      <c r="AM526" s="825"/>
      <c r="AN526" s="825"/>
      <c r="AO526" s="825"/>
      <c r="AP526" s="825"/>
      <c r="AQ526" s="825"/>
      <c r="AR526" s="825"/>
      <c r="AS526" s="825"/>
      <c r="AT526" s="825"/>
      <c r="AU526" s="825"/>
      <c r="AV526" s="825"/>
    </row>
    <row r="527" spans="1:48" ht="15.8" customHeight="1" x14ac:dyDescent="0.3">
      <c r="A527" s="825"/>
      <c r="B527" s="825"/>
      <c r="C527" s="825"/>
      <c r="D527" s="825"/>
      <c r="G527" s="825"/>
      <c r="H527" s="18"/>
      <c r="I527" s="825"/>
      <c r="L527" s="825"/>
      <c r="M527" s="825"/>
      <c r="N527" s="825"/>
      <c r="O527" s="825"/>
      <c r="P527" s="825"/>
      <c r="Q527" s="21"/>
      <c r="R527" s="21"/>
      <c r="S527" s="19"/>
      <c r="T527" s="19"/>
      <c r="U527" s="19"/>
      <c r="V527" s="19"/>
      <c r="W527" s="825"/>
      <c r="X527" s="825"/>
      <c r="AM527" s="825"/>
      <c r="AN527" s="825"/>
      <c r="AO527" s="825"/>
      <c r="AP527" s="825"/>
      <c r="AQ527" s="825"/>
      <c r="AR527" s="825"/>
      <c r="AS527" s="825"/>
      <c r="AT527" s="825"/>
      <c r="AU527" s="825"/>
      <c r="AV527" s="825"/>
    </row>
    <row r="528" spans="1:48" ht="15.8" customHeight="1" x14ac:dyDescent="0.3">
      <c r="A528" s="825"/>
      <c r="B528" s="825"/>
      <c r="C528" s="825"/>
      <c r="D528" s="825"/>
      <c r="G528" s="825"/>
      <c r="H528" s="18"/>
      <c r="I528" s="825"/>
      <c r="L528" s="825"/>
      <c r="M528" s="825"/>
      <c r="N528" s="825"/>
      <c r="O528" s="825"/>
      <c r="P528" s="825"/>
      <c r="Q528" s="21"/>
      <c r="R528" s="21"/>
      <c r="S528" s="19"/>
      <c r="T528" s="19"/>
      <c r="U528" s="19"/>
      <c r="V528" s="19"/>
      <c r="W528" s="825"/>
      <c r="X528" s="825"/>
      <c r="AM528" s="825"/>
      <c r="AN528" s="825"/>
      <c r="AO528" s="825"/>
      <c r="AP528" s="825"/>
      <c r="AQ528" s="825"/>
      <c r="AR528" s="825"/>
      <c r="AS528" s="825"/>
      <c r="AT528" s="825"/>
      <c r="AU528" s="825"/>
      <c r="AV528" s="825"/>
    </row>
    <row r="529" spans="1:48" ht="15.8" customHeight="1" x14ac:dyDescent="0.3">
      <c r="A529" s="825"/>
      <c r="B529" s="825"/>
      <c r="C529" s="825"/>
      <c r="D529" s="825"/>
      <c r="G529" s="825"/>
      <c r="H529" s="18"/>
      <c r="I529" s="825"/>
      <c r="L529" s="825"/>
      <c r="M529" s="825"/>
      <c r="N529" s="825"/>
      <c r="O529" s="825"/>
      <c r="P529" s="825"/>
      <c r="Q529" s="21"/>
      <c r="R529" s="21"/>
      <c r="S529" s="19"/>
      <c r="T529" s="19"/>
      <c r="U529" s="19"/>
      <c r="V529" s="19"/>
      <c r="W529" s="825"/>
      <c r="X529" s="825"/>
      <c r="AM529" s="825"/>
      <c r="AN529" s="825"/>
      <c r="AO529" s="825"/>
      <c r="AP529" s="825"/>
      <c r="AQ529" s="825"/>
      <c r="AR529" s="825"/>
      <c r="AS529" s="825"/>
      <c r="AT529" s="825"/>
      <c r="AU529" s="825"/>
      <c r="AV529" s="825"/>
    </row>
    <row r="530" spans="1:48" ht="15.8" customHeight="1" x14ac:dyDescent="0.3">
      <c r="A530" s="825"/>
      <c r="B530" s="825"/>
      <c r="C530" s="825"/>
      <c r="D530" s="825"/>
      <c r="G530" s="825"/>
      <c r="H530" s="18"/>
      <c r="I530" s="825"/>
      <c r="L530" s="825"/>
      <c r="M530" s="825"/>
      <c r="N530" s="825"/>
      <c r="O530" s="825"/>
      <c r="P530" s="825"/>
      <c r="Q530" s="21"/>
      <c r="R530" s="21"/>
      <c r="S530" s="19"/>
      <c r="T530" s="19"/>
      <c r="U530" s="19"/>
      <c r="V530" s="19"/>
      <c r="W530" s="825"/>
      <c r="X530" s="825"/>
      <c r="AM530" s="825"/>
      <c r="AN530" s="825"/>
      <c r="AO530" s="825"/>
      <c r="AP530" s="825"/>
      <c r="AQ530" s="825"/>
      <c r="AR530" s="825"/>
      <c r="AS530" s="825"/>
      <c r="AT530" s="825"/>
      <c r="AU530" s="825"/>
      <c r="AV530" s="825"/>
    </row>
    <row r="531" spans="1:48" ht="15.8" customHeight="1" x14ac:dyDescent="0.3">
      <c r="A531" s="825"/>
      <c r="B531" s="825"/>
      <c r="C531" s="825"/>
      <c r="D531" s="825"/>
      <c r="G531" s="825"/>
      <c r="H531" s="18"/>
      <c r="I531" s="825"/>
      <c r="L531" s="825"/>
      <c r="M531" s="825"/>
      <c r="N531" s="825"/>
      <c r="O531" s="825"/>
      <c r="P531" s="825"/>
      <c r="Q531" s="21"/>
      <c r="R531" s="21"/>
      <c r="S531" s="19"/>
      <c r="T531" s="19"/>
      <c r="U531" s="19"/>
      <c r="V531" s="19"/>
      <c r="W531" s="825"/>
      <c r="X531" s="825"/>
      <c r="AM531" s="825"/>
      <c r="AN531" s="825"/>
      <c r="AO531" s="825"/>
      <c r="AP531" s="825"/>
      <c r="AQ531" s="825"/>
      <c r="AR531" s="825"/>
      <c r="AS531" s="825"/>
      <c r="AT531" s="825"/>
      <c r="AU531" s="825"/>
      <c r="AV531" s="825"/>
    </row>
    <row r="532" spans="1:48" ht="15.8" customHeight="1" x14ac:dyDescent="0.3">
      <c r="A532" s="825"/>
      <c r="B532" s="825"/>
      <c r="C532" s="825"/>
      <c r="D532" s="825"/>
      <c r="G532" s="825"/>
      <c r="H532" s="18"/>
      <c r="I532" s="825"/>
      <c r="L532" s="825"/>
      <c r="M532" s="825"/>
      <c r="N532" s="825"/>
      <c r="O532" s="825"/>
      <c r="P532" s="825"/>
      <c r="Q532" s="21"/>
      <c r="R532" s="21"/>
      <c r="S532" s="19"/>
      <c r="T532" s="19"/>
      <c r="U532" s="19"/>
      <c r="V532" s="19"/>
      <c r="W532" s="825"/>
      <c r="X532" s="825"/>
      <c r="AM532" s="825"/>
      <c r="AN532" s="825"/>
      <c r="AO532" s="825"/>
      <c r="AP532" s="825"/>
      <c r="AQ532" s="825"/>
      <c r="AR532" s="825"/>
      <c r="AS532" s="825"/>
      <c r="AT532" s="825"/>
      <c r="AU532" s="825"/>
      <c r="AV532" s="825"/>
    </row>
    <row r="533" spans="1:48" ht="15.8" customHeight="1" x14ac:dyDescent="0.3">
      <c r="A533" s="825"/>
      <c r="B533" s="825"/>
      <c r="C533" s="825"/>
      <c r="D533" s="825"/>
      <c r="G533" s="825"/>
      <c r="H533" s="18"/>
      <c r="I533" s="825"/>
      <c r="L533" s="825"/>
      <c r="M533" s="825"/>
      <c r="N533" s="825"/>
      <c r="O533" s="825"/>
      <c r="P533" s="825"/>
      <c r="Q533" s="21"/>
      <c r="R533" s="21"/>
      <c r="S533" s="19"/>
      <c r="T533" s="19"/>
      <c r="U533" s="19"/>
      <c r="V533" s="19"/>
      <c r="W533" s="825"/>
      <c r="X533" s="825"/>
      <c r="AM533" s="825"/>
      <c r="AN533" s="825"/>
      <c r="AO533" s="825"/>
      <c r="AP533" s="825"/>
      <c r="AQ533" s="825"/>
      <c r="AR533" s="825"/>
      <c r="AS533" s="825"/>
      <c r="AT533" s="825"/>
      <c r="AU533" s="825"/>
      <c r="AV533" s="825"/>
    </row>
    <row r="534" spans="1:48" ht="15.8" customHeight="1" x14ac:dyDescent="0.3">
      <c r="A534" s="825"/>
      <c r="B534" s="825"/>
      <c r="C534" s="825"/>
      <c r="D534" s="825"/>
      <c r="G534" s="825"/>
      <c r="H534" s="18"/>
      <c r="I534" s="825"/>
      <c r="L534" s="825"/>
      <c r="M534" s="825"/>
      <c r="N534" s="825"/>
      <c r="O534" s="825"/>
      <c r="P534" s="825"/>
      <c r="Q534" s="21"/>
      <c r="R534" s="21"/>
      <c r="S534" s="19"/>
      <c r="T534" s="19"/>
      <c r="U534" s="19"/>
      <c r="V534" s="19"/>
      <c r="W534" s="825"/>
      <c r="X534" s="825"/>
      <c r="AM534" s="825"/>
      <c r="AN534" s="825"/>
      <c r="AO534" s="825"/>
      <c r="AP534" s="825"/>
      <c r="AQ534" s="825"/>
      <c r="AR534" s="825"/>
      <c r="AS534" s="825"/>
      <c r="AT534" s="825"/>
      <c r="AU534" s="825"/>
      <c r="AV534" s="825"/>
    </row>
    <row r="535" spans="1:48" ht="15.8" customHeight="1" x14ac:dyDescent="0.3">
      <c r="A535" s="825"/>
      <c r="B535" s="825"/>
      <c r="C535" s="825"/>
      <c r="D535" s="825"/>
      <c r="G535" s="825"/>
      <c r="H535" s="18"/>
      <c r="I535" s="825"/>
      <c r="L535" s="825"/>
      <c r="M535" s="825"/>
      <c r="N535" s="825"/>
      <c r="O535" s="825"/>
      <c r="P535" s="825"/>
      <c r="Q535" s="21"/>
      <c r="R535" s="21"/>
      <c r="S535" s="19"/>
      <c r="T535" s="19"/>
      <c r="U535" s="19"/>
      <c r="V535" s="19"/>
      <c r="W535" s="825"/>
      <c r="X535" s="825"/>
      <c r="AM535" s="825"/>
      <c r="AN535" s="825"/>
      <c r="AO535" s="825"/>
      <c r="AP535" s="825"/>
      <c r="AQ535" s="825"/>
      <c r="AR535" s="825"/>
      <c r="AS535" s="825"/>
      <c r="AT535" s="825"/>
      <c r="AU535" s="825"/>
      <c r="AV535" s="825"/>
    </row>
    <row r="536" spans="1:48" ht="15.8" customHeight="1" x14ac:dyDescent="0.3">
      <c r="A536" s="825"/>
      <c r="B536" s="825"/>
      <c r="C536" s="825"/>
      <c r="D536" s="825"/>
      <c r="G536" s="825"/>
      <c r="H536" s="18"/>
      <c r="I536" s="825"/>
      <c r="L536" s="825"/>
      <c r="M536" s="825"/>
      <c r="N536" s="825"/>
      <c r="O536" s="825"/>
      <c r="P536" s="825"/>
      <c r="Q536" s="21"/>
      <c r="R536" s="21"/>
      <c r="S536" s="19"/>
      <c r="T536" s="19"/>
      <c r="U536" s="19"/>
      <c r="V536" s="19"/>
      <c r="W536" s="825"/>
      <c r="X536" s="825"/>
      <c r="AM536" s="825"/>
      <c r="AN536" s="825"/>
      <c r="AO536" s="825"/>
      <c r="AP536" s="825"/>
      <c r="AQ536" s="825"/>
      <c r="AR536" s="825"/>
      <c r="AS536" s="825"/>
      <c r="AT536" s="825"/>
      <c r="AU536" s="825"/>
      <c r="AV536" s="825"/>
    </row>
    <row r="537" spans="1:48" ht="15.8" customHeight="1" x14ac:dyDescent="0.3">
      <c r="A537" s="825"/>
      <c r="B537" s="825"/>
      <c r="C537" s="825"/>
      <c r="D537" s="825"/>
      <c r="G537" s="825"/>
      <c r="H537" s="18"/>
      <c r="I537" s="825"/>
      <c r="L537" s="825"/>
      <c r="M537" s="825"/>
      <c r="N537" s="825"/>
      <c r="O537" s="825"/>
      <c r="P537" s="825"/>
      <c r="Q537" s="21"/>
      <c r="R537" s="21"/>
      <c r="S537" s="19"/>
      <c r="T537" s="19"/>
      <c r="U537" s="19"/>
      <c r="V537" s="19"/>
      <c r="W537" s="825"/>
      <c r="X537" s="825"/>
      <c r="AM537" s="825"/>
      <c r="AN537" s="825"/>
      <c r="AO537" s="825"/>
      <c r="AP537" s="825"/>
      <c r="AQ537" s="825"/>
      <c r="AR537" s="825"/>
      <c r="AS537" s="825"/>
      <c r="AT537" s="825"/>
      <c r="AU537" s="825"/>
      <c r="AV537" s="825"/>
    </row>
    <row r="538" spans="1:48" ht="15.8" customHeight="1" x14ac:dyDescent="0.3">
      <c r="A538" s="825"/>
      <c r="B538" s="825"/>
      <c r="C538" s="825"/>
      <c r="D538" s="825"/>
      <c r="G538" s="825"/>
      <c r="H538" s="18"/>
      <c r="I538" s="825"/>
      <c r="L538" s="825"/>
      <c r="M538" s="825"/>
      <c r="N538" s="825"/>
      <c r="O538" s="825"/>
      <c r="P538" s="825"/>
      <c r="Q538" s="21"/>
      <c r="R538" s="21"/>
      <c r="S538" s="19"/>
      <c r="T538" s="19"/>
      <c r="U538" s="19"/>
      <c r="V538" s="19"/>
      <c r="W538" s="825"/>
      <c r="X538" s="825"/>
      <c r="AM538" s="825"/>
      <c r="AN538" s="825"/>
      <c r="AO538" s="825"/>
      <c r="AP538" s="825"/>
      <c r="AQ538" s="825"/>
      <c r="AR538" s="825"/>
      <c r="AS538" s="825"/>
      <c r="AT538" s="825"/>
      <c r="AU538" s="825"/>
      <c r="AV538" s="825"/>
    </row>
    <row r="539" spans="1:48" ht="15.8" customHeight="1" x14ac:dyDescent="0.3">
      <c r="A539" s="825"/>
      <c r="B539" s="825"/>
      <c r="C539" s="825"/>
      <c r="D539" s="825"/>
      <c r="G539" s="825"/>
      <c r="H539" s="18"/>
      <c r="I539" s="825"/>
      <c r="L539" s="825"/>
      <c r="M539" s="825"/>
      <c r="N539" s="825"/>
      <c r="O539" s="825"/>
      <c r="P539" s="825"/>
      <c r="Q539" s="21"/>
      <c r="R539" s="21"/>
      <c r="S539" s="19"/>
      <c r="T539" s="19"/>
      <c r="U539" s="19"/>
      <c r="V539" s="19"/>
      <c r="W539" s="825"/>
      <c r="X539" s="825"/>
      <c r="AM539" s="825"/>
      <c r="AN539" s="825"/>
      <c r="AO539" s="825"/>
      <c r="AP539" s="825"/>
      <c r="AQ539" s="825"/>
      <c r="AR539" s="825"/>
      <c r="AS539" s="825"/>
      <c r="AT539" s="825"/>
      <c r="AU539" s="825"/>
      <c r="AV539" s="825"/>
    </row>
    <row r="540" spans="1:48" ht="15.8" customHeight="1" x14ac:dyDescent="0.3">
      <c r="A540" s="825"/>
      <c r="B540" s="825"/>
      <c r="C540" s="825"/>
      <c r="D540" s="825"/>
      <c r="G540" s="825"/>
      <c r="H540" s="18"/>
      <c r="I540" s="825"/>
      <c r="L540" s="825"/>
      <c r="M540" s="825"/>
      <c r="N540" s="825"/>
      <c r="O540" s="825"/>
      <c r="P540" s="825"/>
      <c r="Q540" s="21"/>
      <c r="R540" s="21"/>
      <c r="S540" s="19"/>
      <c r="T540" s="19"/>
      <c r="U540" s="19"/>
      <c r="V540" s="19"/>
      <c r="W540" s="825"/>
      <c r="X540" s="825"/>
      <c r="AM540" s="825"/>
      <c r="AN540" s="825"/>
      <c r="AO540" s="825"/>
      <c r="AP540" s="825"/>
      <c r="AQ540" s="825"/>
      <c r="AR540" s="825"/>
      <c r="AS540" s="825"/>
      <c r="AT540" s="825"/>
      <c r="AU540" s="825"/>
      <c r="AV540" s="825"/>
    </row>
    <row r="541" spans="1:48" ht="15.8" customHeight="1" x14ac:dyDescent="0.3">
      <c r="A541" s="825"/>
      <c r="B541" s="825"/>
      <c r="C541" s="825"/>
      <c r="D541" s="825"/>
      <c r="G541" s="825"/>
      <c r="H541" s="18"/>
      <c r="I541" s="825"/>
      <c r="L541" s="825"/>
      <c r="M541" s="825"/>
      <c r="N541" s="825"/>
      <c r="O541" s="825"/>
      <c r="P541" s="825"/>
      <c r="Q541" s="21"/>
      <c r="R541" s="21"/>
      <c r="S541" s="19"/>
      <c r="T541" s="19"/>
      <c r="U541" s="19"/>
      <c r="V541" s="19"/>
      <c r="W541" s="825"/>
      <c r="X541" s="825"/>
      <c r="AM541" s="825"/>
      <c r="AN541" s="825"/>
      <c r="AO541" s="825"/>
      <c r="AP541" s="825"/>
      <c r="AQ541" s="825"/>
      <c r="AR541" s="825"/>
      <c r="AS541" s="825"/>
      <c r="AT541" s="825"/>
      <c r="AU541" s="825"/>
      <c r="AV541" s="825"/>
    </row>
    <row r="542" spans="1:48" ht="15.8" customHeight="1" x14ac:dyDescent="0.3">
      <c r="A542" s="825"/>
      <c r="B542" s="825"/>
      <c r="C542" s="825"/>
      <c r="D542" s="825"/>
      <c r="G542" s="825"/>
      <c r="H542" s="18"/>
      <c r="I542" s="825"/>
      <c r="L542" s="825"/>
      <c r="M542" s="825"/>
      <c r="N542" s="825"/>
      <c r="O542" s="825"/>
      <c r="P542" s="825"/>
      <c r="Q542" s="21"/>
      <c r="R542" s="21"/>
      <c r="S542" s="19"/>
      <c r="T542" s="19"/>
      <c r="U542" s="19"/>
      <c r="V542" s="19"/>
      <c r="W542" s="825"/>
      <c r="X542" s="825"/>
      <c r="AM542" s="825"/>
      <c r="AN542" s="825"/>
      <c r="AO542" s="825"/>
      <c r="AP542" s="825"/>
      <c r="AQ542" s="825"/>
      <c r="AR542" s="825"/>
      <c r="AS542" s="825"/>
      <c r="AT542" s="825"/>
      <c r="AU542" s="825"/>
      <c r="AV542" s="825"/>
    </row>
    <row r="543" spans="1:48" ht="15.8" customHeight="1" x14ac:dyDescent="0.3">
      <c r="A543" s="825"/>
      <c r="B543" s="825"/>
      <c r="C543" s="825"/>
      <c r="D543" s="825"/>
      <c r="G543" s="825"/>
      <c r="H543" s="18"/>
      <c r="I543" s="825"/>
      <c r="L543" s="825"/>
      <c r="M543" s="825"/>
      <c r="N543" s="825"/>
      <c r="O543" s="825"/>
      <c r="P543" s="825"/>
      <c r="Q543" s="21"/>
      <c r="R543" s="21"/>
      <c r="S543" s="19"/>
      <c r="T543" s="19"/>
      <c r="U543" s="19"/>
      <c r="V543" s="19"/>
      <c r="W543" s="825"/>
      <c r="X543" s="825"/>
      <c r="AM543" s="825"/>
      <c r="AN543" s="825"/>
      <c r="AO543" s="825"/>
      <c r="AP543" s="825"/>
      <c r="AQ543" s="825"/>
      <c r="AR543" s="825"/>
      <c r="AS543" s="825"/>
      <c r="AT543" s="825"/>
      <c r="AU543" s="825"/>
      <c r="AV543" s="825"/>
    </row>
    <row r="544" spans="1:48" ht="15.8" customHeight="1" x14ac:dyDescent="0.3">
      <c r="A544" s="825"/>
      <c r="B544" s="825"/>
      <c r="C544" s="825"/>
      <c r="D544" s="825"/>
      <c r="G544" s="825"/>
      <c r="H544" s="18"/>
      <c r="I544" s="825"/>
      <c r="L544" s="825"/>
      <c r="M544" s="825"/>
      <c r="N544" s="825"/>
      <c r="O544" s="825"/>
      <c r="P544" s="825"/>
      <c r="Q544" s="21"/>
      <c r="R544" s="21"/>
      <c r="S544" s="19"/>
      <c r="T544" s="19"/>
      <c r="U544" s="19"/>
      <c r="V544" s="19"/>
      <c r="W544" s="825"/>
      <c r="X544" s="825"/>
      <c r="AM544" s="825"/>
      <c r="AN544" s="825"/>
      <c r="AO544" s="825"/>
      <c r="AP544" s="825"/>
      <c r="AQ544" s="825"/>
      <c r="AR544" s="825"/>
      <c r="AS544" s="825"/>
      <c r="AT544" s="825"/>
      <c r="AU544" s="825"/>
      <c r="AV544" s="825"/>
    </row>
    <row r="545" spans="1:48" ht="15.8" customHeight="1" x14ac:dyDescent="0.3">
      <c r="A545" s="825"/>
      <c r="B545" s="825"/>
      <c r="C545" s="825"/>
      <c r="D545" s="825"/>
      <c r="G545" s="825"/>
      <c r="H545" s="18"/>
      <c r="I545" s="825"/>
      <c r="L545" s="825"/>
      <c r="M545" s="825"/>
      <c r="N545" s="825"/>
      <c r="O545" s="825"/>
      <c r="P545" s="825"/>
      <c r="Q545" s="21"/>
      <c r="R545" s="21"/>
      <c r="S545" s="19"/>
      <c r="T545" s="19"/>
      <c r="U545" s="19"/>
      <c r="V545" s="19"/>
      <c r="W545" s="825"/>
      <c r="X545" s="825"/>
      <c r="AM545" s="825"/>
      <c r="AN545" s="825"/>
      <c r="AO545" s="825"/>
      <c r="AP545" s="825"/>
      <c r="AQ545" s="825"/>
      <c r="AR545" s="825"/>
      <c r="AS545" s="825"/>
      <c r="AT545" s="825"/>
      <c r="AU545" s="825"/>
      <c r="AV545" s="825"/>
    </row>
    <row r="546" spans="1:48" ht="15.8" customHeight="1" x14ac:dyDescent="0.3">
      <c r="A546" s="825"/>
      <c r="B546" s="825"/>
      <c r="C546" s="825"/>
      <c r="D546" s="825"/>
      <c r="G546" s="825"/>
      <c r="H546" s="18"/>
      <c r="I546" s="825"/>
      <c r="L546" s="825"/>
      <c r="M546" s="825"/>
      <c r="N546" s="825"/>
      <c r="O546" s="825"/>
      <c r="P546" s="825"/>
      <c r="Q546" s="21"/>
      <c r="R546" s="21"/>
      <c r="S546" s="19"/>
      <c r="T546" s="19"/>
      <c r="U546" s="19"/>
      <c r="V546" s="19"/>
      <c r="W546" s="825"/>
      <c r="X546" s="825"/>
      <c r="AM546" s="825"/>
      <c r="AN546" s="825"/>
      <c r="AO546" s="825"/>
      <c r="AP546" s="825"/>
      <c r="AQ546" s="825"/>
      <c r="AR546" s="825"/>
      <c r="AS546" s="825"/>
      <c r="AT546" s="825"/>
      <c r="AU546" s="825"/>
      <c r="AV546" s="825"/>
    </row>
    <row r="547" spans="1:48" ht="15.8" customHeight="1" x14ac:dyDescent="0.3">
      <c r="A547" s="825"/>
      <c r="B547" s="825"/>
      <c r="C547" s="825"/>
      <c r="D547" s="825"/>
      <c r="G547" s="825"/>
      <c r="H547" s="18"/>
      <c r="I547" s="825"/>
      <c r="L547" s="825"/>
      <c r="M547" s="825"/>
      <c r="N547" s="825"/>
      <c r="O547" s="825"/>
      <c r="P547" s="825"/>
      <c r="Q547" s="21"/>
      <c r="R547" s="21"/>
      <c r="S547" s="19"/>
      <c r="T547" s="19"/>
      <c r="U547" s="19"/>
      <c r="V547" s="19"/>
      <c r="W547" s="825"/>
      <c r="X547" s="825"/>
      <c r="AM547" s="825"/>
      <c r="AN547" s="825"/>
      <c r="AO547" s="825"/>
      <c r="AP547" s="825"/>
      <c r="AQ547" s="825"/>
      <c r="AR547" s="825"/>
      <c r="AS547" s="825"/>
      <c r="AT547" s="825"/>
      <c r="AU547" s="825"/>
      <c r="AV547" s="825"/>
    </row>
    <row r="548" spans="1:48" ht="15.8" customHeight="1" x14ac:dyDescent="0.3">
      <c r="A548" s="825"/>
      <c r="B548" s="825"/>
      <c r="C548" s="825"/>
      <c r="D548" s="825"/>
      <c r="G548" s="825"/>
      <c r="H548" s="18"/>
      <c r="I548" s="825"/>
      <c r="L548" s="825"/>
      <c r="M548" s="825"/>
      <c r="N548" s="825"/>
      <c r="O548" s="825"/>
      <c r="P548" s="825"/>
      <c r="Q548" s="21"/>
      <c r="R548" s="21"/>
      <c r="S548" s="19"/>
      <c r="T548" s="19"/>
      <c r="U548" s="19"/>
      <c r="V548" s="19"/>
      <c r="W548" s="825"/>
      <c r="X548" s="825"/>
      <c r="AM548" s="825"/>
      <c r="AN548" s="825"/>
      <c r="AO548" s="825"/>
      <c r="AP548" s="825"/>
      <c r="AQ548" s="825"/>
      <c r="AR548" s="825"/>
      <c r="AS548" s="825"/>
      <c r="AT548" s="825"/>
      <c r="AU548" s="825"/>
      <c r="AV548" s="825"/>
    </row>
    <row r="549" spans="1:48" ht="15.8" customHeight="1" x14ac:dyDescent="0.3">
      <c r="A549" s="825"/>
      <c r="B549" s="825"/>
      <c r="C549" s="825"/>
      <c r="D549" s="825"/>
      <c r="G549" s="825"/>
      <c r="H549" s="18"/>
      <c r="I549" s="825"/>
      <c r="L549" s="825"/>
      <c r="M549" s="825"/>
      <c r="N549" s="825"/>
      <c r="O549" s="825"/>
      <c r="P549" s="825"/>
      <c r="Q549" s="21"/>
      <c r="R549" s="21"/>
      <c r="S549" s="19"/>
      <c r="T549" s="19"/>
      <c r="U549" s="19"/>
      <c r="V549" s="19"/>
      <c r="W549" s="825"/>
      <c r="X549" s="825"/>
      <c r="AM549" s="825"/>
      <c r="AN549" s="825"/>
      <c r="AO549" s="825"/>
      <c r="AP549" s="825"/>
      <c r="AQ549" s="825"/>
      <c r="AR549" s="825"/>
      <c r="AS549" s="825"/>
      <c r="AT549" s="825"/>
      <c r="AU549" s="825"/>
      <c r="AV549" s="825"/>
    </row>
    <row r="550" spans="1:48" ht="15.8" customHeight="1" x14ac:dyDescent="0.3">
      <c r="A550" s="825"/>
      <c r="B550" s="825"/>
      <c r="C550" s="825"/>
      <c r="D550" s="825"/>
      <c r="G550" s="825"/>
      <c r="H550" s="18"/>
      <c r="I550" s="825"/>
      <c r="L550" s="825"/>
      <c r="M550" s="825"/>
      <c r="N550" s="825"/>
      <c r="O550" s="825"/>
      <c r="P550" s="825"/>
      <c r="Q550" s="21"/>
      <c r="R550" s="21"/>
      <c r="S550" s="19"/>
      <c r="T550" s="19"/>
      <c r="U550" s="19"/>
      <c r="V550" s="19"/>
      <c r="W550" s="825"/>
      <c r="X550" s="825"/>
      <c r="AM550" s="825"/>
      <c r="AN550" s="825"/>
      <c r="AO550" s="825"/>
      <c r="AP550" s="825"/>
      <c r="AQ550" s="825"/>
      <c r="AR550" s="825"/>
      <c r="AS550" s="825"/>
      <c r="AT550" s="825"/>
      <c r="AU550" s="825"/>
      <c r="AV550" s="825"/>
    </row>
    <row r="551" spans="1:48" ht="15.8" customHeight="1" x14ac:dyDescent="0.3">
      <c r="A551" s="825"/>
      <c r="B551" s="825"/>
      <c r="C551" s="825"/>
      <c r="D551" s="825"/>
      <c r="G551" s="825"/>
      <c r="H551" s="18"/>
      <c r="I551" s="825"/>
      <c r="L551" s="825"/>
      <c r="M551" s="825"/>
      <c r="N551" s="825"/>
      <c r="O551" s="825"/>
      <c r="P551" s="825"/>
      <c r="Q551" s="21"/>
      <c r="R551" s="21"/>
      <c r="S551" s="19"/>
      <c r="T551" s="19"/>
      <c r="U551" s="19"/>
      <c r="V551" s="19"/>
      <c r="W551" s="825"/>
      <c r="X551" s="825"/>
      <c r="AM551" s="825"/>
      <c r="AN551" s="825"/>
      <c r="AO551" s="825"/>
      <c r="AP551" s="825"/>
      <c r="AQ551" s="825"/>
      <c r="AR551" s="825"/>
      <c r="AS551" s="825"/>
      <c r="AT551" s="825"/>
      <c r="AU551" s="825"/>
      <c r="AV551" s="825"/>
    </row>
    <row r="552" spans="1:48" ht="15.8" customHeight="1" x14ac:dyDescent="0.3">
      <c r="A552" s="825"/>
      <c r="B552" s="825"/>
      <c r="C552" s="825"/>
      <c r="D552" s="825"/>
      <c r="G552" s="825"/>
      <c r="H552" s="18"/>
      <c r="I552" s="825"/>
      <c r="L552" s="825"/>
      <c r="M552" s="825"/>
      <c r="N552" s="825"/>
      <c r="O552" s="825"/>
      <c r="P552" s="825"/>
      <c r="Q552" s="21"/>
      <c r="R552" s="21"/>
      <c r="S552" s="19"/>
      <c r="T552" s="19"/>
      <c r="U552" s="19"/>
      <c r="V552" s="19"/>
      <c r="W552" s="825"/>
      <c r="X552" s="825"/>
      <c r="AM552" s="825"/>
      <c r="AN552" s="825"/>
      <c r="AO552" s="825"/>
      <c r="AP552" s="825"/>
      <c r="AQ552" s="825"/>
      <c r="AR552" s="825"/>
      <c r="AS552" s="825"/>
      <c r="AT552" s="825"/>
      <c r="AU552" s="825"/>
      <c r="AV552" s="825"/>
    </row>
    <row r="553" spans="1:48" ht="15.8" customHeight="1" x14ac:dyDescent="0.3">
      <c r="A553" s="825"/>
      <c r="B553" s="825"/>
      <c r="C553" s="825"/>
      <c r="D553" s="825"/>
      <c r="G553" s="825"/>
      <c r="H553" s="18"/>
      <c r="I553" s="825"/>
      <c r="L553" s="825"/>
      <c r="M553" s="825"/>
      <c r="N553" s="825"/>
      <c r="O553" s="825"/>
      <c r="P553" s="825"/>
      <c r="Q553" s="21"/>
      <c r="R553" s="21"/>
      <c r="S553" s="19"/>
      <c r="T553" s="19"/>
      <c r="U553" s="19"/>
      <c r="V553" s="19"/>
      <c r="W553" s="825"/>
      <c r="X553" s="825"/>
      <c r="AM553" s="825"/>
      <c r="AN553" s="825"/>
      <c r="AO553" s="825"/>
      <c r="AP553" s="825"/>
      <c r="AQ553" s="825"/>
      <c r="AR553" s="825"/>
      <c r="AS553" s="825"/>
      <c r="AT553" s="825"/>
      <c r="AU553" s="825"/>
      <c r="AV553" s="825"/>
    </row>
    <row r="554" spans="1:48" ht="15.8" customHeight="1" x14ac:dyDescent="0.3">
      <c r="A554" s="825"/>
      <c r="B554" s="825"/>
      <c r="C554" s="825"/>
      <c r="D554" s="825"/>
      <c r="G554" s="825"/>
      <c r="H554" s="18"/>
      <c r="I554" s="825"/>
      <c r="L554" s="825"/>
      <c r="M554" s="825"/>
      <c r="N554" s="825"/>
      <c r="O554" s="825"/>
      <c r="P554" s="825"/>
      <c r="Q554" s="21"/>
      <c r="R554" s="21"/>
      <c r="S554" s="19"/>
      <c r="T554" s="19"/>
      <c r="U554" s="19"/>
      <c r="V554" s="19"/>
      <c r="W554" s="825"/>
      <c r="X554" s="825"/>
      <c r="AM554" s="825"/>
      <c r="AN554" s="825"/>
      <c r="AO554" s="825"/>
      <c r="AP554" s="825"/>
      <c r="AQ554" s="825"/>
      <c r="AR554" s="825"/>
      <c r="AS554" s="825"/>
      <c r="AT554" s="825"/>
      <c r="AU554" s="825"/>
      <c r="AV554" s="825"/>
    </row>
    <row r="555" spans="1:48" ht="15.8" customHeight="1" x14ac:dyDescent="0.3">
      <c r="A555" s="825"/>
      <c r="B555" s="825"/>
      <c r="C555" s="825"/>
      <c r="D555" s="825"/>
      <c r="G555" s="825"/>
      <c r="H555" s="18"/>
      <c r="I555" s="825"/>
      <c r="L555" s="825"/>
      <c r="M555" s="825"/>
      <c r="N555" s="825"/>
      <c r="O555" s="825"/>
      <c r="P555" s="825"/>
      <c r="Q555" s="21"/>
      <c r="R555" s="21"/>
      <c r="S555" s="19"/>
      <c r="T555" s="19"/>
      <c r="U555" s="19"/>
      <c r="V555" s="19"/>
      <c r="W555" s="825"/>
      <c r="X555" s="825"/>
      <c r="AM555" s="825"/>
      <c r="AN555" s="825"/>
      <c r="AO555" s="825"/>
      <c r="AP555" s="825"/>
      <c r="AQ555" s="825"/>
      <c r="AR555" s="825"/>
      <c r="AS555" s="825"/>
      <c r="AT555" s="825"/>
      <c r="AU555" s="825"/>
      <c r="AV555" s="825"/>
    </row>
    <row r="556" spans="1:48" ht="15.8" customHeight="1" x14ac:dyDescent="0.3">
      <c r="A556" s="825"/>
      <c r="B556" s="825"/>
      <c r="C556" s="825"/>
      <c r="D556" s="825"/>
      <c r="G556" s="825"/>
      <c r="H556" s="18"/>
      <c r="I556" s="825"/>
      <c r="L556" s="825"/>
      <c r="M556" s="825"/>
      <c r="N556" s="825"/>
      <c r="O556" s="825"/>
      <c r="P556" s="825"/>
      <c r="Q556" s="21"/>
      <c r="R556" s="21"/>
      <c r="S556" s="19"/>
      <c r="T556" s="19"/>
      <c r="U556" s="19"/>
      <c r="V556" s="19"/>
      <c r="W556" s="825"/>
      <c r="X556" s="825"/>
      <c r="AM556" s="825"/>
      <c r="AN556" s="825"/>
      <c r="AO556" s="825"/>
      <c r="AP556" s="825"/>
      <c r="AQ556" s="825"/>
      <c r="AR556" s="825"/>
      <c r="AS556" s="825"/>
      <c r="AT556" s="825"/>
      <c r="AU556" s="825"/>
      <c r="AV556" s="825"/>
    </row>
    <row r="557" spans="1:48" ht="15.8" customHeight="1" x14ac:dyDescent="0.3">
      <c r="A557" s="825"/>
      <c r="B557" s="825"/>
      <c r="C557" s="825"/>
      <c r="D557" s="825"/>
      <c r="G557" s="825"/>
      <c r="H557" s="18"/>
      <c r="I557" s="825"/>
      <c r="L557" s="825"/>
      <c r="M557" s="825"/>
      <c r="N557" s="825"/>
      <c r="O557" s="825"/>
      <c r="P557" s="825"/>
      <c r="Q557" s="21"/>
      <c r="R557" s="21"/>
      <c r="S557" s="19"/>
      <c r="T557" s="19"/>
      <c r="U557" s="19"/>
      <c r="V557" s="19"/>
      <c r="W557" s="825"/>
      <c r="X557" s="825"/>
      <c r="AM557" s="825"/>
      <c r="AN557" s="825"/>
      <c r="AO557" s="825"/>
      <c r="AP557" s="825"/>
      <c r="AQ557" s="825"/>
      <c r="AR557" s="825"/>
      <c r="AS557" s="825"/>
      <c r="AT557" s="825"/>
      <c r="AU557" s="825"/>
      <c r="AV557" s="825"/>
    </row>
    <row r="558" spans="1:48" ht="15.8" customHeight="1" x14ac:dyDescent="0.3">
      <c r="A558" s="825"/>
      <c r="B558" s="825"/>
      <c r="C558" s="825"/>
      <c r="D558" s="825"/>
      <c r="G558" s="825"/>
      <c r="H558" s="18"/>
      <c r="I558" s="825"/>
      <c r="L558" s="825"/>
      <c r="M558" s="825"/>
      <c r="N558" s="825"/>
      <c r="O558" s="825"/>
      <c r="P558" s="825"/>
      <c r="Q558" s="21"/>
      <c r="R558" s="21"/>
      <c r="S558" s="19"/>
      <c r="T558" s="19"/>
      <c r="U558" s="19"/>
      <c r="V558" s="19"/>
      <c r="W558" s="825"/>
      <c r="X558" s="825"/>
      <c r="AM558" s="825"/>
      <c r="AN558" s="825"/>
      <c r="AO558" s="825"/>
      <c r="AP558" s="825"/>
      <c r="AQ558" s="825"/>
      <c r="AR558" s="825"/>
      <c r="AS558" s="825"/>
      <c r="AT558" s="825"/>
      <c r="AU558" s="825"/>
      <c r="AV558" s="825"/>
    </row>
    <row r="559" spans="1:48" ht="15.8" customHeight="1" x14ac:dyDescent="0.3">
      <c r="A559" s="825"/>
      <c r="B559" s="825"/>
      <c r="C559" s="825"/>
      <c r="D559" s="825"/>
      <c r="G559" s="825"/>
      <c r="H559" s="18"/>
      <c r="I559" s="825"/>
      <c r="L559" s="825"/>
      <c r="M559" s="825"/>
      <c r="N559" s="825"/>
      <c r="O559" s="825"/>
      <c r="P559" s="825"/>
      <c r="Q559" s="21"/>
      <c r="R559" s="21"/>
      <c r="S559" s="19"/>
      <c r="T559" s="19"/>
      <c r="U559" s="19"/>
      <c r="V559" s="19"/>
      <c r="W559" s="825"/>
      <c r="X559" s="825"/>
      <c r="AM559" s="825"/>
      <c r="AN559" s="825"/>
      <c r="AO559" s="825"/>
      <c r="AP559" s="825"/>
      <c r="AQ559" s="825"/>
      <c r="AR559" s="825"/>
      <c r="AS559" s="825"/>
      <c r="AT559" s="825"/>
      <c r="AU559" s="825"/>
      <c r="AV559" s="825"/>
    </row>
    <row r="560" spans="1:48" ht="15.8" customHeight="1" x14ac:dyDescent="0.3">
      <c r="A560" s="825"/>
      <c r="B560" s="825"/>
      <c r="C560" s="825"/>
      <c r="D560" s="825"/>
      <c r="G560" s="825"/>
      <c r="H560" s="18"/>
      <c r="I560" s="825"/>
      <c r="L560" s="825"/>
      <c r="M560" s="825"/>
      <c r="N560" s="825"/>
      <c r="O560" s="825"/>
      <c r="P560" s="825"/>
      <c r="Q560" s="21"/>
      <c r="R560" s="21"/>
      <c r="S560" s="19"/>
      <c r="T560" s="19"/>
      <c r="U560" s="19"/>
      <c r="V560" s="19"/>
      <c r="W560" s="825"/>
      <c r="X560" s="825"/>
      <c r="AM560" s="825"/>
      <c r="AN560" s="825"/>
      <c r="AO560" s="825"/>
      <c r="AP560" s="825"/>
      <c r="AQ560" s="825"/>
      <c r="AR560" s="825"/>
      <c r="AS560" s="825"/>
      <c r="AT560" s="825"/>
      <c r="AU560" s="825"/>
      <c r="AV560" s="825"/>
    </row>
    <row r="561" spans="1:48" ht="15.8" customHeight="1" x14ac:dyDescent="0.3">
      <c r="A561" s="825"/>
      <c r="B561" s="825"/>
      <c r="C561" s="825"/>
      <c r="D561" s="825"/>
      <c r="G561" s="825"/>
      <c r="H561" s="18"/>
      <c r="I561" s="825"/>
      <c r="L561" s="825"/>
      <c r="M561" s="825"/>
      <c r="N561" s="825"/>
      <c r="O561" s="825"/>
      <c r="P561" s="825"/>
      <c r="Q561" s="21"/>
      <c r="R561" s="21"/>
      <c r="S561" s="19"/>
      <c r="T561" s="19"/>
      <c r="U561" s="19"/>
      <c r="V561" s="19"/>
      <c r="W561" s="825"/>
      <c r="X561" s="825"/>
      <c r="AM561" s="825"/>
      <c r="AN561" s="825"/>
      <c r="AO561" s="825"/>
      <c r="AP561" s="825"/>
      <c r="AQ561" s="825"/>
      <c r="AR561" s="825"/>
      <c r="AS561" s="825"/>
      <c r="AT561" s="825"/>
      <c r="AU561" s="825"/>
      <c r="AV561" s="825"/>
    </row>
    <row r="562" spans="1:48" ht="15.8" customHeight="1" x14ac:dyDescent="0.3">
      <c r="A562" s="825"/>
      <c r="B562" s="825"/>
      <c r="C562" s="825"/>
      <c r="D562" s="825"/>
      <c r="G562" s="825"/>
      <c r="H562" s="18"/>
      <c r="I562" s="825"/>
      <c r="L562" s="825"/>
      <c r="M562" s="825"/>
      <c r="N562" s="825"/>
      <c r="O562" s="825"/>
      <c r="P562" s="825"/>
      <c r="Q562" s="21"/>
      <c r="R562" s="21"/>
      <c r="S562" s="19"/>
      <c r="T562" s="19"/>
      <c r="U562" s="19"/>
      <c r="V562" s="19"/>
      <c r="W562" s="825"/>
      <c r="X562" s="825"/>
      <c r="AM562" s="825"/>
      <c r="AN562" s="825"/>
      <c r="AO562" s="825"/>
      <c r="AP562" s="825"/>
      <c r="AQ562" s="825"/>
      <c r="AR562" s="825"/>
      <c r="AS562" s="825"/>
      <c r="AT562" s="825"/>
      <c r="AU562" s="825"/>
      <c r="AV562" s="825"/>
    </row>
    <row r="563" spans="1:48" ht="15.8" customHeight="1" x14ac:dyDescent="0.3">
      <c r="A563" s="825"/>
      <c r="B563" s="825"/>
      <c r="C563" s="825"/>
      <c r="D563" s="825"/>
      <c r="G563" s="825"/>
      <c r="H563" s="18"/>
      <c r="I563" s="825"/>
      <c r="L563" s="825"/>
      <c r="M563" s="825"/>
      <c r="N563" s="825"/>
      <c r="O563" s="825"/>
      <c r="P563" s="825"/>
      <c r="Q563" s="21"/>
      <c r="R563" s="21"/>
      <c r="S563" s="19"/>
      <c r="T563" s="19"/>
      <c r="U563" s="19"/>
      <c r="V563" s="19"/>
      <c r="W563" s="825"/>
      <c r="X563" s="825"/>
      <c r="AM563" s="825"/>
      <c r="AN563" s="825"/>
      <c r="AO563" s="825"/>
      <c r="AP563" s="825"/>
      <c r="AQ563" s="825"/>
      <c r="AR563" s="825"/>
      <c r="AS563" s="825"/>
      <c r="AT563" s="825"/>
      <c r="AU563" s="825"/>
      <c r="AV563" s="825"/>
    </row>
    <row r="564" spans="1:48" ht="15.8" customHeight="1" x14ac:dyDescent="0.3">
      <c r="A564" s="825"/>
      <c r="B564" s="825"/>
      <c r="C564" s="825"/>
      <c r="D564" s="825"/>
      <c r="G564" s="825"/>
      <c r="H564" s="18"/>
      <c r="I564" s="825"/>
      <c r="L564" s="825"/>
      <c r="M564" s="825"/>
      <c r="N564" s="825"/>
      <c r="O564" s="825"/>
      <c r="P564" s="825"/>
      <c r="Q564" s="21"/>
      <c r="R564" s="21"/>
      <c r="S564" s="19"/>
      <c r="T564" s="19"/>
      <c r="U564" s="19"/>
      <c r="V564" s="19"/>
      <c r="W564" s="825"/>
      <c r="X564" s="825"/>
      <c r="AM564" s="825"/>
      <c r="AN564" s="825"/>
      <c r="AO564" s="825"/>
      <c r="AP564" s="825"/>
      <c r="AQ564" s="825"/>
      <c r="AR564" s="825"/>
      <c r="AS564" s="825"/>
      <c r="AT564" s="825"/>
      <c r="AU564" s="825"/>
      <c r="AV564" s="825"/>
    </row>
    <row r="565" spans="1:48" ht="15.8" customHeight="1" x14ac:dyDescent="0.3">
      <c r="A565" s="825"/>
      <c r="B565" s="825"/>
      <c r="C565" s="825"/>
      <c r="D565" s="825"/>
      <c r="G565" s="825"/>
      <c r="H565" s="18"/>
      <c r="I565" s="825"/>
      <c r="L565" s="825"/>
      <c r="M565" s="825"/>
      <c r="N565" s="825"/>
      <c r="O565" s="825"/>
      <c r="P565" s="825"/>
      <c r="Q565" s="21"/>
      <c r="R565" s="21"/>
      <c r="S565" s="19"/>
      <c r="T565" s="19"/>
      <c r="U565" s="19"/>
      <c r="V565" s="19"/>
      <c r="W565" s="825"/>
      <c r="X565" s="825"/>
      <c r="AM565" s="825"/>
      <c r="AN565" s="825"/>
      <c r="AO565" s="825"/>
      <c r="AP565" s="825"/>
      <c r="AQ565" s="825"/>
      <c r="AR565" s="825"/>
      <c r="AS565" s="825"/>
      <c r="AT565" s="825"/>
      <c r="AU565" s="825"/>
      <c r="AV565" s="825"/>
    </row>
    <row r="566" spans="1:48" ht="15.8" customHeight="1" x14ac:dyDescent="0.3">
      <c r="A566" s="825"/>
      <c r="B566" s="825"/>
      <c r="C566" s="825"/>
      <c r="D566" s="825"/>
      <c r="G566" s="825"/>
      <c r="H566" s="18"/>
      <c r="I566" s="825"/>
      <c r="L566" s="825"/>
      <c r="M566" s="825"/>
      <c r="N566" s="825"/>
      <c r="O566" s="825"/>
      <c r="P566" s="825"/>
      <c r="Q566" s="21"/>
      <c r="R566" s="21"/>
      <c r="S566" s="19"/>
      <c r="T566" s="19"/>
      <c r="U566" s="19"/>
      <c r="V566" s="19"/>
      <c r="W566" s="825"/>
      <c r="X566" s="825"/>
      <c r="AM566" s="825"/>
      <c r="AN566" s="825"/>
      <c r="AO566" s="825"/>
      <c r="AP566" s="825"/>
      <c r="AQ566" s="825"/>
      <c r="AR566" s="825"/>
      <c r="AS566" s="825"/>
      <c r="AT566" s="825"/>
      <c r="AU566" s="825"/>
      <c r="AV566" s="825"/>
    </row>
    <row r="567" spans="1:48" ht="15.8" customHeight="1" x14ac:dyDescent="0.3">
      <c r="A567" s="825"/>
      <c r="B567" s="825"/>
      <c r="C567" s="825"/>
      <c r="D567" s="825"/>
      <c r="G567" s="825"/>
      <c r="H567" s="18"/>
      <c r="I567" s="825"/>
      <c r="L567" s="825"/>
      <c r="M567" s="825"/>
      <c r="N567" s="825"/>
      <c r="O567" s="825"/>
      <c r="P567" s="825"/>
      <c r="Q567" s="21"/>
      <c r="R567" s="21"/>
      <c r="S567" s="19"/>
      <c r="T567" s="19"/>
      <c r="U567" s="19"/>
      <c r="V567" s="19"/>
      <c r="W567" s="825"/>
      <c r="X567" s="825"/>
      <c r="AM567" s="825"/>
      <c r="AN567" s="825"/>
      <c r="AO567" s="825"/>
      <c r="AP567" s="825"/>
      <c r="AQ567" s="825"/>
      <c r="AR567" s="825"/>
      <c r="AS567" s="825"/>
      <c r="AT567" s="825"/>
      <c r="AU567" s="825"/>
      <c r="AV567" s="825"/>
    </row>
    <row r="568" spans="1:48" ht="15.8" customHeight="1" x14ac:dyDescent="0.3">
      <c r="A568" s="825"/>
      <c r="B568" s="825"/>
      <c r="C568" s="825"/>
      <c r="D568" s="825"/>
      <c r="G568" s="825"/>
      <c r="H568" s="18"/>
      <c r="I568" s="825"/>
      <c r="L568" s="825"/>
      <c r="M568" s="825"/>
      <c r="N568" s="825"/>
      <c r="O568" s="825"/>
      <c r="P568" s="825"/>
      <c r="Q568" s="21"/>
      <c r="R568" s="21"/>
      <c r="S568" s="19"/>
      <c r="T568" s="19"/>
      <c r="U568" s="19"/>
      <c r="V568" s="19"/>
      <c r="W568" s="825"/>
      <c r="X568" s="825"/>
      <c r="AM568" s="825"/>
      <c r="AN568" s="825"/>
      <c r="AO568" s="825"/>
      <c r="AP568" s="825"/>
      <c r="AQ568" s="825"/>
      <c r="AR568" s="825"/>
      <c r="AS568" s="825"/>
      <c r="AT568" s="825"/>
      <c r="AU568" s="825"/>
      <c r="AV568" s="825"/>
    </row>
    <row r="569" spans="1:48" ht="15.8" customHeight="1" x14ac:dyDescent="0.3">
      <c r="A569" s="825"/>
      <c r="B569" s="825"/>
      <c r="C569" s="825"/>
      <c r="D569" s="825"/>
      <c r="G569" s="825"/>
      <c r="H569" s="18"/>
      <c r="I569" s="825"/>
      <c r="L569" s="825"/>
      <c r="M569" s="825"/>
      <c r="N569" s="825"/>
      <c r="O569" s="825"/>
      <c r="P569" s="825"/>
      <c r="Q569" s="21"/>
      <c r="R569" s="21"/>
      <c r="S569" s="19"/>
      <c r="T569" s="19"/>
      <c r="U569" s="19"/>
      <c r="V569" s="19"/>
      <c r="W569" s="825"/>
      <c r="X569" s="825"/>
      <c r="AM569" s="825"/>
      <c r="AN569" s="825"/>
      <c r="AO569" s="825"/>
      <c r="AP569" s="825"/>
      <c r="AQ569" s="825"/>
      <c r="AR569" s="825"/>
      <c r="AS569" s="825"/>
      <c r="AT569" s="825"/>
      <c r="AU569" s="825"/>
      <c r="AV569" s="825"/>
    </row>
    <row r="570" spans="1:48" ht="15.8" customHeight="1" x14ac:dyDescent="0.3">
      <c r="A570" s="825"/>
      <c r="B570" s="825"/>
      <c r="C570" s="825"/>
      <c r="D570" s="825"/>
      <c r="G570" s="825"/>
      <c r="H570" s="18"/>
      <c r="I570" s="825"/>
      <c r="L570" s="825"/>
      <c r="M570" s="825"/>
      <c r="N570" s="825"/>
      <c r="O570" s="825"/>
      <c r="P570" s="825"/>
      <c r="Q570" s="21"/>
      <c r="R570" s="21"/>
      <c r="S570" s="19"/>
      <c r="T570" s="19"/>
      <c r="U570" s="19"/>
      <c r="V570" s="19"/>
      <c r="W570" s="825"/>
      <c r="X570" s="825"/>
      <c r="AM570" s="825"/>
      <c r="AN570" s="825"/>
      <c r="AO570" s="825"/>
      <c r="AP570" s="825"/>
      <c r="AQ570" s="825"/>
      <c r="AR570" s="825"/>
      <c r="AS570" s="825"/>
      <c r="AT570" s="825"/>
      <c r="AU570" s="825"/>
      <c r="AV570" s="825"/>
    </row>
    <row r="571" spans="1:48" ht="15.8" customHeight="1" x14ac:dyDescent="0.3">
      <c r="A571" s="825"/>
      <c r="B571" s="825"/>
      <c r="C571" s="825"/>
      <c r="D571" s="825"/>
      <c r="G571" s="825"/>
      <c r="H571" s="18"/>
      <c r="I571" s="825"/>
      <c r="L571" s="825"/>
      <c r="M571" s="825"/>
      <c r="N571" s="825"/>
      <c r="O571" s="825"/>
      <c r="P571" s="825"/>
      <c r="Q571" s="21"/>
      <c r="R571" s="21"/>
      <c r="S571" s="19"/>
      <c r="T571" s="19"/>
      <c r="U571" s="19"/>
      <c r="V571" s="19"/>
      <c r="W571" s="825"/>
      <c r="X571" s="825"/>
      <c r="AM571" s="825"/>
      <c r="AN571" s="825"/>
      <c r="AO571" s="825"/>
      <c r="AP571" s="825"/>
      <c r="AQ571" s="825"/>
      <c r="AR571" s="825"/>
      <c r="AS571" s="825"/>
      <c r="AT571" s="825"/>
      <c r="AU571" s="825"/>
      <c r="AV571" s="825"/>
    </row>
    <row r="572" spans="1:48" ht="15.8" customHeight="1" x14ac:dyDescent="0.3">
      <c r="A572" s="825"/>
      <c r="B572" s="825"/>
      <c r="C572" s="825"/>
      <c r="D572" s="825"/>
      <c r="G572" s="825"/>
      <c r="H572" s="18"/>
      <c r="I572" s="825"/>
      <c r="L572" s="825"/>
      <c r="M572" s="825"/>
      <c r="N572" s="825"/>
      <c r="O572" s="825"/>
      <c r="P572" s="825"/>
      <c r="Q572" s="21"/>
      <c r="R572" s="21"/>
      <c r="S572" s="19"/>
      <c r="T572" s="19"/>
      <c r="U572" s="19"/>
      <c r="V572" s="19"/>
      <c r="W572" s="825"/>
      <c r="X572" s="825"/>
      <c r="AM572" s="825"/>
      <c r="AN572" s="825"/>
      <c r="AO572" s="825"/>
      <c r="AP572" s="825"/>
      <c r="AQ572" s="825"/>
      <c r="AR572" s="825"/>
      <c r="AS572" s="825"/>
      <c r="AT572" s="825"/>
      <c r="AU572" s="825"/>
      <c r="AV572" s="825"/>
    </row>
    <row r="573" spans="1:48" ht="15.8" customHeight="1" x14ac:dyDescent="0.3">
      <c r="A573" s="825"/>
      <c r="B573" s="825"/>
      <c r="C573" s="825"/>
      <c r="D573" s="825"/>
      <c r="G573" s="825"/>
      <c r="H573" s="18"/>
      <c r="I573" s="825"/>
      <c r="L573" s="825"/>
      <c r="M573" s="825"/>
      <c r="N573" s="825"/>
      <c r="O573" s="825"/>
      <c r="P573" s="825"/>
      <c r="Q573" s="21"/>
      <c r="R573" s="21"/>
      <c r="S573" s="19"/>
      <c r="T573" s="19"/>
      <c r="U573" s="19"/>
      <c r="V573" s="19"/>
      <c r="W573" s="825"/>
      <c r="X573" s="825"/>
      <c r="AM573" s="825"/>
      <c r="AN573" s="825"/>
      <c r="AO573" s="825"/>
      <c r="AP573" s="825"/>
      <c r="AQ573" s="825"/>
      <c r="AR573" s="825"/>
      <c r="AS573" s="825"/>
      <c r="AT573" s="825"/>
      <c r="AU573" s="825"/>
      <c r="AV573" s="825"/>
    </row>
    <row r="574" spans="1:48" ht="15.8" customHeight="1" x14ac:dyDescent="0.3">
      <c r="A574" s="825"/>
      <c r="B574" s="825"/>
      <c r="C574" s="825"/>
      <c r="D574" s="825"/>
      <c r="G574" s="825"/>
      <c r="H574" s="18"/>
      <c r="I574" s="825"/>
      <c r="L574" s="825"/>
      <c r="M574" s="825"/>
      <c r="N574" s="825"/>
      <c r="O574" s="825"/>
      <c r="P574" s="825"/>
      <c r="Q574" s="21"/>
      <c r="R574" s="21"/>
      <c r="S574" s="19"/>
      <c r="T574" s="19"/>
      <c r="U574" s="19"/>
      <c r="V574" s="19"/>
      <c r="W574" s="825"/>
      <c r="X574" s="825"/>
      <c r="AM574" s="825"/>
      <c r="AN574" s="825"/>
      <c r="AO574" s="825"/>
      <c r="AP574" s="825"/>
      <c r="AQ574" s="825"/>
      <c r="AR574" s="825"/>
      <c r="AS574" s="825"/>
      <c r="AT574" s="825"/>
      <c r="AU574" s="825"/>
      <c r="AV574" s="825"/>
    </row>
    <row r="575" spans="1:48" ht="15.8" customHeight="1" x14ac:dyDescent="0.3">
      <c r="A575" s="825"/>
      <c r="B575" s="825"/>
      <c r="C575" s="825"/>
      <c r="D575" s="825"/>
      <c r="G575" s="825"/>
      <c r="H575" s="18"/>
      <c r="I575" s="825"/>
      <c r="L575" s="825"/>
      <c r="M575" s="825"/>
      <c r="N575" s="825"/>
      <c r="O575" s="825"/>
      <c r="P575" s="825"/>
      <c r="Q575" s="21"/>
      <c r="R575" s="21"/>
      <c r="S575" s="19"/>
      <c r="T575" s="19"/>
      <c r="U575" s="19"/>
      <c r="V575" s="19"/>
      <c r="W575" s="825"/>
      <c r="X575" s="825"/>
      <c r="AM575" s="825"/>
      <c r="AN575" s="825"/>
      <c r="AO575" s="825"/>
      <c r="AP575" s="825"/>
      <c r="AQ575" s="825"/>
      <c r="AR575" s="825"/>
      <c r="AS575" s="825"/>
      <c r="AT575" s="825"/>
      <c r="AU575" s="825"/>
      <c r="AV575" s="825"/>
    </row>
    <row r="576" spans="1:48" ht="15.8" customHeight="1" x14ac:dyDescent="0.3">
      <c r="A576" s="825"/>
      <c r="B576" s="825"/>
      <c r="C576" s="825"/>
      <c r="D576" s="825"/>
      <c r="G576" s="825"/>
      <c r="H576" s="18"/>
      <c r="I576" s="825"/>
      <c r="L576" s="825"/>
      <c r="M576" s="825"/>
      <c r="N576" s="825"/>
      <c r="O576" s="825"/>
      <c r="P576" s="825"/>
      <c r="Q576" s="21"/>
      <c r="R576" s="21"/>
      <c r="S576" s="19"/>
      <c r="T576" s="19"/>
      <c r="U576" s="19"/>
      <c r="V576" s="19"/>
      <c r="W576" s="825"/>
      <c r="X576" s="825"/>
      <c r="AM576" s="825"/>
      <c r="AN576" s="825"/>
      <c r="AO576" s="825"/>
      <c r="AP576" s="825"/>
      <c r="AQ576" s="825"/>
      <c r="AR576" s="825"/>
      <c r="AS576" s="825"/>
      <c r="AT576" s="825"/>
      <c r="AU576" s="825"/>
      <c r="AV576" s="825"/>
    </row>
    <row r="577" spans="1:48" ht="15.8" customHeight="1" x14ac:dyDescent="0.3">
      <c r="A577" s="825"/>
      <c r="B577" s="825"/>
      <c r="C577" s="825"/>
      <c r="D577" s="825"/>
      <c r="G577" s="825"/>
      <c r="H577" s="18"/>
      <c r="I577" s="825"/>
      <c r="L577" s="825"/>
      <c r="M577" s="825"/>
      <c r="N577" s="825"/>
      <c r="O577" s="825"/>
      <c r="P577" s="825"/>
      <c r="Q577" s="21"/>
      <c r="R577" s="21"/>
      <c r="S577" s="19"/>
      <c r="T577" s="19"/>
      <c r="U577" s="19"/>
      <c r="V577" s="19"/>
      <c r="W577" s="825"/>
      <c r="X577" s="825"/>
      <c r="AM577" s="825"/>
      <c r="AN577" s="825"/>
      <c r="AO577" s="825"/>
      <c r="AP577" s="825"/>
      <c r="AQ577" s="825"/>
      <c r="AR577" s="825"/>
      <c r="AS577" s="825"/>
      <c r="AT577" s="825"/>
      <c r="AU577" s="825"/>
      <c r="AV577" s="825"/>
    </row>
    <row r="578" spans="1:48" ht="15.8" customHeight="1" x14ac:dyDescent="0.3">
      <c r="A578" s="825"/>
      <c r="B578" s="825"/>
      <c r="C578" s="825"/>
      <c r="D578" s="825"/>
      <c r="G578" s="825"/>
      <c r="H578" s="18"/>
      <c r="I578" s="825"/>
      <c r="L578" s="825"/>
      <c r="M578" s="825"/>
      <c r="N578" s="825"/>
      <c r="O578" s="825"/>
      <c r="P578" s="825"/>
      <c r="Q578" s="21"/>
      <c r="R578" s="21"/>
      <c r="S578" s="19"/>
      <c r="T578" s="19"/>
      <c r="U578" s="19"/>
      <c r="V578" s="19"/>
      <c r="W578" s="825"/>
      <c r="X578" s="825"/>
      <c r="AM578" s="825"/>
      <c r="AN578" s="825"/>
      <c r="AO578" s="825"/>
      <c r="AP578" s="825"/>
      <c r="AQ578" s="825"/>
      <c r="AR578" s="825"/>
      <c r="AS578" s="825"/>
      <c r="AT578" s="825"/>
      <c r="AU578" s="825"/>
      <c r="AV578" s="825"/>
    </row>
    <row r="579" spans="1:48" ht="15.8" customHeight="1" x14ac:dyDescent="0.3">
      <c r="A579" s="825"/>
      <c r="B579" s="825"/>
      <c r="C579" s="825"/>
      <c r="D579" s="825"/>
      <c r="G579" s="825"/>
      <c r="H579" s="18"/>
      <c r="I579" s="825"/>
      <c r="L579" s="825"/>
      <c r="M579" s="825"/>
      <c r="N579" s="825"/>
      <c r="O579" s="825"/>
      <c r="P579" s="825"/>
      <c r="Q579" s="21"/>
      <c r="R579" s="21"/>
      <c r="S579" s="19"/>
      <c r="T579" s="19"/>
      <c r="U579" s="19"/>
      <c r="V579" s="19"/>
      <c r="W579" s="825"/>
      <c r="X579" s="825"/>
      <c r="AM579" s="825"/>
      <c r="AN579" s="825"/>
      <c r="AO579" s="825"/>
      <c r="AP579" s="825"/>
      <c r="AQ579" s="825"/>
      <c r="AR579" s="825"/>
      <c r="AS579" s="825"/>
      <c r="AT579" s="825"/>
      <c r="AU579" s="825"/>
      <c r="AV579" s="825"/>
    </row>
    <row r="580" spans="1:48" ht="15.8" customHeight="1" x14ac:dyDescent="0.3">
      <c r="A580" s="825"/>
      <c r="B580" s="825"/>
      <c r="C580" s="825"/>
      <c r="D580" s="825"/>
      <c r="G580" s="825"/>
      <c r="H580" s="18"/>
      <c r="I580" s="825"/>
      <c r="L580" s="825"/>
      <c r="M580" s="825"/>
      <c r="N580" s="825"/>
      <c r="O580" s="825"/>
      <c r="P580" s="825"/>
      <c r="Q580" s="21"/>
      <c r="R580" s="21"/>
      <c r="S580" s="19"/>
      <c r="T580" s="19"/>
      <c r="U580" s="19"/>
      <c r="V580" s="19"/>
      <c r="W580" s="825"/>
      <c r="X580" s="825"/>
      <c r="AM580" s="825"/>
      <c r="AN580" s="825"/>
      <c r="AO580" s="825"/>
      <c r="AP580" s="825"/>
      <c r="AQ580" s="825"/>
      <c r="AR580" s="825"/>
      <c r="AS580" s="825"/>
      <c r="AT580" s="825"/>
      <c r="AU580" s="825"/>
      <c r="AV580" s="825"/>
    </row>
    <row r="581" spans="1:48" ht="15.8" customHeight="1" x14ac:dyDescent="0.3">
      <c r="A581" s="825"/>
      <c r="B581" s="825"/>
      <c r="C581" s="825"/>
      <c r="D581" s="825"/>
      <c r="G581" s="825"/>
      <c r="H581" s="18"/>
      <c r="I581" s="825"/>
      <c r="L581" s="825"/>
      <c r="M581" s="825"/>
      <c r="N581" s="825"/>
      <c r="O581" s="825"/>
      <c r="P581" s="825"/>
      <c r="Q581" s="21"/>
      <c r="R581" s="21"/>
      <c r="S581" s="19"/>
      <c r="T581" s="19"/>
      <c r="U581" s="19"/>
      <c r="V581" s="19"/>
      <c r="W581" s="825"/>
      <c r="X581" s="825"/>
      <c r="AM581" s="825"/>
      <c r="AN581" s="825"/>
      <c r="AO581" s="825"/>
      <c r="AP581" s="825"/>
      <c r="AQ581" s="825"/>
      <c r="AR581" s="825"/>
      <c r="AS581" s="825"/>
      <c r="AT581" s="825"/>
      <c r="AU581" s="825"/>
      <c r="AV581" s="825"/>
    </row>
    <row r="582" spans="1:48" ht="15.8" customHeight="1" x14ac:dyDescent="0.3">
      <c r="A582" s="825"/>
      <c r="B582" s="825"/>
      <c r="C582" s="825"/>
      <c r="D582" s="825"/>
      <c r="G582" s="825"/>
      <c r="H582" s="18"/>
      <c r="I582" s="825"/>
      <c r="L582" s="825"/>
      <c r="M582" s="825"/>
      <c r="N582" s="825"/>
      <c r="O582" s="825"/>
      <c r="P582" s="825"/>
      <c r="Q582" s="21"/>
      <c r="R582" s="21"/>
      <c r="S582" s="19"/>
      <c r="T582" s="19"/>
      <c r="U582" s="19"/>
      <c r="V582" s="19"/>
      <c r="W582" s="825"/>
      <c r="X582" s="825"/>
      <c r="AM582" s="825"/>
      <c r="AN582" s="825"/>
      <c r="AO582" s="825"/>
      <c r="AP582" s="825"/>
      <c r="AQ582" s="825"/>
      <c r="AR582" s="825"/>
      <c r="AS582" s="825"/>
      <c r="AT582" s="825"/>
      <c r="AU582" s="825"/>
      <c r="AV582" s="825"/>
    </row>
    <row r="583" spans="1:48" ht="15.8" customHeight="1" x14ac:dyDescent="0.3">
      <c r="A583" s="825"/>
      <c r="B583" s="825"/>
      <c r="C583" s="825"/>
      <c r="D583" s="825"/>
      <c r="G583" s="825"/>
      <c r="H583" s="18"/>
      <c r="I583" s="825"/>
      <c r="L583" s="825"/>
      <c r="M583" s="825"/>
      <c r="N583" s="825"/>
      <c r="O583" s="825"/>
      <c r="P583" s="825"/>
      <c r="Q583" s="21"/>
      <c r="R583" s="21"/>
      <c r="S583" s="19"/>
      <c r="T583" s="19"/>
      <c r="U583" s="19"/>
      <c r="V583" s="19"/>
      <c r="W583" s="825"/>
      <c r="X583" s="825"/>
      <c r="AM583" s="825"/>
      <c r="AN583" s="825"/>
      <c r="AO583" s="825"/>
      <c r="AP583" s="825"/>
      <c r="AQ583" s="825"/>
      <c r="AR583" s="825"/>
      <c r="AS583" s="825"/>
      <c r="AT583" s="825"/>
      <c r="AU583" s="825"/>
      <c r="AV583" s="825"/>
    </row>
    <row r="584" spans="1:48" ht="15.8" customHeight="1" x14ac:dyDescent="0.3">
      <c r="A584" s="825"/>
      <c r="B584" s="825"/>
      <c r="C584" s="825"/>
      <c r="D584" s="825"/>
      <c r="G584" s="825"/>
      <c r="H584" s="18"/>
      <c r="I584" s="825"/>
      <c r="L584" s="825"/>
      <c r="M584" s="825"/>
      <c r="N584" s="825"/>
      <c r="O584" s="825"/>
      <c r="P584" s="825"/>
      <c r="Q584" s="21"/>
      <c r="R584" s="21"/>
      <c r="S584" s="19"/>
      <c r="T584" s="19"/>
      <c r="U584" s="19"/>
      <c r="V584" s="19"/>
      <c r="W584" s="825"/>
      <c r="X584" s="825"/>
      <c r="AM584" s="825"/>
      <c r="AN584" s="825"/>
      <c r="AO584" s="825"/>
      <c r="AP584" s="825"/>
      <c r="AQ584" s="825"/>
      <c r="AR584" s="825"/>
      <c r="AS584" s="825"/>
      <c r="AT584" s="825"/>
      <c r="AU584" s="825"/>
      <c r="AV584" s="825"/>
    </row>
    <row r="585" spans="1:48" ht="15.8" customHeight="1" x14ac:dyDescent="0.3">
      <c r="A585" s="825"/>
      <c r="B585" s="825"/>
      <c r="C585" s="825"/>
      <c r="D585" s="825"/>
      <c r="G585" s="825"/>
      <c r="H585" s="18"/>
      <c r="I585" s="825"/>
      <c r="L585" s="825"/>
      <c r="M585" s="825"/>
      <c r="N585" s="825"/>
      <c r="O585" s="825"/>
      <c r="P585" s="825"/>
      <c r="Q585" s="21"/>
      <c r="R585" s="21"/>
      <c r="S585" s="19"/>
      <c r="T585" s="19"/>
      <c r="U585" s="19"/>
      <c r="V585" s="19"/>
      <c r="W585" s="825"/>
      <c r="X585" s="825"/>
      <c r="AM585" s="825"/>
      <c r="AN585" s="825"/>
      <c r="AO585" s="825"/>
      <c r="AP585" s="825"/>
      <c r="AQ585" s="825"/>
      <c r="AR585" s="825"/>
      <c r="AS585" s="825"/>
      <c r="AT585" s="825"/>
      <c r="AU585" s="825"/>
      <c r="AV585" s="825"/>
    </row>
    <row r="586" spans="1:48" ht="15.8" customHeight="1" x14ac:dyDescent="0.3">
      <c r="A586" s="825"/>
      <c r="B586" s="825"/>
      <c r="C586" s="825"/>
      <c r="D586" s="825"/>
      <c r="G586" s="825"/>
      <c r="H586" s="18"/>
      <c r="I586" s="825"/>
      <c r="L586" s="825"/>
      <c r="M586" s="825"/>
      <c r="N586" s="825"/>
      <c r="O586" s="825"/>
      <c r="P586" s="825"/>
      <c r="Q586" s="21"/>
      <c r="R586" s="21"/>
      <c r="S586" s="19"/>
      <c r="T586" s="19"/>
      <c r="U586" s="19"/>
      <c r="V586" s="19"/>
      <c r="W586" s="825"/>
      <c r="X586" s="825"/>
      <c r="AM586" s="825"/>
      <c r="AN586" s="825"/>
      <c r="AO586" s="825"/>
      <c r="AP586" s="825"/>
      <c r="AQ586" s="825"/>
      <c r="AR586" s="825"/>
      <c r="AS586" s="825"/>
      <c r="AT586" s="825"/>
      <c r="AU586" s="825"/>
      <c r="AV586" s="825"/>
    </row>
    <row r="587" spans="1:48" ht="15.8" customHeight="1" x14ac:dyDescent="0.3">
      <c r="A587" s="825"/>
      <c r="B587" s="825"/>
      <c r="C587" s="825"/>
      <c r="D587" s="825"/>
      <c r="G587" s="825"/>
      <c r="H587" s="18"/>
      <c r="I587" s="825"/>
      <c r="L587" s="825"/>
      <c r="M587" s="825"/>
      <c r="N587" s="825"/>
      <c r="O587" s="825"/>
      <c r="P587" s="825"/>
      <c r="Q587" s="21"/>
      <c r="R587" s="21"/>
      <c r="S587" s="19"/>
      <c r="T587" s="19"/>
      <c r="U587" s="19"/>
      <c r="V587" s="19"/>
      <c r="W587" s="825"/>
      <c r="X587" s="825"/>
      <c r="AM587" s="825"/>
      <c r="AN587" s="825"/>
      <c r="AO587" s="825"/>
      <c r="AP587" s="825"/>
      <c r="AQ587" s="825"/>
      <c r="AR587" s="825"/>
      <c r="AS587" s="825"/>
      <c r="AT587" s="825"/>
      <c r="AU587" s="825"/>
      <c r="AV587" s="825"/>
    </row>
    <row r="588" spans="1:48" ht="15.8" customHeight="1" x14ac:dyDescent="0.3">
      <c r="A588" s="825"/>
      <c r="B588" s="825"/>
      <c r="C588" s="825"/>
      <c r="D588" s="825"/>
      <c r="G588" s="825"/>
      <c r="H588" s="18"/>
      <c r="I588" s="825"/>
      <c r="L588" s="825"/>
      <c r="M588" s="825"/>
      <c r="N588" s="825"/>
      <c r="O588" s="825"/>
      <c r="P588" s="825"/>
      <c r="Q588" s="21"/>
      <c r="R588" s="21"/>
      <c r="S588" s="19"/>
      <c r="T588" s="19"/>
      <c r="U588" s="19"/>
      <c r="V588" s="19"/>
      <c r="W588" s="825"/>
      <c r="X588" s="825"/>
      <c r="AM588" s="825"/>
      <c r="AN588" s="825"/>
      <c r="AO588" s="825"/>
      <c r="AP588" s="825"/>
      <c r="AQ588" s="825"/>
      <c r="AR588" s="825"/>
      <c r="AS588" s="825"/>
      <c r="AT588" s="825"/>
      <c r="AU588" s="825"/>
      <c r="AV588" s="825"/>
    </row>
    <row r="589" spans="1:48" ht="15.8" customHeight="1" x14ac:dyDescent="0.3">
      <c r="A589" s="825"/>
      <c r="B589" s="825"/>
      <c r="C589" s="825"/>
      <c r="D589" s="825"/>
      <c r="G589" s="825"/>
      <c r="H589" s="18"/>
      <c r="I589" s="825"/>
      <c r="L589" s="825"/>
      <c r="M589" s="825"/>
      <c r="N589" s="825"/>
      <c r="O589" s="825"/>
      <c r="P589" s="825"/>
      <c r="Q589" s="21"/>
      <c r="R589" s="21"/>
      <c r="S589" s="19"/>
      <c r="T589" s="19"/>
      <c r="U589" s="19"/>
      <c r="V589" s="19"/>
      <c r="W589" s="825"/>
      <c r="X589" s="825"/>
      <c r="AM589" s="825"/>
      <c r="AN589" s="825"/>
      <c r="AO589" s="825"/>
      <c r="AP589" s="825"/>
      <c r="AQ589" s="825"/>
      <c r="AR589" s="825"/>
      <c r="AS589" s="825"/>
      <c r="AT589" s="825"/>
      <c r="AU589" s="825"/>
      <c r="AV589" s="825"/>
    </row>
    <row r="590" spans="1:48" ht="15.8" customHeight="1" x14ac:dyDescent="0.3">
      <c r="A590" s="825"/>
      <c r="B590" s="825"/>
      <c r="C590" s="825"/>
      <c r="D590" s="825"/>
      <c r="G590" s="825"/>
      <c r="H590" s="18"/>
      <c r="I590" s="825"/>
      <c r="L590" s="825"/>
      <c r="M590" s="825"/>
      <c r="N590" s="825"/>
      <c r="O590" s="825"/>
      <c r="P590" s="825"/>
      <c r="Q590" s="21"/>
      <c r="R590" s="21"/>
      <c r="S590" s="19"/>
      <c r="T590" s="19"/>
      <c r="U590" s="19"/>
      <c r="V590" s="19"/>
      <c r="W590" s="825"/>
      <c r="X590" s="825"/>
      <c r="AM590" s="825"/>
      <c r="AN590" s="825"/>
      <c r="AO590" s="825"/>
      <c r="AP590" s="825"/>
      <c r="AQ590" s="825"/>
      <c r="AR590" s="825"/>
      <c r="AS590" s="825"/>
      <c r="AT590" s="825"/>
      <c r="AU590" s="825"/>
      <c r="AV590" s="825"/>
    </row>
    <row r="591" spans="1:48" ht="15.8" customHeight="1" x14ac:dyDescent="0.3">
      <c r="A591" s="825"/>
      <c r="B591" s="825"/>
      <c r="C591" s="825"/>
      <c r="D591" s="825"/>
      <c r="G591" s="825"/>
      <c r="H591" s="18"/>
      <c r="I591" s="825"/>
      <c r="L591" s="825"/>
      <c r="M591" s="825"/>
      <c r="N591" s="825"/>
      <c r="O591" s="825"/>
      <c r="P591" s="825"/>
      <c r="Q591" s="21"/>
      <c r="R591" s="21"/>
      <c r="S591" s="19"/>
      <c r="T591" s="19"/>
      <c r="U591" s="19"/>
      <c r="V591" s="19"/>
      <c r="W591" s="825"/>
      <c r="X591" s="825"/>
      <c r="AM591" s="825"/>
      <c r="AN591" s="825"/>
      <c r="AO591" s="825"/>
      <c r="AP591" s="825"/>
      <c r="AQ591" s="825"/>
      <c r="AR591" s="825"/>
      <c r="AS591" s="825"/>
      <c r="AT591" s="825"/>
      <c r="AU591" s="825"/>
      <c r="AV591" s="825"/>
    </row>
    <row r="592" spans="1:48" ht="15.8" customHeight="1" x14ac:dyDescent="0.3">
      <c r="A592" s="825"/>
      <c r="B592" s="825"/>
      <c r="C592" s="825"/>
      <c r="D592" s="825"/>
      <c r="G592" s="825"/>
      <c r="H592" s="18"/>
      <c r="I592" s="825"/>
      <c r="L592" s="825"/>
      <c r="M592" s="825"/>
      <c r="N592" s="825"/>
      <c r="O592" s="825"/>
      <c r="P592" s="825"/>
      <c r="Q592" s="21"/>
      <c r="R592" s="21"/>
      <c r="S592" s="19"/>
      <c r="T592" s="19"/>
      <c r="U592" s="19"/>
      <c r="V592" s="19"/>
      <c r="W592" s="825"/>
      <c r="X592" s="825"/>
      <c r="AM592" s="825"/>
      <c r="AN592" s="825"/>
      <c r="AO592" s="825"/>
      <c r="AP592" s="825"/>
      <c r="AQ592" s="825"/>
      <c r="AR592" s="825"/>
      <c r="AS592" s="825"/>
      <c r="AT592" s="825"/>
      <c r="AU592" s="825"/>
      <c r="AV592" s="825"/>
    </row>
    <row r="593" spans="1:48" ht="15.8" customHeight="1" x14ac:dyDescent="0.3">
      <c r="A593" s="825"/>
      <c r="B593" s="825"/>
      <c r="C593" s="825"/>
      <c r="D593" s="825"/>
      <c r="G593" s="825"/>
      <c r="H593" s="18"/>
      <c r="I593" s="825"/>
      <c r="L593" s="825"/>
      <c r="M593" s="825"/>
      <c r="N593" s="825"/>
      <c r="O593" s="825"/>
      <c r="P593" s="825"/>
      <c r="Q593" s="21"/>
      <c r="R593" s="21"/>
      <c r="S593" s="19"/>
      <c r="T593" s="19"/>
      <c r="U593" s="19"/>
      <c r="V593" s="19"/>
      <c r="W593" s="825"/>
      <c r="X593" s="825"/>
      <c r="AM593" s="825"/>
      <c r="AN593" s="825"/>
      <c r="AO593" s="825"/>
      <c r="AP593" s="825"/>
      <c r="AQ593" s="825"/>
      <c r="AR593" s="825"/>
      <c r="AS593" s="825"/>
      <c r="AT593" s="825"/>
      <c r="AU593" s="825"/>
      <c r="AV593" s="825"/>
    </row>
    <row r="594" spans="1:48" ht="15.8" customHeight="1" x14ac:dyDescent="0.3">
      <c r="A594" s="825"/>
      <c r="B594" s="825"/>
      <c r="C594" s="825"/>
      <c r="D594" s="825"/>
      <c r="G594" s="825"/>
      <c r="H594" s="18"/>
      <c r="I594" s="825"/>
      <c r="L594" s="825"/>
      <c r="M594" s="825"/>
      <c r="N594" s="825"/>
      <c r="O594" s="825"/>
      <c r="P594" s="825"/>
      <c r="Q594" s="21"/>
      <c r="R594" s="21"/>
      <c r="S594" s="19"/>
      <c r="T594" s="19"/>
      <c r="U594" s="19"/>
      <c r="V594" s="19"/>
      <c r="W594" s="825"/>
      <c r="X594" s="825"/>
      <c r="AM594" s="825"/>
      <c r="AN594" s="825"/>
      <c r="AO594" s="825"/>
      <c r="AP594" s="825"/>
      <c r="AQ594" s="825"/>
      <c r="AR594" s="825"/>
      <c r="AS594" s="825"/>
      <c r="AT594" s="825"/>
      <c r="AU594" s="825"/>
      <c r="AV594" s="825"/>
    </row>
    <row r="595" spans="1:48" ht="15.8" customHeight="1" x14ac:dyDescent="0.3">
      <c r="A595" s="825"/>
      <c r="B595" s="825"/>
      <c r="C595" s="825"/>
      <c r="D595" s="825"/>
      <c r="G595" s="825"/>
      <c r="H595" s="18"/>
      <c r="I595" s="825"/>
      <c r="L595" s="825"/>
      <c r="M595" s="825"/>
      <c r="N595" s="825"/>
      <c r="O595" s="825"/>
      <c r="P595" s="825"/>
      <c r="Q595" s="21"/>
      <c r="R595" s="21"/>
      <c r="S595" s="19"/>
      <c r="T595" s="19"/>
      <c r="U595" s="19"/>
      <c r="V595" s="19"/>
      <c r="W595" s="825"/>
      <c r="X595" s="825"/>
      <c r="AM595" s="825"/>
      <c r="AN595" s="825"/>
      <c r="AO595" s="825"/>
      <c r="AP595" s="825"/>
      <c r="AQ595" s="825"/>
      <c r="AR595" s="825"/>
      <c r="AS595" s="825"/>
      <c r="AT595" s="825"/>
      <c r="AU595" s="825"/>
      <c r="AV595" s="825"/>
    </row>
    <row r="596" spans="1:48" ht="15.8" customHeight="1" x14ac:dyDescent="0.3">
      <c r="A596" s="825"/>
      <c r="B596" s="825"/>
      <c r="C596" s="825"/>
      <c r="D596" s="825"/>
      <c r="G596" s="825"/>
      <c r="H596" s="18"/>
      <c r="I596" s="825"/>
      <c r="L596" s="825"/>
      <c r="M596" s="825"/>
      <c r="N596" s="825"/>
      <c r="O596" s="825"/>
      <c r="P596" s="825"/>
      <c r="Q596" s="21"/>
      <c r="R596" s="21"/>
      <c r="S596" s="19"/>
      <c r="T596" s="19"/>
      <c r="U596" s="19"/>
      <c r="V596" s="19"/>
      <c r="W596" s="825"/>
      <c r="X596" s="825"/>
      <c r="AM596" s="825"/>
      <c r="AN596" s="825"/>
      <c r="AO596" s="825"/>
      <c r="AP596" s="825"/>
      <c r="AQ596" s="825"/>
      <c r="AR596" s="825"/>
      <c r="AS596" s="825"/>
      <c r="AT596" s="825"/>
      <c r="AU596" s="825"/>
      <c r="AV596" s="825"/>
    </row>
    <row r="597" spans="1:48" ht="15.8" customHeight="1" x14ac:dyDescent="0.3">
      <c r="A597" s="825"/>
      <c r="B597" s="825"/>
      <c r="C597" s="825"/>
      <c r="D597" s="825"/>
      <c r="G597" s="825"/>
      <c r="H597" s="18"/>
      <c r="I597" s="825"/>
      <c r="L597" s="825"/>
      <c r="M597" s="825"/>
      <c r="N597" s="825"/>
      <c r="O597" s="825"/>
      <c r="P597" s="825"/>
      <c r="Q597" s="21"/>
      <c r="R597" s="21"/>
      <c r="S597" s="19"/>
      <c r="T597" s="19"/>
      <c r="U597" s="19"/>
      <c r="V597" s="19"/>
      <c r="W597" s="825"/>
      <c r="X597" s="825"/>
      <c r="AM597" s="825"/>
      <c r="AN597" s="825"/>
      <c r="AO597" s="825"/>
      <c r="AP597" s="825"/>
      <c r="AQ597" s="825"/>
      <c r="AR597" s="825"/>
      <c r="AS597" s="825"/>
      <c r="AT597" s="825"/>
      <c r="AU597" s="825"/>
      <c r="AV597" s="825"/>
    </row>
    <row r="598" spans="1:48" ht="15.8" customHeight="1" x14ac:dyDescent="0.3">
      <c r="A598" s="825"/>
      <c r="B598" s="825"/>
      <c r="C598" s="825"/>
      <c r="D598" s="825"/>
      <c r="G598" s="825"/>
      <c r="H598" s="18"/>
      <c r="I598" s="825"/>
      <c r="L598" s="825"/>
      <c r="M598" s="825"/>
      <c r="N598" s="825"/>
      <c r="O598" s="825"/>
      <c r="P598" s="825"/>
      <c r="Q598" s="21"/>
      <c r="R598" s="21"/>
      <c r="S598" s="19"/>
      <c r="T598" s="19"/>
      <c r="U598" s="19"/>
      <c r="V598" s="19"/>
      <c r="W598" s="825"/>
      <c r="X598" s="825"/>
      <c r="AM598" s="825"/>
      <c r="AN598" s="825"/>
      <c r="AO598" s="825"/>
      <c r="AP598" s="825"/>
      <c r="AQ598" s="825"/>
      <c r="AR598" s="825"/>
      <c r="AS598" s="825"/>
      <c r="AT598" s="825"/>
      <c r="AU598" s="825"/>
      <c r="AV598" s="825"/>
    </row>
    <row r="599" spans="1:48" ht="15.8" customHeight="1" x14ac:dyDescent="0.3">
      <c r="A599" s="825"/>
      <c r="B599" s="825"/>
      <c r="C599" s="825"/>
      <c r="D599" s="825"/>
      <c r="G599" s="825"/>
      <c r="H599" s="18"/>
      <c r="I599" s="825"/>
      <c r="L599" s="825"/>
      <c r="M599" s="825"/>
      <c r="N599" s="825"/>
      <c r="O599" s="825"/>
      <c r="P599" s="825"/>
      <c r="Q599" s="21"/>
      <c r="R599" s="21"/>
      <c r="S599" s="19"/>
      <c r="T599" s="19"/>
      <c r="U599" s="19"/>
      <c r="V599" s="19"/>
      <c r="W599" s="825"/>
      <c r="X599" s="825"/>
      <c r="AM599" s="825"/>
      <c r="AN599" s="825"/>
      <c r="AO599" s="825"/>
      <c r="AP599" s="825"/>
      <c r="AQ599" s="825"/>
      <c r="AR599" s="825"/>
      <c r="AS599" s="825"/>
      <c r="AT599" s="825"/>
      <c r="AU599" s="825"/>
      <c r="AV599" s="825"/>
    </row>
    <row r="600" spans="1:48" ht="15.8" customHeight="1" x14ac:dyDescent="0.3">
      <c r="A600" s="825"/>
      <c r="B600" s="825"/>
      <c r="C600" s="825"/>
      <c r="D600" s="825"/>
      <c r="G600" s="825"/>
      <c r="H600" s="18"/>
      <c r="I600" s="825"/>
      <c r="L600" s="825"/>
      <c r="M600" s="825"/>
      <c r="N600" s="825"/>
      <c r="O600" s="825"/>
      <c r="P600" s="825"/>
      <c r="Q600" s="21"/>
      <c r="R600" s="21"/>
      <c r="S600" s="19"/>
      <c r="T600" s="19"/>
      <c r="U600" s="19"/>
      <c r="V600" s="19"/>
      <c r="W600" s="825"/>
      <c r="X600" s="825"/>
      <c r="AM600" s="825"/>
      <c r="AN600" s="825"/>
      <c r="AO600" s="825"/>
      <c r="AP600" s="825"/>
      <c r="AQ600" s="825"/>
      <c r="AR600" s="825"/>
      <c r="AS600" s="825"/>
      <c r="AT600" s="825"/>
      <c r="AU600" s="825"/>
      <c r="AV600" s="825"/>
    </row>
    <row r="601" spans="1:48" ht="15.8" customHeight="1" x14ac:dyDescent="0.3">
      <c r="A601" s="825"/>
      <c r="B601" s="825"/>
      <c r="C601" s="825"/>
      <c r="D601" s="825"/>
      <c r="G601" s="825"/>
      <c r="H601" s="18"/>
      <c r="I601" s="825"/>
      <c r="L601" s="825"/>
      <c r="M601" s="825"/>
      <c r="N601" s="825"/>
      <c r="O601" s="825"/>
      <c r="P601" s="825"/>
      <c r="Q601" s="21"/>
      <c r="R601" s="21"/>
      <c r="S601" s="19"/>
      <c r="T601" s="19"/>
      <c r="U601" s="19"/>
      <c r="V601" s="19"/>
      <c r="W601" s="825"/>
      <c r="X601" s="825"/>
      <c r="AM601" s="825"/>
      <c r="AN601" s="825"/>
      <c r="AO601" s="825"/>
      <c r="AP601" s="825"/>
      <c r="AQ601" s="825"/>
      <c r="AR601" s="825"/>
      <c r="AS601" s="825"/>
      <c r="AT601" s="825"/>
      <c r="AU601" s="825"/>
      <c r="AV601" s="825"/>
    </row>
    <row r="602" spans="1:48" ht="15.8" customHeight="1" x14ac:dyDescent="0.3">
      <c r="A602" s="825"/>
      <c r="B602" s="825"/>
      <c r="C602" s="825"/>
      <c r="D602" s="825"/>
      <c r="G602" s="825"/>
      <c r="H602" s="18"/>
      <c r="I602" s="825"/>
      <c r="L602" s="825"/>
      <c r="M602" s="825"/>
      <c r="N602" s="825"/>
      <c r="O602" s="825"/>
      <c r="P602" s="825"/>
      <c r="Q602" s="21"/>
      <c r="R602" s="21"/>
      <c r="S602" s="19"/>
      <c r="T602" s="19"/>
      <c r="U602" s="19"/>
      <c r="V602" s="19"/>
      <c r="W602" s="825"/>
      <c r="X602" s="825"/>
      <c r="AM602" s="825"/>
      <c r="AN602" s="825"/>
      <c r="AO602" s="825"/>
      <c r="AP602" s="825"/>
      <c r="AQ602" s="825"/>
      <c r="AR602" s="825"/>
      <c r="AS602" s="825"/>
      <c r="AT602" s="825"/>
      <c r="AU602" s="825"/>
      <c r="AV602" s="825"/>
    </row>
    <row r="603" spans="1:48" ht="15.8" customHeight="1" x14ac:dyDescent="0.3">
      <c r="A603" s="825"/>
      <c r="B603" s="825"/>
      <c r="C603" s="825"/>
      <c r="D603" s="825"/>
      <c r="G603" s="825"/>
      <c r="H603" s="18"/>
      <c r="I603" s="825"/>
      <c r="L603" s="825"/>
      <c r="M603" s="825"/>
      <c r="N603" s="825"/>
      <c r="O603" s="825"/>
      <c r="P603" s="825"/>
      <c r="Q603" s="21"/>
      <c r="R603" s="21"/>
      <c r="S603" s="19"/>
      <c r="T603" s="19"/>
      <c r="U603" s="19"/>
      <c r="V603" s="19"/>
      <c r="W603" s="825"/>
      <c r="X603" s="825"/>
      <c r="AM603" s="825"/>
      <c r="AN603" s="825"/>
      <c r="AO603" s="825"/>
      <c r="AP603" s="825"/>
      <c r="AQ603" s="825"/>
      <c r="AR603" s="825"/>
      <c r="AS603" s="825"/>
      <c r="AT603" s="825"/>
      <c r="AU603" s="825"/>
      <c r="AV603" s="825"/>
    </row>
    <row r="604" spans="1:48" ht="15.8" customHeight="1" x14ac:dyDescent="0.3">
      <c r="A604" s="825"/>
      <c r="B604" s="825"/>
      <c r="C604" s="825"/>
      <c r="D604" s="825"/>
      <c r="G604" s="825"/>
      <c r="H604" s="18"/>
      <c r="I604" s="825"/>
      <c r="L604" s="825"/>
      <c r="M604" s="825"/>
      <c r="N604" s="825"/>
      <c r="O604" s="825"/>
      <c r="P604" s="825"/>
      <c r="Q604" s="21"/>
      <c r="R604" s="21"/>
      <c r="S604" s="19"/>
      <c r="T604" s="19"/>
      <c r="U604" s="19"/>
      <c r="V604" s="19"/>
      <c r="W604" s="825"/>
      <c r="X604" s="825"/>
      <c r="AM604" s="825"/>
      <c r="AN604" s="825"/>
      <c r="AO604" s="825"/>
      <c r="AP604" s="825"/>
      <c r="AQ604" s="825"/>
      <c r="AR604" s="825"/>
      <c r="AS604" s="825"/>
      <c r="AT604" s="825"/>
      <c r="AU604" s="825"/>
      <c r="AV604" s="825"/>
    </row>
    <row r="605" spans="1:48" ht="15.8" customHeight="1" x14ac:dyDescent="0.3">
      <c r="A605" s="825"/>
      <c r="B605" s="825"/>
      <c r="C605" s="825"/>
      <c r="D605" s="825"/>
      <c r="G605" s="825"/>
      <c r="H605" s="18"/>
      <c r="I605" s="825"/>
      <c r="L605" s="825"/>
      <c r="M605" s="825"/>
      <c r="N605" s="825"/>
      <c r="O605" s="825"/>
      <c r="P605" s="825"/>
      <c r="Q605" s="21"/>
      <c r="R605" s="21"/>
      <c r="S605" s="19"/>
      <c r="T605" s="19"/>
      <c r="U605" s="19"/>
      <c r="V605" s="19"/>
      <c r="W605" s="825"/>
      <c r="X605" s="825"/>
      <c r="AM605" s="825"/>
      <c r="AN605" s="825"/>
      <c r="AO605" s="825"/>
      <c r="AP605" s="825"/>
      <c r="AQ605" s="825"/>
      <c r="AR605" s="825"/>
      <c r="AS605" s="825"/>
      <c r="AT605" s="825"/>
      <c r="AU605" s="825"/>
      <c r="AV605" s="825"/>
    </row>
    <row r="606" spans="1:48" ht="15.8" customHeight="1" x14ac:dyDescent="0.3">
      <c r="A606" s="825"/>
      <c r="B606" s="825"/>
      <c r="C606" s="825"/>
      <c r="D606" s="825"/>
      <c r="G606" s="825"/>
      <c r="H606" s="18"/>
      <c r="I606" s="825"/>
      <c r="L606" s="825"/>
      <c r="M606" s="825"/>
      <c r="N606" s="825"/>
      <c r="O606" s="825"/>
      <c r="P606" s="825"/>
      <c r="Q606" s="21"/>
      <c r="R606" s="21"/>
      <c r="S606" s="19"/>
      <c r="T606" s="19"/>
      <c r="U606" s="19"/>
      <c r="V606" s="19"/>
      <c r="W606" s="825"/>
      <c r="X606" s="825"/>
      <c r="AM606" s="825"/>
      <c r="AN606" s="825"/>
      <c r="AO606" s="825"/>
      <c r="AP606" s="825"/>
      <c r="AQ606" s="825"/>
      <c r="AR606" s="825"/>
      <c r="AS606" s="825"/>
      <c r="AT606" s="825"/>
      <c r="AU606" s="825"/>
      <c r="AV606" s="825"/>
    </row>
    <row r="607" spans="1:48" ht="15.8" customHeight="1" x14ac:dyDescent="0.3">
      <c r="A607" s="825"/>
      <c r="B607" s="825"/>
      <c r="C607" s="825"/>
      <c r="D607" s="825"/>
      <c r="G607" s="825"/>
      <c r="H607" s="18"/>
      <c r="I607" s="825"/>
      <c r="L607" s="825"/>
      <c r="M607" s="825"/>
      <c r="N607" s="825"/>
      <c r="O607" s="825"/>
      <c r="P607" s="825"/>
      <c r="Q607" s="21"/>
      <c r="R607" s="21"/>
      <c r="S607" s="19"/>
      <c r="T607" s="19"/>
      <c r="U607" s="19"/>
      <c r="V607" s="19"/>
      <c r="W607" s="825"/>
      <c r="X607" s="825"/>
      <c r="AM607" s="825"/>
      <c r="AN607" s="825"/>
      <c r="AO607" s="825"/>
      <c r="AP607" s="825"/>
      <c r="AQ607" s="825"/>
      <c r="AR607" s="825"/>
      <c r="AS607" s="825"/>
      <c r="AT607" s="825"/>
      <c r="AU607" s="825"/>
      <c r="AV607" s="825"/>
    </row>
    <row r="608" spans="1:48" ht="15.8" customHeight="1" x14ac:dyDescent="0.3">
      <c r="A608" s="825"/>
      <c r="B608" s="825"/>
      <c r="C608" s="825"/>
      <c r="D608" s="825"/>
      <c r="G608" s="825"/>
      <c r="H608" s="18"/>
      <c r="I608" s="825"/>
      <c r="L608" s="825"/>
      <c r="M608" s="825"/>
      <c r="N608" s="825"/>
      <c r="O608" s="825"/>
      <c r="P608" s="825"/>
      <c r="Q608" s="21"/>
      <c r="R608" s="21"/>
      <c r="S608" s="19"/>
      <c r="T608" s="19"/>
      <c r="U608" s="19"/>
      <c r="V608" s="19"/>
      <c r="W608" s="825"/>
      <c r="X608" s="825"/>
      <c r="AM608" s="825"/>
      <c r="AN608" s="825"/>
      <c r="AO608" s="825"/>
      <c r="AP608" s="825"/>
      <c r="AQ608" s="825"/>
      <c r="AR608" s="825"/>
      <c r="AS608" s="825"/>
      <c r="AT608" s="825"/>
      <c r="AU608" s="825"/>
      <c r="AV608" s="825"/>
    </row>
    <row r="609" spans="1:48" ht="15.8" customHeight="1" x14ac:dyDescent="0.3">
      <c r="A609" s="825"/>
      <c r="B609" s="825"/>
      <c r="C609" s="825"/>
      <c r="D609" s="825"/>
      <c r="G609" s="825"/>
      <c r="H609" s="18"/>
      <c r="I609" s="825"/>
      <c r="L609" s="825"/>
      <c r="M609" s="825"/>
      <c r="N609" s="825"/>
      <c r="O609" s="825"/>
      <c r="P609" s="825"/>
      <c r="Q609" s="21"/>
      <c r="R609" s="21"/>
      <c r="S609" s="19"/>
      <c r="T609" s="19"/>
      <c r="U609" s="19"/>
      <c r="V609" s="19"/>
      <c r="W609" s="825"/>
      <c r="X609" s="825"/>
      <c r="AM609" s="825"/>
      <c r="AN609" s="825"/>
      <c r="AO609" s="825"/>
      <c r="AP609" s="825"/>
      <c r="AQ609" s="825"/>
      <c r="AR609" s="825"/>
      <c r="AS609" s="825"/>
      <c r="AT609" s="825"/>
      <c r="AU609" s="825"/>
      <c r="AV609" s="825"/>
    </row>
    <row r="610" spans="1:48" ht="15.8" customHeight="1" x14ac:dyDescent="0.3">
      <c r="A610" s="825"/>
      <c r="B610" s="825"/>
      <c r="C610" s="825"/>
      <c r="D610" s="825"/>
      <c r="G610" s="825"/>
      <c r="H610" s="18"/>
      <c r="I610" s="825"/>
      <c r="L610" s="825"/>
      <c r="M610" s="825"/>
      <c r="N610" s="825"/>
      <c r="O610" s="825"/>
      <c r="P610" s="825"/>
      <c r="Q610" s="21"/>
      <c r="R610" s="21"/>
      <c r="S610" s="19"/>
      <c r="T610" s="19"/>
      <c r="U610" s="19"/>
      <c r="V610" s="19"/>
      <c r="W610" s="825"/>
      <c r="X610" s="825"/>
      <c r="AM610" s="825"/>
      <c r="AN610" s="825"/>
      <c r="AO610" s="825"/>
      <c r="AP610" s="825"/>
      <c r="AQ610" s="825"/>
      <c r="AR610" s="825"/>
      <c r="AS610" s="825"/>
      <c r="AT610" s="825"/>
      <c r="AU610" s="825"/>
      <c r="AV610" s="825"/>
    </row>
    <row r="611" spans="1:48" ht="15.8" customHeight="1" x14ac:dyDescent="0.3">
      <c r="A611" s="825"/>
      <c r="B611" s="825"/>
      <c r="C611" s="825"/>
      <c r="D611" s="825"/>
      <c r="G611" s="825"/>
      <c r="H611" s="18"/>
      <c r="I611" s="825"/>
      <c r="L611" s="825"/>
      <c r="M611" s="825"/>
      <c r="N611" s="825"/>
      <c r="O611" s="825"/>
      <c r="P611" s="825"/>
      <c r="Q611" s="21"/>
      <c r="R611" s="21"/>
      <c r="S611" s="19"/>
      <c r="T611" s="19"/>
      <c r="U611" s="19"/>
      <c r="V611" s="19"/>
      <c r="W611" s="825"/>
      <c r="X611" s="825"/>
      <c r="AM611" s="825"/>
      <c r="AN611" s="825"/>
      <c r="AO611" s="825"/>
      <c r="AP611" s="825"/>
      <c r="AQ611" s="825"/>
      <c r="AR611" s="825"/>
      <c r="AS611" s="825"/>
      <c r="AT611" s="825"/>
      <c r="AU611" s="825"/>
      <c r="AV611" s="825"/>
    </row>
    <row r="612" spans="1:48" ht="15.8" customHeight="1" x14ac:dyDescent="0.3">
      <c r="A612" s="825"/>
      <c r="B612" s="825"/>
      <c r="C612" s="825"/>
      <c r="D612" s="825"/>
      <c r="G612" s="825"/>
      <c r="H612" s="18"/>
      <c r="I612" s="825"/>
      <c r="L612" s="825"/>
      <c r="M612" s="825"/>
      <c r="N612" s="825"/>
      <c r="O612" s="825"/>
      <c r="P612" s="825"/>
      <c r="Q612" s="21"/>
      <c r="R612" s="21"/>
      <c r="S612" s="19"/>
      <c r="T612" s="19"/>
      <c r="U612" s="19"/>
      <c r="V612" s="19"/>
      <c r="W612" s="825"/>
      <c r="X612" s="825"/>
      <c r="AM612" s="825"/>
      <c r="AN612" s="825"/>
      <c r="AO612" s="825"/>
      <c r="AP612" s="825"/>
      <c r="AQ612" s="825"/>
      <c r="AR612" s="825"/>
      <c r="AS612" s="825"/>
      <c r="AT612" s="825"/>
      <c r="AU612" s="825"/>
      <c r="AV612" s="825"/>
    </row>
    <row r="613" spans="1:48" ht="15.8" customHeight="1" x14ac:dyDescent="0.3">
      <c r="A613" s="825"/>
      <c r="B613" s="825"/>
      <c r="C613" s="825"/>
      <c r="D613" s="825"/>
      <c r="G613" s="825"/>
      <c r="H613" s="18"/>
      <c r="I613" s="825"/>
      <c r="L613" s="825"/>
      <c r="M613" s="825"/>
      <c r="N613" s="825"/>
      <c r="O613" s="825"/>
      <c r="P613" s="825"/>
      <c r="Q613" s="21"/>
      <c r="R613" s="21"/>
      <c r="S613" s="19"/>
      <c r="T613" s="19"/>
      <c r="U613" s="19"/>
      <c r="V613" s="19"/>
      <c r="W613" s="825"/>
      <c r="X613" s="825"/>
      <c r="AM613" s="825"/>
      <c r="AN613" s="825"/>
      <c r="AO613" s="825"/>
      <c r="AP613" s="825"/>
      <c r="AQ613" s="825"/>
      <c r="AR613" s="825"/>
      <c r="AS613" s="825"/>
      <c r="AT613" s="825"/>
      <c r="AU613" s="825"/>
      <c r="AV613" s="825"/>
    </row>
    <row r="614" spans="1:48" ht="15.8" customHeight="1" x14ac:dyDescent="0.3">
      <c r="A614" s="825"/>
      <c r="B614" s="825"/>
      <c r="C614" s="825"/>
      <c r="D614" s="825"/>
      <c r="G614" s="825"/>
      <c r="H614" s="18"/>
      <c r="I614" s="825"/>
      <c r="L614" s="825"/>
      <c r="M614" s="825"/>
      <c r="N614" s="825"/>
      <c r="O614" s="825"/>
      <c r="P614" s="825"/>
      <c r="Q614" s="21"/>
      <c r="R614" s="21"/>
      <c r="S614" s="19"/>
      <c r="T614" s="19"/>
      <c r="U614" s="19"/>
      <c r="V614" s="19"/>
      <c r="W614" s="825"/>
      <c r="X614" s="825"/>
      <c r="AM614" s="825"/>
      <c r="AN614" s="825"/>
      <c r="AO614" s="825"/>
      <c r="AP614" s="825"/>
      <c r="AQ614" s="825"/>
      <c r="AR614" s="825"/>
      <c r="AS614" s="825"/>
      <c r="AT614" s="825"/>
      <c r="AU614" s="825"/>
      <c r="AV614" s="825"/>
    </row>
    <row r="615" spans="1:48" ht="15.8" customHeight="1" x14ac:dyDescent="0.3">
      <c r="A615" s="825"/>
      <c r="B615" s="825"/>
      <c r="C615" s="825"/>
      <c r="D615" s="825"/>
      <c r="G615" s="825"/>
      <c r="H615" s="18"/>
      <c r="I615" s="825"/>
      <c r="L615" s="825"/>
      <c r="M615" s="825"/>
      <c r="N615" s="825"/>
      <c r="O615" s="825"/>
      <c r="P615" s="825"/>
      <c r="Q615" s="21"/>
      <c r="R615" s="21"/>
      <c r="S615" s="19"/>
      <c r="T615" s="19"/>
      <c r="U615" s="19"/>
      <c r="V615" s="19"/>
      <c r="W615" s="825"/>
      <c r="X615" s="825"/>
      <c r="AM615" s="825"/>
      <c r="AN615" s="825"/>
      <c r="AO615" s="825"/>
      <c r="AP615" s="825"/>
      <c r="AQ615" s="825"/>
      <c r="AR615" s="825"/>
      <c r="AS615" s="825"/>
      <c r="AT615" s="825"/>
      <c r="AU615" s="825"/>
      <c r="AV615" s="825"/>
    </row>
    <row r="616" spans="1:48" ht="15.8" customHeight="1" x14ac:dyDescent="0.3">
      <c r="A616" s="825"/>
      <c r="B616" s="825"/>
      <c r="C616" s="825"/>
      <c r="D616" s="825"/>
      <c r="G616" s="825"/>
      <c r="H616" s="18"/>
      <c r="I616" s="825"/>
      <c r="L616" s="825"/>
      <c r="M616" s="825"/>
      <c r="N616" s="825"/>
      <c r="O616" s="825"/>
      <c r="P616" s="825"/>
      <c r="Q616" s="21"/>
      <c r="R616" s="21"/>
      <c r="S616" s="19"/>
      <c r="T616" s="19"/>
      <c r="U616" s="19"/>
      <c r="V616" s="19"/>
      <c r="W616" s="825"/>
      <c r="X616" s="825"/>
      <c r="AM616" s="825"/>
      <c r="AN616" s="825"/>
      <c r="AO616" s="825"/>
      <c r="AP616" s="825"/>
      <c r="AQ616" s="825"/>
      <c r="AR616" s="825"/>
      <c r="AS616" s="825"/>
      <c r="AT616" s="825"/>
      <c r="AU616" s="825"/>
      <c r="AV616" s="825"/>
    </row>
    <row r="617" spans="1:48" ht="15.8" customHeight="1" x14ac:dyDescent="0.3">
      <c r="A617" s="825"/>
      <c r="B617" s="825"/>
      <c r="C617" s="825"/>
      <c r="D617" s="825"/>
      <c r="G617" s="825"/>
      <c r="H617" s="18"/>
      <c r="I617" s="825"/>
      <c r="L617" s="825"/>
      <c r="M617" s="825"/>
      <c r="N617" s="825"/>
      <c r="O617" s="825"/>
      <c r="P617" s="825"/>
      <c r="Q617" s="21"/>
      <c r="R617" s="21"/>
      <c r="S617" s="19"/>
      <c r="T617" s="19"/>
      <c r="U617" s="19"/>
      <c r="V617" s="19"/>
      <c r="W617" s="825"/>
      <c r="X617" s="825"/>
      <c r="AM617" s="825"/>
      <c r="AN617" s="825"/>
      <c r="AO617" s="825"/>
      <c r="AP617" s="825"/>
      <c r="AQ617" s="825"/>
      <c r="AR617" s="825"/>
      <c r="AS617" s="825"/>
      <c r="AT617" s="825"/>
      <c r="AU617" s="825"/>
      <c r="AV617" s="825"/>
    </row>
    <row r="618" spans="1:48" ht="15.8" customHeight="1" x14ac:dyDescent="0.3">
      <c r="A618" s="825"/>
      <c r="B618" s="825"/>
      <c r="C618" s="825"/>
      <c r="D618" s="825"/>
      <c r="G618" s="825"/>
      <c r="H618" s="18"/>
      <c r="I618" s="825"/>
      <c r="L618" s="825"/>
      <c r="M618" s="825"/>
      <c r="N618" s="825"/>
      <c r="O618" s="825"/>
      <c r="P618" s="825"/>
      <c r="Q618" s="21"/>
      <c r="R618" s="21"/>
      <c r="S618" s="19"/>
      <c r="T618" s="19"/>
      <c r="U618" s="19"/>
      <c r="V618" s="19"/>
      <c r="W618" s="825"/>
      <c r="X618" s="825"/>
      <c r="AM618" s="825"/>
      <c r="AN618" s="825"/>
      <c r="AO618" s="825"/>
      <c r="AP618" s="825"/>
      <c r="AQ618" s="825"/>
      <c r="AR618" s="825"/>
      <c r="AS618" s="825"/>
      <c r="AT618" s="825"/>
      <c r="AU618" s="825"/>
      <c r="AV618" s="825"/>
    </row>
    <row r="619" spans="1:48" ht="15.8" customHeight="1" x14ac:dyDescent="0.3">
      <c r="A619" s="825"/>
      <c r="B619" s="825"/>
      <c r="C619" s="825"/>
      <c r="D619" s="825"/>
      <c r="G619" s="825"/>
      <c r="H619" s="18"/>
      <c r="I619" s="825"/>
      <c r="L619" s="825"/>
      <c r="M619" s="825"/>
      <c r="N619" s="825"/>
      <c r="O619" s="825"/>
      <c r="P619" s="825"/>
      <c r="Q619" s="21"/>
      <c r="R619" s="21"/>
      <c r="S619" s="19"/>
      <c r="T619" s="19"/>
      <c r="U619" s="19"/>
      <c r="V619" s="19"/>
      <c r="W619" s="825"/>
      <c r="X619" s="825"/>
      <c r="AM619" s="825"/>
      <c r="AN619" s="825"/>
      <c r="AO619" s="825"/>
      <c r="AP619" s="825"/>
      <c r="AQ619" s="825"/>
      <c r="AR619" s="825"/>
      <c r="AS619" s="825"/>
      <c r="AT619" s="825"/>
      <c r="AU619" s="825"/>
      <c r="AV619" s="825"/>
    </row>
    <row r="620" spans="1:48" ht="15.8" customHeight="1" x14ac:dyDescent="0.3">
      <c r="A620" s="825"/>
      <c r="B620" s="825"/>
      <c r="C620" s="825"/>
      <c r="D620" s="825"/>
      <c r="G620" s="825"/>
      <c r="H620" s="18"/>
      <c r="I620" s="825"/>
      <c r="L620" s="825"/>
      <c r="M620" s="825"/>
      <c r="N620" s="825"/>
      <c r="O620" s="825"/>
      <c r="P620" s="825"/>
      <c r="Q620" s="21"/>
      <c r="R620" s="21"/>
      <c r="S620" s="19"/>
      <c r="T620" s="19"/>
      <c r="U620" s="19"/>
      <c r="V620" s="19"/>
      <c r="W620" s="825"/>
      <c r="X620" s="825"/>
      <c r="AM620" s="825"/>
      <c r="AN620" s="825"/>
      <c r="AO620" s="825"/>
      <c r="AP620" s="825"/>
      <c r="AQ620" s="825"/>
      <c r="AR620" s="825"/>
      <c r="AS620" s="825"/>
      <c r="AT620" s="825"/>
      <c r="AU620" s="825"/>
      <c r="AV620" s="825"/>
    </row>
    <row r="621" spans="1:48" ht="15.8" customHeight="1" x14ac:dyDescent="0.3">
      <c r="A621" s="825"/>
      <c r="B621" s="825"/>
      <c r="C621" s="825"/>
      <c r="D621" s="825"/>
      <c r="G621" s="825"/>
      <c r="H621" s="18"/>
      <c r="I621" s="825"/>
      <c r="L621" s="825"/>
      <c r="M621" s="825"/>
      <c r="N621" s="825"/>
      <c r="O621" s="825"/>
      <c r="P621" s="825"/>
      <c r="Q621" s="21"/>
      <c r="R621" s="21"/>
      <c r="S621" s="19"/>
      <c r="T621" s="19"/>
      <c r="U621" s="19"/>
      <c r="V621" s="19"/>
      <c r="W621" s="825"/>
      <c r="X621" s="825"/>
      <c r="AM621" s="825"/>
      <c r="AN621" s="825"/>
      <c r="AO621" s="825"/>
      <c r="AP621" s="825"/>
      <c r="AQ621" s="825"/>
      <c r="AR621" s="825"/>
      <c r="AS621" s="825"/>
      <c r="AT621" s="825"/>
      <c r="AU621" s="825"/>
      <c r="AV621" s="825"/>
    </row>
    <row r="622" spans="1:48" ht="15.8" customHeight="1" x14ac:dyDescent="0.3">
      <c r="A622" s="825"/>
      <c r="B622" s="825"/>
      <c r="C622" s="825"/>
      <c r="D622" s="825"/>
      <c r="G622" s="825"/>
      <c r="H622" s="18"/>
      <c r="I622" s="825"/>
      <c r="L622" s="825"/>
      <c r="M622" s="825"/>
      <c r="N622" s="825"/>
      <c r="O622" s="825"/>
      <c r="P622" s="825"/>
      <c r="Q622" s="21"/>
      <c r="R622" s="21"/>
      <c r="S622" s="19"/>
      <c r="T622" s="19"/>
      <c r="U622" s="19"/>
      <c r="V622" s="19"/>
      <c r="W622" s="825"/>
      <c r="X622" s="825"/>
      <c r="AM622" s="825"/>
      <c r="AN622" s="825"/>
      <c r="AO622" s="825"/>
      <c r="AP622" s="825"/>
      <c r="AQ622" s="825"/>
      <c r="AR622" s="825"/>
      <c r="AS622" s="825"/>
      <c r="AT622" s="825"/>
      <c r="AU622" s="825"/>
      <c r="AV622" s="825"/>
    </row>
    <row r="623" spans="1:48" ht="15.8" customHeight="1" x14ac:dyDescent="0.3">
      <c r="A623" s="825"/>
      <c r="B623" s="825"/>
      <c r="C623" s="825"/>
      <c r="D623" s="825"/>
      <c r="G623" s="825"/>
      <c r="H623" s="18"/>
      <c r="I623" s="825"/>
      <c r="L623" s="825"/>
      <c r="M623" s="825"/>
      <c r="N623" s="825"/>
      <c r="O623" s="825"/>
      <c r="P623" s="825"/>
      <c r="Q623" s="21"/>
      <c r="R623" s="21"/>
      <c r="S623" s="19"/>
      <c r="T623" s="19"/>
      <c r="U623" s="19"/>
      <c r="V623" s="19"/>
      <c r="W623" s="825"/>
      <c r="X623" s="825"/>
      <c r="AM623" s="825"/>
      <c r="AN623" s="825"/>
      <c r="AO623" s="825"/>
      <c r="AP623" s="825"/>
      <c r="AQ623" s="825"/>
      <c r="AR623" s="825"/>
      <c r="AS623" s="825"/>
      <c r="AT623" s="825"/>
      <c r="AU623" s="825"/>
      <c r="AV623" s="825"/>
    </row>
    <row r="624" spans="1:48" ht="15.8" customHeight="1" x14ac:dyDescent="0.3">
      <c r="A624" s="825"/>
      <c r="B624" s="825"/>
      <c r="C624" s="825"/>
      <c r="D624" s="825"/>
      <c r="G624" s="825"/>
      <c r="H624" s="18"/>
      <c r="I624" s="825"/>
      <c r="L624" s="825"/>
      <c r="M624" s="825"/>
      <c r="N624" s="825"/>
      <c r="O624" s="825"/>
      <c r="P624" s="825"/>
      <c r="Q624" s="21"/>
      <c r="R624" s="21"/>
      <c r="S624" s="19"/>
      <c r="T624" s="19"/>
      <c r="U624" s="19"/>
      <c r="V624" s="19"/>
      <c r="W624" s="825"/>
      <c r="X624" s="825"/>
      <c r="AM624" s="825"/>
      <c r="AN624" s="825"/>
      <c r="AO624" s="825"/>
      <c r="AP624" s="825"/>
      <c r="AQ624" s="825"/>
      <c r="AR624" s="825"/>
      <c r="AS624" s="825"/>
      <c r="AT624" s="825"/>
      <c r="AU624" s="825"/>
      <c r="AV624" s="825"/>
    </row>
    <row r="625" spans="1:48" ht="15.8" customHeight="1" x14ac:dyDescent="0.3">
      <c r="A625" s="825"/>
      <c r="B625" s="825"/>
      <c r="C625" s="825"/>
      <c r="D625" s="825"/>
      <c r="G625" s="825"/>
      <c r="H625" s="18"/>
      <c r="I625" s="825"/>
      <c r="L625" s="825"/>
      <c r="M625" s="825"/>
      <c r="N625" s="825"/>
      <c r="O625" s="825"/>
      <c r="P625" s="825"/>
      <c r="Q625" s="21"/>
      <c r="R625" s="21"/>
      <c r="S625" s="19"/>
      <c r="T625" s="19"/>
      <c r="U625" s="19"/>
      <c r="V625" s="19"/>
      <c r="W625" s="825"/>
      <c r="X625" s="825"/>
      <c r="AM625" s="825"/>
      <c r="AN625" s="825"/>
      <c r="AO625" s="825"/>
      <c r="AP625" s="825"/>
      <c r="AQ625" s="825"/>
      <c r="AR625" s="825"/>
      <c r="AS625" s="825"/>
      <c r="AT625" s="825"/>
      <c r="AU625" s="825"/>
      <c r="AV625" s="825"/>
    </row>
    <row r="626" spans="1:48" ht="15.8" customHeight="1" x14ac:dyDescent="0.3">
      <c r="A626" s="825"/>
      <c r="B626" s="825"/>
      <c r="C626" s="825"/>
      <c r="D626" s="825"/>
      <c r="G626" s="825"/>
      <c r="H626" s="18"/>
      <c r="I626" s="825"/>
      <c r="L626" s="825"/>
      <c r="M626" s="825"/>
      <c r="N626" s="825"/>
      <c r="O626" s="825"/>
      <c r="P626" s="825"/>
      <c r="Q626" s="21"/>
      <c r="R626" s="21"/>
      <c r="S626" s="19"/>
      <c r="T626" s="19"/>
      <c r="U626" s="19"/>
      <c r="V626" s="19"/>
      <c r="W626" s="825"/>
      <c r="X626" s="825"/>
      <c r="AM626" s="825"/>
      <c r="AN626" s="825"/>
      <c r="AO626" s="825"/>
      <c r="AP626" s="825"/>
      <c r="AQ626" s="825"/>
      <c r="AR626" s="825"/>
      <c r="AS626" s="825"/>
      <c r="AT626" s="825"/>
      <c r="AU626" s="825"/>
      <c r="AV626" s="825"/>
    </row>
    <row r="627" spans="1:48" ht="15.8" customHeight="1" x14ac:dyDescent="0.3">
      <c r="A627" s="825"/>
      <c r="B627" s="825"/>
      <c r="C627" s="825"/>
      <c r="D627" s="825"/>
      <c r="G627" s="825"/>
      <c r="H627" s="18"/>
      <c r="I627" s="825"/>
      <c r="L627" s="825"/>
      <c r="M627" s="825"/>
      <c r="N627" s="825"/>
      <c r="O627" s="825"/>
      <c r="P627" s="825"/>
      <c r="Q627" s="21"/>
      <c r="R627" s="21"/>
      <c r="S627" s="19"/>
      <c r="T627" s="19"/>
      <c r="U627" s="19"/>
      <c r="V627" s="19"/>
      <c r="W627" s="825"/>
      <c r="X627" s="825"/>
      <c r="AM627" s="825"/>
      <c r="AN627" s="825"/>
      <c r="AO627" s="825"/>
      <c r="AP627" s="825"/>
      <c r="AQ627" s="825"/>
      <c r="AR627" s="825"/>
      <c r="AS627" s="825"/>
      <c r="AT627" s="825"/>
      <c r="AU627" s="825"/>
      <c r="AV627" s="825"/>
    </row>
    <row r="628" spans="1:48" ht="15.8" customHeight="1" x14ac:dyDescent="0.3">
      <c r="A628" s="825"/>
      <c r="B628" s="825"/>
      <c r="C628" s="825"/>
      <c r="D628" s="825"/>
      <c r="G628" s="825"/>
      <c r="H628" s="18"/>
      <c r="I628" s="825"/>
      <c r="L628" s="825"/>
      <c r="M628" s="825"/>
      <c r="N628" s="825"/>
      <c r="O628" s="825"/>
      <c r="P628" s="825"/>
      <c r="Q628" s="21"/>
      <c r="R628" s="21"/>
      <c r="S628" s="19"/>
      <c r="T628" s="19"/>
      <c r="U628" s="19"/>
      <c r="V628" s="19"/>
      <c r="W628" s="825"/>
      <c r="X628" s="825"/>
      <c r="AM628" s="825"/>
      <c r="AN628" s="825"/>
      <c r="AO628" s="825"/>
      <c r="AP628" s="825"/>
      <c r="AQ628" s="825"/>
      <c r="AR628" s="825"/>
      <c r="AS628" s="825"/>
      <c r="AT628" s="825"/>
      <c r="AU628" s="825"/>
      <c r="AV628" s="825"/>
    </row>
    <row r="629" spans="1:48" ht="15.8" customHeight="1" x14ac:dyDescent="0.3">
      <c r="A629" s="825"/>
      <c r="B629" s="825"/>
      <c r="C629" s="825"/>
      <c r="D629" s="825"/>
      <c r="G629" s="825"/>
      <c r="H629" s="18"/>
      <c r="I629" s="825"/>
      <c r="L629" s="825"/>
      <c r="M629" s="825"/>
      <c r="N629" s="825"/>
      <c r="O629" s="825"/>
      <c r="P629" s="825"/>
      <c r="Q629" s="21"/>
      <c r="R629" s="21"/>
      <c r="S629" s="19"/>
      <c r="T629" s="19"/>
      <c r="U629" s="19"/>
      <c r="V629" s="19"/>
      <c r="W629" s="825"/>
      <c r="X629" s="825"/>
      <c r="AM629" s="825"/>
      <c r="AN629" s="825"/>
      <c r="AO629" s="825"/>
      <c r="AP629" s="825"/>
      <c r="AQ629" s="825"/>
      <c r="AR629" s="825"/>
      <c r="AS629" s="825"/>
      <c r="AT629" s="825"/>
      <c r="AU629" s="825"/>
      <c r="AV629" s="825"/>
    </row>
    <row r="630" spans="1:48" ht="15.8" customHeight="1" x14ac:dyDescent="0.3">
      <c r="A630" s="825"/>
      <c r="B630" s="825"/>
      <c r="C630" s="825"/>
      <c r="D630" s="825"/>
      <c r="G630" s="825"/>
      <c r="H630" s="18"/>
      <c r="I630" s="825"/>
      <c r="L630" s="825"/>
      <c r="M630" s="825"/>
      <c r="N630" s="825"/>
      <c r="O630" s="825"/>
      <c r="P630" s="825"/>
      <c r="Q630" s="21"/>
      <c r="R630" s="21"/>
      <c r="S630" s="19"/>
      <c r="T630" s="19"/>
      <c r="U630" s="19"/>
      <c r="V630" s="19"/>
      <c r="W630" s="825"/>
      <c r="X630" s="825"/>
      <c r="AM630" s="825"/>
      <c r="AN630" s="825"/>
      <c r="AO630" s="825"/>
      <c r="AP630" s="825"/>
      <c r="AQ630" s="825"/>
      <c r="AR630" s="825"/>
      <c r="AS630" s="825"/>
      <c r="AT630" s="825"/>
      <c r="AU630" s="825"/>
      <c r="AV630" s="825"/>
    </row>
    <row r="631" spans="1:48" ht="15.8" customHeight="1" x14ac:dyDescent="0.3">
      <c r="A631" s="825"/>
      <c r="B631" s="825"/>
      <c r="C631" s="825"/>
      <c r="D631" s="825"/>
      <c r="G631" s="825"/>
      <c r="H631" s="18"/>
      <c r="I631" s="825"/>
      <c r="L631" s="825"/>
      <c r="M631" s="825"/>
      <c r="N631" s="825"/>
      <c r="O631" s="825"/>
      <c r="P631" s="825"/>
      <c r="Q631" s="21"/>
      <c r="R631" s="21"/>
      <c r="S631" s="19"/>
      <c r="T631" s="19"/>
      <c r="U631" s="19"/>
      <c r="V631" s="19"/>
      <c r="W631" s="825"/>
      <c r="X631" s="825"/>
      <c r="AM631" s="825"/>
      <c r="AN631" s="825"/>
      <c r="AO631" s="825"/>
      <c r="AP631" s="825"/>
      <c r="AQ631" s="825"/>
      <c r="AR631" s="825"/>
      <c r="AS631" s="825"/>
      <c r="AT631" s="825"/>
      <c r="AU631" s="825"/>
      <c r="AV631" s="825"/>
    </row>
    <row r="632" spans="1:48" ht="15.8" customHeight="1" x14ac:dyDescent="0.3">
      <c r="A632" s="825"/>
      <c r="B632" s="825"/>
      <c r="C632" s="825"/>
      <c r="D632" s="825"/>
      <c r="G632" s="825"/>
      <c r="H632" s="18"/>
      <c r="I632" s="825"/>
      <c r="L632" s="825"/>
      <c r="M632" s="825"/>
      <c r="N632" s="825"/>
      <c r="O632" s="825"/>
      <c r="P632" s="825"/>
      <c r="Q632" s="21"/>
      <c r="R632" s="21"/>
      <c r="S632" s="19"/>
      <c r="T632" s="19"/>
      <c r="U632" s="19"/>
      <c r="V632" s="19"/>
      <c r="W632" s="825"/>
      <c r="X632" s="825"/>
      <c r="AM632" s="825"/>
      <c r="AN632" s="825"/>
      <c r="AO632" s="825"/>
      <c r="AP632" s="825"/>
      <c r="AQ632" s="825"/>
      <c r="AR632" s="825"/>
      <c r="AS632" s="825"/>
      <c r="AT632" s="825"/>
      <c r="AU632" s="825"/>
      <c r="AV632" s="825"/>
    </row>
    <row r="633" spans="1:48" ht="15.8" customHeight="1" x14ac:dyDescent="0.3">
      <c r="A633" s="825"/>
      <c r="B633" s="825"/>
      <c r="C633" s="825"/>
      <c r="D633" s="825"/>
      <c r="G633" s="825"/>
      <c r="H633" s="18"/>
      <c r="I633" s="825"/>
      <c r="L633" s="825"/>
      <c r="M633" s="825"/>
      <c r="N633" s="825"/>
      <c r="O633" s="825"/>
      <c r="P633" s="825"/>
      <c r="Q633" s="21"/>
      <c r="R633" s="21"/>
      <c r="S633" s="19"/>
      <c r="T633" s="19"/>
      <c r="U633" s="19"/>
      <c r="V633" s="19"/>
      <c r="W633" s="825"/>
      <c r="X633" s="825"/>
      <c r="AM633" s="825"/>
      <c r="AN633" s="825"/>
      <c r="AO633" s="825"/>
      <c r="AP633" s="825"/>
      <c r="AQ633" s="825"/>
      <c r="AR633" s="825"/>
      <c r="AS633" s="825"/>
      <c r="AT633" s="825"/>
      <c r="AU633" s="825"/>
      <c r="AV633" s="825"/>
    </row>
    <row r="634" spans="1:48" ht="15.8" customHeight="1" x14ac:dyDescent="0.3">
      <c r="A634" s="825"/>
      <c r="B634" s="825"/>
      <c r="C634" s="825"/>
      <c r="D634" s="825"/>
      <c r="G634" s="825"/>
      <c r="H634" s="18"/>
      <c r="I634" s="825"/>
      <c r="L634" s="825"/>
      <c r="M634" s="825"/>
      <c r="N634" s="825"/>
      <c r="O634" s="825"/>
      <c r="P634" s="825"/>
      <c r="Q634" s="21"/>
      <c r="R634" s="21"/>
      <c r="S634" s="19"/>
      <c r="T634" s="19"/>
      <c r="U634" s="19"/>
      <c r="V634" s="19"/>
      <c r="W634" s="825"/>
      <c r="X634" s="825"/>
      <c r="AM634" s="825"/>
      <c r="AN634" s="825"/>
      <c r="AO634" s="825"/>
      <c r="AP634" s="825"/>
      <c r="AQ634" s="825"/>
      <c r="AR634" s="825"/>
      <c r="AS634" s="825"/>
      <c r="AT634" s="825"/>
      <c r="AU634" s="825"/>
      <c r="AV634" s="825"/>
    </row>
    <row r="635" spans="1:48" ht="15.8" customHeight="1" x14ac:dyDescent="0.3">
      <c r="A635" s="825"/>
      <c r="B635" s="825"/>
      <c r="C635" s="825"/>
      <c r="D635" s="825"/>
      <c r="G635" s="825"/>
      <c r="H635" s="18"/>
      <c r="I635" s="825"/>
      <c r="L635" s="825"/>
      <c r="M635" s="825"/>
      <c r="N635" s="825"/>
      <c r="O635" s="825"/>
      <c r="P635" s="825"/>
      <c r="Q635" s="21"/>
      <c r="R635" s="21"/>
      <c r="S635" s="19"/>
      <c r="T635" s="19"/>
      <c r="U635" s="19"/>
      <c r="V635" s="19"/>
      <c r="W635" s="825"/>
      <c r="X635" s="825"/>
      <c r="AM635" s="825"/>
      <c r="AN635" s="825"/>
      <c r="AO635" s="825"/>
      <c r="AP635" s="825"/>
      <c r="AQ635" s="825"/>
      <c r="AR635" s="825"/>
      <c r="AS635" s="825"/>
      <c r="AT635" s="825"/>
      <c r="AU635" s="825"/>
      <c r="AV635" s="825"/>
    </row>
    <row r="636" spans="1:48" ht="15.8" customHeight="1" x14ac:dyDescent="0.3">
      <c r="A636" s="825"/>
      <c r="B636" s="825"/>
      <c r="C636" s="825"/>
      <c r="D636" s="825"/>
      <c r="G636" s="825"/>
      <c r="H636" s="18"/>
      <c r="I636" s="825"/>
      <c r="L636" s="825"/>
      <c r="M636" s="825"/>
      <c r="N636" s="825"/>
      <c r="O636" s="825"/>
      <c r="P636" s="825"/>
      <c r="Q636" s="21"/>
      <c r="R636" s="21"/>
      <c r="S636" s="19"/>
      <c r="T636" s="19"/>
      <c r="U636" s="19"/>
      <c r="V636" s="19"/>
      <c r="W636" s="825"/>
      <c r="X636" s="825"/>
      <c r="AM636" s="825"/>
      <c r="AN636" s="825"/>
      <c r="AO636" s="825"/>
      <c r="AP636" s="825"/>
      <c r="AQ636" s="825"/>
      <c r="AR636" s="825"/>
      <c r="AS636" s="825"/>
      <c r="AT636" s="825"/>
      <c r="AU636" s="825"/>
      <c r="AV636" s="825"/>
    </row>
    <row r="637" spans="1:48" ht="15.8" customHeight="1" x14ac:dyDescent="0.3">
      <c r="A637" s="825"/>
      <c r="B637" s="825"/>
      <c r="C637" s="825"/>
      <c r="D637" s="825"/>
      <c r="G637" s="825"/>
      <c r="H637" s="18"/>
      <c r="I637" s="825"/>
      <c r="L637" s="825"/>
      <c r="M637" s="825"/>
      <c r="N637" s="825"/>
      <c r="O637" s="825"/>
      <c r="P637" s="825"/>
      <c r="Q637" s="21"/>
      <c r="R637" s="21"/>
      <c r="S637" s="19"/>
      <c r="T637" s="19"/>
      <c r="U637" s="19"/>
      <c r="V637" s="19"/>
      <c r="W637" s="825"/>
      <c r="X637" s="825"/>
      <c r="AM637" s="825"/>
      <c r="AN637" s="825"/>
      <c r="AO637" s="825"/>
      <c r="AP637" s="825"/>
      <c r="AQ637" s="825"/>
      <c r="AR637" s="825"/>
      <c r="AS637" s="825"/>
      <c r="AT637" s="825"/>
      <c r="AU637" s="825"/>
      <c r="AV637" s="825"/>
    </row>
    <row r="638" spans="1:48" ht="15.8" customHeight="1" x14ac:dyDescent="0.3">
      <c r="A638" s="825"/>
      <c r="B638" s="825"/>
      <c r="C638" s="825"/>
      <c r="D638" s="825"/>
      <c r="G638" s="825"/>
      <c r="H638" s="18"/>
      <c r="I638" s="825"/>
      <c r="L638" s="825"/>
      <c r="M638" s="825"/>
      <c r="N638" s="825"/>
      <c r="O638" s="825"/>
      <c r="P638" s="825"/>
      <c r="Q638" s="21"/>
      <c r="R638" s="21"/>
      <c r="S638" s="19"/>
      <c r="T638" s="19"/>
      <c r="U638" s="19"/>
      <c r="V638" s="19"/>
      <c r="W638" s="825"/>
      <c r="X638" s="825"/>
      <c r="AM638" s="825"/>
      <c r="AN638" s="825"/>
      <c r="AO638" s="825"/>
      <c r="AP638" s="825"/>
      <c r="AQ638" s="825"/>
      <c r="AR638" s="825"/>
      <c r="AS638" s="825"/>
      <c r="AT638" s="825"/>
      <c r="AU638" s="825"/>
      <c r="AV638" s="825"/>
    </row>
    <row r="639" spans="1:48" ht="15.8" customHeight="1" x14ac:dyDescent="0.3">
      <c r="A639" s="825"/>
      <c r="B639" s="825"/>
      <c r="C639" s="825"/>
      <c r="D639" s="825"/>
      <c r="G639" s="825"/>
      <c r="H639" s="18"/>
      <c r="I639" s="825"/>
      <c r="L639" s="825"/>
      <c r="M639" s="825"/>
      <c r="N639" s="825"/>
      <c r="O639" s="825"/>
      <c r="P639" s="825"/>
      <c r="Q639" s="21"/>
      <c r="R639" s="21"/>
      <c r="S639" s="19"/>
      <c r="T639" s="19"/>
      <c r="U639" s="19"/>
      <c r="V639" s="19"/>
      <c r="W639" s="825"/>
      <c r="X639" s="825"/>
      <c r="AM639" s="825"/>
      <c r="AN639" s="825"/>
      <c r="AO639" s="825"/>
      <c r="AP639" s="825"/>
      <c r="AQ639" s="825"/>
      <c r="AR639" s="825"/>
      <c r="AS639" s="825"/>
      <c r="AT639" s="825"/>
      <c r="AU639" s="825"/>
      <c r="AV639" s="825"/>
    </row>
    <row r="640" spans="1:48" ht="15.8" customHeight="1" x14ac:dyDescent="0.3">
      <c r="A640" s="825"/>
      <c r="B640" s="825"/>
      <c r="C640" s="825"/>
      <c r="D640" s="825"/>
      <c r="G640" s="825"/>
      <c r="H640" s="18"/>
      <c r="I640" s="825"/>
      <c r="L640" s="825"/>
      <c r="M640" s="825"/>
      <c r="N640" s="825"/>
      <c r="O640" s="825"/>
      <c r="P640" s="825"/>
      <c r="Q640" s="21"/>
      <c r="R640" s="21"/>
      <c r="S640" s="19"/>
      <c r="T640" s="19"/>
      <c r="U640" s="19"/>
      <c r="V640" s="19"/>
      <c r="W640" s="825"/>
      <c r="X640" s="825"/>
      <c r="AM640" s="825"/>
      <c r="AN640" s="825"/>
      <c r="AO640" s="825"/>
      <c r="AP640" s="825"/>
      <c r="AQ640" s="825"/>
      <c r="AR640" s="825"/>
      <c r="AS640" s="825"/>
      <c r="AT640" s="825"/>
      <c r="AU640" s="825"/>
      <c r="AV640" s="825"/>
    </row>
    <row r="641" spans="1:48" ht="15.8" customHeight="1" x14ac:dyDescent="0.3">
      <c r="A641" s="825"/>
      <c r="B641" s="825"/>
      <c r="C641" s="825"/>
      <c r="D641" s="825"/>
      <c r="G641" s="825"/>
      <c r="H641" s="18"/>
      <c r="I641" s="825"/>
      <c r="L641" s="825"/>
      <c r="M641" s="825"/>
      <c r="N641" s="825"/>
      <c r="O641" s="825"/>
      <c r="P641" s="825"/>
      <c r="Q641" s="21"/>
      <c r="R641" s="21"/>
      <c r="S641" s="19"/>
      <c r="T641" s="19"/>
      <c r="U641" s="19"/>
      <c r="V641" s="19"/>
      <c r="W641" s="825"/>
      <c r="X641" s="825"/>
      <c r="AM641" s="825"/>
      <c r="AN641" s="825"/>
      <c r="AO641" s="825"/>
      <c r="AP641" s="825"/>
      <c r="AQ641" s="825"/>
      <c r="AR641" s="825"/>
      <c r="AS641" s="825"/>
      <c r="AT641" s="825"/>
      <c r="AU641" s="825"/>
      <c r="AV641" s="825"/>
    </row>
    <row r="642" spans="1:48" ht="15.8" customHeight="1" x14ac:dyDescent="0.3">
      <c r="A642" s="825"/>
      <c r="B642" s="825"/>
      <c r="C642" s="825"/>
      <c r="D642" s="825"/>
      <c r="G642" s="825"/>
      <c r="H642" s="18"/>
      <c r="I642" s="825"/>
      <c r="L642" s="825"/>
      <c r="M642" s="825"/>
      <c r="N642" s="825"/>
      <c r="O642" s="825"/>
      <c r="P642" s="825"/>
      <c r="Q642" s="21"/>
      <c r="R642" s="21"/>
      <c r="S642" s="19"/>
      <c r="T642" s="19"/>
      <c r="U642" s="19"/>
      <c r="V642" s="19"/>
      <c r="W642" s="825"/>
      <c r="X642" s="825"/>
      <c r="AM642" s="825"/>
      <c r="AN642" s="825"/>
      <c r="AO642" s="825"/>
      <c r="AP642" s="825"/>
      <c r="AQ642" s="825"/>
      <c r="AR642" s="825"/>
      <c r="AS642" s="825"/>
      <c r="AT642" s="825"/>
      <c r="AU642" s="825"/>
      <c r="AV642" s="825"/>
    </row>
    <row r="643" spans="1:48" ht="15.8" customHeight="1" x14ac:dyDescent="0.3">
      <c r="A643" s="825"/>
      <c r="B643" s="825"/>
      <c r="C643" s="825"/>
      <c r="D643" s="825"/>
      <c r="G643" s="825"/>
      <c r="H643" s="18"/>
      <c r="I643" s="825"/>
      <c r="L643" s="825"/>
      <c r="M643" s="825"/>
      <c r="N643" s="825"/>
      <c r="O643" s="825"/>
      <c r="P643" s="825"/>
      <c r="Q643" s="21"/>
      <c r="R643" s="21"/>
      <c r="S643" s="19"/>
      <c r="T643" s="19"/>
      <c r="U643" s="19"/>
      <c r="V643" s="19"/>
      <c r="W643" s="825"/>
      <c r="X643" s="825"/>
      <c r="AM643" s="825"/>
      <c r="AN643" s="825"/>
      <c r="AO643" s="825"/>
      <c r="AP643" s="825"/>
      <c r="AQ643" s="825"/>
      <c r="AR643" s="825"/>
      <c r="AS643" s="825"/>
      <c r="AT643" s="825"/>
      <c r="AU643" s="825"/>
      <c r="AV643" s="825"/>
    </row>
    <row r="644" spans="1:48" ht="15.8" customHeight="1" x14ac:dyDescent="0.3">
      <c r="A644" s="825"/>
      <c r="B644" s="825"/>
      <c r="C644" s="825"/>
      <c r="D644" s="825"/>
      <c r="G644" s="825"/>
      <c r="H644" s="18"/>
      <c r="I644" s="825"/>
      <c r="L644" s="825"/>
      <c r="M644" s="825"/>
      <c r="N644" s="825"/>
      <c r="O644" s="825"/>
      <c r="P644" s="825"/>
      <c r="Q644" s="21"/>
      <c r="R644" s="21"/>
      <c r="S644" s="19"/>
      <c r="T644" s="19"/>
      <c r="U644" s="19"/>
      <c r="V644" s="19"/>
      <c r="W644" s="825"/>
      <c r="X644" s="825"/>
      <c r="AM644" s="825"/>
      <c r="AN644" s="825"/>
      <c r="AO644" s="825"/>
      <c r="AP644" s="825"/>
      <c r="AQ644" s="825"/>
      <c r="AR644" s="825"/>
      <c r="AS644" s="825"/>
      <c r="AT644" s="825"/>
      <c r="AU644" s="825"/>
      <c r="AV644" s="825"/>
    </row>
    <row r="645" spans="1:48" ht="15.8" customHeight="1" x14ac:dyDescent="0.3">
      <c r="A645" s="825"/>
      <c r="B645" s="825"/>
      <c r="C645" s="825"/>
      <c r="D645" s="825"/>
      <c r="G645" s="825"/>
      <c r="H645" s="18"/>
      <c r="I645" s="825"/>
      <c r="L645" s="825"/>
      <c r="M645" s="825"/>
      <c r="N645" s="825"/>
      <c r="O645" s="825"/>
      <c r="P645" s="825"/>
      <c r="Q645" s="21"/>
      <c r="R645" s="21"/>
      <c r="S645" s="19"/>
      <c r="T645" s="19"/>
      <c r="U645" s="19"/>
      <c r="V645" s="19"/>
      <c r="W645" s="825"/>
      <c r="X645" s="825"/>
      <c r="AM645" s="825"/>
      <c r="AN645" s="825"/>
      <c r="AO645" s="825"/>
      <c r="AP645" s="825"/>
      <c r="AQ645" s="825"/>
      <c r="AR645" s="825"/>
      <c r="AS645" s="825"/>
      <c r="AT645" s="825"/>
      <c r="AU645" s="825"/>
      <c r="AV645" s="825"/>
    </row>
    <row r="646" spans="1:48" ht="15.8" customHeight="1" x14ac:dyDescent="0.3">
      <c r="A646" s="825"/>
      <c r="B646" s="825"/>
      <c r="C646" s="825"/>
      <c r="D646" s="825"/>
      <c r="G646" s="825"/>
      <c r="H646" s="18"/>
      <c r="I646" s="825"/>
      <c r="L646" s="825"/>
      <c r="M646" s="825"/>
      <c r="N646" s="825"/>
      <c r="O646" s="825"/>
      <c r="P646" s="825"/>
      <c r="Q646" s="21"/>
      <c r="R646" s="21"/>
      <c r="S646" s="19"/>
      <c r="T646" s="19"/>
      <c r="U646" s="19"/>
      <c r="V646" s="19"/>
      <c r="W646" s="825"/>
      <c r="X646" s="825"/>
      <c r="AM646" s="825"/>
      <c r="AN646" s="825"/>
      <c r="AO646" s="825"/>
      <c r="AP646" s="825"/>
      <c r="AQ646" s="825"/>
      <c r="AR646" s="825"/>
      <c r="AS646" s="825"/>
      <c r="AT646" s="825"/>
      <c r="AU646" s="825"/>
      <c r="AV646" s="825"/>
    </row>
    <row r="647" spans="1:48" ht="15.8" customHeight="1" x14ac:dyDescent="0.3">
      <c r="A647" s="825"/>
      <c r="B647" s="825"/>
      <c r="C647" s="825"/>
      <c r="D647" s="825"/>
      <c r="G647" s="825"/>
      <c r="H647" s="18"/>
      <c r="I647" s="825"/>
      <c r="L647" s="825"/>
      <c r="M647" s="825"/>
      <c r="N647" s="825"/>
      <c r="O647" s="825"/>
      <c r="P647" s="825"/>
      <c r="Q647" s="21"/>
      <c r="R647" s="21"/>
      <c r="S647" s="19"/>
      <c r="T647" s="19"/>
      <c r="U647" s="19"/>
      <c r="V647" s="19"/>
      <c r="W647" s="825"/>
      <c r="X647" s="825"/>
      <c r="AM647" s="825"/>
      <c r="AN647" s="825"/>
      <c r="AO647" s="825"/>
      <c r="AP647" s="825"/>
      <c r="AQ647" s="825"/>
      <c r="AR647" s="825"/>
      <c r="AS647" s="825"/>
      <c r="AT647" s="825"/>
      <c r="AU647" s="825"/>
      <c r="AV647" s="825"/>
    </row>
    <row r="648" spans="1:48" ht="15.8" customHeight="1" x14ac:dyDescent="0.3">
      <c r="A648" s="825"/>
      <c r="B648" s="825"/>
      <c r="C648" s="825"/>
      <c r="D648" s="825"/>
      <c r="G648" s="825"/>
      <c r="H648" s="18"/>
      <c r="I648" s="825"/>
      <c r="L648" s="825"/>
      <c r="M648" s="825"/>
      <c r="N648" s="825"/>
      <c r="O648" s="825"/>
      <c r="P648" s="825"/>
      <c r="Q648" s="21"/>
      <c r="R648" s="21"/>
      <c r="S648" s="19"/>
      <c r="T648" s="19"/>
      <c r="U648" s="19"/>
      <c r="V648" s="19"/>
      <c r="W648" s="825"/>
      <c r="X648" s="825"/>
      <c r="AM648" s="825"/>
      <c r="AN648" s="825"/>
      <c r="AO648" s="825"/>
      <c r="AP648" s="825"/>
      <c r="AQ648" s="825"/>
      <c r="AR648" s="825"/>
      <c r="AS648" s="825"/>
      <c r="AT648" s="825"/>
      <c r="AU648" s="825"/>
      <c r="AV648" s="825"/>
    </row>
    <row r="649" spans="1:48" ht="15.8" customHeight="1" x14ac:dyDescent="0.3">
      <c r="A649" s="825"/>
      <c r="B649" s="825"/>
      <c r="C649" s="825"/>
      <c r="D649" s="825"/>
      <c r="G649" s="825"/>
      <c r="H649" s="18"/>
      <c r="I649" s="825"/>
      <c r="L649" s="825"/>
      <c r="M649" s="825"/>
      <c r="N649" s="825"/>
      <c r="O649" s="825"/>
      <c r="P649" s="825"/>
      <c r="Q649" s="21"/>
      <c r="R649" s="21"/>
      <c r="S649" s="19"/>
      <c r="T649" s="19"/>
      <c r="U649" s="19"/>
      <c r="V649" s="19"/>
      <c r="W649" s="825"/>
      <c r="X649" s="825"/>
      <c r="AM649" s="825"/>
      <c r="AN649" s="825"/>
      <c r="AO649" s="825"/>
      <c r="AP649" s="825"/>
      <c r="AQ649" s="825"/>
      <c r="AR649" s="825"/>
      <c r="AS649" s="825"/>
      <c r="AT649" s="825"/>
      <c r="AU649" s="825"/>
      <c r="AV649" s="825"/>
    </row>
    <row r="650" spans="1:48" ht="15.8" customHeight="1" x14ac:dyDescent="0.3">
      <c r="A650" s="825"/>
      <c r="B650" s="825"/>
      <c r="C650" s="825"/>
      <c r="D650" s="825"/>
      <c r="G650" s="825"/>
      <c r="H650" s="18"/>
      <c r="I650" s="825"/>
      <c r="L650" s="825"/>
      <c r="M650" s="825"/>
      <c r="N650" s="825"/>
      <c r="O650" s="825"/>
      <c r="P650" s="825"/>
      <c r="Q650" s="21"/>
      <c r="R650" s="21"/>
      <c r="S650" s="19"/>
      <c r="T650" s="19"/>
      <c r="U650" s="19"/>
      <c r="V650" s="19"/>
      <c r="W650" s="825"/>
      <c r="X650" s="825"/>
      <c r="AM650" s="825"/>
      <c r="AN650" s="825"/>
      <c r="AO650" s="825"/>
      <c r="AP650" s="825"/>
      <c r="AQ650" s="825"/>
      <c r="AR650" s="825"/>
      <c r="AS650" s="825"/>
      <c r="AT650" s="825"/>
      <c r="AU650" s="825"/>
      <c r="AV650" s="825"/>
    </row>
    <row r="651" spans="1:48" ht="15.8" customHeight="1" x14ac:dyDescent="0.3">
      <c r="A651" s="825"/>
      <c r="B651" s="825"/>
      <c r="C651" s="825"/>
      <c r="D651" s="825"/>
      <c r="G651" s="825"/>
      <c r="H651" s="18"/>
      <c r="I651" s="825"/>
      <c r="L651" s="825"/>
      <c r="M651" s="825"/>
      <c r="N651" s="825"/>
      <c r="O651" s="825"/>
      <c r="P651" s="825"/>
      <c r="Q651" s="21"/>
      <c r="R651" s="21"/>
      <c r="S651" s="19"/>
      <c r="T651" s="19"/>
      <c r="U651" s="19"/>
      <c r="V651" s="19"/>
      <c r="W651" s="825"/>
      <c r="X651" s="825"/>
      <c r="AM651" s="825"/>
      <c r="AN651" s="825"/>
      <c r="AO651" s="825"/>
      <c r="AP651" s="825"/>
      <c r="AQ651" s="825"/>
      <c r="AR651" s="825"/>
      <c r="AS651" s="825"/>
      <c r="AT651" s="825"/>
      <c r="AU651" s="825"/>
      <c r="AV651" s="825"/>
    </row>
    <row r="652" spans="1:48" ht="15.8" customHeight="1" x14ac:dyDescent="0.3">
      <c r="A652" s="825"/>
      <c r="B652" s="825"/>
      <c r="C652" s="825"/>
      <c r="D652" s="825"/>
      <c r="G652" s="825"/>
      <c r="H652" s="18"/>
      <c r="I652" s="825"/>
      <c r="L652" s="825"/>
      <c r="M652" s="825"/>
      <c r="N652" s="825"/>
      <c r="O652" s="825"/>
      <c r="P652" s="825"/>
      <c r="Q652" s="21"/>
      <c r="R652" s="21"/>
      <c r="S652" s="19"/>
      <c r="T652" s="19"/>
      <c r="U652" s="19"/>
      <c r="V652" s="19"/>
      <c r="W652" s="825"/>
      <c r="X652" s="825"/>
      <c r="AM652" s="825"/>
      <c r="AN652" s="825"/>
      <c r="AO652" s="825"/>
      <c r="AP652" s="825"/>
      <c r="AQ652" s="825"/>
      <c r="AR652" s="825"/>
      <c r="AS652" s="825"/>
      <c r="AT652" s="825"/>
      <c r="AU652" s="825"/>
      <c r="AV652" s="825"/>
    </row>
    <row r="653" spans="1:48" ht="15.8" customHeight="1" x14ac:dyDescent="0.3">
      <c r="A653" s="825"/>
      <c r="B653" s="825"/>
      <c r="C653" s="825"/>
      <c r="D653" s="825"/>
      <c r="G653" s="825"/>
      <c r="H653" s="18"/>
      <c r="I653" s="825"/>
      <c r="L653" s="825"/>
      <c r="M653" s="825"/>
      <c r="N653" s="825"/>
      <c r="O653" s="825"/>
      <c r="P653" s="825"/>
      <c r="Q653" s="21"/>
      <c r="R653" s="21"/>
      <c r="S653" s="19"/>
      <c r="T653" s="19"/>
      <c r="U653" s="19"/>
      <c r="V653" s="19"/>
      <c r="W653" s="825"/>
      <c r="X653" s="825"/>
      <c r="AM653" s="825"/>
      <c r="AN653" s="825"/>
      <c r="AO653" s="825"/>
      <c r="AP653" s="825"/>
      <c r="AQ653" s="825"/>
      <c r="AR653" s="825"/>
      <c r="AS653" s="825"/>
      <c r="AT653" s="825"/>
      <c r="AU653" s="825"/>
      <c r="AV653" s="825"/>
    </row>
    <row r="654" spans="1:48" ht="15.8" customHeight="1" x14ac:dyDescent="0.3">
      <c r="A654" s="825"/>
      <c r="B654" s="825"/>
      <c r="C654" s="825"/>
      <c r="D654" s="825"/>
      <c r="G654" s="825"/>
      <c r="H654" s="18"/>
      <c r="I654" s="825"/>
      <c r="L654" s="825"/>
      <c r="M654" s="825"/>
      <c r="N654" s="825"/>
      <c r="O654" s="825"/>
      <c r="P654" s="825"/>
      <c r="Q654" s="21"/>
      <c r="R654" s="21"/>
      <c r="S654" s="19"/>
      <c r="T654" s="19"/>
      <c r="U654" s="19"/>
      <c r="V654" s="19"/>
      <c r="W654" s="825"/>
      <c r="X654" s="825"/>
      <c r="AM654" s="825"/>
      <c r="AN654" s="825"/>
      <c r="AO654" s="825"/>
      <c r="AP654" s="825"/>
      <c r="AQ654" s="825"/>
      <c r="AR654" s="825"/>
      <c r="AS654" s="825"/>
      <c r="AT654" s="825"/>
      <c r="AU654" s="825"/>
      <c r="AV654" s="825"/>
    </row>
    <row r="655" spans="1:48" ht="15.8" customHeight="1" x14ac:dyDescent="0.3">
      <c r="A655" s="825"/>
      <c r="B655" s="825"/>
      <c r="C655" s="825"/>
      <c r="D655" s="825"/>
      <c r="G655" s="825"/>
      <c r="H655" s="18"/>
      <c r="I655" s="825"/>
      <c r="L655" s="825"/>
      <c r="M655" s="825"/>
      <c r="N655" s="825"/>
      <c r="O655" s="825"/>
      <c r="P655" s="825"/>
      <c r="Q655" s="21"/>
      <c r="R655" s="21"/>
      <c r="S655" s="19"/>
      <c r="T655" s="19"/>
      <c r="U655" s="19"/>
      <c r="V655" s="19"/>
      <c r="W655" s="825"/>
      <c r="X655" s="825"/>
      <c r="AM655" s="825"/>
      <c r="AN655" s="825"/>
      <c r="AO655" s="825"/>
      <c r="AP655" s="825"/>
      <c r="AQ655" s="825"/>
      <c r="AR655" s="825"/>
      <c r="AS655" s="825"/>
      <c r="AT655" s="825"/>
      <c r="AU655" s="825"/>
      <c r="AV655" s="825"/>
    </row>
    <row r="656" spans="1:48" ht="15.8" customHeight="1" x14ac:dyDescent="0.3">
      <c r="A656" s="825"/>
      <c r="B656" s="825"/>
      <c r="C656" s="825"/>
      <c r="D656" s="825"/>
      <c r="G656" s="825"/>
      <c r="H656" s="18"/>
      <c r="I656" s="825"/>
      <c r="L656" s="825"/>
      <c r="M656" s="825"/>
      <c r="N656" s="825"/>
      <c r="O656" s="825"/>
      <c r="P656" s="825"/>
      <c r="Q656" s="21"/>
      <c r="R656" s="21"/>
      <c r="S656" s="19"/>
      <c r="T656" s="19"/>
      <c r="U656" s="19"/>
      <c r="V656" s="19"/>
      <c r="W656" s="825"/>
      <c r="X656" s="825"/>
      <c r="AM656" s="825"/>
      <c r="AN656" s="825"/>
      <c r="AO656" s="825"/>
      <c r="AP656" s="825"/>
      <c r="AQ656" s="825"/>
      <c r="AR656" s="825"/>
      <c r="AS656" s="825"/>
      <c r="AT656" s="825"/>
      <c r="AU656" s="825"/>
      <c r="AV656" s="825"/>
    </row>
    <row r="657" spans="1:48" ht="15.8" customHeight="1" x14ac:dyDescent="0.3">
      <c r="A657" s="825"/>
      <c r="B657" s="825"/>
      <c r="C657" s="825"/>
      <c r="D657" s="825"/>
      <c r="G657" s="825"/>
      <c r="H657" s="18"/>
      <c r="I657" s="825"/>
      <c r="L657" s="825"/>
      <c r="M657" s="825"/>
      <c r="N657" s="825"/>
      <c r="O657" s="825"/>
      <c r="P657" s="825"/>
      <c r="Q657" s="21"/>
      <c r="R657" s="21"/>
      <c r="S657" s="19"/>
      <c r="T657" s="19"/>
      <c r="U657" s="19"/>
      <c r="V657" s="19"/>
      <c r="W657" s="825"/>
      <c r="X657" s="825"/>
      <c r="AM657" s="825"/>
      <c r="AN657" s="825"/>
      <c r="AO657" s="825"/>
      <c r="AP657" s="825"/>
      <c r="AQ657" s="825"/>
      <c r="AR657" s="825"/>
      <c r="AS657" s="825"/>
      <c r="AT657" s="825"/>
      <c r="AU657" s="825"/>
      <c r="AV657" s="825"/>
    </row>
    <row r="658" spans="1:48" ht="15.8" customHeight="1" x14ac:dyDescent="0.3">
      <c r="A658" s="825"/>
      <c r="B658" s="825"/>
      <c r="C658" s="825"/>
      <c r="D658" s="825"/>
      <c r="G658" s="825"/>
      <c r="H658" s="18"/>
      <c r="I658" s="825"/>
      <c r="L658" s="825"/>
      <c r="M658" s="825"/>
      <c r="N658" s="825"/>
      <c r="O658" s="825"/>
      <c r="P658" s="825"/>
      <c r="Q658" s="21"/>
      <c r="R658" s="21"/>
      <c r="S658" s="19"/>
      <c r="T658" s="19"/>
      <c r="U658" s="19"/>
      <c r="V658" s="19"/>
      <c r="W658" s="825"/>
      <c r="X658" s="825"/>
      <c r="AM658" s="825"/>
      <c r="AN658" s="825"/>
      <c r="AO658" s="825"/>
      <c r="AP658" s="825"/>
      <c r="AQ658" s="825"/>
      <c r="AR658" s="825"/>
      <c r="AS658" s="825"/>
      <c r="AT658" s="825"/>
      <c r="AU658" s="825"/>
      <c r="AV658" s="825"/>
    </row>
    <row r="659" spans="1:48" ht="15.8" customHeight="1" x14ac:dyDescent="0.3">
      <c r="A659" s="825"/>
      <c r="B659" s="825"/>
      <c r="C659" s="825"/>
      <c r="D659" s="825"/>
      <c r="G659" s="825"/>
      <c r="H659" s="18"/>
      <c r="I659" s="825"/>
      <c r="L659" s="825"/>
      <c r="M659" s="825"/>
      <c r="N659" s="825"/>
      <c r="O659" s="825"/>
      <c r="P659" s="825"/>
      <c r="Q659" s="21"/>
      <c r="R659" s="21"/>
      <c r="S659" s="19"/>
      <c r="T659" s="19"/>
      <c r="U659" s="19"/>
      <c r="V659" s="19"/>
      <c r="W659" s="825"/>
      <c r="X659" s="825"/>
      <c r="AM659" s="825"/>
      <c r="AN659" s="825"/>
      <c r="AO659" s="825"/>
      <c r="AP659" s="825"/>
      <c r="AQ659" s="825"/>
      <c r="AR659" s="825"/>
      <c r="AS659" s="825"/>
      <c r="AT659" s="825"/>
      <c r="AU659" s="825"/>
      <c r="AV659" s="825"/>
    </row>
    <row r="660" spans="1:48" ht="15.8" customHeight="1" x14ac:dyDescent="0.3">
      <c r="A660" s="825"/>
      <c r="B660" s="825"/>
      <c r="C660" s="825"/>
      <c r="D660" s="825"/>
      <c r="G660" s="825"/>
      <c r="H660" s="18"/>
      <c r="I660" s="825"/>
      <c r="L660" s="825"/>
      <c r="M660" s="825"/>
      <c r="N660" s="825"/>
      <c r="O660" s="825"/>
      <c r="P660" s="825"/>
      <c r="Q660" s="21"/>
      <c r="R660" s="21"/>
      <c r="S660" s="19"/>
      <c r="T660" s="19"/>
      <c r="U660" s="19"/>
      <c r="V660" s="19"/>
      <c r="W660" s="825"/>
      <c r="X660" s="825"/>
      <c r="AM660" s="825"/>
      <c r="AN660" s="825"/>
      <c r="AO660" s="825"/>
      <c r="AP660" s="825"/>
      <c r="AQ660" s="825"/>
      <c r="AR660" s="825"/>
      <c r="AS660" s="825"/>
      <c r="AT660" s="825"/>
      <c r="AU660" s="825"/>
      <c r="AV660" s="825"/>
    </row>
    <row r="661" spans="1:48" ht="15.8" customHeight="1" x14ac:dyDescent="0.3">
      <c r="A661" s="825"/>
      <c r="B661" s="825"/>
      <c r="C661" s="825"/>
      <c r="D661" s="825"/>
      <c r="G661" s="825"/>
      <c r="H661" s="18"/>
      <c r="I661" s="825"/>
      <c r="L661" s="825"/>
      <c r="M661" s="825"/>
      <c r="N661" s="825"/>
      <c r="O661" s="825"/>
      <c r="P661" s="825"/>
      <c r="Q661" s="21"/>
      <c r="R661" s="21"/>
      <c r="S661" s="19"/>
      <c r="T661" s="19"/>
      <c r="U661" s="19"/>
      <c r="V661" s="19"/>
      <c r="W661" s="825"/>
      <c r="X661" s="825"/>
      <c r="AM661" s="825"/>
      <c r="AN661" s="825"/>
      <c r="AO661" s="825"/>
      <c r="AP661" s="825"/>
      <c r="AQ661" s="825"/>
      <c r="AR661" s="825"/>
      <c r="AS661" s="825"/>
      <c r="AT661" s="825"/>
      <c r="AU661" s="825"/>
      <c r="AV661" s="825"/>
    </row>
    <row r="662" spans="1:48" ht="15.8" customHeight="1" x14ac:dyDescent="0.3">
      <c r="A662" s="825"/>
      <c r="B662" s="825"/>
      <c r="C662" s="825"/>
      <c r="D662" s="825"/>
      <c r="G662" s="825"/>
      <c r="H662" s="18"/>
      <c r="I662" s="825"/>
      <c r="L662" s="825"/>
      <c r="M662" s="825"/>
      <c r="N662" s="825"/>
      <c r="O662" s="825"/>
      <c r="P662" s="825"/>
      <c r="Q662" s="21"/>
      <c r="R662" s="21"/>
      <c r="S662" s="19"/>
      <c r="T662" s="19"/>
      <c r="U662" s="19"/>
      <c r="V662" s="19"/>
      <c r="W662" s="825"/>
      <c r="X662" s="825"/>
      <c r="AM662" s="825"/>
      <c r="AN662" s="825"/>
      <c r="AO662" s="825"/>
      <c r="AP662" s="825"/>
      <c r="AQ662" s="825"/>
      <c r="AR662" s="825"/>
      <c r="AS662" s="825"/>
      <c r="AT662" s="825"/>
      <c r="AU662" s="825"/>
      <c r="AV662" s="825"/>
    </row>
    <row r="663" spans="1:48" ht="15.8" customHeight="1" x14ac:dyDescent="0.3">
      <c r="A663" s="825"/>
      <c r="B663" s="825"/>
      <c r="C663" s="825"/>
      <c r="D663" s="825"/>
      <c r="G663" s="825"/>
      <c r="H663" s="18"/>
      <c r="I663" s="825"/>
      <c r="L663" s="825"/>
      <c r="M663" s="825"/>
      <c r="N663" s="825"/>
      <c r="O663" s="825"/>
      <c r="P663" s="825"/>
      <c r="Q663" s="21"/>
      <c r="R663" s="21"/>
      <c r="S663" s="19"/>
      <c r="T663" s="19"/>
      <c r="U663" s="19"/>
      <c r="V663" s="19"/>
      <c r="W663" s="825"/>
      <c r="X663" s="825"/>
      <c r="AM663" s="825"/>
      <c r="AN663" s="825"/>
      <c r="AO663" s="825"/>
      <c r="AP663" s="825"/>
      <c r="AQ663" s="825"/>
      <c r="AR663" s="825"/>
      <c r="AS663" s="825"/>
      <c r="AT663" s="825"/>
      <c r="AU663" s="825"/>
      <c r="AV663" s="825"/>
    </row>
    <row r="664" spans="1:48" ht="15.8" customHeight="1" x14ac:dyDescent="0.3">
      <c r="A664" s="825"/>
      <c r="B664" s="825"/>
      <c r="C664" s="825"/>
      <c r="D664" s="825"/>
      <c r="G664" s="825"/>
      <c r="H664" s="18"/>
      <c r="I664" s="825"/>
      <c r="L664" s="825"/>
      <c r="M664" s="825"/>
      <c r="N664" s="825"/>
      <c r="O664" s="825"/>
      <c r="P664" s="825"/>
      <c r="Q664" s="21"/>
      <c r="R664" s="21"/>
      <c r="S664" s="19"/>
      <c r="T664" s="19"/>
      <c r="U664" s="19"/>
      <c r="V664" s="19"/>
      <c r="W664" s="825"/>
      <c r="X664" s="825"/>
      <c r="AM664" s="825"/>
      <c r="AN664" s="825"/>
      <c r="AO664" s="825"/>
      <c r="AP664" s="825"/>
      <c r="AQ664" s="825"/>
      <c r="AR664" s="825"/>
      <c r="AS664" s="825"/>
      <c r="AT664" s="825"/>
      <c r="AU664" s="825"/>
      <c r="AV664" s="825"/>
    </row>
    <row r="665" spans="1:48" ht="15.8" customHeight="1" x14ac:dyDescent="0.3">
      <c r="A665" s="825"/>
      <c r="B665" s="825"/>
      <c r="C665" s="825"/>
      <c r="D665" s="825"/>
      <c r="G665" s="825"/>
      <c r="H665" s="18"/>
      <c r="I665" s="825"/>
      <c r="L665" s="825"/>
      <c r="M665" s="825"/>
      <c r="N665" s="825"/>
      <c r="O665" s="825"/>
      <c r="P665" s="825"/>
      <c r="Q665" s="21"/>
      <c r="R665" s="21"/>
      <c r="S665" s="19"/>
      <c r="T665" s="19"/>
      <c r="U665" s="19"/>
      <c r="V665" s="19"/>
      <c r="W665" s="825"/>
      <c r="X665" s="825"/>
      <c r="AM665" s="825"/>
      <c r="AN665" s="825"/>
      <c r="AO665" s="825"/>
      <c r="AP665" s="825"/>
      <c r="AQ665" s="825"/>
      <c r="AR665" s="825"/>
      <c r="AS665" s="825"/>
      <c r="AT665" s="825"/>
      <c r="AU665" s="825"/>
      <c r="AV665" s="825"/>
    </row>
    <row r="666" spans="1:48" ht="15.8" customHeight="1" x14ac:dyDescent="0.3">
      <c r="A666" s="825"/>
      <c r="B666" s="825"/>
      <c r="C666" s="825"/>
      <c r="D666" s="825"/>
      <c r="G666" s="825"/>
      <c r="H666" s="18"/>
      <c r="I666" s="825"/>
      <c r="L666" s="825"/>
      <c r="M666" s="825"/>
      <c r="N666" s="825"/>
      <c r="O666" s="825"/>
      <c r="P666" s="825"/>
      <c r="Q666" s="21"/>
      <c r="R666" s="21"/>
      <c r="S666" s="19"/>
      <c r="T666" s="19"/>
      <c r="U666" s="19"/>
      <c r="V666" s="19"/>
      <c r="W666" s="825"/>
      <c r="X666" s="825"/>
      <c r="AM666" s="825"/>
      <c r="AN666" s="825"/>
      <c r="AO666" s="825"/>
      <c r="AP666" s="825"/>
      <c r="AQ666" s="825"/>
      <c r="AR666" s="825"/>
      <c r="AS666" s="825"/>
      <c r="AT666" s="825"/>
      <c r="AU666" s="825"/>
      <c r="AV666" s="825"/>
    </row>
    <row r="667" spans="1:48" ht="15.8" customHeight="1" x14ac:dyDescent="0.3">
      <c r="A667" s="825"/>
      <c r="B667" s="825"/>
      <c r="C667" s="825"/>
      <c r="D667" s="825"/>
      <c r="G667" s="825"/>
      <c r="H667" s="18"/>
      <c r="I667" s="825"/>
      <c r="L667" s="825"/>
      <c r="M667" s="825"/>
      <c r="N667" s="825"/>
      <c r="O667" s="825"/>
      <c r="P667" s="825"/>
      <c r="Q667" s="21"/>
      <c r="R667" s="21"/>
      <c r="S667" s="19"/>
      <c r="T667" s="19"/>
      <c r="U667" s="19"/>
      <c r="V667" s="19"/>
      <c r="W667" s="825"/>
      <c r="X667" s="825"/>
      <c r="AM667" s="825"/>
      <c r="AN667" s="825"/>
      <c r="AO667" s="825"/>
      <c r="AP667" s="825"/>
      <c r="AQ667" s="825"/>
      <c r="AR667" s="825"/>
      <c r="AS667" s="825"/>
      <c r="AT667" s="825"/>
      <c r="AU667" s="825"/>
      <c r="AV667" s="825"/>
    </row>
    <row r="668" spans="1:48" ht="15.8" customHeight="1" x14ac:dyDescent="0.3">
      <c r="A668" s="825"/>
      <c r="B668" s="825"/>
      <c r="C668" s="825"/>
      <c r="D668" s="825"/>
      <c r="G668" s="825"/>
      <c r="H668" s="18"/>
      <c r="I668" s="825"/>
      <c r="L668" s="825"/>
      <c r="M668" s="825"/>
      <c r="N668" s="825"/>
      <c r="O668" s="825"/>
      <c r="P668" s="825"/>
      <c r="Q668" s="21"/>
      <c r="R668" s="21"/>
      <c r="S668" s="19"/>
      <c r="T668" s="19"/>
      <c r="U668" s="19"/>
      <c r="V668" s="19"/>
      <c r="W668" s="825"/>
      <c r="X668" s="825"/>
      <c r="AM668" s="825"/>
      <c r="AN668" s="825"/>
      <c r="AO668" s="825"/>
      <c r="AP668" s="825"/>
      <c r="AQ668" s="825"/>
      <c r="AR668" s="825"/>
      <c r="AS668" s="825"/>
      <c r="AT668" s="825"/>
      <c r="AU668" s="825"/>
      <c r="AV668" s="825"/>
    </row>
    <row r="669" spans="1:48" ht="15.8" customHeight="1" x14ac:dyDescent="0.3">
      <c r="A669" s="825"/>
      <c r="B669" s="825"/>
      <c r="C669" s="825"/>
      <c r="D669" s="825"/>
      <c r="G669" s="825"/>
      <c r="H669" s="18"/>
      <c r="I669" s="825"/>
      <c r="L669" s="825"/>
      <c r="M669" s="825"/>
      <c r="N669" s="825"/>
      <c r="O669" s="825"/>
      <c r="P669" s="825"/>
      <c r="Q669" s="21"/>
      <c r="R669" s="21"/>
      <c r="S669" s="19"/>
      <c r="T669" s="19"/>
      <c r="U669" s="19"/>
      <c r="V669" s="19"/>
      <c r="W669" s="825"/>
      <c r="X669" s="825"/>
      <c r="AM669" s="825"/>
      <c r="AN669" s="825"/>
      <c r="AO669" s="825"/>
      <c r="AP669" s="825"/>
      <c r="AQ669" s="825"/>
      <c r="AR669" s="825"/>
      <c r="AS669" s="825"/>
      <c r="AT669" s="825"/>
      <c r="AU669" s="825"/>
      <c r="AV669" s="825"/>
    </row>
    <row r="670" spans="1:48" ht="15.8" customHeight="1" x14ac:dyDescent="0.3">
      <c r="A670" s="825"/>
      <c r="B670" s="825"/>
      <c r="C670" s="825"/>
      <c r="D670" s="825"/>
      <c r="G670" s="825"/>
      <c r="H670" s="18"/>
      <c r="I670" s="825"/>
      <c r="L670" s="825"/>
      <c r="M670" s="825"/>
      <c r="N670" s="825"/>
      <c r="O670" s="825"/>
      <c r="P670" s="825"/>
      <c r="Q670" s="21"/>
      <c r="R670" s="21"/>
      <c r="S670" s="19"/>
      <c r="T670" s="19"/>
      <c r="U670" s="19"/>
      <c r="V670" s="19"/>
      <c r="W670" s="825"/>
      <c r="X670" s="825"/>
      <c r="AM670" s="825"/>
      <c r="AN670" s="825"/>
      <c r="AO670" s="825"/>
      <c r="AP670" s="825"/>
      <c r="AQ670" s="825"/>
      <c r="AR670" s="825"/>
      <c r="AS670" s="825"/>
      <c r="AT670" s="825"/>
      <c r="AU670" s="825"/>
      <c r="AV670" s="825"/>
    </row>
    <row r="671" spans="1:48" ht="15.8" customHeight="1" x14ac:dyDescent="0.3">
      <c r="A671" s="825"/>
      <c r="B671" s="825"/>
      <c r="C671" s="825"/>
      <c r="D671" s="825"/>
      <c r="G671" s="825"/>
      <c r="H671" s="18"/>
      <c r="I671" s="825"/>
      <c r="L671" s="825"/>
      <c r="M671" s="825"/>
      <c r="N671" s="825"/>
      <c r="O671" s="825"/>
      <c r="P671" s="825"/>
      <c r="Q671" s="21"/>
      <c r="R671" s="21"/>
      <c r="S671" s="19"/>
      <c r="T671" s="19"/>
      <c r="U671" s="19"/>
      <c r="V671" s="19"/>
      <c r="W671" s="825"/>
      <c r="X671" s="825"/>
      <c r="AM671" s="825"/>
      <c r="AN671" s="825"/>
      <c r="AO671" s="825"/>
      <c r="AP671" s="825"/>
      <c r="AQ671" s="825"/>
      <c r="AR671" s="825"/>
      <c r="AS671" s="825"/>
      <c r="AT671" s="825"/>
      <c r="AU671" s="825"/>
      <c r="AV671" s="825"/>
    </row>
    <row r="672" spans="1:48" ht="15.8" customHeight="1" x14ac:dyDescent="0.3">
      <c r="A672" s="825"/>
      <c r="B672" s="825"/>
      <c r="C672" s="825"/>
      <c r="D672" s="825"/>
      <c r="G672" s="825"/>
      <c r="H672" s="18"/>
      <c r="I672" s="825"/>
      <c r="L672" s="825"/>
      <c r="M672" s="825"/>
      <c r="N672" s="825"/>
      <c r="O672" s="825"/>
      <c r="P672" s="825"/>
      <c r="Q672" s="21"/>
      <c r="R672" s="21"/>
      <c r="S672" s="19"/>
      <c r="T672" s="19"/>
      <c r="U672" s="19"/>
      <c r="V672" s="19"/>
      <c r="W672" s="825"/>
      <c r="X672" s="825"/>
      <c r="AM672" s="825"/>
      <c r="AN672" s="825"/>
      <c r="AO672" s="825"/>
      <c r="AP672" s="825"/>
      <c r="AQ672" s="825"/>
      <c r="AR672" s="825"/>
      <c r="AS672" s="825"/>
      <c r="AT672" s="825"/>
      <c r="AU672" s="825"/>
      <c r="AV672" s="825"/>
    </row>
    <row r="673" spans="1:48" ht="15.8" customHeight="1" x14ac:dyDescent="0.3">
      <c r="A673" s="825"/>
      <c r="B673" s="825"/>
      <c r="C673" s="825"/>
      <c r="D673" s="825"/>
      <c r="G673" s="825"/>
      <c r="H673" s="18"/>
      <c r="I673" s="825"/>
      <c r="L673" s="825"/>
      <c r="M673" s="825"/>
      <c r="N673" s="825"/>
      <c r="O673" s="825"/>
      <c r="P673" s="825"/>
      <c r="Q673" s="21"/>
      <c r="R673" s="21"/>
      <c r="S673" s="19"/>
      <c r="T673" s="19"/>
      <c r="U673" s="19"/>
      <c r="V673" s="19"/>
      <c r="W673" s="825"/>
      <c r="X673" s="825"/>
      <c r="AM673" s="825"/>
      <c r="AN673" s="825"/>
      <c r="AO673" s="825"/>
      <c r="AP673" s="825"/>
      <c r="AQ673" s="825"/>
      <c r="AR673" s="825"/>
      <c r="AS673" s="825"/>
      <c r="AT673" s="825"/>
      <c r="AU673" s="825"/>
      <c r="AV673" s="825"/>
    </row>
    <row r="674" spans="1:48" ht="15.8" customHeight="1" x14ac:dyDescent="0.3">
      <c r="A674" s="825"/>
      <c r="B674" s="825"/>
      <c r="C674" s="825"/>
      <c r="D674" s="825"/>
      <c r="G674" s="825"/>
      <c r="H674" s="18"/>
      <c r="I674" s="825"/>
      <c r="L674" s="825"/>
      <c r="M674" s="825"/>
      <c r="N674" s="825"/>
      <c r="O674" s="825"/>
      <c r="P674" s="825"/>
      <c r="Q674" s="21"/>
      <c r="R674" s="21"/>
      <c r="S674" s="19"/>
      <c r="T674" s="19"/>
      <c r="U674" s="19"/>
      <c r="V674" s="19"/>
      <c r="W674" s="825"/>
      <c r="X674" s="825"/>
      <c r="AM674" s="825"/>
      <c r="AN674" s="825"/>
      <c r="AO674" s="825"/>
      <c r="AP674" s="825"/>
      <c r="AQ674" s="825"/>
      <c r="AR674" s="825"/>
      <c r="AS674" s="825"/>
      <c r="AT674" s="825"/>
      <c r="AU674" s="825"/>
      <c r="AV674" s="825"/>
    </row>
    <row r="675" spans="1:48" ht="15.8" customHeight="1" x14ac:dyDescent="0.3">
      <c r="A675" s="825"/>
      <c r="B675" s="825"/>
      <c r="C675" s="825"/>
      <c r="D675" s="825"/>
      <c r="G675" s="825"/>
      <c r="H675" s="18"/>
      <c r="I675" s="825"/>
      <c r="L675" s="825"/>
      <c r="M675" s="825"/>
      <c r="N675" s="825"/>
      <c r="O675" s="825"/>
      <c r="P675" s="825"/>
      <c r="Q675" s="21"/>
      <c r="R675" s="21"/>
      <c r="S675" s="19"/>
      <c r="T675" s="19"/>
      <c r="U675" s="19"/>
      <c r="V675" s="19"/>
      <c r="W675" s="825"/>
      <c r="X675" s="825"/>
      <c r="AM675" s="825"/>
      <c r="AN675" s="825"/>
      <c r="AO675" s="825"/>
      <c r="AP675" s="825"/>
      <c r="AQ675" s="825"/>
      <c r="AR675" s="825"/>
      <c r="AS675" s="825"/>
      <c r="AT675" s="825"/>
      <c r="AU675" s="825"/>
      <c r="AV675" s="825"/>
    </row>
    <row r="676" spans="1:48" ht="15.8" customHeight="1" x14ac:dyDescent="0.3">
      <c r="A676" s="825"/>
      <c r="B676" s="825"/>
      <c r="C676" s="825"/>
      <c r="D676" s="825"/>
      <c r="G676" s="825"/>
      <c r="H676" s="18"/>
      <c r="I676" s="825"/>
      <c r="L676" s="825"/>
      <c r="M676" s="825"/>
      <c r="N676" s="825"/>
      <c r="O676" s="825"/>
      <c r="P676" s="825"/>
      <c r="Q676" s="21"/>
      <c r="R676" s="21"/>
      <c r="S676" s="19"/>
      <c r="T676" s="19"/>
      <c r="U676" s="19"/>
      <c r="V676" s="19"/>
      <c r="W676" s="825"/>
      <c r="X676" s="825"/>
      <c r="AM676" s="825"/>
      <c r="AN676" s="825"/>
      <c r="AO676" s="825"/>
      <c r="AP676" s="825"/>
      <c r="AQ676" s="825"/>
      <c r="AR676" s="825"/>
      <c r="AS676" s="825"/>
      <c r="AT676" s="825"/>
      <c r="AU676" s="825"/>
      <c r="AV676" s="825"/>
    </row>
    <row r="677" spans="1:48" ht="15.8" customHeight="1" x14ac:dyDescent="0.3">
      <c r="A677" s="825"/>
      <c r="B677" s="825"/>
      <c r="C677" s="825"/>
      <c r="D677" s="825"/>
      <c r="G677" s="825"/>
      <c r="H677" s="18"/>
      <c r="I677" s="825"/>
      <c r="L677" s="825"/>
      <c r="M677" s="825"/>
      <c r="N677" s="825"/>
      <c r="O677" s="825"/>
      <c r="P677" s="825"/>
      <c r="Q677" s="21"/>
      <c r="R677" s="21"/>
      <c r="S677" s="19"/>
      <c r="T677" s="19"/>
      <c r="U677" s="19"/>
      <c r="V677" s="19"/>
      <c r="W677" s="825"/>
      <c r="X677" s="825"/>
      <c r="AM677" s="825"/>
      <c r="AN677" s="825"/>
      <c r="AO677" s="825"/>
      <c r="AP677" s="825"/>
      <c r="AQ677" s="825"/>
      <c r="AR677" s="825"/>
      <c r="AS677" s="825"/>
      <c r="AT677" s="825"/>
      <c r="AU677" s="825"/>
      <c r="AV677" s="825"/>
    </row>
    <row r="678" spans="1:48" ht="15.8" customHeight="1" x14ac:dyDescent="0.3">
      <c r="A678" s="825"/>
      <c r="B678" s="825"/>
      <c r="C678" s="825"/>
      <c r="D678" s="825"/>
      <c r="G678" s="825"/>
      <c r="H678" s="18"/>
      <c r="I678" s="825"/>
      <c r="L678" s="825"/>
      <c r="M678" s="825"/>
      <c r="N678" s="825"/>
      <c r="O678" s="825"/>
      <c r="P678" s="825"/>
      <c r="Q678" s="21"/>
      <c r="R678" s="21"/>
      <c r="S678" s="19"/>
      <c r="T678" s="19"/>
      <c r="U678" s="19"/>
      <c r="V678" s="19"/>
      <c r="W678" s="825"/>
      <c r="X678" s="825"/>
      <c r="AM678" s="825"/>
      <c r="AN678" s="825"/>
      <c r="AO678" s="825"/>
      <c r="AP678" s="825"/>
      <c r="AQ678" s="825"/>
      <c r="AR678" s="825"/>
      <c r="AS678" s="825"/>
      <c r="AT678" s="825"/>
      <c r="AU678" s="825"/>
      <c r="AV678" s="825"/>
    </row>
    <row r="679" spans="1:48" ht="15.8" customHeight="1" x14ac:dyDescent="0.3">
      <c r="A679" s="825"/>
      <c r="B679" s="825"/>
      <c r="C679" s="825"/>
      <c r="D679" s="825"/>
      <c r="G679" s="825"/>
      <c r="H679" s="18"/>
      <c r="I679" s="825"/>
      <c r="L679" s="825"/>
      <c r="M679" s="825"/>
      <c r="N679" s="825"/>
      <c r="O679" s="825"/>
      <c r="P679" s="825"/>
      <c r="Q679" s="21"/>
      <c r="R679" s="21"/>
      <c r="S679" s="19"/>
      <c r="T679" s="19"/>
      <c r="U679" s="19"/>
      <c r="V679" s="19"/>
      <c r="W679" s="825"/>
      <c r="X679" s="825"/>
      <c r="AM679" s="825"/>
      <c r="AN679" s="825"/>
      <c r="AO679" s="825"/>
      <c r="AP679" s="825"/>
      <c r="AQ679" s="825"/>
      <c r="AR679" s="825"/>
      <c r="AS679" s="825"/>
      <c r="AT679" s="825"/>
      <c r="AU679" s="825"/>
      <c r="AV679" s="825"/>
    </row>
    <row r="680" spans="1:48" ht="15.8" customHeight="1" x14ac:dyDescent="0.3">
      <c r="A680" s="825"/>
      <c r="B680" s="825"/>
      <c r="C680" s="825"/>
      <c r="D680" s="825"/>
      <c r="G680" s="825"/>
      <c r="H680" s="18"/>
      <c r="I680" s="825"/>
      <c r="L680" s="825"/>
      <c r="M680" s="825"/>
      <c r="N680" s="825"/>
      <c r="O680" s="825"/>
      <c r="P680" s="825"/>
      <c r="Q680" s="21"/>
      <c r="R680" s="21"/>
      <c r="S680" s="19"/>
      <c r="T680" s="19"/>
      <c r="U680" s="19"/>
      <c r="V680" s="19"/>
      <c r="W680" s="825"/>
      <c r="X680" s="825"/>
      <c r="AM680" s="825"/>
      <c r="AN680" s="825"/>
      <c r="AO680" s="825"/>
      <c r="AP680" s="825"/>
      <c r="AQ680" s="825"/>
      <c r="AR680" s="825"/>
      <c r="AS680" s="825"/>
      <c r="AT680" s="825"/>
      <c r="AU680" s="825"/>
      <c r="AV680" s="825"/>
    </row>
    <row r="681" spans="1:48" ht="15.8" customHeight="1" x14ac:dyDescent="0.3">
      <c r="A681" s="825"/>
      <c r="B681" s="825"/>
      <c r="C681" s="825"/>
      <c r="D681" s="825"/>
      <c r="G681" s="825"/>
      <c r="H681" s="18"/>
      <c r="I681" s="825"/>
      <c r="L681" s="825"/>
      <c r="M681" s="825"/>
      <c r="N681" s="825"/>
      <c r="O681" s="825"/>
      <c r="P681" s="825"/>
      <c r="Q681" s="21"/>
      <c r="R681" s="21"/>
      <c r="S681" s="19"/>
      <c r="T681" s="19"/>
      <c r="U681" s="19"/>
      <c r="V681" s="19"/>
      <c r="W681" s="825"/>
      <c r="X681" s="825"/>
      <c r="AM681" s="825"/>
      <c r="AN681" s="825"/>
      <c r="AO681" s="825"/>
      <c r="AP681" s="825"/>
      <c r="AQ681" s="825"/>
      <c r="AR681" s="825"/>
      <c r="AS681" s="825"/>
      <c r="AT681" s="825"/>
      <c r="AU681" s="825"/>
      <c r="AV681" s="825"/>
    </row>
    <row r="682" spans="1:48" ht="15.8" customHeight="1" x14ac:dyDescent="0.3">
      <c r="A682" s="825"/>
      <c r="B682" s="825"/>
      <c r="C682" s="825"/>
      <c r="D682" s="825"/>
      <c r="G682" s="825"/>
      <c r="H682" s="18"/>
      <c r="I682" s="825"/>
      <c r="L682" s="825"/>
      <c r="M682" s="825"/>
      <c r="N682" s="825"/>
      <c r="O682" s="825"/>
      <c r="P682" s="825"/>
      <c r="Q682" s="21"/>
      <c r="R682" s="21"/>
      <c r="S682" s="19"/>
      <c r="T682" s="19"/>
      <c r="U682" s="19"/>
      <c r="V682" s="19"/>
      <c r="W682" s="825"/>
      <c r="X682" s="825"/>
      <c r="AM682" s="825"/>
      <c r="AN682" s="825"/>
      <c r="AO682" s="825"/>
      <c r="AP682" s="825"/>
      <c r="AQ682" s="825"/>
      <c r="AR682" s="825"/>
      <c r="AS682" s="825"/>
      <c r="AT682" s="825"/>
      <c r="AU682" s="825"/>
      <c r="AV682" s="825"/>
    </row>
    <row r="683" spans="1:48" ht="15.8" customHeight="1" x14ac:dyDescent="0.3">
      <c r="A683" s="825"/>
      <c r="B683" s="825"/>
      <c r="C683" s="825"/>
      <c r="D683" s="825"/>
      <c r="G683" s="825"/>
      <c r="H683" s="18"/>
      <c r="I683" s="825"/>
      <c r="L683" s="825"/>
      <c r="M683" s="825"/>
      <c r="N683" s="825"/>
      <c r="O683" s="825"/>
      <c r="P683" s="825"/>
      <c r="Q683" s="21"/>
      <c r="R683" s="21"/>
      <c r="S683" s="19"/>
      <c r="T683" s="19"/>
      <c r="U683" s="19"/>
      <c r="V683" s="19"/>
      <c r="W683" s="825"/>
      <c r="X683" s="825"/>
      <c r="AM683" s="825"/>
      <c r="AN683" s="825"/>
      <c r="AO683" s="825"/>
      <c r="AP683" s="825"/>
      <c r="AQ683" s="825"/>
      <c r="AR683" s="825"/>
      <c r="AS683" s="825"/>
      <c r="AT683" s="825"/>
      <c r="AU683" s="825"/>
      <c r="AV683" s="825"/>
    </row>
    <row r="684" spans="1:48" ht="15.8" customHeight="1" x14ac:dyDescent="0.3">
      <c r="A684" s="825"/>
      <c r="B684" s="825"/>
      <c r="C684" s="825"/>
      <c r="D684" s="825"/>
      <c r="G684" s="825"/>
      <c r="H684" s="18"/>
      <c r="I684" s="825"/>
      <c r="L684" s="825"/>
      <c r="M684" s="825"/>
      <c r="N684" s="825"/>
      <c r="O684" s="825"/>
      <c r="P684" s="825"/>
      <c r="Q684" s="21"/>
      <c r="R684" s="21"/>
      <c r="S684" s="19"/>
      <c r="T684" s="19"/>
      <c r="U684" s="19"/>
      <c r="V684" s="19"/>
      <c r="W684" s="825"/>
      <c r="X684" s="825"/>
      <c r="AM684" s="825"/>
      <c r="AN684" s="825"/>
      <c r="AO684" s="825"/>
      <c r="AP684" s="825"/>
      <c r="AQ684" s="825"/>
      <c r="AR684" s="825"/>
      <c r="AS684" s="825"/>
      <c r="AT684" s="825"/>
      <c r="AU684" s="825"/>
      <c r="AV684" s="825"/>
    </row>
    <row r="685" spans="1:48" ht="15.8" customHeight="1" x14ac:dyDescent="0.3">
      <c r="A685" s="825"/>
      <c r="B685" s="825"/>
      <c r="C685" s="825"/>
      <c r="D685" s="825"/>
      <c r="G685" s="825"/>
      <c r="H685" s="18"/>
      <c r="I685" s="825"/>
      <c r="L685" s="825"/>
      <c r="M685" s="825"/>
      <c r="N685" s="825"/>
      <c r="O685" s="825"/>
      <c r="P685" s="825"/>
      <c r="Q685" s="21"/>
      <c r="R685" s="21"/>
      <c r="S685" s="19"/>
      <c r="T685" s="19"/>
      <c r="U685" s="19"/>
      <c r="V685" s="19"/>
      <c r="W685" s="825"/>
      <c r="X685" s="825"/>
      <c r="AM685" s="825"/>
      <c r="AN685" s="825"/>
      <c r="AO685" s="825"/>
      <c r="AP685" s="825"/>
      <c r="AQ685" s="825"/>
      <c r="AR685" s="825"/>
      <c r="AS685" s="825"/>
      <c r="AT685" s="825"/>
      <c r="AU685" s="825"/>
      <c r="AV685" s="825"/>
    </row>
    <row r="686" spans="1:48" ht="15.8" customHeight="1" x14ac:dyDescent="0.3">
      <c r="A686" s="825"/>
      <c r="B686" s="825"/>
      <c r="C686" s="825"/>
      <c r="D686" s="825"/>
      <c r="G686" s="825"/>
      <c r="H686" s="18"/>
      <c r="I686" s="825"/>
      <c r="L686" s="825"/>
      <c r="M686" s="825"/>
      <c r="N686" s="825"/>
      <c r="O686" s="825"/>
      <c r="P686" s="825"/>
      <c r="Q686" s="21"/>
      <c r="R686" s="21"/>
      <c r="S686" s="19"/>
      <c r="T686" s="19"/>
      <c r="U686" s="19"/>
      <c r="V686" s="19"/>
      <c r="W686" s="825"/>
      <c r="X686" s="825"/>
      <c r="AM686" s="825"/>
      <c r="AN686" s="825"/>
      <c r="AO686" s="825"/>
      <c r="AP686" s="825"/>
      <c r="AQ686" s="825"/>
      <c r="AR686" s="825"/>
      <c r="AS686" s="825"/>
      <c r="AT686" s="825"/>
      <c r="AU686" s="825"/>
      <c r="AV686" s="825"/>
    </row>
    <row r="687" spans="1:48" ht="15.8" customHeight="1" x14ac:dyDescent="0.3">
      <c r="A687" s="825"/>
      <c r="B687" s="825"/>
      <c r="C687" s="825"/>
      <c r="D687" s="825"/>
      <c r="G687" s="825"/>
      <c r="H687" s="18"/>
      <c r="I687" s="825"/>
      <c r="L687" s="825"/>
      <c r="M687" s="825"/>
      <c r="N687" s="825"/>
      <c r="O687" s="825"/>
      <c r="P687" s="825"/>
      <c r="Q687" s="21"/>
      <c r="R687" s="21"/>
      <c r="S687" s="19"/>
      <c r="T687" s="19"/>
      <c r="U687" s="19"/>
      <c r="V687" s="19"/>
      <c r="W687" s="825"/>
      <c r="X687" s="825"/>
      <c r="AM687" s="825"/>
      <c r="AN687" s="825"/>
      <c r="AO687" s="825"/>
      <c r="AP687" s="825"/>
      <c r="AQ687" s="825"/>
      <c r="AR687" s="825"/>
      <c r="AS687" s="825"/>
      <c r="AT687" s="825"/>
      <c r="AU687" s="825"/>
      <c r="AV687" s="825"/>
    </row>
    <row r="688" spans="1:48" ht="15.8" customHeight="1" x14ac:dyDescent="0.3">
      <c r="A688" s="825"/>
      <c r="B688" s="825"/>
      <c r="C688" s="825"/>
      <c r="D688" s="825"/>
      <c r="G688" s="825"/>
      <c r="H688" s="18"/>
      <c r="I688" s="825"/>
      <c r="L688" s="825"/>
      <c r="M688" s="825"/>
      <c r="N688" s="825"/>
      <c r="O688" s="825"/>
      <c r="P688" s="825"/>
      <c r="Q688" s="21"/>
      <c r="R688" s="21"/>
      <c r="S688" s="19"/>
      <c r="T688" s="19"/>
      <c r="U688" s="19"/>
      <c r="V688" s="19"/>
      <c r="W688" s="825"/>
      <c r="X688" s="825"/>
      <c r="AM688" s="825"/>
      <c r="AN688" s="825"/>
      <c r="AO688" s="825"/>
      <c r="AP688" s="825"/>
      <c r="AQ688" s="825"/>
      <c r="AR688" s="825"/>
      <c r="AS688" s="825"/>
      <c r="AT688" s="825"/>
      <c r="AU688" s="825"/>
      <c r="AV688" s="825"/>
    </row>
    <row r="689" spans="1:48" ht="15.8" customHeight="1" x14ac:dyDescent="0.3">
      <c r="A689" s="825"/>
      <c r="B689" s="825"/>
      <c r="C689" s="825"/>
      <c r="D689" s="825"/>
      <c r="G689" s="825"/>
      <c r="H689" s="18"/>
      <c r="I689" s="825"/>
      <c r="L689" s="825"/>
      <c r="M689" s="825"/>
      <c r="N689" s="825"/>
      <c r="O689" s="825"/>
      <c r="P689" s="825"/>
      <c r="Q689" s="21"/>
      <c r="R689" s="21"/>
      <c r="S689" s="19"/>
      <c r="T689" s="19"/>
      <c r="U689" s="19"/>
      <c r="V689" s="19"/>
      <c r="W689" s="825"/>
      <c r="X689" s="825"/>
      <c r="AM689" s="825"/>
      <c r="AN689" s="825"/>
      <c r="AO689" s="825"/>
      <c r="AP689" s="825"/>
      <c r="AQ689" s="825"/>
      <c r="AR689" s="825"/>
      <c r="AS689" s="825"/>
      <c r="AT689" s="825"/>
      <c r="AU689" s="825"/>
      <c r="AV689" s="825"/>
    </row>
    <row r="690" spans="1:48" ht="15.8" customHeight="1" x14ac:dyDescent="0.3">
      <c r="A690" s="825"/>
      <c r="B690" s="825"/>
      <c r="C690" s="825"/>
      <c r="D690" s="825"/>
      <c r="G690" s="825"/>
      <c r="H690" s="18"/>
      <c r="I690" s="825"/>
      <c r="L690" s="825"/>
      <c r="M690" s="825"/>
      <c r="N690" s="825"/>
      <c r="O690" s="825"/>
      <c r="P690" s="825"/>
      <c r="Q690" s="21"/>
      <c r="R690" s="21"/>
      <c r="S690" s="19"/>
      <c r="T690" s="19"/>
      <c r="U690" s="19"/>
      <c r="V690" s="19"/>
      <c r="W690" s="825"/>
      <c r="X690" s="825"/>
      <c r="AM690" s="825"/>
      <c r="AN690" s="825"/>
      <c r="AO690" s="825"/>
      <c r="AP690" s="825"/>
      <c r="AQ690" s="825"/>
      <c r="AR690" s="825"/>
      <c r="AS690" s="825"/>
      <c r="AT690" s="825"/>
      <c r="AU690" s="825"/>
      <c r="AV690" s="825"/>
    </row>
    <row r="691" spans="1:48" ht="15.8" customHeight="1" x14ac:dyDescent="0.3">
      <c r="A691" s="825"/>
      <c r="B691" s="825"/>
      <c r="C691" s="825"/>
      <c r="D691" s="825"/>
      <c r="G691" s="825"/>
      <c r="H691" s="18"/>
      <c r="I691" s="825"/>
      <c r="L691" s="825"/>
      <c r="M691" s="825"/>
      <c r="N691" s="825"/>
      <c r="O691" s="825"/>
      <c r="P691" s="825"/>
      <c r="Q691" s="21"/>
      <c r="R691" s="21"/>
      <c r="S691" s="19"/>
      <c r="T691" s="19"/>
      <c r="U691" s="19"/>
      <c r="V691" s="19"/>
      <c r="W691" s="825"/>
      <c r="X691" s="825"/>
      <c r="AM691" s="825"/>
      <c r="AN691" s="825"/>
      <c r="AO691" s="825"/>
      <c r="AP691" s="825"/>
      <c r="AQ691" s="825"/>
      <c r="AR691" s="825"/>
      <c r="AS691" s="825"/>
      <c r="AT691" s="825"/>
      <c r="AU691" s="825"/>
      <c r="AV691" s="825"/>
    </row>
    <row r="692" spans="1:48" ht="15.8" customHeight="1" x14ac:dyDescent="0.3">
      <c r="A692" s="825"/>
      <c r="B692" s="825"/>
      <c r="C692" s="825"/>
      <c r="D692" s="825"/>
      <c r="G692" s="825"/>
      <c r="H692" s="18"/>
      <c r="I692" s="825"/>
      <c r="L692" s="825"/>
      <c r="M692" s="825"/>
      <c r="N692" s="825"/>
      <c r="O692" s="825"/>
      <c r="P692" s="825"/>
      <c r="Q692" s="21"/>
      <c r="R692" s="21"/>
      <c r="S692" s="19"/>
      <c r="T692" s="19"/>
      <c r="U692" s="19"/>
      <c r="V692" s="19"/>
      <c r="W692" s="825"/>
      <c r="X692" s="825"/>
      <c r="AM692" s="825"/>
      <c r="AN692" s="825"/>
      <c r="AO692" s="825"/>
      <c r="AP692" s="825"/>
      <c r="AQ692" s="825"/>
      <c r="AR692" s="825"/>
      <c r="AS692" s="825"/>
      <c r="AT692" s="825"/>
      <c r="AU692" s="825"/>
      <c r="AV692" s="825"/>
    </row>
    <row r="693" spans="1:48" ht="15.8" customHeight="1" x14ac:dyDescent="0.3">
      <c r="A693" s="825"/>
      <c r="B693" s="825"/>
      <c r="C693" s="825"/>
      <c r="D693" s="825"/>
      <c r="G693" s="825"/>
      <c r="H693" s="18"/>
      <c r="I693" s="825"/>
      <c r="L693" s="825"/>
      <c r="M693" s="825"/>
      <c r="N693" s="825"/>
      <c r="O693" s="825"/>
      <c r="P693" s="825"/>
      <c r="Q693" s="21"/>
      <c r="R693" s="21"/>
      <c r="S693" s="19"/>
      <c r="T693" s="19"/>
      <c r="U693" s="19"/>
      <c r="V693" s="19"/>
      <c r="W693" s="825"/>
      <c r="X693" s="825"/>
      <c r="AM693" s="825"/>
      <c r="AN693" s="825"/>
      <c r="AO693" s="825"/>
      <c r="AP693" s="825"/>
      <c r="AQ693" s="825"/>
      <c r="AR693" s="825"/>
      <c r="AS693" s="825"/>
      <c r="AT693" s="825"/>
      <c r="AU693" s="825"/>
      <c r="AV693" s="825"/>
    </row>
    <row r="694" spans="1:48" ht="15.8" customHeight="1" x14ac:dyDescent="0.3">
      <c r="A694" s="825"/>
      <c r="B694" s="825"/>
      <c r="C694" s="825"/>
      <c r="D694" s="825"/>
      <c r="G694" s="825"/>
      <c r="H694" s="18"/>
      <c r="I694" s="825"/>
      <c r="L694" s="825"/>
      <c r="M694" s="825"/>
      <c r="N694" s="825"/>
      <c r="O694" s="825"/>
      <c r="P694" s="825"/>
      <c r="Q694" s="21"/>
      <c r="R694" s="21"/>
      <c r="S694" s="19"/>
      <c r="T694" s="19"/>
      <c r="U694" s="19"/>
      <c r="V694" s="19"/>
      <c r="W694" s="825"/>
      <c r="X694" s="825"/>
      <c r="AM694" s="825"/>
      <c r="AN694" s="825"/>
      <c r="AO694" s="825"/>
      <c r="AP694" s="825"/>
      <c r="AQ694" s="825"/>
      <c r="AR694" s="825"/>
      <c r="AS694" s="825"/>
      <c r="AT694" s="825"/>
      <c r="AU694" s="825"/>
      <c r="AV694" s="825"/>
    </row>
    <row r="695" spans="1:48" ht="15.8" customHeight="1" x14ac:dyDescent="0.3">
      <c r="A695" s="825"/>
      <c r="B695" s="825"/>
      <c r="C695" s="825"/>
      <c r="D695" s="825"/>
      <c r="G695" s="825"/>
      <c r="H695" s="18"/>
      <c r="I695" s="825"/>
      <c r="L695" s="825"/>
      <c r="M695" s="825"/>
      <c r="N695" s="825"/>
      <c r="O695" s="825"/>
      <c r="P695" s="825"/>
      <c r="Q695" s="21"/>
      <c r="R695" s="21"/>
      <c r="S695" s="19"/>
      <c r="T695" s="19"/>
      <c r="U695" s="19"/>
      <c r="V695" s="19"/>
      <c r="W695" s="825"/>
      <c r="X695" s="825"/>
      <c r="AM695" s="825"/>
      <c r="AN695" s="825"/>
      <c r="AO695" s="825"/>
      <c r="AP695" s="825"/>
      <c r="AQ695" s="825"/>
      <c r="AR695" s="825"/>
      <c r="AS695" s="825"/>
      <c r="AT695" s="825"/>
      <c r="AU695" s="825"/>
      <c r="AV695" s="825"/>
    </row>
    <row r="696" spans="1:48" ht="15.8" customHeight="1" x14ac:dyDescent="0.3">
      <c r="A696" s="825"/>
      <c r="B696" s="825"/>
      <c r="C696" s="825"/>
      <c r="D696" s="825"/>
      <c r="G696" s="825"/>
      <c r="H696" s="18"/>
      <c r="I696" s="825"/>
      <c r="L696" s="825"/>
      <c r="M696" s="825"/>
      <c r="N696" s="825"/>
      <c r="O696" s="825"/>
      <c r="P696" s="825"/>
      <c r="Q696" s="21"/>
      <c r="R696" s="21"/>
      <c r="S696" s="19"/>
      <c r="T696" s="19"/>
      <c r="U696" s="19"/>
      <c r="V696" s="19"/>
      <c r="W696" s="825"/>
      <c r="X696" s="825"/>
      <c r="AM696" s="825"/>
      <c r="AN696" s="825"/>
      <c r="AO696" s="825"/>
      <c r="AP696" s="825"/>
      <c r="AQ696" s="825"/>
      <c r="AR696" s="825"/>
      <c r="AS696" s="825"/>
      <c r="AT696" s="825"/>
      <c r="AU696" s="825"/>
      <c r="AV696" s="825"/>
    </row>
    <row r="697" spans="1:48" ht="15.8" customHeight="1" x14ac:dyDescent="0.3">
      <c r="A697" s="825"/>
      <c r="B697" s="825"/>
      <c r="C697" s="825"/>
      <c r="D697" s="825"/>
      <c r="G697" s="825"/>
      <c r="H697" s="18"/>
      <c r="I697" s="825"/>
      <c r="L697" s="825"/>
      <c r="M697" s="825"/>
      <c r="N697" s="825"/>
      <c r="O697" s="825"/>
      <c r="P697" s="825"/>
      <c r="Q697" s="21"/>
      <c r="R697" s="21"/>
      <c r="S697" s="19"/>
      <c r="T697" s="19"/>
      <c r="U697" s="19"/>
      <c r="V697" s="19"/>
      <c r="W697" s="825"/>
      <c r="X697" s="825"/>
      <c r="AM697" s="825"/>
      <c r="AN697" s="825"/>
      <c r="AO697" s="825"/>
      <c r="AP697" s="825"/>
      <c r="AQ697" s="825"/>
      <c r="AR697" s="825"/>
      <c r="AS697" s="825"/>
      <c r="AT697" s="825"/>
      <c r="AU697" s="825"/>
      <c r="AV697" s="825"/>
    </row>
    <row r="698" spans="1:48" ht="15.8" customHeight="1" x14ac:dyDescent="0.3">
      <c r="A698" s="825"/>
      <c r="B698" s="825"/>
      <c r="C698" s="825"/>
      <c r="D698" s="825"/>
      <c r="G698" s="825"/>
      <c r="H698" s="18"/>
      <c r="I698" s="825"/>
      <c r="L698" s="825"/>
      <c r="M698" s="825"/>
      <c r="N698" s="825"/>
      <c r="O698" s="825"/>
      <c r="P698" s="825"/>
      <c r="Q698" s="21"/>
      <c r="R698" s="21"/>
      <c r="S698" s="19"/>
      <c r="T698" s="19"/>
      <c r="U698" s="19"/>
      <c r="V698" s="19"/>
      <c r="W698" s="825"/>
      <c r="X698" s="825"/>
      <c r="AM698" s="825"/>
      <c r="AN698" s="825"/>
      <c r="AO698" s="825"/>
      <c r="AP698" s="825"/>
      <c r="AQ698" s="825"/>
      <c r="AR698" s="825"/>
      <c r="AS698" s="825"/>
      <c r="AT698" s="825"/>
      <c r="AU698" s="825"/>
      <c r="AV698" s="825"/>
    </row>
    <row r="699" spans="1:48" ht="15.8" customHeight="1" x14ac:dyDescent="0.3">
      <c r="A699" s="825"/>
      <c r="B699" s="825"/>
      <c r="C699" s="825"/>
      <c r="D699" s="825"/>
      <c r="G699" s="825"/>
      <c r="H699" s="18"/>
      <c r="I699" s="825"/>
      <c r="L699" s="825"/>
      <c r="M699" s="825"/>
      <c r="N699" s="825"/>
      <c r="O699" s="825"/>
      <c r="P699" s="825"/>
      <c r="Q699" s="21"/>
      <c r="R699" s="21"/>
      <c r="S699" s="19"/>
      <c r="T699" s="19"/>
      <c r="U699" s="19"/>
      <c r="V699" s="19"/>
      <c r="W699" s="825"/>
      <c r="X699" s="825"/>
      <c r="AM699" s="825"/>
      <c r="AN699" s="825"/>
      <c r="AO699" s="825"/>
      <c r="AP699" s="825"/>
      <c r="AQ699" s="825"/>
      <c r="AR699" s="825"/>
      <c r="AS699" s="825"/>
      <c r="AT699" s="825"/>
      <c r="AU699" s="825"/>
      <c r="AV699" s="825"/>
    </row>
    <row r="700" spans="1:48" ht="15.8" customHeight="1" x14ac:dyDescent="0.3">
      <c r="A700" s="825"/>
      <c r="B700" s="825"/>
      <c r="C700" s="825"/>
      <c r="D700" s="825"/>
      <c r="G700" s="825"/>
      <c r="H700" s="18"/>
      <c r="I700" s="825"/>
      <c r="L700" s="825"/>
      <c r="M700" s="825"/>
      <c r="N700" s="825"/>
      <c r="O700" s="825"/>
      <c r="P700" s="825"/>
      <c r="Q700" s="21"/>
      <c r="R700" s="21"/>
      <c r="S700" s="19"/>
      <c r="T700" s="19"/>
      <c r="U700" s="19"/>
      <c r="V700" s="19"/>
      <c r="W700" s="825"/>
      <c r="X700" s="825"/>
      <c r="AM700" s="825"/>
      <c r="AN700" s="825"/>
      <c r="AO700" s="825"/>
      <c r="AP700" s="825"/>
      <c r="AQ700" s="825"/>
      <c r="AR700" s="825"/>
      <c r="AS700" s="825"/>
      <c r="AT700" s="825"/>
      <c r="AU700" s="825"/>
      <c r="AV700" s="825"/>
    </row>
    <row r="701" spans="1:48" ht="15.8" customHeight="1" x14ac:dyDescent="0.3">
      <c r="A701" s="825"/>
      <c r="B701" s="825"/>
      <c r="C701" s="825"/>
      <c r="D701" s="825"/>
      <c r="G701" s="825"/>
      <c r="H701" s="18"/>
      <c r="I701" s="825"/>
      <c r="L701" s="825"/>
      <c r="M701" s="825"/>
      <c r="N701" s="825"/>
      <c r="O701" s="825"/>
      <c r="P701" s="825"/>
      <c r="Q701" s="21"/>
      <c r="R701" s="21"/>
      <c r="S701" s="19"/>
      <c r="T701" s="19"/>
      <c r="U701" s="19"/>
      <c r="V701" s="19"/>
      <c r="W701" s="825"/>
      <c r="X701" s="825"/>
      <c r="AM701" s="825"/>
      <c r="AN701" s="825"/>
      <c r="AO701" s="825"/>
      <c r="AP701" s="825"/>
      <c r="AQ701" s="825"/>
      <c r="AR701" s="825"/>
      <c r="AS701" s="825"/>
      <c r="AT701" s="825"/>
      <c r="AU701" s="825"/>
      <c r="AV701" s="825"/>
    </row>
    <row r="702" spans="1:48" ht="15.8" customHeight="1" x14ac:dyDescent="0.3">
      <c r="A702" s="825"/>
      <c r="B702" s="825"/>
      <c r="C702" s="825"/>
      <c r="D702" s="825"/>
      <c r="G702" s="825"/>
      <c r="H702" s="18"/>
      <c r="I702" s="825"/>
      <c r="L702" s="825"/>
      <c r="M702" s="825"/>
      <c r="N702" s="825"/>
      <c r="O702" s="825"/>
      <c r="P702" s="825"/>
      <c r="Q702" s="21"/>
      <c r="R702" s="21"/>
      <c r="S702" s="19"/>
      <c r="T702" s="19"/>
      <c r="U702" s="19"/>
      <c r="V702" s="19"/>
      <c r="W702" s="825"/>
      <c r="X702" s="825"/>
      <c r="AM702" s="825"/>
      <c r="AN702" s="825"/>
      <c r="AO702" s="825"/>
      <c r="AP702" s="825"/>
      <c r="AQ702" s="825"/>
      <c r="AR702" s="825"/>
      <c r="AS702" s="825"/>
      <c r="AT702" s="825"/>
      <c r="AU702" s="825"/>
      <c r="AV702" s="825"/>
    </row>
    <row r="703" spans="1:48" ht="15.8" customHeight="1" x14ac:dyDescent="0.3">
      <c r="A703" s="825"/>
      <c r="B703" s="825"/>
      <c r="C703" s="825"/>
      <c r="D703" s="825"/>
      <c r="G703" s="825"/>
      <c r="H703" s="18"/>
      <c r="I703" s="825"/>
      <c r="L703" s="825"/>
      <c r="M703" s="825"/>
      <c r="N703" s="825"/>
      <c r="O703" s="825"/>
      <c r="P703" s="825"/>
      <c r="Q703" s="21"/>
      <c r="R703" s="21"/>
      <c r="S703" s="19"/>
      <c r="T703" s="19"/>
      <c r="U703" s="19"/>
      <c r="V703" s="19"/>
      <c r="W703" s="825"/>
      <c r="X703" s="825"/>
      <c r="AM703" s="825"/>
      <c r="AN703" s="825"/>
      <c r="AO703" s="825"/>
      <c r="AP703" s="825"/>
      <c r="AQ703" s="825"/>
      <c r="AR703" s="825"/>
      <c r="AS703" s="825"/>
      <c r="AT703" s="825"/>
      <c r="AU703" s="825"/>
      <c r="AV703" s="825"/>
    </row>
    <row r="704" spans="1:48" ht="15.8" customHeight="1" x14ac:dyDescent="0.3">
      <c r="A704" s="825"/>
      <c r="B704" s="825"/>
      <c r="C704" s="825"/>
      <c r="D704" s="825"/>
      <c r="G704" s="825"/>
      <c r="H704" s="18"/>
      <c r="I704" s="825"/>
      <c r="L704" s="825"/>
      <c r="M704" s="825"/>
      <c r="N704" s="825"/>
      <c r="O704" s="825"/>
      <c r="P704" s="825"/>
      <c r="Q704" s="21"/>
      <c r="R704" s="21"/>
      <c r="S704" s="19"/>
      <c r="T704" s="19"/>
      <c r="U704" s="19"/>
      <c r="V704" s="19"/>
      <c r="W704" s="825"/>
      <c r="X704" s="825"/>
      <c r="AM704" s="825"/>
      <c r="AN704" s="825"/>
      <c r="AO704" s="825"/>
      <c r="AP704" s="825"/>
      <c r="AQ704" s="825"/>
      <c r="AR704" s="825"/>
      <c r="AS704" s="825"/>
      <c r="AT704" s="825"/>
      <c r="AU704" s="825"/>
      <c r="AV704" s="825"/>
    </row>
    <row r="705" spans="1:48" ht="15.8" customHeight="1" x14ac:dyDescent="0.3">
      <c r="A705" s="825"/>
      <c r="B705" s="825"/>
      <c r="C705" s="825"/>
      <c r="D705" s="825"/>
      <c r="G705" s="825"/>
      <c r="H705" s="18"/>
      <c r="I705" s="825"/>
      <c r="L705" s="825"/>
      <c r="M705" s="825"/>
      <c r="N705" s="825"/>
      <c r="O705" s="825"/>
      <c r="P705" s="825"/>
      <c r="Q705" s="21"/>
      <c r="R705" s="21"/>
      <c r="S705" s="19"/>
      <c r="T705" s="19"/>
      <c r="U705" s="19"/>
      <c r="V705" s="19"/>
      <c r="W705" s="825"/>
      <c r="X705" s="825"/>
      <c r="AM705" s="825"/>
      <c r="AN705" s="825"/>
      <c r="AO705" s="825"/>
      <c r="AP705" s="825"/>
      <c r="AQ705" s="825"/>
      <c r="AR705" s="825"/>
      <c r="AS705" s="825"/>
      <c r="AT705" s="825"/>
      <c r="AU705" s="825"/>
      <c r="AV705" s="825"/>
    </row>
    <row r="706" spans="1:48" ht="15.8" customHeight="1" x14ac:dyDescent="0.3">
      <c r="A706" s="825"/>
      <c r="B706" s="825"/>
      <c r="C706" s="825"/>
      <c r="D706" s="825"/>
      <c r="G706" s="825"/>
      <c r="H706" s="18"/>
      <c r="I706" s="825"/>
      <c r="L706" s="825"/>
      <c r="M706" s="825"/>
      <c r="N706" s="825"/>
      <c r="O706" s="825"/>
      <c r="P706" s="825"/>
      <c r="Q706" s="21"/>
      <c r="R706" s="21"/>
      <c r="S706" s="19"/>
      <c r="T706" s="19"/>
      <c r="U706" s="19"/>
      <c r="V706" s="19"/>
      <c r="W706" s="825"/>
      <c r="X706" s="825"/>
      <c r="AM706" s="825"/>
      <c r="AN706" s="825"/>
      <c r="AO706" s="825"/>
      <c r="AP706" s="825"/>
      <c r="AQ706" s="825"/>
      <c r="AR706" s="825"/>
      <c r="AS706" s="825"/>
      <c r="AT706" s="825"/>
      <c r="AU706" s="825"/>
      <c r="AV706" s="825"/>
    </row>
    <row r="707" spans="1:48" ht="15.8" customHeight="1" x14ac:dyDescent="0.3">
      <c r="A707" s="825"/>
      <c r="B707" s="825"/>
      <c r="C707" s="825"/>
      <c r="D707" s="825"/>
      <c r="G707" s="825"/>
      <c r="H707" s="18"/>
      <c r="I707" s="825"/>
      <c r="L707" s="825"/>
      <c r="M707" s="825"/>
      <c r="N707" s="825"/>
      <c r="O707" s="825"/>
      <c r="P707" s="825"/>
      <c r="Q707" s="21"/>
      <c r="R707" s="21"/>
      <c r="S707" s="19"/>
      <c r="T707" s="19"/>
      <c r="U707" s="19"/>
      <c r="V707" s="19"/>
      <c r="W707" s="825"/>
      <c r="X707" s="825"/>
      <c r="AM707" s="825"/>
      <c r="AN707" s="825"/>
      <c r="AO707" s="825"/>
      <c r="AP707" s="825"/>
      <c r="AQ707" s="825"/>
      <c r="AR707" s="825"/>
      <c r="AS707" s="825"/>
      <c r="AT707" s="825"/>
      <c r="AU707" s="825"/>
      <c r="AV707" s="825"/>
    </row>
    <row r="708" spans="1:48" ht="15.8" customHeight="1" x14ac:dyDescent="0.3">
      <c r="A708" s="825"/>
      <c r="B708" s="825"/>
      <c r="C708" s="825"/>
      <c r="D708" s="825"/>
      <c r="G708" s="825"/>
      <c r="H708" s="18"/>
      <c r="I708" s="825"/>
      <c r="L708" s="825"/>
      <c r="M708" s="825"/>
      <c r="N708" s="825"/>
      <c r="O708" s="825"/>
      <c r="P708" s="825"/>
      <c r="Q708" s="21"/>
      <c r="R708" s="21"/>
      <c r="S708" s="19"/>
      <c r="T708" s="19"/>
      <c r="U708" s="19"/>
      <c r="V708" s="19"/>
      <c r="W708" s="825"/>
      <c r="X708" s="825"/>
      <c r="AM708" s="825"/>
      <c r="AN708" s="825"/>
      <c r="AO708" s="825"/>
      <c r="AP708" s="825"/>
      <c r="AQ708" s="825"/>
      <c r="AR708" s="825"/>
      <c r="AS708" s="825"/>
      <c r="AT708" s="825"/>
      <c r="AU708" s="825"/>
      <c r="AV708" s="825"/>
    </row>
    <row r="709" spans="1:48" ht="15.8" customHeight="1" x14ac:dyDescent="0.3">
      <c r="A709" s="825"/>
      <c r="B709" s="825"/>
      <c r="C709" s="825"/>
      <c r="D709" s="825"/>
      <c r="G709" s="825"/>
      <c r="H709" s="18"/>
      <c r="I709" s="825"/>
      <c r="L709" s="825"/>
      <c r="M709" s="825"/>
      <c r="N709" s="825"/>
      <c r="O709" s="825"/>
      <c r="P709" s="825"/>
      <c r="Q709" s="21"/>
      <c r="R709" s="21"/>
      <c r="S709" s="19"/>
      <c r="T709" s="19"/>
      <c r="U709" s="19"/>
      <c r="V709" s="19"/>
      <c r="W709" s="825"/>
      <c r="X709" s="825"/>
      <c r="AM709" s="825"/>
      <c r="AN709" s="825"/>
      <c r="AO709" s="825"/>
      <c r="AP709" s="825"/>
      <c r="AQ709" s="825"/>
      <c r="AR709" s="825"/>
      <c r="AS709" s="825"/>
      <c r="AT709" s="825"/>
      <c r="AU709" s="825"/>
      <c r="AV709" s="825"/>
    </row>
    <row r="710" spans="1:48" ht="15.8" customHeight="1" x14ac:dyDescent="0.3">
      <c r="A710" s="825"/>
      <c r="B710" s="825"/>
      <c r="C710" s="825"/>
      <c r="D710" s="825"/>
      <c r="G710" s="825"/>
      <c r="H710" s="18"/>
      <c r="I710" s="825"/>
      <c r="L710" s="825"/>
      <c r="M710" s="825"/>
      <c r="N710" s="825"/>
      <c r="O710" s="825"/>
      <c r="P710" s="825"/>
      <c r="Q710" s="21"/>
      <c r="R710" s="21"/>
      <c r="S710" s="19"/>
      <c r="T710" s="19"/>
      <c r="U710" s="19"/>
      <c r="V710" s="19"/>
      <c r="W710" s="825"/>
      <c r="X710" s="825"/>
      <c r="AM710" s="825"/>
      <c r="AN710" s="825"/>
      <c r="AO710" s="825"/>
      <c r="AP710" s="825"/>
      <c r="AQ710" s="825"/>
      <c r="AR710" s="825"/>
      <c r="AS710" s="825"/>
      <c r="AT710" s="825"/>
      <c r="AU710" s="825"/>
      <c r="AV710" s="825"/>
    </row>
    <row r="711" spans="1:48" ht="15.8" customHeight="1" x14ac:dyDescent="0.3">
      <c r="A711" s="825"/>
      <c r="B711" s="825"/>
      <c r="C711" s="825"/>
      <c r="D711" s="825"/>
      <c r="G711" s="825"/>
      <c r="H711" s="18"/>
      <c r="I711" s="825"/>
      <c r="L711" s="825"/>
      <c r="M711" s="825"/>
      <c r="N711" s="825"/>
      <c r="O711" s="825"/>
      <c r="P711" s="825"/>
      <c r="Q711" s="21"/>
      <c r="R711" s="21"/>
      <c r="S711" s="19"/>
      <c r="T711" s="19"/>
      <c r="U711" s="19"/>
      <c r="V711" s="19"/>
      <c r="W711" s="825"/>
      <c r="X711" s="825"/>
      <c r="AM711" s="825"/>
      <c r="AN711" s="825"/>
      <c r="AO711" s="825"/>
      <c r="AP711" s="825"/>
      <c r="AQ711" s="825"/>
      <c r="AR711" s="825"/>
      <c r="AS711" s="825"/>
      <c r="AT711" s="825"/>
      <c r="AU711" s="825"/>
      <c r="AV711" s="825"/>
    </row>
    <row r="712" spans="1:48" ht="15.8" customHeight="1" x14ac:dyDescent="0.3">
      <c r="A712" s="825"/>
      <c r="B712" s="825"/>
      <c r="C712" s="825"/>
      <c r="D712" s="825"/>
      <c r="G712" s="825"/>
      <c r="H712" s="18"/>
      <c r="I712" s="825"/>
      <c r="L712" s="825"/>
      <c r="M712" s="825"/>
      <c r="N712" s="825"/>
      <c r="O712" s="825"/>
      <c r="P712" s="825"/>
      <c r="Q712" s="21"/>
      <c r="R712" s="21"/>
      <c r="S712" s="19"/>
      <c r="T712" s="19"/>
      <c r="U712" s="19"/>
      <c r="V712" s="19"/>
      <c r="W712" s="825"/>
      <c r="X712" s="825"/>
      <c r="AM712" s="825"/>
      <c r="AN712" s="825"/>
      <c r="AO712" s="825"/>
      <c r="AP712" s="825"/>
      <c r="AQ712" s="825"/>
      <c r="AR712" s="825"/>
      <c r="AS712" s="825"/>
      <c r="AT712" s="825"/>
      <c r="AU712" s="825"/>
      <c r="AV712" s="825"/>
    </row>
    <row r="713" spans="1:48" ht="15.8" customHeight="1" x14ac:dyDescent="0.3">
      <c r="A713" s="825"/>
      <c r="B713" s="825"/>
      <c r="C713" s="825"/>
      <c r="D713" s="825"/>
      <c r="G713" s="825"/>
      <c r="H713" s="18"/>
      <c r="I713" s="825"/>
      <c r="L713" s="825"/>
      <c r="M713" s="825"/>
      <c r="N713" s="825"/>
      <c r="O713" s="825"/>
      <c r="P713" s="825"/>
      <c r="Q713" s="21"/>
      <c r="R713" s="21"/>
      <c r="S713" s="19"/>
      <c r="T713" s="19"/>
      <c r="U713" s="19"/>
      <c r="V713" s="19"/>
      <c r="W713" s="825"/>
      <c r="X713" s="825"/>
      <c r="AM713" s="825"/>
      <c r="AN713" s="825"/>
      <c r="AO713" s="825"/>
      <c r="AP713" s="825"/>
      <c r="AQ713" s="825"/>
      <c r="AR713" s="825"/>
      <c r="AS713" s="825"/>
      <c r="AT713" s="825"/>
      <c r="AU713" s="825"/>
      <c r="AV713" s="825"/>
    </row>
    <row r="714" spans="1:48" ht="15.8" customHeight="1" x14ac:dyDescent="0.3">
      <c r="A714" s="825"/>
      <c r="B714" s="825"/>
      <c r="C714" s="825"/>
      <c r="D714" s="825"/>
      <c r="G714" s="825"/>
      <c r="H714" s="18"/>
      <c r="I714" s="825"/>
      <c r="L714" s="825"/>
      <c r="M714" s="825"/>
      <c r="N714" s="825"/>
      <c r="O714" s="825"/>
      <c r="P714" s="825"/>
      <c r="Q714" s="21"/>
      <c r="R714" s="21"/>
      <c r="S714" s="19"/>
      <c r="T714" s="19"/>
      <c r="U714" s="19"/>
      <c r="V714" s="19"/>
      <c r="W714" s="825"/>
      <c r="X714" s="825"/>
      <c r="AM714" s="825"/>
      <c r="AN714" s="825"/>
      <c r="AO714" s="825"/>
      <c r="AP714" s="825"/>
      <c r="AQ714" s="825"/>
      <c r="AR714" s="825"/>
      <c r="AS714" s="825"/>
      <c r="AT714" s="825"/>
      <c r="AU714" s="825"/>
      <c r="AV714" s="825"/>
    </row>
    <row r="715" spans="1:48" ht="15.8" customHeight="1" x14ac:dyDescent="0.3">
      <c r="A715" s="825"/>
      <c r="B715" s="825"/>
      <c r="C715" s="825"/>
      <c r="D715" s="825"/>
      <c r="G715" s="825"/>
      <c r="H715" s="18"/>
      <c r="I715" s="825"/>
      <c r="L715" s="825"/>
      <c r="M715" s="825"/>
      <c r="N715" s="825"/>
      <c r="O715" s="825"/>
      <c r="P715" s="825"/>
      <c r="Q715" s="21"/>
      <c r="R715" s="21"/>
      <c r="S715" s="19"/>
      <c r="T715" s="19"/>
      <c r="U715" s="19"/>
      <c r="V715" s="19"/>
      <c r="W715" s="825"/>
      <c r="X715" s="825"/>
      <c r="AM715" s="825"/>
      <c r="AN715" s="825"/>
      <c r="AO715" s="825"/>
      <c r="AP715" s="825"/>
      <c r="AQ715" s="825"/>
      <c r="AR715" s="825"/>
      <c r="AS715" s="825"/>
      <c r="AT715" s="825"/>
      <c r="AU715" s="825"/>
      <c r="AV715" s="825"/>
    </row>
    <row r="716" spans="1:48" ht="15.8" customHeight="1" x14ac:dyDescent="0.3">
      <c r="A716" s="825"/>
      <c r="B716" s="825"/>
      <c r="C716" s="825"/>
      <c r="D716" s="825"/>
      <c r="G716" s="825"/>
      <c r="H716" s="18"/>
      <c r="I716" s="825"/>
      <c r="L716" s="825"/>
      <c r="M716" s="825"/>
      <c r="N716" s="825"/>
      <c r="O716" s="825"/>
      <c r="P716" s="825"/>
      <c r="Q716" s="21"/>
      <c r="R716" s="21"/>
      <c r="S716" s="19"/>
      <c r="T716" s="19"/>
      <c r="U716" s="19"/>
      <c r="V716" s="19"/>
      <c r="W716" s="825"/>
      <c r="X716" s="825"/>
      <c r="AM716" s="825"/>
      <c r="AN716" s="825"/>
      <c r="AO716" s="825"/>
      <c r="AP716" s="825"/>
      <c r="AQ716" s="825"/>
      <c r="AR716" s="825"/>
      <c r="AS716" s="825"/>
      <c r="AT716" s="825"/>
      <c r="AU716" s="825"/>
      <c r="AV716" s="825"/>
    </row>
    <row r="717" spans="1:48" ht="15.8" customHeight="1" x14ac:dyDescent="0.3">
      <c r="A717" s="825"/>
      <c r="B717" s="825"/>
      <c r="C717" s="825"/>
      <c r="D717" s="825"/>
      <c r="G717" s="825"/>
      <c r="H717" s="18"/>
      <c r="I717" s="825"/>
      <c r="L717" s="825"/>
      <c r="M717" s="825"/>
      <c r="N717" s="825"/>
      <c r="O717" s="825"/>
      <c r="P717" s="825"/>
      <c r="Q717" s="21"/>
      <c r="R717" s="21"/>
      <c r="S717" s="19"/>
      <c r="T717" s="19"/>
      <c r="U717" s="19"/>
      <c r="V717" s="19"/>
      <c r="W717" s="825"/>
      <c r="X717" s="825"/>
      <c r="AM717" s="825"/>
      <c r="AN717" s="825"/>
      <c r="AO717" s="825"/>
      <c r="AP717" s="825"/>
      <c r="AQ717" s="825"/>
      <c r="AR717" s="825"/>
      <c r="AS717" s="825"/>
      <c r="AT717" s="825"/>
      <c r="AU717" s="825"/>
      <c r="AV717" s="825"/>
    </row>
    <row r="718" spans="1:48" ht="15.8" customHeight="1" x14ac:dyDescent="0.3">
      <c r="A718" s="825"/>
      <c r="B718" s="825"/>
      <c r="C718" s="825"/>
      <c r="D718" s="825"/>
      <c r="G718" s="825"/>
      <c r="H718" s="18"/>
      <c r="I718" s="825"/>
      <c r="L718" s="825"/>
      <c r="M718" s="825"/>
      <c r="N718" s="825"/>
      <c r="O718" s="825"/>
      <c r="P718" s="825"/>
      <c r="Q718" s="21"/>
      <c r="R718" s="21"/>
      <c r="S718" s="19"/>
      <c r="T718" s="19"/>
      <c r="U718" s="19"/>
      <c r="V718" s="19"/>
      <c r="W718" s="825"/>
      <c r="X718" s="825"/>
      <c r="AM718" s="825"/>
      <c r="AN718" s="825"/>
      <c r="AO718" s="825"/>
      <c r="AP718" s="825"/>
      <c r="AQ718" s="825"/>
      <c r="AR718" s="825"/>
      <c r="AS718" s="825"/>
      <c r="AT718" s="825"/>
      <c r="AU718" s="825"/>
      <c r="AV718" s="825"/>
    </row>
    <row r="719" spans="1:48" ht="15.8" customHeight="1" x14ac:dyDescent="0.3">
      <c r="A719" s="825"/>
      <c r="B719" s="825"/>
      <c r="C719" s="825"/>
      <c r="D719" s="825"/>
      <c r="G719" s="825"/>
      <c r="H719" s="18"/>
      <c r="I719" s="825"/>
      <c r="L719" s="825"/>
      <c r="M719" s="825"/>
      <c r="N719" s="825"/>
      <c r="O719" s="825"/>
      <c r="P719" s="825"/>
      <c r="Q719" s="21"/>
      <c r="R719" s="21"/>
      <c r="S719" s="19"/>
      <c r="T719" s="19"/>
      <c r="U719" s="19"/>
      <c r="V719" s="19"/>
      <c r="W719" s="825"/>
      <c r="X719" s="825"/>
      <c r="AM719" s="825"/>
      <c r="AN719" s="825"/>
      <c r="AO719" s="825"/>
      <c r="AP719" s="825"/>
      <c r="AQ719" s="825"/>
      <c r="AR719" s="825"/>
      <c r="AS719" s="825"/>
      <c r="AT719" s="825"/>
      <c r="AU719" s="825"/>
      <c r="AV719" s="825"/>
    </row>
    <row r="720" spans="1:48" ht="15.8" customHeight="1" x14ac:dyDescent="0.3">
      <c r="A720" s="825"/>
      <c r="B720" s="825"/>
      <c r="C720" s="825"/>
      <c r="D720" s="825"/>
      <c r="G720" s="825"/>
      <c r="H720" s="18"/>
      <c r="I720" s="825"/>
      <c r="L720" s="825"/>
      <c r="M720" s="825"/>
      <c r="N720" s="825"/>
      <c r="O720" s="825"/>
      <c r="P720" s="825"/>
      <c r="Q720" s="21"/>
      <c r="R720" s="21"/>
      <c r="S720" s="19"/>
      <c r="T720" s="19"/>
      <c r="U720" s="19"/>
      <c r="V720" s="19"/>
      <c r="W720" s="825"/>
      <c r="X720" s="825"/>
      <c r="AM720" s="825"/>
      <c r="AN720" s="825"/>
      <c r="AO720" s="825"/>
      <c r="AP720" s="825"/>
      <c r="AQ720" s="825"/>
      <c r="AR720" s="825"/>
      <c r="AS720" s="825"/>
      <c r="AT720" s="825"/>
      <c r="AU720" s="825"/>
      <c r="AV720" s="825"/>
    </row>
    <row r="721" spans="1:48" ht="15.8" customHeight="1" x14ac:dyDescent="0.3">
      <c r="A721" s="825"/>
      <c r="B721" s="825"/>
      <c r="C721" s="825"/>
      <c r="D721" s="825"/>
      <c r="G721" s="825"/>
      <c r="H721" s="18"/>
      <c r="I721" s="825"/>
      <c r="L721" s="825"/>
      <c r="M721" s="825"/>
      <c r="N721" s="825"/>
      <c r="O721" s="825"/>
      <c r="P721" s="825"/>
      <c r="Q721" s="21"/>
      <c r="R721" s="21"/>
      <c r="S721" s="19"/>
      <c r="T721" s="19"/>
      <c r="U721" s="19"/>
      <c r="V721" s="19"/>
      <c r="W721" s="825"/>
      <c r="X721" s="825"/>
      <c r="AM721" s="825"/>
      <c r="AN721" s="825"/>
      <c r="AO721" s="825"/>
      <c r="AP721" s="825"/>
      <c r="AQ721" s="825"/>
      <c r="AR721" s="825"/>
      <c r="AS721" s="825"/>
      <c r="AT721" s="825"/>
      <c r="AU721" s="825"/>
      <c r="AV721" s="825"/>
    </row>
    <row r="722" spans="1:48" ht="15.8" customHeight="1" x14ac:dyDescent="0.3">
      <c r="A722" s="825"/>
      <c r="B722" s="825"/>
      <c r="C722" s="825"/>
      <c r="D722" s="825"/>
      <c r="G722" s="825"/>
      <c r="H722" s="18"/>
      <c r="I722" s="825"/>
      <c r="L722" s="825"/>
      <c r="M722" s="825"/>
      <c r="N722" s="825"/>
      <c r="O722" s="825"/>
      <c r="P722" s="825"/>
      <c r="Q722" s="21"/>
      <c r="R722" s="21"/>
      <c r="S722" s="19"/>
      <c r="T722" s="19"/>
      <c r="U722" s="19"/>
      <c r="V722" s="19"/>
      <c r="W722" s="825"/>
      <c r="X722" s="825"/>
      <c r="AM722" s="825"/>
      <c r="AN722" s="825"/>
      <c r="AO722" s="825"/>
      <c r="AP722" s="825"/>
      <c r="AQ722" s="825"/>
      <c r="AR722" s="825"/>
      <c r="AS722" s="825"/>
      <c r="AT722" s="825"/>
      <c r="AU722" s="825"/>
      <c r="AV722" s="825"/>
    </row>
    <row r="723" spans="1:48" ht="15.8" customHeight="1" x14ac:dyDescent="0.3">
      <c r="A723" s="825"/>
      <c r="B723" s="825"/>
      <c r="C723" s="825"/>
      <c r="D723" s="825"/>
      <c r="G723" s="825"/>
      <c r="H723" s="18"/>
      <c r="I723" s="825"/>
      <c r="L723" s="825"/>
      <c r="M723" s="825"/>
      <c r="N723" s="825"/>
      <c r="O723" s="825"/>
      <c r="P723" s="825"/>
      <c r="Q723" s="21"/>
      <c r="R723" s="21"/>
      <c r="S723" s="19"/>
      <c r="T723" s="19"/>
      <c r="U723" s="19"/>
      <c r="V723" s="19"/>
      <c r="W723" s="825"/>
      <c r="X723" s="825"/>
      <c r="AM723" s="825"/>
      <c r="AN723" s="825"/>
      <c r="AO723" s="825"/>
      <c r="AP723" s="825"/>
      <c r="AQ723" s="825"/>
      <c r="AR723" s="825"/>
      <c r="AS723" s="825"/>
      <c r="AT723" s="825"/>
      <c r="AU723" s="825"/>
      <c r="AV723" s="825"/>
    </row>
    <row r="724" spans="1:48" ht="15.8" customHeight="1" x14ac:dyDescent="0.3">
      <c r="A724" s="825"/>
      <c r="B724" s="825"/>
      <c r="C724" s="825"/>
      <c r="D724" s="825"/>
      <c r="G724" s="825"/>
      <c r="H724" s="18"/>
      <c r="I724" s="825"/>
      <c r="L724" s="825"/>
      <c r="M724" s="825"/>
      <c r="N724" s="825"/>
      <c r="O724" s="825"/>
      <c r="P724" s="825"/>
      <c r="Q724" s="21"/>
      <c r="R724" s="21"/>
      <c r="S724" s="19"/>
      <c r="T724" s="19"/>
      <c r="U724" s="19"/>
      <c r="V724" s="19"/>
      <c r="W724" s="825"/>
      <c r="X724" s="825"/>
      <c r="AM724" s="825"/>
      <c r="AN724" s="825"/>
      <c r="AO724" s="825"/>
      <c r="AP724" s="825"/>
      <c r="AQ724" s="825"/>
      <c r="AR724" s="825"/>
      <c r="AS724" s="825"/>
      <c r="AT724" s="825"/>
      <c r="AU724" s="825"/>
      <c r="AV724" s="825"/>
    </row>
    <row r="725" spans="1:48" ht="15.8" customHeight="1" x14ac:dyDescent="0.3">
      <c r="A725" s="825"/>
      <c r="B725" s="825"/>
      <c r="C725" s="825"/>
      <c r="D725" s="825"/>
      <c r="G725" s="825"/>
      <c r="H725" s="18"/>
      <c r="I725" s="825"/>
      <c r="L725" s="825"/>
      <c r="M725" s="825"/>
      <c r="N725" s="825"/>
      <c r="O725" s="825"/>
      <c r="P725" s="825"/>
      <c r="Q725" s="21"/>
      <c r="R725" s="21"/>
      <c r="S725" s="19"/>
      <c r="T725" s="19"/>
      <c r="U725" s="19"/>
      <c r="V725" s="19"/>
      <c r="W725" s="825"/>
      <c r="X725" s="825"/>
      <c r="AM725" s="825"/>
      <c r="AN725" s="825"/>
      <c r="AO725" s="825"/>
      <c r="AP725" s="825"/>
      <c r="AQ725" s="825"/>
      <c r="AR725" s="825"/>
      <c r="AS725" s="825"/>
      <c r="AT725" s="825"/>
      <c r="AU725" s="825"/>
      <c r="AV725" s="825"/>
    </row>
    <row r="726" spans="1:48" ht="15.8" customHeight="1" x14ac:dyDescent="0.3">
      <c r="A726" s="825"/>
      <c r="B726" s="825"/>
      <c r="C726" s="825"/>
      <c r="D726" s="825"/>
      <c r="G726" s="825"/>
      <c r="H726" s="18"/>
      <c r="I726" s="825"/>
      <c r="L726" s="825"/>
      <c r="M726" s="825"/>
      <c r="N726" s="825"/>
      <c r="O726" s="825"/>
      <c r="P726" s="825"/>
      <c r="Q726" s="21"/>
      <c r="R726" s="21"/>
      <c r="S726" s="19"/>
      <c r="T726" s="19"/>
      <c r="U726" s="19"/>
      <c r="V726" s="19"/>
      <c r="W726" s="825"/>
      <c r="X726" s="825"/>
      <c r="AM726" s="825"/>
      <c r="AN726" s="825"/>
      <c r="AO726" s="825"/>
      <c r="AP726" s="825"/>
      <c r="AQ726" s="825"/>
      <c r="AR726" s="825"/>
      <c r="AS726" s="825"/>
      <c r="AT726" s="825"/>
      <c r="AU726" s="825"/>
      <c r="AV726" s="825"/>
    </row>
    <row r="727" spans="1:48" ht="15.8" customHeight="1" x14ac:dyDescent="0.3">
      <c r="A727" s="825"/>
      <c r="B727" s="825"/>
      <c r="C727" s="825"/>
      <c r="D727" s="825"/>
      <c r="G727" s="825"/>
      <c r="H727" s="18"/>
      <c r="I727" s="825"/>
      <c r="L727" s="825"/>
      <c r="M727" s="825"/>
      <c r="N727" s="825"/>
      <c r="O727" s="825"/>
      <c r="P727" s="825"/>
      <c r="Q727" s="21"/>
      <c r="R727" s="21"/>
      <c r="S727" s="19"/>
      <c r="T727" s="19"/>
      <c r="U727" s="19"/>
      <c r="V727" s="19"/>
      <c r="W727" s="825"/>
      <c r="X727" s="825"/>
      <c r="AM727" s="825"/>
      <c r="AN727" s="825"/>
      <c r="AO727" s="825"/>
      <c r="AP727" s="825"/>
      <c r="AQ727" s="825"/>
      <c r="AR727" s="825"/>
      <c r="AS727" s="825"/>
      <c r="AT727" s="825"/>
      <c r="AU727" s="825"/>
      <c r="AV727" s="825"/>
    </row>
    <row r="728" spans="1:48" ht="15.8" customHeight="1" x14ac:dyDescent="0.3">
      <c r="A728" s="825"/>
      <c r="B728" s="825"/>
      <c r="C728" s="825"/>
      <c r="D728" s="825"/>
      <c r="G728" s="825"/>
      <c r="H728" s="18"/>
      <c r="I728" s="825"/>
      <c r="L728" s="825"/>
      <c r="M728" s="825"/>
      <c r="N728" s="825"/>
      <c r="O728" s="825"/>
      <c r="P728" s="825"/>
      <c r="Q728" s="21"/>
      <c r="R728" s="21"/>
      <c r="S728" s="19"/>
      <c r="T728" s="19"/>
      <c r="U728" s="19"/>
      <c r="V728" s="19"/>
      <c r="W728" s="825"/>
      <c r="X728" s="825"/>
      <c r="AM728" s="825"/>
      <c r="AN728" s="825"/>
      <c r="AO728" s="825"/>
      <c r="AP728" s="825"/>
      <c r="AQ728" s="825"/>
      <c r="AR728" s="825"/>
      <c r="AS728" s="825"/>
      <c r="AT728" s="825"/>
      <c r="AU728" s="825"/>
      <c r="AV728" s="825"/>
    </row>
    <row r="729" spans="1:48" ht="15.8" customHeight="1" x14ac:dyDescent="0.3">
      <c r="A729" s="825"/>
      <c r="B729" s="825"/>
      <c r="C729" s="825"/>
      <c r="D729" s="825"/>
      <c r="G729" s="825"/>
      <c r="H729" s="18"/>
      <c r="I729" s="825"/>
      <c r="L729" s="825"/>
      <c r="M729" s="825"/>
      <c r="N729" s="825"/>
      <c r="O729" s="825"/>
      <c r="P729" s="825"/>
      <c r="Q729" s="21"/>
      <c r="R729" s="21"/>
      <c r="S729" s="19"/>
      <c r="T729" s="19"/>
      <c r="U729" s="19"/>
      <c r="V729" s="19"/>
      <c r="W729" s="825"/>
      <c r="X729" s="825"/>
      <c r="AM729" s="825"/>
      <c r="AN729" s="825"/>
      <c r="AO729" s="825"/>
      <c r="AP729" s="825"/>
      <c r="AQ729" s="825"/>
      <c r="AR729" s="825"/>
      <c r="AS729" s="825"/>
      <c r="AT729" s="825"/>
      <c r="AU729" s="825"/>
      <c r="AV729" s="825"/>
    </row>
    <row r="730" spans="1:48" ht="15.8" customHeight="1" x14ac:dyDescent="0.3">
      <c r="A730" s="825"/>
      <c r="B730" s="825"/>
      <c r="C730" s="825"/>
      <c r="D730" s="825"/>
      <c r="G730" s="825"/>
      <c r="H730" s="18"/>
      <c r="I730" s="825"/>
      <c r="L730" s="825"/>
      <c r="M730" s="825"/>
      <c r="N730" s="825"/>
      <c r="O730" s="825"/>
      <c r="P730" s="825"/>
      <c r="Q730" s="21"/>
      <c r="R730" s="21"/>
      <c r="S730" s="19"/>
      <c r="T730" s="19"/>
      <c r="U730" s="19"/>
      <c r="V730" s="19"/>
      <c r="W730" s="825"/>
      <c r="X730" s="825"/>
      <c r="AM730" s="825"/>
      <c r="AN730" s="825"/>
      <c r="AO730" s="825"/>
      <c r="AP730" s="825"/>
      <c r="AQ730" s="825"/>
      <c r="AR730" s="825"/>
      <c r="AS730" s="825"/>
      <c r="AT730" s="825"/>
      <c r="AU730" s="825"/>
      <c r="AV730" s="825"/>
    </row>
    <row r="731" spans="1:48" ht="15.8" customHeight="1" x14ac:dyDescent="0.3">
      <c r="A731" s="825"/>
      <c r="B731" s="825"/>
      <c r="C731" s="825"/>
      <c r="D731" s="825"/>
      <c r="G731" s="825"/>
      <c r="H731" s="18"/>
      <c r="I731" s="825"/>
      <c r="L731" s="825"/>
      <c r="M731" s="825"/>
      <c r="N731" s="825"/>
      <c r="O731" s="825"/>
      <c r="P731" s="825"/>
      <c r="Q731" s="21"/>
      <c r="R731" s="21"/>
      <c r="S731" s="19"/>
      <c r="T731" s="19"/>
      <c r="U731" s="19"/>
      <c r="V731" s="19"/>
      <c r="W731" s="825"/>
      <c r="X731" s="825"/>
      <c r="AM731" s="825"/>
      <c r="AN731" s="825"/>
      <c r="AO731" s="825"/>
      <c r="AP731" s="825"/>
      <c r="AQ731" s="825"/>
      <c r="AR731" s="825"/>
      <c r="AS731" s="825"/>
      <c r="AT731" s="825"/>
      <c r="AU731" s="825"/>
      <c r="AV731" s="825"/>
    </row>
    <row r="732" spans="1:48" ht="15.8" customHeight="1" x14ac:dyDescent="0.3">
      <c r="A732" s="825"/>
      <c r="B732" s="825"/>
      <c r="C732" s="825"/>
      <c r="D732" s="825"/>
      <c r="G732" s="825"/>
      <c r="H732" s="18"/>
      <c r="I732" s="825"/>
      <c r="L732" s="825"/>
      <c r="M732" s="825"/>
      <c r="N732" s="825"/>
      <c r="O732" s="825"/>
      <c r="P732" s="825"/>
      <c r="Q732" s="21"/>
      <c r="R732" s="21"/>
      <c r="S732" s="19"/>
      <c r="T732" s="19"/>
      <c r="U732" s="19"/>
      <c r="V732" s="19"/>
      <c r="W732" s="825"/>
      <c r="X732" s="825"/>
      <c r="AM732" s="825"/>
      <c r="AN732" s="825"/>
      <c r="AO732" s="825"/>
      <c r="AP732" s="825"/>
      <c r="AQ732" s="825"/>
      <c r="AR732" s="825"/>
      <c r="AS732" s="825"/>
      <c r="AT732" s="825"/>
      <c r="AU732" s="825"/>
      <c r="AV732" s="825"/>
    </row>
    <row r="733" spans="1:48" ht="15.8" customHeight="1" x14ac:dyDescent="0.3">
      <c r="A733" s="825"/>
      <c r="B733" s="825"/>
      <c r="C733" s="825"/>
      <c r="D733" s="825"/>
      <c r="G733" s="825"/>
      <c r="H733" s="18"/>
      <c r="I733" s="825"/>
      <c r="L733" s="825"/>
      <c r="M733" s="825"/>
      <c r="N733" s="825"/>
      <c r="O733" s="825"/>
      <c r="P733" s="825"/>
      <c r="Q733" s="21"/>
      <c r="R733" s="21"/>
      <c r="S733" s="19"/>
      <c r="T733" s="19"/>
      <c r="U733" s="19"/>
      <c r="V733" s="19"/>
      <c r="W733" s="825"/>
      <c r="X733" s="825"/>
      <c r="AM733" s="825"/>
      <c r="AN733" s="825"/>
      <c r="AO733" s="825"/>
      <c r="AP733" s="825"/>
      <c r="AQ733" s="825"/>
      <c r="AR733" s="825"/>
      <c r="AS733" s="825"/>
      <c r="AT733" s="825"/>
      <c r="AU733" s="825"/>
      <c r="AV733" s="825"/>
    </row>
    <row r="734" spans="1:48" ht="15.8" customHeight="1" x14ac:dyDescent="0.3">
      <c r="A734" s="825"/>
      <c r="B734" s="825"/>
      <c r="C734" s="825"/>
      <c r="D734" s="825"/>
      <c r="G734" s="825"/>
      <c r="H734" s="18"/>
      <c r="I734" s="825"/>
      <c r="L734" s="825"/>
      <c r="M734" s="825"/>
      <c r="N734" s="825"/>
      <c r="O734" s="825"/>
      <c r="P734" s="825"/>
      <c r="Q734" s="21"/>
      <c r="R734" s="21"/>
      <c r="S734" s="19"/>
      <c r="T734" s="19"/>
      <c r="U734" s="19"/>
      <c r="V734" s="19"/>
      <c r="W734" s="825"/>
      <c r="X734" s="825"/>
      <c r="AM734" s="825"/>
      <c r="AN734" s="825"/>
      <c r="AO734" s="825"/>
      <c r="AP734" s="825"/>
      <c r="AQ734" s="825"/>
      <c r="AR734" s="825"/>
      <c r="AS734" s="825"/>
      <c r="AT734" s="825"/>
      <c r="AU734" s="825"/>
      <c r="AV734" s="825"/>
    </row>
    <row r="735" spans="1:48" ht="15.8" customHeight="1" x14ac:dyDescent="0.3">
      <c r="A735" s="825"/>
      <c r="B735" s="825"/>
      <c r="C735" s="825"/>
      <c r="D735" s="825"/>
      <c r="G735" s="825"/>
      <c r="H735" s="18"/>
      <c r="I735" s="825"/>
      <c r="L735" s="825"/>
      <c r="M735" s="825"/>
      <c r="N735" s="825"/>
      <c r="O735" s="825"/>
      <c r="P735" s="825"/>
      <c r="Q735" s="21"/>
      <c r="R735" s="21"/>
      <c r="S735" s="19"/>
      <c r="T735" s="19"/>
      <c r="U735" s="19"/>
      <c r="V735" s="19"/>
      <c r="W735" s="825"/>
      <c r="X735" s="825"/>
      <c r="AM735" s="825"/>
      <c r="AN735" s="825"/>
      <c r="AO735" s="825"/>
      <c r="AP735" s="825"/>
      <c r="AQ735" s="825"/>
      <c r="AR735" s="825"/>
      <c r="AS735" s="825"/>
      <c r="AT735" s="825"/>
      <c r="AU735" s="825"/>
      <c r="AV735" s="825"/>
    </row>
    <row r="736" spans="1:48" ht="15.8" customHeight="1" x14ac:dyDescent="0.3">
      <c r="A736" s="825"/>
      <c r="B736" s="825"/>
      <c r="C736" s="825"/>
      <c r="D736" s="825"/>
      <c r="G736" s="825"/>
      <c r="H736" s="18"/>
      <c r="I736" s="825"/>
      <c r="L736" s="825"/>
      <c r="M736" s="825"/>
      <c r="N736" s="825"/>
      <c r="O736" s="825"/>
      <c r="P736" s="825"/>
      <c r="Q736" s="21"/>
      <c r="R736" s="21"/>
      <c r="S736" s="19"/>
      <c r="T736" s="19"/>
      <c r="U736" s="19"/>
      <c r="V736" s="19"/>
      <c r="W736" s="825"/>
      <c r="X736" s="825"/>
      <c r="AM736" s="825"/>
      <c r="AN736" s="825"/>
      <c r="AO736" s="825"/>
      <c r="AP736" s="825"/>
      <c r="AQ736" s="825"/>
      <c r="AR736" s="825"/>
      <c r="AS736" s="825"/>
      <c r="AT736" s="825"/>
      <c r="AU736" s="825"/>
      <c r="AV736" s="825"/>
    </row>
    <row r="737" spans="1:48" ht="15.8" customHeight="1" x14ac:dyDescent="0.3">
      <c r="A737" s="825"/>
      <c r="B737" s="825"/>
      <c r="C737" s="825"/>
      <c r="D737" s="825"/>
      <c r="G737" s="825"/>
      <c r="H737" s="18"/>
      <c r="I737" s="825"/>
      <c r="L737" s="825"/>
      <c r="M737" s="825"/>
      <c r="N737" s="825"/>
      <c r="O737" s="825"/>
      <c r="P737" s="825"/>
      <c r="Q737" s="21"/>
      <c r="R737" s="21"/>
      <c r="S737" s="19"/>
      <c r="T737" s="19"/>
      <c r="U737" s="19"/>
      <c r="V737" s="19"/>
      <c r="W737" s="825"/>
      <c r="X737" s="825"/>
      <c r="AM737" s="825"/>
      <c r="AN737" s="825"/>
      <c r="AO737" s="825"/>
      <c r="AP737" s="825"/>
      <c r="AQ737" s="825"/>
      <c r="AR737" s="825"/>
      <c r="AS737" s="825"/>
      <c r="AT737" s="825"/>
      <c r="AU737" s="825"/>
      <c r="AV737" s="825"/>
    </row>
    <row r="738" spans="1:48" ht="15.8" customHeight="1" x14ac:dyDescent="0.3">
      <c r="A738" s="825"/>
      <c r="B738" s="825"/>
      <c r="C738" s="825"/>
      <c r="D738" s="825"/>
      <c r="G738" s="825"/>
      <c r="H738" s="18"/>
      <c r="I738" s="825"/>
      <c r="L738" s="825"/>
      <c r="M738" s="825"/>
      <c r="N738" s="825"/>
      <c r="O738" s="825"/>
      <c r="P738" s="825"/>
      <c r="Q738" s="21"/>
      <c r="R738" s="21"/>
      <c r="S738" s="19"/>
      <c r="T738" s="19"/>
      <c r="U738" s="19"/>
      <c r="V738" s="19"/>
      <c r="W738" s="825"/>
      <c r="X738" s="825"/>
      <c r="AM738" s="825"/>
      <c r="AN738" s="825"/>
      <c r="AO738" s="825"/>
      <c r="AP738" s="825"/>
      <c r="AQ738" s="825"/>
      <c r="AR738" s="825"/>
      <c r="AS738" s="825"/>
      <c r="AT738" s="825"/>
      <c r="AU738" s="825"/>
      <c r="AV738" s="825"/>
    </row>
    <row r="739" spans="1:48" ht="15.8" customHeight="1" x14ac:dyDescent="0.3">
      <c r="A739" s="825"/>
      <c r="B739" s="825"/>
      <c r="C739" s="825"/>
      <c r="D739" s="825"/>
      <c r="G739" s="825"/>
      <c r="H739" s="18"/>
      <c r="I739" s="825"/>
      <c r="L739" s="825"/>
      <c r="M739" s="825"/>
      <c r="N739" s="825"/>
      <c r="O739" s="825"/>
      <c r="P739" s="825"/>
      <c r="Q739" s="21"/>
      <c r="R739" s="21"/>
      <c r="S739" s="19"/>
      <c r="T739" s="19"/>
      <c r="U739" s="19"/>
      <c r="V739" s="19"/>
      <c r="W739" s="825"/>
      <c r="X739" s="825"/>
      <c r="AM739" s="825"/>
      <c r="AN739" s="825"/>
      <c r="AO739" s="825"/>
      <c r="AP739" s="825"/>
      <c r="AQ739" s="825"/>
      <c r="AR739" s="825"/>
      <c r="AS739" s="825"/>
      <c r="AT739" s="825"/>
      <c r="AU739" s="825"/>
      <c r="AV739" s="825"/>
    </row>
    <row r="740" spans="1:48" ht="15.8" customHeight="1" x14ac:dyDescent="0.3">
      <c r="A740" s="825"/>
      <c r="B740" s="825"/>
      <c r="C740" s="825"/>
      <c r="D740" s="825"/>
      <c r="G740" s="825"/>
      <c r="H740" s="18"/>
      <c r="I740" s="825"/>
      <c r="L740" s="825"/>
      <c r="M740" s="825"/>
      <c r="N740" s="825"/>
      <c r="O740" s="825"/>
      <c r="P740" s="825"/>
      <c r="Q740" s="21"/>
      <c r="R740" s="21"/>
      <c r="S740" s="19"/>
      <c r="T740" s="19"/>
      <c r="U740" s="19"/>
      <c r="V740" s="19"/>
      <c r="W740" s="825"/>
      <c r="X740" s="825"/>
      <c r="AM740" s="825"/>
      <c r="AN740" s="825"/>
      <c r="AO740" s="825"/>
      <c r="AP740" s="825"/>
      <c r="AQ740" s="825"/>
      <c r="AR740" s="825"/>
      <c r="AS740" s="825"/>
      <c r="AT740" s="825"/>
      <c r="AU740" s="825"/>
      <c r="AV740" s="825"/>
    </row>
    <row r="741" spans="1:48" ht="15.8" customHeight="1" x14ac:dyDescent="0.3">
      <c r="A741" s="825"/>
      <c r="B741" s="825"/>
      <c r="C741" s="825"/>
      <c r="D741" s="825"/>
      <c r="G741" s="825"/>
      <c r="H741" s="18"/>
      <c r="I741" s="825"/>
      <c r="L741" s="825"/>
      <c r="M741" s="825"/>
      <c r="N741" s="825"/>
      <c r="O741" s="825"/>
      <c r="P741" s="825"/>
      <c r="Q741" s="21"/>
      <c r="R741" s="21"/>
      <c r="S741" s="19"/>
      <c r="T741" s="19"/>
      <c r="U741" s="19"/>
      <c r="V741" s="19"/>
      <c r="W741" s="825"/>
      <c r="X741" s="825"/>
      <c r="AM741" s="825"/>
      <c r="AN741" s="825"/>
      <c r="AO741" s="825"/>
      <c r="AP741" s="825"/>
      <c r="AQ741" s="825"/>
      <c r="AR741" s="825"/>
      <c r="AS741" s="825"/>
      <c r="AT741" s="825"/>
      <c r="AU741" s="825"/>
      <c r="AV741" s="825"/>
    </row>
    <row r="742" spans="1:48" ht="15.8" customHeight="1" x14ac:dyDescent="0.3">
      <c r="A742" s="825"/>
      <c r="B742" s="825"/>
      <c r="C742" s="825"/>
      <c r="D742" s="825"/>
      <c r="G742" s="825"/>
      <c r="H742" s="18"/>
      <c r="I742" s="825"/>
      <c r="L742" s="825"/>
      <c r="M742" s="825"/>
      <c r="N742" s="825"/>
      <c r="O742" s="825"/>
      <c r="P742" s="825"/>
      <c r="Q742" s="21"/>
      <c r="R742" s="21"/>
      <c r="S742" s="19"/>
      <c r="T742" s="19"/>
      <c r="U742" s="19"/>
      <c r="V742" s="19"/>
      <c r="W742" s="825"/>
      <c r="X742" s="825"/>
      <c r="AM742" s="825"/>
      <c r="AN742" s="825"/>
      <c r="AO742" s="825"/>
      <c r="AP742" s="825"/>
      <c r="AQ742" s="825"/>
      <c r="AR742" s="825"/>
      <c r="AS742" s="825"/>
      <c r="AT742" s="825"/>
      <c r="AU742" s="825"/>
      <c r="AV742" s="825"/>
    </row>
    <row r="743" spans="1:48" ht="15.8" customHeight="1" x14ac:dyDescent="0.3">
      <c r="A743" s="825"/>
      <c r="B743" s="825"/>
      <c r="C743" s="825"/>
      <c r="D743" s="825"/>
      <c r="G743" s="825"/>
      <c r="H743" s="18"/>
      <c r="I743" s="825"/>
      <c r="L743" s="825"/>
      <c r="M743" s="825"/>
      <c r="N743" s="825"/>
      <c r="O743" s="825"/>
      <c r="P743" s="825"/>
      <c r="Q743" s="21"/>
      <c r="R743" s="21"/>
      <c r="S743" s="19"/>
      <c r="T743" s="19"/>
      <c r="U743" s="19"/>
      <c r="V743" s="19"/>
      <c r="W743" s="825"/>
      <c r="X743" s="825"/>
      <c r="AM743" s="825"/>
      <c r="AN743" s="825"/>
      <c r="AO743" s="825"/>
      <c r="AP743" s="825"/>
      <c r="AQ743" s="825"/>
      <c r="AR743" s="825"/>
      <c r="AS743" s="825"/>
      <c r="AT743" s="825"/>
      <c r="AU743" s="825"/>
      <c r="AV743" s="825"/>
    </row>
    <row r="744" spans="1:48" ht="15.8" customHeight="1" x14ac:dyDescent="0.3">
      <c r="A744" s="825"/>
      <c r="B744" s="825"/>
      <c r="C744" s="825"/>
      <c r="D744" s="825"/>
      <c r="G744" s="825"/>
      <c r="H744" s="18"/>
      <c r="I744" s="825"/>
      <c r="L744" s="825"/>
      <c r="M744" s="825"/>
      <c r="N744" s="825"/>
      <c r="O744" s="825"/>
      <c r="P744" s="825"/>
      <c r="Q744" s="21"/>
      <c r="R744" s="21"/>
      <c r="S744" s="19"/>
      <c r="T744" s="19"/>
      <c r="U744" s="19"/>
      <c r="V744" s="19"/>
      <c r="W744" s="825"/>
      <c r="X744" s="825"/>
      <c r="AM744" s="825"/>
      <c r="AN744" s="825"/>
      <c r="AO744" s="825"/>
      <c r="AP744" s="825"/>
      <c r="AQ744" s="825"/>
      <c r="AR744" s="825"/>
      <c r="AS744" s="825"/>
      <c r="AT744" s="825"/>
      <c r="AU744" s="825"/>
      <c r="AV744" s="825"/>
    </row>
    <row r="745" spans="1:48" ht="15.8" customHeight="1" x14ac:dyDescent="0.3">
      <c r="A745" s="825"/>
      <c r="B745" s="825"/>
      <c r="C745" s="825"/>
      <c r="D745" s="825"/>
      <c r="G745" s="825"/>
      <c r="H745" s="18"/>
      <c r="I745" s="825"/>
      <c r="L745" s="825"/>
      <c r="M745" s="825"/>
      <c r="N745" s="825"/>
      <c r="O745" s="825"/>
      <c r="P745" s="825"/>
      <c r="Q745" s="21"/>
      <c r="R745" s="21"/>
      <c r="S745" s="19"/>
      <c r="T745" s="19"/>
      <c r="U745" s="19"/>
      <c r="V745" s="19"/>
      <c r="W745" s="825"/>
      <c r="X745" s="825"/>
      <c r="AM745" s="825"/>
      <c r="AN745" s="825"/>
      <c r="AO745" s="825"/>
      <c r="AP745" s="825"/>
      <c r="AQ745" s="825"/>
      <c r="AR745" s="825"/>
      <c r="AS745" s="825"/>
      <c r="AT745" s="825"/>
      <c r="AU745" s="825"/>
      <c r="AV745" s="825"/>
    </row>
    <row r="746" spans="1:48" ht="15.8" customHeight="1" x14ac:dyDescent="0.3">
      <c r="A746" s="825"/>
      <c r="B746" s="825"/>
      <c r="C746" s="825"/>
      <c r="D746" s="825"/>
      <c r="G746" s="825"/>
      <c r="H746" s="18"/>
      <c r="I746" s="825"/>
      <c r="L746" s="825"/>
      <c r="M746" s="825"/>
      <c r="N746" s="825"/>
      <c r="O746" s="825"/>
      <c r="P746" s="825"/>
      <c r="Q746" s="21"/>
      <c r="R746" s="21"/>
      <c r="S746" s="19"/>
      <c r="T746" s="19"/>
      <c r="U746" s="19"/>
      <c r="V746" s="19"/>
      <c r="W746" s="825"/>
      <c r="X746" s="825"/>
      <c r="AM746" s="825"/>
      <c r="AN746" s="825"/>
      <c r="AO746" s="825"/>
      <c r="AP746" s="825"/>
      <c r="AQ746" s="825"/>
      <c r="AR746" s="825"/>
      <c r="AS746" s="825"/>
      <c r="AT746" s="825"/>
      <c r="AU746" s="825"/>
      <c r="AV746" s="825"/>
    </row>
    <row r="747" spans="1:48" ht="15.8" customHeight="1" x14ac:dyDescent="0.3">
      <c r="A747" s="825"/>
      <c r="B747" s="825"/>
      <c r="C747" s="825"/>
      <c r="D747" s="825"/>
      <c r="G747" s="825"/>
      <c r="H747" s="18"/>
      <c r="I747" s="825"/>
      <c r="L747" s="825"/>
      <c r="M747" s="825"/>
      <c r="N747" s="825"/>
      <c r="O747" s="825"/>
      <c r="P747" s="825"/>
      <c r="Q747" s="21"/>
      <c r="R747" s="21"/>
      <c r="S747" s="19"/>
      <c r="T747" s="19"/>
      <c r="U747" s="19"/>
      <c r="V747" s="19"/>
      <c r="W747" s="825"/>
      <c r="X747" s="825"/>
      <c r="AM747" s="825"/>
      <c r="AN747" s="825"/>
      <c r="AO747" s="825"/>
      <c r="AP747" s="825"/>
      <c r="AQ747" s="825"/>
      <c r="AR747" s="825"/>
      <c r="AS747" s="825"/>
      <c r="AT747" s="825"/>
      <c r="AU747" s="825"/>
      <c r="AV747" s="825"/>
    </row>
    <row r="748" spans="1:48" ht="15.8" customHeight="1" x14ac:dyDescent="0.3">
      <c r="A748" s="825"/>
      <c r="B748" s="825"/>
      <c r="C748" s="825"/>
      <c r="D748" s="825"/>
      <c r="G748" s="825"/>
      <c r="H748" s="18"/>
      <c r="I748" s="825"/>
      <c r="L748" s="825"/>
      <c r="M748" s="825"/>
      <c r="N748" s="825"/>
      <c r="O748" s="825"/>
      <c r="P748" s="825"/>
      <c r="Q748" s="21"/>
      <c r="R748" s="21"/>
      <c r="S748" s="19"/>
      <c r="T748" s="19"/>
      <c r="U748" s="19"/>
      <c r="V748" s="19"/>
      <c r="W748" s="825"/>
      <c r="X748" s="825"/>
      <c r="AM748" s="825"/>
      <c r="AN748" s="825"/>
      <c r="AO748" s="825"/>
      <c r="AP748" s="825"/>
      <c r="AQ748" s="825"/>
      <c r="AR748" s="825"/>
      <c r="AS748" s="825"/>
      <c r="AT748" s="825"/>
      <c r="AU748" s="825"/>
      <c r="AV748" s="825"/>
    </row>
    <row r="749" spans="1:48" ht="15.8" customHeight="1" x14ac:dyDescent="0.3">
      <c r="A749" s="825"/>
      <c r="B749" s="825"/>
      <c r="C749" s="825"/>
      <c r="D749" s="825"/>
      <c r="G749" s="825"/>
      <c r="H749" s="18"/>
      <c r="I749" s="825"/>
      <c r="L749" s="825"/>
      <c r="M749" s="825"/>
      <c r="N749" s="825"/>
      <c r="O749" s="825"/>
      <c r="P749" s="825"/>
      <c r="Q749" s="21"/>
      <c r="R749" s="21"/>
      <c r="S749" s="19"/>
      <c r="T749" s="19"/>
      <c r="U749" s="19"/>
      <c r="V749" s="19"/>
      <c r="W749" s="825"/>
      <c r="X749" s="825"/>
      <c r="AM749" s="825"/>
      <c r="AN749" s="825"/>
      <c r="AO749" s="825"/>
      <c r="AP749" s="825"/>
      <c r="AQ749" s="825"/>
      <c r="AR749" s="825"/>
      <c r="AS749" s="825"/>
      <c r="AT749" s="825"/>
      <c r="AU749" s="825"/>
      <c r="AV749" s="825"/>
    </row>
    <row r="750" spans="1:48" ht="15.8" customHeight="1" x14ac:dyDescent="0.3">
      <c r="A750" s="825"/>
      <c r="B750" s="825"/>
      <c r="C750" s="825"/>
      <c r="D750" s="825"/>
      <c r="G750" s="825"/>
      <c r="H750" s="18"/>
      <c r="I750" s="825"/>
      <c r="L750" s="825"/>
      <c r="M750" s="825"/>
      <c r="N750" s="825"/>
      <c r="O750" s="825"/>
      <c r="P750" s="825"/>
      <c r="Q750" s="21"/>
      <c r="R750" s="21"/>
      <c r="S750" s="19"/>
      <c r="T750" s="19"/>
      <c r="U750" s="19"/>
      <c r="V750" s="19"/>
      <c r="W750" s="825"/>
      <c r="X750" s="825"/>
      <c r="AM750" s="825"/>
      <c r="AN750" s="825"/>
      <c r="AO750" s="825"/>
      <c r="AP750" s="825"/>
      <c r="AQ750" s="825"/>
      <c r="AR750" s="825"/>
      <c r="AS750" s="825"/>
      <c r="AT750" s="825"/>
      <c r="AU750" s="825"/>
      <c r="AV750" s="825"/>
    </row>
    <row r="751" spans="1:48" ht="15.8" customHeight="1" x14ac:dyDescent="0.3">
      <c r="A751" s="825"/>
      <c r="B751" s="825"/>
      <c r="C751" s="825"/>
      <c r="D751" s="825"/>
      <c r="G751" s="825"/>
      <c r="H751" s="18"/>
      <c r="I751" s="825"/>
      <c r="L751" s="825"/>
      <c r="M751" s="825"/>
      <c r="N751" s="825"/>
      <c r="O751" s="825"/>
      <c r="P751" s="825"/>
      <c r="Q751" s="21"/>
      <c r="R751" s="21"/>
      <c r="S751" s="19"/>
      <c r="T751" s="19"/>
      <c r="U751" s="19"/>
      <c r="V751" s="19"/>
      <c r="W751" s="825"/>
      <c r="X751" s="825"/>
      <c r="AM751" s="825"/>
      <c r="AN751" s="825"/>
      <c r="AO751" s="825"/>
      <c r="AP751" s="825"/>
      <c r="AQ751" s="825"/>
      <c r="AR751" s="825"/>
      <c r="AS751" s="825"/>
      <c r="AT751" s="825"/>
      <c r="AU751" s="825"/>
      <c r="AV751" s="825"/>
    </row>
    <row r="752" spans="1:48" ht="15.8" customHeight="1" x14ac:dyDescent="0.3">
      <c r="A752" s="825"/>
      <c r="B752" s="825"/>
      <c r="C752" s="825"/>
      <c r="D752" s="825"/>
      <c r="G752" s="825"/>
      <c r="H752" s="18"/>
      <c r="I752" s="825"/>
      <c r="L752" s="825"/>
      <c r="M752" s="825"/>
      <c r="N752" s="825"/>
      <c r="O752" s="825"/>
      <c r="P752" s="825"/>
      <c r="Q752" s="21"/>
      <c r="R752" s="21"/>
      <c r="S752" s="19"/>
      <c r="T752" s="19"/>
      <c r="U752" s="19"/>
      <c r="V752" s="19"/>
      <c r="W752" s="825"/>
      <c r="X752" s="825"/>
      <c r="AM752" s="825"/>
      <c r="AN752" s="825"/>
      <c r="AO752" s="825"/>
      <c r="AP752" s="825"/>
      <c r="AQ752" s="825"/>
      <c r="AR752" s="825"/>
      <c r="AS752" s="825"/>
      <c r="AT752" s="825"/>
      <c r="AU752" s="825"/>
      <c r="AV752" s="825"/>
    </row>
    <row r="753" spans="1:48" ht="15.8" customHeight="1" x14ac:dyDescent="0.3">
      <c r="A753" s="825"/>
      <c r="B753" s="825"/>
      <c r="C753" s="825"/>
      <c r="D753" s="825"/>
      <c r="G753" s="825"/>
      <c r="H753" s="18"/>
      <c r="I753" s="825"/>
      <c r="L753" s="825"/>
      <c r="M753" s="825"/>
      <c r="N753" s="825"/>
      <c r="O753" s="825"/>
      <c r="P753" s="825"/>
      <c r="Q753" s="21"/>
      <c r="R753" s="21"/>
      <c r="S753" s="19"/>
      <c r="T753" s="19"/>
      <c r="U753" s="19"/>
      <c r="V753" s="19"/>
      <c r="W753" s="825"/>
      <c r="X753" s="825"/>
      <c r="AM753" s="825"/>
      <c r="AN753" s="825"/>
      <c r="AO753" s="825"/>
      <c r="AP753" s="825"/>
      <c r="AQ753" s="825"/>
      <c r="AR753" s="825"/>
      <c r="AS753" s="825"/>
      <c r="AT753" s="825"/>
      <c r="AU753" s="825"/>
      <c r="AV753" s="825"/>
    </row>
    <row r="754" spans="1:48" ht="15.8" customHeight="1" x14ac:dyDescent="0.3">
      <c r="A754" s="825"/>
      <c r="B754" s="825"/>
      <c r="C754" s="825"/>
      <c r="D754" s="825"/>
      <c r="G754" s="825"/>
      <c r="H754" s="18"/>
      <c r="I754" s="825"/>
      <c r="L754" s="825"/>
      <c r="M754" s="825"/>
      <c r="N754" s="825"/>
      <c r="O754" s="825"/>
      <c r="P754" s="825"/>
      <c r="Q754" s="21"/>
      <c r="R754" s="21"/>
      <c r="S754" s="19"/>
      <c r="T754" s="19"/>
      <c r="U754" s="19"/>
      <c r="V754" s="19"/>
      <c r="W754" s="825"/>
      <c r="X754" s="825"/>
      <c r="AM754" s="825"/>
      <c r="AN754" s="825"/>
      <c r="AO754" s="825"/>
      <c r="AP754" s="825"/>
      <c r="AQ754" s="825"/>
      <c r="AR754" s="825"/>
      <c r="AS754" s="825"/>
      <c r="AT754" s="825"/>
      <c r="AU754" s="825"/>
      <c r="AV754" s="825"/>
    </row>
    <row r="755" spans="1:48" ht="15.8" customHeight="1" x14ac:dyDescent="0.3">
      <c r="A755" s="825"/>
      <c r="B755" s="825"/>
      <c r="C755" s="825"/>
      <c r="D755" s="825"/>
      <c r="G755" s="825"/>
      <c r="H755" s="18"/>
      <c r="I755" s="825"/>
      <c r="L755" s="825"/>
      <c r="M755" s="825"/>
      <c r="N755" s="825"/>
      <c r="O755" s="825"/>
      <c r="P755" s="825"/>
      <c r="Q755" s="21"/>
      <c r="R755" s="21"/>
      <c r="S755" s="19"/>
      <c r="T755" s="19"/>
      <c r="U755" s="19"/>
      <c r="V755" s="19"/>
      <c r="W755" s="825"/>
      <c r="X755" s="825"/>
      <c r="AM755" s="825"/>
      <c r="AN755" s="825"/>
      <c r="AO755" s="825"/>
      <c r="AP755" s="825"/>
      <c r="AQ755" s="825"/>
      <c r="AR755" s="825"/>
      <c r="AS755" s="825"/>
      <c r="AT755" s="825"/>
      <c r="AU755" s="825"/>
      <c r="AV755" s="825"/>
    </row>
    <row r="756" spans="1:48" ht="15.8" customHeight="1" x14ac:dyDescent="0.3">
      <c r="A756" s="825"/>
      <c r="B756" s="825"/>
      <c r="C756" s="825"/>
      <c r="D756" s="825"/>
      <c r="G756" s="825"/>
      <c r="H756" s="18"/>
      <c r="I756" s="825"/>
      <c r="L756" s="825"/>
      <c r="M756" s="825"/>
      <c r="N756" s="825"/>
      <c r="O756" s="825"/>
      <c r="P756" s="825"/>
      <c r="Q756" s="21"/>
      <c r="R756" s="21"/>
      <c r="S756" s="19"/>
      <c r="T756" s="19"/>
      <c r="U756" s="19"/>
      <c r="V756" s="19"/>
      <c r="W756" s="825"/>
      <c r="X756" s="825"/>
      <c r="AM756" s="825"/>
      <c r="AN756" s="825"/>
      <c r="AO756" s="825"/>
      <c r="AP756" s="825"/>
      <c r="AQ756" s="825"/>
      <c r="AR756" s="825"/>
      <c r="AS756" s="825"/>
      <c r="AT756" s="825"/>
      <c r="AU756" s="825"/>
      <c r="AV756" s="825"/>
    </row>
    <row r="757" spans="1:48" ht="15.8" customHeight="1" x14ac:dyDescent="0.3">
      <c r="A757" s="825"/>
      <c r="B757" s="825"/>
      <c r="C757" s="825"/>
      <c r="D757" s="825"/>
      <c r="G757" s="825"/>
      <c r="H757" s="18"/>
      <c r="I757" s="825"/>
      <c r="L757" s="825"/>
      <c r="M757" s="825"/>
      <c r="N757" s="825"/>
      <c r="O757" s="825"/>
      <c r="P757" s="825"/>
      <c r="Q757" s="21"/>
      <c r="R757" s="21"/>
      <c r="S757" s="19"/>
      <c r="T757" s="19"/>
      <c r="U757" s="19"/>
      <c r="V757" s="19"/>
      <c r="W757" s="825"/>
      <c r="X757" s="825"/>
      <c r="AM757" s="825"/>
      <c r="AN757" s="825"/>
      <c r="AO757" s="825"/>
      <c r="AP757" s="825"/>
      <c r="AQ757" s="825"/>
      <c r="AR757" s="825"/>
      <c r="AS757" s="825"/>
      <c r="AT757" s="825"/>
      <c r="AU757" s="825"/>
      <c r="AV757" s="825"/>
    </row>
    <row r="758" spans="1:48" ht="15.8" customHeight="1" x14ac:dyDescent="0.3">
      <c r="A758" s="825"/>
      <c r="B758" s="825"/>
      <c r="C758" s="825"/>
      <c r="D758" s="825"/>
      <c r="G758" s="825"/>
      <c r="H758" s="18"/>
      <c r="I758" s="825"/>
      <c r="L758" s="825"/>
      <c r="M758" s="825"/>
      <c r="N758" s="825"/>
      <c r="O758" s="825"/>
      <c r="P758" s="825"/>
      <c r="Q758" s="21"/>
      <c r="R758" s="21"/>
      <c r="S758" s="19"/>
      <c r="T758" s="19"/>
      <c r="U758" s="19"/>
      <c r="V758" s="19"/>
      <c r="W758" s="825"/>
      <c r="X758" s="825"/>
      <c r="AM758" s="825"/>
      <c r="AN758" s="825"/>
      <c r="AO758" s="825"/>
      <c r="AP758" s="825"/>
      <c r="AQ758" s="825"/>
      <c r="AR758" s="825"/>
      <c r="AS758" s="825"/>
      <c r="AT758" s="825"/>
      <c r="AU758" s="825"/>
      <c r="AV758" s="825"/>
    </row>
    <row r="759" spans="1:48" ht="15.8" customHeight="1" x14ac:dyDescent="0.3">
      <c r="A759" s="825"/>
      <c r="B759" s="825"/>
      <c r="C759" s="825"/>
      <c r="D759" s="825"/>
      <c r="G759" s="825"/>
      <c r="H759" s="18"/>
      <c r="I759" s="825"/>
      <c r="L759" s="825"/>
      <c r="M759" s="825"/>
      <c r="N759" s="825"/>
      <c r="O759" s="825"/>
      <c r="P759" s="825"/>
      <c r="Q759" s="21"/>
      <c r="R759" s="21"/>
      <c r="S759" s="19"/>
      <c r="T759" s="19"/>
      <c r="U759" s="19"/>
      <c r="V759" s="19"/>
      <c r="W759" s="825"/>
      <c r="X759" s="825"/>
      <c r="AM759" s="825"/>
      <c r="AN759" s="825"/>
      <c r="AO759" s="825"/>
      <c r="AP759" s="825"/>
      <c r="AQ759" s="825"/>
      <c r="AR759" s="825"/>
      <c r="AS759" s="825"/>
      <c r="AT759" s="825"/>
      <c r="AU759" s="825"/>
      <c r="AV759" s="825"/>
    </row>
    <row r="760" spans="1:48" ht="15.8" customHeight="1" x14ac:dyDescent="0.3">
      <c r="A760" s="825"/>
      <c r="B760" s="825"/>
      <c r="C760" s="825"/>
      <c r="D760" s="825"/>
      <c r="G760" s="825"/>
      <c r="H760" s="18"/>
      <c r="I760" s="825"/>
      <c r="L760" s="825"/>
      <c r="M760" s="825"/>
      <c r="N760" s="825"/>
      <c r="O760" s="825"/>
      <c r="P760" s="825"/>
      <c r="Q760" s="21"/>
      <c r="R760" s="21"/>
      <c r="S760" s="19"/>
      <c r="T760" s="19"/>
      <c r="U760" s="19"/>
      <c r="V760" s="19"/>
      <c r="W760" s="825"/>
      <c r="X760" s="825"/>
      <c r="AM760" s="825"/>
      <c r="AN760" s="825"/>
      <c r="AO760" s="825"/>
      <c r="AP760" s="825"/>
      <c r="AQ760" s="825"/>
      <c r="AR760" s="825"/>
      <c r="AS760" s="825"/>
      <c r="AT760" s="825"/>
      <c r="AU760" s="825"/>
      <c r="AV760" s="825"/>
    </row>
    <row r="761" spans="1:48" ht="15.8" customHeight="1" x14ac:dyDescent="0.3">
      <c r="A761" s="825"/>
      <c r="B761" s="825"/>
      <c r="C761" s="825"/>
      <c r="D761" s="825"/>
      <c r="G761" s="825"/>
      <c r="H761" s="18"/>
      <c r="I761" s="825"/>
      <c r="L761" s="825"/>
      <c r="M761" s="825"/>
      <c r="N761" s="825"/>
      <c r="O761" s="825"/>
      <c r="P761" s="825"/>
      <c r="Q761" s="21"/>
      <c r="R761" s="21"/>
      <c r="S761" s="19"/>
      <c r="T761" s="19"/>
      <c r="U761" s="19"/>
      <c r="V761" s="19"/>
      <c r="W761" s="825"/>
      <c r="X761" s="825"/>
      <c r="AM761" s="825"/>
      <c r="AN761" s="825"/>
      <c r="AO761" s="825"/>
      <c r="AP761" s="825"/>
      <c r="AQ761" s="825"/>
      <c r="AR761" s="825"/>
      <c r="AS761" s="825"/>
      <c r="AT761" s="825"/>
      <c r="AU761" s="825"/>
      <c r="AV761" s="825"/>
    </row>
    <row r="762" spans="1:48" ht="15.8" customHeight="1" x14ac:dyDescent="0.3">
      <c r="A762" s="825"/>
      <c r="B762" s="825"/>
      <c r="C762" s="825"/>
      <c r="D762" s="825"/>
      <c r="G762" s="825"/>
      <c r="H762" s="18"/>
      <c r="I762" s="825"/>
      <c r="L762" s="825"/>
      <c r="M762" s="825"/>
      <c r="N762" s="825"/>
      <c r="O762" s="825"/>
      <c r="P762" s="825"/>
      <c r="Q762" s="21"/>
      <c r="R762" s="21"/>
      <c r="S762" s="19"/>
      <c r="T762" s="19"/>
      <c r="U762" s="19"/>
      <c r="V762" s="19"/>
      <c r="W762" s="825"/>
      <c r="X762" s="825"/>
      <c r="AM762" s="825"/>
      <c r="AN762" s="825"/>
      <c r="AO762" s="825"/>
      <c r="AP762" s="825"/>
      <c r="AQ762" s="825"/>
      <c r="AR762" s="825"/>
      <c r="AS762" s="825"/>
      <c r="AT762" s="825"/>
      <c r="AU762" s="825"/>
      <c r="AV762" s="825"/>
    </row>
    <row r="763" spans="1:48" ht="15.8" customHeight="1" x14ac:dyDescent="0.3">
      <c r="A763" s="825"/>
      <c r="B763" s="825"/>
      <c r="C763" s="825"/>
      <c r="D763" s="825"/>
      <c r="G763" s="825"/>
      <c r="H763" s="18"/>
      <c r="I763" s="825"/>
      <c r="L763" s="825"/>
      <c r="M763" s="825"/>
      <c r="N763" s="825"/>
      <c r="O763" s="825"/>
      <c r="P763" s="825"/>
      <c r="Q763" s="21"/>
      <c r="R763" s="21"/>
      <c r="S763" s="19"/>
      <c r="T763" s="19"/>
      <c r="U763" s="19"/>
      <c r="V763" s="19"/>
      <c r="W763" s="825"/>
      <c r="X763" s="825"/>
      <c r="AM763" s="825"/>
      <c r="AN763" s="825"/>
      <c r="AO763" s="825"/>
      <c r="AP763" s="825"/>
      <c r="AQ763" s="825"/>
      <c r="AR763" s="825"/>
      <c r="AS763" s="825"/>
      <c r="AT763" s="825"/>
      <c r="AU763" s="825"/>
      <c r="AV763" s="825"/>
    </row>
    <row r="764" spans="1:48" ht="15.8" customHeight="1" x14ac:dyDescent="0.3">
      <c r="A764" s="825"/>
      <c r="B764" s="825"/>
      <c r="C764" s="825"/>
      <c r="D764" s="825"/>
      <c r="G764" s="825"/>
      <c r="H764" s="18"/>
      <c r="I764" s="825"/>
      <c r="L764" s="825"/>
      <c r="M764" s="825"/>
      <c r="N764" s="825"/>
      <c r="O764" s="825"/>
      <c r="P764" s="825"/>
      <c r="Q764" s="21"/>
      <c r="R764" s="21"/>
      <c r="S764" s="19"/>
      <c r="T764" s="19"/>
      <c r="U764" s="19"/>
      <c r="V764" s="19"/>
      <c r="W764" s="825"/>
      <c r="X764" s="825"/>
      <c r="AM764" s="825"/>
      <c r="AN764" s="825"/>
      <c r="AO764" s="825"/>
      <c r="AP764" s="825"/>
      <c r="AQ764" s="825"/>
      <c r="AR764" s="825"/>
      <c r="AS764" s="825"/>
      <c r="AT764" s="825"/>
      <c r="AU764" s="825"/>
      <c r="AV764" s="825"/>
    </row>
    <row r="765" spans="1:48" ht="15.8" customHeight="1" x14ac:dyDescent="0.3">
      <c r="A765" s="825"/>
      <c r="B765" s="825"/>
      <c r="C765" s="825"/>
      <c r="D765" s="825"/>
      <c r="G765" s="825"/>
      <c r="H765" s="18"/>
      <c r="I765" s="825"/>
      <c r="L765" s="825"/>
      <c r="M765" s="825"/>
      <c r="N765" s="825"/>
      <c r="O765" s="825"/>
      <c r="P765" s="825"/>
      <c r="Q765" s="21"/>
      <c r="R765" s="21"/>
      <c r="S765" s="19"/>
      <c r="T765" s="19"/>
      <c r="U765" s="19"/>
      <c r="V765" s="19"/>
      <c r="W765" s="825"/>
      <c r="X765" s="825"/>
      <c r="AM765" s="825"/>
      <c r="AN765" s="825"/>
      <c r="AO765" s="825"/>
      <c r="AP765" s="825"/>
      <c r="AQ765" s="825"/>
      <c r="AR765" s="825"/>
      <c r="AS765" s="825"/>
      <c r="AT765" s="825"/>
      <c r="AU765" s="825"/>
      <c r="AV765" s="825"/>
    </row>
    <row r="766" spans="1:48" ht="15.8" customHeight="1" x14ac:dyDescent="0.3">
      <c r="A766" s="825"/>
      <c r="B766" s="825"/>
      <c r="C766" s="825"/>
      <c r="D766" s="825"/>
      <c r="G766" s="825"/>
      <c r="H766" s="18"/>
      <c r="I766" s="825"/>
      <c r="L766" s="825"/>
      <c r="M766" s="825"/>
      <c r="N766" s="825"/>
      <c r="O766" s="825"/>
      <c r="P766" s="825"/>
      <c r="Q766" s="21"/>
      <c r="R766" s="21"/>
      <c r="S766" s="19"/>
      <c r="T766" s="19"/>
      <c r="U766" s="19"/>
      <c r="V766" s="19"/>
      <c r="W766" s="825"/>
      <c r="X766" s="825"/>
      <c r="AM766" s="825"/>
      <c r="AN766" s="825"/>
      <c r="AO766" s="825"/>
      <c r="AP766" s="825"/>
      <c r="AQ766" s="825"/>
      <c r="AR766" s="825"/>
      <c r="AS766" s="825"/>
      <c r="AT766" s="825"/>
      <c r="AU766" s="825"/>
      <c r="AV766" s="825"/>
    </row>
    <row r="767" spans="1:48" ht="15.8" customHeight="1" x14ac:dyDescent="0.3">
      <c r="A767" s="825"/>
      <c r="B767" s="825"/>
      <c r="C767" s="825"/>
      <c r="D767" s="825"/>
      <c r="G767" s="825"/>
      <c r="H767" s="18"/>
      <c r="I767" s="825"/>
      <c r="L767" s="825"/>
      <c r="M767" s="825"/>
      <c r="N767" s="825"/>
      <c r="O767" s="825"/>
      <c r="P767" s="825"/>
      <c r="Q767" s="21"/>
      <c r="R767" s="21"/>
      <c r="S767" s="19"/>
      <c r="T767" s="19"/>
      <c r="U767" s="19"/>
      <c r="V767" s="19"/>
      <c r="W767" s="825"/>
      <c r="X767" s="825"/>
      <c r="AM767" s="825"/>
      <c r="AN767" s="825"/>
      <c r="AO767" s="825"/>
      <c r="AP767" s="825"/>
      <c r="AQ767" s="825"/>
      <c r="AR767" s="825"/>
      <c r="AS767" s="825"/>
      <c r="AT767" s="825"/>
      <c r="AU767" s="825"/>
      <c r="AV767" s="825"/>
    </row>
    <row r="768" spans="1:48" ht="15.8" customHeight="1" x14ac:dyDescent="0.3">
      <c r="A768" s="825"/>
      <c r="B768" s="825"/>
      <c r="C768" s="825"/>
      <c r="D768" s="825"/>
      <c r="G768" s="825"/>
      <c r="H768" s="18"/>
      <c r="I768" s="825"/>
      <c r="L768" s="825"/>
      <c r="M768" s="825"/>
      <c r="N768" s="825"/>
      <c r="O768" s="825"/>
      <c r="P768" s="825"/>
      <c r="Q768" s="21"/>
      <c r="R768" s="21"/>
      <c r="S768" s="19"/>
      <c r="T768" s="19"/>
      <c r="U768" s="19"/>
      <c r="V768" s="19"/>
      <c r="W768" s="825"/>
      <c r="X768" s="825"/>
      <c r="AM768" s="825"/>
      <c r="AN768" s="825"/>
      <c r="AO768" s="825"/>
      <c r="AP768" s="825"/>
      <c r="AQ768" s="825"/>
      <c r="AR768" s="825"/>
      <c r="AS768" s="825"/>
      <c r="AT768" s="825"/>
      <c r="AU768" s="825"/>
      <c r="AV768" s="825"/>
    </row>
    <row r="769" spans="1:48" ht="15.8" customHeight="1" x14ac:dyDescent="0.3">
      <c r="A769" s="825"/>
      <c r="B769" s="825"/>
      <c r="C769" s="825"/>
      <c r="D769" s="825"/>
      <c r="G769" s="825"/>
      <c r="H769" s="18"/>
      <c r="I769" s="825"/>
      <c r="L769" s="825"/>
      <c r="M769" s="825"/>
      <c r="N769" s="825"/>
      <c r="O769" s="825"/>
      <c r="P769" s="825"/>
      <c r="Q769" s="21"/>
      <c r="R769" s="21"/>
      <c r="S769" s="19"/>
      <c r="T769" s="19"/>
      <c r="U769" s="19"/>
      <c r="V769" s="19"/>
      <c r="W769" s="825"/>
      <c r="X769" s="825"/>
      <c r="AM769" s="825"/>
      <c r="AN769" s="825"/>
      <c r="AO769" s="825"/>
      <c r="AP769" s="825"/>
      <c r="AQ769" s="825"/>
      <c r="AR769" s="825"/>
      <c r="AS769" s="825"/>
      <c r="AT769" s="825"/>
      <c r="AU769" s="825"/>
      <c r="AV769" s="825"/>
    </row>
    <row r="770" spans="1:48" ht="15.8" customHeight="1" x14ac:dyDescent="0.3">
      <c r="A770" s="825"/>
      <c r="B770" s="825"/>
      <c r="C770" s="825"/>
      <c r="D770" s="825"/>
      <c r="G770" s="825"/>
      <c r="H770" s="18"/>
      <c r="I770" s="825"/>
      <c r="L770" s="825"/>
      <c r="M770" s="825"/>
      <c r="N770" s="825"/>
      <c r="O770" s="825"/>
      <c r="P770" s="825"/>
      <c r="Q770" s="21"/>
      <c r="R770" s="21"/>
      <c r="S770" s="19"/>
      <c r="T770" s="19"/>
      <c r="U770" s="19"/>
      <c r="V770" s="19"/>
      <c r="W770" s="825"/>
      <c r="X770" s="825"/>
      <c r="AM770" s="825"/>
      <c r="AN770" s="825"/>
      <c r="AO770" s="825"/>
      <c r="AP770" s="825"/>
      <c r="AQ770" s="825"/>
      <c r="AR770" s="825"/>
      <c r="AS770" s="825"/>
      <c r="AT770" s="825"/>
      <c r="AU770" s="825"/>
      <c r="AV770" s="825"/>
    </row>
    <row r="771" spans="1:48" ht="15.8" customHeight="1" x14ac:dyDescent="0.3">
      <c r="A771" s="825"/>
      <c r="B771" s="825"/>
      <c r="C771" s="825"/>
      <c r="D771" s="825"/>
      <c r="G771" s="825"/>
      <c r="H771" s="18"/>
      <c r="I771" s="825"/>
      <c r="L771" s="825"/>
      <c r="M771" s="825"/>
      <c r="N771" s="825"/>
      <c r="O771" s="825"/>
      <c r="P771" s="825"/>
      <c r="Q771" s="21"/>
      <c r="R771" s="21"/>
      <c r="S771" s="19"/>
      <c r="T771" s="19"/>
      <c r="U771" s="19"/>
      <c r="V771" s="19"/>
      <c r="W771" s="825"/>
      <c r="X771" s="825"/>
      <c r="AM771" s="825"/>
      <c r="AN771" s="825"/>
      <c r="AO771" s="825"/>
      <c r="AP771" s="825"/>
      <c r="AQ771" s="825"/>
      <c r="AR771" s="825"/>
      <c r="AS771" s="825"/>
      <c r="AT771" s="825"/>
      <c r="AU771" s="825"/>
      <c r="AV771" s="825"/>
    </row>
    <row r="772" spans="1:48" ht="15.8" customHeight="1" x14ac:dyDescent="0.3">
      <c r="A772" s="825"/>
      <c r="B772" s="825"/>
      <c r="C772" s="825"/>
      <c r="D772" s="825"/>
      <c r="G772" s="825"/>
      <c r="H772" s="18"/>
      <c r="I772" s="825"/>
      <c r="L772" s="825"/>
      <c r="M772" s="825"/>
      <c r="N772" s="825"/>
      <c r="O772" s="825"/>
      <c r="P772" s="825"/>
      <c r="Q772" s="21"/>
      <c r="R772" s="21"/>
      <c r="S772" s="19"/>
      <c r="T772" s="19"/>
      <c r="U772" s="19"/>
      <c r="V772" s="19"/>
      <c r="W772" s="825"/>
      <c r="X772" s="825"/>
      <c r="AM772" s="825"/>
      <c r="AN772" s="825"/>
      <c r="AO772" s="825"/>
      <c r="AP772" s="825"/>
      <c r="AQ772" s="825"/>
      <c r="AR772" s="825"/>
      <c r="AS772" s="825"/>
      <c r="AT772" s="825"/>
      <c r="AU772" s="825"/>
      <c r="AV772" s="825"/>
    </row>
    <row r="773" spans="1:48" ht="15.8" customHeight="1" x14ac:dyDescent="0.3">
      <c r="A773" s="825"/>
      <c r="B773" s="825"/>
      <c r="C773" s="825"/>
      <c r="D773" s="825"/>
      <c r="G773" s="825"/>
      <c r="H773" s="18"/>
      <c r="I773" s="825"/>
      <c r="L773" s="825"/>
      <c r="M773" s="825"/>
      <c r="N773" s="825"/>
      <c r="O773" s="825"/>
      <c r="P773" s="825"/>
      <c r="Q773" s="21"/>
      <c r="R773" s="21"/>
      <c r="S773" s="19"/>
      <c r="T773" s="19"/>
      <c r="U773" s="19"/>
      <c r="V773" s="19"/>
      <c r="W773" s="825"/>
      <c r="X773" s="825"/>
      <c r="AM773" s="825"/>
      <c r="AN773" s="825"/>
      <c r="AO773" s="825"/>
      <c r="AP773" s="825"/>
      <c r="AQ773" s="825"/>
      <c r="AR773" s="825"/>
      <c r="AS773" s="825"/>
      <c r="AT773" s="825"/>
      <c r="AU773" s="825"/>
      <c r="AV773" s="825"/>
    </row>
    <row r="774" spans="1:48" ht="15.8" customHeight="1" x14ac:dyDescent="0.3">
      <c r="A774" s="825"/>
      <c r="B774" s="825"/>
      <c r="C774" s="825"/>
      <c r="D774" s="825"/>
      <c r="G774" s="825"/>
      <c r="H774" s="18"/>
      <c r="I774" s="825"/>
      <c r="L774" s="825"/>
      <c r="M774" s="825"/>
      <c r="N774" s="825"/>
      <c r="O774" s="825"/>
      <c r="P774" s="825"/>
      <c r="Q774" s="21"/>
      <c r="R774" s="21"/>
      <c r="S774" s="19"/>
      <c r="T774" s="19"/>
      <c r="U774" s="19"/>
      <c r="V774" s="19"/>
      <c r="W774" s="825"/>
      <c r="X774" s="825"/>
      <c r="AM774" s="825"/>
      <c r="AN774" s="825"/>
      <c r="AO774" s="825"/>
      <c r="AP774" s="825"/>
      <c r="AQ774" s="825"/>
      <c r="AR774" s="825"/>
      <c r="AS774" s="825"/>
      <c r="AT774" s="825"/>
      <c r="AU774" s="825"/>
      <c r="AV774" s="825"/>
    </row>
    <row r="775" spans="1:48" ht="15.8" customHeight="1" x14ac:dyDescent="0.3">
      <c r="A775" s="825"/>
      <c r="B775" s="825"/>
      <c r="C775" s="825"/>
      <c r="D775" s="825"/>
      <c r="G775" s="825"/>
      <c r="H775" s="18"/>
      <c r="I775" s="825"/>
      <c r="L775" s="825"/>
      <c r="M775" s="825"/>
      <c r="N775" s="825"/>
      <c r="O775" s="825"/>
      <c r="P775" s="825"/>
      <c r="Q775" s="21"/>
      <c r="R775" s="21"/>
      <c r="S775" s="19"/>
      <c r="T775" s="19"/>
      <c r="U775" s="19"/>
      <c r="V775" s="19"/>
      <c r="W775" s="825"/>
      <c r="X775" s="825"/>
      <c r="AM775" s="825"/>
      <c r="AN775" s="825"/>
      <c r="AO775" s="825"/>
      <c r="AP775" s="825"/>
      <c r="AQ775" s="825"/>
      <c r="AR775" s="825"/>
      <c r="AS775" s="825"/>
      <c r="AT775" s="825"/>
      <c r="AU775" s="825"/>
      <c r="AV775" s="825"/>
    </row>
    <row r="776" spans="1:48" ht="15.8" customHeight="1" x14ac:dyDescent="0.3">
      <c r="A776" s="825"/>
      <c r="B776" s="825"/>
      <c r="C776" s="825"/>
      <c r="D776" s="825"/>
      <c r="G776" s="825"/>
      <c r="H776" s="18"/>
      <c r="I776" s="825"/>
      <c r="L776" s="825"/>
      <c r="M776" s="825"/>
      <c r="N776" s="825"/>
      <c r="O776" s="825"/>
      <c r="P776" s="825"/>
      <c r="Q776" s="21"/>
      <c r="R776" s="21"/>
      <c r="S776" s="19"/>
      <c r="T776" s="19"/>
      <c r="U776" s="19"/>
      <c r="V776" s="19"/>
      <c r="W776" s="825"/>
      <c r="X776" s="825"/>
      <c r="AM776" s="825"/>
      <c r="AN776" s="825"/>
      <c r="AO776" s="825"/>
      <c r="AP776" s="825"/>
      <c r="AQ776" s="825"/>
      <c r="AR776" s="825"/>
      <c r="AS776" s="825"/>
      <c r="AT776" s="825"/>
      <c r="AU776" s="825"/>
      <c r="AV776" s="825"/>
    </row>
    <row r="777" spans="1:48" ht="15.8" customHeight="1" x14ac:dyDescent="0.3">
      <c r="A777" s="825"/>
      <c r="B777" s="825"/>
      <c r="C777" s="825"/>
      <c r="D777" s="825"/>
      <c r="G777" s="825"/>
      <c r="H777" s="18"/>
      <c r="I777" s="825"/>
      <c r="L777" s="825"/>
      <c r="M777" s="825"/>
      <c r="N777" s="825"/>
      <c r="O777" s="825"/>
      <c r="P777" s="825"/>
      <c r="Q777" s="21"/>
      <c r="R777" s="21"/>
      <c r="S777" s="19"/>
      <c r="T777" s="19"/>
      <c r="U777" s="19"/>
      <c r="V777" s="19"/>
      <c r="W777" s="825"/>
      <c r="X777" s="825"/>
      <c r="AM777" s="825"/>
      <c r="AN777" s="825"/>
      <c r="AO777" s="825"/>
      <c r="AP777" s="825"/>
      <c r="AQ777" s="825"/>
      <c r="AR777" s="825"/>
      <c r="AS777" s="825"/>
      <c r="AT777" s="825"/>
      <c r="AU777" s="825"/>
      <c r="AV777" s="825"/>
    </row>
    <row r="778" spans="1:48" ht="15.8" customHeight="1" x14ac:dyDescent="0.3">
      <c r="A778" s="825"/>
      <c r="B778" s="825"/>
      <c r="C778" s="825"/>
      <c r="D778" s="825"/>
      <c r="G778" s="825"/>
      <c r="H778" s="18"/>
      <c r="I778" s="825"/>
      <c r="L778" s="825"/>
      <c r="M778" s="825"/>
      <c r="N778" s="825"/>
      <c r="O778" s="825"/>
      <c r="P778" s="825"/>
      <c r="Q778" s="21"/>
      <c r="R778" s="21"/>
      <c r="S778" s="19"/>
      <c r="T778" s="19"/>
      <c r="U778" s="19"/>
      <c r="V778" s="19"/>
      <c r="W778" s="825"/>
      <c r="X778" s="825"/>
      <c r="AM778" s="825"/>
      <c r="AN778" s="825"/>
      <c r="AO778" s="825"/>
      <c r="AP778" s="825"/>
      <c r="AQ778" s="825"/>
      <c r="AR778" s="825"/>
      <c r="AS778" s="825"/>
      <c r="AT778" s="825"/>
      <c r="AU778" s="825"/>
      <c r="AV778" s="825"/>
    </row>
    <row r="779" spans="1:48" ht="15.8" customHeight="1" x14ac:dyDescent="0.3">
      <c r="A779" s="825"/>
      <c r="B779" s="825"/>
      <c r="C779" s="825"/>
      <c r="D779" s="825"/>
      <c r="G779" s="825"/>
      <c r="H779" s="18"/>
      <c r="I779" s="825"/>
      <c r="L779" s="825"/>
      <c r="M779" s="825"/>
      <c r="N779" s="825"/>
      <c r="O779" s="825"/>
      <c r="P779" s="825"/>
      <c r="Q779" s="21"/>
      <c r="R779" s="21"/>
      <c r="S779" s="19"/>
      <c r="T779" s="19"/>
      <c r="U779" s="19"/>
      <c r="V779" s="19"/>
      <c r="W779" s="825"/>
      <c r="X779" s="825"/>
      <c r="AM779" s="825"/>
      <c r="AN779" s="825"/>
      <c r="AO779" s="825"/>
      <c r="AP779" s="825"/>
      <c r="AQ779" s="825"/>
      <c r="AR779" s="825"/>
      <c r="AS779" s="825"/>
      <c r="AT779" s="825"/>
      <c r="AU779" s="825"/>
      <c r="AV779" s="825"/>
    </row>
    <row r="780" spans="1:48" ht="15.8" customHeight="1" x14ac:dyDescent="0.3">
      <c r="A780" s="825"/>
      <c r="B780" s="825"/>
      <c r="C780" s="825"/>
      <c r="D780" s="825"/>
      <c r="G780" s="825"/>
      <c r="H780" s="18"/>
      <c r="I780" s="825"/>
      <c r="L780" s="825"/>
      <c r="M780" s="825"/>
      <c r="N780" s="825"/>
      <c r="O780" s="825"/>
      <c r="P780" s="825"/>
      <c r="Q780" s="21"/>
      <c r="R780" s="21"/>
      <c r="S780" s="19"/>
      <c r="T780" s="19"/>
      <c r="U780" s="19"/>
      <c r="V780" s="19"/>
      <c r="W780" s="825"/>
      <c r="X780" s="825"/>
      <c r="AM780" s="825"/>
      <c r="AN780" s="825"/>
      <c r="AO780" s="825"/>
      <c r="AP780" s="825"/>
      <c r="AQ780" s="825"/>
      <c r="AR780" s="825"/>
      <c r="AS780" s="825"/>
      <c r="AT780" s="825"/>
      <c r="AU780" s="825"/>
      <c r="AV780" s="825"/>
    </row>
    <row r="781" spans="1:48" ht="15.8" customHeight="1" x14ac:dyDescent="0.3">
      <c r="A781" s="825"/>
      <c r="B781" s="825"/>
      <c r="C781" s="825"/>
      <c r="D781" s="825"/>
      <c r="G781" s="825"/>
      <c r="H781" s="18"/>
      <c r="I781" s="825"/>
      <c r="L781" s="825"/>
      <c r="M781" s="825"/>
      <c r="N781" s="825"/>
      <c r="O781" s="825"/>
      <c r="P781" s="825"/>
      <c r="Q781" s="21"/>
      <c r="R781" s="21"/>
      <c r="S781" s="19"/>
      <c r="T781" s="19"/>
      <c r="U781" s="19"/>
      <c r="V781" s="19"/>
      <c r="W781" s="825"/>
      <c r="X781" s="825"/>
      <c r="AM781" s="825"/>
      <c r="AN781" s="825"/>
      <c r="AO781" s="825"/>
      <c r="AP781" s="825"/>
      <c r="AQ781" s="825"/>
      <c r="AR781" s="825"/>
      <c r="AS781" s="825"/>
      <c r="AT781" s="825"/>
      <c r="AU781" s="825"/>
      <c r="AV781" s="825"/>
    </row>
    <row r="782" spans="1:48" ht="15.8" customHeight="1" x14ac:dyDescent="0.3">
      <c r="A782" s="825"/>
      <c r="B782" s="825"/>
      <c r="C782" s="825"/>
      <c r="D782" s="825"/>
      <c r="G782" s="825"/>
      <c r="H782" s="18"/>
      <c r="I782" s="825"/>
      <c r="L782" s="825"/>
      <c r="M782" s="825"/>
      <c r="N782" s="825"/>
      <c r="O782" s="825"/>
      <c r="P782" s="825"/>
      <c r="Q782" s="21"/>
      <c r="R782" s="21"/>
      <c r="S782" s="19"/>
      <c r="T782" s="19"/>
      <c r="U782" s="19"/>
      <c r="V782" s="19"/>
      <c r="W782" s="825"/>
      <c r="X782" s="825"/>
      <c r="AM782" s="825"/>
      <c r="AN782" s="825"/>
      <c r="AO782" s="825"/>
      <c r="AP782" s="825"/>
      <c r="AQ782" s="825"/>
      <c r="AR782" s="825"/>
      <c r="AS782" s="825"/>
      <c r="AT782" s="825"/>
      <c r="AU782" s="825"/>
      <c r="AV782" s="825"/>
    </row>
    <row r="783" spans="1:48" ht="15.8" customHeight="1" x14ac:dyDescent="0.3">
      <c r="A783" s="825"/>
      <c r="B783" s="825"/>
      <c r="C783" s="825"/>
      <c r="D783" s="825"/>
      <c r="G783" s="825"/>
      <c r="H783" s="18"/>
      <c r="I783" s="825"/>
      <c r="L783" s="825"/>
      <c r="M783" s="825"/>
      <c r="N783" s="825"/>
      <c r="O783" s="825"/>
      <c r="P783" s="825"/>
      <c r="Q783" s="21"/>
      <c r="R783" s="21"/>
      <c r="S783" s="19"/>
      <c r="T783" s="19"/>
      <c r="U783" s="19"/>
      <c r="V783" s="19"/>
      <c r="W783" s="825"/>
      <c r="X783" s="825"/>
      <c r="AM783" s="825"/>
      <c r="AN783" s="825"/>
      <c r="AO783" s="825"/>
      <c r="AP783" s="825"/>
      <c r="AQ783" s="825"/>
      <c r="AR783" s="825"/>
      <c r="AS783" s="825"/>
      <c r="AT783" s="825"/>
      <c r="AU783" s="825"/>
      <c r="AV783" s="825"/>
    </row>
    <row r="784" spans="1:48" ht="15.8" customHeight="1" x14ac:dyDescent="0.3">
      <c r="A784" s="825"/>
      <c r="B784" s="825"/>
      <c r="C784" s="825"/>
      <c r="D784" s="825"/>
      <c r="G784" s="825"/>
      <c r="H784" s="18"/>
      <c r="I784" s="825"/>
      <c r="L784" s="825"/>
      <c r="M784" s="825"/>
      <c r="N784" s="825"/>
      <c r="O784" s="825"/>
      <c r="P784" s="825"/>
      <c r="Q784" s="21"/>
      <c r="R784" s="21"/>
      <c r="S784" s="19"/>
      <c r="T784" s="19"/>
      <c r="U784" s="19"/>
      <c r="V784" s="19"/>
      <c r="W784" s="825"/>
      <c r="X784" s="825"/>
      <c r="AM784" s="825"/>
      <c r="AN784" s="825"/>
      <c r="AO784" s="825"/>
      <c r="AP784" s="825"/>
      <c r="AQ784" s="825"/>
      <c r="AR784" s="825"/>
      <c r="AS784" s="825"/>
      <c r="AT784" s="825"/>
      <c r="AU784" s="825"/>
      <c r="AV784" s="825"/>
    </row>
    <row r="785" spans="1:48" ht="15.8" customHeight="1" x14ac:dyDescent="0.3">
      <c r="A785" s="825"/>
      <c r="B785" s="825"/>
      <c r="C785" s="825"/>
      <c r="D785" s="825"/>
      <c r="G785" s="825"/>
      <c r="H785" s="18"/>
      <c r="I785" s="825"/>
      <c r="L785" s="825"/>
      <c r="M785" s="825"/>
      <c r="N785" s="825"/>
      <c r="O785" s="825"/>
      <c r="P785" s="825"/>
      <c r="Q785" s="21"/>
      <c r="R785" s="21"/>
      <c r="S785" s="19"/>
      <c r="T785" s="19"/>
      <c r="U785" s="19"/>
      <c r="V785" s="19"/>
      <c r="W785" s="825"/>
      <c r="X785" s="825"/>
      <c r="AM785" s="825"/>
      <c r="AN785" s="825"/>
      <c r="AO785" s="825"/>
      <c r="AP785" s="825"/>
      <c r="AQ785" s="825"/>
      <c r="AR785" s="825"/>
      <c r="AS785" s="825"/>
      <c r="AT785" s="825"/>
      <c r="AU785" s="825"/>
      <c r="AV785" s="825"/>
    </row>
    <row r="786" spans="1:48" ht="15.8" customHeight="1" x14ac:dyDescent="0.3">
      <c r="A786" s="825"/>
      <c r="B786" s="825"/>
      <c r="C786" s="825"/>
      <c r="D786" s="825"/>
      <c r="G786" s="825"/>
      <c r="H786" s="18"/>
      <c r="I786" s="825"/>
      <c r="L786" s="825"/>
      <c r="M786" s="825"/>
      <c r="N786" s="825"/>
      <c r="O786" s="825"/>
      <c r="P786" s="825"/>
      <c r="Q786" s="21"/>
      <c r="R786" s="21"/>
      <c r="S786" s="19"/>
      <c r="T786" s="19"/>
      <c r="U786" s="19"/>
      <c r="V786" s="19"/>
      <c r="W786" s="825"/>
      <c r="X786" s="825"/>
      <c r="AM786" s="825"/>
      <c r="AN786" s="825"/>
      <c r="AO786" s="825"/>
      <c r="AP786" s="825"/>
      <c r="AQ786" s="825"/>
      <c r="AR786" s="825"/>
      <c r="AS786" s="825"/>
      <c r="AT786" s="825"/>
      <c r="AU786" s="825"/>
      <c r="AV786" s="825"/>
    </row>
    <row r="787" spans="1:48" ht="15.8" customHeight="1" x14ac:dyDescent="0.3">
      <c r="A787" s="825"/>
      <c r="B787" s="825"/>
      <c r="C787" s="825"/>
      <c r="D787" s="825"/>
      <c r="G787" s="825"/>
      <c r="H787" s="18"/>
      <c r="I787" s="825"/>
      <c r="L787" s="825"/>
      <c r="M787" s="825"/>
      <c r="N787" s="825"/>
      <c r="O787" s="825"/>
      <c r="P787" s="825"/>
      <c r="Q787" s="21"/>
      <c r="R787" s="21"/>
      <c r="S787" s="19"/>
      <c r="T787" s="19"/>
      <c r="U787" s="19"/>
      <c r="V787" s="19"/>
      <c r="W787" s="825"/>
      <c r="X787" s="825"/>
      <c r="AM787" s="825"/>
      <c r="AN787" s="825"/>
      <c r="AO787" s="825"/>
      <c r="AP787" s="825"/>
      <c r="AQ787" s="825"/>
      <c r="AR787" s="825"/>
      <c r="AS787" s="825"/>
      <c r="AT787" s="825"/>
      <c r="AU787" s="825"/>
      <c r="AV787" s="825"/>
    </row>
    <row r="788" spans="1:48" ht="15.8" customHeight="1" x14ac:dyDescent="0.3">
      <c r="A788" s="825"/>
      <c r="B788" s="825"/>
      <c r="C788" s="825"/>
      <c r="D788" s="825"/>
      <c r="G788" s="825"/>
      <c r="H788" s="18"/>
      <c r="I788" s="825"/>
      <c r="L788" s="825"/>
      <c r="M788" s="825"/>
      <c r="N788" s="825"/>
      <c r="O788" s="825"/>
      <c r="P788" s="825"/>
      <c r="Q788" s="21"/>
      <c r="R788" s="21"/>
      <c r="S788" s="19"/>
      <c r="T788" s="19"/>
      <c r="U788" s="19"/>
      <c r="V788" s="19"/>
      <c r="W788" s="825"/>
      <c r="X788" s="825"/>
      <c r="AM788" s="825"/>
      <c r="AN788" s="825"/>
      <c r="AO788" s="825"/>
      <c r="AP788" s="825"/>
      <c r="AQ788" s="825"/>
      <c r="AR788" s="825"/>
      <c r="AS788" s="825"/>
      <c r="AT788" s="825"/>
      <c r="AU788" s="825"/>
      <c r="AV788" s="825"/>
    </row>
    <row r="789" spans="1:48" ht="15.8" customHeight="1" x14ac:dyDescent="0.3">
      <c r="A789" s="825"/>
      <c r="B789" s="825"/>
      <c r="C789" s="825"/>
      <c r="D789" s="825"/>
      <c r="G789" s="825"/>
      <c r="H789" s="18"/>
      <c r="I789" s="825"/>
      <c r="L789" s="825"/>
      <c r="M789" s="825"/>
      <c r="N789" s="825"/>
      <c r="O789" s="825"/>
      <c r="P789" s="825"/>
      <c r="Q789" s="21"/>
      <c r="R789" s="21"/>
      <c r="S789" s="19"/>
      <c r="T789" s="19"/>
      <c r="U789" s="19"/>
      <c r="V789" s="19"/>
      <c r="W789" s="825"/>
      <c r="X789" s="825"/>
      <c r="AM789" s="825"/>
      <c r="AN789" s="825"/>
      <c r="AO789" s="825"/>
      <c r="AP789" s="825"/>
      <c r="AQ789" s="825"/>
      <c r="AR789" s="825"/>
      <c r="AS789" s="825"/>
      <c r="AT789" s="825"/>
      <c r="AU789" s="825"/>
      <c r="AV789" s="825"/>
    </row>
    <row r="790" spans="1:48" ht="15.8" customHeight="1" x14ac:dyDescent="0.3">
      <c r="A790" s="825"/>
      <c r="B790" s="825"/>
      <c r="C790" s="825"/>
      <c r="D790" s="825"/>
      <c r="G790" s="825"/>
      <c r="H790" s="18"/>
      <c r="I790" s="825"/>
      <c r="L790" s="825"/>
      <c r="M790" s="825"/>
      <c r="N790" s="825"/>
      <c r="O790" s="825"/>
      <c r="P790" s="825"/>
      <c r="Q790" s="21"/>
      <c r="R790" s="21"/>
      <c r="S790" s="19"/>
      <c r="T790" s="19"/>
      <c r="U790" s="19"/>
      <c r="V790" s="19"/>
      <c r="W790" s="825"/>
      <c r="X790" s="825"/>
      <c r="AM790" s="825"/>
      <c r="AN790" s="825"/>
      <c r="AO790" s="825"/>
      <c r="AP790" s="825"/>
      <c r="AQ790" s="825"/>
      <c r="AR790" s="825"/>
      <c r="AS790" s="825"/>
      <c r="AT790" s="825"/>
      <c r="AU790" s="825"/>
      <c r="AV790" s="825"/>
    </row>
    <row r="791" spans="1:48" ht="15.8" customHeight="1" x14ac:dyDescent="0.3">
      <c r="A791" s="825"/>
      <c r="B791" s="825"/>
      <c r="C791" s="825"/>
      <c r="D791" s="825"/>
      <c r="G791" s="825"/>
      <c r="H791" s="18"/>
      <c r="I791" s="825"/>
      <c r="L791" s="825"/>
      <c r="M791" s="825"/>
      <c r="N791" s="825"/>
      <c r="O791" s="825"/>
      <c r="P791" s="825"/>
      <c r="Q791" s="21"/>
      <c r="R791" s="21"/>
      <c r="S791" s="19"/>
      <c r="T791" s="19"/>
      <c r="U791" s="19"/>
      <c r="V791" s="19"/>
      <c r="W791" s="825"/>
      <c r="X791" s="825"/>
      <c r="AM791" s="825"/>
      <c r="AN791" s="825"/>
      <c r="AO791" s="825"/>
      <c r="AP791" s="825"/>
      <c r="AQ791" s="825"/>
      <c r="AR791" s="825"/>
      <c r="AS791" s="825"/>
      <c r="AT791" s="825"/>
      <c r="AU791" s="825"/>
      <c r="AV791" s="825"/>
    </row>
    <row r="792" spans="1:48" ht="15.8" customHeight="1" x14ac:dyDescent="0.3">
      <c r="A792" s="825"/>
      <c r="B792" s="825"/>
      <c r="C792" s="825"/>
      <c r="D792" s="825"/>
      <c r="G792" s="825"/>
      <c r="H792" s="18"/>
      <c r="I792" s="825"/>
      <c r="L792" s="825"/>
      <c r="M792" s="825"/>
      <c r="N792" s="825"/>
      <c r="O792" s="825"/>
      <c r="P792" s="825"/>
      <c r="Q792" s="21"/>
      <c r="R792" s="21"/>
      <c r="S792" s="19"/>
      <c r="T792" s="19"/>
      <c r="U792" s="19"/>
      <c r="V792" s="19"/>
      <c r="W792" s="825"/>
      <c r="X792" s="825"/>
      <c r="AM792" s="825"/>
      <c r="AN792" s="825"/>
      <c r="AO792" s="825"/>
      <c r="AP792" s="825"/>
      <c r="AQ792" s="825"/>
      <c r="AR792" s="825"/>
      <c r="AS792" s="825"/>
      <c r="AT792" s="825"/>
      <c r="AU792" s="825"/>
      <c r="AV792" s="825"/>
    </row>
    <row r="793" spans="1:48" ht="15.8" customHeight="1" x14ac:dyDescent="0.3">
      <c r="A793" s="825"/>
      <c r="B793" s="825"/>
      <c r="C793" s="825"/>
      <c r="D793" s="825"/>
      <c r="G793" s="825"/>
      <c r="H793" s="18"/>
      <c r="I793" s="825"/>
      <c r="L793" s="825"/>
      <c r="M793" s="825"/>
      <c r="N793" s="825"/>
      <c r="O793" s="825"/>
      <c r="P793" s="825"/>
      <c r="Q793" s="21"/>
      <c r="R793" s="21"/>
      <c r="S793" s="19"/>
      <c r="T793" s="19"/>
      <c r="U793" s="19"/>
      <c r="V793" s="19"/>
      <c r="W793" s="825"/>
      <c r="X793" s="825"/>
      <c r="AM793" s="825"/>
      <c r="AN793" s="825"/>
      <c r="AO793" s="825"/>
      <c r="AP793" s="825"/>
      <c r="AQ793" s="825"/>
      <c r="AR793" s="825"/>
      <c r="AS793" s="825"/>
      <c r="AT793" s="825"/>
      <c r="AU793" s="825"/>
      <c r="AV793" s="825"/>
    </row>
    <row r="794" spans="1:48" ht="15.8" customHeight="1" x14ac:dyDescent="0.3">
      <c r="A794" s="825"/>
      <c r="B794" s="825"/>
      <c r="C794" s="825"/>
      <c r="D794" s="825"/>
      <c r="G794" s="825"/>
      <c r="H794" s="18"/>
      <c r="I794" s="825"/>
      <c r="L794" s="825"/>
      <c r="M794" s="825"/>
      <c r="N794" s="825"/>
      <c r="O794" s="825"/>
      <c r="P794" s="825"/>
      <c r="Q794" s="21"/>
      <c r="R794" s="21"/>
      <c r="S794" s="19"/>
      <c r="T794" s="19"/>
      <c r="U794" s="19"/>
      <c r="V794" s="19"/>
      <c r="W794" s="825"/>
      <c r="X794" s="825"/>
      <c r="AM794" s="825"/>
      <c r="AN794" s="825"/>
      <c r="AO794" s="825"/>
      <c r="AP794" s="825"/>
      <c r="AQ794" s="825"/>
      <c r="AR794" s="825"/>
      <c r="AS794" s="825"/>
      <c r="AT794" s="825"/>
      <c r="AU794" s="825"/>
      <c r="AV794" s="825"/>
    </row>
    <row r="795" spans="1:48" ht="15.8" customHeight="1" x14ac:dyDescent="0.3">
      <c r="A795" s="825"/>
      <c r="B795" s="825"/>
      <c r="C795" s="825"/>
      <c r="D795" s="825"/>
      <c r="G795" s="825"/>
      <c r="H795" s="18"/>
      <c r="I795" s="825"/>
      <c r="L795" s="825"/>
      <c r="M795" s="825"/>
      <c r="N795" s="825"/>
      <c r="O795" s="825"/>
      <c r="P795" s="825"/>
      <c r="Q795" s="21"/>
      <c r="R795" s="21"/>
      <c r="S795" s="19"/>
      <c r="T795" s="19"/>
      <c r="U795" s="19"/>
      <c r="V795" s="19"/>
      <c r="W795" s="825"/>
      <c r="X795" s="825"/>
      <c r="AM795" s="825"/>
      <c r="AN795" s="825"/>
      <c r="AO795" s="825"/>
      <c r="AP795" s="825"/>
      <c r="AQ795" s="825"/>
      <c r="AR795" s="825"/>
      <c r="AS795" s="825"/>
      <c r="AT795" s="825"/>
      <c r="AU795" s="825"/>
      <c r="AV795" s="825"/>
    </row>
    <row r="796" spans="1:48" ht="15.8" customHeight="1" x14ac:dyDescent="0.3">
      <c r="A796" s="825"/>
      <c r="B796" s="825"/>
      <c r="C796" s="825"/>
      <c r="D796" s="825"/>
      <c r="G796" s="825"/>
      <c r="H796" s="18"/>
      <c r="I796" s="825"/>
      <c r="L796" s="825"/>
      <c r="M796" s="825"/>
      <c r="N796" s="825"/>
      <c r="O796" s="825"/>
      <c r="P796" s="825"/>
      <c r="Q796" s="21"/>
      <c r="R796" s="21"/>
      <c r="S796" s="19"/>
      <c r="T796" s="19"/>
      <c r="U796" s="19"/>
      <c r="V796" s="19"/>
      <c r="W796" s="825"/>
      <c r="X796" s="825"/>
      <c r="AM796" s="825"/>
      <c r="AN796" s="825"/>
      <c r="AO796" s="825"/>
      <c r="AP796" s="825"/>
      <c r="AQ796" s="825"/>
      <c r="AR796" s="825"/>
      <c r="AS796" s="825"/>
      <c r="AT796" s="825"/>
      <c r="AU796" s="825"/>
      <c r="AV796" s="825"/>
    </row>
    <row r="797" spans="1:48" ht="15.8" customHeight="1" x14ac:dyDescent="0.3">
      <c r="A797" s="825"/>
      <c r="B797" s="825"/>
      <c r="C797" s="825"/>
      <c r="D797" s="825"/>
      <c r="G797" s="825"/>
      <c r="H797" s="18"/>
      <c r="I797" s="825"/>
      <c r="L797" s="825"/>
      <c r="M797" s="825"/>
      <c r="N797" s="825"/>
      <c r="O797" s="825"/>
      <c r="P797" s="825"/>
      <c r="Q797" s="21"/>
      <c r="R797" s="21"/>
      <c r="S797" s="19"/>
      <c r="T797" s="19"/>
      <c r="U797" s="19"/>
      <c r="V797" s="19"/>
      <c r="W797" s="825"/>
      <c r="X797" s="825"/>
      <c r="AM797" s="825"/>
      <c r="AN797" s="825"/>
      <c r="AO797" s="825"/>
      <c r="AP797" s="825"/>
      <c r="AQ797" s="825"/>
      <c r="AR797" s="825"/>
      <c r="AS797" s="825"/>
      <c r="AT797" s="825"/>
      <c r="AU797" s="825"/>
      <c r="AV797" s="825"/>
    </row>
    <row r="798" spans="1:48" ht="15.8" customHeight="1" x14ac:dyDescent="0.3">
      <c r="A798" s="825"/>
      <c r="B798" s="825"/>
      <c r="C798" s="825"/>
      <c r="D798" s="825"/>
      <c r="G798" s="825"/>
      <c r="H798" s="18"/>
      <c r="I798" s="825"/>
      <c r="L798" s="825"/>
      <c r="M798" s="825"/>
      <c r="N798" s="825"/>
      <c r="O798" s="825"/>
      <c r="P798" s="825"/>
      <c r="Q798" s="21"/>
      <c r="R798" s="21"/>
      <c r="S798" s="19"/>
      <c r="T798" s="19"/>
      <c r="U798" s="19"/>
      <c r="V798" s="19"/>
      <c r="W798" s="825"/>
      <c r="X798" s="825"/>
      <c r="AM798" s="825"/>
      <c r="AN798" s="825"/>
      <c r="AO798" s="825"/>
      <c r="AP798" s="825"/>
      <c r="AQ798" s="825"/>
      <c r="AR798" s="825"/>
      <c r="AS798" s="825"/>
      <c r="AT798" s="825"/>
      <c r="AU798" s="825"/>
      <c r="AV798" s="825"/>
    </row>
    <row r="799" spans="1:48" ht="15.8" customHeight="1" x14ac:dyDescent="0.3">
      <c r="A799" s="825"/>
      <c r="B799" s="825"/>
      <c r="C799" s="825"/>
      <c r="D799" s="825"/>
      <c r="G799" s="825"/>
      <c r="H799" s="18"/>
      <c r="I799" s="825"/>
      <c r="L799" s="825"/>
      <c r="M799" s="825"/>
      <c r="N799" s="825"/>
      <c r="O799" s="825"/>
      <c r="P799" s="825"/>
      <c r="Q799" s="21"/>
      <c r="R799" s="21"/>
      <c r="S799" s="19"/>
      <c r="T799" s="19"/>
      <c r="U799" s="19"/>
      <c r="V799" s="19"/>
      <c r="W799" s="825"/>
      <c r="X799" s="825"/>
      <c r="AM799" s="825"/>
      <c r="AN799" s="825"/>
      <c r="AO799" s="825"/>
      <c r="AP799" s="825"/>
      <c r="AQ799" s="825"/>
      <c r="AR799" s="825"/>
      <c r="AS799" s="825"/>
      <c r="AT799" s="825"/>
      <c r="AU799" s="825"/>
      <c r="AV799" s="825"/>
    </row>
    <row r="800" spans="1:48" ht="15.8" customHeight="1" x14ac:dyDescent="0.3">
      <c r="A800" s="825"/>
      <c r="B800" s="825"/>
      <c r="C800" s="825"/>
      <c r="D800" s="825"/>
      <c r="G800" s="825"/>
      <c r="H800" s="18"/>
      <c r="I800" s="825"/>
      <c r="L800" s="825"/>
      <c r="M800" s="825"/>
      <c r="N800" s="825"/>
      <c r="O800" s="825"/>
      <c r="P800" s="825"/>
      <c r="Q800" s="21"/>
      <c r="R800" s="21"/>
      <c r="S800" s="19"/>
      <c r="T800" s="19"/>
      <c r="U800" s="19"/>
      <c r="V800" s="19"/>
      <c r="W800" s="825"/>
      <c r="X800" s="825"/>
      <c r="AM800" s="825"/>
      <c r="AN800" s="825"/>
      <c r="AO800" s="825"/>
      <c r="AP800" s="825"/>
      <c r="AQ800" s="825"/>
      <c r="AR800" s="825"/>
      <c r="AS800" s="825"/>
      <c r="AT800" s="825"/>
      <c r="AU800" s="825"/>
      <c r="AV800" s="825"/>
    </row>
    <row r="801" spans="1:48" ht="15.8" customHeight="1" x14ac:dyDescent="0.3">
      <c r="A801" s="825"/>
      <c r="B801" s="825"/>
      <c r="C801" s="825"/>
      <c r="D801" s="825"/>
      <c r="G801" s="825"/>
      <c r="H801" s="18"/>
      <c r="I801" s="825"/>
      <c r="L801" s="825"/>
      <c r="M801" s="825"/>
      <c r="N801" s="825"/>
      <c r="O801" s="825"/>
      <c r="P801" s="825"/>
      <c r="Q801" s="21"/>
      <c r="R801" s="21"/>
      <c r="S801" s="19"/>
      <c r="T801" s="19"/>
      <c r="U801" s="19"/>
      <c r="V801" s="19"/>
      <c r="W801" s="825"/>
      <c r="X801" s="825"/>
      <c r="AM801" s="825"/>
      <c r="AN801" s="825"/>
      <c r="AO801" s="825"/>
      <c r="AP801" s="825"/>
      <c r="AQ801" s="825"/>
      <c r="AR801" s="825"/>
      <c r="AS801" s="825"/>
      <c r="AT801" s="825"/>
      <c r="AU801" s="825"/>
      <c r="AV801" s="825"/>
    </row>
    <row r="802" spans="1:48" ht="15.8" customHeight="1" x14ac:dyDescent="0.3">
      <c r="A802" s="825"/>
      <c r="B802" s="825"/>
      <c r="C802" s="825"/>
      <c r="D802" s="825"/>
      <c r="G802" s="825"/>
      <c r="H802" s="18"/>
      <c r="I802" s="825"/>
      <c r="L802" s="825"/>
      <c r="M802" s="825"/>
      <c r="N802" s="825"/>
      <c r="O802" s="825"/>
      <c r="P802" s="825"/>
      <c r="Q802" s="21"/>
      <c r="R802" s="21"/>
      <c r="S802" s="19"/>
      <c r="T802" s="19"/>
      <c r="U802" s="19"/>
      <c r="V802" s="19"/>
      <c r="W802" s="825"/>
      <c r="X802" s="825"/>
      <c r="AM802" s="825"/>
      <c r="AN802" s="825"/>
      <c r="AO802" s="825"/>
      <c r="AP802" s="825"/>
      <c r="AQ802" s="825"/>
      <c r="AR802" s="825"/>
      <c r="AS802" s="825"/>
      <c r="AT802" s="825"/>
      <c r="AU802" s="825"/>
      <c r="AV802" s="825"/>
    </row>
    <row r="803" spans="1:48" ht="15.8" customHeight="1" x14ac:dyDescent="0.3">
      <c r="A803" s="825"/>
      <c r="B803" s="825"/>
      <c r="C803" s="825"/>
      <c r="D803" s="825"/>
      <c r="G803" s="825"/>
      <c r="H803" s="18"/>
      <c r="I803" s="825"/>
      <c r="L803" s="825"/>
      <c r="M803" s="825"/>
      <c r="N803" s="825"/>
      <c r="O803" s="825"/>
      <c r="P803" s="825"/>
      <c r="Q803" s="21"/>
      <c r="R803" s="21"/>
      <c r="S803" s="19"/>
      <c r="T803" s="19"/>
      <c r="U803" s="19"/>
      <c r="V803" s="19"/>
      <c r="W803" s="825"/>
      <c r="X803" s="825"/>
      <c r="AM803" s="825"/>
      <c r="AN803" s="825"/>
      <c r="AO803" s="825"/>
      <c r="AP803" s="825"/>
      <c r="AQ803" s="825"/>
      <c r="AR803" s="825"/>
      <c r="AS803" s="825"/>
      <c r="AT803" s="825"/>
      <c r="AU803" s="825"/>
      <c r="AV803" s="825"/>
    </row>
    <row r="804" spans="1:48" ht="15.8" customHeight="1" x14ac:dyDescent="0.3">
      <c r="A804" s="825"/>
      <c r="B804" s="825"/>
      <c r="C804" s="825"/>
      <c r="D804" s="825"/>
      <c r="G804" s="825"/>
      <c r="H804" s="18"/>
      <c r="I804" s="825"/>
      <c r="L804" s="825"/>
      <c r="M804" s="825"/>
      <c r="N804" s="825"/>
      <c r="O804" s="825"/>
      <c r="P804" s="825"/>
      <c r="Q804" s="21"/>
      <c r="R804" s="21"/>
      <c r="S804" s="19"/>
      <c r="T804" s="19"/>
      <c r="U804" s="19"/>
      <c r="V804" s="19"/>
      <c r="W804" s="825"/>
      <c r="X804" s="825"/>
      <c r="AM804" s="825"/>
      <c r="AN804" s="825"/>
      <c r="AO804" s="825"/>
      <c r="AP804" s="825"/>
      <c r="AQ804" s="825"/>
      <c r="AR804" s="825"/>
      <c r="AS804" s="825"/>
      <c r="AT804" s="825"/>
      <c r="AU804" s="825"/>
      <c r="AV804" s="825"/>
    </row>
    <row r="805" spans="1:48" ht="15.8" customHeight="1" x14ac:dyDescent="0.3">
      <c r="A805" s="825"/>
      <c r="B805" s="825"/>
      <c r="C805" s="825"/>
      <c r="D805" s="825"/>
      <c r="G805" s="825"/>
      <c r="H805" s="18"/>
      <c r="I805" s="825"/>
      <c r="L805" s="825"/>
      <c r="M805" s="825"/>
      <c r="N805" s="825"/>
      <c r="O805" s="825"/>
      <c r="P805" s="825"/>
      <c r="Q805" s="21"/>
      <c r="R805" s="21"/>
      <c r="S805" s="19"/>
      <c r="T805" s="19"/>
      <c r="U805" s="19"/>
      <c r="V805" s="19"/>
      <c r="W805" s="825"/>
      <c r="X805" s="825"/>
      <c r="AM805" s="825"/>
      <c r="AN805" s="825"/>
      <c r="AO805" s="825"/>
      <c r="AP805" s="825"/>
      <c r="AQ805" s="825"/>
      <c r="AR805" s="825"/>
      <c r="AS805" s="825"/>
      <c r="AT805" s="825"/>
      <c r="AU805" s="825"/>
      <c r="AV805" s="825"/>
    </row>
    <row r="806" spans="1:48" ht="15.8" customHeight="1" x14ac:dyDescent="0.3">
      <c r="A806" s="825"/>
      <c r="B806" s="825"/>
      <c r="C806" s="825"/>
      <c r="D806" s="825"/>
      <c r="G806" s="825"/>
      <c r="H806" s="18"/>
      <c r="I806" s="825"/>
      <c r="L806" s="825"/>
      <c r="M806" s="825"/>
      <c r="N806" s="825"/>
      <c r="O806" s="825"/>
      <c r="P806" s="825"/>
      <c r="Q806" s="21"/>
      <c r="R806" s="21"/>
      <c r="S806" s="19"/>
      <c r="T806" s="19"/>
      <c r="U806" s="19"/>
      <c r="V806" s="19"/>
      <c r="W806" s="825"/>
      <c r="X806" s="825"/>
      <c r="AM806" s="825"/>
      <c r="AN806" s="825"/>
      <c r="AO806" s="825"/>
      <c r="AP806" s="825"/>
      <c r="AQ806" s="825"/>
      <c r="AR806" s="825"/>
      <c r="AS806" s="825"/>
      <c r="AT806" s="825"/>
      <c r="AU806" s="825"/>
      <c r="AV806" s="825"/>
    </row>
    <row r="807" spans="1:48" ht="15.8" customHeight="1" x14ac:dyDescent="0.3">
      <c r="A807" s="825"/>
      <c r="B807" s="825"/>
      <c r="C807" s="825"/>
      <c r="D807" s="825"/>
      <c r="G807" s="825"/>
      <c r="H807" s="18"/>
      <c r="I807" s="825"/>
      <c r="L807" s="825"/>
      <c r="M807" s="825"/>
      <c r="N807" s="825"/>
      <c r="O807" s="825"/>
      <c r="P807" s="825"/>
      <c r="Q807" s="21"/>
      <c r="R807" s="21"/>
      <c r="S807" s="19"/>
      <c r="T807" s="19"/>
      <c r="U807" s="19"/>
      <c r="V807" s="19"/>
      <c r="W807" s="825"/>
      <c r="X807" s="825"/>
      <c r="AM807" s="825"/>
      <c r="AN807" s="825"/>
      <c r="AO807" s="825"/>
      <c r="AP807" s="825"/>
      <c r="AQ807" s="825"/>
      <c r="AR807" s="825"/>
      <c r="AS807" s="825"/>
      <c r="AT807" s="825"/>
      <c r="AU807" s="825"/>
      <c r="AV807" s="825"/>
    </row>
    <row r="808" spans="1:48" ht="15.8" customHeight="1" x14ac:dyDescent="0.3">
      <c r="A808" s="825"/>
      <c r="B808" s="825"/>
      <c r="C808" s="825"/>
      <c r="D808" s="825"/>
      <c r="G808" s="825"/>
      <c r="H808" s="18"/>
      <c r="I808" s="825"/>
      <c r="L808" s="825"/>
      <c r="M808" s="825"/>
      <c r="N808" s="825"/>
      <c r="O808" s="825"/>
      <c r="P808" s="825"/>
      <c r="Q808" s="21"/>
      <c r="R808" s="21"/>
      <c r="S808" s="19"/>
      <c r="T808" s="19"/>
      <c r="U808" s="19"/>
      <c r="V808" s="19"/>
      <c r="W808" s="825"/>
      <c r="X808" s="825"/>
      <c r="AM808" s="825"/>
      <c r="AN808" s="825"/>
      <c r="AO808" s="825"/>
      <c r="AP808" s="825"/>
      <c r="AQ808" s="825"/>
      <c r="AR808" s="825"/>
      <c r="AS808" s="825"/>
      <c r="AT808" s="825"/>
      <c r="AU808" s="825"/>
      <c r="AV808" s="825"/>
    </row>
    <row r="809" spans="1:48" ht="15.8" customHeight="1" x14ac:dyDescent="0.3">
      <c r="A809" s="825"/>
      <c r="B809" s="825"/>
      <c r="C809" s="825"/>
      <c r="D809" s="825"/>
      <c r="G809" s="825"/>
      <c r="H809" s="18"/>
      <c r="I809" s="825"/>
      <c r="L809" s="825"/>
      <c r="M809" s="825"/>
      <c r="N809" s="825"/>
      <c r="O809" s="825"/>
      <c r="P809" s="825"/>
      <c r="Q809" s="21"/>
      <c r="R809" s="21"/>
      <c r="S809" s="19"/>
      <c r="T809" s="19"/>
      <c r="U809" s="19"/>
      <c r="V809" s="19"/>
      <c r="W809" s="825"/>
      <c r="X809" s="825"/>
      <c r="AM809" s="825"/>
      <c r="AN809" s="825"/>
      <c r="AO809" s="825"/>
      <c r="AP809" s="825"/>
      <c r="AQ809" s="825"/>
      <c r="AR809" s="825"/>
      <c r="AS809" s="825"/>
      <c r="AT809" s="825"/>
      <c r="AU809" s="825"/>
      <c r="AV809" s="825"/>
    </row>
    <row r="810" spans="1:48" ht="15.8" customHeight="1" x14ac:dyDescent="0.3">
      <c r="A810" s="825"/>
      <c r="B810" s="825"/>
      <c r="C810" s="825"/>
      <c r="D810" s="825"/>
      <c r="G810" s="825"/>
      <c r="H810" s="18"/>
      <c r="I810" s="825"/>
      <c r="L810" s="825"/>
      <c r="M810" s="825"/>
      <c r="N810" s="825"/>
      <c r="O810" s="825"/>
      <c r="P810" s="825"/>
      <c r="Q810" s="21"/>
      <c r="R810" s="21"/>
      <c r="S810" s="19"/>
      <c r="T810" s="19"/>
      <c r="U810" s="19"/>
      <c r="V810" s="19"/>
      <c r="W810" s="825"/>
      <c r="X810" s="825"/>
      <c r="AM810" s="825"/>
      <c r="AN810" s="825"/>
      <c r="AO810" s="825"/>
      <c r="AP810" s="825"/>
      <c r="AQ810" s="825"/>
      <c r="AR810" s="825"/>
      <c r="AS810" s="825"/>
      <c r="AT810" s="825"/>
      <c r="AU810" s="825"/>
      <c r="AV810" s="825"/>
    </row>
    <row r="811" spans="1:48" ht="15.8" customHeight="1" x14ac:dyDescent="0.3">
      <c r="A811" s="825"/>
      <c r="B811" s="825"/>
      <c r="C811" s="825"/>
      <c r="D811" s="825"/>
      <c r="G811" s="825"/>
      <c r="H811" s="18"/>
      <c r="I811" s="825"/>
      <c r="L811" s="825"/>
      <c r="M811" s="825"/>
      <c r="N811" s="825"/>
      <c r="O811" s="825"/>
      <c r="P811" s="825"/>
      <c r="Q811" s="21"/>
      <c r="R811" s="21"/>
      <c r="S811" s="19"/>
      <c r="T811" s="19"/>
      <c r="U811" s="19"/>
      <c r="V811" s="19"/>
      <c r="W811" s="825"/>
      <c r="X811" s="825"/>
      <c r="AM811" s="825"/>
      <c r="AN811" s="825"/>
      <c r="AO811" s="825"/>
      <c r="AP811" s="825"/>
      <c r="AQ811" s="825"/>
      <c r="AR811" s="825"/>
      <c r="AS811" s="825"/>
      <c r="AT811" s="825"/>
      <c r="AU811" s="825"/>
      <c r="AV811" s="825"/>
    </row>
    <row r="812" spans="1:48" ht="15.8" customHeight="1" x14ac:dyDescent="0.3">
      <c r="A812" s="825"/>
      <c r="B812" s="825"/>
      <c r="C812" s="825"/>
      <c r="D812" s="825"/>
      <c r="G812" s="825"/>
      <c r="H812" s="18"/>
      <c r="I812" s="825"/>
      <c r="L812" s="825"/>
      <c r="M812" s="825"/>
      <c r="N812" s="825"/>
      <c r="O812" s="825"/>
      <c r="P812" s="825"/>
      <c r="Q812" s="21"/>
      <c r="R812" s="21"/>
      <c r="S812" s="19"/>
      <c r="T812" s="19"/>
      <c r="U812" s="19"/>
      <c r="V812" s="19"/>
      <c r="W812" s="825"/>
      <c r="X812" s="825"/>
      <c r="AM812" s="825"/>
      <c r="AN812" s="825"/>
      <c r="AO812" s="825"/>
      <c r="AP812" s="825"/>
      <c r="AQ812" s="825"/>
      <c r="AR812" s="825"/>
      <c r="AS812" s="825"/>
      <c r="AT812" s="825"/>
      <c r="AU812" s="825"/>
      <c r="AV812" s="825"/>
    </row>
    <row r="813" spans="1:48" ht="15.8" customHeight="1" x14ac:dyDescent="0.3">
      <c r="A813" s="825"/>
      <c r="B813" s="825"/>
      <c r="C813" s="825"/>
      <c r="D813" s="825"/>
      <c r="G813" s="825"/>
      <c r="H813" s="18"/>
      <c r="I813" s="825"/>
      <c r="L813" s="825"/>
      <c r="M813" s="825"/>
      <c r="N813" s="825"/>
      <c r="O813" s="825"/>
      <c r="P813" s="825"/>
      <c r="Q813" s="21"/>
      <c r="R813" s="21"/>
      <c r="S813" s="19"/>
      <c r="T813" s="19"/>
      <c r="U813" s="19"/>
      <c r="V813" s="19"/>
      <c r="W813" s="825"/>
      <c r="X813" s="825"/>
      <c r="AM813" s="825"/>
      <c r="AN813" s="825"/>
      <c r="AO813" s="825"/>
      <c r="AP813" s="825"/>
      <c r="AQ813" s="825"/>
      <c r="AR813" s="825"/>
      <c r="AS813" s="825"/>
      <c r="AT813" s="825"/>
      <c r="AU813" s="825"/>
      <c r="AV813" s="825"/>
    </row>
    <row r="814" spans="1:48" ht="15.8" customHeight="1" x14ac:dyDescent="0.3">
      <c r="A814" s="825"/>
      <c r="B814" s="825"/>
      <c r="C814" s="825"/>
      <c r="D814" s="825"/>
      <c r="G814" s="825"/>
      <c r="H814" s="18"/>
      <c r="I814" s="825"/>
      <c r="L814" s="825"/>
      <c r="M814" s="825"/>
      <c r="N814" s="825"/>
      <c r="O814" s="825"/>
      <c r="P814" s="825"/>
      <c r="Q814" s="21"/>
      <c r="R814" s="21"/>
      <c r="S814" s="19"/>
      <c r="T814" s="19"/>
      <c r="U814" s="19"/>
      <c r="V814" s="19"/>
      <c r="W814" s="825"/>
      <c r="X814" s="825"/>
      <c r="AM814" s="825"/>
      <c r="AN814" s="825"/>
      <c r="AO814" s="825"/>
      <c r="AP814" s="825"/>
      <c r="AQ814" s="825"/>
      <c r="AR814" s="825"/>
      <c r="AS814" s="825"/>
      <c r="AT814" s="825"/>
      <c r="AU814" s="825"/>
      <c r="AV814" s="825"/>
    </row>
    <row r="815" spans="1:48" ht="15.8" customHeight="1" x14ac:dyDescent="0.3">
      <c r="A815" s="825"/>
      <c r="B815" s="825"/>
      <c r="C815" s="825"/>
      <c r="D815" s="825"/>
      <c r="G815" s="825"/>
      <c r="H815" s="18"/>
      <c r="I815" s="825"/>
      <c r="L815" s="825"/>
      <c r="M815" s="825"/>
      <c r="N815" s="825"/>
      <c r="O815" s="825"/>
      <c r="P815" s="825"/>
      <c r="Q815" s="21"/>
      <c r="R815" s="21"/>
      <c r="S815" s="19"/>
      <c r="T815" s="19"/>
      <c r="U815" s="19"/>
      <c r="V815" s="19"/>
      <c r="W815" s="825"/>
      <c r="X815" s="825"/>
      <c r="AM815" s="825"/>
      <c r="AN815" s="825"/>
      <c r="AO815" s="825"/>
      <c r="AP815" s="825"/>
      <c r="AQ815" s="825"/>
      <c r="AR815" s="825"/>
      <c r="AS815" s="825"/>
      <c r="AT815" s="825"/>
      <c r="AU815" s="825"/>
      <c r="AV815" s="825"/>
    </row>
    <row r="816" spans="1:48" ht="15.8" customHeight="1" x14ac:dyDescent="0.3">
      <c r="A816" s="825"/>
      <c r="B816" s="825"/>
      <c r="C816" s="825"/>
      <c r="D816" s="825"/>
      <c r="G816" s="825"/>
      <c r="H816" s="18"/>
      <c r="I816" s="825"/>
      <c r="L816" s="825"/>
      <c r="M816" s="825"/>
      <c r="N816" s="825"/>
      <c r="O816" s="825"/>
      <c r="P816" s="825"/>
      <c r="Q816" s="21"/>
      <c r="R816" s="21"/>
      <c r="S816" s="19"/>
      <c r="T816" s="19"/>
      <c r="U816" s="19"/>
      <c r="V816" s="19"/>
      <c r="W816" s="825"/>
      <c r="X816" s="825"/>
      <c r="AM816" s="825"/>
      <c r="AN816" s="825"/>
      <c r="AO816" s="825"/>
      <c r="AP816" s="825"/>
      <c r="AQ816" s="825"/>
      <c r="AR816" s="825"/>
      <c r="AS816" s="825"/>
      <c r="AT816" s="825"/>
      <c r="AU816" s="825"/>
      <c r="AV816" s="825"/>
    </row>
    <row r="817" spans="1:48" ht="15.8" customHeight="1" x14ac:dyDescent="0.3">
      <c r="A817" s="825"/>
      <c r="B817" s="825"/>
      <c r="C817" s="825"/>
      <c r="D817" s="825"/>
      <c r="G817" s="825"/>
      <c r="H817" s="18"/>
      <c r="I817" s="825"/>
      <c r="L817" s="825"/>
      <c r="M817" s="825"/>
      <c r="N817" s="825"/>
      <c r="O817" s="825"/>
      <c r="P817" s="825"/>
      <c r="Q817" s="21"/>
      <c r="R817" s="21"/>
      <c r="S817" s="19"/>
      <c r="T817" s="19"/>
      <c r="U817" s="19"/>
      <c r="V817" s="19"/>
      <c r="W817" s="825"/>
      <c r="X817" s="825"/>
      <c r="AM817" s="825"/>
      <c r="AN817" s="825"/>
      <c r="AO817" s="825"/>
      <c r="AP817" s="825"/>
      <c r="AQ817" s="825"/>
      <c r="AR817" s="825"/>
      <c r="AS817" s="825"/>
      <c r="AT817" s="825"/>
      <c r="AU817" s="825"/>
      <c r="AV817" s="825"/>
    </row>
    <row r="818" spans="1:48" ht="15.8" customHeight="1" x14ac:dyDescent="0.3">
      <c r="A818" s="825"/>
      <c r="B818" s="825"/>
      <c r="C818" s="825"/>
      <c r="D818" s="825"/>
      <c r="G818" s="825"/>
      <c r="H818" s="18"/>
      <c r="I818" s="825"/>
      <c r="L818" s="825"/>
      <c r="M818" s="825"/>
      <c r="N818" s="825"/>
      <c r="O818" s="825"/>
      <c r="P818" s="825"/>
      <c r="Q818" s="21"/>
      <c r="R818" s="21"/>
      <c r="S818" s="19"/>
      <c r="T818" s="19"/>
      <c r="U818" s="19"/>
      <c r="V818" s="19"/>
      <c r="W818" s="825"/>
      <c r="X818" s="825"/>
      <c r="AM818" s="825"/>
      <c r="AN818" s="825"/>
      <c r="AO818" s="825"/>
      <c r="AP818" s="825"/>
      <c r="AQ818" s="825"/>
      <c r="AR818" s="825"/>
      <c r="AS818" s="825"/>
      <c r="AT818" s="825"/>
      <c r="AU818" s="825"/>
      <c r="AV818" s="825"/>
    </row>
    <row r="819" spans="1:48" ht="15.8" customHeight="1" x14ac:dyDescent="0.3">
      <c r="A819" s="825"/>
      <c r="B819" s="825"/>
      <c r="C819" s="825"/>
      <c r="D819" s="825"/>
      <c r="G819" s="825"/>
      <c r="H819" s="18"/>
      <c r="I819" s="825"/>
      <c r="L819" s="825"/>
      <c r="M819" s="825"/>
      <c r="N819" s="825"/>
      <c r="O819" s="825"/>
      <c r="P819" s="825"/>
      <c r="Q819" s="21"/>
      <c r="R819" s="21"/>
      <c r="S819" s="19"/>
      <c r="T819" s="19"/>
      <c r="U819" s="19"/>
      <c r="V819" s="19"/>
      <c r="W819" s="825"/>
      <c r="X819" s="825"/>
      <c r="AM819" s="825"/>
      <c r="AN819" s="825"/>
      <c r="AO819" s="825"/>
      <c r="AP819" s="825"/>
      <c r="AQ819" s="825"/>
      <c r="AR819" s="825"/>
      <c r="AS819" s="825"/>
      <c r="AT819" s="825"/>
      <c r="AU819" s="825"/>
      <c r="AV819" s="825"/>
    </row>
    <row r="820" spans="1:48" ht="15.8" customHeight="1" x14ac:dyDescent="0.3">
      <c r="A820" s="825"/>
      <c r="B820" s="825"/>
      <c r="C820" s="825"/>
      <c r="D820" s="825"/>
      <c r="G820" s="825"/>
      <c r="H820" s="18"/>
      <c r="I820" s="825"/>
      <c r="L820" s="825"/>
      <c r="M820" s="825"/>
      <c r="N820" s="825"/>
      <c r="O820" s="825"/>
      <c r="P820" s="825"/>
      <c r="Q820" s="21"/>
      <c r="R820" s="21"/>
      <c r="S820" s="19"/>
      <c r="T820" s="19"/>
      <c r="U820" s="19"/>
      <c r="V820" s="19"/>
      <c r="W820" s="825"/>
      <c r="X820" s="825"/>
      <c r="AM820" s="825"/>
      <c r="AN820" s="825"/>
      <c r="AO820" s="825"/>
      <c r="AP820" s="825"/>
      <c r="AQ820" s="825"/>
      <c r="AR820" s="825"/>
      <c r="AS820" s="825"/>
      <c r="AT820" s="825"/>
      <c r="AU820" s="825"/>
      <c r="AV820" s="825"/>
    </row>
    <row r="821" spans="1:48" ht="15.8" customHeight="1" x14ac:dyDescent="0.3">
      <c r="A821" s="825"/>
      <c r="B821" s="825"/>
      <c r="C821" s="825"/>
      <c r="D821" s="825"/>
      <c r="G821" s="825"/>
      <c r="H821" s="18"/>
      <c r="I821" s="825"/>
      <c r="L821" s="825"/>
      <c r="M821" s="825"/>
      <c r="N821" s="825"/>
      <c r="O821" s="825"/>
      <c r="P821" s="825"/>
      <c r="Q821" s="21"/>
      <c r="R821" s="21"/>
      <c r="S821" s="19"/>
      <c r="T821" s="19"/>
      <c r="U821" s="19"/>
      <c r="V821" s="19"/>
      <c r="W821" s="825"/>
      <c r="X821" s="825"/>
      <c r="AM821" s="825"/>
      <c r="AN821" s="825"/>
      <c r="AO821" s="825"/>
      <c r="AP821" s="825"/>
      <c r="AQ821" s="825"/>
      <c r="AR821" s="825"/>
      <c r="AS821" s="825"/>
      <c r="AT821" s="825"/>
      <c r="AU821" s="825"/>
      <c r="AV821" s="825"/>
    </row>
    <row r="822" spans="1:48" ht="15.8" customHeight="1" x14ac:dyDescent="0.3">
      <c r="A822" s="825"/>
      <c r="B822" s="825"/>
      <c r="C822" s="825"/>
      <c r="D822" s="825"/>
      <c r="G822" s="825"/>
      <c r="H822" s="18"/>
      <c r="I822" s="825"/>
      <c r="L822" s="825"/>
      <c r="M822" s="825"/>
      <c r="N822" s="825"/>
      <c r="O822" s="825"/>
      <c r="P822" s="825"/>
      <c r="Q822" s="21"/>
      <c r="R822" s="21"/>
      <c r="S822" s="19"/>
      <c r="T822" s="19"/>
      <c r="U822" s="19"/>
      <c r="V822" s="19"/>
      <c r="W822" s="825"/>
      <c r="X822" s="825"/>
      <c r="AM822" s="825"/>
      <c r="AN822" s="825"/>
      <c r="AO822" s="825"/>
      <c r="AP822" s="825"/>
      <c r="AQ822" s="825"/>
      <c r="AR822" s="825"/>
      <c r="AS822" s="825"/>
      <c r="AT822" s="825"/>
      <c r="AU822" s="825"/>
      <c r="AV822" s="825"/>
    </row>
    <row r="823" spans="1:48" ht="15.8" customHeight="1" x14ac:dyDescent="0.3">
      <c r="A823" s="825"/>
      <c r="B823" s="825"/>
      <c r="C823" s="825"/>
      <c r="D823" s="825"/>
      <c r="G823" s="825"/>
      <c r="H823" s="18"/>
      <c r="I823" s="825"/>
      <c r="L823" s="825"/>
      <c r="M823" s="825"/>
      <c r="N823" s="825"/>
      <c r="O823" s="825"/>
      <c r="P823" s="825"/>
      <c r="Q823" s="21"/>
      <c r="R823" s="21"/>
      <c r="S823" s="19"/>
      <c r="T823" s="19"/>
      <c r="U823" s="19"/>
      <c r="V823" s="19"/>
      <c r="W823" s="825"/>
      <c r="X823" s="825"/>
      <c r="AM823" s="825"/>
      <c r="AN823" s="825"/>
      <c r="AO823" s="825"/>
      <c r="AP823" s="825"/>
      <c r="AQ823" s="825"/>
      <c r="AR823" s="825"/>
      <c r="AS823" s="825"/>
      <c r="AT823" s="825"/>
      <c r="AU823" s="825"/>
      <c r="AV823" s="825"/>
    </row>
    <row r="824" spans="1:48" ht="15.8" customHeight="1" x14ac:dyDescent="0.3">
      <c r="A824" s="825"/>
      <c r="B824" s="825"/>
      <c r="C824" s="825"/>
      <c r="D824" s="825"/>
      <c r="G824" s="825"/>
      <c r="H824" s="18"/>
      <c r="I824" s="825"/>
      <c r="L824" s="825"/>
      <c r="M824" s="825"/>
      <c r="N824" s="825"/>
      <c r="O824" s="825"/>
      <c r="P824" s="825"/>
      <c r="Q824" s="21"/>
      <c r="R824" s="21"/>
      <c r="S824" s="19"/>
      <c r="T824" s="19"/>
      <c r="U824" s="19"/>
      <c r="V824" s="19"/>
      <c r="W824" s="825"/>
      <c r="X824" s="825"/>
      <c r="AM824" s="825"/>
      <c r="AN824" s="825"/>
      <c r="AO824" s="825"/>
      <c r="AP824" s="825"/>
      <c r="AQ824" s="825"/>
      <c r="AR824" s="825"/>
      <c r="AS824" s="825"/>
      <c r="AT824" s="825"/>
      <c r="AU824" s="825"/>
      <c r="AV824" s="825"/>
    </row>
    <row r="825" spans="1:48" ht="15.8" customHeight="1" x14ac:dyDescent="0.3">
      <c r="A825" s="825"/>
      <c r="B825" s="825"/>
      <c r="C825" s="825"/>
      <c r="D825" s="825"/>
      <c r="G825" s="825"/>
      <c r="H825" s="18"/>
      <c r="I825" s="825"/>
      <c r="L825" s="825"/>
      <c r="M825" s="825"/>
      <c r="N825" s="825"/>
      <c r="O825" s="825"/>
      <c r="P825" s="825"/>
      <c r="Q825" s="21"/>
      <c r="R825" s="21"/>
      <c r="S825" s="19"/>
      <c r="T825" s="19"/>
      <c r="U825" s="19"/>
      <c r="V825" s="19"/>
      <c r="W825" s="825"/>
      <c r="X825" s="825"/>
      <c r="AM825" s="825"/>
      <c r="AN825" s="825"/>
      <c r="AO825" s="825"/>
      <c r="AP825" s="825"/>
      <c r="AQ825" s="825"/>
      <c r="AR825" s="825"/>
      <c r="AS825" s="825"/>
      <c r="AT825" s="825"/>
      <c r="AU825" s="825"/>
      <c r="AV825" s="825"/>
    </row>
    <row r="826" spans="1:48" ht="15.8" customHeight="1" x14ac:dyDescent="0.3">
      <c r="A826" s="825"/>
      <c r="B826" s="825"/>
      <c r="C826" s="825"/>
      <c r="D826" s="825"/>
      <c r="G826" s="825"/>
      <c r="H826" s="18"/>
      <c r="I826" s="825"/>
      <c r="L826" s="825"/>
      <c r="M826" s="825"/>
      <c r="N826" s="825"/>
      <c r="O826" s="825"/>
      <c r="P826" s="825"/>
      <c r="Q826" s="21"/>
      <c r="R826" s="21"/>
      <c r="S826" s="19"/>
      <c r="T826" s="19"/>
      <c r="U826" s="19"/>
      <c r="V826" s="19"/>
      <c r="W826" s="825"/>
      <c r="X826" s="825"/>
      <c r="AM826" s="825"/>
      <c r="AN826" s="825"/>
      <c r="AO826" s="825"/>
      <c r="AP826" s="825"/>
      <c r="AQ826" s="825"/>
      <c r="AR826" s="825"/>
      <c r="AS826" s="825"/>
      <c r="AT826" s="825"/>
      <c r="AU826" s="825"/>
      <c r="AV826" s="825"/>
    </row>
    <row r="827" spans="1:48" ht="15.8" customHeight="1" x14ac:dyDescent="0.3">
      <c r="A827" s="825"/>
      <c r="B827" s="825"/>
      <c r="C827" s="825"/>
      <c r="D827" s="825"/>
      <c r="G827" s="825"/>
      <c r="H827" s="18"/>
      <c r="I827" s="825"/>
      <c r="L827" s="825"/>
      <c r="M827" s="825"/>
      <c r="N827" s="825"/>
      <c r="O827" s="825"/>
      <c r="P827" s="825"/>
      <c r="Q827" s="21"/>
      <c r="R827" s="21"/>
      <c r="S827" s="19"/>
      <c r="T827" s="19"/>
      <c r="U827" s="19"/>
      <c r="V827" s="19"/>
      <c r="W827" s="825"/>
      <c r="X827" s="825"/>
      <c r="AM827" s="825"/>
      <c r="AN827" s="825"/>
      <c r="AO827" s="825"/>
      <c r="AP827" s="825"/>
      <c r="AQ827" s="825"/>
      <c r="AR827" s="825"/>
      <c r="AS827" s="825"/>
      <c r="AT827" s="825"/>
      <c r="AU827" s="825"/>
      <c r="AV827" s="825"/>
    </row>
    <row r="828" spans="1:48" ht="15.8" customHeight="1" x14ac:dyDescent="0.3">
      <c r="A828" s="825"/>
      <c r="B828" s="825"/>
      <c r="C828" s="825"/>
      <c r="D828" s="825"/>
      <c r="G828" s="825"/>
      <c r="H828" s="18"/>
      <c r="I828" s="825"/>
      <c r="L828" s="825"/>
      <c r="M828" s="825"/>
      <c r="N828" s="825"/>
      <c r="O828" s="825"/>
      <c r="P828" s="825"/>
      <c r="Q828" s="21"/>
      <c r="R828" s="21"/>
      <c r="S828" s="19"/>
      <c r="T828" s="19"/>
      <c r="U828" s="19"/>
      <c r="V828" s="19"/>
      <c r="W828" s="825"/>
      <c r="X828" s="825"/>
      <c r="AM828" s="825"/>
      <c r="AN828" s="825"/>
      <c r="AO828" s="825"/>
      <c r="AP828" s="825"/>
      <c r="AQ828" s="825"/>
      <c r="AR828" s="825"/>
      <c r="AS828" s="825"/>
      <c r="AT828" s="825"/>
      <c r="AU828" s="825"/>
      <c r="AV828" s="825"/>
    </row>
    <row r="829" spans="1:48" ht="15.8" customHeight="1" x14ac:dyDescent="0.3">
      <c r="A829" s="825"/>
      <c r="B829" s="825"/>
      <c r="C829" s="825"/>
      <c r="D829" s="825"/>
      <c r="G829" s="825"/>
      <c r="H829" s="18"/>
      <c r="I829" s="825"/>
      <c r="L829" s="825"/>
      <c r="M829" s="825"/>
      <c r="N829" s="825"/>
      <c r="O829" s="825"/>
      <c r="P829" s="825"/>
      <c r="Q829" s="21"/>
      <c r="R829" s="21"/>
      <c r="S829" s="19"/>
      <c r="T829" s="19"/>
      <c r="U829" s="19"/>
      <c r="V829" s="19"/>
      <c r="W829" s="825"/>
      <c r="X829" s="825"/>
      <c r="AM829" s="825"/>
      <c r="AN829" s="825"/>
      <c r="AO829" s="825"/>
      <c r="AP829" s="825"/>
      <c r="AQ829" s="825"/>
      <c r="AR829" s="825"/>
      <c r="AS829" s="825"/>
      <c r="AT829" s="825"/>
      <c r="AU829" s="825"/>
      <c r="AV829" s="825"/>
    </row>
    <row r="830" spans="1:48" ht="15.8" customHeight="1" x14ac:dyDescent="0.3">
      <c r="A830" s="825"/>
      <c r="B830" s="825"/>
      <c r="C830" s="825"/>
      <c r="D830" s="825"/>
      <c r="G830" s="825"/>
      <c r="H830" s="18"/>
      <c r="I830" s="825"/>
      <c r="L830" s="825"/>
      <c r="M830" s="825"/>
      <c r="N830" s="825"/>
      <c r="O830" s="825"/>
      <c r="P830" s="825"/>
      <c r="Q830" s="21"/>
      <c r="R830" s="21"/>
      <c r="S830" s="19"/>
      <c r="T830" s="19"/>
      <c r="U830" s="19"/>
      <c r="V830" s="19"/>
      <c r="W830" s="825"/>
      <c r="X830" s="825"/>
      <c r="AM830" s="825"/>
      <c r="AN830" s="825"/>
      <c r="AO830" s="825"/>
      <c r="AP830" s="825"/>
      <c r="AQ830" s="825"/>
      <c r="AR830" s="825"/>
      <c r="AS830" s="825"/>
      <c r="AT830" s="825"/>
      <c r="AU830" s="825"/>
      <c r="AV830" s="825"/>
    </row>
    <row r="831" spans="1:48" ht="15.8" customHeight="1" x14ac:dyDescent="0.3">
      <c r="A831" s="825"/>
      <c r="B831" s="825"/>
      <c r="C831" s="825"/>
      <c r="D831" s="825"/>
      <c r="G831" s="825"/>
      <c r="H831" s="18"/>
      <c r="I831" s="825"/>
      <c r="L831" s="825"/>
      <c r="M831" s="825"/>
      <c r="N831" s="825"/>
      <c r="O831" s="825"/>
      <c r="P831" s="825"/>
      <c r="Q831" s="21"/>
      <c r="R831" s="21"/>
      <c r="S831" s="19"/>
      <c r="T831" s="19"/>
      <c r="U831" s="19"/>
      <c r="V831" s="19"/>
      <c r="W831" s="825"/>
      <c r="X831" s="825"/>
      <c r="AM831" s="825"/>
      <c r="AN831" s="825"/>
      <c r="AO831" s="825"/>
      <c r="AP831" s="825"/>
      <c r="AQ831" s="825"/>
      <c r="AR831" s="825"/>
      <c r="AS831" s="825"/>
      <c r="AT831" s="825"/>
      <c r="AU831" s="825"/>
      <c r="AV831" s="825"/>
    </row>
    <row r="832" spans="1:48" ht="15.8" customHeight="1" x14ac:dyDescent="0.3">
      <c r="A832" s="825"/>
      <c r="B832" s="825"/>
      <c r="C832" s="825"/>
      <c r="D832" s="825"/>
      <c r="G832" s="825"/>
      <c r="H832" s="18"/>
      <c r="I832" s="825"/>
      <c r="L832" s="825"/>
      <c r="M832" s="825"/>
      <c r="N832" s="825"/>
      <c r="O832" s="825"/>
      <c r="P832" s="825"/>
      <c r="Q832" s="21"/>
      <c r="R832" s="21"/>
      <c r="S832" s="19"/>
      <c r="T832" s="19"/>
      <c r="U832" s="19"/>
      <c r="V832" s="19"/>
      <c r="W832" s="825"/>
      <c r="X832" s="825"/>
      <c r="AM832" s="825"/>
      <c r="AN832" s="825"/>
      <c r="AO832" s="825"/>
      <c r="AP832" s="825"/>
      <c r="AQ832" s="825"/>
      <c r="AR832" s="825"/>
      <c r="AS832" s="825"/>
      <c r="AT832" s="825"/>
      <c r="AU832" s="825"/>
      <c r="AV832" s="825"/>
    </row>
    <row r="833" spans="1:48" ht="15.8" customHeight="1" x14ac:dyDescent="0.3">
      <c r="A833" s="825"/>
      <c r="B833" s="825"/>
      <c r="C833" s="825"/>
      <c r="D833" s="825"/>
      <c r="G833" s="825"/>
      <c r="H833" s="18"/>
      <c r="I833" s="825"/>
      <c r="L833" s="825"/>
      <c r="M833" s="825"/>
      <c r="N833" s="825"/>
      <c r="O833" s="825"/>
      <c r="P833" s="825"/>
      <c r="Q833" s="21"/>
      <c r="R833" s="21"/>
      <c r="S833" s="19"/>
      <c r="T833" s="19"/>
      <c r="U833" s="19"/>
      <c r="V833" s="19"/>
      <c r="W833" s="825"/>
      <c r="X833" s="825"/>
      <c r="AM833" s="825"/>
      <c r="AN833" s="825"/>
      <c r="AO833" s="825"/>
      <c r="AP833" s="825"/>
      <c r="AQ833" s="825"/>
      <c r="AR833" s="825"/>
      <c r="AS833" s="825"/>
      <c r="AT833" s="825"/>
      <c r="AU833" s="825"/>
      <c r="AV833" s="825"/>
    </row>
    <row r="834" spans="1:48" ht="15.8" customHeight="1" x14ac:dyDescent="0.3">
      <c r="A834" s="825"/>
      <c r="B834" s="825"/>
      <c r="C834" s="825"/>
      <c r="D834" s="825"/>
      <c r="G834" s="825"/>
      <c r="H834" s="18"/>
      <c r="I834" s="825"/>
      <c r="L834" s="825"/>
      <c r="M834" s="825"/>
      <c r="N834" s="825"/>
      <c r="O834" s="825"/>
      <c r="P834" s="825"/>
      <c r="Q834" s="21"/>
      <c r="R834" s="21"/>
      <c r="S834" s="19"/>
      <c r="T834" s="19"/>
      <c r="U834" s="19"/>
      <c r="V834" s="19"/>
      <c r="W834" s="825"/>
      <c r="X834" s="825"/>
      <c r="AM834" s="825"/>
      <c r="AN834" s="825"/>
      <c r="AO834" s="825"/>
      <c r="AP834" s="825"/>
      <c r="AQ834" s="825"/>
      <c r="AR834" s="825"/>
      <c r="AS834" s="825"/>
      <c r="AT834" s="825"/>
      <c r="AU834" s="825"/>
      <c r="AV834" s="825"/>
    </row>
    <row r="835" spans="1:48" ht="15.8" customHeight="1" x14ac:dyDescent="0.3">
      <c r="A835" s="825"/>
      <c r="B835" s="825"/>
      <c r="C835" s="825"/>
      <c r="D835" s="825"/>
      <c r="G835" s="825"/>
      <c r="H835" s="18"/>
      <c r="I835" s="825"/>
      <c r="L835" s="825"/>
      <c r="M835" s="825"/>
      <c r="N835" s="825"/>
      <c r="O835" s="825"/>
      <c r="P835" s="825"/>
      <c r="Q835" s="21"/>
      <c r="R835" s="21"/>
      <c r="S835" s="19"/>
      <c r="T835" s="19"/>
      <c r="U835" s="19"/>
      <c r="V835" s="19"/>
      <c r="W835" s="825"/>
      <c r="X835" s="825"/>
      <c r="AM835" s="825"/>
      <c r="AN835" s="825"/>
      <c r="AO835" s="825"/>
      <c r="AP835" s="825"/>
      <c r="AQ835" s="825"/>
      <c r="AR835" s="825"/>
      <c r="AS835" s="825"/>
      <c r="AT835" s="825"/>
      <c r="AU835" s="825"/>
      <c r="AV835" s="825"/>
    </row>
    <row r="836" spans="1:48" ht="15.8" customHeight="1" x14ac:dyDescent="0.3">
      <c r="A836" s="825"/>
      <c r="B836" s="825"/>
      <c r="C836" s="825"/>
      <c r="D836" s="825"/>
      <c r="G836" s="825"/>
      <c r="H836" s="18"/>
      <c r="I836" s="825"/>
      <c r="L836" s="825"/>
      <c r="M836" s="825"/>
      <c r="N836" s="825"/>
      <c r="O836" s="825"/>
      <c r="P836" s="825"/>
      <c r="Q836" s="21"/>
      <c r="R836" s="21"/>
      <c r="S836" s="19"/>
      <c r="T836" s="19"/>
      <c r="U836" s="19"/>
      <c r="V836" s="19"/>
      <c r="W836" s="825"/>
      <c r="X836" s="825"/>
      <c r="AM836" s="825"/>
      <c r="AN836" s="825"/>
      <c r="AO836" s="825"/>
      <c r="AP836" s="825"/>
      <c r="AQ836" s="825"/>
      <c r="AR836" s="825"/>
      <c r="AS836" s="825"/>
      <c r="AT836" s="825"/>
      <c r="AU836" s="825"/>
      <c r="AV836" s="825"/>
    </row>
    <row r="837" spans="1:48" ht="15.8" customHeight="1" x14ac:dyDescent="0.3">
      <c r="A837" s="825"/>
      <c r="B837" s="825"/>
      <c r="C837" s="825"/>
      <c r="D837" s="825"/>
      <c r="G837" s="825"/>
      <c r="H837" s="18"/>
      <c r="I837" s="825"/>
      <c r="L837" s="825"/>
      <c r="M837" s="825"/>
      <c r="N837" s="825"/>
      <c r="O837" s="825"/>
      <c r="P837" s="825"/>
      <c r="Q837" s="21"/>
      <c r="R837" s="21"/>
      <c r="S837" s="19"/>
      <c r="T837" s="19"/>
      <c r="U837" s="19"/>
      <c r="V837" s="19"/>
      <c r="W837" s="825"/>
      <c r="X837" s="825"/>
      <c r="AM837" s="825"/>
      <c r="AN837" s="825"/>
      <c r="AO837" s="825"/>
      <c r="AP837" s="825"/>
      <c r="AQ837" s="825"/>
      <c r="AR837" s="825"/>
      <c r="AS837" s="825"/>
      <c r="AT837" s="825"/>
      <c r="AU837" s="825"/>
      <c r="AV837" s="825"/>
    </row>
    <row r="838" spans="1:48" ht="15.8" customHeight="1" x14ac:dyDescent="0.3">
      <c r="A838" s="825"/>
      <c r="B838" s="825"/>
      <c r="C838" s="825"/>
      <c r="D838" s="825"/>
      <c r="G838" s="825"/>
      <c r="H838" s="18"/>
      <c r="I838" s="825"/>
      <c r="L838" s="825"/>
      <c r="M838" s="825"/>
      <c r="N838" s="825"/>
      <c r="O838" s="825"/>
      <c r="P838" s="825"/>
      <c r="Q838" s="21"/>
      <c r="R838" s="21"/>
      <c r="S838" s="19"/>
      <c r="T838" s="19"/>
      <c r="U838" s="19"/>
      <c r="V838" s="19"/>
      <c r="W838" s="825"/>
      <c r="X838" s="825"/>
      <c r="AM838" s="825"/>
      <c r="AN838" s="825"/>
      <c r="AO838" s="825"/>
      <c r="AP838" s="825"/>
      <c r="AQ838" s="825"/>
      <c r="AR838" s="825"/>
      <c r="AS838" s="825"/>
      <c r="AT838" s="825"/>
      <c r="AU838" s="825"/>
      <c r="AV838" s="825"/>
    </row>
    <row r="839" spans="1:48" ht="15.8" customHeight="1" x14ac:dyDescent="0.3">
      <c r="A839" s="825"/>
      <c r="B839" s="825"/>
      <c r="C839" s="825"/>
      <c r="D839" s="825"/>
      <c r="G839" s="825"/>
      <c r="H839" s="18"/>
      <c r="I839" s="825"/>
      <c r="L839" s="825"/>
      <c r="M839" s="825"/>
      <c r="N839" s="825"/>
      <c r="O839" s="825"/>
      <c r="P839" s="825"/>
      <c r="Q839" s="21"/>
      <c r="R839" s="21"/>
      <c r="S839" s="19"/>
      <c r="T839" s="19"/>
      <c r="U839" s="19"/>
      <c r="V839" s="19"/>
      <c r="W839" s="825"/>
      <c r="X839" s="825"/>
      <c r="AM839" s="825"/>
      <c r="AN839" s="825"/>
      <c r="AO839" s="825"/>
      <c r="AP839" s="825"/>
      <c r="AQ839" s="825"/>
      <c r="AR839" s="825"/>
      <c r="AS839" s="825"/>
      <c r="AT839" s="825"/>
      <c r="AU839" s="825"/>
      <c r="AV839" s="825"/>
    </row>
    <row r="840" spans="1:48" ht="15.8" customHeight="1" x14ac:dyDescent="0.3">
      <c r="A840" s="825"/>
      <c r="B840" s="825"/>
      <c r="C840" s="825"/>
      <c r="D840" s="825"/>
      <c r="G840" s="825"/>
      <c r="H840" s="18"/>
      <c r="I840" s="825"/>
      <c r="L840" s="825"/>
      <c r="M840" s="825"/>
      <c r="N840" s="825"/>
      <c r="O840" s="825"/>
      <c r="P840" s="825"/>
      <c r="Q840" s="21"/>
      <c r="R840" s="21"/>
      <c r="S840" s="19"/>
      <c r="T840" s="19"/>
      <c r="U840" s="19"/>
      <c r="V840" s="19"/>
      <c r="W840" s="825"/>
      <c r="X840" s="825"/>
      <c r="AM840" s="825"/>
      <c r="AN840" s="825"/>
      <c r="AO840" s="825"/>
      <c r="AP840" s="825"/>
      <c r="AQ840" s="825"/>
      <c r="AR840" s="825"/>
      <c r="AS840" s="825"/>
      <c r="AT840" s="825"/>
      <c r="AU840" s="825"/>
      <c r="AV840" s="825"/>
    </row>
    <row r="841" spans="1:48" ht="15.8" customHeight="1" x14ac:dyDescent="0.3">
      <c r="A841" s="825"/>
      <c r="B841" s="825"/>
      <c r="C841" s="825"/>
      <c r="D841" s="825"/>
      <c r="G841" s="825"/>
      <c r="H841" s="18"/>
      <c r="I841" s="825"/>
      <c r="L841" s="825"/>
      <c r="M841" s="825"/>
      <c r="N841" s="825"/>
      <c r="O841" s="825"/>
      <c r="P841" s="825"/>
      <c r="Q841" s="21"/>
      <c r="R841" s="21"/>
      <c r="S841" s="19"/>
      <c r="T841" s="19"/>
      <c r="U841" s="19"/>
      <c r="V841" s="19"/>
      <c r="W841" s="825"/>
      <c r="X841" s="825"/>
      <c r="AM841" s="825"/>
      <c r="AN841" s="825"/>
      <c r="AO841" s="825"/>
      <c r="AP841" s="825"/>
      <c r="AQ841" s="825"/>
      <c r="AR841" s="825"/>
      <c r="AS841" s="825"/>
      <c r="AT841" s="825"/>
      <c r="AU841" s="825"/>
      <c r="AV841" s="825"/>
    </row>
    <row r="842" spans="1:48" ht="15.8" customHeight="1" x14ac:dyDescent="0.3">
      <c r="A842" s="825"/>
      <c r="B842" s="825"/>
      <c r="C842" s="825"/>
      <c r="D842" s="825"/>
      <c r="G842" s="825"/>
      <c r="H842" s="18"/>
      <c r="I842" s="825"/>
      <c r="L842" s="825"/>
      <c r="M842" s="825"/>
      <c r="N842" s="825"/>
      <c r="O842" s="825"/>
      <c r="P842" s="825"/>
      <c r="Q842" s="21"/>
      <c r="R842" s="21"/>
      <c r="S842" s="19"/>
      <c r="T842" s="19"/>
      <c r="U842" s="19"/>
      <c r="V842" s="19"/>
      <c r="W842" s="825"/>
      <c r="X842" s="825"/>
      <c r="AM842" s="825"/>
      <c r="AN842" s="825"/>
      <c r="AO842" s="825"/>
      <c r="AP842" s="825"/>
      <c r="AQ842" s="825"/>
      <c r="AR842" s="825"/>
      <c r="AS842" s="825"/>
      <c r="AT842" s="825"/>
      <c r="AU842" s="825"/>
      <c r="AV842" s="825"/>
    </row>
    <row r="843" spans="1:48" ht="15.8" customHeight="1" x14ac:dyDescent="0.3">
      <c r="A843" s="825"/>
      <c r="B843" s="825"/>
      <c r="C843" s="825"/>
      <c r="D843" s="825"/>
      <c r="G843" s="825"/>
      <c r="H843" s="18"/>
      <c r="I843" s="825"/>
      <c r="L843" s="825"/>
      <c r="M843" s="825"/>
      <c r="N843" s="825"/>
      <c r="O843" s="825"/>
      <c r="P843" s="825"/>
      <c r="Q843" s="21"/>
      <c r="R843" s="21"/>
      <c r="S843" s="19"/>
      <c r="T843" s="19"/>
      <c r="U843" s="19"/>
      <c r="V843" s="19"/>
      <c r="W843" s="825"/>
      <c r="X843" s="825"/>
      <c r="AM843" s="825"/>
      <c r="AN843" s="825"/>
      <c r="AO843" s="825"/>
      <c r="AP843" s="825"/>
      <c r="AQ843" s="825"/>
      <c r="AR843" s="825"/>
      <c r="AS843" s="825"/>
      <c r="AT843" s="825"/>
      <c r="AU843" s="825"/>
      <c r="AV843" s="825"/>
    </row>
    <row r="844" spans="1:48" ht="15.8" customHeight="1" x14ac:dyDescent="0.3">
      <c r="A844" s="825"/>
      <c r="B844" s="825"/>
      <c r="C844" s="825"/>
      <c r="D844" s="825"/>
      <c r="G844" s="825"/>
      <c r="H844" s="18"/>
      <c r="I844" s="825"/>
      <c r="L844" s="825"/>
      <c r="M844" s="825"/>
      <c r="N844" s="825"/>
      <c r="O844" s="825"/>
      <c r="P844" s="825"/>
      <c r="Q844" s="21"/>
      <c r="R844" s="21"/>
      <c r="S844" s="19"/>
      <c r="T844" s="19"/>
      <c r="U844" s="19"/>
      <c r="V844" s="19"/>
      <c r="W844" s="825"/>
      <c r="X844" s="825"/>
      <c r="AM844" s="825"/>
      <c r="AN844" s="825"/>
      <c r="AO844" s="825"/>
      <c r="AP844" s="825"/>
      <c r="AQ844" s="825"/>
      <c r="AR844" s="825"/>
      <c r="AS844" s="825"/>
      <c r="AT844" s="825"/>
      <c r="AU844" s="825"/>
      <c r="AV844" s="825"/>
    </row>
    <row r="845" spans="1:48" ht="15.8" customHeight="1" x14ac:dyDescent="0.3">
      <c r="A845" s="825"/>
      <c r="B845" s="825"/>
      <c r="C845" s="825"/>
      <c r="D845" s="825"/>
      <c r="G845" s="825"/>
      <c r="H845" s="18"/>
      <c r="I845" s="825"/>
      <c r="L845" s="825"/>
      <c r="M845" s="825"/>
      <c r="N845" s="825"/>
      <c r="O845" s="825"/>
      <c r="P845" s="825"/>
      <c r="Q845" s="21"/>
      <c r="R845" s="21"/>
      <c r="S845" s="19"/>
      <c r="T845" s="19"/>
      <c r="U845" s="19"/>
      <c r="V845" s="19"/>
      <c r="W845" s="825"/>
      <c r="X845" s="825"/>
      <c r="AM845" s="825"/>
      <c r="AN845" s="825"/>
      <c r="AO845" s="825"/>
      <c r="AP845" s="825"/>
      <c r="AQ845" s="825"/>
      <c r="AR845" s="825"/>
      <c r="AS845" s="825"/>
      <c r="AT845" s="825"/>
      <c r="AU845" s="825"/>
      <c r="AV845" s="825"/>
    </row>
    <row r="846" spans="1:48" ht="15.8" customHeight="1" x14ac:dyDescent="0.3">
      <c r="A846" s="825"/>
      <c r="B846" s="825"/>
      <c r="C846" s="825"/>
      <c r="D846" s="825"/>
      <c r="G846" s="825"/>
      <c r="H846" s="18"/>
      <c r="I846" s="825"/>
      <c r="L846" s="825"/>
      <c r="M846" s="825"/>
      <c r="N846" s="825"/>
      <c r="O846" s="825"/>
      <c r="P846" s="825"/>
      <c r="Q846" s="21"/>
      <c r="R846" s="21"/>
      <c r="S846" s="19"/>
      <c r="T846" s="19"/>
      <c r="U846" s="19"/>
      <c r="V846" s="19"/>
      <c r="W846" s="825"/>
      <c r="X846" s="825"/>
      <c r="AM846" s="825"/>
      <c r="AN846" s="825"/>
      <c r="AO846" s="825"/>
      <c r="AP846" s="825"/>
      <c r="AQ846" s="825"/>
      <c r="AR846" s="825"/>
      <c r="AS846" s="825"/>
      <c r="AT846" s="825"/>
      <c r="AU846" s="825"/>
      <c r="AV846" s="825"/>
    </row>
    <row r="847" spans="1:48" ht="15.8" customHeight="1" x14ac:dyDescent="0.3">
      <c r="A847" s="825"/>
      <c r="B847" s="825"/>
      <c r="C847" s="825"/>
      <c r="D847" s="825"/>
      <c r="G847" s="825"/>
      <c r="H847" s="18"/>
      <c r="I847" s="825"/>
      <c r="L847" s="825"/>
      <c r="M847" s="825"/>
      <c r="N847" s="825"/>
      <c r="O847" s="825"/>
      <c r="P847" s="825"/>
      <c r="Q847" s="21"/>
      <c r="R847" s="21"/>
      <c r="S847" s="19"/>
      <c r="T847" s="19"/>
      <c r="U847" s="19"/>
      <c r="V847" s="19"/>
      <c r="W847" s="825"/>
      <c r="X847" s="825"/>
      <c r="AM847" s="825"/>
      <c r="AN847" s="825"/>
      <c r="AO847" s="825"/>
      <c r="AP847" s="825"/>
      <c r="AQ847" s="825"/>
      <c r="AR847" s="825"/>
      <c r="AS847" s="825"/>
      <c r="AT847" s="825"/>
      <c r="AU847" s="825"/>
      <c r="AV847" s="825"/>
    </row>
    <row r="848" spans="1:48" ht="15.8" customHeight="1" x14ac:dyDescent="0.3">
      <c r="A848" s="825"/>
      <c r="B848" s="825"/>
      <c r="C848" s="825"/>
      <c r="D848" s="825"/>
      <c r="G848" s="825"/>
      <c r="H848" s="18"/>
      <c r="I848" s="825"/>
      <c r="L848" s="825"/>
      <c r="M848" s="825"/>
      <c r="N848" s="825"/>
      <c r="O848" s="825"/>
      <c r="P848" s="825"/>
      <c r="Q848" s="21"/>
      <c r="R848" s="21"/>
      <c r="S848" s="19"/>
      <c r="T848" s="19"/>
      <c r="U848" s="19"/>
      <c r="V848" s="19"/>
      <c r="W848" s="825"/>
      <c r="X848" s="825"/>
      <c r="AM848" s="825"/>
      <c r="AN848" s="825"/>
      <c r="AO848" s="825"/>
      <c r="AP848" s="825"/>
      <c r="AQ848" s="825"/>
      <c r="AR848" s="825"/>
      <c r="AS848" s="825"/>
      <c r="AT848" s="825"/>
      <c r="AU848" s="825"/>
      <c r="AV848" s="825"/>
    </row>
    <row r="849" spans="1:48" ht="15.8" customHeight="1" x14ac:dyDescent="0.3">
      <c r="A849" s="825"/>
      <c r="B849" s="825"/>
      <c r="C849" s="825"/>
      <c r="D849" s="825"/>
      <c r="G849" s="825"/>
      <c r="H849" s="18"/>
      <c r="I849" s="825"/>
      <c r="L849" s="825"/>
      <c r="M849" s="825"/>
      <c r="N849" s="825"/>
      <c r="O849" s="825"/>
      <c r="P849" s="825"/>
      <c r="Q849" s="21"/>
      <c r="R849" s="21"/>
      <c r="S849" s="19"/>
      <c r="T849" s="19"/>
      <c r="U849" s="19"/>
      <c r="V849" s="19"/>
      <c r="W849" s="825"/>
      <c r="X849" s="825"/>
      <c r="AM849" s="825"/>
      <c r="AN849" s="825"/>
      <c r="AO849" s="825"/>
      <c r="AP849" s="825"/>
      <c r="AQ849" s="825"/>
      <c r="AR849" s="825"/>
      <c r="AS849" s="825"/>
      <c r="AT849" s="825"/>
      <c r="AU849" s="825"/>
      <c r="AV849" s="825"/>
    </row>
    <row r="850" spans="1:48" ht="15.8" customHeight="1" x14ac:dyDescent="0.3">
      <c r="A850" s="825"/>
      <c r="B850" s="825"/>
      <c r="C850" s="825"/>
      <c r="D850" s="825"/>
      <c r="G850" s="825"/>
      <c r="H850" s="18"/>
      <c r="I850" s="825"/>
      <c r="L850" s="825"/>
      <c r="M850" s="825"/>
      <c r="N850" s="825"/>
      <c r="O850" s="825"/>
      <c r="P850" s="825"/>
      <c r="Q850" s="21"/>
      <c r="R850" s="21"/>
      <c r="S850" s="19"/>
      <c r="T850" s="19"/>
      <c r="U850" s="19"/>
      <c r="V850" s="19"/>
      <c r="W850" s="825"/>
      <c r="X850" s="825"/>
      <c r="AM850" s="825"/>
      <c r="AN850" s="825"/>
      <c r="AO850" s="825"/>
      <c r="AP850" s="825"/>
      <c r="AQ850" s="825"/>
      <c r="AR850" s="825"/>
      <c r="AS850" s="825"/>
      <c r="AT850" s="825"/>
      <c r="AU850" s="825"/>
      <c r="AV850" s="825"/>
    </row>
    <row r="851" spans="1:48" ht="15.8" customHeight="1" x14ac:dyDescent="0.3">
      <c r="A851" s="825"/>
      <c r="B851" s="825"/>
      <c r="C851" s="825"/>
      <c r="D851" s="825"/>
      <c r="G851" s="825"/>
      <c r="H851" s="18"/>
      <c r="I851" s="825"/>
      <c r="L851" s="825"/>
      <c r="M851" s="825"/>
      <c r="N851" s="825"/>
      <c r="O851" s="825"/>
      <c r="P851" s="825"/>
      <c r="Q851" s="21"/>
      <c r="R851" s="21"/>
      <c r="S851" s="19"/>
      <c r="T851" s="19"/>
      <c r="U851" s="19"/>
      <c r="V851" s="19"/>
      <c r="W851" s="825"/>
      <c r="X851" s="825"/>
      <c r="AM851" s="825"/>
      <c r="AN851" s="825"/>
      <c r="AO851" s="825"/>
      <c r="AP851" s="825"/>
      <c r="AQ851" s="825"/>
      <c r="AR851" s="825"/>
      <c r="AS851" s="825"/>
      <c r="AT851" s="825"/>
      <c r="AU851" s="825"/>
      <c r="AV851" s="825"/>
    </row>
    <row r="852" spans="1:48" ht="15.8" customHeight="1" x14ac:dyDescent="0.3">
      <c r="A852" s="825"/>
      <c r="B852" s="825"/>
      <c r="C852" s="825"/>
      <c r="D852" s="825"/>
      <c r="G852" s="825"/>
      <c r="H852" s="18"/>
      <c r="I852" s="825"/>
      <c r="L852" s="825"/>
      <c r="M852" s="825"/>
      <c r="N852" s="825"/>
      <c r="O852" s="825"/>
      <c r="P852" s="825"/>
      <c r="Q852" s="21"/>
      <c r="R852" s="21"/>
      <c r="S852" s="19"/>
      <c r="T852" s="19"/>
      <c r="U852" s="19"/>
      <c r="V852" s="19"/>
      <c r="W852" s="825"/>
      <c r="X852" s="825"/>
      <c r="AM852" s="825"/>
      <c r="AN852" s="825"/>
      <c r="AO852" s="825"/>
      <c r="AP852" s="825"/>
      <c r="AQ852" s="825"/>
      <c r="AR852" s="825"/>
      <c r="AS852" s="825"/>
      <c r="AT852" s="825"/>
      <c r="AU852" s="825"/>
      <c r="AV852" s="825"/>
    </row>
    <row r="853" spans="1:48" ht="15.8" customHeight="1" x14ac:dyDescent="0.3">
      <c r="A853" s="825"/>
      <c r="B853" s="825"/>
      <c r="C853" s="825"/>
      <c r="D853" s="825"/>
      <c r="G853" s="825"/>
      <c r="H853" s="18"/>
      <c r="I853" s="825"/>
      <c r="L853" s="825"/>
      <c r="M853" s="825"/>
      <c r="N853" s="825"/>
      <c r="O853" s="825"/>
      <c r="P853" s="825"/>
      <c r="Q853" s="21"/>
      <c r="R853" s="21"/>
      <c r="S853" s="19"/>
      <c r="T853" s="19"/>
      <c r="U853" s="19"/>
      <c r="V853" s="19"/>
      <c r="W853" s="825"/>
      <c r="X853" s="825"/>
      <c r="AM853" s="825"/>
      <c r="AN853" s="825"/>
      <c r="AO853" s="825"/>
      <c r="AP853" s="825"/>
      <c r="AQ853" s="825"/>
      <c r="AR853" s="825"/>
      <c r="AS853" s="825"/>
      <c r="AT853" s="825"/>
      <c r="AU853" s="825"/>
      <c r="AV853" s="825"/>
    </row>
    <row r="854" spans="1:48" ht="15.8" customHeight="1" x14ac:dyDescent="0.3">
      <c r="A854" s="825"/>
      <c r="B854" s="825"/>
      <c r="C854" s="825"/>
      <c r="D854" s="825"/>
      <c r="G854" s="825"/>
      <c r="H854" s="18"/>
      <c r="I854" s="825"/>
      <c r="L854" s="825"/>
      <c r="M854" s="825"/>
      <c r="N854" s="825"/>
      <c r="O854" s="825"/>
      <c r="P854" s="825"/>
      <c r="Q854" s="21"/>
      <c r="R854" s="21"/>
      <c r="S854" s="19"/>
      <c r="T854" s="19"/>
      <c r="U854" s="19"/>
      <c r="V854" s="19"/>
      <c r="W854" s="825"/>
      <c r="X854" s="825"/>
      <c r="AM854" s="825"/>
      <c r="AN854" s="825"/>
      <c r="AO854" s="825"/>
      <c r="AP854" s="825"/>
      <c r="AQ854" s="825"/>
      <c r="AR854" s="825"/>
      <c r="AS854" s="825"/>
      <c r="AT854" s="825"/>
      <c r="AU854" s="825"/>
      <c r="AV854" s="825"/>
    </row>
    <row r="855" spans="1:48" ht="15.8" customHeight="1" x14ac:dyDescent="0.3">
      <c r="A855" s="825"/>
      <c r="B855" s="825"/>
      <c r="C855" s="825"/>
      <c r="D855" s="825"/>
      <c r="G855" s="825"/>
      <c r="H855" s="18"/>
      <c r="I855" s="825"/>
      <c r="L855" s="825"/>
      <c r="M855" s="825"/>
      <c r="N855" s="825"/>
      <c r="O855" s="825"/>
      <c r="P855" s="825"/>
      <c r="Q855" s="21"/>
      <c r="R855" s="21"/>
      <c r="S855" s="19"/>
      <c r="T855" s="19"/>
      <c r="U855" s="19"/>
      <c r="V855" s="19"/>
      <c r="W855" s="825"/>
      <c r="X855" s="825"/>
      <c r="AM855" s="825"/>
      <c r="AN855" s="825"/>
      <c r="AO855" s="825"/>
      <c r="AP855" s="825"/>
      <c r="AQ855" s="825"/>
      <c r="AR855" s="825"/>
      <c r="AS855" s="825"/>
      <c r="AT855" s="825"/>
      <c r="AU855" s="825"/>
      <c r="AV855" s="825"/>
    </row>
    <row r="856" spans="1:48" ht="15.8" customHeight="1" x14ac:dyDescent="0.3">
      <c r="A856" s="825"/>
      <c r="B856" s="825"/>
      <c r="C856" s="825"/>
      <c r="D856" s="825"/>
      <c r="G856" s="825"/>
      <c r="H856" s="18"/>
      <c r="I856" s="825"/>
      <c r="L856" s="825"/>
      <c r="M856" s="825"/>
      <c r="N856" s="825"/>
      <c r="O856" s="825"/>
      <c r="P856" s="825"/>
      <c r="Q856" s="21"/>
      <c r="R856" s="21"/>
      <c r="S856" s="19"/>
      <c r="T856" s="19"/>
      <c r="U856" s="19"/>
      <c r="V856" s="19"/>
      <c r="W856" s="825"/>
      <c r="X856" s="825"/>
      <c r="AM856" s="825"/>
      <c r="AN856" s="825"/>
      <c r="AO856" s="825"/>
      <c r="AP856" s="825"/>
      <c r="AQ856" s="825"/>
      <c r="AR856" s="825"/>
      <c r="AS856" s="825"/>
      <c r="AT856" s="825"/>
      <c r="AU856" s="825"/>
      <c r="AV856" s="825"/>
    </row>
    <row r="857" spans="1:48" ht="15.8" customHeight="1" x14ac:dyDescent="0.3">
      <c r="A857" s="825"/>
      <c r="B857" s="825"/>
      <c r="C857" s="825"/>
      <c r="D857" s="825"/>
      <c r="G857" s="825"/>
      <c r="H857" s="18"/>
      <c r="I857" s="825"/>
      <c r="L857" s="825"/>
      <c r="M857" s="825"/>
      <c r="N857" s="825"/>
      <c r="O857" s="825"/>
      <c r="P857" s="825"/>
      <c r="Q857" s="21"/>
      <c r="R857" s="21"/>
      <c r="S857" s="19"/>
      <c r="T857" s="19"/>
      <c r="U857" s="19"/>
      <c r="V857" s="19"/>
      <c r="W857" s="825"/>
      <c r="X857" s="825"/>
      <c r="AM857" s="825"/>
      <c r="AN857" s="825"/>
      <c r="AO857" s="825"/>
      <c r="AP857" s="825"/>
      <c r="AQ857" s="825"/>
      <c r="AR857" s="825"/>
      <c r="AS857" s="825"/>
      <c r="AT857" s="825"/>
      <c r="AU857" s="825"/>
      <c r="AV857" s="825"/>
    </row>
    <row r="858" spans="1:48" ht="15.8" customHeight="1" x14ac:dyDescent="0.3">
      <c r="A858" s="825"/>
      <c r="B858" s="825"/>
      <c r="C858" s="825"/>
      <c r="D858" s="825"/>
      <c r="G858" s="825"/>
      <c r="H858" s="18"/>
      <c r="I858" s="825"/>
      <c r="L858" s="825"/>
      <c r="M858" s="825"/>
      <c r="N858" s="825"/>
      <c r="O858" s="825"/>
      <c r="P858" s="825"/>
      <c r="Q858" s="21"/>
      <c r="R858" s="21"/>
      <c r="S858" s="19"/>
      <c r="T858" s="19"/>
      <c r="U858" s="19"/>
      <c r="V858" s="19"/>
      <c r="W858" s="825"/>
      <c r="X858" s="825"/>
      <c r="AM858" s="825"/>
      <c r="AN858" s="825"/>
      <c r="AO858" s="825"/>
      <c r="AP858" s="825"/>
      <c r="AQ858" s="825"/>
      <c r="AR858" s="825"/>
      <c r="AS858" s="825"/>
      <c r="AT858" s="825"/>
      <c r="AU858" s="825"/>
      <c r="AV858" s="825"/>
    </row>
    <row r="859" spans="1:48" ht="15.8" customHeight="1" x14ac:dyDescent="0.3">
      <c r="A859" s="825"/>
      <c r="B859" s="825"/>
      <c r="C859" s="825"/>
      <c r="D859" s="825"/>
      <c r="G859" s="825"/>
      <c r="H859" s="18"/>
      <c r="I859" s="825"/>
      <c r="L859" s="825"/>
      <c r="M859" s="825"/>
      <c r="N859" s="825"/>
      <c r="O859" s="825"/>
      <c r="P859" s="825"/>
      <c r="Q859" s="21"/>
      <c r="R859" s="21"/>
      <c r="S859" s="19"/>
      <c r="T859" s="19"/>
      <c r="U859" s="19"/>
      <c r="V859" s="19"/>
      <c r="W859" s="825"/>
      <c r="X859" s="825"/>
      <c r="AM859" s="825"/>
      <c r="AN859" s="825"/>
      <c r="AO859" s="825"/>
      <c r="AP859" s="825"/>
      <c r="AQ859" s="825"/>
      <c r="AR859" s="825"/>
      <c r="AS859" s="825"/>
      <c r="AT859" s="825"/>
      <c r="AU859" s="825"/>
      <c r="AV859" s="825"/>
    </row>
    <row r="860" spans="1:48" ht="15.8" customHeight="1" x14ac:dyDescent="0.3">
      <c r="A860" s="825"/>
      <c r="B860" s="825"/>
      <c r="C860" s="825"/>
      <c r="D860" s="825"/>
      <c r="G860" s="825"/>
      <c r="H860" s="18"/>
      <c r="I860" s="825"/>
      <c r="L860" s="825"/>
      <c r="M860" s="825"/>
      <c r="N860" s="825"/>
      <c r="O860" s="825"/>
      <c r="P860" s="825"/>
      <c r="Q860" s="21"/>
      <c r="R860" s="21"/>
      <c r="S860" s="19"/>
      <c r="T860" s="19"/>
      <c r="U860" s="19"/>
      <c r="V860" s="19"/>
      <c r="W860" s="825"/>
      <c r="X860" s="825"/>
      <c r="AM860" s="825"/>
      <c r="AN860" s="825"/>
      <c r="AO860" s="825"/>
      <c r="AP860" s="825"/>
      <c r="AQ860" s="825"/>
      <c r="AR860" s="825"/>
      <c r="AS860" s="825"/>
      <c r="AT860" s="825"/>
      <c r="AU860" s="825"/>
      <c r="AV860" s="825"/>
    </row>
    <row r="861" spans="1:48" ht="15.8" customHeight="1" x14ac:dyDescent="0.3">
      <c r="A861" s="825"/>
      <c r="B861" s="825"/>
      <c r="C861" s="825"/>
      <c r="D861" s="825"/>
      <c r="G861" s="825"/>
      <c r="H861" s="18"/>
      <c r="I861" s="825"/>
      <c r="L861" s="825"/>
      <c r="M861" s="825"/>
      <c r="N861" s="825"/>
      <c r="O861" s="825"/>
      <c r="P861" s="825"/>
      <c r="Q861" s="21"/>
      <c r="R861" s="21"/>
      <c r="S861" s="19"/>
      <c r="T861" s="19"/>
      <c r="U861" s="19"/>
      <c r="V861" s="19"/>
      <c r="W861" s="825"/>
      <c r="X861" s="825"/>
      <c r="AM861" s="825"/>
      <c r="AN861" s="825"/>
      <c r="AO861" s="825"/>
      <c r="AP861" s="825"/>
      <c r="AQ861" s="825"/>
      <c r="AR861" s="825"/>
      <c r="AS861" s="825"/>
      <c r="AT861" s="825"/>
      <c r="AU861" s="825"/>
      <c r="AV861" s="825"/>
    </row>
    <row r="862" spans="1:48" ht="15.8" customHeight="1" x14ac:dyDescent="0.3">
      <c r="A862" s="825"/>
      <c r="B862" s="825"/>
      <c r="C862" s="825"/>
      <c r="D862" s="825"/>
      <c r="G862" s="825"/>
      <c r="H862" s="18"/>
      <c r="I862" s="825"/>
      <c r="L862" s="825"/>
      <c r="M862" s="825"/>
      <c r="N862" s="825"/>
      <c r="O862" s="825"/>
      <c r="P862" s="825"/>
      <c r="Q862" s="21"/>
      <c r="R862" s="21"/>
      <c r="S862" s="19"/>
      <c r="T862" s="19"/>
      <c r="U862" s="19"/>
      <c r="V862" s="19"/>
      <c r="W862" s="825"/>
      <c r="X862" s="825"/>
      <c r="AM862" s="825"/>
      <c r="AN862" s="825"/>
      <c r="AO862" s="825"/>
      <c r="AP862" s="825"/>
      <c r="AQ862" s="825"/>
      <c r="AR862" s="825"/>
      <c r="AS862" s="825"/>
      <c r="AT862" s="825"/>
      <c r="AU862" s="825"/>
      <c r="AV862" s="825"/>
    </row>
    <row r="863" spans="1:48" ht="15.8" customHeight="1" x14ac:dyDescent="0.3">
      <c r="A863" s="825"/>
      <c r="B863" s="825"/>
      <c r="C863" s="825"/>
      <c r="D863" s="825"/>
      <c r="G863" s="825"/>
      <c r="H863" s="18"/>
      <c r="I863" s="825"/>
      <c r="L863" s="825"/>
      <c r="M863" s="825"/>
      <c r="N863" s="825"/>
      <c r="O863" s="825"/>
      <c r="P863" s="825"/>
      <c r="Q863" s="21"/>
      <c r="R863" s="21"/>
      <c r="S863" s="19"/>
      <c r="T863" s="19"/>
      <c r="U863" s="19"/>
      <c r="V863" s="19"/>
      <c r="W863" s="825"/>
      <c r="X863" s="825"/>
      <c r="AM863" s="825"/>
      <c r="AN863" s="825"/>
      <c r="AO863" s="825"/>
      <c r="AP863" s="825"/>
      <c r="AQ863" s="825"/>
      <c r="AR863" s="825"/>
      <c r="AS863" s="825"/>
      <c r="AT863" s="825"/>
      <c r="AU863" s="825"/>
      <c r="AV863" s="825"/>
    </row>
    <row r="864" spans="1:48" ht="15.8" customHeight="1" x14ac:dyDescent="0.3">
      <c r="A864" s="825"/>
      <c r="B864" s="825"/>
      <c r="C864" s="825"/>
      <c r="D864" s="825"/>
      <c r="G864" s="825"/>
      <c r="H864" s="18"/>
      <c r="I864" s="825"/>
      <c r="L864" s="825"/>
      <c r="M864" s="825"/>
      <c r="N864" s="825"/>
      <c r="O864" s="825"/>
      <c r="P864" s="825"/>
      <c r="Q864" s="21"/>
      <c r="R864" s="21"/>
      <c r="S864" s="19"/>
      <c r="T864" s="19"/>
      <c r="U864" s="19"/>
      <c r="V864" s="19"/>
      <c r="W864" s="825"/>
      <c r="X864" s="825"/>
      <c r="AM864" s="825"/>
      <c r="AN864" s="825"/>
      <c r="AO864" s="825"/>
      <c r="AP864" s="825"/>
      <c r="AQ864" s="825"/>
      <c r="AR864" s="825"/>
      <c r="AS864" s="825"/>
      <c r="AT864" s="825"/>
      <c r="AU864" s="825"/>
      <c r="AV864" s="825"/>
    </row>
    <row r="865" spans="1:48" ht="15.8" customHeight="1" x14ac:dyDescent="0.3">
      <c r="A865" s="825"/>
      <c r="B865" s="825"/>
      <c r="C865" s="825"/>
      <c r="D865" s="825"/>
      <c r="G865" s="825"/>
      <c r="H865" s="18"/>
      <c r="I865" s="825"/>
      <c r="L865" s="825"/>
      <c r="M865" s="825"/>
      <c r="N865" s="825"/>
      <c r="O865" s="825"/>
      <c r="P865" s="825"/>
      <c r="Q865" s="21"/>
      <c r="R865" s="21"/>
      <c r="S865" s="19"/>
      <c r="T865" s="19"/>
      <c r="U865" s="19"/>
      <c r="V865" s="19"/>
      <c r="W865" s="825"/>
      <c r="X865" s="825"/>
      <c r="AM865" s="825"/>
      <c r="AN865" s="825"/>
      <c r="AO865" s="825"/>
      <c r="AP865" s="825"/>
      <c r="AQ865" s="825"/>
      <c r="AR865" s="825"/>
      <c r="AS865" s="825"/>
      <c r="AT865" s="825"/>
      <c r="AU865" s="825"/>
      <c r="AV865" s="825"/>
    </row>
    <row r="866" spans="1:48" ht="15.8" customHeight="1" x14ac:dyDescent="0.3">
      <c r="A866" s="825"/>
      <c r="B866" s="825"/>
      <c r="C866" s="825"/>
      <c r="D866" s="825"/>
      <c r="G866" s="825"/>
      <c r="H866" s="18"/>
      <c r="I866" s="825"/>
      <c r="L866" s="825"/>
      <c r="M866" s="825"/>
      <c r="N866" s="825"/>
      <c r="O866" s="825"/>
      <c r="P866" s="825"/>
      <c r="Q866" s="21"/>
      <c r="R866" s="21"/>
      <c r="S866" s="19"/>
      <c r="T866" s="19"/>
      <c r="U866" s="19"/>
      <c r="V866" s="19"/>
      <c r="W866" s="825"/>
      <c r="X866" s="825"/>
      <c r="AM866" s="825"/>
      <c r="AN866" s="825"/>
      <c r="AO866" s="825"/>
      <c r="AP866" s="825"/>
      <c r="AQ866" s="825"/>
      <c r="AR866" s="825"/>
      <c r="AS866" s="825"/>
      <c r="AT866" s="825"/>
      <c r="AU866" s="825"/>
      <c r="AV866" s="825"/>
    </row>
    <row r="867" spans="1:48" ht="15.8" customHeight="1" x14ac:dyDescent="0.3">
      <c r="A867" s="825"/>
      <c r="B867" s="825"/>
      <c r="C867" s="825"/>
      <c r="D867" s="825"/>
      <c r="G867" s="825"/>
      <c r="H867" s="18"/>
      <c r="I867" s="825"/>
      <c r="L867" s="825"/>
      <c r="M867" s="825"/>
      <c r="N867" s="825"/>
      <c r="O867" s="825"/>
      <c r="P867" s="825"/>
      <c r="Q867" s="21"/>
      <c r="R867" s="21"/>
      <c r="S867" s="19"/>
      <c r="T867" s="19"/>
      <c r="U867" s="19"/>
      <c r="V867" s="19"/>
      <c r="W867" s="825"/>
      <c r="X867" s="825"/>
      <c r="AM867" s="825"/>
      <c r="AN867" s="825"/>
      <c r="AO867" s="825"/>
      <c r="AP867" s="825"/>
      <c r="AQ867" s="825"/>
      <c r="AR867" s="825"/>
      <c r="AS867" s="825"/>
      <c r="AT867" s="825"/>
      <c r="AU867" s="825"/>
      <c r="AV867" s="825"/>
    </row>
    <row r="868" spans="1:48" ht="15.8" customHeight="1" x14ac:dyDescent="0.3">
      <c r="A868" s="825"/>
      <c r="B868" s="825"/>
      <c r="C868" s="825"/>
      <c r="D868" s="825"/>
      <c r="G868" s="825"/>
      <c r="H868" s="18"/>
      <c r="I868" s="825"/>
      <c r="L868" s="825"/>
      <c r="M868" s="825"/>
      <c r="N868" s="825"/>
      <c r="O868" s="825"/>
      <c r="P868" s="825"/>
      <c r="Q868" s="21"/>
      <c r="R868" s="21"/>
      <c r="S868" s="19"/>
      <c r="T868" s="19"/>
      <c r="U868" s="19"/>
      <c r="V868" s="19"/>
      <c r="W868" s="825"/>
      <c r="X868" s="825"/>
      <c r="AM868" s="825"/>
      <c r="AN868" s="825"/>
      <c r="AO868" s="825"/>
      <c r="AP868" s="825"/>
      <c r="AQ868" s="825"/>
      <c r="AR868" s="825"/>
      <c r="AS868" s="825"/>
      <c r="AT868" s="825"/>
      <c r="AU868" s="825"/>
      <c r="AV868" s="825"/>
    </row>
    <row r="869" spans="1:48" ht="15.8" customHeight="1" x14ac:dyDescent="0.3">
      <c r="A869" s="825"/>
      <c r="B869" s="825"/>
      <c r="C869" s="825"/>
      <c r="D869" s="825"/>
      <c r="G869" s="825"/>
      <c r="H869" s="18"/>
      <c r="I869" s="825"/>
      <c r="L869" s="825"/>
      <c r="M869" s="825"/>
      <c r="N869" s="825"/>
      <c r="O869" s="825"/>
      <c r="P869" s="825"/>
      <c r="Q869" s="21"/>
      <c r="R869" s="21"/>
      <c r="S869" s="19"/>
      <c r="T869" s="19"/>
      <c r="U869" s="19"/>
      <c r="V869" s="19"/>
      <c r="W869" s="825"/>
      <c r="X869" s="825"/>
      <c r="AM869" s="825"/>
      <c r="AN869" s="825"/>
      <c r="AO869" s="825"/>
      <c r="AP869" s="825"/>
      <c r="AQ869" s="825"/>
      <c r="AR869" s="825"/>
      <c r="AS869" s="825"/>
      <c r="AT869" s="825"/>
      <c r="AU869" s="825"/>
      <c r="AV869" s="825"/>
    </row>
    <row r="870" spans="1:48" ht="15.8" customHeight="1" x14ac:dyDescent="0.3">
      <c r="A870" s="825"/>
      <c r="B870" s="825"/>
      <c r="C870" s="825"/>
      <c r="D870" s="825"/>
      <c r="G870" s="825"/>
      <c r="H870" s="18"/>
      <c r="I870" s="825"/>
      <c r="L870" s="825"/>
      <c r="M870" s="825"/>
      <c r="N870" s="825"/>
      <c r="O870" s="825"/>
      <c r="P870" s="825"/>
      <c r="Q870" s="21"/>
      <c r="R870" s="21"/>
      <c r="S870" s="19"/>
      <c r="T870" s="19"/>
      <c r="U870" s="19"/>
      <c r="V870" s="19"/>
      <c r="W870" s="825"/>
      <c r="X870" s="825"/>
      <c r="AM870" s="825"/>
      <c r="AN870" s="825"/>
      <c r="AO870" s="825"/>
      <c r="AP870" s="825"/>
      <c r="AQ870" s="825"/>
      <c r="AR870" s="825"/>
      <c r="AS870" s="825"/>
      <c r="AT870" s="825"/>
      <c r="AU870" s="825"/>
      <c r="AV870" s="825"/>
    </row>
    <row r="871" spans="1:48" ht="15.8" customHeight="1" x14ac:dyDescent="0.3">
      <c r="A871" s="825"/>
      <c r="B871" s="825"/>
      <c r="C871" s="825"/>
      <c r="D871" s="825"/>
      <c r="G871" s="825"/>
      <c r="H871" s="18"/>
      <c r="I871" s="825"/>
      <c r="L871" s="825"/>
      <c r="M871" s="825"/>
      <c r="N871" s="825"/>
      <c r="O871" s="825"/>
      <c r="P871" s="825"/>
      <c r="Q871" s="21"/>
      <c r="R871" s="21"/>
      <c r="S871" s="19"/>
      <c r="T871" s="19"/>
      <c r="U871" s="19"/>
      <c r="V871" s="19"/>
      <c r="W871" s="825"/>
      <c r="X871" s="825"/>
      <c r="AM871" s="825"/>
      <c r="AN871" s="825"/>
      <c r="AO871" s="825"/>
      <c r="AP871" s="825"/>
      <c r="AQ871" s="825"/>
      <c r="AR871" s="825"/>
      <c r="AS871" s="825"/>
      <c r="AT871" s="825"/>
      <c r="AU871" s="825"/>
      <c r="AV871" s="825"/>
    </row>
    <row r="872" spans="1:48" ht="15.8" customHeight="1" x14ac:dyDescent="0.3">
      <c r="A872" s="825"/>
      <c r="B872" s="825"/>
      <c r="C872" s="825"/>
      <c r="D872" s="825"/>
      <c r="G872" s="825"/>
      <c r="H872" s="18"/>
      <c r="I872" s="825"/>
      <c r="L872" s="825"/>
      <c r="M872" s="825"/>
      <c r="N872" s="825"/>
      <c r="O872" s="825"/>
      <c r="P872" s="825"/>
      <c r="Q872" s="21"/>
      <c r="R872" s="21"/>
      <c r="S872" s="19"/>
      <c r="T872" s="19"/>
      <c r="U872" s="19"/>
      <c r="V872" s="19"/>
      <c r="W872" s="825"/>
      <c r="X872" s="825"/>
      <c r="AM872" s="825"/>
      <c r="AN872" s="825"/>
      <c r="AO872" s="825"/>
      <c r="AP872" s="825"/>
      <c r="AQ872" s="825"/>
      <c r="AR872" s="825"/>
      <c r="AS872" s="825"/>
      <c r="AT872" s="825"/>
      <c r="AU872" s="825"/>
      <c r="AV872" s="825"/>
    </row>
    <row r="873" spans="1:48" ht="15.8" customHeight="1" x14ac:dyDescent="0.3">
      <c r="A873" s="825"/>
      <c r="B873" s="825"/>
      <c r="C873" s="825"/>
      <c r="D873" s="825"/>
      <c r="G873" s="825"/>
      <c r="H873" s="18"/>
      <c r="I873" s="825"/>
      <c r="L873" s="825"/>
      <c r="M873" s="825"/>
      <c r="N873" s="825"/>
      <c r="O873" s="825"/>
      <c r="P873" s="825"/>
      <c r="Q873" s="21"/>
      <c r="R873" s="21"/>
      <c r="S873" s="19"/>
      <c r="T873" s="19"/>
      <c r="U873" s="19"/>
      <c r="V873" s="19"/>
      <c r="W873" s="825"/>
      <c r="X873" s="825"/>
      <c r="AM873" s="825"/>
      <c r="AN873" s="825"/>
      <c r="AO873" s="825"/>
      <c r="AP873" s="825"/>
      <c r="AQ873" s="825"/>
      <c r="AR873" s="825"/>
      <c r="AS873" s="825"/>
      <c r="AT873" s="825"/>
      <c r="AU873" s="825"/>
      <c r="AV873" s="825"/>
    </row>
    <row r="874" spans="1:48" ht="15.8" customHeight="1" x14ac:dyDescent="0.3">
      <c r="A874" s="825"/>
      <c r="B874" s="825"/>
      <c r="C874" s="825"/>
      <c r="D874" s="825"/>
      <c r="G874" s="825"/>
      <c r="H874" s="18"/>
      <c r="I874" s="825"/>
      <c r="L874" s="825"/>
      <c r="M874" s="825"/>
      <c r="N874" s="825"/>
      <c r="O874" s="825"/>
      <c r="P874" s="825"/>
      <c r="Q874" s="21"/>
      <c r="R874" s="21"/>
      <c r="S874" s="19"/>
      <c r="T874" s="19"/>
      <c r="U874" s="19"/>
      <c r="V874" s="19"/>
      <c r="W874" s="825"/>
      <c r="X874" s="825"/>
      <c r="AM874" s="825"/>
      <c r="AN874" s="825"/>
      <c r="AO874" s="825"/>
      <c r="AP874" s="825"/>
      <c r="AQ874" s="825"/>
      <c r="AR874" s="825"/>
      <c r="AS874" s="825"/>
      <c r="AT874" s="825"/>
      <c r="AU874" s="825"/>
      <c r="AV874" s="825"/>
    </row>
    <row r="875" spans="1:48" ht="15.8" customHeight="1" x14ac:dyDescent="0.3">
      <c r="A875" s="825"/>
      <c r="B875" s="825"/>
      <c r="C875" s="825"/>
      <c r="D875" s="825"/>
      <c r="G875" s="825"/>
      <c r="H875" s="18"/>
      <c r="I875" s="825"/>
      <c r="L875" s="825"/>
      <c r="M875" s="825"/>
      <c r="N875" s="825"/>
      <c r="O875" s="825"/>
      <c r="P875" s="825"/>
      <c r="Q875" s="21"/>
      <c r="R875" s="21"/>
      <c r="S875" s="19"/>
      <c r="T875" s="19"/>
      <c r="U875" s="19"/>
      <c r="V875" s="19"/>
      <c r="W875" s="825"/>
      <c r="X875" s="825"/>
      <c r="AM875" s="825"/>
      <c r="AN875" s="825"/>
      <c r="AO875" s="825"/>
      <c r="AP875" s="825"/>
      <c r="AQ875" s="825"/>
      <c r="AR875" s="825"/>
      <c r="AS875" s="825"/>
      <c r="AT875" s="825"/>
      <c r="AU875" s="825"/>
      <c r="AV875" s="825"/>
    </row>
    <row r="876" spans="1:48" ht="15.8" customHeight="1" x14ac:dyDescent="0.3">
      <c r="A876" s="825"/>
      <c r="B876" s="825"/>
      <c r="C876" s="825"/>
      <c r="D876" s="825"/>
      <c r="G876" s="825"/>
      <c r="H876" s="18"/>
      <c r="I876" s="825"/>
      <c r="L876" s="825"/>
      <c r="M876" s="825"/>
      <c r="N876" s="825"/>
      <c r="O876" s="825"/>
      <c r="P876" s="825"/>
      <c r="Q876" s="21"/>
      <c r="R876" s="21"/>
      <c r="S876" s="19"/>
      <c r="T876" s="19"/>
      <c r="U876" s="19"/>
      <c r="V876" s="19"/>
      <c r="W876" s="825"/>
      <c r="X876" s="825"/>
      <c r="AM876" s="825"/>
      <c r="AN876" s="825"/>
      <c r="AO876" s="825"/>
      <c r="AP876" s="825"/>
      <c r="AQ876" s="825"/>
      <c r="AR876" s="825"/>
      <c r="AS876" s="825"/>
      <c r="AT876" s="825"/>
      <c r="AU876" s="825"/>
      <c r="AV876" s="825"/>
    </row>
    <row r="877" spans="1:48" ht="15.8" customHeight="1" x14ac:dyDescent="0.3">
      <c r="A877" s="825"/>
      <c r="B877" s="825"/>
      <c r="C877" s="825"/>
      <c r="D877" s="825"/>
      <c r="G877" s="825"/>
      <c r="H877" s="18"/>
      <c r="I877" s="825"/>
      <c r="L877" s="825"/>
      <c r="M877" s="825"/>
      <c r="N877" s="825"/>
      <c r="O877" s="825"/>
      <c r="P877" s="825"/>
      <c r="Q877" s="21"/>
      <c r="R877" s="21"/>
      <c r="S877" s="19"/>
      <c r="T877" s="19"/>
      <c r="U877" s="19"/>
      <c r="V877" s="19"/>
      <c r="W877" s="825"/>
      <c r="X877" s="825"/>
      <c r="AM877" s="825"/>
      <c r="AN877" s="825"/>
      <c r="AO877" s="825"/>
      <c r="AP877" s="825"/>
      <c r="AQ877" s="825"/>
      <c r="AR877" s="825"/>
      <c r="AS877" s="825"/>
      <c r="AT877" s="825"/>
      <c r="AU877" s="825"/>
      <c r="AV877" s="825"/>
    </row>
    <row r="878" spans="1:48" ht="15.8" customHeight="1" x14ac:dyDescent="0.3">
      <c r="A878" s="825"/>
      <c r="B878" s="825"/>
      <c r="C878" s="825"/>
      <c r="D878" s="825"/>
      <c r="G878" s="825"/>
      <c r="H878" s="18"/>
      <c r="I878" s="825"/>
      <c r="L878" s="825"/>
      <c r="M878" s="825"/>
      <c r="N878" s="825"/>
      <c r="O878" s="825"/>
      <c r="P878" s="825"/>
      <c r="Q878" s="21"/>
      <c r="R878" s="21"/>
      <c r="S878" s="19"/>
      <c r="T878" s="19"/>
      <c r="U878" s="19"/>
      <c r="V878" s="19"/>
      <c r="W878" s="825"/>
      <c r="X878" s="825"/>
      <c r="AM878" s="825"/>
      <c r="AN878" s="825"/>
      <c r="AO878" s="825"/>
      <c r="AP878" s="825"/>
      <c r="AQ878" s="825"/>
      <c r="AR878" s="825"/>
      <c r="AS878" s="825"/>
      <c r="AT878" s="825"/>
      <c r="AU878" s="825"/>
      <c r="AV878" s="825"/>
    </row>
    <row r="879" spans="1:48" ht="15.8" customHeight="1" x14ac:dyDescent="0.3">
      <c r="A879" s="825"/>
      <c r="B879" s="825"/>
      <c r="C879" s="825"/>
      <c r="D879" s="825"/>
      <c r="G879" s="825"/>
      <c r="H879" s="18"/>
      <c r="I879" s="825"/>
      <c r="L879" s="825"/>
      <c r="M879" s="825"/>
      <c r="N879" s="825"/>
      <c r="O879" s="825"/>
      <c r="P879" s="825"/>
      <c r="Q879" s="21"/>
      <c r="R879" s="21"/>
      <c r="S879" s="19"/>
      <c r="T879" s="19"/>
      <c r="U879" s="19"/>
      <c r="V879" s="19"/>
      <c r="W879" s="825"/>
      <c r="X879" s="825"/>
      <c r="AM879" s="825"/>
      <c r="AN879" s="825"/>
      <c r="AO879" s="825"/>
      <c r="AP879" s="825"/>
      <c r="AQ879" s="825"/>
      <c r="AR879" s="825"/>
      <c r="AS879" s="825"/>
      <c r="AT879" s="825"/>
      <c r="AU879" s="825"/>
      <c r="AV879" s="825"/>
    </row>
    <row r="880" spans="1:48" ht="15.8" customHeight="1" x14ac:dyDescent="0.3">
      <c r="A880" s="825"/>
      <c r="B880" s="825"/>
      <c r="C880" s="825"/>
      <c r="D880" s="825"/>
      <c r="G880" s="825"/>
      <c r="H880" s="18"/>
      <c r="I880" s="825"/>
      <c r="L880" s="825"/>
      <c r="M880" s="825"/>
      <c r="N880" s="825"/>
      <c r="O880" s="825"/>
      <c r="P880" s="825"/>
      <c r="Q880" s="21"/>
      <c r="R880" s="21"/>
      <c r="S880" s="19"/>
      <c r="T880" s="19"/>
      <c r="U880" s="19"/>
      <c r="V880" s="19"/>
      <c r="W880" s="825"/>
      <c r="X880" s="825"/>
      <c r="AM880" s="825"/>
      <c r="AN880" s="825"/>
      <c r="AO880" s="825"/>
      <c r="AP880" s="825"/>
      <c r="AQ880" s="825"/>
      <c r="AR880" s="825"/>
      <c r="AS880" s="825"/>
      <c r="AT880" s="825"/>
      <c r="AU880" s="825"/>
      <c r="AV880" s="825"/>
    </row>
    <row r="881" spans="1:48" ht="15.8" customHeight="1" x14ac:dyDescent="0.3">
      <c r="A881" s="825"/>
      <c r="B881" s="825"/>
      <c r="C881" s="825"/>
      <c r="D881" s="825"/>
      <c r="G881" s="825"/>
      <c r="H881" s="18"/>
      <c r="I881" s="825"/>
      <c r="L881" s="825"/>
      <c r="M881" s="825"/>
      <c r="N881" s="825"/>
      <c r="O881" s="825"/>
      <c r="P881" s="825"/>
      <c r="Q881" s="21"/>
      <c r="R881" s="21"/>
      <c r="S881" s="19"/>
      <c r="T881" s="19"/>
      <c r="U881" s="19"/>
      <c r="V881" s="19"/>
      <c r="W881" s="825"/>
      <c r="X881" s="825"/>
      <c r="AM881" s="825"/>
      <c r="AN881" s="825"/>
      <c r="AO881" s="825"/>
      <c r="AP881" s="825"/>
      <c r="AQ881" s="825"/>
      <c r="AR881" s="825"/>
      <c r="AS881" s="825"/>
      <c r="AT881" s="825"/>
      <c r="AU881" s="825"/>
      <c r="AV881" s="825"/>
    </row>
    <row r="882" spans="1:48" ht="15.8" customHeight="1" x14ac:dyDescent="0.3">
      <c r="A882" s="825"/>
      <c r="B882" s="825"/>
      <c r="C882" s="825"/>
      <c r="D882" s="825"/>
      <c r="G882" s="825"/>
      <c r="H882" s="18"/>
      <c r="I882" s="825"/>
      <c r="L882" s="825"/>
      <c r="M882" s="825"/>
      <c r="N882" s="825"/>
      <c r="O882" s="825"/>
      <c r="P882" s="825"/>
      <c r="Q882" s="21"/>
      <c r="R882" s="21"/>
      <c r="S882" s="19"/>
      <c r="T882" s="19"/>
      <c r="U882" s="19"/>
      <c r="V882" s="19"/>
      <c r="W882" s="825"/>
      <c r="X882" s="825"/>
      <c r="AM882" s="825"/>
      <c r="AN882" s="825"/>
      <c r="AO882" s="825"/>
      <c r="AP882" s="825"/>
      <c r="AQ882" s="825"/>
      <c r="AR882" s="825"/>
      <c r="AS882" s="825"/>
      <c r="AT882" s="825"/>
      <c r="AU882" s="825"/>
      <c r="AV882" s="825"/>
    </row>
    <row r="883" spans="1:48" ht="15.8" customHeight="1" x14ac:dyDescent="0.3">
      <c r="A883" s="825"/>
      <c r="B883" s="825"/>
      <c r="C883" s="825"/>
      <c r="D883" s="825"/>
      <c r="G883" s="825"/>
      <c r="H883" s="18"/>
      <c r="I883" s="825"/>
      <c r="L883" s="825"/>
      <c r="M883" s="825"/>
      <c r="N883" s="825"/>
      <c r="O883" s="825"/>
      <c r="P883" s="825"/>
      <c r="Q883" s="21"/>
      <c r="R883" s="21"/>
      <c r="S883" s="19"/>
      <c r="T883" s="19"/>
      <c r="U883" s="19"/>
      <c r="V883" s="19"/>
      <c r="W883" s="825"/>
      <c r="X883" s="825"/>
      <c r="AM883" s="825"/>
      <c r="AN883" s="825"/>
      <c r="AO883" s="825"/>
      <c r="AP883" s="825"/>
      <c r="AQ883" s="825"/>
      <c r="AR883" s="825"/>
      <c r="AS883" s="825"/>
      <c r="AT883" s="825"/>
      <c r="AU883" s="825"/>
      <c r="AV883" s="825"/>
    </row>
    <row r="884" spans="1:48" ht="15.8" customHeight="1" x14ac:dyDescent="0.3">
      <c r="A884" s="825"/>
      <c r="B884" s="825"/>
      <c r="C884" s="825"/>
      <c r="D884" s="825"/>
      <c r="G884" s="825"/>
      <c r="H884" s="18"/>
      <c r="I884" s="825"/>
      <c r="L884" s="825"/>
      <c r="M884" s="825"/>
      <c r="N884" s="825"/>
      <c r="O884" s="825"/>
      <c r="P884" s="825"/>
      <c r="Q884" s="21"/>
      <c r="R884" s="21"/>
      <c r="S884" s="19"/>
      <c r="T884" s="19"/>
      <c r="U884" s="19"/>
      <c r="V884" s="19"/>
      <c r="W884" s="825"/>
      <c r="X884" s="825"/>
      <c r="AM884" s="825"/>
      <c r="AN884" s="825"/>
      <c r="AO884" s="825"/>
      <c r="AP884" s="825"/>
      <c r="AQ884" s="825"/>
      <c r="AR884" s="825"/>
      <c r="AS884" s="825"/>
      <c r="AT884" s="825"/>
      <c r="AU884" s="825"/>
      <c r="AV884" s="825"/>
    </row>
    <row r="885" spans="1:48" ht="15.8" customHeight="1" x14ac:dyDescent="0.3">
      <c r="A885" s="825"/>
      <c r="B885" s="825"/>
      <c r="C885" s="825"/>
      <c r="D885" s="825"/>
      <c r="G885" s="825"/>
      <c r="H885" s="18"/>
      <c r="I885" s="825"/>
      <c r="L885" s="825"/>
      <c r="M885" s="825"/>
      <c r="N885" s="825"/>
      <c r="O885" s="825"/>
      <c r="P885" s="825"/>
      <c r="Q885" s="21"/>
      <c r="R885" s="21"/>
      <c r="S885" s="19"/>
      <c r="T885" s="19"/>
      <c r="U885" s="19"/>
      <c r="V885" s="19"/>
      <c r="W885" s="825"/>
      <c r="X885" s="825"/>
      <c r="AM885" s="825"/>
      <c r="AN885" s="825"/>
      <c r="AO885" s="825"/>
      <c r="AP885" s="825"/>
      <c r="AQ885" s="825"/>
      <c r="AR885" s="825"/>
      <c r="AS885" s="825"/>
      <c r="AT885" s="825"/>
      <c r="AU885" s="825"/>
      <c r="AV885" s="825"/>
    </row>
    <row r="886" spans="1:48" ht="15.8" customHeight="1" x14ac:dyDescent="0.3">
      <c r="A886" s="825"/>
      <c r="B886" s="825"/>
      <c r="C886" s="825"/>
      <c r="D886" s="825"/>
      <c r="G886" s="825"/>
      <c r="H886" s="18"/>
      <c r="I886" s="825"/>
      <c r="L886" s="825"/>
      <c r="M886" s="825"/>
      <c r="N886" s="825"/>
      <c r="O886" s="825"/>
      <c r="P886" s="825"/>
      <c r="Q886" s="21"/>
      <c r="R886" s="21"/>
      <c r="S886" s="19"/>
      <c r="T886" s="19"/>
      <c r="U886" s="19"/>
      <c r="V886" s="19"/>
      <c r="W886" s="825"/>
      <c r="X886" s="825"/>
      <c r="AM886" s="825"/>
      <c r="AN886" s="825"/>
      <c r="AO886" s="825"/>
      <c r="AP886" s="825"/>
      <c r="AQ886" s="825"/>
      <c r="AR886" s="825"/>
      <c r="AS886" s="825"/>
      <c r="AT886" s="825"/>
      <c r="AU886" s="825"/>
      <c r="AV886" s="825"/>
    </row>
    <row r="887" spans="1:48" ht="15.8" customHeight="1" x14ac:dyDescent="0.3">
      <c r="A887" s="825"/>
      <c r="B887" s="825"/>
      <c r="C887" s="825"/>
      <c r="D887" s="825"/>
      <c r="G887" s="825"/>
      <c r="H887" s="18"/>
      <c r="I887" s="825"/>
      <c r="L887" s="825"/>
      <c r="M887" s="825"/>
      <c r="N887" s="825"/>
      <c r="O887" s="825"/>
      <c r="P887" s="825"/>
      <c r="Q887" s="21"/>
      <c r="R887" s="21"/>
      <c r="S887" s="19"/>
      <c r="T887" s="19"/>
      <c r="U887" s="19"/>
      <c r="V887" s="19"/>
      <c r="W887" s="825"/>
      <c r="X887" s="825"/>
      <c r="AM887" s="825"/>
      <c r="AN887" s="825"/>
      <c r="AO887" s="825"/>
      <c r="AP887" s="825"/>
      <c r="AQ887" s="825"/>
      <c r="AR887" s="825"/>
      <c r="AS887" s="825"/>
      <c r="AT887" s="825"/>
      <c r="AU887" s="825"/>
      <c r="AV887" s="825"/>
    </row>
    <row r="888" spans="1:48" ht="15.8" customHeight="1" x14ac:dyDescent="0.3">
      <c r="A888" s="825"/>
      <c r="B888" s="825"/>
      <c r="C888" s="825"/>
      <c r="D888" s="825"/>
      <c r="G888" s="825"/>
      <c r="H888" s="18"/>
      <c r="I888" s="825"/>
      <c r="L888" s="825"/>
      <c r="M888" s="825"/>
      <c r="N888" s="825"/>
      <c r="O888" s="825"/>
      <c r="P888" s="825"/>
      <c r="Q888" s="21"/>
      <c r="R888" s="21"/>
      <c r="S888" s="19"/>
      <c r="T888" s="19"/>
      <c r="U888" s="19"/>
      <c r="V888" s="19"/>
      <c r="W888" s="825"/>
      <c r="X888" s="825"/>
      <c r="AM888" s="825"/>
      <c r="AN888" s="825"/>
      <c r="AO888" s="825"/>
      <c r="AP888" s="825"/>
      <c r="AQ888" s="825"/>
      <c r="AR888" s="825"/>
      <c r="AS888" s="825"/>
      <c r="AT888" s="825"/>
      <c r="AU888" s="825"/>
      <c r="AV888" s="825"/>
    </row>
    <row r="889" spans="1:48" ht="15.8" customHeight="1" x14ac:dyDescent="0.3">
      <c r="A889" s="825"/>
      <c r="B889" s="825"/>
      <c r="C889" s="825"/>
      <c r="D889" s="825"/>
      <c r="G889" s="825"/>
      <c r="H889" s="18"/>
      <c r="I889" s="825"/>
      <c r="L889" s="825"/>
      <c r="M889" s="825"/>
      <c r="N889" s="825"/>
      <c r="O889" s="825"/>
      <c r="P889" s="825"/>
      <c r="Q889" s="21"/>
      <c r="R889" s="21"/>
      <c r="S889" s="19"/>
      <c r="T889" s="19"/>
      <c r="U889" s="19"/>
      <c r="V889" s="19"/>
      <c r="W889" s="825"/>
      <c r="X889" s="825"/>
      <c r="AM889" s="825"/>
      <c r="AN889" s="825"/>
      <c r="AO889" s="825"/>
      <c r="AP889" s="825"/>
      <c r="AQ889" s="825"/>
      <c r="AR889" s="825"/>
      <c r="AS889" s="825"/>
      <c r="AT889" s="825"/>
      <c r="AU889" s="825"/>
      <c r="AV889" s="825"/>
    </row>
    <row r="890" spans="1:48" ht="15.8" customHeight="1" x14ac:dyDescent="0.3">
      <c r="A890" s="825"/>
      <c r="B890" s="825"/>
      <c r="C890" s="825"/>
      <c r="D890" s="825"/>
      <c r="G890" s="825"/>
      <c r="H890" s="18"/>
      <c r="I890" s="825"/>
      <c r="L890" s="825"/>
      <c r="M890" s="825"/>
      <c r="N890" s="825"/>
      <c r="O890" s="825"/>
      <c r="P890" s="825"/>
      <c r="Q890" s="21"/>
      <c r="R890" s="21"/>
      <c r="S890" s="19"/>
      <c r="T890" s="19"/>
      <c r="U890" s="19"/>
      <c r="V890" s="19"/>
      <c r="W890" s="825"/>
      <c r="X890" s="825"/>
      <c r="AM890" s="825"/>
      <c r="AN890" s="825"/>
      <c r="AO890" s="825"/>
      <c r="AP890" s="825"/>
      <c r="AQ890" s="825"/>
      <c r="AR890" s="825"/>
      <c r="AS890" s="825"/>
      <c r="AT890" s="825"/>
      <c r="AU890" s="825"/>
      <c r="AV890" s="825"/>
    </row>
    <row r="891" spans="1:48" ht="15.8" customHeight="1" x14ac:dyDescent="0.3">
      <c r="A891" s="825"/>
      <c r="B891" s="825"/>
      <c r="C891" s="825"/>
      <c r="D891" s="825"/>
      <c r="G891" s="825"/>
      <c r="H891" s="18"/>
      <c r="I891" s="825"/>
      <c r="L891" s="825"/>
      <c r="M891" s="825"/>
      <c r="N891" s="825"/>
      <c r="O891" s="825"/>
      <c r="P891" s="825"/>
      <c r="Q891" s="21"/>
      <c r="R891" s="21"/>
      <c r="S891" s="19"/>
      <c r="T891" s="19"/>
      <c r="U891" s="19"/>
      <c r="V891" s="19"/>
      <c r="W891" s="825"/>
      <c r="X891" s="825"/>
      <c r="AM891" s="825"/>
      <c r="AN891" s="825"/>
      <c r="AO891" s="825"/>
      <c r="AP891" s="825"/>
      <c r="AQ891" s="825"/>
      <c r="AR891" s="825"/>
      <c r="AS891" s="825"/>
      <c r="AT891" s="825"/>
      <c r="AU891" s="825"/>
      <c r="AV891" s="825"/>
    </row>
    <row r="892" spans="1:48" ht="15.8" customHeight="1" x14ac:dyDescent="0.3">
      <c r="A892" s="825"/>
      <c r="B892" s="825"/>
      <c r="C892" s="825"/>
      <c r="D892" s="825"/>
      <c r="G892" s="825"/>
      <c r="H892" s="18"/>
      <c r="I892" s="825"/>
      <c r="L892" s="825"/>
      <c r="M892" s="825"/>
      <c r="N892" s="825"/>
      <c r="O892" s="825"/>
      <c r="P892" s="825"/>
      <c r="Q892" s="21"/>
      <c r="R892" s="21"/>
      <c r="S892" s="19"/>
      <c r="T892" s="19"/>
      <c r="U892" s="19"/>
      <c r="V892" s="19"/>
      <c r="W892" s="825"/>
      <c r="X892" s="825"/>
      <c r="AM892" s="825"/>
      <c r="AN892" s="825"/>
      <c r="AO892" s="825"/>
      <c r="AP892" s="825"/>
      <c r="AQ892" s="825"/>
      <c r="AR892" s="825"/>
      <c r="AS892" s="825"/>
      <c r="AT892" s="825"/>
      <c r="AU892" s="825"/>
      <c r="AV892" s="825"/>
    </row>
    <row r="893" spans="1:48" ht="15.8" customHeight="1" x14ac:dyDescent="0.3">
      <c r="A893" s="825"/>
      <c r="B893" s="825"/>
      <c r="C893" s="825"/>
      <c r="D893" s="825"/>
      <c r="G893" s="825"/>
      <c r="H893" s="18"/>
      <c r="I893" s="825"/>
      <c r="L893" s="825"/>
      <c r="M893" s="825"/>
      <c r="N893" s="825"/>
      <c r="O893" s="825"/>
      <c r="P893" s="825"/>
      <c r="Q893" s="21"/>
      <c r="R893" s="21"/>
      <c r="S893" s="19"/>
      <c r="T893" s="19"/>
      <c r="U893" s="19"/>
      <c r="V893" s="19"/>
      <c r="W893" s="825"/>
      <c r="X893" s="825"/>
      <c r="AM893" s="825"/>
      <c r="AN893" s="825"/>
      <c r="AO893" s="825"/>
      <c r="AP893" s="825"/>
      <c r="AQ893" s="825"/>
      <c r="AR893" s="825"/>
      <c r="AS893" s="825"/>
      <c r="AT893" s="825"/>
      <c r="AU893" s="825"/>
      <c r="AV893" s="825"/>
    </row>
    <row r="894" spans="1:48" ht="15.8" customHeight="1" x14ac:dyDescent="0.3">
      <c r="A894" s="825"/>
      <c r="B894" s="825"/>
      <c r="C894" s="825"/>
      <c r="D894" s="825"/>
      <c r="G894" s="825"/>
      <c r="H894" s="18"/>
      <c r="I894" s="825"/>
      <c r="L894" s="825"/>
      <c r="M894" s="825"/>
      <c r="N894" s="825"/>
      <c r="O894" s="825"/>
      <c r="P894" s="825"/>
      <c r="Q894" s="21"/>
      <c r="R894" s="21"/>
      <c r="S894" s="19"/>
      <c r="T894" s="19"/>
      <c r="U894" s="19"/>
      <c r="V894" s="19"/>
      <c r="W894" s="825"/>
      <c r="X894" s="825"/>
      <c r="AM894" s="825"/>
      <c r="AN894" s="825"/>
      <c r="AO894" s="825"/>
      <c r="AP894" s="825"/>
      <c r="AQ894" s="825"/>
      <c r="AR894" s="825"/>
      <c r="AS894" s="825"/>
      <c r="AT894" s="825"/>
      <c r="AU894" s="825"/>
      <c r="AV894" s="825"/>
    </row>
    <row r="895" spans="1:48" ht="15.8" customHeight="1" x14ac:dyDescent="0.3">
      <c r="A895" s="825"/>
      <c r="B895" s="825"/>
      <c r="C895" s="825"/>
      <c r="D895" s="825"/>
      <c r="G895" s="825"/>
      <c r="H895" s="18"/>
      <c r="I895" s="825"/>
      <c r="L895" s="825"/>
      <c r="M895" s="825"/>
      <c r="N895" s="825"/>
      <c r="O895" s="825"/>
      <c r="P895" s="825"/>
      <c r="Q895" s="21"/>
      <c r="R895" s="21"/>
      <c r="S895" s="19"/>
      <c r="T895" s="19"/>
      <c r="U895" s="19"/>
      <c r="V895" s="19"/>
      <c r="W895" s="825"/>
      <c r="X895" s="825"/>
      <c r="AM895" s="825"/>
      <c r="AN895" s="825"/>
      <c r="AO895" s="825"/>
      <c r="AP895" s="825"/>
      <c r="AQ895" s="825"/>
      <c r="AR895" s="825"/>
      <c r="AS895" s="825"/>
      <c r="AT895" s="825"/>
      <c r="AU895" s="825"/>
      <c r="AV895" s="825"/>
    </row>
    <row r="896" spans="1:48" ht="15.8" customHeight="1" x14ac:dyDescent="0.3">
      <c r="A896" s="825"/>
      <c r="B896" s="825"/>
      <c r="C896" s="825"/>
      <c r="D896" s="825"/>
      <c r="G896" s="825"/>
      <c r="H896" s="18"/>
      <c r="I896" s="825"/>
      <c r="L896" s="825"/>
      <c r="M896" s="825"/>
      <c r="N896" s="825"/>
      <c r="O896" s="825"/>
      <c r="P896" s="825"/>
      <c r="Q896" s="21"/>
      <c r="R896" s="21"/>
      <c r="S896" s="19"/>
      <c r="T896" s="19"/>
      <c r="U896" s="19"/>
      <c r="V896" s="19"/>
      <c r="W896" s="825"/>
      <c r="X896" s="825"/>
      <c r="AM896" s="825"/>
      <c r="AN896" s="825"/>
      <c r="AO896" s="825"/>
      <c r="AP896" s="825"/>
      <c r="AQ896" s="825"/>
      <c r="AR896" s="825"/>
      <c r="AS896" s="825"/>
      <c r="AT896" s="825"/>
      <c r="AU896" s="825"/>
      <c r="AV896" s="825"/>
    </row>
    <row r="897" spans="1:48" ht="15.8" customHeight="1" x14ac:dyDescent="0.3">
      <c r="A897" s="825"/>
      <c r="B897" s="825"/>
      <c r="C897" s="825"/>
      <c r="D897" s="825"/>
      <c r="G897" s="825"/>
      <c r="H897" s="18"/>
      <c r="I897" s="825"/>
      <c r="L897" s="825"/>
      <c r="M897" s="825"/>
      <c r="N897" s="825"/>
      <c r="O897" s="825"/>
      <c r="P897" s="825"/>
      <c r="Q897" s="21"/>
      <c r="R897" s="21"/>
      <c r="S897" s="19"/>
      <c r="T897" s="19"/>
      <c r="U897" s="19"/>
      <c r="V897" s="19"/>
      <c r="W897" s="825"/>
      <c r="X897" s="825"/>
      <c r="AM897" s="825"/>
      <c r="AN897" s="825"/>
      <c r="AO897" s="825"/>
      <c r="AP897" s="825"/>
      <c r="AQ897" s="825"/>
      <c r="AR897" s="825"/>
      <c r="AS897" s="825"/>
      <c r="AT897" s="825"/>
      <c r="AU897" s="825"/>
      <c r="AV897" s="825"/>
    </row>
    <row r="898" spans="1:48" ht="15.8" customHeight="1" x14ac:dyDescent="0.3">
      <c r="A898" s="825"/>
      <c r="B898" s="825"/>
      <c r="C898" s="825"/>
      <c r="D898" s="825"/>
      <c r="G898" s="825"/>
      <c r="H898" s="18"/>
      <c r="I898" s="825"/>
      <c r="L898" s="825"/>
      <c r="M898" s="825"/>
      <c r="N898" s="825"/>
      <c r="O898" s="825"/>
      <c r="P898" s="825"/>
      <c r="Q898" s="21"/>
      <c r="R898" s="21"/>
      <c r="S898" s="19"/>
      <c r="T898" s="19"/>
      <c r="U898" s="19"/>
      <c r="V898" s="19"/>
      <c r="W898" s="825"/>
      <c r="X898" s="825"/>
      <c r="AM898" s="825"/>
      <c r="AN898" s="825"/>
      <c r="AO898" s="825"/>
      <c r="AP898" s="825"/>
      <c r="AQ898" s="825"/>
      <c r="AR898" s="825"/>
      <c r="AS898" s="825"/>
      <c r="AT898" s="825"/>
      <c r="AU898" s="825"/>
      <c r="AV898" s="825"/>
    </row>
    <row r="899" spans="1:48" ht="15.8" customHeight="1" x14ac:dyDescent="0.3">
      <c r="A899" s="825"/>
      <c r="B899" s="825"/>
      <c r="C899" s="825"/>
      <c r="D899" s="825"/>
      <c r="G899" s="825"/>
      <c r="H899" s="18"/>
      <c r="I899" s="825"/>
      <c r="L899" s="825"/>
      <c r="M899" s="825"/>
      <c r="N899" s="825"/>
      <c r="O899" s="825"/>
      <c r="P899" s="825"/>
      <c r="Q899" s="21"/>
      <c r="R899" s="21"/>
      <c r="S899" s="19"/>
      <c r="T899" s="19"/>
      <c r="U899" s="19"/>
      <c r="V899" s="19"/>
      <c r="W899" s="825"/>
      <c r="X899" s="825"/>
      <c r="AM899" s="825"/>
      <c r="AN899" s="825"/>
      <c r="AO899" s="825"/>
      <c r="AP899" s="825"/>
      <c r="AQ899" s="825"/>
      <c r="AR899" s="825"/>
      <c r="AS899" s="825"/>
      <c r="AT899" s="825"/>
      <c r="AU899" s="825"/>
      <c r="AV899" s="825"/>
    </row>
    <row r="900" spans="1:48" ht="15.8" customHeight="1" x14ac:dyDescent="0.3">
      <c r="A900" s="825"/>
      <c r="B900" s="825"/>
      <c r="C900" s="825"/>
      <c r="D900" s="825"/>
      <c r="G900" s="825"/>
      <c r="H900" s="18"/>
      <c r="I900" s="825"/>
      <c r="L900" s="825"/>
      <c r="M900" s="825"/>
      <c r="N900" s="825"/>
      <c r="O900" s="825"/>
      <c r="P900" s="825"/>
      <c r="Q900" s="21"/>
      <c r="R900" s="21"/>
      <c r="S900" s="19"/>
      <c r="T900" s="19"/>
      <c r="U900" s="19"/>
      <c r="V900" s="19"/>
      <c r="W900" s="825"/>
      <c r="X900" s="825"/>
      <c r="AM900" s="825"/>
      <c r="AN900" s="825"/>
      <c r="AO900" s="825"/>
      <c r="AP900" s="825"/>
      <c r="AQ900" s="825"/>
      <c r="AR900" s="825"/>
      <c r="AS900" s="825"/>
      <c r="AT900" s="825"/>
      <c r="AU900" s="825"/>
      <c r="AV900" s="825"/>
    </row>
    <row r="901" spans="1:48" ht="15.8" customHeight="1" x14ac:dyDescent="0.3">
      <c r="A901" s="825"/>
      <c r="B901" s="825"/>
      <c r="C901" s="825"/>
      <c r="D901" s="825"/>
      <c r="G901" s="825"/>
      <c r="H901" s="18"/>
      <c r="I901" s="825"/>
      <c r="L901" s="825"/>
      <c r="M901" s="825"/>
      <c r="N901" s="825"/>
      <c r="O901" s="825"/>
      <c r="P901" s="825"/>
      <c r="Q901" s="21"/>
      <c r="R901" s="21"/>
      <c r="S901" s="19"/>
      <c r="T901" s="19"/>
      <c r="U901" s="19"/>
      <c r="V901" s="19"/>
      <c r="W901" s="825"/>
      <c r="X901" s="825"/>
      <c r="AM901" s="825"/>
      <c r="AN901" s="825"/>
      <c r="AO901" s="825"/>
      <c r="AP901" s="825"/>
      <c r="AQ901" s="825"/>
      <c r="AR901" s="825"/>
      <c r="AS901" s="825"/>
      <c r="AT901" s="825"/>
      <c r="AU901" s="825"/>
      <c r="AV901" s="825"/>
    </row>
    <row r="902" spans="1:48" ht="15.8" customHeight="1" x14ac:dyDescent="0.3">
      <c r="A902" s="825"/>
      <c r="B902" s="825"/>
      <c r="C902" s="825"/>
      <c r="D902" s="825"/>
      <c r="G902" s="825"/>
      <c r="H902" s="18"/>
      <c r="I902" s="825"/>
      <c r="L902" s="825"/>
      <c r="M902" s="825"/>
      <c r="N902" s="825"/>
      <c r="O902" s="825"/>
      <c r="P902" s="825"/>
      <c r="Q902" s="21"/>
      <c r="R902" s="21"/>
      <c r="S902" s="19"/>
      <c r="T902" s="19"/>
      <c r="U902" s="19"/>
      <c r="V902" s="19"/>
      <c r="W902" s="825"/>
      <c r="X902" s="825"/>
      <c r="AM902" s="825"/>
      <c r="AN902" s="825"/>
      <c r="AO902" s="825"/>
      <c r="AP902" s="825"/>
      <c r="AQ902" s="825"/>
      <c r="AR902" s="825"/>
      <c r="AS902" s="825"/>
      <c r="AT902" s="825"/>
      <c r="AU902" s="825"/>
      <c r="AV902" s="825"/>
    </row>
    <row r="903" spans="1:48" ht="15.8" customHeight="1" x14ac:dyDescent="0.3">
      <c r="A903" s="825"/>
      <c r="B903" s="825"/>
      <c r="C903" s="825"/>
      <c r="D903" s="825"/>
      <c r="G903" s="825"/>
      <c r="H903" s="18"/>
      <c r="I903" s="825"/>
      <c r="L903" s="825"/>
      <c r="M903" s="825"/>
      <c r="N903" s="825"/>
      <c r="O903" s="825"/>
      <c r="P903" s="825"/>
      <c r="Q903" s="21"/>
      <c r="R903" s="21"/>
      <c r="S903" s="19"/>
      <c r="T903" s="19"/>
      <c r="U903" s="19"/>
      <c r="V903" s="19"/>
      <c r="W903" s="825"/>
      <c r="X903" s="825"/>
      <c r="AM903" s="825"/>
      <c r="AN903" s="825"/>
      <c r="AO903" s="825"/>
      <c r="AP903" s="825"/>
      <c r="AQ903" s="825"/>
      <c r="AR903" s="825"/>
      <c r="AS903" s="825"/>
      <c r="AT903" s="825"/>
      <c r="AU903" s="825"/>
      <c r="AV903" s="825"/>
    </row>
    <row r="904" spans="1:48" ht="15.8" customHeight="1" x14ac:dyDescent="0.3">
      <c r="A904" s="825"/>
      <c r="B904" s="825"/>
      <c r="C904" s="825"/>
      <c r="D904" s="825"/>
      <c r="G904" s="825"/>
      <c r="H904" s="18"/>
      <c r="I904" s="825"/>
      <c r="L904" s="825"/>
      <c r="M904" s="825"/>
      <c r="N904" s="825"/>
      <c r="O904" s="825"/>
      <c r="P904" s="825"/>
      <c r="Q904" s="21"/>
      <c r="R904" s="21"/>
      <c r="S904" s="19"/>
      <c r="T904" s="19"/>
      <c r="U904" s="19"/>
      <c r="V904" s="19"/>
      <c r="W904" s="825"/>
      <c r="X904" s="825"/>
      <c r="AM904" s="825"/>
      <c r="AN904" s="825"/>
      <c r="AO904" s="825"/>
      <c r="AP904" s="825"/>
      <c r="AQ904" s="825"/>
      <c r="AR904" s="825"/>
      <c r="AS904" s="825"/>
      <c r="AT904" s="825"/>
      <c r="AU904" s="825"/>
      <c r="AV904" s="825"/>
    </row>
    <row r="905" spans="1:48" ht="15.8" customHeight="1" x14ac:dyDescent="0.3">
      <c r="A905" s="825"/>
      <c r="B905" s="825"/>
      <c r="C905" s="825"/>
      <c r="D905" s="825"/>
      <c r="G905" s="825"/>
      <c r="H905" s="18"/>
      <c r="I905" s="825"/>
      <c r="L905" s="825"/>
      <c r="M905" s="825"/>
      <c r="N905" s="825"/>
      <c r="O905" s="825"/>
      <c r="P905" s="825"/>
      <c r="Q905" s="21"/>
      <c r="R905" s="21"/>
      <c r="S905" s="19"/>
      <c r="T905" s="19"/>
      <c r="U905" s="19"/>
      <c r="V905" s="19"/>
      <c r="W905" s="825"/>
      <c r="X905" s="825"/>
      <c r="AM905" s="825"/>
      <c r="AN905" s="825"/>
      <c r="AO905" s="825"/>
      <c r="AP905" s="825"/>
      <c r="AQ905" s="825"/>
      <c r="AR905" s="825"/>
      <c r="AS905" s="825"/>
      <c r="AT905" s="825"/>
      <c r="AU905" s="825"/>
      <c r="AV905" s="825"/>
    </row>
    <row r="906" spans="1:48" ht="15.8" customHeight="1" x14ac:dyDescent="0.3">
      <c r="A906" s="825"/>
      <c r="B906" s="825"/>
      <c r="C906" s="825"/>
      <c r="D906" s="825"/>
      <c r="G906" s="825"/>
      <c r="H906" s="18"/>
      <c r="I906" s="825"/>
      <c r="L906" s="825"/>
      <c r="M906" s="825"/>
      <c r="N906" s="825"/>
      <c r="O906" s="825"/>
      <c r="P906" s="825"/>
      <c r="Q906" s="21"/>
      <c r="R906" s="21"/>
      <c r="S906" s="19"/>
      <c r="T906" s="19"/>
      <c r="U906" s="19"/>
      <c r="V906" s="19"/>
      <c r="W906" s="825"/>
      <c r="X906" s="825"/>
      <c r="AM906" s="825"/>
      <c r="AN906" s="825"/>
      <c r="AO906" s="825"/>
      <c r="AP906" s="825"/>
      <c r="AQ906" s="825"/>
      <c r="AR906" s="825"/>
      <c r="AS906" s="825"/>
      <c r="AT906" s="825"/>
      <c r="AU906" s="825"/>
      <c r="AV906" s="825"/>
    </row>
    <row r="907" spans="1:48" ht="15.8" customHeight="1" x14ac:dyDescent="0.3">
      <c r="A907" s="825"/>
      <c r="B907" s="825"/>
      <c r="C907" s="825"/>
      <c r="D907" s="825"/>
      <c r="G907" s="825"/>
      <c r="H907" s="18"/>
      <c r="I907" s="825"/>
      <c r="L907" s="825"/>
      <c r="M907" s="825"/>
      <c r="N907" s="825"/>
      <c r="O907" s="825"/>
      <c r="P907" s="825"/>
      <c r="Q907" s="21"/>
      <c r="R907" s="21"/>
      <c r="S907" s="19"/>
      <c r="T907" s="19"/>
      <c r="U907" s="19"/>
      <c r="V907" s="19"/>
      <c r="W907" s="825"/>
      <c r="X907" s="825"/>
      <c r="AM907" s="825"/>
      <c r="AN907" s="825"/>
      <c r="AO907" s="825"/>
      <c r="AP907" s="825"/>
      <c r="AQ907" s="825"/>
      <c r="AR907" s="825"/>
      <c r="AS907" s="825"/>
      <c r="AT907" s="825"/>
      <c r="AU907" s="825"/>
      <c r="AV907" s="825"/>
    </row>
    <row r="908" spans="1:48" ht="15.8" customHeight="1" x14ac:dyDescent="0.3">
      <c r="A908" s="825"/>
      <c r="B908" s="825"/>
      <c r="C908" s="825"/>
      <c r="D908" s="825"/>
      <c r="G908" s="825"/>
      <c r="H908" s="18"/>
      <c r="I908" s="825"/>
      <c r="L908" s="825"/>
      <c r="M908" s="825"/>
      <c r="N908" s="825"/>
      <c r="O908" s="825"/>
      <c r="P908" s="825"/>
      <c r="Q908" s="21"/>
      <c r="R908" s="21"/>
      <c r="S908" s="19"/>
      <c r="T908" s="19"/>
      <c r="U908" s="19"/>
      <c r="V908" s="19"/>
      <c r="W908" s="825"/>
      <c r="X908" s="825"/>
      <c r="AM908" s="825"/>
      <c r="AN908" s="825"/>
      <c r="AO908" s="825"/>
      <c r="AP908" s="825"/>
      <c r="AQ908" s="825"/>
      <c r="AR908" s="825"/>
      <c r="AS908" s="825"/>
      <c r="AT908" s="825"/>
      <c r="AU908" s="825"/>
      <c r="AV908" s="825"/>
    </row>
    <row r="909" spans="1:48" ht="15.8" customHeight="1" x14ac:dyDescent="0.3">
      <c r="A909" s="825"/>
      <c r="B909" s="825"/>
      <c r="C909" s="825"/>
      <c r="D909" s="825"/>
      <c r="G909" s="825"/>
      <c r="H909" s="18"/>
      <c r="I909" s="825"/>
      <c r="L909" s="825"/>
      <c r="M909" s="825"/>
      <c r="N909" s="825"/>
      <c r="O909" s="825"/>
      <c r="P909" s="825"/>
      <c r="Q909" s="21"/>
      <c r="R909" s="21"/>
      <c r="S909" s="19"/>
      <c r="T909" s="19"/>
      <c r="U909" s="19"/>
      <c r="V909" s="19"/>
      <c r="W909" s="825"/>
      <c r="X909" s="825"/>
      <c r="AM909" s="825"/>
      <c r="AN909" s="825"/>
      <c r="AO909" s="825"/>
      <c r="AP909" s="825"/>
      <c r="AQ909" s="825"/>
      <c r="AR909" s="825"/>
      <c r="AS909" s="825"/>
      <c r="AT909" s="825"/>
      <c r="AU909" s="825"/>
      <c r="AV909" s="825"/>
    </row>
    <row r="910" spans="1:48" ht="15.8" customHeight="1" x14ac:dyDescent="0.3">
      <c r="A910" s="825"/>
      <c r="B910" s="825"/>
      <c r="C910" s="825"/>
      <c r="D910" s="825"/>
      <c r="G910" s="825"/>
      <c r="H910" s="18"/>
      <c r="I910" s="825"/>
      <c r="L910" s="825"/>
      <c r="M910" s="825"/>
      <c r="N910" s="825"/>
      <c r="O910" s="825"/>
      <c r="P910" s="825"/>
      <c r="Q910" s="21"/>
      <c r="R910" s="21"/>
      <c r="S910" s="19"/>
      <c r="T910" s="19"/>
      <c r="U910" s="19"/>
      <c r="V910" s="19"/>
      <c r="W910" s="825"/>
      <c r="X910" s="825"/>
      <c r="AM910" s="825"/>
      <c r="AN910" s="825"/>
      <c r="AO910" s="825"/>
      <c r="AP910" s="825"/>
      <c r="AQ910" s="825"/>
      <c r="AR910" s="825"/>
      <c r="AS910" s="825"/>
      <c r="AT910" s="825"/>
      <c r="AU910" s="825"/>
      <c r="AV910" s="825"/>
    </row>
    <row r="911" spans="1:48" ht="15.8" customHeight="1" x14ac:dyDescent="0.3">
      <c r="A911" s="825"/>
      <c r="B911" s="825"/>
      <c r="C911" s="825"/>
      <c r="D911" s="825"/>
      <c r="G911" s="825"/>
      <c r="H911" s="18"/>
      <c r="I911" s="825"/>
      <c r="L911" s="825"/>
      <c r="M911" s="825"/>
      <c r="N911" s="825"/>
      <c r="O911" s="825"/>
      <c r="P911" s="825"/>
      <c r="Q911" s="21"/>
      <c r="R911" s="21"/>
      <c r="S911" s="19"/>
      <c r="T911" s="19"/>
      <c r="U911" s="19"/>
      <c r="V911" s="19"/>
      <c r="W911" s="825"/>
      <c r="X911" s="825"/>
      <c r="AM911" s="825"/>
      <c r="AN911" s="825"/>
      <c r="AO911" s="825"/>
      <c r="AP911" s="825"/>
      <c r="AQ911" s="825"/>
      <c r="AR911" s="825"/>
      <c r="AS911" s="825"/>
      <c r="AT911" s="825"/>
      <c r="AU911" s="825"/>
      <c r="AV911" s="825"/>
    </row>
    <row r="912" spans="1:48" ht="15.8" customHeight="1" x14ac:dyDescent="0.3">
      <c r="A912" s="825"/>
      <c r="B912" s="825"/>
      <c r="C912" s="825"/>
      <c r="D912" s="825"/>
      <c r="G912" s="825"/>
      <c r="H912" s="18"/>
      <c r="I912" s="825"/>
      <c r="L912" s="825"/>
      <c r="M912" s="825"/>
      <c r="N912" s="825"/>
      <c r="O912" s="825"/>
      <c r="P912" s="825"/>
      <c r="Q912" s="21"/>
      <c r="R912" s="21"/>
      <c r="S912" s="19"/>
      <c r="T912" s="19"/>
      <c r="U912" s="19"/>
      <c r="V912" s="19"/>
      <c r="W912" s="825"/>
      <c r="X912" s="825"/>
      <c r="AM912" s="825"/>
      <c r="AN912" s="825"/>
      <c r="AO912" s="825"/>
      <c r="AP912" s="825"/>
      <c r="AQ912" s="825"/>
      <c r="AR912" s="825"/>
      <c r="AS912" s="825"/>
      <c r="AT912" s="825"/>
      <c r="AU912" s="825"/>
      <c r="AV912" s="825"/>
    </row>
    <row r="913" spans="1:48" ht="15.8" customHeight="1" x14ac:dyDescent="0.3">
      <c r="A913" s="825"/>
      <c r="B913" s="825"/>
      <c r="C913" s="825"/>
      <c r="D913" s="825"/>
      <c r="G913" s="825"/>
      <c r="H913" s="18"/>
      <c r="I913" s="825"/>
      <c r="L913" s="825"/>
      <c r="M913" s="825"/>
      <c r="N913" s="825"/>
      <c r="O913" s="825"/>
      <c r="P913" s="825"/>
      <c r="Q913" s="21"/>
      <c r="R913" s="21"/>
      <c r="S913" s="19"/>
      <c r="T913" s="19"/>
      <c r="U913" s="19"/>
      <c r="V913" s="19"/>
      <c r="W913" s="825"/>
      <c r="X913" s="825"/>
      <c r="AM913" s="825"/>
      <c r="AN913" s="825"/>
      <c r="AO913" s="825"/>
      <c r="AP913" s="825"/>
      <c r="AQ913" s="825"/>
      <c r="AR913" s="825"/>
      <c r="AS913" s="825"/>
      <c r="AT913" s="825"/>
      <c r="AU913" s="825"/>
      <c r="AV913" s="825"/>
    </row>
    <row r="914" spans="1:48" ht="15.8" customHeight="1" x14ac:dyDescent="0.3">
      <c r="A914" s="825"/>
      <c r="B914" s="825"/>
      <c r="C914" s="825"/>
      <c r="D914" s="825"/>
      <c r="G914" s="825"/>
      <c r="H914" s="18"/>
      <c r="I914" s="825"/>
      <c r="L914" s="825"/>
      <c r="M914" s="825"/>
      <c r="N914" s="825"/>
      <c r="O914" s="825"/>
      <c r="P914" s="825"/>
      <c r="Q914" s="21"/>
      <c r="R914" s="21"/>
      <c r="S914" s="19"/>
      <c r="T914" s="19"/>
      <c r="U914" s="19"/>
      <c r="V914" s="19"/>
      <c r="W914" s="825"/>
      <c r="X914" s="825"/>
      <c r="AM914" s="825"/>
      <c r="AN914" s="825"/>
      <c r="AO914" s="825"/>
      <c r="AP914" s="825"/>
      <c r="AQ914" s="825"/>
      <c r="AR914" s="825"/>
      <c r="AS914" s="825"/>
      <c r="AT914" s="825"/>
      <c r="AU914" s="825"/>
      <c r="AV914" s="825"/>
    </row>
    <row r="915" spans="1:48" ht="15.8" customHeight="1" x14ac:dyDescent="0.3">
      <c r="A915" s="825"/>
      <c r="B915" s="825"/>
      <c r="C915" s="825"/>
      <c r="D915" s="825"/>
      <c r="G915" s="825"/>
      <c r="H915" s="18"/>
      <c r="I915" s="825"/>
      <c r="L915" s="825"/>
      <c r="M915" s="825"/>
      <c r="N915" s="825"/>
      <c r="O915" s="825"/>
      <c r="P915" s="825"/>
      <c r="Q915" s="21"/>
      <c r="R915" s="21"/>
      <c r="S915" s="19"/>
      <c r="T915" s="19"/>
      <c r="U915" s="19"/>
      <c r="V915" s="19"/>
      <c r="W915" s="825"/>
      <c r="X915" s="825"/>
      <c r="AM915" s="825"/>
      <c r="AN915" s="825"/>
      <c r="AO915" s="825"/>
      <c r="AP915" s="825"/>
      <c r="AQ915" s="825"/>
      <c r="AR915" s="825"/>
      <c r="AS915" s="825"/>
      <c r="AT915" s="825"/>
      <c r="AU915" s="825"/>
      <c r="AV915" s="825"/>
    </row>
    <row r="916" spans="1:48" ht="15.8" customHeight="1" x14ac:dyDescent="0.3">
      <c r="A916" s="825"/>
      <c r="B916" s="825"/>
      <c r="C916" s="825"/>
      <c r="D916" s="825"/>
      <c r="G916" s="825"/>
      <c r="H916" s="18"/>
      <c r="I916" s="825"/>
      <c r="L916" s="825"/>
      <c r="M916" s="825"/>
      <c r="N916" s="825"/>
      <c r="O916" s="825"/>
      <c r="P916" s="825"/>
      <c r="Q916" s="21"/>
      <c r="R916" s="21"/>
      <c r="S916" s="19"/>
      <c r="T916" s="19"/>
      <c r="U916" s="19"/>
      <c r="V916" s="19"/>
      <c r="W916" s="825"/>
      <c r="X916" s="825"/>
      <c r="AM916" s="825"/>
      <c r="AN916" s="825"/>
      <c r="AO916" s="825"/>
      <c r="AP916" s="825"/>
      <c r="AQ916" s="825"/>
      <c r="AR916" s="825"/>
      <c r="AS916" s="825"/>
      <c r="AT916" s="825"/>
      <c r="AU916" s="825"/>
      <c r="AV916" s="825"/>
    </row>
    <row r="917" spans="1:48" ht="15.8" customHeight="1" x14ac:dyDescent="0.3">
      <c r="A917" s="825"/>
      <c r="B917" s="825"/>
      <c r="C917" s="825"/>
      <c r="D917" s="825"/>
      <c r="G917" s="825"/>
      <c r="H917" s="18"/>
      <c r="I917" s="825"/>
      <c r="L917" s="825"/>
      <c r="M917" s="825"/>
      <c r="N917" s="825"/>
      <c r="O917" s="825"/>
      <c r="P917" s="825"/>
      <c r="Q917" s="21"/>
      <c r="R917" s="21"/>
      <c r="S917" s="19"/>
      <c r="T917" s="19"/>
      <c r="U917" s="19"/>
      <c r="V917" s="19"/>
      <c r="W917" s="825"/>
      <c r="X917" s="825"/>
      <c r="AM917" s="825"/>
      <c r="AN917" s="825"/>
      <c r="AO917" s="825"/>
      <c r="AP917" s="825"/>
      <c r="AQ917" s="825"/>
      <c r="AR917" s="825"/>
      <c r="AS917" s="825"/>
      <c r="AT917" s="825"/>
      <c r="AU917" s="825"/>
      <c r="AV917" s="825"/>
    </row>
    <row r="918" spans="1:48" ht="15.8" customHeight="1" x14ac:dyDescent="0.3">
      <c r="A918" s="825"/>
      <c r="B918" s="825"/>
      <c r="C918" s="825"/>
      <c r="D918" s="825"/>
      <c r="G918" s="825"/>
      <c r="H918" s="18"/>
      <c r="I918" s="825"/>
      <c r="L918" s="825"/>
      <c r="M918" s="825"/>
      <c r="N918" s="825"/>
      <c r="O918" s="825"/>
      <c r="P918" s="825"/>
      <c r="Q918" s="21"/>
      <c r="R918" s="21"/>
      <c r="S918" s="19"/>
      <c r="T918" s="19"/>
      <c r="U918" s="19"/>
      <c r="V918" s="19"/>
      <c r="W918" s="825"/>
      <c r="X918" s="825"/>
      <c r="AM918" s="825"/>
      <c r="AN918" s="825"/>
      <c r="AO918" s="825"/>
      <c r="AP918" s="825"/>
      <c r="AQ918" s="825"/>
      <c r="AR918" s="825"/>
      <c r="AS918" s="825"/>
      <c r="AT918" s="825"/>
      <c r="AU918" s="825"/>
      <c r="AV918" s="825"/>
    </row>
    <row r="919" spans="1:48" ht="15.8" customHeight="1" x14ac:dyDescent="0.3">
      <c r="A919" s="825"/>
      <c r="B919" s="825"/>
      <c r="C919" s="825"/>
      <c r="D919" s="825"/>
      <c r="G919" s="825"/>
      <c r="H919" s="18"/>
      <c r="I919" s="825"/>
      <c r="L919" s="825"/>
      <c r="M919" s="825"/>
      <c r="N919" s="825"/>
      <c r="O919" s="825"/>
      <c r="P919" s="825"/>
      <c r="Q919" s="21"/>
      <c r="R919" s="21"/>
      <c r="S919" s="19"/>
      <c r="T919" s="19"/>
      <c r="U919" s="19"/>
      <c r="V919" s="19"/>
      <c r="W919" s="825"/>
      <c r="X919" s="825"/>
      <c r="AM919" s="825"/>
      <c r="AN919" s="825"/>
      <c r="AO919" s="825"/>
      <c r="AP919" s="825"/>
      <c r="AQ919" s="825"/>
      <c r="AR919" s="825"/>
      <c r="AS919" s="825"/>
      <c r="AT919" s="825"/>
      <c r="AU919" s="825"/>
      <c r="AV919" s="825"/>
    </row>
    <row r="920" spans="1:48" ht="15.8" customHeight="1" x14ac:dyDescent="0.3">
      <c r="A920" s="825"/>
      <c r="B920" s="825"/>
      <c r="C920" s="825"/>
      <c r="D920" s="825"/>
      <c r="G920" s="825"/>
      <c r="H920" s="18"/>
      <c r="I920" s="825"/>
      <c r="L920" s="825"/>
      <c r="M920" s="825"/>
      <c r="N920" s="825"/>
      <c r="O920" s="825"/>
      <c r="P920" s="825"/>
      <c r="Q920" s="21"/>
      <c r="R920" s="21"/>
      <c r="S920" s="19"/>
      <c r="T920" s="19"/>
      <c r="U920" s="19"/>
      <c r="V920" s="19"/>
      <c r="W920" s="825"/>
      <c r="X920" s="825"/>
      <c r="AM920" s="825"/>
      <c r="AN920" s="825"/>
      <c r="AO920" s="825"/>
      <c r="AP920" s="825"/>
      <c r="AQ920" s="825"/>
      <c r="AR920" s="825"/>
      <c r="AS920" s="825"/>
      <c r="AT920" s="825"/>
      <c r="AU920" s="825"/>
      <c r="AV920" s="825"/>
    </row>
    <row r="921" spans="1:48" ht="15.8" customHeight="1" x14ac:dyDescent="0.3">
      <c r="A921" s="825"/>
      <c r="B921" s="825"/>
      <c r="C921" s="825"/>
      <c r="D921" s="825"/>
      <c r="G921" s="825"/>
      <c r="H921" s="18"/>
      <c r="I921" s="825"/>
      <c r="L921" s="825"/>
      <c r="M921" s="825"/>
      <c r="N921" s="825"/>
      <c r="O921" s="825"/>
      <c r="P921" s="825"/>
      <c r="Q921" s="21"/>
      <c r="R921" s="21"/>
      <c r="S921" s="19"/>
      <c r="T921" s="19"/>
      <c r="U921" s="19"/>
      <c r="V921" s="19"/>
      <c r="W921" s="825"/>
      <c r="X921" s="825"/>
      <c r="AM921" s="825"/>
      <c r="AN921" s="825"/>
      <c r="AO921" s="825"/>
      <c r="AP921" s="825"/>
      <c r="AQ921" s="825"/>
      <c r="AR921" s="825"/>
      <c r="AS921" s="825"/>
      <c r="AT921" s="825"/>
      <c r="AU921" s="825"/>
      <c r="AV921" s="825"/>
    </row>
    <row r="922" spans="1:48" ht="15.8" customHeight="1" x14ac:dyDescent="0.3">
      <c r="A922" s="825"/>
      <c r="B922" s="825"/>
      <c r="C922" s="825"/>
      <c r="D922" s="825"/>
      <c r="G922" s="825"/>
      <c r="H922" s="18"/>
      <c r="I922" s="825"/>
      <c r="L922" s="825"/>
      <c r="M922" s="825"/>
      <c r="N922" s="825"/>
      <c r="O922" s="825"/>
      <c r="P922" s="825"/>
      <c r="Q922" s="21"/>
      <c r="R922" s="21"/>
      <c r="S922" s="19"/>
      <c r="T922" s="19"/>
      <c r="U922" s="19"/>
      <c r="V922" s="19"/>
      <c r="W922" s="825"/>
      <c r="X922" s="825"/>
      <c r="AM922" s="825"/>
      <c r="AN922" s="825"/>
      <c r="AO922" s="825"/>
      <c r="AP922" s="825"/>
      <c r="AQ922" s="825"/>
      <c r="AR922" s="825"/>
      <c r="AS922" s="825"/>
      <c r="AT922" s="825"/>
      <c r="AU922" s="825"/>
      <c r="AV922" s="825"/>
    </row>
    <row r="923" spans="1:48" ht="15.8" customHeight="1" x14ac:dyDescent="0.3">
      <c r="A923" s="825"/>
      <c r="B923" s="825"/>
      <c r="C923" s="825"/>
      <c r="D923" s="825"/>
      <c r="G923" s="825"/>
      <c r="H923" s="18"/>
      <c r="I923" s="825"/>
      <c r="L923" s="825"/>
      <c r="M923" s="825"/>
      <c r="N923" s="825"/>
      <c r="O923" s="825"/>
      <c r="P923" s="825"/>
      <c r="Q923" s="21"/>
      <c r="R923" s="21"/>
      <c r="S923" s="19"/>
      <c r="T923" s="19"/>
      <c r="U923" s="19"/>
      <c r="V923" s="19"/>
      <c r="W923" s="825"/>
      <c r="X923" s="825"/>
      <c r="AM923" s="825"/>
      <c r="AN923" s="825"/>
      <c r="AO923" s="825"/>
      <c r="AP923" s="825"/>
      <c r="AQ923" s="825"/>
      <c r="AR923" s="825"/>
      <c r="AS923" s="825"/>
      <c r="AT923" s="825"/>
      <c r="AU923" s="825"/>
      <c r="AV923" s="825"/>
    </row>
    <row r="924" spans="1:48" ht="15.8" customHeight="1" x14ac:dyDescent="0.3">
      <c r="A924" s="825"/>
      <c r="B924" s="825"/>
      <c r="C924" s="825"/>
      <c r="D924" s="825"/>
      <c r="G924" s="825"/>
      <c r="H924" s="18"/>
      <c r="I924" s="825"/>
      <c r="L924" s="825"/>
      <c r="M924" s="825"/>
      <c r="N924" s="825"/>
      <c r="O924" s="825"/>
      <c r="P924" s="825"/>
      <c r="Q924" s="21"/>
      <c r="R924" s="21"/>
      <c r="S924" s="19"/>
      <c r="T924" s="19"/>
      <c r="U924" s="19"/>
      <c r="V924" s="19"/>
      <c r="W924" s="825"/>
      <c r="X924" s="825"/>
      <c r="AM924" s="825"/>
      <c r="AN924" s="825"/>
      <c r="AO924" s="825"/>
      <c r="AP924" s="825"/>
      <c r="AQ924" s="825"/>
      <c r="AR924" s="825"/>
      <c r="AS924" s="825"/>
      <c r="AT924" s="825"/>
      <c r="AU924" s="825"/>
      <c r="AV924" s="825"/>
    </row>
    <row r="925" spans="1:48" ht="15.8" customHeight="1" x14ac:dyDescent="0.3">
      <c r="A925" s="825"/>
      <c r="B925" s="825"/>
      <c r="C925" s="825"/>
      <c r="D925" s="825"/>
      <c r="G925" s="825"/>
      <c r="H925" s="18"/>
      <c r="I925" s="825"/>
      <c r="L925" s="825"/>
      <c r="M925" s="825"/>
      <c r="N925" s="825"/>
      <c r="O925" s="825"/>
      <c r="P925" s="825"/>
      <c r="Q925" s="21"/>
      <c r="R925" s="21"/>
      <c r="S925" s="19"/>
      <c r="T925" s="19"/>
      <c r="U925" s="19"/>
      <c r="V925" s="19"/>
      <c r="W925" s="825"/>
      <c r="X925" s="825"/>
      <c r="AM925" s="825"/>
      <c r="AN925" s="825"/>
      <c r="AO925" s="825"/>
      <c r="AP925" s="825"/>
      <c r="AQ925" s="825"/>
      <c r="AR925" s="825"/>
      <c r="AS925" s="825"/>
      <c r="AT925" s="825"/>
      <c r="AU925" s="825"/>
      <c r="AV925" s="825"/>
    </row>
    <row r="926" spans="1:48" ht="15.8" customHeight="1" x14ac:dyDescent="0.3">
      <c r="A926" s="825"/>
      <c r="B926" s="825"/>
      <c r="C926" s="825"/>
      <c r="D926" s="825"/>
      <c r="G926" s="825"/>
      <c r="H926" s="18"/>
      <c r="I926" s="825"/>
      <c r="L926" s="825"/>
      <c r="M926" s="825"/>
      <c r="N926" s="825"/>
      <c r="O926" s="825"/>
      <c r="P926" s="825"/>
      <c r="Q926" s="21"/>
      <c r="R926" s="21"/>
      <c r="S926" s="19"/>
      <c r="T926" s="19"/>
      <c r="U926" s="19"/>
      <c r="V926" s="19"/>
      <c r="W926" s="825"/>
      <c r="X926" s="825"/>
      <c r="AM926" s="825"/>
      <c r="AN926" s="825"/>
      <c r="AO926" s="825"/>
      <c r="AP926" s="825"/>
      <c r="AQ926" s="825"/>
      <c r="AR926" s="825"/>
      <c r="AS926" s="825"/>
      <c r="AT926" s="825"/>
      <c r="AU926" s="825"/>
      <c r="AV926" s="825"/>
    </row>
    <row r="927" spans="1:48" ht="15.8" customHeight="1" x14ac:dyDescent="0.3">
      <c r="A927" s="825"/>
      <c r="B927" s="825"/>
      <c r="C927" s="825"/>
      <c r="D927" s="825"/>
      <c r="G927" s="825"/>
      <c r="H927" s="18"/>
      <c r="I927" s="825"/>
      <c r="L927" s="825"/>
      <c r="M927" s="825"/>
      <c r="N927" s="825"/>
      <c r="O927" s="825"/>
      <c r="P927" s="825"/>
      <c r="Q927" s="21"/>
      <c r="R927" s="21"/>
      <c r="S927" s="19"/>
      <c r="T927" s="19"/>
      <c r="U927" s="19"/>
      <c r="V927" s="19"/>
      <c r="W927" s="825"/>
      <c r="X927" s="825"/>
      <c r="AM927" s="825"/>
      <c r="AN927" s="825"/>
      <c r="AO927" s="825"/>
      <c r="AP927" s="825"/>
      <c r="AQ927" s="825"/>
      <c r="AR927" s="825"/>
      <c r="AS927" s="825"/>
      <c r="AT927" s="825"/>
      <c r="AU927" s="825"/>
      <c r="AV927" s="825"/>
    </row>
    <row r="928" spans="1:48" ht="15.8" customHeight="1" x14ac:dyDescent="0.3">
      <c r="A928" s="825"/>
      <c r="B928" s="825"/>
      <c r="C928" s="825"/>
      <c r="D928" s="825"/>
      <c r="G928" s="825"/>
      <c r="H928" s="18"/>
      <c r="I928" s="825"/>
      <c r="L928" s="825"/>
      <c r="M928" s="825"/>
      <c r="N928" s="825"/>
      <c r="O928" s="825"/>
      <c r="P928" s="825"/>
      <c r="Q928" s="21"/>
      <c r="R928" s="21"/>
      <c r="S928" s="19"/>
      <c r="T928" s="19"/>
      <c r="U928" s="19"/>
      <c r="V928" s="19"/>
      <c r="W928" s="825"/>
      <c r="X928" s="825"/>
      <c r="AM928" s="825"/>
      <c r="AN928" s="825"/>
      <c r="AO928" s="825"/>
      <c r="AP928" s="825"/>
      <c r="AQ928" s="825"/>
      <c r="AR928" s="825"/>
      <c r="AS928" s="825"/>
      <c r="AT928" s="825"/>
      <c r="AU928" s="825"/>
      <c r="AV928" s="825"/>
    </row>
    <row r="929" spans="1:48" ht="15.8" customHeight="1" x14ac:dyDescent="0.3">
      <c r="A929" s="825"/>
      <c r="B929" s="825"/>
      <c r="C929" s="825"/>
      <c r="D929" s="825"/>
      <c r="G929" s="825"/>
      <c r="H929" s="18"/>
      <c r="I929" s="825"/>
      <c r="L929" s="825"/>
      <c r="M929" s="825"/>
      <c r="N929" s="825"/>
      <c r="O929" s="825"/>
      <c r="P929" s="825"/>
      <c r="Q929" s="21"/>
      <c r="R929" s="21"/>
      <c r="S929" s="19"/>
      <c r="T929" s="19"/>
      <c r="U929" s="19"/>
      <c r="V929" s="19"/>
      <c r="W929" s="825"/>
      <c r="X929" s="825"/>
      <c r="AM929" s="825"/>
      <c r="AN929" s="825"/>
      <c r="AO929" s="825"/>
      <c r="AP929" s="825"/>
      <c r="AQ929" s="825"/>
      <c r="AR929" s="825"/>
      <c r="AS929" s="825"/>
      <c r="AT929" s="825"/>
      <c r="AU929" s="825"/>
      <c r="AV929" s="825"/>
    </row>
    <row r="930" spans="1:48" ht="15.8" customHeight="1" x14ac:dyDescent="0.3">
      <c r="A930" s="825"/>
      <c r="B930" s="825"/>
      <c r="C930" s="825"/>
      <c r="D930" s="825"/>
      <c r="G930" s="825"/>
      <c r="H930" s="18"/>
      <c r="I930" s="825"/>
      <c r="L930" s="825"/>
      <c r="M930" s="825"/>
      <c r="N930" s="825"/>
      <c r="O930" s="825"/>
      <c r="P930" s="825"/>
      <c r="Q930" s="21"/>
      <c r="R930" s="21"/>
      <c r="S930" s="19"/>
      <c r="T930" s="19"/>
      <c r="U930" s="19"/>
      <c r="V930" s="19"/>
      <c r="W930" s="825"/>
      <c r="X930" s="825"/>
      <c r="AM930" s="825"/>
      <c r="AN930" s="825"/>
      <c r="AO930" s="825"/>
      <c r="AP930" s="825"/>
      <c r="AQ930" s="825"/>
      <c r="AR930" s="825"/>
      <c r="AS930" s="825"/>
      <c r="AT930" s="825"/>
      <c r="AU930" s="825"/>
      <c r="AV930" s="825"/>
    </row>
    <row r="931" spans="1:48" ht="15.8" customHeight="1" x14ac:dyDescent="0.3">
      <c r="A931" s="825"/>
      <c r="B931" s="825"/>
      <c r="C931" s="825"/>
      <c r="D931" s="825"/>
      <c r="G931" s="825"/>
      <c r="H931" s="18"/>
      <c r="I931" s="825"/>
      <c r="L931" s="825"/>
      <c r="M931" s="825"/>
      <c r="N931" s="825"/>
      <c r="O931" s="825"/>
      <c r="P931" s="825"/>
      <c r="Q931" s="21"/>
      <c r="R931" s="21"/>
      <c r="S931" s="19"/>
      <c r="T931" s="19"/>
      <c r="U931" s="19"/>
      <c r="V931" s="19"/>
      <c r="W931" s="825"/>
      <c r="X931" s="825"/>
      <c r="AM931" s="825"/>
      <c r="AN931" s="825"/>
      <c r="AO931" s="825"/>
      <c r="AP931" s="825"/>
      <c r="AQ931" s="825"/>
      <c r="AR931" s="825"/>
      <c r="AS931" s="825"/>
      <c r="AT931" s="825"/>
      <c r="AU931" s="825"/>
      <c r="AV931" s="825"/>
    </row>
    <row r="932" spans="1:48" ht="15.8" customHeight="1" x14ac:dyDescent="0.3">
      <c r="A932" s="825"/>
      <c r="B932" s="825"/>
      <c r="C932" s="825"/>
      <c r="D932" s="825"/>
      <c r="G932" s="825"/>
      <c r="H932" s="18"/>
      <c r="I932" s="825"/>
      <c r="L932" s="825"/>
      <c r="M932" s="825"/>
      <c r="N932" s="825"/>
      <c r="O932" s="825"/>
      <c r="P932" s="825"/>
      <c r="Q932" s="21"/>
      <c r="R932" s="21"/>
      <c r="S932" s="19"/>
      <c r="T932" s="19"/>
      <c r="U932" s="19"/>
      <c r="V932" s="19"/>
      <c r="W932" s="825"/>
      <c r="X932" s="825"/>
      <c r="AM932" s="825"/>
      <c r="AN932" s="825"/>
      <c r="AO932" s="825"/>
      <c r="AP932" s="825"/>
      <c r="AQ932" s="825"/>
      <c r="AR932" s="825"/>
      <c r="AS932" s="825"/>
      <c r="AT932" s="825"/>
      <c r="AU932" s="825"/>
      <c r="AV932" s="825"/>
    </row>
    <row r="933" spans="1:48" ht="15.8" customHeight="1" x14ac:dyDescent="0.3">
      <c r="A933" s="825"/>
      <c r="B933" s="825"/>
      <c r="C933" s="825"/>
      <c r="D933" s="825"/>
      <c r="G933" s="825"/>
      <c r="H933" s="18"/>
      <c r="I933" s="825"/>
      <c r="L933" s="825"/>
      <c r="M933" s="825"/>
      <c r="N933" s="825"/>
      <c r="O933" s="825"/>
      <c r="P933" s="825"/>
      <c r="Q933" s="21"/>
      <c r="R933" s="21"/>
      <c r="S933" s="19"/>
      <c r="T933" s="19"/>
      <c r="U933" s="19"/>
      <c r="V933" s="19"/>
      <c r="W933" s="825"/>
      <c r="X933" s="825"/>
      <c r="AM933" s="825"/>
      <c r="AN933" s="825"/>
      <c r="AO933" s="825"/>
      <c r="AP933" s="825"/>
      <c r="AQ933" s="825"/>
      <c r="AR933" s="825"/>
      <c r="AS933" s="825"/>
      <c r="AT933" s="825"/>
      <c r="AU933" s="825"/>
      <c r="AV933" s="825"/>
    </row>
    <row r="934" spans="1:48" ht="15.8" customHeight="1" x14ac:dyDescent="0.3">
      <c r="A934" s="825"/>
      <c r="B934" s="825"/>
      <c r="C934" s="825"/>
      <c r="D934" s="825"/>
      <c r="G934" s="825"/>
      <c r="H934" s="18"/>
      <c r="I934" s="825"/>
      <c r="L934" s="825"/>
      <c r="M934" s="825"/>
      <c r="N934" s="825"/>
      <c r="O934" s="825"/>
      <c r="P934" s="825"/>
      <c r="Q934" s="21"/>
      <c r="R934" s="21"/>
      <c r="S934" s="19"/>
      <c r="T934" s="19"/>
      <c r="U934" s="19"/>
      <c r="V934" s="19"/>
      <c r="W934" s="825"/>
      <c r="X934" s="825"/>
      <c r="AM934" s="825"/>
      <c r="AN934" s="825"/>
      <c r="AO934" s="825"/>
      <c r="AP934" s="825"/>
      <c r="AQ934" s="825"/>
      <c r="AR934" s="825"/>
      <c r="AS934" s="825"/>
      <c r="AT934" s="825"/>
      <c r="AU934" s="825"/>
      <c r="AV934" s="825"/>
    </row>
    <row r="935" spans="1:48" ht="15.8" customHeight="1" x14ac:dyDescent="0.3">
      <c r="A935" s="825"/>
      <c r="B935" s="825"/>
      <c r="C935" s="825"/>
      <c r="D935" s="825"/>
      <c r="G935" s="825"/>
      <c r="H935" s="18"/>
      <c r="I935" s="825"/>
      <c r="L935" s="825"/>
      <c r="M935" s="825"/>
      <c r="N935" s="825"/>
      <c r="O935" s="825"/>
      <c r="P935" s="825"/>
      <c r="Q935" s="21"/>
      <c r="R935" s="21"/>
      <c r="S935" s="19"/>
      <c r="T935" s="19"/>
      <c r="U935" s="19"/>
      <c r="V935" s="19"/>
      <c r="W935" s="825"/>
      <c r="X935" s="825"/>
      <c r="AM935" s="825"/>
      <c r="AN935" s="825"/>
      <c r="AO935" s="825"/>
      <c r="AP935" s="825"/>
      <c r="AQ935" s="825"/>
      <c r="AR935" s="825"/>
      <c r="AS935" s="825"/>
      <c r="AT935" s="825"/>
      <c r="AU935" s="825"/>
      <c r="AV935" s="825"/>
    </row>
    <row r="936" spans="1:48" ht="15.8" customHeight="1" x14ac:dyDescent="0.3">
      <c r="A936" s="825"/>
      <c r="B936" s="825"/>
      <c r="C936" s="825"/>
      <c r="D936" s="825"/>
      <c r="G936" s="825"/>
      <c r="H936" s="18"/>
      <c r="I936" s="825"/>
      <c r="L936" s="825"/>
      <c r="M936" s="825"/>
      <c r="N936" s="825"/>
      <c r="O936" s="825"/>
      <c r="P936" s="825"/>
      <c r="Q936" s="21"/>
      <c r="R936" s="21"/>
      <c r="S936" s="19"/>
      <c r="T936" s="19"/>
      <c r="U936" s="19"/>
      <c r="V936" s="19"/>
      <c r="W936" s="825"/>
      <c r="X936" s="825"/>
      <c r="AM936" s="825"/>
      <c r="AN936" s="825"/>
      <c r="AO936" s="825"/>
      <c r="AP936" s="825"/>
      <c r="AQ936" s="825"/>
      <c r="AR936" s="825"/>
      <c r="AS936" s="825"/>
      <c r="AT936" s="825"/>
      <c r="AU936" s="825"/>
      <c r="AV936" s="825"/>
    </row>
    <row r="937" spans="1:48" ht="15.8" customHeight="1" x14ac:dyDescent="0.3">
      <c r="A937" s="825"/>
      <c r="B937" s="825"/>
      <c r="C937" s="825"/>
      <c r="D937" s="825"/>
      <c r="G937" s="825"/>
      <c r="H937" s="18"/>
      <c r="I937" s="825"/>
      <c r="L937" s="825"/>
      <c r="M937" s="825"/>
      <c r="N937" s="825"/>
      <c r="O937" s="825"/>
      <c r="P937" s="825"/>
      <c r="Q937" s="21"/>
      <c r="R937" s="21"/>
      <c r="S937" s="19"/>
      <c r="T937" s="19"/>
      <c r="U937" s="19"/>
      <c r="V937" s="19"/>
      <c r="W937" s="825"/>
      <c r="X937" s="825"/>
      <c r="AM937" s="825"/>
      <c r="AN937" s="825"/>
      <c r="AO937" s="825"/>
      <c r="AP937" s="825"/>
      <c r="AQ937" s="825"/>
      <c r="AR937" s="825"/>
      <c r="AS937" s="825"/>
      <c r="AT937" s="825"/>
      <c r="AU937" s="825"/>
      <c r="AV937" s="825"/>
    </row>
    <row r="938" spans="1:48" ht="15.8" customHeight="1" x14ac:dyDescent="0.3">
      <c r="A938" s="825"/>
      <c r="B938" s="825"/>
      <c r="C938" s="825"/>
      <c r="D938" s="825"/>
      <c r="G938" s="825"/>
      <c r="H938" s="18"/>
      <c r="I938" s="825"/>
      <c r="L938" s="825"/>
      <c r="M938" s="825"/>
      <c r="N938" s="825"/>
      <c r="O938" s="825"/>
      <c r="P938" s="825"/>
      <c r="Q938" s="21"/>
      <c r="R938" s="21"/>
      <c r="S938" s="19"/>
      <c r="T938" s="19"/>
      <c r="U938" s="19"/>
      <c r="V938" s="19"/>
      <c r="W938" s="825"/>
      <c r="X938" s="825"/>
      <c r="AM938" s="825"/>
      <c r="AN938" s="825"/>
      <c r="AO938" s="825"/>
      <c r="AP938" s="825"/>
      <c r="AQ938" s="825"/>
      <c r="AR938" s="825"/>
      <c r="AS938" s="825"/>
      <c r="AT938" s="825"/>
      <c r="AU938" s="825"/>
      <c r="AV938" s="825"/>
    </row>
    <row r="939" spans="1:48" ht="15.8" customHeight="1" x14ac:dyDescent="0.3">
      <c r="A939" s="825"/>
      <c r="B939" s="825"/>
      <c r="C939" s="825"/>
      <c r="D939" s="825"/>
      <c r="G939" s="825"/>
      <c r="H939" s="18"/>
      <c r="I939" s="825"/>
      <c r="L939" s="825"/>
      <c r="M939" s="825"/>
      <c r="N939" s="825"/>
      <c r="O939" s="825"/>
      <c r="P939" s="825"/>
      <c r="Q939" s="21"/>
      <c r="R939" s="21"/>
      <c r="S939" s="19"/>
      <c r="T939" s="19"/>
      <c r="U939" s="19"/>
      <c r="V939" s="19"/>
      <c r="W939" s="825"/>
      <c r="X939" s="825"/>
      <c r="AM939" s="825"/>
      <c r="AN939" s="825"/>
      <c r="AO939" s="825"/>
      <c r="AP939" s="825"/>
      <c r="AQ939" s="825"/>
      <c r="AR939" s="825"/>
      <c r="AS939" s="825"/>
      <c r="AT939" s="825"/>
      <c r="AU939" s="825"/>
      <c r="AV939" s="825"/>
    </row>
    <row r="940" spans="1:48" ht="15.8" customHeight="1" x14ac:dyDescent="0.3">
      <c r="A940" s="825"/>
      <c r="B940" s="825"/>
      <c r="C940" s="825"/>
      <c r="D940" s="825"/>
      <c r="G940" s="825"/>
      <c r="H940" s="18"/>
      <c r="I940" s="825"/>
      <c r="L940" s="825"/>
      <c r="M940" s="825"/>
      <c r="N940" s="825"/>
      <c r="O940" s="825"/>
      <c r="P940" s="825"/>
      <c r="Q940" s="21"/>
      <c r="R940" s="21"/>
      <c r="S940" s="19"/>
      <c r="T940" s="19"/>
      <c r="U940" s="19"/>
      <c r="V940" s="19"/>
      <c r="W940" s="825"/>
      <c r="X940" s="825"/>
      <c r="AM940" s="825"/>
      <c r="AN940" s="825"/>
      <c r="AO940" s="825"/>
      <c r="AP940" s="825"/>
      <c r="AQ940" s="825"/>
      <c r="AR940" s="825"/>
      <c r="AS940" s="825"/>
      <c r="AT940" s="825"/>
      <c r="AU940" s="825"/>
      <c r="AV940" s="825"/>
    </row>
    <row r="941" spans="1:48" ht="15.8" customHeight="1" x14ac:dyDescent="0.3">
      <c r="A941" s="825"/>
      <c r="B941" s="825"/>
      <c r="C941" s="825"/>
      <c r="D941" s="825"/>
      <c r="G941" s="825"/>
      <c r="H941" s="18"/>
      <c r="I941" s="825"/>
      <c r="L941" s="825"/>
      <c r="M941" s="825"/>
      <c r="N941" s="825"/>
      <c r="O941" s="825"/>
      <c r="P941" s="825"/>
      <c r="Q941" s="21"/>
      <c r="R941" s="21"/>
      <c r="S941" s="19"/>
      <c r="T941" s="19"/>
      <c r="U941" s="19"/>
      <c r="V941" s="19"/>
      <c r="W941" s="825"/>
      <c r="X941" s="825"/>
      <c r="AM941" s="825"/>
      <c r="AN941" s="825"/>
      <c r="AO941" s="825"/>
      <c r="AP941" s="825"/>
      <c r="AQ941" s="825"/>
      <c r="AR941" s="825"/>
      <c r="AS941" s="825"/>
      <c r="AT941" s="825"/>
      <c r="AU941" s="825"/>
      <c r="AV941" s="825"/>
    </row>
    <row r="942" spans="1:48" ht="15.8" customHeight="1" x14ac:dyDescent="0.3">
      <c r="A942" s="825"/>
      <c r="B942" s="825"/>
      <c r="C942" s="825"/>
      <c r="D942" s="825"/>
      <c r="G942" s="825"/>
      <c r="H942" s="18"/>
      <c r="I942" s="825"/>
      <c r="L942" s="825"/>
      <c r="M942" s="825"/>
      <c r="N942" s="825"/>
      <c r="O942" s="825"/>
      <c r="P942" s="825"/>
      <c r="Q942" s="21"/>
      <c r="R942" s="21"/>
      <c r="S942" s="19"/>
      <c r="T942" s="19"/>
      <c r="U942" s="19"/>
      <c r="V942" s="19"/>
      <c r="W942" s="825"/>
      <c r="X942" s="825"/>
      <c r="AM942" s="825"/>
      <c r="AN942" s="825"/>
      <c r="AO942" s="825"/>
      <c r="AP942" s="825"/>
      <c r="AQ942" s="825"/>
      <c r="AR942" s="825"/>
      <c r="AS942" s="825"/>
      <c r="AT942" s="825"/>
      <c r="AU942" s="825"/>
      <c r="AV942" s="825"/>
    </row>
    <row r="943" spans="1:48" ht="15.8" customHeight="1" x14ac:dyDescent="0.3">
      <c r="A943" s="825"/>
      <c r="B943" s="825"/>
      <c r="C943" s="825"/>
      <c r="D943" s="825"/>
      <c r="G943" s="825"/>
      <c r="H943" s="18"/>
      <c r="I943" s="825"/>
      <c r="L943" s="825"/>
      <c r="M943" s="825"/>
      <c r="N943" s="825"/>
      <c r="O943" s="825"/>
      <c r="P943" s="825"/>
      <c r="Q943" s="21"/>
      <c r="R943" s="21"/>
      <c r="S943" s="19"/>
      <c r="T943" s="19"/>
      <c r="U943" s="19"/>
      <c r="V943" s="19"/>
      <c r="W943" s="825"/>
      <c r="X943" s="825"/>
      <c r="AM943" s="825"/>
      <c r="AN943" s="825"/>
      <c r="AO943" s="825"/>
      <c r="AP943" s="825"/>
      <c r="AQ943" s="825"/>
      <c r="AR943" s="825"/>
      <c r="AS943" s="825"/>
      <c r="AT943" s="825"/>
      <c r="AU943" s="825"/>
      <c r="AV943" s="825"/>
    </row>
    <row r="944" spans="1:48" ht="15.8" customHeight="1" x14ac:dyDescent="0.3">
      <c r="A944" s="825"/>
      <c r="B944" s="825"/>
      <c r="C944" s="825"/>
      <c r="D944" s="825"/>
      <c r="G944" s="825"/>
      <c r="H944" s="18"/>
      <c r="I944" s="825"/>
      <c r="L944" s="825"/>
      <c r="M944" s="825"/>
      <c r="N944" s="825"/>
      <c r="O944" s="825"/>
      <c r="P944" s="825"/>
      <c r="Q944" s="21"/>
      <c r="R944" s="21"/>
      <c r="S944" s="19"/>
      <c r="T944" s="19"/>
      <c r="U944" s="19"/>
      <c r="V944" s="19"/>
      <c r="W944" s="825"/>
      <c r="X944" s="825"/>
      <c r="AM944" s="825"/>
      <c r="AN944" s="825"/>
      <c r="AO944" s="825"/>
      <c r="AP944" s="825"/>
      <c r="AQ944" s="825"/>
      <c r="AR944" s="825"/>
      <c r="AS944" s="825"/>
      <c r="AT944" s="825"/>
      <c r="AU944" s="825"/>
      <c r="AV944" s="825"/>
    </row>
    <row r="945" spans="1:48" ht="15.8" customHeight="1" x14ac:dyDescent="0.3">
      <c r="A945" s="825"/>
      <c r="B945" s="825"/>
      <c r="C945" s="825"/>
      <c r="D945" s="825"/>
      <c r="G945" s="825"/>
      <c r="H945" s="18"/>
      <c r="I945" s="825"/>
      <c r="L945" s="825"/>
      <c r="M945" s="825"/>
      <c r="N945" s="825"/>
      <c r="O945" s="825"/>
      <c r="P945" s="825"/>
      <c r="Q945" s="21"/>
      <c r="R945" s="21"/>
      <c r="S945" s="19"/>
      <c r="T945" s="19"/>
      <c r="U945" s="19"/>
      <c r="V945" s="19"/>
      <c r="W945" s="825"/>
      <c r="X945" s="825"/>
      <c r="AM945" s="825"/>
      <c r="AN945" s="825"/>
      <c r="AO945" s="825"/>
      <c r="AP945" s="825"/>
      <c r="AQ945" s="825"/>
      <c r="AR945" s="825"/>
      <c r="AS945" s="825"/>
      <c r="AT945" s="825"/>
      <c r="AU945" s="825"/>
      <c r="AV945" s="825"/>
    </row>
    <row r="946" spans="1:48" ht="15.8" customHeight="1" x14ac:dyDescent="0.3">
      <c r="A946" s="825"/>
      <c r="B946" s="825"/>
      <c r="C946" s="825"/>
      <c r="D946" s="825"/>
      <c r="G946" s="825"/>
      <c r="H946" s="18"/>
      <c r="I946" s="825"/>
      <c r="L946" s="825"/>
      <c r="M946" s="825"/>
      <c r="N946" s="825"/>
      <c r="O946" s="825"/>
      <c r="P946" s="825"/>
      <c r="Q946" s="21"/>
      <c r="R946" s="21"/>
      <c r="S946" s="19"/>
      <c r="T946" s="19"/>
      <c r="U946" s="19"/>
      <c r="V946" s="19"/>
      <c r="W946" s="825"/>
      <c r="X946" s="825"/>
      <c r="AM946" s="825"/>
      <c r="AN946" s="825"/>
      <c r="AO946" s="825"/>
      <c r="AP946" s="825"/>
      <c r="AQ946" s="825"/>
      <c r="AR946" s="825"/>
      <c r="AS946" s="825"/>
      <c r="AT946" s="825"/>
      <c r="AU946" s="825"/>
      <c r="AV946" s="825"/>
    </row>
    <row r="947" spans="1:48" ht="15.8" customHeight="1" x14ac:dyDescent="0.3">
      <c r="A947" s="825"/>
      <c r="B947" s="825"/>
      <c r="C947" s="825"/>
      <c r="D947" s="825"/>
      <c r="G947" s="825"/>
      <c r="H947" s="18"/>
      <c r="I947" s="825"/>
      <c r="L947" s="825"/>
      <c r="M947" s="825"/>
      <c r="N947" s="825"/>
      <c r="O947" s="825"/>
      <c r="P947" s="825"/>
      <c r="Q947" s="21"/>
      <c r="R947" s="21"/>
      <c r="S947" s="19"/>
      <c r="T947" s="19"/>
      <c r="U947" s="19"/>
      <c r="V947" s="19"/>
      <c r="W947" s="825"/>
      <c r="X947" s="825"/>
      <c r="AM947" s="825"/>
      <c r="AN947" s="825"/>
      <c r="AO947" s="825"/>
      <c r="AP947" s="825"/>
      <c r="AQ947" s="825"/>
      <c r="AR947" s="825"/>
      <c r="AS947" s="825"/>
      <c r="AT947" s="825"/>
      <c r="AU947" s="825"/>
      <c r="AV947" s="825"/>
    </row>
    <row r="948" spans="1:48" ht="15.8" customHeight="1" x14ac:dyDescent="0.3">
      <c r="A948" s="825"/>
      <c r="B948" s="825"/>
      <c r="C948" s="825"/>
      <c r="D948" s="825"/>
      <c r="G948" s="825"/>
      <c r="H948" s="18"/>
      <c r="I948" s="825"/>
      <c r="L948" s="825"/>
      <c r="M948" s="825"/>
      <c r="N948" s="825"/>
      <c r="O948" s="825"/>
      <c r="P948" s="825"/>
      <c r="Q948" s="21"/>
      <c r="R948" s="21"/>
      <c r="S948" s="19"/>
      <c r="T948" s="19"/>
      <c r="U948" s="19"/>
      <c r="V948" s="19"/>
      <c r="W948" s="825"/>
      <c r="X948" s="825"/>
      <c r="AM948" s="825"/>
      <c r="AN948" s="825"/>
      <c r="AO948" s="825"/>
      <c r="AP948" s="825"/>
      <c r="AQ948" s="825"/>
      <c r="AR948" s="825"/>
      <c r="AS948" s="825"/>
      <c r="AT948" s="825"/>
      <c r="AU948" s="825"/>
      <c r="AV948" s="825"/>
    </row>
    <row r="949" spans="1:48" ht="15.8" customHeight="1" x14ac:dyDescent="0.3">
      <c r="A949" s="825"/>
      <c r="B949" s="825"/>
      <c r="C949" s="825"/>
      <c r="D949" s="825"/>
      <c r="G949" s="825"/>
      <c r="H949" s="18"/>
      <c r="I949" s="825"/>
      <c r="L949" s="825"/>
      <c r="M949" s="825"/>
      <c r="N949" s="825"/>
      <c r="O949" s="825"/>
      <c r="P949" s="825"/>
      <c r="Q949" s="21"/>
      <c r="R949" s="21"/>
      <c r="S949" s="19"/>
      <c r="T949" s="19"/>
      <c r="U949" s="19"/>
      <c r="V949" s="19"/>
      <c r="W949" s="825"/>
      <c r="X949" s="825"/>
      <c r="AM949" s="825"/>
      <c r="AN949" s="825"/>
      <c r="AO949" s="825"/>
      <c r="AP949" s="825"/>
      <c r="AQ949" s="825"/>
      <c r="AR949" s="825"/>
      <c r="AS949" s="825"/>
      <c r="AT949" s="825"/>
      <c r="AU949" s="825"/>
      <c r="AV949" s="825"/>
    </row>
    <row r="950" spans="1:48" ht="15.8" customHeight="1" x14ac:dyDescent="0.3">
      <c r="A950" s="825"/>
      <c r="B950" s="825"/>
      <c r="C950" s="825"/>
      <c r="D950" s="825"/>
      <c r="G950" s="825"/>
      <c r="H950" s="18"/>
      <c r="I950" s="825"/>
      <c r="L950" s="825"/>
      <c r="M950" s="825"/>
      <c r="N950" s="825"/>
      <c r="O950" s="825"/>
      <c r="P950" s="825"/>
      <c r="Q950" s="21"/>
      <c r="R950" s="21"/>
      <c r="S950" s="19"/>
      <c r="T950" s="19"/>
      <c r="U950" s="19"/>
      <c r="V950" s="19"/>
      <c r="W950" s="825"/>
      <c r="X950" s="825"/>
      <c r="AM950" s="825"/>
      <c r="AN950" s="825"/>
      <c r="AO950" s="825"/>
      <c r="AP950" s="825"/>
      <c r="AQ950" s="825"/>
      <c r="AR950" s="825"/>
      <c r="AS950" s="825"/>
      <c r="AT950" s="825"/>
      <c r="AU950" s="825"/>
      <c r="AV950" s="825"/>
    </row>
    <row r="951" spans="1:48" ht="15.8" customHeight="1" x14ac:dyDescent="0.3">
      <c r="A951" s="825"/>
      <c r="B951" s="825"/>
      <c r="C951" s="825"/>
      <c r="D951" s="825"/>
      <c r="G951" s="825"/>
      <c r="H951" s="18"/>
      <c r="I951" s="825"/>
      <c r="L951" s="825"/>
      <c r="M951" s="825"/>
      <c r="N951" s="825"/>
      <c r="O951" s="825"/>
      <c r="P951" s="825"/>
      <c r="Q951" s="21"/>
      <c r="R951" s="21"/>
      <c r="S951" s="19"/>
      <c r="T951" s="19"/>
      <c r="U951" s="19"/>
      <c r="V951" s="19"/>
      <c r="W951" s="825"/>
      <c r="X951" s="825"/>
      <c r="AM951" s="825"/>
      <c r="AN951" s="825"/>
      <c r="AO951" s="825"/>
      <c r="AP951" s="825"/>
      <c r="AQ951" s="825"/>
      <c r="AR951" s="825"/>
      <c r="AS951" s="825"/>
      <c r="AT951" s="825"/>
      <c r="AU951" s="825"/>
      <c r="AV951" s="825"/>
    </row>
    <row r="952" spans="1:48" ht="15.8" customHeight="1" x14ac:dyDescent="0.3">
      <c r="A952" s="825"/>
      <c r="B952" s="825"/>
      <c r="C952" s="825"/>
      <c r="D952" s="825"/>
      <c r="G952" s="825"/>
      <c r="H952" s="18"/>
      <c r="I952" s="825"/>
      <c r="L952" s="825"/>
      <c r="M952" s="825"/>
      <c r="N952" s="825"/>
      <c r="O952" s="825"/>
      <c r="P952" s="825"/>
      <c r="Q952" s="21"/>
      <c r="R952" s="21"/>
      <c r="S952" s="19"/>
      <c r="T952" s="19"/>
      <c r="U952" s="19"/>
      <c r="V952" s="19"/>
      <c r="W952" s="825"/>
      <c r="X952" s="825"/>
      <c r="AM952" s="825"/>
      <c r="AN952" s="825"/>
      <c r="AO952" s="825"/>
      <c r="AP952" s="825"/>
      <c r="AQ952" s="825"/>
      <c r="AR952" s="825"/>
      <c r="AS952" s="825"/>
      <c r="AT952" s="825"/>
      <c r="AU952" s="825"/>
      <c r="AV952" s="825"/>
    </row>
    <row r="953" spans="1:48" ht="15.8" customHeight="1" x14ac:dyDescent="0.3">
      <c r="A953" s="825"/>
      <c r="B953" s="825"/>
      <c r="C953" s="825"/>
      <c r="D953" s="825"/>
      <c r="G953" s="825"/>
      <c r="H953" s="18"/>
      <c r="I953" s="825"/>
      <c r="L953" s="825"/>
      <c r="M953" s="825"/>
      <c r="N953" s="825"/>
      <c r="O953" s="825"/>
      <c r="P953" s="825"/>
      <c r="Q953" s="21"/>
      <c r="R953" s="21"/>
      <c r="S953" s="19"/>
      <c r="T953" s="19"/>
      <c r="U953" s="19"/>
      <c r="V953" s="19"/>
      <c r="W953" s="825"/>
      <c r="X953" s="825"/>
      <c r="AM953" s="825"/>
      <c r="AN953" s="825"/>
      <c r="AO953" s="825"/>
      <c r="AP953" s="825"/>
      <c r="AQ953" s="825"/>
      <c r="AR953" s="825"/>
      <c r="AS953" s="825"/>
      <c r="AT953" s="825"/>
      <c r="AU953" s="825"/>
      <c r="AV953" s="825"/>
    </row>
    <row r="954" spans="1:48" ht="15.8" customHeight="1" x14ac:dyDescent="0.3">
      <c r="A954" s="825"/>
      <c r="B954" s="825"/>
      <c r="C954" s="825"/>
      <c r="D954" s="825"/>
      <c r="G954" s="825"/>
      <c r="H954" s="18"/>
      <c r="I954" s="825"/>
      <c r="L954" s="825"/>
      <c r="M954" s="825"/>
      <c r="N954" s="825"/>
      <c r="O954" s="825"/>
      <c r="P954" s="825"/>
      <c r="Q954" s="21"/>
      <c r="R954" s="21"/>
      <c r="S954" s="19"/>
      <c r="T954" s="19"/>
      <c r="U954" s="19"/>
      <c r="V954" s="19"/>
      <c r="W954" s="825"/>
      <c r="X954" s="825"/>
      <c r="AM954" s="825"/>
      <c r="AN954" s="825"/>
      <c r="AO954" s="825"/>
      <c r="AP954" s="825"/>
      <c r="AQ954" s="825"/>
      <c r="AR954" s="825"/>
      <c r="AS954" s="825"/>
      <c r="AT954" s="825"/>
      <c r="AU954" s="825"/>
      <c r="AV954" s="825"/>
    </row>
    <row r="955" spans="1:48" ht="15.8" customHeight="1" x14ac:dyDescent="0.3">
      <c r="A955" s="825"/>
      <c r="B955" s="825"/>
      <c r="C955" s="825"/>
      <c r="D955" s="825"/>
      <c r="G955" s="825"/>
      <c r="H955" s="18"/>
      <c r="I955" s="825"/>
      <c r="L955" s="825"/>
      <c r="M955" s="825"/>
      <c r="N955" s="825"/>
      <c r="O955" s="825"/>
      <c r="P955" s="825"/>
      <c r="Q955" s="21"/>
      <c r="R955" s="21"/>
      <c r="S955" s="19"/>
      <c r="T955" s="19"/>
      <c r="U955" s="19"/>
      <c r="V955" s="19"/>
      <c r="W955" s="825"/>
      <c r="X955" s="825"/>
      <c r="AM955" s="825"/>
      <c r="AN955" s="825"/>
      <c r="AO955" s="825"/>
      <c r="AP955" s="825"/>
      <c r="AQ955" s="825"/>
      <c r="AR955" s="825"/>
      <c r="AS955" s="825"/>
      <c r="AT955" s="825"/>
      <c r="AU955" s="825"/>
      <c r="AV955" s="825"/>
    </row>
    <row r="956" spans="1:48" ht="15.8" customHeight="1" x14ac:dyDescent="0.3">
      <c r="A956" s="825"/>
      <c r="B956" s="825"/>
      <c r="C956" s="825"/>
      <c r="D956" s="825"/>
      <c r="G956" s="825"/>
      <c r="H956" s="18"/>
      <c r="I956" s="825"/>
      <c r="L956" s="825"/>
      <c r="M956" s="825"/>
      <c r="N956" s="825"/>
      <c r="O956" s="825"/>
      <c r="P956" s="825"/>
      <c r="Q956" s="21"/>
      <c r="R956" s="21"/>
      <c r="S956" s="19"/>
      <c r="T956" s="19"/>
      <c r="U956" s="19"/>
      <c r="V956" s="19"/>
      <c r="W956" s="825"/>
      <c r="X956" s="825"/>
      <c r="AM956" s="825"/>
      <c r="AN956" s="825"/>
      <c r="AO956" s="825"/>
      <c r="AP956" s="825"/>
      <c r="AQ956" s="825"/>
      <c r="AR956" s="825"/>
      <c r="AS956" s="825"/>
      <c r="AT956" s="825"/>
      <c r="AU956" s="825"/>
      <c r="AV956" s="825"/>
    </row>
    <row r="957" spans="1:48" ht="15.8" customHeight="1" x14ac:dyDescent="0.3">
      <c r="A957" s="825"/>
      <c r="B957" s="825"/>
      <c r="C957" s="825"/>
      <c r="D957" s="825"/>
      <c r="G957" s="825"/>
      <c r="H957" s="18"/>
      <c r="I957" s="825"/>
      <c r="L957" s="825"/>
      <c r="M957" s="825"/>
      <c r="N957" s="825"/>
      <c r="O957" s="825"/>
      <c r="P957" s="825"/>
      <c r="Q957" s="21"/>
      <c r="R957" s="21"/>
      <c r="S957" s="19"/>
      <c r="T957" s="19"/>
      <c r="U957" s="19"/>
      <c r="V957" s="19"/>
      <c r="W957" s="825"/>
      <c r="X957" s="825"/>
      <c r="AM957" s="825"/>
      <c r="AN957" s="825"/>
      <c r="AO957" s="825"/>
      <c r="AP957" s="825"/>
      <c r="AQ957" s="825"/>
      <c r="AR957" s="825"/>
      <c r="AS957" s="825"/>
      <c r="AT957" s="825"/>
      <c r="AU957" s="825"/>
      <c r="AV957" s="825"/>
    </row>
    <row r="958" spans="1:48" ht="15.8" customHeight="1" x14ac:dyDescent="0.3">
      <c r="A958" s="825"/>
      <c r="B958" s="825"/>
      <c r="C958" s="825"/>
      <c r="D958" s="825"/>
      <c r="G958" s="825"/>
      <c r="H958" s="18"/>
      <c r="I958" s="825"/>
      <c r="L958" s="825"/>
      <c r="M958" s="825"/>
      <c r="N958" s="825"/>
      <c r="O958" s="825"/>
      <c r="P958" s="825"/>
      <c r="Q958" s="21"/>
      <c r="R958" s="21"/>
      <c r="S958" s="19"/>
      <c r="T958" s="19"/>
      <c r="U958" s="19"/>
      <c r="V958" s="19"/>
      <c r="W958" s="825"/>
      <c r="X958" s="825"/>
      <c r="AM958" s="825"/>
      <c r="AN958" s="825"/>
      <c r="AO958" s="825"/>
      <c r="AP958" s="825"/>
      <c r="AQ958" s="825"/>
      <c r="AR958" s="825"/>
      <c r="AS958" s="825"/>
      <c r="AT958" s="825"/>
      <c r="AU958" s="825"/>
      <c r="AV958" s="825"/>
    </row>
    <row r="959" spans="1:48" ht="15.8" customHeight="1" x14ac:dyDescent="0.3">
      <c r="A959" s="825"/>
      <c r="B959" s="825"/>
      <c r="C959" s="825"/>
      <c r="D959" s="825"/>
      <c r="G959" s="825"/>
      <c r="H959" s="18"/>
      <c r="I959" s="825"/>
      <c r="L959" s="825"/>
      <c r="M959" s="825"/>
      <c r="N959" s="825"/>
      <c r="O959" s="825"/>
      <c r="P959" s="825"/>
      <c r="Q959" s="21"/>
      <c r="R959" s="21"/>
      <c r="S959" s="19"/>
      <c r="T959" s="19"/>
      <c r="U959" s="19"/>
      <c r="V959" s="19"/>
      <c r="W959" s="825"/>
      <c r="X959" s="825"/>
      <c r="AM959" s="825"/>
      <c r="AN959" s="825"/>
      <c r="AO959" s="825"/>
      <c r="AP959" s="825"/>
      <c r="AQ959" s="825"/>
      <c r="AR959" s="825"/>
      <c r="AS959" s="825"/>
      <c r="AT959" s="825"/>
      <c r="AU959" s="825"/>
      <c r="AV959" s="825"/>
    </row>
    <row r="960" spans="1:48" ht="15.8" customHeight="1" x14ac:dyDescent="0.3">
      <c r="A960" s="825"/>
      <c r="B960" s="825"/>
      <c r="C960" s="825"/>
      <c r="D960" s="825"/>
      <c r="G960" s="825"/>
      <c r="H960" s="18"/>
      <c r="I960" s="825"/>
      <c r="L960" s="825"/>
      <c r="M960" s="825"/>
      <c r="N960" s="825"/>
      <c r="O960" s="825"/>
      <c r="P960" s="825"/>
      <c r="Q960" s="21"/>
      <c r="R960" s="21"/>
      <c r="S960" s="19"/>
      <c r="T960" s="19"/>
      <c r="U960" s="19"/>
      <c r="V960" s="19"/>
      <c r="W960" s="825"/>
      <c r="X960" s="825"/>
      <c r="AM960" s="825"/>
      <c r="AN960" s="825"/>
      <c r="AO960" s="825"/>
      <c r="AP960" s="825"/>
      <c r="AQ960" s="825"/>
      <c r="AR960" s="825"/>
      <c r="AS960" s="825"/>
      <c r="AT960" s="825"/>
      <c r="AU960" s="825"/>
      <c r="AV960" s="825"/>
    </row>
    <row r="961" spans="1:48" ht="15.8" customHeight="1" x14ac:dyDescent="0.3">
      <c r="A961" s="825"/>
      <c r="B961" s="825"/>
      <c r="C961" s="825"/>
      <c r="D961" s="825"/>
      <c r="G961" s="825"/>
      <c r="H961" s="18"/>
      <c r="I961" s="825"/>
      <c r="L961" s="825"/>
      <c r="M961" s="825"/>
      <c r="N961" s="825"/>
      <c r="O961" s="825"/>
      <c r="P961" s="825"/>
      <c r="Q961" s="21"/>
      <c r="R961" s="21"/>
      <c r="S961" s="19"/>
      <c r="T961" s="19"/>
      <c r="U961" s="19"/>
      <c r="V961" s="19"/>
      <c r="W961" s="825"/>
      <c r="X961" s="825"/>
      <c r="AM961" s="825"/>
      <c r="AN961" s="825"/>
      <c r="AO961" s="825"/>
      <c r="AP961" s="825"/>
      <c r="AQ961" s="825"/>
      <c r="AR961" s="825"/>
      <c r="AS961" s="825"/>
      <c r="AT961" s="825"/>
      <c r="AU961" s="825"/>
      <c r="AV961" s="825"/>
    </row>
    <row r="962" spans="1:48" ht="15.8" customHeight="1" x14ac:dyDescent="0.3">
      <c r="A962" s="825"/>
      <c r="B962" s="825"/>
      <c r="C962" s="825"/>
      <c r="D962" s="825"/>
      <c r="G962" s="825"/>
      <c r="H962" s="18"/>
      <c r="I962" s="825"/>
      <c r="L962" s="825"/>
      <c r="M962" s="825"/>
      <c r="N962" s="825"/>
      <c r="O962" s="825"/>
      <c r="P962" s="825"/>
      <c r="Q962" s="21"/>
      <c r="R962" s="21"/>
      <c r="S962" s="19"/>
      <c r="T962" s="19"/>
      <c r="U962" s="19"/>
      <c r="V962" s="19"/>
      <c r="W962" s="825"/>
      <c r="X962" s="825"/>
      <c r="AM962" s="825"/>
      <c r="AN962" s="825"/>
      <c r="AO962" s="825"/>
      <c r="AP962" s="825"/>
      <c r="AQ962" s="825"/>
      <c r="AR962" s="825"/>
      <c r="AS962" s="825"/>
      <c r="AT962" s="825"/>
      <c r="AU962" s="825"/>
      <c r="AV962" s="825"/>
    </row>
    <row r="963" spans="1:48" ht="15.8" customHeight="1" x14ac:dyDescent="0.3">
      <c r="A963" s="825"/>
      <c r="B963" s="825"/>
      <c r="C963" s="825"/>
      <c r="D963" s="825"/>
      <c r="G963" s="825"/>
      <c r="H963" s="18"/>
      <c r="I963" s="825"/>
      <c r="L963" s="825"/>
      <c r="M963" s="825"/>
      <c r="N963" s="825"/>
      <c r="O963" s="825"/>
      <c r="P963" s="825"/>
      <c r="Q963" s="21"/>
      <c r="R963" s="21"/>
      <c r="S963" s="19"/>
      <c r="T963" s="19"/>
      <c r="U963" s="19"/>
      <c r="V963" s="19"/>
      <c r="W963" s="825"/>
      <c r="X963" s="825"/>
      <c r="AM963" s="825"/>
      <c r="AN963" s="825"/>
      <c r="AO963" s="825"/>
      <c r="AP963" s="825"/>
      <c r="AQ963" s="825"/>
      <c r="AR963" s="825"/>
      <c r="AS963" s="825"/>
      <c r="AT963" s="825"/>
      <c r="AU963" s="825"/>
      <c r="AV963" s="825"/>
    </row>
    <row r="964" spans="1:48" ht="15.8" customHeight="1" x14ac:dyDescent="0.3">
      <c r="A964" s="825"/>
      <c r="B964" s="825"/>
      <c r="C964" s="825"/>
      <c r="D964" s="825"/>
      <c r="G964" s="825"/>
      <c r="H964" s="18"/>
      <c r="I964" s="825"/>
      <c r="L964" s="825"/>
      <c r="M964" s="825"/>
      <c r="N964" s="825"/>
      <c r="O964" s="825"/>
      <c r="P964" s="825"/>
      <c r="Q964" s="21"/>
      <c r="R964" s="21"/>
      <c r="S964" s="19"/>
      <c r="T964" s="19"/>
      <c r="U964" s="19"/>
      <c r="V964" s="19"/>
      <c r="W964" s="825"/>
      <c r="X964" s="825"/>
      <c r="AM964" s="825"/>
      <c r="AN964" s="825"/>
      <c r="AO964" s="825"/>
      <c r="AP964" s="825"/>
      <c r="AQ964" s="825"/>
      <c r="AR964" s="825"/>
      <c r="AS964" s="825"/>
      <c r="AT964" s="825"/>
      <c r="AU964" s="825"/>
      <c r="AV964" s="825"/>
    </row>
    <row r="965" spans="1:48" ht="15.8" customHeight="1" x14ac:dyDescent="0.3">
      <c r="A965" s="825"/>
      <c r="B965" s="825"/>
      <c r="C965" s="825"/>
      <c r="D965" s="825"/>
      <c r="G965" s="825"/>
      <c r="H965" s="18"/>
      <c r="I965" s="825"/>
      <c r="L965" s="825"/>
      <c r="M965" s="825"/>
      <c r="N965" s="825"/>
      <c r="O965" s="825"/>
      <c r="P965" s="825"/>
      <c r="Q965" s="21"/>
      <c r="R965" s="21"/>
      <c r="S965" s="19"/>
      <c r="T965" s="19"/>
      <c r="U965" s="19"/>
      <c r="V965" s="19"/>
      <c r="W965" s="825"/>
      <c r="X965" s="825"/>
      <c r="AM965" s="825"/>
      <c r="AN965" s="825"/>
      <c r="AO965" s="825"/>
      <c r="AP965" s="825"/>
      <c r="AQ965" s="825"/>
      <c r="AR965" s="825"/>
      <c r="AS965" s="825"/>
      <c r="AT965" s="825"/>
      <c r="AU965" s="825"/>
      <c r="AV965" s="825"/>
    </row>
    <row r="966" spans="1:48" ht="15.8" customHeight="1" x14ac:dyDescent="0.3">
      <c r="A966" s="825"/>
      <c r="B966" s="825"/>
      <c r="C966" s="825"/>
      <c r="D966" s="825"/>
      <c r="G966" s="825"/>
      <c r="H966" s="18"/>
      <c r="I966" s="825"/>
      <c r="L966" s="825"/>
      <c r="M966" s="825"/>
      <c r="N966" s="825"/>
      <c r="O966" s="825"/>
      <c r="P966" s="825"/>
      <c r="Q966" s="21"/>
      <c r="R966" s="21"/>
      <c r="S966" s="19"/>
      <c r="T966" s="19"/>
      <c r="U966" s="19"/>
      <c r="V966" s="19"/>
      <c r="W966" s="825"/>
      <c r="X966" s="825"/>
      <c r="AM966" s="825"/>
      <c r="AN966" s="825"/>
      <c r="AO966" s="825"/>
      <c r="AP966" s="825"/>
      <c r="AQ966" s="825"/>
      <c r="AR966" s="825"/>
      <c r="AS966" s="825"/>
      <c r="AT966" s="825"/>
      <c r="AU966" s="825"/>
      <c r="AV966" s="825"/>
    </row>
    <row r="967" spans="1:48" ht="15.8" customHeight="1" x14ac:dyDescent="0.3">
      <c r="A967" s="825"/>
      <c r="B967" s="825"/>
      <c r="C967" s="825"/>
      <c r="D967" s="825"/>
      <c r="G967" s="825"/>
      <c r="H967" s="18"/>
      <c r="I967" s="825"/>
      <c r="L967" s="825"/>
      <c r="M967" s="825"/>
      <c r="N967" s="825"/>
      <c r="O967" s="825"/>
      <c r="P967" s="825"/>
      <c r="Q967" s="21"/>
      <c r="R967" s="21"/>
      <c r="S967" s="19"/>
      <c r="T967" s="19"/>
      <c r="U967" s="19"/>
      <c r="V967" s="19"/>
      <c r="W967" s="825"/>
      <c r="X967" s="825"/>
      <c r="AM967" s="825"/>
      <c r="AN967" s="825"/>
      <c r="AO967" s="825"/>
      <c r="AP967" s="825"/>
      <c r="AQ967" s="825"/>
      <c r="AR967" s="825"/>
      <c r="AS967" s="825"/>
      <c r="AT967" s="825"/>
      <c r="AU967" s="825"/>
      <c r="AV967" s="825"/>
    </row>
    <row r="968" spans="1:48" ht="15.8" customHeight="1" x14ac:dyDescent="0.3">
      <c r="A968" s="825"/>
      <c r="B968" s="825"/>
      <c r="C968" s="825"/>
      <c r="D968" s="825"/>
      <c r="G968" s="825"/>
      <c r="H968" s="18"/>
      <c r="I968" s="825"/>
      <c r="L968" s="825"/>
      <c r="M968" s="825"/>
      <c r="N968" s="825"/>
      <c r="O968" s="825"/>
      <c r="P968" s="825"/>
      <c r="Q968" s="21"/>
      <c r="R968" s="21"/>
      <c r="S968" s="19"/>
      <c r="T968" s="19"/>
      <c r="U968" s="19"/>
      <c r="V968" s="19"/>
      <c r="W968" s="825"/>
      <c r="X968" s="825"/>
      <c r="AM968" s="825"/>
      <c r="AN968" s="825"/>
      <c r="AO968" s="825"/>
      <c r="AP968" s="825"/>
      <c r="AQ968" s="825"/>
      <c r="AR968" s="825"/>
      <c r="AS968" s="825"/>
      <c r="AT968" s="825"/>
      <c r="AU968" s="825"/>
      <c r="AV968" s="825"/>
    </row>
    <row r="969" spans="1:48" ht="15.8" customHeight="1" x14ac:dyDescent="0.3">
      <c r="A969" s="825"/>
      <c r="B969" s="825"/>
      <c r="C969" s="825"/>
      <c r="D969" s="825"/>
      <c r="G969" s="825"/>
      <c r="H969" s="18"/>
      <c r="I969" s="825"/>
      <c r="L969" s="825"/>
      <c r="M969" s="825"/>
      <c r="N969" s="825"/>
      <c r="O969" s="825"/>
      <c r="P969" s="825"/>
      <c r="Q969" s="21"/>
      <c r="R969" s="21"/>
      <c r="S969" s="19"/>
      <c r="T969" s="19"/>
      <c r="U969" s="19"/>
      <c r="V969" s="19"/>
      <c r="W969" s="825"/>
      <c r="X969" s="825"/>
      <c r="AM969" s="825"/>
      <c r="AN969" s="825"/>
      <c r="AO969" s="825"/>
      <c r="AP969" s="825"/>
      <c r="AQ969" s="825"/>
      <c r="AR969" s="825"/>
      <c r="AS969" s="825"/>
      <c r="AT969" s="825"/>
      <c r="AU969" s="825"/>
      <c r="AV969" s="825"/>
    </row>
    <row r="970" spans="1:48" ht="15.8" customHeight="1" x14ac:dyDescent="0.3">
      <c r="A970" s="825"/>
      <c r="B970" s="825"/>
      <c r="C970" s="825"/>
      <c r="D970" s="825"/>
      <c r="G970" s="825"/>
      <c r="H970" s="18"/>
      <c r="I970" s="825"/>
      <c r="L970" s="825"/>
      <c r="M970" s="825"/>
      <c r="N970" s="825"/>
      <c r="O970" s="825"/>
      <c r="P970" s="825"/>
      <c r="Q970" s="21"/>
      <c r="R970" s="21"/>
      <c r="S970" s="19"/>
      <c r="T970" s="19"/>
      <c r="U970" s="19"/>
      <c r="V970" s="19"/>
      <c r="W970" s="825"/>
      <c r="X970" s="825"/>
      <c r="AM970" s="825"/>
      <c r="AN970" s="825"/>
      <c r="AO970" s="825"/>
      <c r="AP970" s="825"/>
      <c r="AQ970" s="825"/>
      <c r="AR970" s="825"/>
      <c r="AS970" s="825"/>
      <c r="AT970" s="825"/>
      <c r="AU970" s="825"/>
      <c r="AV970" s="825"/>
    </row>
    <row r="971" spans="1:48" ht="15.8" customHeight="1" x14ac:dyDescent="0.3">
      <c r="A971" s="825"/>
      <c r="B971" s="825"/>
      <c r="C971" s="825"/>
      <c r="D971" s="825"/>
      <c r="G971" s="825"/>
      <c r="H971" s="18"/>
      <c r="I971" s="825"/>
      <c r="L971" s="825"/>
      <c r="M971" s="825"/>
      <c r="N971" s="825"/>
      <c r="O971" s="825"/>
      <c r="P971" s="825"/>
      <c r="Q971" s="21"/>
      <c r="R971" s="21"/>
      <c r="S971" s="19"/>
      <c r="T971" s="19"/>
      <c r="U971" s="19"/>
      <c r="V971" s="19"/>
      <c r="W971" s="825"/>
      <c r="X971" s="825"/>
      <c r="AM971" s="825"/>
      <c r="AN971" s="825"/>
      <c r="AO971" s="825"/>
      <c r="AP971" s="825"/>
      <c r="AQ971" s="825"/>
      <c r="AR971" s="825"/>
      <c r="AS971" s="825"/>
      <c r="AT971" s="825"/>
      <c r="AU971" s="825"/>
      <c r="AV971" s="825"/>
    </row>
    <row r="972" spans="1:48" ht="15.8" customHeight="1" x14ac:dyDescent="0.3">
      <c r="A972" s="825"/>
      <c r="B972" s="825"/>
      <c r="C972" s="825"/>
      <c r="D972" s="825"/>
      <c r="G972" s="825"/>
      <c r="H972" s="18"/>
      <c r="I972" s="825"/>
      <c r="L972" s="825"/>
      <c r="M972" s="825"/>
      <c r="N972" s="825"/>
      <c r="O972" s="825"/>
      <c r="P972" s="825"/>
      <c r="Q972" s="21"/>
      <c r="R972" s="21"/>
      <c r="S972" s="19"/>
      <c r="T972" s="19"/>
      <c r="U972" s="19"/>
      <c r="V972" s="19"/>
      <c r="W972" s="825"/>
      <c r="X972" s="825"/>
      <c r="AM972" s="825"/>
      <c r="AN972" s="825"/>
      <c r="AO972" s="825"/>
      <c r="AP972" s="825"/>
      <c r="AQ972" s="825"/>
      <c r="AR972" s="825"/>
      <c r="AS972" s="825"/>
      <c r="AT972" s="825"/>
      <c r="AU972" s="825"/>
      <c r="AV972" s="825"/>
    </row>
    <row r="973" spans="1:48" ht="15.8" customHeight="1" x14ac:dyDescent="0.3">
      <c r="A973" s="825"/>
      <c r="B973" s="825"/>
      <c r="C973" s="825"/>
      <c r="D973" s="825"/>
      <c r="G973" s="825"/>
      <c r="H973" s="18"/>
      <c r="I973" s="825"/>
      <c r="L973" s="825"/>
      <c r="M973" s="825"/>
      <c r="N973" s="825"/>
      <c r="O973" s="825"/>
      <c r="P973" s="825"/>
      <c r="Q973" s="21"/>
      <c r="R973" s="21"/>
      <c r="S973" s="19"/>
      <c r="T973" s="19"/>
      <c r="U973" s="19"/>
      <c r="V973" s="19"/>
      <c r="W973" s="825"/>
      <c r="X973" s="825"/>
      <c r="AM973" s="825"/>
      <c r="AN973" s="825"/>
      <c r="AO973" s="825"/>
      <c r="AP973" s="825"/>
      <c r="AQ973" s="825"/>
      <c r="AR973" s="825"/>
      <c r="AS973" s="825"/>
      <c r="AT973" s="825"/>
      <c r="AU973" s="825"/>
      <c r="AV973" s="825"/>
    </row>
    <row r="974" spans="1:48" ht="15.8" customHeight="1" x14ac:dyDescent="0.3">
      <c r="A974" s="825"/>
      <c r="B974" s="825"/>
      <c r="C974" s="825"/>
      <c r="D974" s="825"/>
      <c r="G974" s="825"/>
      <c r="H974" s="18"/>
      <c r="I974" s="825"/>
      <c r="L974" s="825"/>
      <c r="M974" s="825"/>
      <c r="N974" s="825"/>
      <c r="O974" s="825"/>
      <c r="P974" s="825"/>
      <c r="Q974" s="21"/>
      <c r="R974" s="21"/>
      <c r="S974" s="19"/>
      <c r="T974" s="19"/>
      <c r="U974" s="19"/>
      <c r="V974" s="19"/>
      <c r="W974" s="825"/>
      <c r="X974" s="825"/>
      <c r="AM974" s="825"/>
      <c r="AN974" s="825"/>
      <c r="AO974" s="825"/>
      <c r="AP974" s="825"/>
      <c r="AQ974" s="825"/>
      <c r="AR974" s="825"/>
      <c r="AS974" s="825"/>
      <c r="AT974" s="825"/>
      <c r="AU974" s="825"/>
      <c r="AV974" s="825"/>
    </row>
    <row r="975" spans="1:48" ht="15.8" customHeight="1" x14ac:dyDescent="0.3">
      <c r="A975" s="825"/>
      <c r="B975" s="825"/>
      <c r="C975" s="825"/>
      <c r="D975" s="825"/>
      <c r="G975" s="825"/>
      <c r="H975" s="18"/>
      <c r="I975" s="825"/>
      <c r="L975" s="825"/>
      <c r="M975" s="825"/>
      <c r="N975" s="825"/>
      <c r="O975" s="825"/>
      <c r="P975" s="825"/>
      <c r="Q975" s="21"/>
      <c r="R975" s="21"/>
      <c r="S975" s="19"/>
      <c r="T975" s="19"/>
      <c r="U975" s="19"/>
      <c r="V975" s="19"/>
      <c r="W975" s="825"/>
      <c r="X975" s="825"/>
      <c r="AM975" s="825"/>
      <c r="AN975" s="825"/>
      <c r="AO975" s="825"/>
      <c r="AP975" s="825"/>
      <c r="AQ975" s="825"/>
      <c r="AR975" s="825"/>
      <c r="AS975" s="825"/>
      <c r="AT975" s="825"/>
      <c r="AU975" s="825"/>
      <c r="AV975" s="825"/>
    </row>
    <row r="976" spans="1:48" ht="15.8" customHeight="1" x14ac:dyDescent="0.3">
      <c r="A976" s="825"/>
      <c r="B976" s="825"/>
      <c r="C976" s="825"/>
      <c r="D976" s="825"/>
      <c r="G976" s="825"/>
      <c r="H976" s="18"/>
      <c r="I976" s="825"/>
      <c r="L976" s="825"/>
      <c r="M976" s="825"/>
      <c r="N976" s="825"/>
      <c r="O976" s="825"/>
      <c r="P976" s="825"/>
      <c r="Q976" s="21"/>
      <c r="R976" s="21"/>
      <c r="S976" s="19"/>
      <c r="T976" s="19"/>
      <c r="U976" s="19"/>
      <c r="V976" s="19"/>
      <c r="W976" s="825"/>
      <c r="X976" s="825"/>
      <c r="AM976" s="825"/>
      <c r="AN976" s="825"/>
      <c r="AO976" s="825"/>
      <c r="AP976" s="825"/>
      <c r="AQ976" s="825"/>
      <c r="AR976" s="825"/>
      <c r="AS976" s="825"/>
      <c r="AT976" s="825"/>
      <c r="AU976" s="825"/>
      <c r="AV976" s="825"/>
    </row>
    <row r="977" spans="1:48" ht="15.8" customHeight="1" x14ac:dyDescent="0.3">
      <c r="A977" s="825"/>
      <c r="B977" s="825"/>
      <c r="C977" s="825"/>
      <c r="D977" s="825"/>
      <c r="G977" s="825"/>
      <c r="H977" s="18"/>
      <c r="I977" s="825"/>
      <c r="L977" s="825"/>
      <c r="M977" s="825"/>
      <c r="N977" s="825"/>
      <c r="O977" s="825"/>
      <c r="P977" s="825"/>
      <c r="Q977" s="21"/>
      <c r="R977" s="21"/>
      <c r="S977" s="19"/>
      <c r="T977" s="19"/>
      <c r="U977" s="19"/>
      <c r="V977" s="19"/>
      <c r="W977" s="825"/>
      <c r="X977" s="825"/>
      <c r="AM977" s="825"/>
      <c r="AN977" s="825"/>
      <c r="AO977" s="825"/>
      <c r="AP977" s="825"/>
      <c r="AQ977" s="825"/>
      <c r="AR977" s="825"/>
      <c r="AS977" s="825"/>
      <c r="AT977" s="825"/>
      <c r="AU977" s="825"/>
      <c r="AV977" s="825"/>
    </row>
    <row r="978" spans="1:48" ht="15.8" customHeight="1" x14ac:dyDescent="0.3">
      <c r="A978" s="825"/>
      <c r="B978" s="825"/>
      <c r="C978" s="825"/>
      <c r="D978" s="825"/>
      <c r="G978" s="825"/>
      <c r="H978" s="18"/>
      <c r="I978" s="825"/>
      <c r="L978" s="825"/>
      <c r="M978" s="825"/>
      <c r="N978" s="825"/>
      <c r="O978" s="825"/>
      <c r="P978" s="825"/>
      <c r="Q978" s="21"/>
      <c r="R978" s="21"/>
      <c r="S978" s="19"/>
      <c r="T978" s="19"/>
      <c r="U978" s="19"/>
      <c r="V978" s="19"/>
      <c r="W978" s="825"/>
      <c r="X978" s="825"/>
      <c r="AM978" s="825"/>
      <c r="AN978" s="825"/>
      <c r="AO978" s="825"/>
      <c r="AP978" s="825"/>
      <c r="AQ978" s="825"/>
      <c r="AR978" s="825"/>
      <c r="AS978" s="825"/>
      <c r="AT978" s="825"/>
      <c r="AU978" s="825"/>
      <c r="AV978" s="825"/>
    </row>
    <row r="979" spans="1:48" ht="15.8" customHeight="1" x14ac:dyDescent="0.3">
      <c r="A979" s="825"/>
      <c r="B979" s="825"/>
      <c r="C979" s="825"/>
      <c r="D979" s="825"/>
      <c r="G979" s="825"/>
      <c r="H979" s="18"/>
      <c r="I979" s="825"/>
      <c r="L979" s="825"/>
      <c r="M979" s="825"/>
      <c r="N979" s="825"/>
      <c r="O979" s="825"/>
      <c r="P979" s="825"/>
      <c r="Q979" s="21"/>
      <c r="R979" s="21"/>
      <c r="S979" s="19"/>
      <c r="T979" s="19"/>
      <c r="U979" s="19"/>
      <c r="V979" s="19"/>
      <c r="W979" s="825"/>
      <c r="X979" s="825"/>
      <c r="AM979" s="825"/>
      <c r="AN979" s="825"/>
      <c r="AO979" s="825"/>
      <c r="AP979" s="825"/>
      <c r="AQ979" s="825"/>
      <c r="AR979" s="825"/>
      <c r="AS979" s="825"/>
      <c r="AT979" s="825"/>
      <c r="AU979" s="825"/>
      <c r="AV979" s="825"/>
    </row>
    <row r="980" spans="1:48" ht="15.8" customHeight="1" x14ac:dyDescent="0.3">
      <c r="A980" s="825"/>
      <c r="B980" s="825"/>
      <c r="C980" s="825"/>
      <c r="D980" s="825"/>
      <c r="G980" s="825"/>
      <c r="H980" s="18"/>
      <c r="I980" s="825"/>
      <c r="L980" s="825"/>
      <c r="M980" s="825"/>
      <c r="N980" s="825"/>
      <c r="O980" s="825"/>
      <c r="P980" s="825"/>
      <c r="Q980" s="21"/>
      <c r="R980" s="21"/>
      <c r="S980" s="19"/>
      <c r="T980" s="19"/>
      <c r="U980" s="19"/>
      <c r="V980" s="19"/>
      <c r="W980" s="825"/>
      <c r="X980" s="825"/>
      <c r="AM980" s="825"/>
      <c r="AN980" s="825"/>
      <c r="AO980" s="825"/>
      <c r="AP980" s="825"/>
      <c r="AQ980" s="825"/>
      <c r="AR980" s="825"/>
      <c r="AS980" s="825"/>
      <c r="AT980" s="825"/>
      <c r="AU980" s="825"/>
      <c r="AV980" s="825"/>
    </row>
    <row r="981" spans="1:48" ht="15.8" customHeight="1" x14ac:dyDescent="0.3">
      <c r="A981" s="825"/>
      <c r="B981" s="825"/>
      <c r="C981" s="825"/>
      <c r="D981" s="825"/>
      <c r="G981" s="825"/>
      <c r="H981" s="18"/>
      <c r="I981" s="825"/>
      <c r="L981" s="825"/>
      <c r="M981" s="825"/>
      <c r="N981" s="825"/>
      <c r="O981" s="825"/>
      <c r="P981" s="825"/>
      <c r="Q981" s="21"/>
      <c r="R981" s="21"/>
      <c r="S981" s="19"/>
      <c r="T981" s="19"/>
      <c r="U981" s="19"/>
      <c r="V981" s="19"/>
      <c r="W981" s="825"/>
      <c r="X981" s="825"/>
      <c r="AM981" s="825"/>
      <c r="AN981" s="825"/>
      <c r="AO981" s="825"/>
      <c r="AP981" s="825"/>
      <c r="AQ981" s="825"/>
      <c r="AR981" s="825"/>
      <c r="AS981" s="825"/>
      <c r="AT981" s="825"/>
      <c r="AU981" s="825"/>
      <c r="AV981" s="825"/>
    </row>
    <row r="982" spans="1:48" ht="15.8" customHeight="1" x14ac:dyDescent="0.3">
      <c r="A982" s="825"/>
      <c r="B982" s="825"/>
      <c r="C982" s="825"/>
      <c r="D982" s="825"/>
      <c r="G982" s="825"/>
      <c r="H982" s="18"/>
      <c r="I982" s="825"/>
      <c r="L982" s="825"/>
      <c r="M982" s="825"/>
      <c r="N982" s="825"/>
      <c r="O982" s="825"/>
      <c r="P982" s="825"/>
      <c r="Q982" s="21"/>
      <c r="R982" s="21"/>
      <c r="S982" s="19"/>
      <c r="T982" s="19"/>
      <c r="U982" s="19"/>
      <c r="V982" s="19"/>
      <c r="W982" s="825"/>
      <c r="X982" s="825"/>
      <c r="AM982" s="825"/>
      <c r="AN982" s="825"/>
      <c r="AO982" s="825"/>
      <c r="AP982" s="825"/>
      <c r="AQ982" s="825"/>
      <c r="AR982" s="825"/>
      <c r="AS982" s="825"/>
      <c r="AT982" s="825"/>
      <c r="AU982" s="825"/>
      <c r="AV982" s="825"/>
    </row>
    <row r="983" spans="1:48" ht="15.8" customHeight="1" x14ac:dyDescent="0.3">
      <c r="A983" s="825"/>
      <c r="B983" s="825"/>
      <c r="C983" s="825"/>
      <c r="D983" s="825"/>
      <c r="G983" s="825"/>
      <c r="H983" s="18"/>
      <c r="I983" s="825"/>
      <c r="L983" s="825"/>
      <c r="M983" s="825"/>
      <c r="N983" s="825"/>
      <c r="O983" s="825"/>
      <c r="P983" s="825"/>
      <c r="Q983" s="21"/>
      <c r="R983" s="21"/>
      <c r="S983" s="19"/>
      <c r="T983" s="19"/>
      <c r="U983" s="19"/>
      <c r="V983" s="19"/>
      <c r="W983" s="825"/>
      <c r="X983" s="825"/>
      <c r="AM983" s="825"/>
      <c r="AN983" s="825"/>
      <c r="AO983" s="825"/>
      <c r="AP983" s="825"/>
      <c r="AQ983" s="825"/>
      <c r="AR983" s="825"/>
      <c r="AS983" s="825"/>
      <c r="AT983" s="825"/>
      <c r="AU983" s="825"/>
      <c r="AV983" s="825"/>
    </row>
    <row r="984" spans="1:48" ht="15.8" customHeight="1" x14ac:dyDescent="0.3">
      <c r="A984" s="825"/>
      <c r="B984" s="825"/>
      <c r="C984" s="825"/>
      <c r="D984" s="825"/>
      <c r="G984" s="825"/>
      <c r="H984" s="18"/>
      <c r="I984" s="825"/>
      <c r="L984" s="825"/>
      <c r="M984" s="825"/>
      <c r="N984" s="825"/>
      <c r="O984" s="825"/>
      <c r="P984" s="825"/>
      <c r="Q984" s="21"/>
      <c r="R984" s="21"/>
      <c r="S984" s="19"/>
      <c r="T984" s="19"/>
      <c r="U984" s="19"/>
      <c r="V984" s="19"/>
      <c r="W984" s="825"/>
      <c r="X984" s="825"/>
      <c r="AM984" s="825"/>
      <c r="AN984" s="825"/>
      <c r="AO984" s="825"/>
      <c r="AP984" s="825"/>
      <c r="AQ984" s="825"/>
      <c r="AR984" s="825"/>
      <c r="AS984" s="825"/>
      <c r="AT984" s="825"/>
      <c r="AU984" s="825"/>
      <c r="AV984" s="825"/>
    </row>
    <row r="985" spans="1:48" ht="15.8" customHeight="1" x14ac:dyDescent="0.3">
      <c r="A985" s="825"/>
      <c r="B985" s="825"/>
      <c r="C985" s="825"/>
      <c r="D985" s="825"/>
      <c r="G985" s="825"/>
      <c r="H985" s="18"/>
      <c r="I985" s="825"/>
      <c r="L985" s="825"/>
      <c r="M985" s="825"/>
      <c r="N985" s="825"/>
      <c r="O985" s="825"/>
      <c r="P985" s="825"/>
      <c r="Q985" s="21"/>
      <c r="R985" s="21"/>
      <c r="S985" s="19"/>
      <c r="T985" s="19"/>
      <c r="U985" s="19"/>
      <c r="V985" s="19"/>
      <c r="W985" s="825"/>
      <c r="X985" s="825"/>
      <c r="AM985" s="825"/>
      <c r="AN985" s="825"/>
      <c r="AO985" s="825"/>
      <c r="AP985" s="825"/>
      <c r="AQ985" s="825"/>
      <c r="AR985" s="825"/>
      <c r="AS985" s="825"/>
      <c r="AT985" s="825"/>
      <c r="AU985" s="825"/>
      <c r="AV985" s="825"/>
    </row>
    <row r="986" spans="1:48" ht="15.8" customHeight="1" x14ac:dyDescent="0.3">
      <c r="A986" s="825"/>
      <c r="B986" s="825"/>
      <c r="C986" s="825"/>
      <c r="D986" s="825"/>
      <c r="G986" s="825"/>
      <c r="H986" s="18"/>
      <c r="I986" s="825"/>
      <c r="L986" s="825"/>
      <c r="M986" s="825"/>
      <c r="N986" s="825"/>
      <c r="O986" s="825"/>
      <c r="P986" s="825"/>
      <c r="Q986" s="21"/>
      <c r="R986" s="21"/>
      <c r="S986" s="19"/>
      <c r="T986" s="19"/>
      <c r="U986" s="19"/>
      <c r="V986" s="19"/>
      <c r="W986" s="825"/>
      <c r="X986" s="825"/>
      <c r="AM986" s="825"/>
      <c r="AN986" s="825"/>
      <c r="AO986" s="825"/>
      <c r="AP986" s="825"/>
      <c r="AQ986" s="825"/>
      <c r="AR986" s="825"/>
      <c r="AS986" s="825"/>
      <c r="AT986" s="825"/>
      <c r="AU986" s="825"/>
      <c r="AV986" s="825"/>
    </row>
    <row r="987" spans="1:48" ht="15.8" customHeight="1" x14ac:dyDescent="0.3">
      <c r="A987" s="825"/>
      <c r="B987" s="825"/>
      <c r="C987" s="825"/>
      <c r="D987" s="825"/>
      <c r="G987" s="825"/>
      <c r="H987" s="18"/>
      <c r="I987" s="825"/>
      <c r="L987" s="825"/>
      <c r="M987" s="825"/>
      <c r="N987" s="825"/>
      <c r="O987" s="825"/>
      <c r="P987" s="825"/>
      <c r="Q987" s="21"/>
      <c r="R987" s="21"/>
      <c r="S987" s="19"/>
      <c r="T987" s="19"/>
      <c r="U987" s="19"/>
      <c r="V987" s="19"/>
      <c r="W987" s="825"/>
      <c r="X987" s="825"/>
      <c r="AM987" s="825"/>
      <c r="AN987" s="825"/>
      <c r="AO987" s="825"/>
      <c r="AP987" s="825"/>
      <c r="AQ987" s="825"/>
      <c r="AR987" s="825"/>
      <c r="AS987" s="825"/>
      <c r="AT987" s="825"/>
      <c r="AU987" s="825"/>
      <c r="AV987" s="825"/>
    </row>
    <row r="988" spans="1:48" ht="15.8" customHeight="1" x14ac:dyDescent="0.3">
      <c r="A988" s="825"/>
      <c r="B988" s="825"/>
      <c r="C988" s="825"/>
      <c r="D988" s="825"/>
      <c r="G988" s="825"/>
      <c r="H988" s="18"/>
      <c r="I988" s="825"/>
      <c r="L988" s="825"/>
      <c r="M988" s="825"/>
      <c r="N988" s="825"/>
      <c r="O988" s="825"/>
      <c r="P988" s="825"/>
      <c r="Q988" s="21"/>
      <c r="R988" s="21"/>
      <c r="S988" s="19"/>
      <c r="T988" s="19"/>
      <c r="U988" s="19"/>
      <c r="V988" s="19"/>
      <c r="W988" s="825"/>
      <c r="X988" s="825"/>
      <c r="AM988" s="825"/>
      <c r="AN988" s="825"/>
      <c r="AO988" s="825"/>
      <c r="AP988" s="825"/>
      <c r="AQ988" s="825"/>
      <c r="AR988" s="825"/>
      <c r="AS988" s="825"/>
      <c r="AT988" s="825"/>
      <c r="AU988" s="825"/>
      <c r="AV988" s="825"/>
    </row>
    <row r="989" spans="1:48" ht="15.8" customHeight="1" x14ac:dyDescent="0.3">
      <c r="A989" s="825"/>
      <c r="B989" s="825"/>
      <c r="C989" s="825"/>
      <c r="D989" s="825"/>
      <c r="G989" s="825"/>
      <c r="H989" s="18"/>
      <c r="I989" s="825"/>
      <c r="L989" s="825"/>
      <c r="M989" s="825"/>
      <c r="N989" s="825"/>
      <c r="O989" s="825"/>
      <c r="P989" s="825"/>
      <c r="Q989" s="21"/>
      <c r="R989" s="21"/>
      <c r="S989" s="19"/>
      <c r="T989" s="19"/>
      <c r="U989" s="19"/>
      <c r="V989" s="19"/>
      <c r="W989" s="825"/>
      <c r="X989" s="825"/>
      <c r="AM989" s="825"/>
      <c r="AN989" s="825"/>
      <c r="AO989" s="825"/>
      <c r="AP989" s="825"/>
      <c r="AQ989" s="825"/>
      <c r="AR989" s="825"/>
      <c r="AS989" s="825"/>
      <c r="AT989" s="825"/>
      <c r="AU989" s="825"/>
      <c r="AV989" s="825"/>
    </row>
    <row r="990" spans="1:48" ht="15.8" customHeight="1" x14ac:dyDescent="0.3">
      <c r="A990" s="825"/>
      <c r="B990" s="825"/>
      <c r="C990" s="825"/>
      <c r="D990" s="825"/>
      <c r="G990" s="825"/>
      <c r="H990" s="18"/>
      <c r="I990" s="825"/>
      <c r="L990" s="825"/>
      <c r="M990" s="825"/>
      <c r="N990" s="825"/>
      <c r="O990" s="825"/>
      <c r="P990" s="825"/>
      <c r="Q990" s="21"/>
      <c r="R990" s="21"/>
      <c r="S990" s="19"/>
      <c r="T990" s="19"/>
      <c r="U990" s="19"/>
      <c r="V990" s="19"/>
      <c r="W990" s="825"/>
      <c r="X990" s="825"/>
      <c r="AM990" s="825"/>
      <c r="AN990" s="825"/>
      <c r="AO990" s="825"/>
      <c r="AP990" s="825"/>
      <c r="AQ990" s="825"/>
      <c r="AR990" s="825"/>
      <c r="AS990" s="825"/>
      <c r="AT990" s="825"/>
      <c r="AU990" s="825"/>
      <c r="AV990" s="825"/>
    </row>
    <row r="991" spans="1:48" ht="15.8" customHeight="1" x14ac:dyDescent="0.3">
      <c r="A991" s="825"/>
      <c r="B991" s="825"/>
      <c r="C991" s="825"/>
      <c r="D991" s="825"/>
      <c r="G991" s="825"/>
      <c r="H991" s="18"/>
      <c r="I991" s="825"/>
      <c r="L991" s="825"/>
      <c r="M991" s="825"/>
      <c r="N991" s="825"/>
      <c r="O991" s="825"/>
      <c r="P991" s="825"/>
      <c r="Q991" s="21"/>
      <c r="R991" s="21"/>
      <c r="S991" s="19"/>
      <c r="T991" s="19"/>
      <c r="U991" s="19"/>
      <c r="V991" s="19"/>
      <c r="W991" s="825"/>
      <c r="X991" s="825"/>
      <c r="AM991" s="825"/>
      <c r="AN991" s="825"/>
      <c r="AO991" s="825"/>
      <c r="AP991" s="825"/>
      <c r="AQ991" s="825"/>
      <c r="AR991" s="825"/>
      <c r="AS991" s="825"/>
      <c r="AT991" s="825"/>
      <c r="AU991" s="825"/>
      <c r="AV991" s="825"/>
    </row>
    <row r="992" spans="1:48" ht="15.8" customHeight="1" x14ac:dyDescent="0.3">
      <c r="A992" s="825"/>
      <c r="B992" s="825"/>
      <c r="C992" s="825"/>
      <c r="D992" s="825"/>
      <c r="G992" s="825"/>
      <c r="H992" s="18"/>
      <c r="I992" s="825"/>
      <c r="L992" s="825"/>
      <c r="M992" s="825"/>
      <c r="N992" s="825"/>
      <c r="O992" s="825"/>
      <c r="P992" s="825"/>
      <c r="Q992" s="21"/>
      <c r="R992" s="21"/>
      <c r="S992" s="19"/>
      <c r="T992" s="19"/>
      <c r="U992" s="19"/>
      <c r="V992" s="19"/>
      <c r="W992" s="825"/>
      <c r="X992" s="825"/>
      <c r="AM992" s="825"/>
      <c r="AN992" s="825"/>
      <c r="AO992" s="825"/>
      <c r="AP992" s="825"/>
      <c r="AQ992" s="825"/>
      <c r="AR992" s="825"/>
      <c r="AS992" s="825"/>
      <c r="AT992" s="825"/>
      <c r="AU992" s="825"/>
      <c r="AV992" s="825"/>
    </row>
    <row r="993" spans="1:48" ht="15.8" customHeight="1" x14ac:dyDescent="0.3">
      <c r="A993" s="825"/>
      <c r="B993" s="825"/>
      <c r="C993" s="825"/>
      <c r="D993" s="825"/>
      <c r="G993" s="825"/>
      <c r="H993" s="18"/>
      <c r="I993" s="825"/>
      <c r="L993" s="825"/>
      <c r="M993" s="825"/>
      <c r="N993" s="825"/>
      <c r="O993" s="825"/>
      <c r="P993" s="825"/>
      <c r="Q993" s="21"/>
      <c r="R993" s="21"/>
      <c r="S993" s="19"/>
      <c r="T993" s="19"/>
      <c r="U993" s="19"/>
      <c r="V993" s="19"/>
      <c r="W993" s="825"/>
      <c r="X993" s="825"/>
      <c r="AM993" s="825"/>
      <c r="AN993" s="825"/>
      <c r="AO993" s="825"/>
      <c r="AP993" s="825"/>
      <c r="AQ993" s="825"/>
      <c r="AR993" s="825"/>
      <c r="AS993" s="825"/>
      <c r="AT993" s="825"/>
      <c r="AU993" s="825"/>
      <c r="AV993" s="825"/>
    </row>
    <row r="994" spans="1:48" ht="15.8" customHeight="1" x14ac:dyDescent="0.3">
      <c r="A994" s="825"/>
      <c r="B994" s="825"/>
      <c r="C994" s="825"/>
      <c r="D994" s="825"/>
      <c r="G994" s="825"/>
      <c r="H994" s="18"/>
      <c r="I994" s="825"/>
      <c r="L994" s="825"/>
      <c r="M994" s="825"/>
      <c r="N994" s="825"/>
      <c r="O994" s="825"/>
      <c r="P994" s="825"/>
      <c r="Q994" s="21"/>
      <c r="R994" s="21"/>
      <c r="S994" s="19"/>
      <c r="T994" s="19"/>
      <c r="U994" s="19"/>
      <c r="V994" s="19"/>
      <c r="W994" s="825"/>
      <c r="X994" s="825"/>
      <c r="AM994" s="825"/>
      <c r="AN994" s="825"/>
      <c r="AO994" s="825"/>
      <c r="AP994" s="825"/>
      <c r="AQ994" s="825"/>
      <c r="AR994" s="825"/>
      <c r="AS994" s="825"/>
      <c r="AT994" s="825"/>
      <c r="AU994" s="825"/>
      <c r="AV994" s="825"/>
    </row>
    <row r="995" spans="1:48" ht="15.8" customHeight="1" x14ac:dyDescent="0.3">
      <c r="A995" s="825"/>
      <c r="B995" s="825"/>
      <c r="C995" s="825"/>
      <c r="D995" s="825"/>
      <c r="G995" s="825"/>
      <c r="H995" s="18"/>
      <c r="I995" s="825"/>
      <c r="L995" s="825"/>
      <c r="M995" s="825"/>
      <c r="N995" s="825"/>
      <c r="O995" s="825"/>
      <c r="P995" s="825"/>
      <c r="Q995" s="21"/>
      <c r="R995" s="21"/>
      <c r="S995" s="19"/>
      <c r="T995" s="19"/>
      <c r="U995" s="19"/>
      <c r="V995" s="19"/>
      <c r="W995" s="825"/>
      <c r="X995" s="825"/>
      <c r="AM995" s="825"/>
      <c r="AN995" s="825"/>
      <c r="AO995" s="825"/>
      <c r="AP995" s="825"/>
      <c r="AQ995" s="825"/>
      <c r="AR995" s="825"/>
      <c r="AS995" s="825"/>
      <c r="AT995" s="825"/>
      <c r="AU995" s="825"/>
      <c r="AV995" s="825"/>
    </row>
    <row r="996" spans="1:48" ht="15.8" customHeight="1" x14ac:dyDescent="0.3">
      <c r="A996" s="825"/>
      <c r="B996" s="825"/>
      <c r="C996" s="825"/>
      <c r="D996" s="825"/>
      <c r="G996" s="825"/>
      <c r="H996" s="18"/>
      <c r="I996" s="825"/>
      <c r="L996" s="825"/>
      <c r="M996" s="825"/>
      <c r="N996" s="825"/>
      <c r="O996" s="825"/>
      <c r="P996" s="825"/>
      <c r="Q996" s="21"/>
      <c r="R996" s="21"/>
      <c r="S996" s="19"/>
      <c r="T996" s="19"/>
      <c r="U996" s="19"/>
      <c r="V996" s="19"/>
      <c r="W996" s="825"/>
      <c r="X996" s="825"/>
      <c r="AM996" s="825"/>
      <c r="AN996" s="825"/>
      <c r="AO996" s="825"/>
      <c r="AP996" s="825"/>
      <c r="AQ996" s="825"/>
      <c r="AR996" s="825"/>
      <c r="AS996" s="825"/>
      <c r="AT996" s="825"/>
      <c r="AU996" s="825"/>
      <c r="AV996" s="825"/>
    </row>
    <row r="997" spans="1:48" ht="15.8" customHeight="1" x14ac:dyDescent="0.3">
      <c r="A997" s="825"/>
      <c r="B997" s="825"/>
      <c r="C997" s="825"/>
      <c r="D997" s="825"/>
      <c r="G997" s="825"/>
      <c r="H997" s="18"/>
      <c r="I997" s="825"/>
      <c r="L997" s="825"/>
      <c r="M997" s="825"/>
      <c r="N997" s="825"/>
      <c r="O997" s="825"/>
      <c r="P997" s="825"/>
      <c r="Q997" s="21"/>
      <c r="R997" s="21"/>
      <c r="S997" s="19"/>
      <c r="T997" s="19"/>
      <c r="U997" s="19"/>
      <c r="V997" s="19"/>
      <c r="W997" s="825"/>
      <c r="X997" s="825"/>
      <c r="AM997" s="825"/>
      <c r="AN997" s="825"/>
      <c r="AO997" s="825"/>
      <c r="AP997" s="825"/>
      <c r="AQ997" s="825"/>
      <c r="AR997" s="825"/>
      <c r="AS997" s="825"/>
      <c r="AT997" s="825"/>
      <c r="AU997" s="825"/>
      <c r="AV997" s="825"/>
    </row>
    <row r="998" spans="1:48" ht="15.8" customHeight="1" x14ac:dyDescent="0.3">
      <c r="A998" s="825"/>
      <c r="B998" s="825"/>
      <c r="C998" s="825"/>
      <c r="D998" s="825"/>
      <c r="G998" s="825"/>
      <c r="H998" s="18"/>
      <c r="I998" s="825"/>
      <c r="L998" s="825"/>
      <c r="M998" s="825"/>
      <c r="N998" s="825"/>
      <c r="O998" s="825"/>
      <c r="P998" s="825"/>
      <c r="Q998" s="21"/>
      <c r="R998" s="21"/>
      <c r="S998" s="19"/>
      <c r="T998" s="19"/>
      <c r="U998" s="19"/>
      <c r="V998" s="19"/>
      <c r="W998" s="825"/>
      <c r="X998" s="825"/>
      <c r="AM998" s="825"/>
      <c r="AN998" s="825"/>
      <c r="AO998" s="825"/>
      <c r="AP998" s="825"/>
      <c r="AQ998" s="825"/>
      <c r="AR998" s="825"/>
      <c r="AS998" s="825"/>
      <c r="AT998" s="825"/>
      <c r="AU998" s="825"/>
      <c r="AV998" s="825"/>
    </row>
    <row r="999" spans="1:48" ht="15.8" customHeight="1" x14ac:dyDescent="0.3">
      <c r="A999" s="825"/>
      <c r="B999" s="825"/>
      <c r="C999" s="825"/>
      <c r="D999" s="825"/>
      <c r="G999" s="825"/>
      <c r="H999" s="18"/>
      <c r="I999" s="825"/>
      <c r="L999" s="825"/>
      <c r="M999" s="825"/>
      <c r="N999" s="825"/>
      <c r="O999" s="825"/>
      <c r="P999" s="825"/>
      <c r="Q999" s="21"/>
      <c r="R999" s="21"/>
      <c r="S999" s="19"/>
      <c r="T999" s="19"/>
      <c r="U999" s="19"/>
      <c r="V999" s="19"/>
      <c r="W999" s="825"/>
      <c r="X999" s="825"/>
      <c r="AM999" s="825"/>
      <c r="AN999" s="825"/>
      <c r="AO999" s="825"/>
      <c r="AP999" s="825"/>
      <c r="AQ999" s="825"/>
      <c r="AR999" s="825"/>
      <c r="AS999" s="825"/>
      <c r="AT999" s="825"/>
      <c r="AU999" s="825"/>
      <c r="AV999" s="825"/>
    </row>
    <row r="1000" spans="1:48" ht="14.95" customHeight="1" x14ac:dyDescent="0.25">
      <c r="A1000" s="825"/>
      <c r="B1000" s="825"/>
      <c r="C1000" s="825"/>
      <c r="D1000" s="825"/>
      <c r="G1000" s="825"/>
      <c r="H1000" s="825"/>
      <c r="I1000" s="825"/>
      <c r="L1000" s="825"/>
      <c r="M1000" s="825"/>
      <c r="N1000" s="825"/>
      <c r="O1000" s="825"/>
      <c r="P1000" s="825"/>
      <c r="Q1000" s="825"/>
      <c r="R1000" s="825"/>
      <c r="S1000" s="825"/>
      <c r="T1000" s="825"/>
      <c r="U1000" s="825"/>
      <c r="V1000" s="825"/>
      <c r="W1000" s="825"/>
      <c r="X1000" s="825"/>
      <c r="AM1000" s="825"/>
      <c r="AN1000" s="825"/>
      <c r="AO1000" s="825"/>
      <c r="AP1000" s="825"/>
      <c r="AQ1000" s="825"/>
      <c r="AR1000" s="825"/>
      <c r="AS1000" s="825"/>
      <c r="AT1000" s="825"/>
      <c r="AU1000" s="825"/>
      <c r="AV1000" s="825"/>
    </row>
    <row r="1001" spans="1:48" ht="14.95" customHeight="1" x14ac:dyDescent="0.25">
      <c r="A1001" s="825"/>
      <c r="B1001" s="825"/>
      <c r="C1001" s="825"/>
      <c r="D1001" s="825"/>
      <c r="G1001" s="825"/>
      <c r="H1001" s="825"/>
      <c r="I1001" s="825"/>
      <c r="L1001" s="825"/>
      <c r="M1001" s="825"/>
      <c r="N1001" s="825"/>
      <c r="O1001" s="825"/>
      <c r="P1001" s="825"/>
      <c r="Q1001" s="825"/>
      <c r="R1001" s="825"/>
      <c r="S1001" s="825"/>
      <c r="T1001" s="825"/>
      <c r="U1001" s="825"/>
      <c r="V1001" s="825"/>
      <c r="W1001" s="825"/>
      <c r="X1001" s="825"/>
      <c r="AM1001" s="825"/>
      <c r="AN1001" s="825"/>
      <c r="AO1001" s="825"/>
      <c r="AP1001" s="825"/>
      <c r="AQ1001" s="825"/>
      <c r="AR1001" s="825"/>
      <c r="AS1001" s="825"/>
      <c r="AT1001" s="825"/>
      <c r="AU1001" s="825"/>
      <c r="AV1001" s="825"/>
    </row>
    <row r="1002" spans="1:48" ht="14.95" customHeight="1" x14ac:dyDescent="0.25">
      <c r="A1002" s="825"/>
      <c r="B1002" s="825"/>
      <c r="C1002" s="825"/>
      <c r="D1002" s="825"/>
      <c r="G1002" s="825"/>
      <c r="H1002" s="825"/>
      <c r="I1002" s="825"/>
      <c r="L1002" s="825"/>
      <c r="M1002" s="825"/>
      <c r="N1002" s="825"/>
      <c r="O1002" s="825"/>
      <c r="P1002" s="825"/>
      <c r="Q1002" s="825"/>
      <c r="R1002" s="825"/>
      <c r="S1002" s="825"/>
      <c r="T1002" s="825"/>
      <c r="U1002" s="825"/>
      <c r="V1002" s="825"/>
      <c r="W1002" s="825"/>
      <c r="X1002" s="825"/>
      <c r="AM1002" s="825"/>
      <c r="AN1002" s="825"/>
      <c r="AO1002" s="825"/>
      <c r="AP1002" s="825"/>
      <c r="AQ1002" s="825"/>
      <c r="AR1002" s="825"/>
      <c r="AS1002" s="825"/>
      <c r="AT1002" s="825"/>
      <c r="AU1002" s="825"/>
      <c r="AV1002" s="825"/>
    </row>
    <row r="1003" spans="1:48" ht="14.95" customHeight="1" x14ac:dyDescent="0.25">
      <c r="A1003" s="825"/>
      <c r="B1003" s="825"/>
      <c r="C1003" s="825"/>
      <c r="D1003" s="825"/>
      <c r="G1003" s="825"/>
      <c r="H1003" s="825"/>
      <c r="I1003" s="825"/>
      <c r="L1003" s="825"/>
      <c r="M1003" s="825"/>
      <c r="N1003" s="825"/>
      <c r="O1003" s="825"/>
      <c r="P1003" s="825"/>
      <c r="Q1003" s="825"/>
      <c r="R1003" s="825"/>
      <c r="S1003" s="825"/>
      <c r="T1003" s="825"/>
      <c r="U1003" s="825"/>
      <c r="V1003" s="825"/>
      <c r="W1003" s="825"/>
      <c r="X1003" s="825"/>
      <c r="AM1003" s="825"/>
      <c r="AN1003" s="825"/>
      <c r="AO1003" s="825"/>
      <c r="AP1003" s="825"/>
      <c r="AQ1003" s="825"/>
      <c r="AR1003" s="825"/>
      <c r="AS1003" s="825"/>
      <c r="AT1003" s="825"/>
      <c r="AU1003" s="825"/>
      <c r="AV1003" s="825"/>
    </row>
    <row r="1004" spans="1:48" ht="14.95" customHeight="1" x14ac:dyDescent="0.25">
      <c r="A1004" s="825"/>
      <c r="B1004" s="825"/>
      <c r="C1004" s="825"/>
      <c r="D1004" s="825"/>
      <c r="G1004" s="825"/>
      <c r="H1004" s="825"/>
      <c r="I1004" s="825"/>
      <c r="L1004" s="825"/>
      <c r="M1004" s="825"/>
      <c r="N1004" s="825"/>
      <c r="O1004" s="825"/>
      <c r="P1004" s="825"/>
      <c r="Q1004" s="825"/>
      <c r="R1004" s="825"/>
      <c r="S1004" s="825"/>
      <c r="T1004" s="825"/>
      <c r="U1004" s="825"/>
      <c r="V1004" s="825"/>
      <c r="W1004" s="825"/>
      <c r="X1004" s="825"/>
      <c r="AM1004" s="825"/>
      <c r="AN1004" s="825"/>
      <c r="AO1004" s="825"/>
      <c r="AP1004" s="825"/>
      <c r="AQ1004" s="825"/>
      <c r="AR1004" s="825"/>
      <c r="AS1004" s="825"/>
      <c r="AT1004" s="825"/>
      <c r="AU1004" s="825"/>
      <c r="AV1004" s="825"/>
    </row>
    <row r="1005" spans="1:48" ht="14.95" customHeight="1" x14ac:dyDescent="0.25">
      <c r="A1005" s="825"/>
      <c r="B1005" s="825"/>
      <c r="C1005" s="825"/>
      <c r="D1005" s="825"/>
      <c r="G1005" s="825"/>
      <c r="H1005" s="825"/>
      <c r="I1005" s="825"/>
      <c r="L1005" s="825"/>
      <c r="M1005" s="825"/>
      <c r="N1005" s="825"/>
      <c r="O1005" s="825"/>
      <c r="P1005" s="825"/>
      <c r="Q1005" s="825"/>
      <c r="R1005" s="825"/>
      <c r="S1005" s="825"/>
      <c r="T1005" s="825"/>
      <c r="U1005" s="825"/>
      <c r="V1005" s="825"/>
      <c r="W1005" s="825"/>
      <c r="X1005" s="825"/>
      <c r="AM1005" s="825"/>
      <c r="AN1005" s="825"/>
      <c r="AO1005" s="825"/>
      <c r="AP1005" s="825"/>
      <c r="AQ1005" s="825"/>
      <c r="AR1005" s="825"/>
      <c r="AS1005" s="825"/>
      <c r="AT1005" s="825"/>
      <c r="AU1005" s="825"/>
      <c r="AV1005" s="825"/>
    </row>
    <row r="1006" spans="1:48" ht="14.95" customHeight="1" x14ac:dyDescent="0.25">
      <c r="A1006" s="825"/>
      <c r="B1006" s="825"/>
      <c r="C1006" s="825"/>
      <c r="D1006" s="825"/>
      <c r="G1006" s="825"/>
      <c r="H1006" s="825"/>
      <c r="I1006" s="825"/>
      <c r="L1006" s="825"/>
      <c r="M1006" s="825"/>
      <c r="N1006" s="825"/>
      <c r="O1006" s="825"/>
      <c r="P1006" s="825"/>
      <c r="Q1006" s="825"/>
      <c r="R1006" s="825"/>
      <c r="S1006" s="825"/>
      <c r="T1006" s="825"/>
      <c r="U1006" s="825"/>
      <c r="V1006" s="825"/>
      <c r="W1006" s="825"/>
      <c r="X1006" s="825"/>
      <c r="AM1006" s="825"/>
      <c r="AN1006" s="825"/>
      <c r="AO1006" s="825"/>
      <c r="AP1006" s="825"/>
      <c r="AQ1006" s="825"/>
      <c r="AR1006" s="825"/>
      <c r="AS1006" s="825"/>
      <c r="AT1006" s="825"/>
      <c r="AU1006" s="825"/>
      <c r="AV1006" s="825"/>
    </row>
    <row r="1007" spans="1:48" ht="14.95" customHeight="1" x14ac:dyDescent="0.25">
      <c r="A1007" s="825"/>
      <c r="B1007" s="825"/>
      <c r="C1007" s="825"/>
      <c r="D1007" s="825"/>
      <c r="G1007" s="825"/>
      <c r="H1007" s="825"/>
      <c r="I1007" s="825"/>
      <c r="L1007" s="825"/>
      <c r="M1007" s="825"/>
      <c r="N1007" s="825"/>
      <c r="O1007" s="825"/>
      <c r="P1007" s="825"/>
      <c r="Q1007" s="825"/>
      <c r="R1007" s="825"/>
      <c r="S1007" s="825"/>
      <c r="T1007" s="825"/>
      <c r="U1007" s="825"/>
      <c r="V1007" s="825"/>
      <c r="W1007" s="825"/>
      <c r="X1007" s="825"/>
      <c r="AM1007" s="825"/>
      <c r="AN1007" s="825"/>
      <c r="AO1007" s="825"/>
      <c r="AP1007" s="825"/>
      <c r="AQ1007" s="825"/>
      <c r="AR1007" s="825"/>
      <c r="AS1007" s="825"/>
      <c r="AT1007" s="825"/>
      <c r="AU1007" s="825"/>
      <c r="AV1007" s="825"/>
    </row>
    <row r="1008" spans="1:48" ht="14.95" customHeight="1" x14ac:dyDescent="0.25">
      <c r="A1008" s="825"/>
      <c r="B1008" s="825"/>
      <c r="C1008" s="825"/>
      <c r="D1008" s="825"/>
      <c r="G1008" s="825"/>
      <c r="H1008" s="825"/>
      <c r="I1008" s="825"/>
      <c r="L1008" s="825"/>
      <c r="M1008" s="825"/>
      <c r="N1008" s="825"/>
      <c r="O1008" s="825"/>
      <c r="P1008" s="825"/>
      <c r="Q1008" s="825"/>
      <c r="R1008" s="825"/>
      <c r="S1008" s="825"/>
      <c r="T1008" s="825"/>
      <c r="U1008" s="825"/>
      <c r="V1008" s="825"/>
      <c r="W1008" s="825"/>
      <c r="X1008" s="825"/>
      <c r="AM1008" s="825"/>
      <c r="AN1008" s="825"/>
      <c r="AO1008" s="825"/>
      <c r="AP1008" s="825"/>
      <c r="AQ1008" s="825"/>
      <c r="AR1008" s="825"/>
      <c r="AS1008" s="825"/>
      <c r="AT1008" s="825"/>
      <c r="AU1008" s="825"/>
      <c r="AV1008" s="825"/>
    </row>
    <row r="1009" spans="1:48" ht="14.95" customHeight="1" x14ac:dyDescent="0.25">
      <c r="A1009" s="825"/>
      <c r="B1009" s="825"/>
      <c r="C1009" s="825"/>
      <c r="D1009" s="825"/>
      <c r="G1009" s="825"/>
      <c r="H1009" s="825"/>
      <c r="I1009" s="825"/>
      <c r="L1009" s="825"/>
      <c r="M1009" s="825"/>
      <c r="N1009" s="825"/>
      <c r="O1009" s="825"/>
      <c r="P1009" s="825"/>
      <c r="Q1009" s="825"/>
      <c r="R1009" s="825"/>
      <c r="S1009" s="825"/>
      <c r="T1009" s="825"/>
      <c r="U1009" s="825"/>
      <c r="V1009" s="825"/>
      <c r="W1009" s="825"/>
      <c r="X1009" s="825"/>
      <c r="AM1009" s="825"/>
      <c r="AN1009" s="825"/>
      <c r="AO1009" s="825"/>
      <c r="AP1009" s="825"/>
      <c r="AQ1009" s="825"/>
      <c r="AR1009" s="825"/>
      <c r="AS1009" s="825"/>
      <c r="AT1009" s="825"/>
      <c r="AU1009" s="825"/>
      <c r="AV1009" s="825"/>
    </row>
    <row r="1010" spans="1:48" ht="14.95" customHeight="1" x14ac:dyDescent="0.25">
      <c r="A1010" s="825"/>
      <c r="B1010" s="825"/>
      <c r="C1010" s="825"/>
      <c r="D1010" s="825"/>
      <c r="G1010" s="825"/>
      <c r="H1010" s="825"/>
      <c r="I1010" s="825"/>
      <c r="L1010" s="825"/>
      <c r="M1010" s="825"/>
      <c r="N1010" s="825"/>
      <c r="O1010" s="825"/>
      <c r="P1010" s="825"/>
      <c r="Q1010" s="825"/>
      <c r="R1010" s="825"/>
      <c r="S1010" s="825"/>
      <c r="T1010" s="825"/>
      <c r="U1010" s="825"/>
      <c r="V1010" s="825"/>
      <c r="W1010" s="825"/>
      <c r="X1010" s="825"/>
      <c r="AM1010" s="825"/>
      <c r="AN1010" s="825"/>
      <c r="AO1010" s="825"/>
      <c r="AP1010" s="825"/>
      <c r="AQ1010" s="825"/>
      <c r="AR1010" s="825"/>
      <c r="AS1010" s="825"/>
      <c r="AT1010" s="825"/>
      <c r="AU1010" s="825"/>
      <c r="AV1010" s="825"/>
    </row>
    <row r="1011" spans="1:48" ht="14.95" customHeight="1" x14ac:dyDescent="0.25">
      <c r="A1011" s="825"/>
      <c r="B1011" s="825"/>
      <c r="C1011" s="825"/>
      <c r="D1011" s="825"/>
      <c r="G1011" s="825"/>
      <c r="H1011" s="825"/>
      <c r="I1011" s="825"/>
      <c r="L1011" s="825"/>
      <c r="M1011" s="825"/>
      <c r="N1011" s="825"/>
      <c r="O1011" s="825"/>
      <c r="P1011" s="825"/>
      <c r="Q1011" s="825"/>
      <c r="R1011" s="825"/>
      <c r="S1011" s="825"/>
      <c r="T1011" s="825"/>
      <c r="U1011" s="825"/>
      <c r="V1011" s="825"/>
      <c r="W1011" s="825"/>
      <c r="X1011" s="825"/>
      <c r="AM1011" s="825"/>
      <c r="AN1011" s="825"/>
      <c r="AO1011" s="825"/>
      <c r="AP1011" s="825"/>
      <c r="AQ1011" s="825"/>
      <c r="AR1011" s="825"/>
      <c r="AS1011" s="825"/>
      <c r="AT1011" s="825"/>
      <c r="AU1011" s="825"/>
      <c r="AV1011" s="825"/>
    </row>
    <row r="1012" spans="1:48" ht="14.95" customHeight="1" x14ac:dyDescent="0.25">
      <c r="A1012" s="825"/>
      <c r="B1012" s="825"/>
      <c r="C1012" s="825"/>
      <c r="D1012" s="825"/>
      <c r="G1012" s="825"/>
      <c r="H1012" s="825"/>
      <c r="I1012" s="825"/>
      <c r="L1012" s="825"/>
      <c r="M1012" s="825"/>
      <c r="N1012" s="825"/>
      <c r="O1012" s="825"/>
      <c r="P1012" s="825"/>
      <c r="Q1012" s="825"/>
      <c r="R1012" s="825"/>
      <c r="S1012" s="825"/>
      <c r="T1012" s="825"/>
      <c r="U1012" s="825"/>
      <c r="V1012" s="825"/>
      <c r="W1012" s="825"/>
      <c r="X1012" s="825"/>
      <c r="AM1012" s="825"/>
      <c r="AN1012" s="825"/>
      <c r="AO1012" s="825"/>
      <c r="AP1012" s="825"/>
      <c r="AQ1012" s="825"/>
      <c r="AR1012" s="825"/>
      <c r="AS1012" s="825"/>
      <c r="AT1012" s="825"/>
      <c r="AU1012" s="825"/>
      <c r="AV1012" s="825"/>
    </row>
    <row r="1013" spans="1:48" ht="14.95" customHeight="1" x14ac:dyDescent="0.25">
      <c r="A1013" s="825"/>
      <c r="B1013" s="825"/>
      <c r="C1013" s="825"/>
      <c r="D1013" s="825"/>
      <c r="G1013" s="825"/>
      <c r="H1013" s="825"/>
      <c r="I1013" s="825"/>
      <c r="L1013" s="825"/>
      <c r="M1013" s="825"/>
      <c r="N1013" s="825"/>
      <c r="O1013" s="825"/>
      <c r="P1013" s="825"/>
      <c r="Q1013" s="825"/>
      <c r="R1013" s="825"/>
      <c r="S1013" s="825"/>
      <c r="T1013" s="825"/>
      <c r="U1013" s="825"/>
      <c r="V1013" s="825"/>
      <c r="W1013" s="825"/>
      <c r="X1013" s="825"/>
      <c r="AM1013" s="825"/>
      <c r="AN1013" s="825"/>
      <c r="AO1013" s="825"/>
      <c r="AP1013" s="825"/>
      <c r="AQ1013" s="825"/>
      <c r="AR1013" s="825"/>
      <c r="AS1013" s="825"/>
      <c r="AT1013" s="825"/>
      <c r="AU1013" s="825"/>
      <c r="AV1013" s="825"/>
    </row>
    <row r="1014" spans="1:48" ht="14.95" customHeight="1" x14ac:dyDescent="0.25">
      <c r="A1014" s="825"/>
      <c r="B1014" s="825"/>
      <c r="C1014" s="825"/>
      <c r="D1014" s="825"/>
      <c r="G1014" s="825"/>
      <c r="H1014" s="825"/>
      <c r="I1014" s="825"/>
      <c r="L1014" s="825"/>
      <c r="M1014" s="825"/>
      <c r="N1014" s="825"/>
      <c r="O1014" s="825"/>
      <c r="P1014" s="825"/>
      <c r="Q1014" s="825"/>
      <c r="R1014" s="825"/>
      <c r="S1014" s="825"/>
      <c r="T1014" s="825"/>
      <c r="U1014" s="825"/>
      <c r="V1014" s="825"/>
      <c r="W1014" s="825"/>
      <c r="X1014" s="825"/>
      <c r="AM1014" s="825"/>
      <c r="AN1014" s="825"/>
      <c r="AO1014" s="825"/>
      <c r="AP1014" s="825"/>
      <c r="AQ1014" s="825"/>
      <c r="AR1014" s="825"/>
      <c r="AS1014" s="825"/>
      <c r="AT1014" s="825"/>
      <c r="AU1014" s="825"/>
      <c r="AV1014" s="825"/>
    </row>
    <row r="1015" spans="1:48" ht="14.95" customHeight="1" x14ac:dyDescent="0.25">
      <c r="A1015" s="825"/>
      <c r="B1015" s="825"/>
      <c r="C1015" s="825"/>
      <c r="D1015" s="825"/>
      <c r="G1015" s="825"/>
      <c r="H1015" s="825"/>
      <c r="I1015" s="825"/>
      <c r="L1015" s="825"/>
      <c r="M1015" s="825"/>
      <c r="N1015" s="825"/>
      <c r="O1015" s="825"/>
      <c r="P1015" s="825"/>
      <c r="Q1015" s="825"/>
      <c r="R1015" s="825"/>
      <c r="S1015" s="825"/>
      <c r="T1015" s="825"/>
      <c r="U1015" s="825"/>
      <c r="V1015" s="825"/>
      <c r="W1015" s="825"/>
      <c r="X1015" s="825"/>
      <c r="AM1015" s="825"/>
      <c r="AN1015" s="825"/>
      <c r="AO1015" s="825"/>
      <c r="AP1015" s="825"/>
      <c r="AQ1015" s="825"/>
      <c r="AR1015" s="825"/>
      <c r="AS1015" s="825"/>
      <c r="AT1015" s="825"/>
      <c r="AU1015" s="825"/>
      <c r="AV1015" s="825"/>
    </row>
    <row r="1016" spans="1:48" ht="14.95" customHeight="1" x14ac:dyDescent="0.25">
      <c r="A1016" s="825"/>
      <c r="B1016" s="825"/>
      <c r="C1016" s="825"/>
      <c r="D1016" s="825"/>
      <c r="G1016" s="825"/>
      <c r="H1016" s="825"/>
      <c r="I1016" s="825"/>
      <c r="L1016" s="825"/>
      <c r="M1016" s="825"/>
      <c r="N1016" s="825"/>
      <c r="O1016" s="825"/>
      <c r="P1016" s="825"/>
      <c r="Q1016" s="825"/>
      <c r="R1016" s="825"/>
      <c r="S1016" s="825"/>
      <c r="T1016" s="825"/>
      <c r="U1016" s="825"/>
      <c r="V1016" s="825"/>
      <c r="W1016" s="825"/>
      <c r="X1016" s="825"/>
      <c r="AM1016" s="825"/>
      <c r="AN1016" s="825"/>
      <c r="AO1016" s="825"/>
      <c r="AP1016" s="825"/>
      <c r="AQ1016" s="825"/>
      <c r="AR1016" s="825"/>
      <c r="AS1016" s="825"/>
      <c r="AT1016" s="825"/>
      <c r="AU1016" s="825"/>
      <c r="AV1016" s="825"/>
    </row>
    <row r="1017" spans="1:48" ht="14.95" customHeight="1" x14ac:dyDescent="0.25">
      <c r="A1017" s="825"/>
      <c r="B1017" s="825"/>
      <c r="C1017" s="825"/>
      <c r="D1017" s="825"/>
      <c r="G1017" s="825"/>
      <c r="H1017" s="825"/>
      <c r="I1017" s="825"/>
      <c r="L1017" s="825"/>
      <c r="M1017" s="825"/>
      <c r="N1017" s="825"/>
      <c r="O1017" s="825"/>
      <c r="P1017" s="825"/>
      <c r="Q1017" s="825"/>
      <c r="R1017" s="825"/>
      <c r="S1017" s="825"/>
      <c r="T1017" s="825"/>
      <c r="U1017" s="825"/>
      <c r="V1017" s="825"/>
      <c r="W1017" s="825"/>
      <c r="X1017" s="825"/>
      <c r="AM1017" s="825"/>
      <c r="AN1017" s="825"/>
      <c r="AO1017" s="825"/>
      <c r="AP1017" s="825"/>
      <c r="AQ1017" s="825"/>
      <c r="AR1017" s="825"/>
      <c r="AS1017" s="825"/>
      <c r="AT1017" s="825"/>
      <c r="AU1017" s="825"/>
      <c r="AV1017" s="825"/>
    </row>
  </sheetData>
  <mergeCells count="4">
    <mergeCell ref="AN5:AQ5"/>
    <mergeCell ref="X5:Z5"/>
    <mergeCell ref="AB5:AJ5"/>
    <mergeCell ref="Z3:AD3"/>
  </mergeCells>
  <phoneticPr fontId="22" type="noConversion"/>
  <pageMargins left="0.7" right="0.7" top="0.75" bottom="0.75" header="0" footer="0"/>
  <pageSetup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2:J193"/>
  <sheetViews>
    <sheetView showGridLines="0" topLeftCell="C1" zoomScale="70" zoomScaleNormal="70" workbookViewId="0">
      <selection activeCell="I7" sqref="I7"/>
    </sheetView>
  </sheetViews>
  <sheetFormatPr baseColWidth="10" defaultRowHeight="15.65" x14ac:dyDescent="0.25"/>
  <cols>
    <col min="1" max="1" width="3.09765625" style="1186" customWidth="1"/>
    <col min="2" max="2" width="12.3984375" customWidth="1"/>
    <col min="3" max="3" width="43.69921875" customWidth="1"/>
    <col min="4" max="4" width="16.09765625" customWidth="1"/>
    <col min="5" max="5" width="13.59765625" customWidth="1"/>
    <col min="6" max="10" width="12.09765625" customWidth="1"/>
  </cols>
  <sheetData>
    <row r="2" spans="3:10" ht="26.5" customHeight="1" x14ac:dyDescent="0.25">
      <c r="C2" s="1506" t="s">
        <v>2310</v>
      </c>
      <c r="D2" s="1506"/>
      <c r="E2" s="1506"/>
      <c r="F2" s="1506"/>
      <c r="G2" s="1506"/>
      <c r="H2" s="1506"/>
      <c r="I2" s="1506"/>
      <c r="J2" s="1506"/>
    </row>
    <row r="3" spans="3:10" x14ac:dyDescent="0.25">
      <c r="C3" s="959"/>
      <c r="D3" s="396"/>
      <c r="E3" s="396"/>
      <c r="F3" s="396"/>
      <c r="G3" s="396"/>
      <c r="H3" s="396"/>
      <c r="I3" s="396"/>
      <c r="J3" s="396"/>
    </row>
    <row r="4" spans="3:10" x14ac:dyDescent="0.25">
      <c r="C4" s="330" t="s">
        <v>2197</v>
      </c>
      <c r="D4" s="287" t="s">
        <v>2309</v>
      </c>
      <c r="E4" s="287" t="s">
        <v>2312</v>
      </c>
      <c r="F4" s="287" t="s">
        <v>211</v>
      </c>
      <c r="G4" s="287" t="s">
        <v>212</v>
      </c>
      <c r="H4" s="287" t="s">
        <v>213</v>
      </c>
      <c r="I4" s="287" t="s">
        <v>214</v>
      </c>
      <c r="J4" s="287" t="s">
        <v>215</v>
      </c>
    </row>
    <row r="5" spans="3:10" s="231" customFormat="1" x14ac:dyDescent="0.25">
      <c r="C5" s="473" t="s">
        <v>120</v>
      </c>
      <c r="D5" s="471">
        <v>70</v>
      </c>
      <c r="E5" s="968">
        <v>1333191630.8184476</v>
      </c>
      <c r="F5" s="968">
        <v>277559238.56430781</v>
      </c>
      <c r="G5" s="968">
        <v>258389814.5826236</v>
      </c>
      <c r="H5" s="968">
        <v>262329932.56952283</v>
      </c>
      <c r="I5" s="968">
        <v>268912564.77807128</v>
      </c>
      <c r="J5" s="968">
        <v>266000080.32392207</v>
      </c>
    </row>
    <row r="6" spans="3:10" x14ac:dyDescent="0.25">
      <c r="C6" s="473" t="s">
        <v>132</v>
      </c>
      <c r="D6" s="472">
        <v>66</v>
      </c>
      <c r="E6" s="969">
        <v>568953126.58696127</v>
      </c>
      <c r="F6" s="969">
        <v>114086388.16278972</v>
      </c>
      <c r="G6" s="969">
        <v>112167135.82871096</v>
      </c>
      <c r="H6" s="969">
        <v>113273850.63859893</v>
      </c>
      <c r="I6" s="969">
        <v>115282654.00837485</v>
      </c>
      <c r="J6" s="969">
        <v>114143097.94848688</v>
      </c>
    </row>
    <row r="7" spans="3:10" x14ac:dyDescent="0.25">
      <c r="C7" s="473" t="s">
        <v>137</v>
      </c>
      <c r="D7" s="472">
        <v>63</v>
      </c>
      <c r="E7" s="969">
        <v>483055472.27892971</v>
      </c>
      <c r="F7" s="969">
        <v>97740405.372035742</v>
      </c>
      <c r="G7" s="969">
        <v>95827774.943438187</v>
      </c>
      <c r="H7" s="969">
        <v>96128389.282295048</v>
      </c>
      <c r="I7" s="969">
        <v>96899179.860008746</v>
      </c>
      <c r="J7" s="969">
        <v>96459722.821151897</v>
      </c>
    </row>
    <row r="8" spans="3:10" x14ac:dyDescent="0.25">
      <c r="C8" s="473" t="s">
        <v>134</v>
      </c>
      <c r="D8" s="472">
        <v>64</v>
      </c>
      <c r="E8" s="969">
        <v>453290440.72866219</v>
      </c>
      <c r="F8" s="969">
        <v>93010402.047691867</v>
      </c>
      <c r="G8" s="969">
        <v>90427466.454643056</v>
      </c>
      <c r="H8" s="969">
        <v>91982597.331709415</v>
      </c>
      <c r="I8" s="969">
        <v>89111507.485842139</v>
      </c>
      <c r="J8" s="969">
        <v>88758467.408775777</v>
      </c>
    </row>
    <row r="9" spans="3:10" x14ac:dyDescent="0.25">
      <c r="C9" s="473" t="s">
        <v>139</v>
      </c>
      <c r="D9" s="472">
        <v>39</v>
      </c>
      <c r="E9" s="969">
        <v>124905403.29813404</v>
      </c>
      <c r="F9" s="969">
        <v>27769959.609626807</v>
      </c>
      <c r="G9" s="969">
        <v>25433683.609626807</v>
      </c>
      <c r="H9" s="969">
        <v>25402863.359626807</v>
      </c>
      <c r="I9" s="969">
        <v>23179763.359626807</v>
      </c>
      <c r="J9" s="969">
        <v>23119133.359626807</v>
      </c>
    </row>
    <row r="10" spans="3:10" x14ac:dyDescent="0.25">
      <c r="C10" s="328" t="s">
        <v>141</v>
      </c>
      <c r="D10" s="341">
        <v>302</v>
      </c>
      <c r="E10" s="211">
        <v>2963396073.7111344</v>
      </c>
      <c r="F10" s="211">
        <v>610166393.75645185</v>
      </c>
      <c r="G10" s="211">
        <v>582245875.41904259</v>
      </c>
      <c r="H10" s="211">
        <v>589117633.18175304</v>
      </c>
      <c r="I10" s="211">
        <v>593385669.49192381</v>
      </c>
      <c r="J10" s="211">
        <v>588480501.86196351</v>
      </c>
    </row>
    <row r="12" spans="3:10" ht="21.6" customHeight="1" x14ac:dyDescent="0.25">
      <c r="C12" s="1506" t="s">
        <v>2311</v>
      </c>
      <c r="D12" s="1506"/>
      <c r="E12" s="1506"/>
      <c r="F12" s="1506"/>
      <c r="G12" s="1506"/>
      <c r="H12" s="1506"/>
      <c r="I12" s="1506"/>
      <c r="J12" s="1506"/>
    </row>
    <row r="13" spans="3:10" x14ac:dyDescent="0.25">
      <c r="C13" s="959"/>
      <c r="D13" s="396"/>
      <c r="E13" s="396"/>
      <c r="F13" s="396"/>
      <c r="G13" s="396"/>
      <c r="H13" s="396"/>
      <c r="I13" s="396"/>
      <c r="J13" s="396"/>
    </row>
    <row r="14" spans="3:10" x14ac:dyDescent="0.25">
      <c r="C14" s="401" t="s">
        <v>347</v>
      </c>
      <c r="D14" s="287" t="s">
        <v>2309</v>
      </c>
      <c r="E14" s="287" t="s">
        <v>2312</v>
      </c>
      <c r="F14" s="287" t="s">
        <v>211</v>
      </c>
      <c r="G14" s="287" t="s">
        <v>212</v>
      </c>
      <c r="H14" s="287" t="s">
        <v>213</v>
      </c>
      <c r="I14" s="287" t="s">
        <v>214</v>
      </c>
      <c r="J14" s="287" t="s">
        <v>215</v>
      </c>
    </row>
    <row r="15" spans="3:10" ht="31.25" x14ac:dyDescent="0.25">
      <c r="C15" s="473" t="s">
        <v>129</v>
      </c>
      <c r="D15" s="471">
        <v>63</v>
      </c>
      <c r="E15" s="968">
        <v>1680079273.1700656</v>
      </c>
      <c r="F15" s="968">
        <v>329461315.62901586</v>
      </c>
      <c r="G15" s="968">
        <v>332611783.54951447</v>
      </c>
      <c r="H15" s="968">
        <v>336403886.63401324</v>
      </c>
      <c r="I15" s="968">
        <v>343361387.77651054</v>
      </c>
      <c r="J15" s="968">
        <v>338240899.58101183</v>
      </c>
    </row>
    <row r="16" spans="3:10" x14ac:dyDescent="0.25">
      <c r="C16" s="474" t="s">
        <v>123</v>
      </c>
      <c r="D16" s="472">
        <v>27</v>
      </c>
      <c r="E16" s="969">
        <v>564358189.52625</v>
      </c>
      <c r="F16" s="969">
        <v>112871637.90525001</v>
      </c>
      <c r="G16" s="969">
        <v>113578987.90525001</v>
      </c>
      <c r="H16" s="969">
        <v>114993687.90525001</v>
      </c>
      <c r="I16" s="969">
        <v>111456937.90525001</v>
      </c>
      <c r="J16" s="969">
        <v>111456937.90525001</v>
      </c>
    </row>
    <row r="17" spans="3:10" x14ac:dyDescent="0.25">
      <c r="C17" s="474" t="s">
        <v>130</v>
      </c>
      <c r="D17" s="472">
        <v>24</v>
      </c>
      <c r="E17" s="969">
        <v>198702850.57499999</v>
      </c>
      <c r="F17" s="969">
        <v>39740570.114999995</v>
      </c>
      <c r="G17" s="969">
        <v>39740570.114999995</v>
      </c>
      <c r="H17" s="969">
        <v>39740570.114999995</v>
      </c>
      <c r="I17" s="969">
        <v>39740570.114999995</v>
      </c>
      <c r="J17" s="969">
        <v>39740570.114999995</v>
      </c>
    </row>
    <row r="18" spans="3:10" x14ac:dyDescent="0.25">
      <c r="C18" s="474" t="s">
        <v>140</v>
      </c>
      <c r="D18" s="472">
        <v>39</v>
      </c>
      <c r="E18" s="969">
        <v>124905403.29813404</v>
      </c>
      <c r="F18" s="969">
        <v>27769959.609626807</v>
      </c>
      <c r="G18" s="969">
        <v>25433683.609626807</v>
      </c>
      <c r="H18" s="969">
        <v>25402863.359626807</v>
      </c>
      <c r="I18" s="969">
        <v>23179763.359626807</v>
      </c>
      <c r="J18" s="969">
        <v>23119133.359626807</v>
      </c>
    </row>
    <row r="19" spans="3:10" x14ac:dyDescent="0.25">
      <c r="C19" s="474" t="s">
        <v>126</v>
      </c>
      <c r="D19" s="472">
        <v>32</v>
      </c>
      <c r="E19" s="969">
        <v>110547245.62155867</v>
      </c>
      <c r="F19" s="969">
        <v>20221503.100905869</v>
      </c>
      <c r="G19" s="969">
        <v>20985478.273858804</v>
      </c>
      <c r="H19" s="969">
        <v>21722459.202436738</v>
      </c>
      <c r="I19" s="969">
        <v>23997395.14771761</v>
      </c>
      <c r="J19" s="969">
        <v>23620409.896639671</v>
      </c>
    </row>
    <row r="20" spans="3:10" x14ac:dyDescent="0.25">
      <c r="C20" s="474" t="s">
        <v>125</v>
      </c>
      <c r="D20" s="472">
        <v>24</v>
      </c>
      <c r="E20" s="969">
        <v>66623089.754072711</v>
      </c>
      <c r="F20" s="969">
        <v>11275850.200607272</v>
      </c>
      <c r="G20" s="969">
        <v>12037819.856960908</v>
      </c>
      <c r="H20" s="969">
        <v>13551980.450814543</v>
      </c>
      <c r="I20" s="969">
        <v>14512739.061646817</v>
      </c>
      <c r="J20" s="969">
        <v>15244700.18404318</v>
      </c>
    </row>
    <row r="21" spans="3:10" x14ac:dyDescent="0.25">
      <c r="C21" s="474" t="s">
        <v>138</v>
      </c>
      <c r="D21" s="472">
        <v>8</v>
      </c>
      <c r="E21" s="969">
        <v>57765232.5</v>
      </c>
      <c r="F21" s="969">
        <v>11633886.5</v>
      </c>
      <c r="G21" s="969">
        <v>11532836.5</v>
      </c>
      <c r="H21" s="969">
        <v>11532836.5</v>
      </c>
      <c r="I21" s="969">
        <v>11532836.5</v>
      </c>
      <c r="J21" s="969">
        <v>11532836.5</v>
      </c>
    </row>
    <row r="22" spans="3:10" x14ac:dyDescent="0.25">
      <c r="C22" s="474" t="s">
        <v>135</v>
      </c>
      <c r="D22" s="472">
        <v>8</v>
      </c>
      <c r="E22" s="969">
        <v>52530842.5</v>
      </c>
      <c r="F22" s="969">
        <v>10506168.5</v>
      </c>
      <c r="G22" s="969">
        <v>10506168.5</v>
      </c>
      <c r="H22" s="969">
        <v>10506168.5</v>
      </c>
      <c r="I22" s="969">
        <v>10506168.5</v>
      </c>
      <c r="J22" s="969">
        <v>10506168.5</v>
      </c>
    </row>
    <row r="23" spans="3:10" x14ac:dyDescent="0.25">
      <c r="C23" s="474" t="s">
        <v>136</v>
      </c>
      <c r="D23" s="472">
        <v>8</v>
      </c>
      <c r="E23" s="969">
        <v>36713746.953102984</v>
      </c>
      <c r="F23" s="969">
        <v>7451955.8190602986</v>
      </c>
      <c r="G23" s="969">
        <v>7530981.1248404477</v>
      </c>
      <c r="H23" s="969">
        <v>7164578.0306205973</v>
      </c>
      <c r="I23" s="969">
        <v>7322628.6421808964</v>
      </c>
      <c r="J23" s="969">
        <v>7243603.3364007464</v>
      </c>
    </row>
    <row r="24" spans="3:10" x14ac:dyDescent="0.25">
      <c r="C24" s="474" t="s">
        <v>131</v>
      </c>
      <c r="D24" s="472">
        <v>20</v>
      </c>
      <c r="E24" s="969">
        <v>34420511.412201226</v>
      </c>
      <c r="F24" s="969">
        <v>31694038.896836035</v>
      </c>
      <c r="G24" s="969">
        <v>713196.25384129828</v>
      </c>
      <c r="H24" s="969">
        <v>738458.75384129828</v>
      </c>
      <c r="I24" s="969">
        <v>637408.75384129828</v>
      </c>
      <c r="J24" s="969">
        <v>637408.75384129828</v>
      </c>
    </row>
    <row r="25" spans="3:10" s="231" customFormat="1" x14ac:dyDescent="0.25">
      <c r="C25" s="474" t="s">
        <v>122</v>
      </c>
      <c r="D25" s="472">
        <v>16</v>
      </c>
      <c r="E25" s="969">
        <v>11994635</v>
      </c>
      <c r="F25" s="969">
        <v>2544439</v>
      </c>
      <c r="G25" s="969">
        <v>2544439</v>
      </c>
      <c r="H25" s="969">
        <v>2301919</v>
      </c>
      <c r="I25" s="969">
        <v>2301919</v>
      </c>
      <c r="J25" s="969">
        <v>2301919</v>
      </c>
    </row>
    <row r="26" spans="3:10" x14ac:dyDescent="0.25">
      <c r="C26" s="474" t="s">
        <v>133</v>
      </c>
      <c r="D26" s="472">
        <v>7</v>
      </c>
      <c r="E26" s="969">
        <v>9771535</v>
      </c>
      <c r="F26" s="969">
        <v>1954307</v>
      </c>
      <c r="G26" s="969">
        <v>1954307</v>
      </c>
      <c r="H26" s="969">
        <v>1954307</v>
      </c>
      <c r="I26" s="969">
        <v>1954307</v>
      </c>
      <c r="J26" s="969">
        <v>1954307</v>
      </c>
    </row>
    <row r="27" spans="3:10" x14ac:dyDescent="0.25">
      <c r="C27" s="474" t="s">
        <v>124</v>
      </c>
      <c r="D27" s="472">
        <v>5</v>
      </c>
      <c r="E27" s="969">
        <v>8730720</v>
      </c>
      <c r="F27" s="969">
        <v>1746144</v>
      </c>
      <c r="G27" s="969">
        <v>1746144</v>
      </c>
      <c r="H27" s="969">
        <v>1746144</v>
      </c>
      <c r="I27" s="969">
        <v>1746144</v>
      </c>
      <c r="J27" s="969">
        <v>1746144</v>
      </c>
    </row>
    <row r="28" spans="3:10" x14ac:dyDescent="0.25">
      <c r="C28" s="474" t="s">
        <v>127</v>
      </c>
      <c r="D28" s="472">
        <v>12</v>
      </c>
      <c r="E28" s="969">
        <v>2392688.4007494063</v>
      </c>
      <c r="F28" s="969">
        <v>522595.48014988122</v>
      </c>
      <c r="G28" s="969">
        <v>502890.73014988122</v>
      </c>
      <c r="H28" s="969">
        <v>531184.73014988122</v>
      </c>
      <c r="I28" s="969">
        <v>418008.73014988122</v>
      </c>
      <c r="J28" s="969">
        <v>418008.73014988122</v>
      </c>
    </row>
    <row r="29" spans="3:10" x14ac:dyDescent="0.25">
      <c r="C29" s="474" t="s">
        <v>121</v>
      </c>
      <c r="D29" s="472">
        <v>6</v>
      </c>
      <c r="E29" s="969">
        <v>2041210</v>
      </c>
      <c r="F29" s="969">
        <v>408242</v>
      </c>
      <c r="G29" s="969">
        <v>462809</v>
      </c>
      <c r="H29" s="969">
        <v>462809</v>
      </c>
      <c r="I29" s="969">
        <v>353675</v>
      </c>
      <c r="J29" s="969">
        <v>353675</v>
      </c>
    </row>
    <row r="30" spans="3:10" x14ac:dyDescent="0.25">
      <c r="C30" s="474" t="s">
        <v>128</v>
      </c>
      <c r="D30" s="472">
        <v>3</v>
      </c>
      <c r="E30" s="969">
        <v>1818900</v>
      </c>
      <c r="F30" s="969">
        <v>363780</v>
      </c>
      <c r="G30" s="969">
        <v>363780</v>
      </c>
      <c r="H30" s="969">
        <v>363780</v>
      </c>
      <c r="I30" s="969">
        <v>363780</v>
      </c>
      <c r="J30" s="969">
        <v>363780</v>
      </c>
    </row>
    <row r="31" spans="3:10" x14ac:dyDescent="0.25">
      <c r="C31" s="328" t="s">
        <v>141</v>
      </c>
      <c r="D31" s="341">
        <v>302</v>
      </c>
      <c r="E31" s="211">
        <v>2963396073.711134</v>
      </c>
      <c r="F31" s="211">
        <v>610166393.75645208</v>
      </c>
      <c r="G31" s="211">
        <v>582245875.41904271</v>
      </c>
      <c r="H31" s="211">
        <v>589117633.18175328</v>
      </c>
      <c r="I31" s="211">
        <v>593385669.49192393</v>
      </c>
      <c r="J31" s="211">
        <v>588480501.86196387</v>
      </c>
    </row>
    <row r="33" spans="3:10" ht="20.399999999999999" customHeight="1" x14ac:dyDescent="0.25">
      <c r="C33" s="1506" t="s">
        <v>2313</v>
      </c>
      <c r="D33" s="1506"/>
      <c r="E33" s="1506"/>
      <c r="F33" s="1506"/>
      <c r="G33" s="1506"/>
      <c r="H33" s="1506"/>
      <c r="I33" s="1506"/>
      <c r="J33" s="1506"/>
    </row>
    <row r="34" spans="3:10" x14ac:dyDescent="0.25">
      <c r="C34" s="959"/>
      <c r="D34" s="396"/>
      <c r="E34" s="396"/>
      <c r="F34" s="396"/>
      <c r="G34" s="396"/>
      <c r="H34" s="396"/>
      <c r="I34" s="396"/>
      <c r="J34" s="396"/>
    </row>
    <row r="35" spans="3:10" x14ac:dyDescent="0.25">
      <c r="C35" s="401" t="s">
        <v>2316</v>
      </c>
      <c r="D35" s="287" t="s">
        <v>2309</v>
      </c>
      <c r="E35" s="287" t="s">
        <v>2312</v>
      </c>
      <c r="F35" s="287" t="s">
        <v>211</v>
      </c>
      <c r="G35" s="287" t="s">
        <v>212</v>
      </c>
      <c r="H35" s="287" t="s">
        <v>213</v>
      </c>
      <c r="I35" s="287" t="s">
        <v>214</v>
      </c>
      <c r="J35" s="287" t="s">
        <v>215</v>
      </c>
    </row>
    <row r="36" spans="3:10" x14ac:dyDescent="0.25">
      <c r="C36" s="209" t="s">
        <v>218</v>
      </c>
      <c r="D36" s="341">
        <v>29</v>
      </c>
      <c r="E36" s="211">
        <v>641240831.53249991</v>
      </c>
      <c r="F36" s="211">
        <v>126123779.02</v>
      </c>
      <c r="G36" s="211">
        <v>127447203.08124998</v>
      </c>
      <c r="H36" s="211">
        <v>127861176.38462499</v>
      </c>
      <c r="I36" s="211">
        <v>129436119.45362499</v>
      </c>
      <c r="J36" s="211">
        <v>130372553.59299999</v>
      </c>
    </row>
    <row r="37" spans="3:10" x14ac:dyDescent="0.25">
      <c r="C37" s="209" t="s">
        <v>221</v>
      </c>
      <c r="D37" s="341">
        <v>27</v>
      </c>
      <c r="E37" s="211">
        <v>564358189.52625</v>
      </c>
      <c r="F37" s="211">
        <v>112871637.90525001</v>
      </c>
      <c r="G37" s="211">
        <v>113578987.90525001</v>
      </c>
      <c r="H37" s="211">
        <v>114993687.90525001</v>
      </c>
      <c r="I37" s="211">
        <v>111456937.90525001</v>
      </c>
      <c r="J37" s="211">
        <v>111456937.90525001</v>
      </c>
    </row>
    <row r="38" spans="3:10" x14ac:dyDescent="0.25">
      <c r="C38" s="209" t="s">
        <v>219</v>
      </c>
      <c r="D38" s="341">
        <v>27</v>
      </c>
      <c r="E38" s="211">
        <v>501661386.0875001</v>
      </c>
      <c r="F38" s="211">
        <v>102324649.75249998</v>
      </c>
      <c r="G38" s="211">
        <v>101151307.67749998</v>
      </c>
      <c r="H38" s="211">
        <v>100332277.21749999</v>
      </c>
      <c r="I38" s="211">
        <v>99518930.819999993</v>
      </c>
      <c r="J38" s="211">
        <v>98334220.61999999</v>
      </c>
    </row>
    <row r="39" spans="3:10" x14ac:dyDescent="0.25">
      <c r="C39" s="209" t="s">
        <v>220</v>
      </c>
      <c r="D39" s="341">
        <v>11</v>
      </c>
      <c r="E39" s="211">
        <v>364806288.05199993</v>
      </c>
      <c r="F39" s="211">
        <v>72961257.610400006</v>
      </c>
      <c r="G39" s="211">
        <v>72961257.610400006</v>
      </c>
      <c r="H39" s="211">
        <v>72961257.610400006</v>
      </c>
      <c r="I39" s="211">
        <v>72961257.610400006</v>
      </c>
      <c r="J39" s="211">
        <v>72961257.610400006</v>
      </c>
    </row>
    <row r="40" spans="3:10" x14ac:dyDescent="0.25">
      <c r="C40" s="209" t="s">
        <v>226</v>
      </c>
      <c r="D40" s="341">
        <v>6</v>
      </c>
      <c r="E40" s="211">
        <v>163524162.5</v>
      </c>
      <c r="F40" s="211">
        <v>32704832.5</v>
      </c>
      <c r="G40" s="211">
        <v>32704832.5</v>
      </c>
      <c r="H40" s="211">
        <v>32704832.5</v>
      </c>
      <c r="I40" s="211">
        <v>32704832.5</v>
      </c>
      <c r="J40" s="211">
        <v>32704832.5</v>
      </c>
    </row>
    <row r="41" spans="3:10" x14ac:dyDescent="0.25">
      <c r="C41" s="209" t="s">
        <v>223</v>
      </c>
      <c r="D41" s="341">
        <v>50</v>
      </c>
      <c r="E41" s="211">
        <v>144849590.57465902</v>
      </c>
      <c r="F41" s="211">
        <v>43936165.390656725</v>
      </c>
      <c r="G41" s="211">
        <v>17873428.566997431</v>
      </c>
      <c r="H41" s="211">
        <v>22911278.636332862</v>
      </c>
      <c r="I41" s="211">
        <v>32556505.775003694</v>
      </c>
      <c r="J41" s="211">
        <v>27572212.205668274</v>
      </c>
    </row>
    <row r="42" spans="3:10" x14ac:dyDescent="0.25">
      <c r="C42" s="209" t="s">
        <v>222</v>
      </c>
      <c r="D42" s="341">
        <v>7</v>
      </c>
      <c r="E42" s="211">
        <v>126225293.85000001</v>
      </c>
      <c r="F42" s="211">
        <v>25245058.77</v>
      </c>
      <c r="G42" s="211">
        <v>25245058.77</v>
      </c>
      <c r="H42" s="211">
        <v>25245058.77</v>
      </c>
      <c r="I42" s="211">
        <v>25245058.77</v>
      </c>
      <c r="J42" s="211">
        <v>25245058.77</v>
      </c>
    </row>
    <row r="43" spans="3:10" x14ac:dyDescent="0.25">
      <c r="C43" s="209" t="s">
        <v>115</v>
      </c>
      <c r="D43" s="341">
        <v>39</v>
      </c>
      <c r="E43" s="211">
        <v>124905403.29813404</v>
      </c>
      <c r="F43" s="211">
        <v>27769959.609626807</v>
      </c>
      <c r="G43" s="211">
        <v>25433683.609626807</v>
      </c>
      <c r="H43" s="211">
        <v>25402863.359626807</v>
      </c>
      <c r="I43" s="211">
        <v>23179763.359626807</v>
      </c>
      <c r="J43" s="211">
        <v>23119133.359626807</v>
      </c>
    </row>
    <row r="44" spans="3:10" x14ac:dyDescent="0.25">
      <c r="C44" s="209" t="s">
        <v>225</v>
      </c>
      <c r="D44" s="341">
        <v>13</v>
      </c>
      <c r="E44" s="211">
        <v>102969950</v>
      </c>
      <c r="F44" s="211">
        <v>20593990</v>
      </c>
      <c r="G44" s="211">
        <v>20593990</v>
      </c>
      <c r="H44" s="211">
        <v>20593990</v>
      </c>
      <c r="I44" s="211">
        <v>20593990</v>
      </c>
      <c r="J44" s="211">
        <v>20593990</v>
      </c>
    </row>
    <row r="45" spans="3:10" x14ac:dyDescent="0.25">
      <c r="C45" s="209" t="s">
        <v>224</v>
      </c>
      <c r="D45" s="341">
        <v>21</v>
      </c>
      <c r="E45" s="211">
        <v>55228271.200000003</v>
      </c>
      <c r="F45" s="211">
        <v>11191166.24</v>
      </c>
      <c r="G45" s="211">
        <v>11191166.24</v>
      </c>
      <c r="H45" s="211">
        <v>10948646.240000002</v>
      </c>
      <c r="I45" s="211">
        <v>10948646.240000002</v>
      </c>
      <c r="J45" s="211">
        <v>10948646.240000002</v>
      </c>
    </row>
    <row r="46" spans="3:10" x14ac:dyDescent="0.25">
      <c r="C46" s="209" t="s">
        <v>230</v>
      </c>
      <c r="D46" s="341">
        <v>14</v>
      </c>
      <c r="E46" s="211">
        <v>52638966</v>
      </c>
      <c r="F46" s="211">
        <v>10527793.199999999</v>
      </c>
      <c r="G46" s="211">
        <v>10527793.199999999</v>
      </c>
      <c r="H46" s="211">
        <v>10527793.199999999</v>
      </c>
      <c r="I46" s="211">
        <v>10527793.199999999</v>
      </c>
      <c r="J46" s="211">
        <v>10527793.199999999</v>
      </c>
    </row>
    <row r="47" spans="3:10" x14ac:dyDescent="0.25">
      <c r="C47" s="209" t="s">
        <v>228</v>
      </c>
      <c r="D47" s="341">
        <v>13</v>
      </c>
      <c r="E47" s="211">
        <v>43932063.590091996</v>
      </c>
      <c r="F47" s="211">
        <v>9053669.7580183987</v>
      </c>
      <c r="G47" s="211">
        <v>9053669.7580183987</v>
      </c>
      <c r="H47" s="211">
        <v>8608241.3580183983</v>
      </c>
      <c r="I47" s="211">
        <v>8608241.3580183983</v>
      </c>
      <c r="J47" s="211">
        <v>8608241.3580183983</v>
      </c>
    </row>
    <row r="48" spans="3:10" x14ac:dyDescent="0.25">
      <c r="C48" s="209" t="s">
        <v>227</v>
      </c>
      <c r="D48" s="341">
        <v>8</v>
      </c>
      <c r="E48" s="211">
        <v>39561075</v>
      </c>
      <c r="F48" s="211">
        <v>7363513.5</v>
      </c>
      <c r="G48" s="211">
        <v>6984576</v>
      </c>
      <c r="H48" s="211">
        <v>8527609.5</v>
      </c>
      <c r="I48" s="211">
        <v>8148672</v>
      </c>
      <c r="J48" s="211">
        <v>8536704</v>
      </c>
    </row>
    <row r="49" spans="1:10" x14ac:dyDescent="0.25">
      <c r="C49" s="209" t="s">
        <v>229</v>
      </c>
      <c r="D49" s="341">
        <v>8</v>
      </c>
      <c r="E49" s="211">
        <v>19199500</v>
      </c>
      <c r="F49" s="211">
        <v>3839900</v>
      </c>
      <c r="G49" s="211">
        <v>3839900</v>
      </c>
      <c r="H49" s="211">
        <v>3839900</v>
      </c>
      <c r="I49" s="211">
        <v>3839900</v>
      </c>
      <c r="J49" s="211">
        <v>3839900</v>
      </c>
    </row>
    <row r="50" spans="1:10" x14ac:dyDescent="0.25">
      <c r="C50" s="209" t="s">
        <v>232</v>
      </c>
      <c r="D50" s="341">
        <v>15</v>
      </c>
      <c r="E50" s="211">
        <v>9266285</v>
      </c>
      <c r="F50" s="211">
        <v>1853257</v>
      </c>
      <c r="G50" s="211">
        <v>1853257</v>
      </c>
      <c r="H50" s="211">
        <v>1853257</v>
      </c>
      <c r="I50" s="211">
        <v>1853257</v>
      </c>
      <c r="J50" s="211">
        <v>1853257</v>
      </c>
    </row>
    <row r="51" spans="1:10" x14ac:dyDescent="0.25">
      <c r="C51" s="209" t="s">
        <v>231</v>
      </c>
      <c r="D51" s="341">
        <v>7</v>
      </c>
      <c r="E51" s="211">
        <v>5229337.5</v>
      </c>
      <c r="F51" s="211">
        <v>1045867.5</v>
      </c>
      <c r="G51" s="211">
        <v>1045867.5</v>
      </c>
      <c r="H51" s="211">
        <v>1045867.5</v>
      </c>
      <c r="I51" s="211">
        <v>1045867.5</v>
      </c>
      <c r="J51" s="211">
        <v>1045867.5</v>
      </c>
    </row>
    <row r="52" spans="1:10" x14ac:dyDescent="0.25">
      <c r="C52" s="209" t="s">
        <v>242</v>
      </c>
      <c r="D52" s="341">
        <v>1</v>
      </c>
      <c r="E52" s="211">
        <v>2122050</v>
      </c>
      <c r="F52" s="211">
        <v>424410</v>
      </c>
      <c r="G52" s="211">
        <v>424410</v>
      </c>
      <c r="H52" s="211">
        <v>424410</v>
      </c>
      <c r="I52" s="211">
        <v>424410</v>
      </c>
      <c r="J52" s="211">
        <v>424410</v>
      </c>
    </row>
    <row r="53" spans="1:10" x14ac:dyDescent="0.25">
      <c r="C53" s="209" t="s">
        <v>243</v>
      </c>
      <c r="D53" s="341">
        <v>4</v>
      </c>
      <c r="E53" s="211">
        <v>1394490</v>
      </c>
      <c r="F53" s="211">
        <v>278898</v>
      </c>
      <c r="G53" s="211">
        <v>278898</v>
      </c>
      <c r="H53" s="211">
        <v>278898</v>
      </c>
      <c r="I53" s="211">
        <v>278898</v>
      </c>
      <c r="J53" s="211">
        <v>278898</v>
      </c>
    </row>
    <row r="54" spans="1:10" x14ac:dyDescent="0.25">
      <c r="C54" s="209" t="s">
        <v>244</v>
      </c>
      <c r="D54" s="341">
        <v>2</v>
      </c>
      <c r="E54" s="211">
        <v>282940</v>
      </c>
      <c r="F54" s="211">
        <v>56588</v>
      </c>
      <c r="G54" s="211">
        <v>56588</v>
      </c>
      <c r="H54" s="211">
        <v>56588</v>
      </c>
      <c r="I54" s="211">
        <v>56588</v>
      </c>
      <c r="J54" s="211">
        <v>56588</v>
      </c>
    </row>
    <row r="55" spans="1:10" x14ac:dyDescent="0.25">
      <c r="C55" s="328" t="s">
        <v>141</v>
      </c>
      <c r="D55" s="341">
        <v>302</v>
      </c>
      <c r="E55" s="211">
        <v>2963396073.7111363</v>
      </c>
      <c r="F55" s="211">
        <v>610166393.75645196</v>
      </c>
      <c r="G55" s="211">
        <v>582245875.41904271</v>
      </c>
      <c r="H55" s="211">
        <v>589117633.18175304</v>
      </c>
      <c r="I55" s="211">
        <v>593385669.49192393</v>
      </c>
      <c r="J55" s="211">
        <v>588480501.86196339</v>
      </c>
    </row>
    <row r="56" spans="1:10" s="874" customFormat="1" x14ac:dyDescent="0.25">
      <c r="A56" s="1186"/>
      <c r="C56" s="328"/>
      <c r="D56" s="341"/>
      <c r="E56" s="211"/>
      <c r="F56" s="211"/>
      <c r="G56" s="211"/>
      <c r="H56" s="211"/>
      <c r="I56" s="211"/>
      <c r="J56" s="211"/>
    </row>
    <row r="58" spans="1:10" ht="23.45" customHeight="1" x14ac:dyDescent="0.25">
      <c r="C58" s="1506" t="s">
        <v>2317</v>
      </c>
      <c r="D58" s="1506"/>
      <c r="E58" s="1506"/>
      <c r="F58" s="1506"/>
      <c r="G58" s="1506"/>
      <c r="H58" s="1506"/>
      <c r="I58" s="1506"/>
      <c r="J58" s="1506"/>
    </row>
    <row r="59" spans="1:10" x14ac:dyDescent="0.25">
      <c r="C59" s="959"/>
      <c r="D59" s="396"/>
      <c r="E59" s="396"/>
      <c r="F59" s="396"/>
      <c r="G59" s="396"/>
      <c r="H59" s="396"/>
      <c r="I59" s="396"/>
      <c r="J59" s="396"/>
    </row>
    <row r="60" spans="1:10" x14ac:dyDescent="0.25">
      <c r="C60" s="401" t="s">
        <v>2314</v>
      </c>
      <c r="D60" s="287" t="s">
        <v>2309</v>
      </c>
      <c r="E60" s="287" t="s">
        <v>2312</v>
      </c>
      <c r="F60" s="287" t="s">
        <v>211</v>
      </c>
      <c r="G60" s="287" t="s">
        <v>212</v>
      </c>
      <c r="H60" s="287" t="s">
        <v>213</v>
      </c>
      <c r="I60" s="287" t="s">
        <v>214</v>
      </c>
      <c r="J60" s="287" t="s">
        <v>215</v>
      </c>
    </row>
    <row r="61" spans="1:10" x14ac:dyDescent="0.25">
      <c r="C61" s="209" t="s">
        <v>194</v>
      </c>
      <c r="D61" s="341">
        <v>32</v>
      </c>
      <c r="E61" s="211">
        <v>657799200.81899989</v>
      </c>
      <c r="F61" s="211">
        <v>133557896.76130001</v>
      </c>
      <c r="G61" s="211">
        <v>132378870.62380002</v>
      </c>
      <c r="H61" s="211">
        <v>131559840.16380002</v>
      </c>
      <c r="I61" s="211">
        <v>130740809.70380002</v>
      </c>
      <c r="J61" s="211">
        <v>129561783.56630003</v>
      </c>
    </row>
    <row r="62" spans="1:10" x14ac:dyDescent="0.25">
      <c r="C62" s="209" t="s">
        <v>195</v>
      </c>
      <c r="D62" s="341">
        <v>32</v>
      </c>
      <c r="E62" s="211">
        <v>649274306.53249991</v>
      </c>
      <c r="F62" s="211">
        <v>127811314.02</v>
      </c>
      <c r="G62" s="211">
        <v>129033688.08124998</v>
      </c>
      <c r="H62" s="211">
        <v>129447661.38462499</v>
      </c>
      <c r="I62" s="211">
        <v>131022604.45362499</v>
      </c>
      <c r="J62" s="211">
        <v>131959038.59299999</v>
      </c>
    </row>
    <row r="63" spans="1:10" x14ac:dyDescent="0.25">
      <c r="C63" s="209" t="s">
        <v>200</v>
      </c>
      <c r="D63" s="341">
        <v>5</v>
      </c>
      <c r="E63" s="211">
        <v>470044180.00000006</v>
      </c>
      <c r="F63" s="211">
        <v>94008836.000000015</v>
      </c>
      <c r="G63" s="211">
        <v>94008836.000000015</v>
      </c>
      <c r="H63" s="211">
        <v>94008836.000000015</v>
      </c>
      <c r="I63" s="211">
        <v>94008836.000000015</v>
      </c>
      <c r="J63" s="211">
        <v>94008836.000000015</v>
      </c>
    </row>
    <row r="64" spans="1:10" x14ac:dyDescent="0.25">
      <c r="C64" s="209" t="s">
        <v>196</v>
      </c>
      <c r="D64" s="341">
        <v>35</v>
      </c>
      <c r="E64" s="211">
        <v>420427539.67049998</v>
      </c>
      <c r="F64" s="211">
        <v>83531122.371599987</v>
      </c>
      <c r="G64" s="211">
        <v>83157868.934100002</v>
      </c>
      <c r="H64" s="211">
        <v>84700902.434099987</v>
      </c>
      <c r="I64" s="211">
        <v>84327648.996599987</v>
      </c>
      <c r="J64" s="211">
        <v>84709996.934099987</v>
      </c>
    </row>
    <row r="65" spans="1:10" x14ac:dyDescent="0.25">
      <c r="C65" s="209" t="s">
        <v>201</v>
      </c>
      <c r="D65" s="341">
        <v>20</v>
      </c>
      <c r="E65" s="211">
        <v>232826526.125</v>
      </c>
      <c r="F65" s="211">
        <v>46565305.225000001</v>
      </c>
      <c r="G65" s="211">
        <v>47272655.225000001</v>
      </c>
      <c r="H65" s="211">
        <v>48687355.225000001</v>
      </c>
      <c r="I65" s="211">
        <v>45150605.225000001</v>
      </c>
      <c r="J65" s="211">
        <v>45150605.225000001</v>
      </c>
    </row>
    <row r="66" spans="1:10" x14ac:dyDescent="0.25">
      <c r="C66" s="209" t="s">
        <v>204</v>
      </c>
      <c r="D66" s="341">
        <v>47</v>
      </c>
      <c r="E66" s="211">
        <v>211994334.55900475</v>
      </c>
      <c r="F66" s="211">
        <v>68880271.57619673</v>
      </c>
      <c r="G66" s="211">
        <v>37095070.933201998</v>
      </c>
      <c r="H66" s="211">
        <v>36821730.683201998</v>
      </c>
      <c r="I66" s="211">
        <v>34598630.683201998</v>
      </c>
      <c r="J66" s="211">
        <v>34598630.683201998</v>
      </c>
    </row>
    <row r="67" spans="1:10" x14ac:dyDescent="0.25">
      <c r="C67" s="209" t="s">
        <v>202</v>
      </c>
      <c r="D67" s="341">
        <v>70</v>
      </c>
      <c r="E67" s="211">
        <v>124742816.41503829</v>
      </c>
      <c r="F67" s="211">
        <v>16145486.844336823</v>
      </c>
      <c r="G67" s="211">
        <v>19794404.663672246</v>
      </c>
      <c r="H67" s="211">
        <v>24832254.733007669</v>
      </c>
      <c r="I67" s="211">
        <v>34477481.871678501</v>
      </c>
      <c r="J67" s="211">
        <v>29493188.302343082</v>
      </c>
    </row>
    <row r="68" spans="1:10" x14ac:dyDescent="0.25">
      <c r="C68" s="209" t="s">
        <v>197</v>
      </c>
      <c r="D68" s="341">
        <v>22</v>
      </c>
      <c r="E68" s="211">
        <v>114318441.090092</v>
      </c>
      <c r="F68" s="211">
        <v>23223911.258018397</v>
      </c>
      <c r="G68" s="211">
        <v>23122861.258018397</v>
      </c>
      <c r="H68" s="211">
        <v>22677432.858018398</v>
      </c>
      <c r="I68" s="211">
        <v>22677432.858018398</v>
      </c>
      <c r="J68" s="211">
        <v>22616802.858018398</v>
      </c>
    </row>
    <row r="69" spans="1:10" x14ac:dyDescent="0.25">
      <c r="C69" s="209" t="s">
        <v>198</v>
      </c>
      <c r="D69" s="341">
        <v>15</v>
      </c>
      <c r="E69" s="211">
        <v>57489366</v>
      </c>
      <c r="F69" s="211">
        <v>11497873.199999999</v>
      </c>
      <c r="G69" s="211">
        <v>11497873.199999999</v>
      </c>
      <c r="H69" s="211">
        <v>11497873.199999999</v>
      </c>
      <c r="I69" s="211">
        <v>11497873.199999999</v>
      </c>
      <c r="J69" s="211">
        <v>11497873.199999999</v>
      </c>
    </row>
    <row r="70" spans="1:10" x14ac:dyDescent="0.25">
      <c r="C70" s="209" t="s">
        <v>205</v>
      </c>
      <c r="D70" s="341">
        <v>24</v>
      </c>
      <c r="E70" s="211">
        <v>24479362.5</v>
      </c>
      <c r="F70" s="211">
        <v>4944376.5</v>
      </c>
      <c r="G70" s="211">
        <v>4883746.5</v>
      </c>
      <c r="H70" s="211">
        <v>4883746.5</v>
      </c>
      <c r="I70" s="211">
        <v>4883746.5</v>
      </c>
      <c r="J70" s="211">
        <v>4883746.5</v>
      </c>
    </row>
    <row r="71" spans="1:10" x14ac:dyDescent="0.25">
      <c r="C71" s="328" t="s">
        <v>141</v>
      </c>
      <c r="D71" s="341">
        <v>302</v>
      </c>
      <c r="E71" s="211">
        <v>2963396073.7111344</v>
      </c>
      <c r="F71" s="211">
        <v>610166393.75645196</v>
      </c>
      <c r="G71" s="211">
        <v>582245875.41904283</v>
      </c>
      <c r="H71" s="211">
        <v>589117633.18175316</v>
      </c>
      <c r="I71" s="211">
        <v>593385669.49192381</v>
      </c>
      <c r="J71" s="211">
        <v>588480501.86196339</v>
      </c>
    </row>
    <row r="72" spans="1:10" s="874" customFormat="1" x14ac:dyDescent="0.25">
      <c r="A72" s="1186"/>
      <c r="C72" s="328"/>
      <c r="D72" s="341"/>
      <c r="E72" s="211"/>
      <c r="F72" s="211"/>
      <c r="G72" s="211"/>
      <c r="H72" s="211"/>
      <c r="I72" s="211"/>
      <c r="J72" s="211"/>
    </row>
    <row r="74" spans="1:10" ht="27" customHeight="1" x14ac:dyDescent="0.25">
      <c r="C74" s="1506" t="s">
        <v>2318</v>
      </c>
      <c r="D74" s="1506"/>
      <c r="E74" s="1506"/>
      <c r="F74" s="1506"/>
      <c r="G74" s="1506"/>
      <c r="H74" s="1506"/>
      <c r="I74" s="1506"/>
      <c r="J74" s="1506"/>
    </row>
    <row r="75" spans="1:10" x14ac:dyDescent="0.25">
      <c r="C75" s="959"/>
      <c r="D75" s="396"/>
      <c r="E75" s="396"/>
      <c r="F75" s="396"/>
      <c r="G75" s="396"/>
      <c r="H75" s="396"/>
      <c r="I75" s="396"/>
      <c r="J75" s="396"/>
    </row>
    <row r="76" spans="1:10" x14ac:dyDescent="0.25">
      <c r="C76" s="401" t="s">
        <v>2315</v>
      </c>
      <c r="D76" s="287" t="s">
        <v>2309</v>
      </c>
      <c r="E76" s="287" t="s">
        <v>2312</v>
      </c>
      <c r="F76" s="287" t="s">
        <v>211</v>
      </c>
      <c r="G76" s="287" t="s">
        <v>212</v>
      </c>
      <c r="H76" s="287" t="s">
        <v>213</v>
      </c>
      <c r="I76" s="287" t="s">
        <v>214</v>
      </c>
      <c r="J76" s="287" t="s">
        <v>215</v>
      </c>
    </row>
    <row r="77" spans="1:10" x14ac:dyDescent="0.25">
      <c r="C77" s="209" t="s">
        <v>193</v>
      </c>
      <c r="D77" s="341">
        <v>124</v>
      </c>
      <c r="E77" s="211">
        <v>1886283509.1120915</v>
      </c>
      <c r="F77" s="211">
        <v>377017048.6109184</v>
      </c>
      <c r="G77" s="211">
        <v>376586093.09716833</v>
      </c>
      <c r="H77" s="211">
        <v>377278641.04054338</v>
      </c>
      <c r="I77" s="211">
        <v>377661300.21204334</v>
      </c>
      <c r="J77" s="211">
        <v>377740426.15141839</v>
      </c>
    </row>
    <row r="78" spans="1:10" x14ac:dyDescent="0.25">
      <c r="C78" s="209" t="s">
        <v>199</v>
      </c>
      <c r="D78" s="341">
        <v>95</v>
      </c>
      <c r="E78" s="211">
        <v>827613522.54003859</v>
      </c>
      <c r="F78" s="211">
        <v>156719628.06933683</v>
      </c>
      <c r="G78" s="211">
        <v>161075895.88867223</v>
      </c>
      <c r="H78" s="211">
        <v>167528445.9580076</v>
      </c>
      <c r="I78" s="211">
        <v>173636923.09667847</v>
      </c>
      <c r="J78" s="211">
        <v>168652629.52734306</v>
      </c>
    </row>
    <row r="79" spans="1:10" x14ac:dyDescent="0.25">
      <c r="C79" s="209" t="s">
        <v>203</v>
      </c>
      <c r="D79" s="341">
        <v>83</v>
      </c>
      <c r="E79" s="211">
        <v>249499042.05900478</v>
      </c>
      <c r="F79" s="211">
        <v>76429717.07619673</v>
      </c>
      <c r="G79" s="211">
        <v>44583886.433201998</v>
      </c>
      <c r="H79" s="211">
        <v>44310546.183201998</v>
      </c>
      <c r="I79" s="211">
        <v>42087446.183201998</v>
      </c>
      <c r="J79" s="211">
        <v>42087446.183201998</v>
      </c>
    </row>
    <row r="80" spans="1:10" x14ac:dyDescent="0.25">
      <c r="C80" s="328" t="s">
        <v>141</v>
      </c>
      <c r="D80" s="341">
        <v>302</v>
      </c>
      <c r="E80" s="211">
        <v>2963396073.7111354</v>
      </c>
      <c r="F80" s="211">
        <v>610166393.75645161</v>
      </c>
      <c r="G80" s="211">
        <v>582245875.41904235</v>
      </c>
      <c r="H80" s="211">
        <v>589117633.18175268</v>
      </c>
      <c r="I80" s="211">
        <v>593385669.49192357</v>
      </c>
      <c r="J80" s="211">
        <v>588480501.86196327</v>
      </c>
    </row>
    <row r="83" spans="3:10" x14ac:dyDescent="0.25">
      <c r="C83" s="1506" t="s">
        <v>2319</v>
      </c>
      <c r="D83" s="1506"/>
      <c r="E83" s="1506"/>
      <c r="F83" s="1506"/>
      <c r="G83" s="1506"/>
      <c r="H83" s="1506"/>
      <c r="I83" s="1506"/>
      <c r="J83" s="1506"/>
    </row>
    <row r="84" spans="3:10" x14ac:dyDescent="0.25">
      <c r="C84" s="959"/>
      <c r="D84" s="396"/>
      <c r="E84" s="396"/>
      <c r="F84" s="396"/>
      <c r="G84" s="396"/>
      <c r="H84" s="396"/>
      <c r="I84" s="396"/>
      <c r="J84" s="396"/>
    </row>
    <row r="85" spans="3:10" x14ac:dyDescent="0.25">
      <c r="C85" s="401" t="s">
        <v>255</v>
      </c>
      <c r="D85" s="287" t="s">
        <v>2309</v>
      </c>
      <c r="E85" s="287" t="s">
        <v>2312</v>
      </c>
      <c r="F85" s="287" t="s">
        <v>211</v>
      </c>
      <c r="G85" s="287" t="s">
        <v>212</v>
      </c>
      <c r="H85" s="287" t="s">
        <v>213</v>
      </c>
      <c r="I85" s="287" t="s">
        <v>214</v>
      </c>
      <c r="J85" s="287" t="s">
        <v>215</v>
      </c>
    </row>
    <row r="86" spans="3:10" x14ac:dyDescent="0.25">
      <c r="C86" s="209" t="s">
        <v>163</v>
      </c>
      <c r="D86" s="341">
        <v>11</v>
      </c>
      <c r="E86" s="211">
        <v>573618459.52499986</v>
      </c>
      <c r="F86" s="211">
        <v>112076843.78249998</v>
      </c>
      <c r="G86" s="211">
        <v>113400267.84374999</v>
      </c>
      <c r="H86" s="211">
        <v>114336701.98312499</v>
      </c>
      <c r="I86" s="211">
        <v>116434105.88812499</v>
      </c>
      <c r="J86" s="211">
        <v>117370540.02749999</v>
      </c>
    </row>
    <row r="87" spans="3:10" x14ac:dyDescent="0.25">
      <c r="C87" s="209" t="s">
        <v>276</v>
      </c>
      <c r="D87" s="341">
        <v>4</v>
      </c>
      <c r="E87" s="211">
        <v>434676680.00000006</v>
      </c>
      <c r="F87" s="211">
        <v>86935336.000000015</v>
      </c>
      <c r="G87" s="211">
        <v>86935336.000000015</v>
      </c>
      <c r="H87" s="211">
        <v>86935336.000000015</v>
      </c>
      <c r="I87" s="211">
        <v>86935336.000000015</v>
      </c>
      <c r="J87" s="211">
        <v>86935336.000000015</v>
      </c>
    </row>
    <row r="88" spans="3:10" x14ac:dyDescent="0.25">
      <c r="C88" s="209" t="s">
        <v>164</v>
      </c>
      <c r="D88" s="341">
        <v>4</v>
      </c>
      <c r="E88" s="211">
        <v>358852903.04999995</v>
      </c>
      <c r="F88" s="211">
        <v>71770580.609999999</v>
      </c>
      <c r="G88" s="211">
        <v>71770580.609999999</v>
      </c>
      <c r="H88" s="211">
        <v>71770580.609999999</v>
      </c>
      <c r="I88" s="211">
        <v>71770580.609999999</v>
      </c>
      <c r="J88" s="211">
        <v>71770580.609999999</v>
      </c>
    </row>
    <row r="89" spans="3:10" x14ac:dyDescent="0.25">
      <c r="C89" s="209" t="s">
        <v>161</v>
      </c>
      <c r="D89" s="341">
        <v>4</v>
      </c>
      <c r="E89" s="211">
        <v>210992728.41250002</v>
      </c>
      <c r="F89" s="211">
        <v>42198545.682499997</v>
      </c>
      <c r="G89" s="211">
        <v>42198545.682499997</v>
      </c>
      <c r="H89" s="211">
        <v>42198545.682499997</v>
      </c>
      <c r="I89" s="211">
        <v>42198545.682499997</v>
      </c>
      <c r="J89" s="211">
        <v>42198545.682499997</v>
      </c>
    </row>
    <row r="90" spans="3:10" x14ac:dyDescent="0.25">
      <c r="C90" s="209" t="s">
        <v>158</v>
      </c>
      <c r="D90" s="341">
        <v>4</v>
      </c>
      <c r="E90" s="211">
        <v>183471937.75</v>
      </c>
      <c r="F90" s="211">
        <v>36694387.549999997</v>
      </c>
      <c r="G90" s="211">
        <v>36694387.549999997</v>
      </c>
      <c r="H90" s="211">
        <v>36694387.549999997</v>
      </c>
      <c r="I90" s="211">
        <v>36694387.549999997</v>
      </c>
      <c r="J90" s="211">
        <v>36694387.549999997</v>
      </c>
    </row>
    <row r="91" spans="3:10" x14ac:dyDescent="0.25">
      <c r="C91" s="209" t="s">
        <v>166</v>
      </c>
      <c r="D91" s="341">
        <v>7</v>
      </c>
      <c r="E91" s="211">
        <v>126225293.85000001</v>
      </c>
      <c r="F91" s="211">
        <v>25245058.77</v>
      </c>
      <c r="G91" s="211">
        <v>25245058.77</v>
      </c>
      <c r="H91" s="211">
        <v>25245058.77</v>
      </c>
      <c r="I91" s="211">
        <v>25245058.77</v>
      </c>
      <c r="J91" s="211">
        <v>25245058.77</v>
      </c>
    </row>
    <row r="92" spans="3:10" x14ac:dyDescent="0.25">
      <c r="C92" s="209" t="s">
        <v>173</v>
      </c>
      <c r="D92" s="341">
        <v>3</v>
      </c>
      <c r="E92" s="211">
        <v>116409600</v>
      </c>
      <c r="F92" s="211">
        <v>23281920</v>
      </c>
      <c r="G92" s="211">
        <v>23281920</v>
      </c>
      <c r="H92" s="211">
        <v>23281920</v>
      </c>
      <c r="I92" s="211">
        <v>23281920</v>
      </c>
      <c r="J92" s="211">
        <v>23281920</v>
      </c>
    </row>
    <row r="93" spans="3:10" x14ac:dyDescent="0.25">
      <c r="C93" s="209" t="s">
        <v>170</v>
      </c>
      <c r="D93" s="341">
        <v>13</v>
      </c>
      <c r="E93" s="211">
        <v>99685871.386708364</v>
      </c>
      <c r="F93" s="211">
        <v>9968587.1386708394</v>
      </c>
      <c r="G93" s="211">
        <v>14952880.708006257</v>
      </c>
      <c r="H93" s="211">
        <v>19937174.277341679</v>
      </c>
      <c r="I93" s="211">
        <v>29905761.416012514</v>
      </c>
      <c r="J93" s="211">
        <v>24921467.846677091</v>
      </c>
    </row>
    <row r="94" spans="3:10" x14ac:dyDescent="0.25">
      <c r="C94" s="209" t="s">
        <v>289</v>
      </c>
      <c r="D94" s="341">
        <v>2</v>
      </c>
      <c r="E94" s="211">
        <v>94987000</v>
      </c>
      <c r="F94" s="211">
        <v>18997400</v>
      </c>
      <c r="G94" s="211">
        <v>18997400</v>
      </c>
      <c r="H94" s="211">
        <v>18997400</v>
      </c>
      <c r="I94" s="211">
        <v>18997400</v>
      </c>
      <c r="J94" s="211">
        <v>18997400</v>
      </c>
    </row>
    <row r="95" spans="3:10" x14ac:dyDescent="0.25">
      <c r="C95" s="209" t="s">
        <v>273</v>
      </c>
      <c r="D95" s="341">
        <v>4</v>
      </c>
      <c r="E95" s="211">
        <v>84882000</v>
      </c>
      <c r="F95" s="211">
        <v>16976400</v>
      </c>
      <c r="G95" s="211">
        <v>17683750</v>
      </c>
      <c r="H95" s="211">
        <v>19098450</v>
      </c>
      <c r="I95" s="211">
        <v>15561700</v>
      </c>
      <c r="J95" s="211">
        <v>15561700</v>
      </c>
    </row>
    <row r="96" spans="3:10" x14ac:dyDescent="0.25">
      <c r="C96" s="209" t="s">
        <v>162</v>
      </c>
      <c r="D96" s="341">
        <v>8</v>
      </c>
      <c r="E96" s="211">
        <v>65196297.924999982</v>
      </c>
      <c r="F96" s="211">
        <v>15037316.182499997</v>
      </c>
      <c r="G96" s="211">
        <v>13858290.044999998</v>
      </c>
      <c r="H96" s="211">
        <v>13039259.585000001</v>
      </c>
      <c r="I96" s="211">
        <v>12220229.125</v>
      </c>
      <c r="J96" s="211">
        <v>11041202.987500001</v>
      </c>
    </row>
    <row r="97" spans="3:10" x14ac:dyDescent="0.25">
      <c r="C97" s="209" t="s">
        <v>298</v>
      </c>
      <c r="D97" s="341">
        <v>1</v>
      </c>
      <c r="E97" s="211">
        <v>60630000</v>
      </c>
      <c r="F97" s="211">
        <v>12126000</v>
      </c>
      <c r="G97" s="211">
        <v>12126000</v>
      </c>
      <c r="H97" s="211">
        <v>12126000</v>
      </c>
      <c r="I97" s="211">
        <v>12126000</v>
      </c>
      <c r="J97" s="211">
        <v>12126000</v>
      </c>
    </row>
    <row r="98" spans="3:10" x14ac:dyDescent="0.25">
      <c r="C98" s="209" t="s">
        <v>176</v>
      </c>
      <c r="D98" s="341">
        <v>3</v>
      </c>
      <c r="E98" s="211">
        <v>47114562.5</v>
      </c>
      <c r="F98" s="211">
        <v>9422912.5</v>
      </c>
      <c r="G98" s="211">
        <v>9422912.5</v>
      </c>
      <c r="H98" s="211">
        <v>9422912.5</v>
      </c>
      <c r="I98" s="211">
        <v>9422912.5</v>
      </c>
      <c r="J98" s="211">
        <v>9422912.5</v>
      </c>
    </row>
    <row r="99" spans="3:10" x14ac:dyDescent="0.25">
      <c r="C99" s="209" t="s">
        <v>154</v>
      </c>
      <c r="D99" s="341">
        <v>4</v>
      </c>
      <c r="E99" s="211">
        <v>41647862.591999993</v>
      </c>
      <c r="F99" s="211">
        <v>8329572.5184000004</v>
      </c>
      <c r="G99" s="211">
        <v>8329572.5184000004</v>
      </c>
      <c r="H99" s="211">
        <v>8329572.5184000004</v>
      </c>
      <c r="I99" s="211">
        <v>8329572.5184000004</v>
      </c>
      <c r="J99" s="211">
        <v>8329572.5184000004</v>
      </c>
    </row>
    <row r="100" spans="3:10" x14ac:dyDescent="0.25">
      <c r="C100" s="209" t="s">
        <v>263</v>
      </c>
      <c r="D100" s="341">
        <v>7</v>
      </c>
      <c r="E100" s="211">
        <v>40369475</v>
      </c>
      <c r="F100" s="211">
        <v>8301257.5</v>
      </c>
      <c r="G100" s="211">
        <v>7922320</v>
      </c>
      <c r="H100" s="211">
        <v>8301257.5</v>
      </c>
      <c r="I100" s="211">
        <v>7922320</v>
      </c>
      <c r="J100" s="211">
        <v>7922320</v>
      </c>
    </row>
    <row r="101" spans="3:10" x14ac:dyDescent="0.25">
      <c r="C101" s="209" t="s">
        <v>165</v>
      </c>
      <c r="D101" s="341">
        <v>11</v>
      </c>
      <c r="E101" s="211">
        <v>38815326</v>
      </c>
      <c r="F101" s="211">
        <v>7763065.2000000002</v>
      </c>
      <c r="G101" s="211">
        <v>7763065.2000000002</v>
      </c>
      <c r="H101" s="211">
        <v>7763065.2000000002</v>
      </c>
      <c r="I101" s="211">
        <v>7763065.2000000002</v>
      </c>
      <c r="J101" s="211">
        <v>7763065.2000000002</v>
      </c>
    </row>
    <row r="102" spans="3:10" x14ac:dyDescent="0.25">
      <c r="C102" s="209" t="s">
        <v>282</v>
      </c>
      <c r="D102" s="341">
        <v>2</v>
      </c>
      <c r="E102" s="211">
        <v>33393564.037499994</v>
      </c>
      <c r="F102" s="211">
        <v>6678712.8074999992</v>
      </c>
      <c r="G102" s="211">
        <v>6678712.8074999992</v>
      </c>
      <c r="H102" s="211">
        <v>6678712.8074999992</v>
      </c>
      <c r="I102" s="211">
        <v>6678712.8074999992</v>
      </c>
      <c r="J102" s="211">
        <v>6678712.8074999992</v>
      </c>
    </row>
    <row r="103" spans="3:10" x14ac:dyDescent="0.25">
      <c r="C103" s="209" t="s">
        <v>167</v>
      </c>
      <c r="D103" s="341">
        <v>4</v>
      </c>
      <c r="E103" s="211">
        <v>32336000</v>
      </c>
      <c r="F103" s="211">
        <v>5691136</v>
      </c>
      <c r="G103" s="211">
        <v>5691136</v>
      </c>
      <c r="H103" s="211">
        <v>6855232</v>
      </c>
      <c r="I103" s="211">
        <v>6855232</v>
      </c>
      <c r="J103" s="211">
        <v>7243264</v>
      </c>
    </row>
    <row r="104" spans="3:10" x14ac:dyDescent="0.25">
      <c r="C104" s="209" t="s">
        <v>185</v>
      </c>
      <c r="D104" s="341">
        <v>4</v>
      </c>
      <c r="E104" s="211">
        <v>30929307.142994732</v>
      </c>
      <c r="F104" s="211">
        <v>30929307.142994732</v>
      </c>
      <c r="G104" s="211">
        <v>0</v>
      </c>
      <c r="H104" s="211">
        <v>0</v>
      </c>
      <c r="I104" s="211">
        <v>0</v>
      </c>
      <c r="J104" s="211">
        <v>0</v>
      </c>
    </row>
    <row r="105" spans="3:10" x14ac:dyDescent="0.25">
      <c r="C105" s="209" t="s">
        <v>157</v>
      </c>
      <c r="D105" s="341">
        <v>2</v>
      </c>
      <c r="E105" s="211">
        <v>29500506.790091999</v>
      </c>
      <c r="F105" s="211">
        <v>5900101.3580183992</v>
      </c>
      <c r="G105" s="211">
        <v>5900101.3580183992</v>
      </c>
      <c r="H105" s="211">
        <v>5900101.3580183992</v>
      </c>
      <c r="I105" s="211">
        <v>5900101.3580183992</v>
      </c>
      <c r="J105" s="211">
        <v>5900101.3580183992</v>
      </c>
    </row>
    <row r="106" spans="3:10" x14ac:dyDescent="0.25">
      <c r="C106" s="209" t="s">
        <v>269</v>
      </c>
      <c r="D106" s="341">
        <v>4</v>
      </c>
      <c r="E106" s="211">
        <v>25228903.401250005</v>
      </c>
      <c r="F106" s="211">
        <v>5045780.6802500002</v>
      </c>
      <c r="G106" s="211">
        <v>5045780.6802500002</v>
      </c>
      <c r="H106" s="211">
        <v>5045780.6802500002</v>
      </c>
      <c r="I106" s="211">
        <v>5045780.6802500002</v>
      </c>
      <c r="J106" s="211">
        <v>5045780.6802500002</v>
      </c>
    </row>
    <row r="107" spans="3:10" x14ac:dyDescent="0.25">
      <c r="C107" s="209" t="s">
        <v>160</v>
      </c>
      <c r="D107" s="341">
        <v>4</v>
      </c>
      <c r="E107" s="211">
        <v>21203462.969999999</v>
      </c>
      <c r="F107" s="211">
        <v>4763153.43</v>
      </c>
      <c r="G107" s="211">
        <v>4763153.43</v>
      </c>
      <c r="H107" s="211">
        <v>4240692.5939999996</v>
      </c>
      <c r="I107" s="211">
        <v>3718231.7579999994</v>
      </c>
      <c r="J107" s="211">
        <v>3718231.7579999994</v>
      </c>
    </row>
    <row r="108" spans="3:10" x14ac:dyDescent="0.25">
      <c r="C108" s="209" t="s">
        <v>272</v>
      </c>
      <c r="D108" s="341">
        <v>4</v>
      </c>
      <c r="E108" s="211">
        <v>14927358.625</v>
      </c>
      <c r="F108" s="211">
        <v>2985471.7250000001</v>
      </c>
      <c r="G108" s="211">
        <v>2985471.7250000001</v>
      </c>
      <c r="H108" s="211">
        <v>2985471.7250000001</v>
      </c>
      <c r="I108" s="211">
        <v>2985471.7250000001</v>
      </c>
      <c r="J108" s="211">
        <v>2985471.7250000001</v>
      </c>
    </row>
    <row r="109" spans="3:10" x14ac:dyDescent="0.25">
      <c r="C109" s="209" t="s">
        <v>174</v>
      </c>
      <c r="D109" s="341">
        <v>3</v>
      </c>
      <c r="E109" s="211">
        <v>13823640</v>
      </c>
      <c r="F109" s="211">
        <v>2764728</v>
      </c>
      <c r="G109" s="211">
        <v>2764728</v>
      </c>
      <c r="H109" s="211">
        <v>2764728</v>
      </c>
      <c r="I109" s="211">
        <v>2764728</v>
      </c>
      <c r="J109" s="211">
        <v>2764728</v>
      </c>
    </row>
    <row r="110" spans="3:10" x14ac:dyDescent="0.25">
      <c r="C110" s="209" t="s">
        <v>156</v>
      </c>
      <c r="D110" s="341">
        <v>4</v>
      </c>
      <c r="E110" s="211">
        <v>10569830</v>
      </c>
      <c r="F110" s="211">
        <v>2113966</v>
      </c>
      <c r="G110" s="211">
        <v>2113966</v>
      </c>
      <c r="H110" s="211">
        <v>2113966</v>
      </c>
      <c r="I110" s="211">
        <v>2113966</v>
      </c>
      <c r="J110" s="211">
        <v>2113966</v>
      </c>
    </row>
    <row r="111" spans="3:10" x14ac:dyDescent="0.25">
      <c r="C111" s="209" t="s">
        <v>268</v>
      </c>
      <c r="D111" s="341">
        <v>4</v>
      </c>
      <c r="E111" s="211">
        <v>10064580</v>
      </c>
      <c r="F111" s="211">
        <v>2012916</v>
      </c>
      <c r="G111" s="211">
        <v>2012916</v>
      </c>
      <c r="H111" s="211">
        <v>2012916</v>
      </c>
      <c r="I111" s="211">
        <v>2012916</v>
      </c>
      <c r="J111" s="211">
        <v>2012916</v>
      </c>
    </row>
    <row r="112" spans="3:10" x14ac:dyDescent="0.25">
      <c r="C112" s="209" t="s">
        <v>264</v>
      </c>
      <c r="D112" s="341">
        <v>6</v>
      </c>
      <c r="E112" s="211">
        <v>9508805</v>
      </c>
      <c r="F112" s="211">
        <v>1901761</v>
      </c>
      <c r="G112" s="211">
        <v>1901761</v>
      </c>
      <c r="H112" s="211">
        <v>1901761</v>
      </c>
      <c r="I112" s="211">
        <v>1901761</v>
      </c>
      <c r="J112" s="211">
        <v>1901761</v>
      </c>
    </row>
    <row r="113" spans="3:10" x14ac:dyDescent="0.25">
      <c r="C113" s="209" t="s">
        <v>297</v>
      </c>
      <c r="D113" s="341">
        <v>1</v>
      </c>
      <c r="E113" s="211">
        <v>9177361</v>
      </c>
      <c r="F113" s="211">
        <v>3409427</v>
      </c>
      <c r="G113" s="211">
        <v>2553533.5</v>
      </c>
      <c r="H113" s="211">
        <v>2553533.5</v>
      </c>
      <c r="I113" s="211">
        <v>330433.5</v>
      </c>
      <c r="J113" s="211">
        <v>330433.5</v>
      </c>
    </row>
    <row r="114" spans="3:10" x14ac:dyDescent="0.25">
      <c r="C114" s="209" t="s">
        <v>270</v>
      </c>
      <c r="D114" s="341">
        <v>4</v>
      </c>
      <c r="E114" s="211">
        <v>9134920</v>
      </c>
      <c r="F114" s="211">
        <v>1826984</v>
      </c>
      <c r="G114" s="211">
        <v>1826984</v>
      </c>
      <c r="H114" s="211">
        <v>1826984</v>
      </c>
      <c r="I114" s="211">
        <v>1826984</v>
      </c>
      <c r="J114" s="211">
        <v>1826984</v>
      </c>
    </row>
    <row r="115" spans="3:10" x14ac:dyDescent="0.25">
      <c r="C115" s="209" t="s">
        <v>275</v>
      </c>
      <c r="D115" s="341">
        <v>4</v>
      </c>
      <c r="E115" s="211">
        <v>8583187</v>
      </c>
      <c r="F115" s="211">
        <v>1716637.4</v>
      </c>
      <c r="G115" s="211">
        <v>1716637.4</v>
      </c>
      <c r="H115" s="211">
        <v>1716637.4</v>
      </c>
      <c r="I115" s="211">
        <v>1716637.4</v>
      </c>
      <c r="J115" s="211">
        <v>1716637.4</v>
      </c>
    </row>
    <row r="116" spans="3:10" x14ac:dyDescent="0.25">
      <c r="C116" s="209" t="s">
        <v>168</v>
      </c>
      <c r="D116" s="341">
        <v>11</v>
      </c>
      <c r="E116" s="211">
        <v>7982950</v>
      </c>
      <c r="F116" s="211">
        <v>1596590</v>
      </c>
      <c r="G116" s="211">
        <v>1596590</v>
      </c>
      <c r="H116" s="211">
        <v>1596590</v>
      </c>
      <c r="I116" s="211">
        <v>1596590</v>
      </c>
      <c r="J116" s="211">
        <v>1596590</v>
      </c>
    </row>
    <row r="117" spans="3:10" x14ac:dyDescent="0.25">
      <c r="C117" s="209" t="s">
        <v>172</v>
      </c>
      <c r="D117" s="341">
        <v>2</v>
      </c>
      <c r="E117" s="211">
        <v>7703799.375</v>
      </c>
      <c r="F117" s="211">
        <v>1540759.875</v>
      </c>
      <c r="G117" s="211">
        <v>1540759.875</v>
      </c>
      <c r="H117" s="211">
        <v>1540759.875</v>
      </c>
      <c r="I117" s="211">
        <v>1540759.875</v>
      </c>
      <c r="J117" s="211">
        <v>1540759.875</v>
      </c>
    </row>
    <row r="118" spans="3:10" x14ac:dyDescent="0.25">
      <c r="C118" s="209" t="s">
        <v>330</v>
      </c>
      <c r="D118" s="341">
        <v>1</v>
      </c>
      <c r="E118" s="211">
        <v>7578750</v>
      </c>
      <c r="F118" s="211">
        <v>1515750</v>
      </c>
      <c r="G118" s="211">
        <v>1515750</v>
      </c>
      <c r="H118" s="211">
        <v>1515750</v>
      </c>
      <c r="I118" s="211">
        <v>1515750</v>
      </c>
      <c r="J118" s="211">
        <v>1515750</v>
      </c>
    </row>
    <row r="119" spans="3:10" x14ac:dyDescent="0.25">
      <c r="C119" s="209" t="s">
        <v>316</v>
      </c>
      <c r="D119" s="341">
        <v>1</v>
      </c>
      <c r="E119" s="211">
        <v>7578750</v>
      </c>
      <c r="F119" s="211">
        <v>1515750</v>
      </c>
      <c r="G119" s="211">
        <v>1515750</v>
      </c>
      <c r="H119" s="211">
        <v>1515750</v>
      </c>
      <c r="I119" s="211">
        <v>1515750</v>
      </c>
      <c r="J119" s="211">
        <v>1515750</v>
      </c>
    </row>
    <row r="120" spans="3:10" x14ac:dyDescent="0.25">
      <c r="C120" s="209" t="s">
        <v>318</v>
      </c>
      <c r="D120" s="341">
        <v>1</v>
      </c>
      <c r="E120" s="211">
        <v>6820875</v>
      </c>
      <c r="F120" s="211">
        <v>1364175</v>
      </c>
      <c r="G120" s="211">
        <v>1364175</v>
      </c>
      <c r="H120" s="211">
        <v>1364175</v>
      </c>
      <c r="I120" s="211">
        <v>1364175</v>
      </c>
      <c r="J120" s="211">
        <v>1364175</v>
      </c>
    </row>
    <row r="121" spans="3:10" x14ac:dyDescent="0.25">
      <c r="C121" s="209" t="s">
        <v>325</v>
      </c>
      <c r="D121" s="341">
        <v>1</v>
      </c>
      <c r="E121" s="211">
        <v>6392116.9397599995</v>
      </c>
      <c r="F121" s="211">
        <v>1278423.3879520001</v>
      </c>
      <c r="G121" s="211">
        <v>1278423.3879520001</v>
      </c>
      <c r="H121" s="211">
        <v>1278423.3879520001</v>
      </c>
      <c r="I121" s="211">
        <v>1278423.3879520001</v>
      </c>
      <c r="J121" s="211">
        <v>1278423.3879520001</v>
      </c>
    </row>
    <row r="122" spans="3:10" x14ac:dyDescent="0.25">
      <c r="C122" s="209" t="s">
        <v>171</v>
      </c>
      <c r="D122" s="341">
        <v>3</v>
      </c>
      <c r="E122" s="211">
        <v>5511671.1999999993</v>
      </c>
      <c r="F122" s="211">
        <v>1102334.2399999998</v>
      </c>
      <c r="G122" s="211">
        <v>1102334.2399999998</v>
      </c>
      <c r="H122" s="211">
        <v>1102334.2399999998</v>
      </c>
      <c r="I122" s="211">
        <v>1102334.2399999998</v>
      </c>
      <c r="J122" s="211">
        <v>1102334.2399999998</v>
      </c>
    </row>
    <row r="123" spans="3:10" x14ac:dyDescent="0.25">
      <c r="C123" s="209" t="s">
        <v>177</v>
      </c>
      <c r="D123" s="341">
        <v>7</v>
      </c>
      <c r="E123" s="211">
        <v>5229337.5</v>
      </c>
      <c r="F123" s="211">
        <v>1045867.5</v>
      </c>
      <c r="G123" s="211">
        <v>1045867.5</v>
      </c>
      <c r="H123" s="211">
        <v>1045867.5</v>
      </c>
      <c r="I123" s="211">
        <v>1045867.5</v>
      </c>
      <c r="J123" s="211">
        <v>1045867.5</v>
      </c>
    </row>
    <row r="124" spans="3:10" x14ac:dyDescent="0.25">
      <c r="C124" s="209" t="s">
        <v>295</v>
      </c>
      <c r="D124" s="341">
        <v>1</v>
      </c>
      <c r="E124" s="211">
        <v>4850400</v>
      </c>
      <c r="F124" s="211">
        <v>970080</v>
      </c>
      <c r="G124" s="211">
        <v>970080</v>
      </c>
      <c r="H124" s="211">
        <v>970080</v>
      </c>
      <c r="I124" s="211">
        <v>970080</v>
      </c>
      <c r="J124" s="211">
        <v>970080</v>
      </c>
    </row>
    <row r="125" spans="3:10" x14ac:dyDescent="0.25">
      <c r="C125" s="209" t="s">
        <v>274</v>
      </c>
      <c r="D125" s="341">
        <v>4</v>
      </c>
      <c r="E125" s="211">
        <v>3233600</v>
      </c>
      <c r="F125" s="211">
        <v>646720</v>
      </c>
      <c r="G125" s="211">
        <v>646720</v>
      </c>
      <c r="H125" s="211">
        <v>646720</v>
      </c>
      <c r="I125" s="211">
        <v>646720</v>
      </c>
      <c r="J125" s="211">
        <v>646720</v>
      </c>
    </row>
    <row r="126" spans="3:10" x14ac:dyDescent="0.25">
      <c r="C126" s="209" t="s">
        <v>159</v>
      </c>
      <c r="D126" s="341">
        <v>4</v>
      </c>
      <c r="E126" s="211">
        <v>3152760</v>
      </c>
      <c r="F126" s="211">
        <v>630552</v>
      </c>
      <c r="G126" s="211">
        <v>630552</v>
      </c>
      <c r="H126" s="211">
        <v>630552</v>
      </c>
      <c r="I126" s="211">
        <v>630552</v>
      </c>
      <c r="J126" s="211">
        <v>630552</v>
      </c>
    </row>
    <row r="127" spans="3:10" x14ac:dyDescent="0.25">
      <c r="C127" s="209" t="s">
        <v>331</v>
      </c>
      <c r="D127" s="341">
        <v>1</v>
      </c>
      <c r="E127" s="211">
        <v>3031500</v>
      </c>
      <c r="F127" s="211">
        <v>606300</v>
      </c>
      <c r="G127" s="211">
        <v>606300</v>
      </c>
      <c r="H127" s="211">
        <v>606300</v>
      </c>
      <c r="I127" s="211">
        <v>606300</v>
      </c>
      <c r="J127" s="211">
        <v>606300</v>
      </c>
    </row>
    <row r="128" spans="3:10" x14ac:dyDescent="0.25">
      <c r="C128" s="209" t="s">
        <v>184</v>
      </c>
      <c r="D128" s="341">
        <v>4</v>
      </c>
      <c r="E128" s="211">
        <v>2987853.5336310854</v>
      </c>
      <c r="F128" s="211">
        <v>597570.70672621718</v>
      </c>
      <c r="G128" s="211">
        <v>597570.70672621718</v>
      </c>
      <c r="H128" s="211">
        <v>597570.70672621718</v>
      </c>
      <c r="I128" s="211">
        <v>597570.70672621718</v>
      </c>
      <c r="J128" s="211">
        <v>597570.70672621718</v>
      </c>
    </row>
    <row r="129" spans="3:10" x14ac:dyDescent="0.25">
      <c r="C129" s="209" t="s">
        <v>307</v>
      </c>
      <c r="D129" s="341">
        <v>1</v>
      </c>
      <c r="E129" s="211">
        <v>2910240</v>
      </c>
      <c r="F129" s="211">
        <v>582048</v>
      </c>
      <c r="G129" s="211">
        <v>582048</v>
      </c>
      <c r="H129" s="211">
        <v>582048</v>
      </c>
      <c r="I129" s="211">
        <v>582048</v>
      </c>
      <c r="J129" s="211">
        <v>582048</v>
      </c>
    </row>
    <row r="130" spans="3:10" x14ac:dyDescent="0.25">
      <c r="C130" s="209" t="s">
        <v>279</v>
      </c>
      <c r="D130" s="341">
        <v>3</v>
      </c>
      <c r="E130" s="211">
        <v>2800625.0019999999</v>
      </c>
      <c r="F130" s="211">
        <v>560125.00040000002</v>
      </c>
      <c r="G130" s="211">
        <v>560125.00040000002</v>
      </c>
      <c r="H130" s="211">
        <v>560125.00040000002</v>
      </c>
      <c r="I130" s="211">
        <v>560125.00040000002</v>
      </c>
      <c r="J130" s="211">
        <v>560125.00040000002</v>
      </c>
    </row>
    <row r="131" spans="3:10" x14ac:dyDescent="0.25">
      <c r="C131" s="209" t="s">
        <v>267</v>
      </c>
      <c r="D131" s="341">
        <v>4</v>
      </c>
      <c r="E131" s="211">
        <v>2631342</v>
      </c>
      <c r="F131" s="211">
        <v>526268.4</v>
      </c>
      <c r="G131" s="211">
        <v>526268.4</v>
      </c>
      <c r="H131" s="211">
        <v>526268.4</v>
      </c>
      <c r="I131" s="211">
        <v>526268.4</v>
      </c>
      <c r="J131" s="211">
        <v>526268.4</v>
      </c>
    </row>
    <row r="132" spans="3:10" x14ac:dyDescent="0.25">
      <c r="C132" s="209" t="s">
        <v>290</v>
      </c>
      <c r="D132" s="341">
        <v>2</v>
      </c>
      <c r="E132" s="211">
        <v>2425200</v>
      </c>
      <c r="F132" s="211">
        <v>485040</v>
      </c>
      <c r="G132" s="211">
        <v>485040</v>
      </c>
      <c r="H132" s="211">
        <v>485040</v>
      </c>
      <c r="I132" s="211">
        <v>485040</v>
      </c>
      <c r="J132" s="211">
        <v>485040</v>
      </c>
    </row>
    <row r="133" spans="3:10" x14ac:dyDescent="0.25">
      <c r="C133" s="209" t="s">
        <v>271</v>
      </c>
      <c r="D133" s="341">
        <v>4</v>
      </c>
      <c r="E133" s="211">
        <v>2182680</v>
      </c>
      <c r="F133" s="211">
        <v>582048</v>
      </c>
      <c r="G133" s="211">
        <v>582048</v>
      </c>
      <c r="H133" s="211">
        <v>339528</v>
      </c>
      <c r="I133" s="211">
        <v>339528</v>
      </c>
      <c r="J133" s="211">
        <v>339528</v>
      </c>
    </row>
    <row r="134" spans="3:10" x14ac:dyDescent="0.25">
      <c r="C134" s="209" t="s">
        <v>178</v>
      </c>
      <c r="D134" s="341">
        <v>1</v>
      </c>
      <c r="E134" s="211">
        <v>2122050</v>
      </c>
      <c r="F134" s="211">
        <v>424410</v>
      </c>
      <c r="G134" s="211">
        <v>424410</v>
      </c>
      <c r="H134" s="211">
        <v>424410</v>
      </c>
      <c r="I134" s="211">
        <v>424410</v>
      </c>
      <c r="J134" s="211">
        <v>424410</v>
      </c>
    </row>
    <row r="135" spans="3:10" x14ac:dyDescent="0.25">
      <c r="C135" s="209" t="s">
        <v>179</v>
      </c>
      <c r="D135" s="341">
        <v>3</v>
      </c>
      <c r="E135" s="211">
        <v>2122050</v>
      </c>
      <c r="F135" s="211">
        <v>424410</v>
      </c>
      <c r="G135" s="211">
        <v>424410</v>
      </c>
      <c r="H135" s="211">
        <v>424410</v>
      </c>
      <c r="I135" s="211">
        <v>424410</v>
      </c>
      <c r="J135" s="211">
        <v>424410</v>
      </c>
    </row>
    <row r="136" spans="3:10" x14ac:dyDescent="0.25">
      <c r="C136" s="209" t="s">
        <v>305</v>
      </c>
      <c r="D136" s="341">
        <v>1</v>
      </c>
      <c r="E136" s="211">
        <v>2021000</v>
      </c>
      <c r="F136" s="211">
        <v>404200</v>
      </c>
      <c r="G136" s="211">
        <v>404200</v>
      </c>
      <c r="H136" s="211">
        <v>404200</v>
      </c>
      <c r="I136" s="211">
        <v>404200</v>
      </c>
      <c r="J136" s="211">
        <v>404200</v>
      </c>
    </row>
    <row r="137" spans="3:10" x14ac:dyDescent="0.25">
      <c r="C137" s="209" t="s">
        <v>309</v>
      </c>
      <c r="D137" s="341">
        <v>1</v>
      </c>
      <c r="E137" s="211">
        <v>2021000</v>
      </c>
      <c r="F137" s="211">
        <v>404200</v>
      </c>
      <c r="G137" s="211">
        <v>404200</v>
      </c>
      <c r="H137" s="211">
        <v>404200</v>
      </c>
      <c r="I137" s="211">
        <v>404200</v>
      </c>
      <c r="J137" s="211">
        <v>404200</v>
      </c>
    </row>
    <row r="138" spans="3:10" x14ac:dyDescent="0.25">
      <c r="C138" s="209" t="s">
        <v>310</v>
      </c>
      <c r="D138" s="341">
        <v>1</v>
      </c>
      <c r="E138" s="211">
        <v>2021000</v>
      </c>
      <c r="F138" s="211">
        <v>404200</v>
      </c>
      <c r="G138" s="211">
        <v>404200</v>
      </c>
      <c r="H138" s="211">
        <v>404200</v>
      </c>
      <c r="I138" s="211">
        <v>404200</v>
      </c>
      <c r="J138" s="211">
        <v>404200</v>
      </c>
    </row>
    <row r="139" spans="3:10" x14ac:dyDescent="0.25">
      <c r="C139" s="209" t="s">
        <v>277</v>
      </c>
      <c r="D139" s="341">
        <v>3</v>
      </c>
      <c r="E139" s="211">
        <v>1959415.9225775683</v>
      </c>
      <c r="F139" s="211">
        <v>391883.1845155136</v>
      </c>
      <c r="G139" s="211">
        <v>391883.1845155136</v>
      </c>
      <c r="H139" s="211">
        <v>391883.1845155136</v>
      </c>
      <c r="I139" s="211">
        <v>391883.1845155136</v>
      </c>
      <c r="J139" s="211">
        <v>391883.1845155136</v>
      </c>
    </row>
    <row r="140" spans="3:10" x14ac:dyDescent="0.25">
      <c r="C140" s="209" t="s">
        <v>292</v>
      </c>
      <c r="D140" s="341">
        <v>2</v>
      </c>
      <c r="E140" s="211">
        <v>1818900</v>
      </c>
      <c r="F140" s="211">
        <v>363780</v>
      </c>
      <c r="G140" s="211">
        <v>363780</v>
      </c>
      <c r="H140" s="211">
        <v>363780</v>
      </c>
      <c r="I140" s="211">
        <v>363780</v>
      </c>
      <c r="J140" s="211">
        <v>363780</v>
      </c>
    </row>
    <row r="141" spans="3:10" x14ac:dyDescent="0.25">
      <c r="C141" s="209" t="s">
        <v>333</v>
      </c>
      <c r="D141" s="341">
        <v>1</v>
      </c>
      <c r="E141" s="211">
        <v>1697640</v>
      </c>
      <c r="F141" s="211">
        <v>339528</v>
      </c>
      <c r="G141" s="211">
        <v>339528</v>
      </c>
      <c r="H141" s="211">
        <v>339528</v>
      </c>
      <c r="I141" s="211">
        <v>339528</v>
      </c>
      <c r="J141" s="211">
        <v>339528</v>
      </c>
    </row>
    <row r="142" spans="3:10" x14ac:dyDescent="0.25">
      <c r="C142" s="209" t="s">
        <v>308</v>
      </c>
      <c r="D142" s="341">
        <v>1</v>
      </c>
      <c r="E142" s="211">
        <v>1364175</v>
      </c>
      <c r="F142" s="211">
        <v>272835</v>
      </c>
      <c r="G142" s="211">
        <v>272835</v>
      </c>
      <c r="H142" s="211">
        <v>272835</v>
      </c>
      <c r="I142" s="211">
        <v>272835</v>
      </c>
      <c r="J142" s="211">
        <v>272835</v>
      </c>
    </row>
    <row r="143" spans="3:10" x14ac:dyDescent="0.25">
      <c r="C143" s="209" t="s">
        <v>293</v>
      </c>
      <c r="D143" s="341">
        <v>1</v>
      </c>
      <c r="E143" s="211">
        <v>1263125</v>
      </c>
      <c r="F143" s="211">
        <v>252625</v>
      </c>
      <c r="G143" s="211">
        <v>252625</v>
      </c>
      <c r="H143" s="211">
        <v>252625</v>
      </c>
      <c r="I143" s="211">
        <v>252625</v>
      </c>
      <c r="J143" s="211">
        <v>252625</v>
      </c>
    </row>
    <row r="144" spans="3:10" x14ac:dyDescent="0.25">
      <c r="C144" s="209" t="s">
        <v>284</v>
      </c>
      <c r="D144" s="341">
        <v>2</v>
      </c>
      <c r="E144" s="211">
        <v>1212600</v>
      </c>
      <c r="F144" s="211">
        <v>242520</v>
      </c>
      <c r="G144" s="211">
        <v>242520</v>
      </c>
      <c r="H144" s="211">
        <v>242520</v>
      </c>
      <c r="I144" s="211">
        <v>242520</v>
      </c>
      <c r="J144" s="211">
        <v>242520</v>
      </c>
    </row>
    <row r="145" spans="3:10" x14ac:dyDescent="0.25">
      <c r="C145" s="209" t="s">
        <v>322</v>
      </c>
      <c r="D145" s="341">
        <v>1</v>
      </c>
      <c r="E145" s="211">
        <v>1212600</v>
      </c>
      <c r="F145" s="211">
        <v>242520</v>
      </c>
      <c r="G145" s="211">
        <v>242520</v>
      </c>
      <c r="H145" s="211">
        <v>242520</v>
      </c>
      <c r="I145" s="211">
        <v>242520</v>
      </c>
      <c r="J145" s="211">
        <v>242520</v>
      </c>
    </row>
    <row r="146" spans="3:10" x14ac:dyDescent="0.25">
      <c r="C146" s="209" t="s">
        <v>314</v>
      </c>
      <c r="D146" s="341">
        <v>1</v>
      </c>
      <c r="E146" s="211">
        <v>1192390</v>
      </c>
      <c r="F146" s="211">
        <v>238478</v>
      </c>
      <c r="G146" s="211">
        <v>238478</v>
      </c>
      <c r="H146" s="211">
        <v>238478</v>
      </c>
      <c r="I146" s="211">
        <v>238478</v>
      </c>
      <c r="J146" s="211">
        <v>238478</v>
      </c>
    </row>
    <row r="147" spans="3:10" x14ac:dyDescent="0.25">
      <c r="C147" s="209" t="s">
        <v>266</v>
      </c>
      <c r="D147" s="341">
        <v>4</v>
      </c>
      <c r="E147" s="211">
        <v>1136812.5</v>
      </c>
      <c r="F147" s="211">
        <v>227362.5</v>
      </c>
      <c r="G147" s="211">
        <v>227362.5</v>
      </c>
      <c r="H147" s="211">
        <v>227362.5</v>
      </c>
      <c r="I147" s="211">
        <v>227362.5</v>
      </c>
      <c r="J147" s="211">
        <v>227362.5</v>
      </c>
    </row>
    <row r="148" spans="3:10" x14ac:dyDescent="0.25">
      <c r="C148" s="209" t="s">
        <v>285</v>
      </c>
      <c r="D148" s="341">
        <v>2</v>
      </c>
      <c r="E148" s="211">
        <v>1000395</v>
      </c>
      <c r="F148" s="211">
        <v>200079</v>
      </c>
      <c r="G148" s="211">
        <v>200079</v>
      </c>
      <c r="H148" s="211">
        <v>200079</v>
      </c>
      <c r="I148" s="211">
        <v>200079</v>
      </c>
      <c r="J148" s="211">
        <v>200079</v>
      </c>
    </row>
    <row r="149" spans="3:10" x14ac:dyDescent="0.25">
      <c r="C149" s="209" t="s">
        <v>180</v>
      </c>
      <c r="D149" s="341">
        <v>2</v>
      </c>
      <c r="E149" s="211">
        <v>939765</v>
      </c>
      <c r="F149" s="211">
        <v>187953</v>
      </c>
      <c r="G149" s="211">
        <v>187953</v>
      </c>
      <c r="H149" s="211">
        <v>187953</v>
      </c>
      <c r="I149" s="211">
        <v>187953</v>
      </c>
      <c r="J149" s="211">
        <v>187953</v>
      </c>
    </row>
    <row r="150" spans="3:10" x14ac:dyDescent="0.25">
      <c r="C150" s="209" t="s">
        <v>155</v>
      </c>
      <c r="D150" s="341">
        <v>4</v>
      </c>
      <c r="E150" s="211">
        <v>920460.40799999994</v>
      </c>
      <c r="F150" s="211">
        <v>184092.0816</v>
      </c>
      <c r="G150" s="211">
        <v>184092.0816</v>
      </c>
      <c r="H150" s="211">
        <v>184092.0816</v>
      </c>
      <c r="I150" s="211">
        <v>184092.0816</v>
      </c>
      <c r="J150" s="211">
        <v>184092.0816</v>
      </c>
    </row>
    <row r="151" spans="3:10" x14ac:dyDescent="0.25">
      <c r="C151" s="209" t="s">
        <v>302</v>
      </c>
      <c r="D151" s="341">
        <v>1</v>
      </c>
      <c r="E151" s="211">
        <v>909450</v>
      </c>
      <c r="F151" s="211">
        <v>181890</v>
      </c>
      <c r="G151" s="211">
        <v>181890</v>
      </c>
      <c r="H151" s="211">
        <v>181890</v>
      </c>
      <c r="I151" s="211">
        <v>181890</v>
      </c>
      <c r="J151" s="211">
        <v>181890</v>
      </c>
    </row>
    <row r="152" spans="3:10" x14ac:dyDescent="0.25">
      <c r="C152" s="209" t="s">
        <v>304</v>
      </c>
      <c r="D152" s="341">
        <v>1</v>
      </c>
      <c r="E152" s="211">
        <v>909450</v>
      </c>
      <c r="F152" s="211">
        <v>181890</v>
      </c>
      <c r="G152" s="211">
        <v>181890</v>
      </c>
      <c r="H152" s="211">
        <v>181890</v>
      </c>
      <c r="I152" s="211">
        <v>181890</v>
      </c>
      <c r="J152" s="211">
        <v>181890</v>
      </c>
    </row>
    <row r="153" spans="3:10" x14ac:dyDescent="0.25">
      <c r="C153" s="209" t="s">
        <v>283</v>
      </c>
      <c r="D153" s="341">
        <v>2</v>
      </c>
      <c r="E153" s="211">
        <v>890856.79999999993</v>
      </c>
      <c r="F153" s="211">
        <v>445428.39999999997</v>
      </c>
      <c r="G153" s="211">
        <v>445428.39999999997</v>
      </c>
      <c r="H153" s="211">
        <v>0</v>
      </c>
      <c r="I153" s="211">
        <v>0</v>
      </c>
      <c r="J153" s="211">
        <v>0</v>
      </c>
    </row>
    <row r="154" spans="3:10" x14ac:dyDescent="0.25">
      <c r="C154" s="209" t="s">
        <v>286</v>
      </c>
      <c r="D154" s="341">
        <v>2</v>
      </c>
      <c r="E154" s="211">
        <v>848820</v>
      </c>
      <c r="F154" s="211">
        <v>169764</v>
      </c>
      <c r="G154" s="211">
        <v>169764</v>
      </c>
      <c r="H154" s="211">
        <v>169764</v>
      </c>
      <c r="I154" s="211">
        <v>169764</v>
      </c>
      <c r="J154" s="211">
        <v>169764</v>
      </c>
    </row>
    <row r="155" spans="3:10" x14ac:dyDescent="0.25">
      <c r="C155" s="209" t="s">
        <v>278</v>
      </c>
      <c r="D155" s="341">
        <v>3</v>
      </c>
      <c r="E155" s="211">
        <v>795768.75</v>
      </c>
      <c r="F155" s="211">
        <v>159153.75</v>
      </c>
      <c r="G155" s="211">
        <v>159153.75</v>
      </c>
      <c r="H155" s="211">
        <v>159153.75</v>
      </c>
      <c r="I155" s="211">
        <v>159153.75</v>
      </c>
      <c r="J155" s="211">
        <v>159153.75</v>
      </c>
    </row>
    <row r="156" spans="3:10" x14ac:dyDescent="0.25">
      <c r="C156" s="209" t="s">
        <v>175</v>
      </c>
      <c r="D156" s="341">
        <v>1</v>
      </c>
      <c r="E156" s="211">
        <v>757875</v>
      </c>
      <c r="F156" s="211">
        <v>151575</v>
      </c>
      <c r="G156" s="211">
        <v>151575</v>
      </c>
      <c r="H156" s="211">
        <v>151575</v>
      </c>
      <c r="I156" s="211">
        <v>151575</v>
      </c>
      <c r="J156" s="211">
        <v>151575</v>
      </c>
    </row>
    <row r="157" spans="3:10" x14ac:dyDescent="0.25">
      <c r="C157" s="209" t="s">
        <v>323</v>
      </c>
      <c r="D157" s="341">
        <v>1</v>
      </c>
      <c r="E157" s="211">
        <v>757875</v>
      </c>
      <c r="F157" s="211">
        <v>757875</v>
      </c>
      <c r="G157" s="211">
        <v>0</v>
      </c>
      <c r="H157" s="211">
        <v>0</v>
      </c>
      <c r="I157" s="211">
        <v>0</v>
      </c>
      <c r="J157" s="211">
        <v>0</v>
      </c>
    </row>
    <row r="158" spans="3:10" x14ac:dyDescent="0.25">
      <c r="C158" s="209" t="s">
        <v>294</v>
      </c>
      <c r="D158" s="341">
        <v>1</v>
      </c>
      <c r="E158" s="211">
        <v>727560</v>
      </c>
      <c r="F158" s="211">
        <v>145512</v>
      </c>
      <c r="G158" s="211">
        <v>145512</v>
      </c>
      <c r="H158" s="211">
        <v>145512</v>
      </c>
      <c r="I158" s="211">
        <v>145512</v>
      </c>
      <c r="J158" s="211">
        <v>145512</v>
      </c>
    </row>
    <row r="159" spans="3:10" x14ac:dyDescent="0.25">
      <c r="C159" s="209" t="s">
        <v>291</v>
      </c>
      <c r="D159" s="341">
        <v>2</v>
      </c>
      <c r="E159" s="211">
        <v>707350</v>
      </c>
      <c r="F159" s="211">
        <v>141470</v>
      </c>
      <c r="G159" s="211">
        <v>141470</v>
      </c>
      <c r="H159" s="211">
        <v>141470</v>
      </c>
      <c r="I159" s="211">
        <v>141470</v>
      </c>
      <c r="J159" s="211">
        <v>141470</v>
      </c>
    </row>
    <row r="160" spans="3:10" x14ac:dyDescent="0.25">
      <c r="C160" s="209" t="s">
        <v>315</v>
      </c>
      <c r="D160" s="341">
        <v>1</v>
      </c>
      <c r="E160" s="211">
        <v>636615</v>
      </c>
      <c r="F160" s="211">
        <v>127323</v>
      </c>
      <c r="G160" s="211">
        <v>127323</v>
      </c>
      <c r="H160" s="211">
        <v>127323</v>
      </c>
      <c r="I160" s="211">
        <v>127323</v>
      </c>
      <c r="J160" s="211">
        <v>127323</v>
      </c>
    </row>
    <row r="161" spans="3:10" x14ac:dyDescent="0.25">
      <c r="C161" s="209" t="s">
        <v>329</v>
      </c>
      <c r="D161" s="341">
        <v>1</v>
      </c>
      <c r="E161" s="211">
        <v>606300</v>
      </c>
      <c r="F161" s="211">
        <v>121260</v>
      </c>
      <c r="G161" s="211">
        <v>121260</v>
      </c>
      <c r="H161" s="211">
        <v>121260</v>
      </c>
      <c r="I161" s="211">
        <v>121260</v>
      </c>
      <c r="J161" s="211">
        <v>121260</v>
      </c>
    </row>
    <row r="162" spans="3:10" x14ac:dyDescent="0.25">
      <c r="C162" s="209" t="s">
        <v>265</v>
      </c>
      <c r="D162" s="341">
        <v>5</v>
      </c>
      <c r="E162" s="211">
        <v>579549.20837403927</v>
      </c>
      <c r="F162" s="211">
        <v>188665.84167480789</v>
      </c>
      <c r="G162" s="211">
        <v>97720.841674807874</v>
      </c>
      <c r="H162" s="211">
        <v>97720.841674807874</v>
      </c>
      <c r="I162" s="211">
        <v>97720.841674807874</v>
      </c>
      <c r="J162" s="211">
        <v>97720.841674807874</v>
      </c>
    </row>
    <row r="163" spans="3:10" x14ac:dyDescent="0.25">
      <c r="C163" s="209" t="s">
        <v>328</v>
      </c>
      <c r="D163" s="341">
        <v>1</v>
      </c>
      <c r="E163" s="211">
        <v>565880</v>
      </c>
      <c r="F163" s="211">
        <v>161680</v>
      </c>
      <c r="G163" s="211">
        <v>101050</v>
      </c>
      <c r="H163" s="211">
        <v>101050</v>
      </c>
      <c r="I163" s="211">
        <v>101050</v>
      </c>
      <c r="J163" s="211">
        <v>101050</v>
      </c>
    </row>
    <row r="164" spans="3:10" x14ac:dyDescent="0.25">
      <c r="C164" s="209" t="s">
        <v>281</v>
      </c>
      <c r="D164" s="341">
        <v>2</v>
      </c>
      <c r="E164" s="211">
        <v>545670</v>
      </c>
      <c r="F164" s="211">
        <v>109134</v>
      </c>
      <c r="G164" s="211">
        <v>163701</v>
      </c>
      <c r="H164" s="211">
        <v>163701</v>
      </c>
      <c r="I164" s="211">
        <v>54567</v>
      </c>
      <c r="J164" s="211">
        <v>54567</v>
      </c>
    </row>
    <row r="165" spans="3:10" x14ac:dyDescent="0.25">
      <c r="C165" s="209" t="s">
        <v>182</v>
      </c>
      <c r="D165" s="341">
        <v>7</v>
      </c>
      <c r="E165" s="211">
        <v>535565</v>
      </c>
      <c r="F165" s="211">
        <v>160669.5</v>
      </c>
      <c r="G165" s="211">
        <v>160669.5</v>
      </c>
      <c r="H165" s="211">
        <v>214226</v>
      </c>
      <c r="I165" s="211">
        <v>0</v>
      </c>
      <c r="J165" s="211">
        <v>0</v>
      </c>
    </row>
    <row r="166" spans="3:10" x14ac:dyDescent="0.25">
      <c r="C166" s="209" t="s">
        <v>334</v>
      </c>
      <c r="D166" s="341">
        <v>1</v>
      </c>
      <c r="E166" s="211">
        <v>491355.625</v>
      </c>
      <c r="F166" s="211">
        <v>98271.125</v>
      </c>
      <c r="G166" s="211">
        <v>98271.125</v>
      </c>
      <c r="H166" s="211">
        <v>98271.125</v>
      </c>
      <c r="I166" s="211">
        <v>98271.125</v>
      </c>
      <c r="J166" s="211">
        <v>98271.125</v>
      </c>
    </row>
    <row r="167" spans="3:10" x14ac:dyDescent="0.25">
      <c r="C167" s="209" t="s">
        <v>336</v>
      </c>
      <c r="D167" s="341">
        <v>1</v>
      </c>
      <c r="E167" s="211">
        <v>485040</v>
      </c>
      <c r="F167" s="211">
        <v>109134</v>
      </c>
      <c r="G167" s="211">
        <v>109134</v>
      </c>
      <c r="H167" s="211">
        <v>109134</v>
      </c>
      <c r="I167" s="211">
        <v>109134</v>
      </c>
      <c r="J167" s="211">
        <v>48504</v>
      </c>
    </row>
    <row r="168" spans="3:10" x14ac:dyDescent="0.25">
      <c r="C168" s="209" t="s">
        <v>332</v>
      </c>
      <c r="D168" s="341">
        <v>1</v>
      </c>
      <c r="E168" s="211">
        <v>454725</v>
      </c>
      <c r="F168" s="211">
        <v>90945</v>
      </c>
      <c r="G168" s="211">
        <v>90945</v>
      </c>
      <c r="H168" s="211">
        <v>90945</v>
      </c>
      <c r="I168" s="211">
        <v>90945</v>
      </c>
      <c r="J168" s="211">
        <v>90945</v>
      </c>
    </row>
    <row r="169" spans="3:10" x14ac:dyDescent="0.25">
      <c r="C169" s="209" t="s">
        <v>287</v>
      </c>
      <c r="D169" s="341">
        <v>2</v>
      </c>
      <c r="E169" s="211">
        <v>444620</v>
      </c>
      <c r="F169" s="211">
        <v>88924</v>
      </c>
      <c r="G169" s="211">
        <v>88924</v>
      </c>
      <c r="H169" s="211">
        <v>88924</v>
      </c>
      <c r="I169" s="211">
        <v>88924</v>
      </c>
      <c r="J169" s="211">
        <v>88924</v>
      </c>
    </row>
    <row r="170" spans="3:10" x14ac:dyDescent="0.25">
      <c r="C170" s="209" t="s">
        <v>337</v>
      </c>
      <c r="D170" s="341">
        <v>1</v>
      </c>
      <c r="E170" s="211">
        <v>404200</v>
      </c>
      <c r="F170" s="211">
        <v>80840</v>
      </c>
      <c r="G170" s="211">
        <v>80840</v>
      </c>
      <c r="H170" s="211">
        <v>80840</v>
      </c>
      <c r="I170" s="211">
        <v>80840</v>
      </c>
      <c r="J170" s="211">
        <v>80840</v>
      </c>
    </row>
    <row r="171" spans="3:10" x14ac:dyDescent="0.25">
      <c r="C171" s="209" t="s">
        <v>300</v>
      </c>
      <c r="D171" s="341">
        <v>1</v>
      </c>
      <c r="E171" s="211">
        <v>353675</v>
      </c>
      <c r="F171" s="211">
        <v>70735</v>
      </c>
      <c r="G171" s="211">
        <v>70735</v>
      </c>
      <c r="H171" s="211">
        <v>70735</v>
      </c>
      <c r="I171" s="211">
        <v>70735</v>
      </c>
      <c r="J171" s="211">
        <v>70735</v>
      </c>
    </row>
    <row r="172" spans="3:10" x14ac:dyDescent="0.25">
      <c r="C172" s="209" t="s">
        <v>280</v>
      </c>
      <c r="D172" s="341">
        <v>2</v>
      </c>
      <c r="E172" s="211">
        <v>333465</v>
      </c>
      <c r="F172" s="211">
        <v>66693</v>
      </c>
      <c r="G172" s="211">
        <v>66693</v>
      </c>
      <c r="H172" s="211">
        <v>66693</v>
      </c>
      <c r="I172" s="211">
        <v>66693</v>
      </c>
      <c r="J172" s="211">
        <v>66693</v>
      </c>
    </row>
    <row r="173" spans="3:10" x14ac:dyDescent="0.25">
      <c r="C173" s="209" t="s">
        <v>183</v>
      </c>
      <c r="D173" s="341">
        <v>7</v>
      </c>
      <c r="E173" s="211">
        <v>329817.96374724357</v>
      </c>
      <c r="F173" s="211">
        <v>65963.592749448711</v>
      </c>
      <c r="G173" s="211">
        <v>65963.592749448711</v>
      </c>
      <c r="H173" s="211">
        <v>65963.592749448711</v>
      </c>
      <c r="I173" s="211">
        <v>65963.592749448711</v>
      </c>
      <c r="J173" s="211">
        <v>65963.592749448711</v>
      </c>
    </row>
    <row r="174" spans="3:10" x14ac:dyDescent="0.25">
      <c r="C174" s="209" t="s">
        <v>288</v>
      </c>
      <c r="D174" s="341">
        <v>2</v>
      </c>
      <c r="E174" s="211">
        <v>282940</v>
      </c>
      <c r="F174" s="211">
        <v>56588</v>
      </c>
      <c r="G174" s="211">
        <v>56588</v>
      </c>
      <c r="H174" s="211">
        <v>56588</v>
      </c>
      <c r="I174" s="211">
        <v>56588</v>
      </c>
      <c r="J174" s="211">
        <v>56588</v>
      </c>
    </row>
    <row r="175" spans="3:10" x14ac:dyDescent="0.25">
      <c r="C175" s="209" t="s">
        <v>169</v>
      </c>
      <c r="D175" s="341">
        <v>4</v>
      </c>
      <c r="E175" s="211">
        <v>272835</v>
      </c>
      <c r="F175" s="211">
        <v>48882.9375</v>
      </c>
      <c r="G175" s="211">
        <v>54567</v>
      </c>
      <c r="H175" s="211">
        <v>54567</v>
      </c>
      <c r="I175" s="211">
        <v>60251.0625</v>
      </c>
      <c r="J175" s="211">
        <v>54567</v>
      </c>
    </row>
    <row r="176" spans="3:10" x14ac:dyDescent="0.25">
      <c r="C176" s="209" t="s">
        <v>313</v>
      </c>
      <c r="D176" s="341">
        <v>1</v>
      </c>
      <c r="E176" s="211">
        <v>242520</v>
      </c>
      <c r="F176" s="211">
        <v>48504</v>
      </c>
      <c r="G176" s="211">
        <v>48504</v>
      </c>
      <c r="H176" s="211">
        <v>48504</v>
      </c>
      <c r="I176" s="211">
        <v>48504</v>
      </c>
      <c r="J176" s="211">
        <v>48504</v>
      </c>
    </row>
    <row r="177" spans="3:10" x14ac:dyDescent="0.25">
      <c r="C177" s="209" t="s">
        <v>326</v>
      </c>
      <c r="D177" s="341">
        <v>1</v>
      </c>
      <c r="E177" s="211">
        <v>239993.75</v>
      </c>
      <c r="F177" s="211">
        <v>47998.75</v>
      </c>
      <c r="G177" s="211">
        <v>47998.75</v>
      </c>
      <c r="H177" s="211">
        <v>47998.75</v>
      </c>
      <c r="I177" s="211">
        <v>47998.75</v>
      </c>
      <c r="J177" s="211">
        <v>47998.75</v>
      </c>
    </row>
    <row r="178" spans="3:10" x14ac:dyDescent="0.25">
      <c r="C178" s="209" t="s">
        <v>306</v>
      </c>
      <c r="D178" s="341">
        <v>1</v>
      </c>
      <c r="E178" s="211">
        <v>202100</v>
      </c>
      <c r="F178" s="211">
        <v>40420</v>
      </c>
      <c r="G178" s="211">
        <v>40420</v>
      </c>
      <c r="H178" s="211">
        <v>40420</v>
      </c>
      <c r="I178" s="211">
        <v>40420</v>
      </c>
      <c r="J178" s="211">
        <v>40420</v>
      </c>
    </row>
    <row r="179" spans="3:10" x14ac:dyDescent="0.25">
      <c r="C179" s="209" t="s">
        <v>303</v>
      </c>
      <c r="D179" s="341">
        <v>1</v>
      </c>
      <c r="E179" s="211">
        <v>151575</v>
      </c>
      <c r="F179" s="211">
        <v>151575</v>
      </c>
      <c r="G179" s="211">
        <v>0</v>
      </c>
      <c r="H179" s="211">
        <v>0</v>
      </c>
      <c r="I179" s="211">
        <v>0</v>
      </c>
      <c r="J179" s="211">
        <v>0</v>
      </c>
    </row>
    <row r="180" spans="3:10" x14ac:dyDescent="0.25">
      <c r="C180" s="209" t="s">
        <v>317</v>
      </c>
      <c r="D180" s="341">
        <v>1</v>
      </c>
      <c r="E180" s="211">
        <v>149351.9</v>
      </c>
      <c r="F180" s="211">
        <v>29870.379999999997</v>
      </c>
      <c r="G180" s="211">
        <v>29870.379999999997</v>
      </c>
      <c r="H180" s="211">
        <v>29870.379999999997</v>
      </c>
      <c r="I180" s="211">
        <v>29870.379999999997</v>
      </c>
      <c r="J180" s="211">
        <v>29870.379999999997</v>
      </c>
    </row>
    <row r="181" spans="3:10" x14ac:dyDescent="0.25">
      <c r="C181" s="209" t="s">
        <v>327</v>
      </c>
      <c r="D181" s="341">
        <v>1</v>
      </c>
      <c r="E181" s="211">
        <v>106102.5</v>
      </c>
      <c r="F181" s="211">
        <v>106102.5</v>
      </c>
      <c r="G181" s="211">
        <v>0</v>
      </c>
      <c r="H181" s="211">
        <v>0</v>
      </c>
      <c r="I181" s="211">
        <v>0</v>
      </c>
      <c r="J181" s="211">
        <v>0</v>
      </c>
    </row>
    <row r="182" spans="3:10" x14ac:dyDescent="0.25">
      <c r="C182" s="209" t="s">
        <v>311</v>
      </c>
      <c r="D182" s="341">
        <v>1</v>
      </c>
      <c r="E182" s="211">
        <v>101050</v>
      </c>
      <c r="F182" s="211">
        <v>101050</v>
      </c>
      <c r="G182" s="211">
        <v>0</v>
      </c>
      <c r="H182" s="211">
        <v>0</v>
      </c>
      <c r="I182" s="211">
        <v>0</v>
      </c>
      <c r="J182" s="211">
        <v>0</v>
      </c>
    </row>
    <row r="183" spans="3:10" x14ac:dyDescent="0.25">
      <c r="C183" s="209" t="s">
        <v>319</v>
      </c>
      <c r="D183" s="341">
        <v>1</v>
      </c>
      <c r="E183" s="211">
        <v>101050</v>
      </c>
      <c r="F183" s="211">
        <v>101050</v>
      </c>
      <c r="G183" s="211">
        <v>0</v>
      </c>
      <c r="H183" s="211">
        <v>0</v>
      </c>
      <c r="I183" s="211">
        <v>0</v>
      </c>
      <c r="J183" s="211">
        <v>0</v>
      </c>
    </row>
    <row r="184" spans="3:10" x14ac:dyDescent="0.25">
      <c r="C184" s="209" t="s">
        <v>312</v>
      </c>
      <c r="D184" s="341">
        <v>1</v>
      </c>
      <c r="E184" s="211">
        <v>101050</v>
      </c>
      <c r="F184" s="211">
        <v>101050</v>
      </c>
      <c r="G184" s="211">
        <v>0</v>
      </c>
      <c r="H184" s="211">
        <v>0</v>
      </c>
      <c r="I184" s="211">
        <v>0</v>
      </c>
      <c r="J184" s="211">
        <v>0</v>
      </c>
    </row>
    <row r="185" spans="3:10" x14ac:dyDescent="0.25">
      <c r="C185" s="209" t="s">
        <v>181</v>
      </c>
      <c r="D185" s="341">
        <v>7</v>
      </c>
      <c r="E185" s="211">
        <v>71240.25</v>
      </c>
      <c r="F185" s="211">
        <v>71240.25</v>
      </c>
      <c r="G185" s="211">
        <v>0</v>
      </c>
      <c r="H185" s="211">
        <v>0</v>
      </c>
      <c r="I185" s="211">
        <v>0</v>
      </c>
      <c r="J185" s="211">
        <v>0</v>
      </c>
    </row>
    <row r="186" spans="3:10" x14ac:dyDescent="0.25">
      <c r="C186" s="209" t="s">
        <v>296</v>
      </c>
      <c r="D186" s="341">
        <v>1</v>
      </c>
      <c r="E186" s="211">
        <v>61640.5</v>
      </c>
      <c r="F186" s="211">
        <v>30820.25</v>
      </c>
      <c r="G186" s="211">
        <v>30820.25</v>
      </c>
      <c r="H186" s="211">
        <v>0</v>
      </c>
      <c r="I186" s="211">
        <v>0</v>
      </c>
      <c r="J186" s="211">
        <v>0</v>
      </c>
    </row>
    <row r="187" spans="3:10" x14ac:dyDescent="0.25">
      <c r="C187" s="209" t="s">
        <v>335</v>
      </c>
      <c r="D187" s="341">
        <v>1</v>
      </c>
      <c r="E187" s="211">
        <v>60630</v>
      </c>
      <c r="F187" s="211">
        <v>60630</v>
      </c>
      <c r="G187" s="211">
        <v>0</v>
      </c>
      <c r="H187" s="211">
        <v>0</v>
      </c>
      <c r="I187" s="211">
        <v>0</v>
      </c>
      <c r="J187" s="211">
        <v>0</v>
      </c>
    </row>
    <row r="188" spans="3:10" x14ac:dyDescent="0.25">
      <c r="C188" s="209" t="s">
        <v>321</v>
      </c>
      <c r="D188" s="341">
        <v>1</v>
      </c>
      <c r="E188" s="211">
        <v>50525</v>
      </c>
      <c r="F188" s="211">
        <v>50525</v>
      </c>
      <c r="G188" s="211">
        <v>0</v>
      </c>
      <c r="H188" s="211">
        <v>0</v>
      </c>
      <c r="I188" s="211">
        <v>0</v>
      </c>
      <c r="J188" s="211">
        <v>0</v>
      </c>
    </row>
    <row r="189" spans="3:10" x14ac:dyDescent="0.25">
      <c r="C189" s="209" t="s">
        <v>320</v>
      </c>
      <c r="D189" s="341">
        <v>1</v>
      </c>
      <c r="E189" s="211">
        <v>45472.5</v>
      </c>
      <c r="F189" s="211">
        <v>9094.5</v>
      </c>
      <c r="G189" s="211">
        <v>9094.5</v>
      </c>
      <c r="H189" s="211">
        <v>9094.5</v>
      </c>
      <c r="I189" s="211">
        <v>9094.5</v>
      </c>
      <c r="J189" s="211">
        <v>9094.5</v>
      </c>
    </row>
    <row r="190" spans="3:10" x14ac:dyDescent="0.25">
      <c r="C190" s="209" t="s">
        <v>301</v>
      </c>
      <c r="D190" s="341">
        <v>1</v>
      </c>
      <c r="E190" s="211">
        <v>40420</v>
      </c>
      <c r="F190" s="211">
        <v>8084</v>
      </c>
      <c r="G190" s="211">
        <v>8084</v>
      </c>
      <c r="H190" s="211">
        <v>8084</v>
      </c>
      <c r="I190" s="211">
        <v>8084</v>
      </c>
      <c r="J190" s="211">
        <v>8084</v>
      </c>
    </row>
    <row r="191" spans="3:10" x14ac:dyDescent="0.25">
      <c r="C191" s="209" t="s">
        <v>324</v>
      </c>
      <c r="D191" s="341">
        <v>1</v>
      </c>
      <c r="E191" s="211">
        <v>37893.75</v>
      </c>
      <c r="F191" s="211">
        <v>7578.75</v>
      </c>
      <c r="G191" s="211">
        <v>7578.75</v>
      </c>
      <c r="H191" s="211">
        <v>7578.75</v>
      </c>
      <c r="I191" s="211">
        <v>7578.75</v>
      </c>
      <c r="J191" s="211">
        <v>7578.75</v>
      </c>
    </row>
    <row r="192" spans="3:10" x14ac:dyDescent="0.25">
      <c r="C192" s="209" t="s">
        <v>299</v>
      </c>
      <c r="D192" s="341">
        <v>1</v>
      </c>
      <c r="E192" s="211">
        <v>18946.875</v>
      </c>
      <c r="F192" s="211">
        <v>3789.375</v>
      </c>
      <c r="G192" s="211">
        <v>3789.375</v>
      </c>
      <c r="H192" s="211">
        <v>3789.375</v>
      </c>
      <c r="I192" s="211">
        <v>3789.375</v>
      </c>
      <c r="J192" s="211">
        <v>3789.375</v>
      </c>
    </row>
    <row r="193" spans="3:10" x14ac:dyDescent="0.25">
      <c r="C193" s="328" t="s">
        <v>141</v>
      </c>
      <c r="D193" s="341">
        <v>302</v>
      </c>
      <c r="E193" s="211">
        <v>2963396073.7111349</v>
      </c>
      <c r="F193" s="211">
        <v>610166393.75645208</v>
      </c>
      <c r="G193" s="211">
        <v>582245875.41904247</v>
      </c>
      <c r="H193" s="211">
        <v>589117633.18175316</v>
      </c>
      <c r="I193" s="211">
        <v>593385669.49192381</v>
      </c>
      <c r="J193" s="211">
        <v>588480501.86196351</v>
      </c>
    </row>
  </sheetData>
  <mergeCells count="6">
    <mergeCell ref="C83:J83"/>
    <mergeCell ref="C2:J2"/>
    <mergeCell ref="C12:J12"/>
    <mergeCell ref="C33:J33"/>
    <mergeCell ref="C58:J58"/>
    <mergeCell ref="C74:J74"/>
  </mergeCells>
  <pageMargins left="0.7" right="0.7" top="0.75" bottom="0.75" header="0.3" footer="0.3"/>
  <drawing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B2:K53"/>
  <sheetViews>
    <sheetView showGridLines="0" topLeftCell="A22" zoomScale="70" zoomScaleNormal="70" workbookViewId="0">
      <selection activeCell="F14" sqref="F14"/>
    </sheetView>
  </sheetViews>
  <sheetFormatPr baseColWidth="10" defaultColWidth="10.8984375" defaultRowHeight="15.65" x14ac:dyDescent="0.25"/>
  <cols>
    <col min="1" max="1" width="10.8984375" style="396"/>
    <col min="2" max="2" width="91.796875" style="959" bestFit="1" customWidth="1"/>
    <col min="3" max="4" width="18" style="396" bestFit="1" customWidth="1"/>
    <col min="5" max="9" width="16.296875" style="396" bestFit="1" customWidth="1"/>
    <col min="10" max="10" width="22" style="396" customWidth="1"/>
    <col min="11" max="11" width="9.19921875" style="396" customWidth="1"/>
    <col min="12" max="12" width="37.296875" style="396" bestFit="1" customWidth="1"/>
    <col min="13" max="14" width="13.796875" style="396" bestFit="1" customWidth="1"/>
    <col min="15" max="16384" width="10.8984375" style="396"/>
  </cols>
  <sheetData>
    <row r="2" spans="2:11" x14ac:dyDescent="0.25">
      <c r="G2" s="985"/>
      <c r="H2" s="985"/>
    </row>
    <row r="3" spans="2:11" x14ac:dyDescent="0.25">
      <c r="G3" s="986"/>
      <c r="H3" s="987"/>
    </row>
    <row r="4" spans="2:11" x14ac:dyDescent="0.25">
      <c r="G4" s="988"/>
      <c r="H4" s="1281"/>
    </row>
    <row r="5" spans="2:11" ht="23.1" x14ac:dyDescent="0.35">
      <c r="B5" s="1508" t="s">
        <v>2339</v>
      </c>
      <c r="C5" s="1508"/>
      <c r="D5" s="1508"/>
      <c r="E5" s="1508"/>
      <c r="F5" s="981"/>
      <c r="G5" s="988"/>
      <c r="H5" s="1281"/>
    </row>
    <row r="6" spans="2:11" ht="18" customHeight="1" x14ac:dyDescent="0.35">
      <c r="B6" s="970"/>
      <c r="C6" s="970"/>
      <c r="D6" s="970"/>
      <c r="G6" s="985"/>
      <c r="H6" s="1281"/>
    </row>
    <row r="7" spans="2:11" x14ac:dyDescent="0.25">
      <c r="B7" s="1507" t="s">
        <v>2320</v>
      </c>
      <c r="C7" s="1507"/>
      <c r="D7" s="1507"/>
      <c r="E7" s="1507"/>
      <c r="F7" s="982"/>
      <c r="G7" s="985"/>
      <c r="H7" s="985"/>
    </row>
    <row r="8" spans="2:11" x14ac:dyDescent="0.25">
      <c r="C8" s="229"/>
      <c r="D8" s="229"/>
    </row>
    <row r="9" spans="2:11" hidden="1" x14ac:dyDescent="0.25">
      <c r="B9" s="193" t="s">
        <v>153</v>
      </c>
      <c r="C9" s="338" t="s">
        <v>144</v>
      </c>
      <c r="D9"/>
      <c r="E9"/>
      <c r="F9"/>
      <c r="G9"/>
      <c r="H9"/>
    </row>
    <row r="10" spans="2:11" s="397" customFormat="1" ht="46.9" x14ac:dyDescent="0.25">
      <c r="B10" s="338" t="s">
        <v>2321</v>
      </c>
      <c r="C10" s="214" t="s">
        <v>137</v>
      </c>
      <c r="D10" s="214" t="s">
        <v>132</v>
      </c>
      <c r="E10" s="214" t="s">
        <v>134</v>
      </c>
      <c r="F10" s="214" t="s">
        <v>120</v>
      </c>
      <c r="G10" s="214" t="s">
        <v>139</v>
      </c>
      <c r="H10" s="214" t="s">
        <v>2322</v>
      </c>
      <c r="I10" s="971"/>
      <c r="J10" s="971"/>
      <c r="K10" s="971"/>
    </row>
    <row r="11" spans="2:11" x14ac:dyDescent="0.25">
      <c r="B11" s="209" t="s">
        <v>193</v>
      </c>
      <c r="C11" s="63">
        <v>341628112.86148399</v>
      </c>
      <c r="D11" s="63">
        <v>339959120.73049998</v>
      </c>
      <c r="E11" s="63">
        <v>279846865.86210805</v>
      </c>
      <c r="F11" s="63">
        <v>841988409.65799999</v>
      </c>
      <c r="G11" s="63">
        <v>82861000</v>
      </c>
      <c r="H11" s="63">
        <v>1886283509.112092</v>
      </c>
    </row>
    <row r="12" spans="2:11" x14ac:dyDescent="0.25">
      <c r="B12" s="331" t="s">
        <v>194</v>
      </c>
      <c r="C12" s="63">
        <v>97296010.688999996</v>
      </c>
      <c r="D12" s="63">
        <v>96059722.548000023</v>
      </c>
      <c r="E12" s="63">
        <v>95691090.127000004</v>
      </c>
      <c r="F12" s="63">
        <v>368752377.45499998</v>
      </c>
      <c r="G12" s="63"/>
      <c r="H12" s="63">
        <v>657799200.81900001</v>
      </c>
    </row>
    <row r="13" spans="2:11" x14ac:dyDescent="0.25">
      <c r="B13" s="331" t="s">
        <v>195</v>
      </c>
      <c r="C13" s="63">
        <v>134281429.31249997</v>
      </c>
      <c r="D13" s="63">
        <v>117292979.09999998</v>
      </c>
      <c r="E13" s="63">
        <v>96736074.450000003</v>
      </c>
      <c r="F13" s="63">
        <v>279905003.66999996</v>
      </c>
      <c r="G13" s="63">
        <v>8033475</v>
      </c>
      <c r="H13" s="63">
        <v>636248961.53249991</v>
      </c>
    </row>
    <row r="14" spans="2:11" x14ac:dyDescent="0.25">
      <c r="B14" s="331" t="s">
        <v>196</v>
      </c>
      <c r="C14" s="63">
        <v>75417111.329999998</v>
      </c>
      <c r="D14" s="63">
        <v>93411494.082500011</v>
      </c>
      <c r="E14" s="63">
        <v>73922571.724999994</v>
      </c>
      <c r="F14" s="63">
        <v>176948802.53299999</v>
      </c>
      <c r="G14" s="1191">
        <v>727560</v>
      </c>
      <c r="H14" s="63">
        <v>420427539.67050004</v>
      </c>
    </row>
    <row r="15" spans="2:11" x14ac:dyDescent="0.25">
      <c r="B15" s="331" t="s">
        <v>197</v>
      </c>
      <c r="C15" s="63">
        <v>27357961.529983997</v>
      </c>
      <c r="D15" s="63">
        <v>3425595</v>
      </c>
      <c r="E15" s="63">
        <v>8889249.5601079985</v>
      </c>
      <c r="F15" s="63">
        <v>5396070</v>
      </c>
      <c r="G15" s="1191">
        <v>69249565</v>
      </c>
      <c r="H15" s="63">
        <v>114318441.090092</v>
      </c>
    </row>
    <row r="16" spans="2:11" x14ac:dyDescent="0.25">
      <c r="B16" s="331" t="s">
        <v>198</v>
      </c>
      <c r="C16" s="63">
        <v>7275600</v>
      </c>
      <c r="D16" s="63">
        <v>29769330</v>
      </c>
      <c r="E16" s="63">
        <v>4607880</v>
      </c>
      <c r="F16" s="63">
        <v>10986156</v>
      </c>
      <c r="G16" s="63">
        <v>4850400</v>
      </c>
      <c r="H16" s="63">
        <v>57489366</v>
      </c>
    </row>
    <row r="17" spans="2:8" x14ac:dyDescent="0.25">
      <c r="B17" s="209" t="s">
        <v>199</v>
      </c>
      <c r="C17" s="63">
        <v>77466880.587491289</v>
      </c>
      <c r="D17" s="63">
        <v>202418974.09061965</v>
      </c>
      <c r="E17" s="63">
        <v>109663188.78018907</v>
      </c>
      <c r="F17" s="63">
        <v>427398573.59836429</v>
      </c>
      <c r="G17" s="63">
        <v>10665905.483374041</v>
      </c>
      <c r="H17" s="63">
        <v>827613522.54003835</v>
      </c>
    </row>
    <row r="18" spans="2:8" x14ac:dyDescent="0.25">
      <c r="B18" s="331" t="s">
        <v>200</v>
      </c>
      <c r="C18" s="63">
        <v>38722360.000000007</v>
      </c>
      <c r="D18" s="63">
        <v>137913040.00000003</v>
      </c>
      <c r="E18" s="63">
        <v>26515520.000000004</v>
      </c>
      <c r="F18" s="63">
        <v>266893260.00000003</v>
      </c>
      <c r="G18" s="63"/>
      <c r="H18" s="63">
        <v>470044180.00000006</v>
      </c>
    </row>
    <row r="19" spans="2:8" x14ac:dyDescent="0.25">
      <c r="B19" s="331" t="s">
        <v>201</v>
      </c>
      <c r="C19" s="63">
        <v>28766787.6875</v>
      </c>
      <c r="D19" s="63">
        <v>37788910.625</v>
      </c>
      <c r="E19" s="63">
        <v>71142357.8125</v>
      </c>
      <c r="F19" s="63">
        <v>91844345</v>
      </c>
      <c r="G19" s="1191">
        <v>3284125</v>
      </c>
      <c r="H19" s="63">
        <v>232826526.125</v>
      </c>
    </row>
    <row r="20" spans="2:8" x14ac:dyDescent="0.25">
      <c r="B20" s="331" t="s">
        <v>202</v>
      </c>
      <c r="C20" s="63">
        <v>9977732.8999912888</v>
      </c>
      <c r="D20" s="63">
        <v>26717023.465619612</v>
      </c>
      <c r="E20" s="63">
        <v>12005310.967689062</v>
      </c>
      <c r="F20" s="63">
        <v>68660968.598364294</v>
      </c>
      <c r="G20" s="1191">
        <v>7381780.4833740396</v>
      </c>
      <c r="H20" s="63">
        <v>124742816.4150383</v>
      </c>
    </row>
    <row r="21" spans="2:8" x14ac:dyDescent="0.25">
      <c r="B21" s="209" t="s">
        <v>203</v>
      </c>
      <c r="C21" s="63">
        <v>63960478.829954416</v>
      </c>
      <c r="D21" s="63">
        <v>26575031.7658417</v>
      </c>
      <c r="E21" s="63">
        <v>63780386.086365186</v>
      </c>
      <c r="F21" s="63">
        <v>63804647.562083416</v>
      </c>
      <c r="G21" s="63">
        <v>31378497.81476</v>
      </c>
      <c r="H21" s="63">
        <v>249499042.05900472</v>
      </c>
    </row>
    <row r="22" spans="2:8" x14ac:dyDescent="0.25">
      <c r="B22" s="332" t="s">
        <v>204</v>
      </c>
      <c r="C22" s="975">
        <v>59387966.329954416</v>
      </c>
      <c r="D22" s="975">
        <v>17985781.7658417</v>
      </c>
      <c r="E22" s="975">
        <v>59566601.086365186</v>
      </c>
      <c r="F22" s="975">
        <v>53841117.562083416</v>
      </c>
      <c r="G22" s="1192">
        <v>21212867.81476</v>
      </c>
      <c r="H22" s="975">
        <v>211994334.55900472</v>
      </c>
    </row>
    <row r="23" spans="2:8" x14ac:dyDescent="0.25">
      <c r="B23" s="331" t="s">
        <v>205</v>
      </c>
      <c r="C23" s="63">
        <v>2046262.5</v>
      </c>
      <c r="D23" s="63">
        <v>2703087.5</v>
      </c>
      <c r="E23" s="63">
        <v>2389832.5</v>
      </c>
      <c r="F23" s="63">
        <v>7174550</v>
      </c>
      <c r="G23" s="1191">
        <v>10165630</v>
      </c>
      <c r="H23" s="63">
        <v>24479362.5</v>
      </c>
    </row>
    <row r="24" spans="2:8" x14ac:dyDescent="0.25">
      <c r="B24" s="331" t="s">
        <v>195</v>
      </c>
      <c r="C24" s="63">
        <v>2526250</v>
      </c>
      <c r="D24" s="63">
        <v>5886162.5</v>
      </c>
      <c r="E24" s="63">
        <v>1823952.5</v>
      </c>
      <c r="F24" s="63">
        <v>2788980</v>
      </c>
      <c r="G24" s="63"/>
      <c r="H24" s="63">
        <v>13025345</v>
      </c>
    </row>
    <row r="25" spans="2:8" x14ac:dyDescent="0.25">
      <c r="B25" s="972" t="s">
        <v>2322</v>
      </c>
      <c r="C25" s="977">
        <v>483055472.27892965</v>
      </c>
      <c r="D25" s="977">
        <v>568953126.58696127</v>
      </c>
      <c r="E25" s="977">
        <v>453290440.72866219</v>
      </c>
      <c r="F25" s="977">
        <v>1333191630.8184476</v>
      </c>
      <c r="G25" s="977">
        <v>124905403.29813403</v>
      </c>
      <c r="H25" s="977">
        <v>2963396073.7111354</v>
      </c>
    </row>
    <row r="26" spans="2:8" x14ac:dyDescent="0.25">
      <c r="C26" s="1190"/>
    </row>
    <row r="28" spans="2:8" x14ac:dyDescent="0.25">
      <c r="F28" s="984"/>
      <c r="G28" s="984"/>
    </row>
    <row r="29" spans="2:8" ht="23.1" x14ac:dyDescent="0.35">
      <c r="B29" s="1508"/>
      <c r="C29" s="1508"/>
      <c r="D29" s="1508"/>
      <c r="F29" s="985"/>
      <c r="G29" s="985"/>
    </row>
    <row r="30" spans="2:8" ht="9.6999999999999993" customHeight="1" x14ac:dyDescent="0.35">
      <c r="B30" s="970"/>
      <c r="C30" s="970"/>
      <c r="D30" s="970"/>
      <c r="F30" s="986"/>
      <c r="G30" s="987"/>
    </row>
    <row r="31" spans="2:8" ht="23.1" x14ac:dyDescent="0.35">
      <c r="B31" s="1508" t="s">
        <v>2340</v>
      </c>
      <c r="C31" s="1508"/>
      <c r="D31" s="1508"/>
      <c r="E31" s="1508"/>
      <c r="F31" s="1508"/>
      <c r="G31" s="1508"/>
      <c r="H31" s="1508"/>
    </row>
    <row r="32" spans="2:8" x14ac:dyDescent="0.25">
      <c r="B32" s="1507" t="s">
        <v>2320</v>
      </c>
      <c r="C32" s="1507"/>
      <c r="D32" s="1507"/>
      <c r="F32" s="988"/>
      <c r="G32" s="989"/>
    </row>
    <row r="33" spans="2:11" x14ac:dyDescent="0.25">
      <c r="B33" s="396"/>
      <c r="C33" s="229"/>
      <c r="D33" s="229"/>
      <c r="F33" s="985"/>
      <c r="G33" s="989"/>
    </row>
    <row r="34" spans="2:11" ht="26.5" customHeight="1" x14ac:dyDescent="0.25">
      <c r="B34" s="338" t="s">
        <v>142</v>
      </c>
      <c r="C34" s="231" t="s">
        <v>150</v>
      </c>
      <c r="D34" s="229"/>
      <c r="F34" s="985"/>
      <c r="G34" s="985"/>
    </row>
    <row r="35" spans="2:11" x14ac:dyDescent="0.25">
      <c r="B35" s="396"/>
      <c r="C35" s="229"/>
      <c r="D35" s="229"/>
    </row>
    <row r="36" spans="2:11" s="979" customFormat="1" ht="22.95" customHeight="1" x14ac:dyDescent="0.25">
      <c r="B36" s="193" t="s">
        <v>2321</v>
      </c>
      <c r="C36" s="983" t="s">
        <v>153</v>
      </c>
      <c r="D36" s="983" t="s">
        <v>2337</v>
      </c>
      <c r="E36" s="287" t="s">
        <v>211</v>
      </c>
      <c r="F36" s="287" t="s">
        <v>212</v>
      </c>
      <c r="G36" s="287" t="s">
        <v>213</v>
      </c>
      <c r="H36" s="287" t="s">
        <v>214</v>
      </c>
      <c r="I36" s="287" t="s">
        <v>215</v>
      </c>
      <c r="J36" s="980"/>
      <c r="K36" s="980"/>
    </row>
    <row r="37" spans="2:11" x14ac:dyDescent="0.25">
      <c r="B37" s="990" t="s">
        <v>203</v>
      </c>
      <c r="C37" s="63">
        <v>249499042.05900475</v>
      </c>
      <c r="D37" s="63">
        <v>231373313.70058361</v>
      </c>
      <c r="E37" s="63">
        <v>76429717.07619673</v>
      </c>
      <c r="F37" s="63">
        <v>44583886.433201998</v>
      </c>
      <c r="G37" s="63">
        <v>44310546.183201998</v>
      </c>
      <c r="H37" s="63">
        <v>42087446.183201998</v>
      </c>
      <c r="I37" s="63">
        <v>42087446.183201998</v>
      </c>
    </row>
    <row r="38" spans="2:11" x14ac:dyDescent="0.25">
      <c r="B38" s="991" t="s">
        <v>204</v>
      </c>
      <c r="C38" s="63">
        <v>211994334.55900475</v>
      </c>
      <c r="D38" s="63">
        <v>192544851.20058361</v>
      </c>
      <c r="E38" s="63">
        <v>68880271.57619673</v>
      </c>
      <c r="F38" s="63">
        <v>37095070.933201998</v>
      </c>
      <c r="G38" s="63">
        <v>36821730.683201998</v>
      </c>
      <c r="H38" s="63">
        <v>34598630.683201998</v>
      </c>
      <c r="I38" s="63">
        <v>34598630.683201998</v>
      </c>
    </row>
    <row r="39" spans="2:11" x14ac:dyDescent="0.25">
      <c r="B39" s="991" t="s">
        <v>205</v>
      </c>
      <c r="C39" s="63">
        <v>24479362.5</v>
      </c>
      <c r="D39" s="63">
        <v>25100820</v>
      </c>
      <c r="E39" s="63">
        <v>4944376.5</v>
      </c>
      <c r="F39" s="63">
        <v>4883746.5</v>
      </c>
      <c r="G39" s="63">
        <v>4883746.5</v>
      </c>
      <c r="H39" s="63">
        <v>4883746.5</v>
      </c>
      <c r="I39" s="63">
        <v>4883746.5</v>
      </c>
    </row>
    <row r="40" spans="2:11" x14ac:dyDescent="0.25">
      <c r="B40" s="991" t="s">
        <v>195</v>
      </c>
      <c r="C40" s="63">
        <v>13025345</v>
      </c>
      <c r="D40" s="63">
        <v>13727642.5</v>
      </c>
      <c r="E40" s="63">
        <v>2605069</v>
      </c>
      <c r="F40" s="63">
        <v>2605069</v>
      </c>
      <c r="G40" s="63">
        <v>2605069</v>
      </c>
      <c r="H40" s="63">
        <v>2605069</v>
      </c>
      <c r="I40" s="63">
        <v>2605069</v>
      </c>
    </row>
    <row r="41" spans="2:11" x14ac:dyDescent="0.25">
      <c r="B41" s="990" t="s">
        <v>199</v>
      </c>
      <c r="C41" s="63">
        <v>827613522.54003835</v>
      </c>
      <c r="D41" s="63">
        <v>831165606.87753832</v>
      </c>
      <c r="E41" s="63">
        <v>156719628.06933683</v>
      </c>
      <c r="F41" s="63">
        <v>161075895.88867226</v>
      </c>
      <c r="G41" s="63">
        <v>167528445.95800769</v>
      </c>
      <c r="H41" s="63">
        <v>173636923.09667853</v>
      </c>
      <c r="I41" s="63">
        <v>168652629.52734309</v>
      </c>
    </row>
    <row r="42" spans="2:11" x14ac:dyDescent="0.25">
      <c r="B42" s="991" t="s">
        <v>200</v>
      </c>
      <c r="C42" s="63">
        <v>470044180.00000006</v>
      </c>
      <c r="D42" s="63">
        <v>491264680</v>
      </c>
      <c r="E42" s="63">
        <v>94008836.000000015</v>
      </c>
      <c r="F42" s="63">
        <v>94008836.000000015</v>
      </c>
      <c r="G42" s="63">
        <v>94008836.000000015</v>
      </c>
      <c r="H42" s="63">
        <v>94008836.000000015</v>
      </c>
      <c r="I42" s="63">
        <v>94008836.000000015</v>
      </c>
    </row>
    <row r="43" spans="2:11" x14ac:dyDescent="0.25">
      <c r="B43" s="991" t="s">
        <v>201</v>
      </c>
      <c r="C43" s="63">
        <v>232826526.125</v>
      </c>
      <c r="D43" s="63">
        <v>226632161.125</v>
      </c>
      <c r="E43" s="63">
        <v>46565305.225000001</v>
      </c>
      <c r="F43" s="63">
        <v>47272655.225000001</v>
      </c>
      <c r="G43" s="63">
        <v>48687355.225000001</v>
      </c>
      <c r="H43" s="63">
        <v>45150605.225000001</v>
      </c>
      <c r="I43" s="63">
        <v>45150605.225000001</v>
      </c>
    </row>
    <row r="44" spans="2:11" x14ac:dyDescent="0.25">
      <c r="B44" s="991" t="s">
        <v>202</v>
      </c>
      <c r="C44" s="63">
        <v>124742816.41503829</v>
      </c>
      <c r="D44" s="63">
        <v>113268765.75253829</v>
      </c>
      <c r="E44" s="63">
        <v>16145486.844336823</v>
      </c>
      <c r="F44" s="63">
        <v>19794404.663672246</v>
      </c>
      <c r="G44" s="63">
        <v>24832254.733007669</v>
      </c>
      <c r="H44" s="63">
        <v>34477481.871678501</v>
      </c>
      <c r="I44" s="63">
        <v>29493188.302343082</v>
      </c>
    </row>
    <row r="45" spans="2:11" x14ac:dyDescent="0.25">
      <c r="B45" s="990" t="s">
        <v>193</v>
      </c>
      <c r="C45" s="63">
        <v>1886283509.1120918</v>
      </c>
      <c r="D45" s="63">
        <v>2170491712.4889755</v>
      </c>
      <c r="E45" s="63">
        <v>377017048.6109184</v>
      </c>
      <c r="F45" s="63">
        <v>376586093.09716839</v>
      </c>
      <c r="G45" s="63">
        <v>377278641.04054338</v>
      </c>
      <c r="H45" s="63">
        <v>377661300.2120434</v>
      </c>
      <c r="I45" s="63">
        <v>377740426.15141839</v>
      </c>
    </row>
    <row r="46" spans="2:11" x14ac:dyDescent="0.25">
      <c r="B46" s="991" t="s">
        <v>194</v>
      </c>
      <c r="C46" s="63">
        <v>657799200.81899989</v>
      </c>
      <c r="D46" s="63">
        <v>954765058.0369997</v>
      </c>
      <c r="E46" s="63">
        <v>133557896.76130001</v>
      </c>
      <c r="F46" s="63">
        <v>132378870.62380002</v>
      </c>
      <c r="G46" s="63">
        <v>131559840.16380002</v>
      </c>
      <c r="H46" s="63">
        <v>130740809.70380002</v>
      </c>
      <c r="I46" s="63">
        <v>129561783.56630003</v>
      </c>
    </row>
    <row r="47" spans="2:11" x14ac:dyDescent="0.25">
      <c r="B47" s="991" t="s">
        <v>195</v>
      </c>
      <c r="C47" s="63">
        <v>636248961.53249991</v>
      </c>
      <c r="D47" s="63">
        <v>435198431.46500003</v>
      </c>
      <c r="E47" s="63">
        <v>125206245.02</v>
      </c>
      <c r="F47" s="63">
        <v>126428619.08124998</v>
      </c>
      <c r="G47" s="63">
        <v>126842592.38462499</v>
      </c>
      <c r="H47" s="63">
        <v>128417535.45362499</v>
      </c>
      <c r="I47" s="63">
        <v>129353969.59299999</v>
      </c>
    </row>
    <row r="48" spans="2:11" x14ac:dyDescent="0.25">
      <c r="B48" s="991" t="s">
        <v>196</v>
      </c>
      <c r="C48" s="63">
        <v>420427539.67049998</v>
      </c>
      <c r="D48" s="63">
        <v>536266920.58350003</v>
      </c>
      <c r="E48" s="63">
        <v>83531122.371599987</v>
      </c>
      <c r="F48" s="63">
        <v>83157868.934100002</v>
      </c>
      <c r="G48" s="63">
        <v>84700902.434099987</v>
      </c>
      <c r="H48" s="63">
        <v>84327648.996599987</v>
      </c>
      <c r="I48" s="63">
        <v>84709996.934099987</v>
      </c>
    </row>
    <row r="49" spans="2:10" x14ac:dyDescent="0.25">
      <c r="B49" s="991" t="s">
        <v>197</v>
      </c>
      <c r="C49" s="63">
        <v>114318441.090092</v>
      </c>
      <c r="D49" s="63">
        <v>179581218.403476</v>
      </c>
      <c r="E49" s="63">
        <v>23223911.258018397</v>
      </c>
      <c r="F49" s="63">
        <v>23122861.258018397</v>
      </c>
      <c r="G49" s="63">
        <v>22677432.858018398</v>
      </c>
      <c r="H49" s="63">
        <v>22677432.858018398</v>
      </c>
      <c r="I49" s="63">
        <v>22616802.858018398</v>
      </c>
    </row>
    <row r="50" spans="2:10" x14ac:dyDescent="0.25">
      <c r="B50" s="991" t="s">
        <v>198</v>
      </c>
      <c r="C50" s="63">
        <v>57489366</v>
      </c>
      <c r="D50" s="63">
        <v>64680084</v>
      </c>
      <c r="E50" s="63">
        <v>11497873.199999999</v>
      </c>
      <c r="F50" s="63">
        <v>11497873.199999999</v>
      </c>
      <c r="G50" s="63">
        <v>11497873.199999999</v>
      </c>
      <c r="H50" s="63">
        <v>11497873.199999999</v>
      </c>
      <c r="I50" s="63">
        <v>11497873.199999999</v>
      </c>
    </row>
    <row r="51" spans="2:10" x14ac:dyDescent="0.25">
      <c r="B51" s="976" t="s">
        <v>2338</v>
      </c>
      <c r="C51" s="976">
        <v>2963396073.7111349</v>
      </c>
      <c r="D51" s="976">
        <v>3233030633.0670977</v>
      </c>
      <c r="E51" s="976">
        <v>610166393.75645185</v>
      </c>
      <c r="F51" s="976">
        <v>582245875.41904259</v>
      </c>
      <c r="G51" s="976">
        <v>589117633.18175304</v>
      </c>
      <c r="H51" s="976">
        <v>593385669.49192381</v>
      </c>
      <c r="I51" s="976">
        <v>588480501.86196351</v>
      </c>
    </row>
    <row r="52" spans="2:10" x14ac:dyDescent="0.25">
      <c r="B52"/>
      <c r="C52"/>
      <c r="D52"/>
      <c r="E52"/>
      <c r="F52"/>
      <c r="G52"/>
      <c r="H52"/>
      <c r="I52"/>
    </row>
    <row r="53" spans="2:10" x14ac:dyDescent="0.25">
      <c r="B53"/>
      <c r="C53" s="882"/>
      <c r="D53" s="882"/>
      <c r="E53" s="882"/>
      <c r="F53" s="882"/>
      <c r="G53" s="882"/>
      <c r="H53" s="882"/>
      <c r="I53" s="882"/>
      <c r="J53" s="984"/>
    </row>
  </sheetData>
  <mergeCells count="5">
    <mergeCell ref="B32:D32"/>
    <mergeCell ref="B5:E5"/>
    <mergeCell ref="B7:E7"/>
    <mergeCell ref="B31:H31"/>
    <mergeCell ref="B29:D29"/>
  </mergeCells>
  <pageMargins left="0.7" right="0.7" top="0.75" bottom="0.75" header="0.3" footer="0.3"/>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H169"/>
  <sheetViews>
    <sheetView showGridLines="0" topLeftCell="C154" zoomScale="80" zoomScaleNormal="80" workbookViewId="0">
      <selection activeCell="F185" sqref="F185"/>
    </sheetView>
  </sheetViews>
  <sheetFormatPr baseColWidth="10" defaultRowHeight="15.65" x14ac:dyDescent="0.25"/>
  <cols>
    <col min="1" max="1" width="10.8984375" style="1187"/>
    <col min="2" max="2" width="189.8984375" bestFit="1" customWidth="1"/>
    <col min="3" max="3" width="14.3984375" style="229" bestFit="1" customWidth="1"/>
    <col min="4" max="8" width="12.8984375" style="229" bestFit="1" customWidth="1"/>
  </cols>
  <sheetData>
    <row r="1" spans="2:8" s="1187" customFormat="1" ht="23.1" x14ac:dyDescent="0.35">
      <c r="B1" s="1508" t="s">
        <v>2341</v>
      </c>
      <c r="C1" s="1508"/>
      <c r="D1" s="1508"/>
      <c r="E1" s="1508"/>
      <c r="F1" s="1508"/>
      <c r="G1" s="1508"/>
      <c r="H1" s="229"/>
    </row>
    <row r="2" spans="2:8" s="1187" customFormat="1" x14ac:dyDescent="0.25">
      <c r="B2" s="1507" t="s">
        <v>2320</v>
      </c>
      <c r="C2" s="1507"/>
      <c r="D2" s="1507"/>
      <c r="E2" s="1507"/>
      <c r="F2" s="1507"/>
      <c r="G2" s="1507"/>
      <c r="H2" s="229"/>
    </row>
    <row r="3" spans="2:8" s="1187" customFormat="1" x14ac:dyDescent="0.25">
      <c r="C3" s="229"/>
      <c r="D3" s="229"/>
      <c r="E3" s="229"/>
      <c r="F3" s="229"/>
      <c r="G3" s="229"/>
      <c r="H3" s="229"/>
    </row>
    <row r="4" spans="2:8" s="1187" customFormat="1" x14ac:dyDescent="0.25">
      <c r="C4" s="229"/>
      <c r="D4" s="229"/>
      <c r="E4" s="229"/>
      <c r="F4" s="229"/>
      <c r="G4" s="229"/>
      <c r="H4" s="229"/>
    </row>
    <row r="5" spans="2:8" ht="28.9" customHeight="1" x14ac:dyDescent="0.25">
      <c r="B5" s="193" t="s">
        <v>142</v>
      </c>
      <c r="C5" s="211" t="s">
        <v>150</v>
      </c>
    </row>
    <row r="7" spans="2:8" ht="23.95" customHeight="1" x14ac:dyDescent="0.25">
      <c r="B7" s="338" t="s">
        <v>2609</v>
      </c>
      <c r="C7" s="983" t="s">
        <v>2607</v>
      </c>
      <c r="D7" s="983" t="s">
        <v>211</v>
      </c>
      <c r="E7" s="983" t="s">
        <v>212</v>
      </c>
      <c r="F7" s="983" t="s">
        <v>213</v>
      </c>
      <c r="G7" s="983" t="s">
        <v>2608</v>
      </c>
      <c r="H7" s="983" t="s">
        <v>215</v>
      </c>
    </row>
    <row r="8" spans="2:8" x14ac:dyDescent="0.25">
      <c r="B8" s="209" t="s">
        <v>129</v>
      </c>
      <c r="C8" s="211">
        <v>1680079273.1700656</v>
      </c>
      <c r="D8" s="211">
        <v>329461315.62901574</v>
      </c>
      <c r="E8" s="211">
        <v>332611783.54951453</v>
      </c>
      <c r="F8" s="211">
        <v>336403886.63401324</v>
      </c>
      <c r="G8" s="211">
        <v>343361387.7765106</v>
      </c>
      <c r="H8" s="211">
        <v>338240899.58101183</v>
      </c>
    </row>
    <row r="9" spans="2:8" x14ac:dyDescent="0.25">
      <c r="B9" s="195" t="s">
        <v>194</v>
      </c>
      <c r="C9" s="211">
        <v>642167044.71700001</v>
      </c>
      <c r="D9" s="211">
        <v>130791461.2184</v>
      </c>
      <c r="E9" s="211">
        <v>129612435.08090001</v>
      </c>
      <c r="F9" s="211">
        <v>128433408.94340001</v>
      </c>
      <c r="G9" s="211">
        <v>127254382.80590001</v>
      </c>
      <c r="H9" s="211">
        <v>126075356.66840002</v>
      </c>
    </row>
    <row r="10" spans="2:8" x14ac:dyDescent="0.25">
      <c r="B10" s="414" t="s">
        <v>2329</v>
      </c>
      <c r="C10" s="211">
        <v>642167044.71700001</v>
      </c>
      <c r="D10" s="211">
        <v>130791461.2184</v>
      </c>
      <c r="E10" s="211">
        <v>129612435.08090001</v>
      </c>
      <c r="F10" s="211">
        <v>128433408.94340001</v>
      </c>
      <c r="G10" s="211">
        <v>127254382.80590001</v>
      </c>
      <c r="H10" s="211">
        <v>126075356.66840002</v>
      </c>
    </row>
    <row r="11" spans="2:8" x14ac:dyDescent="0.25">
      <c r="B11" s="195" t="s">
        <v>195</v>
      </c>
      <c r="C11" s="211">
        <v>542442225.53249991</v>
      </c>
      <c r="D11" s="211">
        <v>109010905.9425</v>
      </c>
      <c r="E11" s="211">
        <v>109010905.9425</v>
      </c>
      <c r="F11" s="211">
        <v>108488445.10649998</v>
      </c>
      <c r="G11" s="211">
        <v>107965984.27049999</v>
      </c>
      <c r="H11" s="211">
        <v>107965984.27049999</v>
      </c>
    </row>
    <row r="12" spans="2:8" x14ac:dyDescent="0.25">
      <c r="B12" s="414" t="s">
        <v>2330</v>
      </c>
      <c r="C12" s="211">
        <v>542442225.53249991</v>
      </c>
      <c r="D12" s="211">
        <v>109010905.9425</v>
      </c>
      <c r="E12" s="211">
        <v>109010905.9425</v>
      </c>
      <c r="F12" s="211">
        <v>108488445.10649998</v>
      </c>
      <c r="G12" s="211">
        <v>107965984.27049999</v>
      </c>
      <c r="H12" s="211">
        <v>107965984.27049999</v>
      </c>
    </row>
    <row r="13" spans="2:8" x14ac:dyDescent="0.25">
      <c r="B13" s="195" t="s">
        <v>196</v>
      </c>
      <c r="C13" s="211">
        <v>354377823.97049999</v>
      </c>
      <c r="D13" s="211">
        <v>70099500.794100001</v>
      </c>
      <c r="E13" s="211">
        <v>70099500.794100001</v>
      </c>
      <c r="F13" s="211">
        <v>71263596.794100001</v>
      </c>
      <c r="G13" s="211">
        <v>71263596.794100001</v>
      </c>
      <c r="H13" s="211">
        <v>71651628.794100001</v>
      </c>
    </row>
    <row r="14" spans="2:8" x14ac:dyDescent="0.25">
      <c r="B14" s="414" t="s">
        <v>2329</v>
      </c>
      <c r="C14" s="211">
        <v>354377823.97049999</v>
      </c>
      <c r="D14" s="211">
        <v>70099500.794100001</v>
      </c>
      <c r="E14" s="211">
        <v>70099500.794100001</v>
      </c>
      <c r="F14" s="211">
        <v>71263596.794100001</v>
      </c>
      <c r="G14" s="211">
        <v>71263596.794100001</v>
      </c>
      <c r="H14" s="211">
        <v>71651628.794100001</v>
      </c>
    </row>
    <row r="15" spans="2:8" x14ac:dyDescent="0.25">
      <c r="B15" s="195" t="s">
        <v>202</v>
      </c>
      <c r="C15" s="211">
        <v>86589881.159973964</v>
      </c>
      <c r="D15" s="211">
        <v>8658988.1159973964</v>
      </c>
      <c r="E15" s="211">
        <v>12988482.173996096</v>
      </c>
      <c r="F15" s="211">
        <v>17317976.231994793</v>
      </c>
      <c r="G15" s="211">
        <v>25976964.347992193</v>
      </c>
      <c r="H15" s="211">
        <v>21647470.289993491</v>
      </c>
    </row>
    <row r="16" spans="2:8" x14ac:dyDescent="0.25">
      <c r="B16" s="414" t="s">
        <v>2331</v>
      </c>
      <c r="C16" s="211">
        <v>86589881.159973964</v>
      </c>
      <c r="D16" s="211">
        <v>8658988.1159973964</v>
      </c>
      <c r="E16" s="211">
        <v>12988482.173996096</v>
      </c>
      <c r="F16" s="211">
        <v>17317976.231994793</v>
      </c>
      <c r="G16" s="211">
        <v>25976964.347992193</v>
      </c>
      <c r="H16" s="211">
        <v>21647470.289993491</v>
      </c>
    </row>
    <row r="17" spans="2:8" x14ac:dyDescent="0.25">
      <c r="B17" s="195" t="s">
        <v>197</v>
      </c>
      <c r="C17" s="211">
        <v>40070336.790091999</v>
      </c>
      <c r="D17" s="211">
        <v>8014067.3580183992</v>
      </c>
      <c r="E17" s="211">
        <v>8014067.3580183992</v>
      </c>
      <c r="F17" s="211">
        <v>8014067.3580183992</v>
      </c>
      <c r="G17" s="211">
        <v>8014067.3580183992</v>
      </c>
      <c r="H17" s="211">
        <v>8014067.3580183992</v>
      </c>
    </row>
    <row r="18" spans="2:8" x14ac:dyDescent="0.25">
      <c r="B18" s="414" t="s">
        <v>2329</v>
      </c>
      <c r="C18" s="211">
        <v>40070336.790091999</v>
      </c>
      <c r="D18" s="211">
        <v>8014067.3580183992</v>
      </c>
      <c r="E18" s="211">
        <v>8014067.3580183992</v>
      </c>
      <c r="F18" s="211">
        <v>8014067.3580183992</v>
      </c>
      <c r="G18" s="211">
        <v>8014067.3580183992</v>
      </c>
      <c r="H18" s="211">
        <v>8014067.3580183992</v>
      </c>
    </row>
    <row r="19" spans="2:8" x14ac:dyDescent="0.25">
      <c r="B19" s="195" t="s">
        <v>198</v>
      </c>
      <c r="C19" s="211">
        <v>11653086</v>
      </c>
      <c r="D19" s="211">
        <v>2330617.2000000002</v>
      </c>
      <c r="E19" s="211">
        <v>2330617.2000000002</v>
      </c>
      <c r="F19" s="211">
        <v>2330617.2000000002</v>
      </c>
      <c r="G19" s="211">
        <v>2330617.2000000002</v>
      </c>
      <c r="H19" s="211">
        <v>2330617.2000000002</v>
      </c>
    </row>
    <row r="20" spans="2:8" x14ac:dyDescent="0.25">
      <c r="B20" s="414" t="s">
        <v>2332</v>
      </c>
      <c r="C20" s="211">
        <v>11653086</v>
      </c>
      <c r="D20" s="211">
        <v>2330617.2000000002</v>
      </c>
      <c r="E20" s="211">
        <v>2330617.2000000002</v>
      </c>
      <c r="F20" s="211">
        <v>2330617.2000000002</v>
      </c>
      <c r="G20" s="211">
        <v>2330617.2000000002</v>
      </c>
      <c r="H20" s="211">
        <v>2330617.2000000002</v>
      </c>
    </row>
    <row r="21" spans="2:8" x14ac:dyDescent="0.25">
      <c r="B21" s="195" t="s">
        <v>204</v>
      </c>
      <c r="C21" s="211">
        <v>2778875</v>
      </c>
      <c r="D21" s="211">
        <v>555775</v>
      </c>
      <c r="E21" s="211">
        <v>555775</v>
      </c>
      <c r="F21" s="211">
        <v>555775</v>
      </c>
      <c r="G21" s="211">
        <v>555775</v>
      </c>
      <c r="H21" s="211">
        <v>555775</v>
      </c>
    </row>
    <row r="22" spans="2:8" x14ac:dyDescent="0.25">
      <c r="B22" s="414" t="s">
        <v>2333</v>
      </c>
      <c r="C22" s="211">
        <v>2778875</v>
      </c>
      <c r="D22" s="211">
        <v>555775</v>
      </c>
      <c r="E22" s="211">
        <v>555775</v>
      </c>
      <c r="F22" s="211">
        <v>555775</v>
      </c>
      <c r="G22" s="211">
        <v>555775</v>
      </c>
      <c r="H22" s="211">
        <v>555775</v>
      </c>
    </row>
    <row r="23" spans="2:8" x14ac:dyDescent="0.25">
      <c r="B23" s="209" t="s">
        <v>123</v>
      </c>
      <c r="C23" s="211">
        <v>564358189.52625</v>
      </c>
      <c r="D23" s="211">
        <v>112871637.90525001</v>
      </c>
      <c r="E23" s="211">
        <v>113578987.90525001</v>
      </c>
      <c r="F23" s="211">
        <v>114993687.90525001</v>
      </c>
      <c r="G23" s="211">
        <v>111456937.90525001</v>
      </c>
      <c r="H23" s="211">
        <v>111456937.90525001</v>
      </c>
    </row>
    <row r="24" spans="2:8" x14ac:dyDescent="0.25">
      <c r="B24" s="195" t="s">
        <v>200</v>
      </c>
      <c r="C24" s="211">
        <v>470044180.00000006</v>
      </c>
      <c r="D24" s="211">
        <v>94008836.000000015</v>
      </c>
      <c r="E24" s="211">
        <v>94008836.000000015</v>
      </c>
      <c r="F24" s="211">
        <v>94008836.000000015</v>
      </c>
      <c r="G24" s="211">
        <v>94008836.000000015</v>
      </c>
      <c r="H24" s="211">
        <v>94008836.000000015</v>
      </c>
    </row>
    <row r="25" spans="2:8" x14ac:dyDescent="0.25">
      <c r="B25" s="414" t="s">
        <v>2334</v>
      </c>
      <c r="C25" s="211">
        <v>470044180.00000006</v>
      </c>
      <c r="D25" s="211">
        <v>94008836.000000015</v>
      </c>
      <c r="E25" s="211">
        <v>94008836.000000015</v>
      </c>
      <c r="F25" s="211">
        <v>94008836.000000015</v>
      </c>
      <c r="G25" s="211">
        <v>94008836.000000015</v>
      </c>
      <c r="H25" s="211">
        <v>94008836.000000015</v>
      </c>
    </row>
    <row r="26" spans="2:8" x14ac:dyDescent="0.25">
      <c r="B26" s="195" t="s">
        <v>201</v>
      </c>
      <c r="C26" s="211">
        <v>64441858.625</v>
      </c>
      <c r="D26" s="211">
        <v>12888371.725</v>
      </c>
      <c r="E26" s="211">
        <v>13595721.725</v>
      </c>
      <c r="F26" s="211">
        <v>15010421.725</v>
      </c>
      <c r="G26" s="211">
        <v>11473671.725</v>
      </c>
      <c r="H26" s="211">
        <v>11473671.725</v>
      </c>
    </row>
    <row r="27" spans="2:8" x14ac:dyDescent="0.25">
      <c r="B27" s="414" t="s">
        <v>2334</v>
      </c>
      <c r="C27" s="211">
        <v>64441858.625</v>
      </c>
      <c r="D27" s="211">
        <v>12888371.725</v>
      </c>
      <c r="E27" s="211">
        <v>13595721.725</v>
      </c>
      <c r="F27" s="211">
        <v>15010421.725</v>
      </c>
      <c r="G27" s="211">
        <v>11473671.725</v>
      </c>
      <c r="H27" s="211">
        <v>11473671.725</v>
      </c>
    </row>
    <row r="28" spans="2:8" x14ac:dyDescent="0.25">
      <c r="B28" s="195" t="s">
        <v>204</v>
      </c>
      <c r="C28" s="211">
        <v>27654103.401249997</v>
      </c>
      <c r="D28" s="211">
        <v>5530820.6802500002</v>
      </c>
      <c r="E28" s="211">
        <v>5530820.6802500002</v>
      </c>
      <c r="F28" s="211">
        <v>5530820.6802500002</v>
      </c>
      <c r="G28" s="211">
        <v>5530820.6802500002</v>
      </c>
      <c r="H28" s="211">
        <v>5530820.6802500002</v>
      </c>
    </row>
    <row r="29" spans="2:8" x14ac:dyDescent="0.25">
      <c r="B29" s="414" t="s">
        <v>2333</v>
      </c>
      <c r="C29" s="211">
        <v>26471911.872499999</v>
      </c>
      <c r="D29" s="211">
        <v>5294382.3744999999</v>
      </c>
      <c r="E29" s="211">
        <v>5294382.3744999999</v>
      </c>
      <c r="F29" s="211">
        <v>5294382.3744999999</v>
      </c>
      <c r="G29" s="211">
        <v>5294382.3744999999</v>
      </c>
      <c r="H29" s="211">
        <v>5294382.3744999999</v>
      </c>
    </row>
    <row r="30" spans="2:8" x14ac:dyDescent="0.25">
      <c r="B30" s="414" t="s">
        <v>2334</v>
      </c>
      <c r="C30" s="211">
        <v>1182191.5287500001</v>
      </c>
      <c r="D30" s="211">
        <v>236438.30575</v>
      </c>
      <c r="E30" s="211">
        <v>236438.30575</v>
      </c>
      <c r="F30" s="211">
        <v>236438.30575</v>
      </c>
      <c r="G30" s="211">
        <v>236438.30575</v>
      </c>
      <c r="H30" s="211">
        <v>236438.30575</v>
      </c>
    </row>
    <row r="31" spans="2:8" x14ac:dyDescent="0.25">
      <c r="B31" s="195" t="s">
        <v>197</v>
      </c>
      <c r="C31" s="211">
        <v>1136812.5</v>
      </c>
      <c r="D31" s="211">
        <v>227362.5</v>
      </c>
      <c r="E31" s="211">
        <v>227362.5</v>
      </c>
      <c r="F31" s="211">
        <v>227362.5</v>
      </c>
      <c r="G31" s="211">
        <v>227362.5</v>
      </c>
      <c r="H31" s="211">
        <v>227362.5</v>
      </c>
    </row>
    <row r="32" spans="2:8" x14ac:dyDescent="0.25">
      <c r="B32" s="414" t="s">
        <v>2329</v>
      </c>
      <c r="C32" s="211">
        <v>1136812.5</v>
      </c>
      <c r="D32" s="211">
        <v>227362.5</v>
      </c>
      <c r="E32" s="211">
        <v>227362.5</v>
      </c>
      <c r="F32" s="211">
        <v>227362.5</v>
      </c>
      <c r="G32" s="211">
        <v>227362.5</v>
      </c>
      <c r="H32" s="211">
        <v>227362.5</v>
      </c>
    </row>
    <row r="33" spans="2:8" x14ac:dyDescent="0.25">
      <c r="B33" s="195" t="s">
        <v>202</v>
      </c>
      <c r="C33" s="211">
        <v>1035762.5</v>
      </c>
      <c r="D33" s="211">
        <v>207152.5</v>
      </c>
      <c r="E33" s="211">
        <v>207152.5</v>
      </c>
      <c r="F33" s="211">
        <v>207152.5</v>
      </c>
      <c r="G33" s="211">
        <v>207152.5</v>
      </c>
      <c r="H33" s="211">
        <v>207152.5</v>
      </c>
    </row>
    <row r="34" spans="2:8" x14ac:dyDescent="0.25">
      <c r="B34" s="414" t="s">
        <v>2331</v>
      </c>
      <c r="C34" s="211">
        <v>1035762.5</v>
      </c>
      <c r="D34" s="211">
        <v>207152.5</v>
      </c>
      <c r="E34" s="211">
        <v>207152.5</v>
      </c>
      <c r="F34" s="211">
        <v>207152.5</v>
      </c>
      <c r="G34" s="211">
        <v>207152.5</v>
      </c>
      <c r="H34" s="211">
        <v>207152.5</v>
      </c>
    </row>
    <row r="35" spans="2:8" x14ac:dyDescent="0.25">
      <c r="B35" s="195" t="s">
        <v>194</v>
      </c>
      <c r="C35" s="211">
        <v>45472.5</v>
      </c>
      <c r="D35" s="211">
        <v>9094.5</v>
      </c>
      <c r="E35" s="211">
        <v>9094.5</v>
      </c>
      <c r="F35" s="211">
        <v>9094.5</v>
      </c>
      <c r="G35" s="211">
        <v>9094.5</v>
      </c>
      <c r="H35" s="211">
        <v>9094.5</v>
      </c>
    </row>
    <row r="36" spans="2:8" x14ac:dyDescent="0.25">
      <c r="B36" s="414" t="s">
        <v>2334</v>
      </c>
      <c r="C36" s="211">
        <v>45472.5</v>
      </c>
      <c r="D36" s="211">
        <v>9094.5</v>
      </c>
      <c r="E36" s="211">
        <v>9094.5</v>
      </c>
      <c r="F36" s="211">
        <v>9094.5</v>
      </c>
      <c r="G36" s="211">
        <v>9094.5</v>
      </c>
      <c r="H36" s="211">
        <v>9094.5</v>
      </c>
    </row>
    <row r="37" spans="2:8" x14ac:dyDescent="0.25">
      <c r="B37" s="209" t="s">
        <v>130</v>
      </c>
      <c r="C37" s="211">
        <v>198702850.57499999</v>
      </c>
      <c r="D37" s="211">
        <v>39740570.115000002</v>
      </c>
      <c r="E37" s="211">
        <v>39740570.115000002</v>
      </c>
      <c r="F37" s="211">
        <v>39740570.115000002</v>
      </c>
      <c r="G37" s="211">
        <v>39740570.115000002</v>
      </c>
      <c r="H37" s="211">
        <v>39740570.115000002</v>
      </c>
    </row>
    <row r="38" spans="2:8" x14ac:dyDescent="0.25">
      <c r="B38" s="195" t="s">
        <v>201</v>
      </c>
      <c r="C38" s="211">
        <v>163524162.5</v>
      </c>
      <c r="D38" s="211">
        <v>32704832.5</v>
      </c>
      <c r="E38" s="211">
        <v>32704832.5</v>
      </c>
      <c r="F38" s="211">
        <v>32704832.5</v>
      </c>
      <c r="G38" s="211">
        <v>32704832.5</v>
      </c>
      <c r="H38" s="211">
        <v>32704832.5</v>
      </c>
    </row>
    <row r="39" spans="2:8" x14ac:dyDescent="0.25">
      <c r="B39" s="414" t="s">
        <v>2334</v>
      </c>
      <c r="C39" s="211">
        <v>163524162.5</v>
      </c>
      <c r="D39" s="211">
        <v>32704832.5</v>
      </c>
      <c r="E39" s="211">
        <v>32704832.5</v>
      </c>
      <c r="F39" s="211">
        <v>32704832.5</v>
      </c>
      <c r="G39" s="211">
        <v>32704832.5</v>
      </c>
      <c r="H39" s="211">
        <v>32704832.5</v>
      </c>
    </row>
    <row r="40" spans="2:8" x14ac:dyDescent="0.25">
      <c r="B40" s="195" t="s">
        <v>198</v>
      </c>
      <c r="C40" s="211">
        <v>13823640</v>
      </c>
      <c r="D40" s="211">
        <v>2764728</v>
      </c>
      <c r="E40" s="211">
        <v>2764728</v>
      </c>
      <c r="F40" s="211">
        <v>2764728</v>
      </c>
      <c r="G40" s="211">
        <v>2764728</v>
      </c>
      <c r="H40" s="211">
        <v>2764728</v>
      </c>
    </row>
    <row r="41" spans="2:8" x14ac:dyDescent="0.25">
      <c r="B41" s="414" t="s">
        <v>2332</v>
      </c>
      <c r="C41" s="211">
        <v>13823640</v>
      </c>
      <c r="D41" s="211">
        <v>2764728</v>
      </c>
      <c r="E41" s="211">
        <v>2764728</v>
      </c>
      <c r="F41" s="211">
        <v>2764728</v>
      </c>
      <c r="G41" s="211">
        <v>2764728</v>
      </c>
      <c r="H41" s="211">
        <v>2764728</v>
      </c>
    </row>
    <row r="42" spans="2:8" x14ac:dyDescent="0.25">
      <c r="B42" s="195" t="s">
        <v>202</v>
      </c>
      <c r="C42" s="211">
        <v>9825849.375</v>
      </c>
      <c r="D42" s="211">
        <v>1965169.875</v>
      </c>
      <c r="E42" s="211">
        <v>1965169.875</v>
      </c>
      <c r="F42" s="211">
        <v>1965169.875</v>
      </c>
      <c r="G42" s="211">
        <v>1965169.875</v>
      </c>
      <c r="H42" s="211">
        <v>1965169.875</v>
      </c>
    </row>
    <row r="43" spans="2:8" x14ac:dyDescent="0.25">
      <c r="B43" s="414" t="s">
        <v>2331</v>
      </c>
      <c r="C43" s="211">
        <v>9825849.375</v>
      </c>
      <c r="D43" s="211">
        <v>1965169.875</v>
      </c>
      <c r="E43" s="211">
        <v>1965169.875</v>
      </c>
      <c r="F43" s="211">
        <v>1965169.875</v>
      </c>
      <c r="G43" s="211">
        <v>1965169.875</v>
      </c>
      <c r="H43" s="211">
        <v>1965169.875</v>
      </c>
    </row>
    <row r="44" spans="2:8" x14ac:dyDescent="0.25">
      <c r="B44" s="195" t="s">
        <v>204</v>
      </c>
      <c r="C44" s="211">
        <v>5511671.1999999993</v>
      </c>
      <c r="D44" s="211">
        <v>1102334.2399999998</v>
      </c>
      <c r="E44" s="211">
        <v>1102334.2399999998</v>
      </c>
      <c r="F44" s="211">
        <v>1102334.2399999998</v>
      </c>
      <c r="G44" s="211">
        <v>1102334.2399999998</v>
      </c>
      <c r="H44" s="211">
        <v>1102334.2399999998</v>
      </c>
    </row>
    <row r="45" spans="2:8" x14ac:dyDescent="0.25">
      <c r="B45" s="414" t="s">
        <v>2333</v>
      </c>
      <c r="C45" s="211">
        <v>5511671.1999999993</v>
      </c>
      <c r="D45" s="211">
        <v>1102334.2399999998</v>
      </c>
      <c r="E45" s="211">
        <v>1102334.2399999998</v>
      </c>
      <c r="F45" s="211">
        <v>1102334.2399999998</v>
      </c>
      <c r="G45" s="211">
        <v>1102334.2399999998</v>
      </c>
      <c r="H45" s="211">
        <v>1102334.2399999998</v>
      </c>
    </row>
    <row r="46" spans="2:8" x14ac:dyDescent="0.25">
      <c r="B46" s="195" t="s">
        <v>205</v>
      </c>
      <c r="C46" s="211">
        <v>2197837.5</v>
      </c>
      <c r="D46" s="211">
        <v>439567.5</v>
      </c>
      <c r="E46" s="211">
        <v>439567.5</v>
      </c>
      <c r="F46" s="211">
        <v>439567.5</v>
      </c>
      <c r="G46" s="211">
        <v>439567.5</v>
      </c>
      <c r="H46" s="211">
        <v>439567.5</v>
      </c>
    </row>
    <row r="47" spans="2:8" x14ac:dyDescent="0.25">
      <c r="B47" s="414" t="s">
        <v>2335</v>
      </c>
      <c r="C47" s="211">
        <v>2197837.5</v>
      </c>
      <c r="D47" s="211">
        <v>439567.5</v>
      </c>
      <c r="E47" s="211">
        <v>439567.5</v>
      </c>
      <c r="F47" s="211">
        <v>439567.5</v>
      </c>
      <c r="G47" s="211">
        <v>439567.5</v>
      </c>
      <c r="H47" s="211">
        <v>439567.5</v>
      </c>
    </row>
    <row r="48" spans="2:8" x14ac:dyDescent="0.25">
      <c r="B48" s="195" t="s">
        <v>197</v>
      </c>
      <c r="C48" s="211">
        <v>2122050</v>
      </c>
      <c r="D48" s="211">
        <v>424410</v>
      </c>
      <c r="E48" s="211">
        <v>424410</v>
      </c>
      <c r="F48" s="211">
        <v>424410</v>
      </c>
      <c r="G48" s="211">
        <v>424410</v>
      </c>
      <c r="H48" s="211">
        <v>424410</v>
      </c>
    </row>
    <row r="49" spans="2:8" x14ac:dyDescent="0.25">
      <c r="B49" s="414" t="s">
        <v>2329</v>
      </c>
      <c r="C49" s="211">
        <v>2122050</v>
      </c>
      <c r="D49" s="211">
        <v>424410</v>
      </c>
      <c r="E49" s="211">
        <v>424410</v>
      </c>
      <c r="F49" s="211">
        <v>424410</v>
      </c>
      <c r="G49" s="211">
        <v>424410</v>
      </c>
      <c r="H49" s="211">
        <v>424410</v>
      </c>
    </row>
    <row r="50" spans="2:8" x14ac:dyDescent="0.25">
      <c r="B50" s="195" t="s">
        <v>195</v>
      </c>
      <c r="C50" s="211">
        <v>1697640</v>
      </c>
      <c r="D50" s="211">
        <v>339528</v>
      </c>
      <c r="E50" s="211">
        <v>339528</v>
      </c>
      <c r="F50" s="211">
        <v>339528</v>
      </c>
      <c r="G50" s="211">
        <v>339528</v>
      </c>
      <c r="H50" s="211">
        <v>339528</v>
      </c>
    </row>
    <row r="51" spans="2:8" x14ac:dyDescent="0.25">
      <c r="B51" s="414" t="s">
        <v>2336</v>
      </c>
      <c r="C51" s="211">
        <v>1697640</v>
      </c>
      <c r="D51" s="211">
        <v>339528</v>
      </c>
      <c r="E51" s="211">
        <v>339528</v>
      </c>
      <c r="F51" s="211">
        <v>339528</v>
      </c>
      <c r="G51" s="211">
        <v>339528</v>
      </c>
      <c r="H51" s="211">
        <v>339528</v>
      </c>
    </row>
    <row r="52" spans="2:8" x14ac:dyDescent="0.25">
      <c r="B52" s="209" t="s">
        <v>140</v>
      </c>
      <c r="C52" s="211">
        <v>124905403.29813404</v>
      </c>
      <c r="D52" s="211">
        <v>27769959.609626807</v>
      </c>
      <c r="E52" s="211">
        <v>25433683.609626807</v>
      </c>
      <c r="F52" s="211">
        <v>25402863.359626807</v>
      </c>
      <c r="G52" s="211">
        <v>23179763.359626807</v>
      </c>
      <c r="H52" s="211">
        <v>23119133.359626807</v>
      </c>
    </row>
    <row r="53" spans="2:8" x14ac:dyDescent="0.25">
      <c r="B53" s="195" t="s">
        <v>197</v>
      </c>
      <c r="C53" s="211">
        <v>69249565</v>
      </c>
      <c r="D53" s="211">
        <v>13942879</v>
      </c>
      <c r="E53" s="211">
        <v>13841829</v>
      </c>
      <c r="F53" s="211">
        <v>13841829</v>
      </c>
      <c r="G53" s="211">
        <v>13841829</v>
      </c>
      <c r="H53" s="211">
        <v>13781199</v>
      </c>
    </row>
    <row r="54" spans="2:8" x14ac:dyDescent="0.25">
      <c r="B54" s="414" t="s">
        <v>2602</v>
      </c>
      <c r="C54" s="211">
        <v>69249565</v>
      </c>
      <c r="D54" s="211">
        <v>13942879</v>
      </c>
      <c r="E54" s="211">
        <v>13841829</v>
      </c>
      <c r="F54" s="211">
        <v>13841829</v>
      </c>
      <c r="G54" s="211">
        <v>13841829</v>
      </c>
      <c r="H54" s="211">
        <v>13781199</v>
      </c>
    </row>
    <row r="55" spans="2:8" x14ac:dyDescent="0.25">
      <c r="B55" s="195" t="s">
        <v>204</v>
      </c>
      <c r="C55" s="211">
        <v>21212867.81476</v>
      </c>
      <c r="D55" s="211">
        <v>5835020.5129519999</v>
      </c>
      <c r="E55" s="211">
        <v>4979127.0129519999</v>
      </c>
      <c r="F55" s="211">
        <v>4948306.7629519999</v>
      </c>
      <c r="G55" s="211">
        <v>2725206.7629519999</v>
      </c>
      <c r="H55" s="211">
        <v>2725206.7629519999</v>
      </c>
    </row>
    <row r="56" spans="2:8" x14ac:dyDescent="0.25">
      <c r="B56" s="414" t="s">
        <v>2600</v>
      </c>
      <c r="C56" s="211">
        <v>21212867.81476</v>
      </c>
      <c r="D56" s="211">
        <v>5835020.5129519999</v>
      </c>
      <c r="E56" s="211">
        <v>4979127.0129519999</v>
      </c>
      <c r="F56" s="211">
        <v>4948306.7629519999</v>
      </c>
      <c r="G56" s="211">
        <v>2725206.7629519999</v>
      </c>
      <c r="H56" s="211">
        <v>2725206.7629519999</v>
      </c>
    </row>
    <row r="57" spans="2:8" x14ac:dyDescent="0.25">
      <c r="B57" s="195" t="s">
        <v>205</v>
      </c>
      <c r="C57" s="211">
        <v>10165630</v>
      </c>
      <c r="D57" s="211">
        <v>2081630</v>
      </c>
      <c r="E57" s="211">
        <v>2021000</v>
      </c>
      <c r="F57" s="211">
        <v>2021000</v>
      </c>
      <c r="G57" s="211">
        <v>2021000</v>
      </c>
      <c r="H57" s="211">
        <v>2021000</v>
      </c>
    </row>
    <row r="58" spans="2:8" x14ac:dyDescent="0.25">
      <c r="B58" s="414" t="s">
        <v>2606</v>
      </c>
      <c r="C58" s="211">
        <v>10165630</v>
      </c>
      <c r="D58" s="211">
        <v>2081630</v>
      </c>
      <c r="E58" s="211">
        <v>2021000</v>
      </c>
      <c r="F58" s="211">
        <v>2021000</v>
      </c>
      <c r="G58" s="211">
        <v>2021000</v>
      </c>
      <c r="H58" s="211">
        <v>2021000</v>
      </c>
    </row>
    <row r="59" spans="2:8" x14ac:dyDescent="0.25">
      <c r="B59" s="195" t="s">
        <v>195</v>
      </c>
      <c r="C59" s="211">
        <v>8033475</v>
      </c>
      <c r="D59" s="211">
        <v>1687535</v>
      </c>
      <c r="E59" s="211">
        <v>1586485</v>
      </c>
      <c r="F59" s="211">
        <v>1586485</v>
      </c>
      <c r="G59" s="211">
        <v>1586485</v>
      </c>
      <c r="H59" s="211">
        <v>1586485</v>
      </c>
    </row>
    <row r="60" spans="2:8" x14ac:dyDescent="0.25">
      <c r="B60" s="414" t="s">
        <v>2330</v>
      </c>
      <c r="C60" s="211">
        <v>8033475</v>
      </c>
      <c r="D60" s="211">
        <v>1687535</v>
      </c>
      <c r="E60" s="211">
        <v>1586485</v>
      </c>
      <c r="F60" s="211">
        <v>1586485</v>
      </c>
      <c r="G60" s="211">
        <v>1586485</v>
      </c>
      <c r="H60" s="211">
        <v>1586485</v>
      </c>
    </row>
    <row r="61" spans="2:8" x14ac:dyDescent="0.25">
      <c r="B61" s="195" t="s">
        <v>202</v>
      </c>
      <c r="C61" s="211">
        <v>7381780.4833740396</v>
      </c>
      <c r="D61" s="211">
        <v>2450478.0966748078</v>
      </c>
      <c r="E61" s="211">
        <v>1232825.5966748078</v>
      </c>
      <c r="F61" s="211">
        <v>1232825.5966748078</v>
      </c>
      <c r="G61" s="211">
        <v>1232825.5966748078</v>
      </c>
      <c r="H61" s="211">
        <v>1232825.5966748078</v>
      </c>
    </row>
    <row r="62" spans="2:8" x14ac:dyDescent="0.25">
      <c r="B62" s="414" t="s">
        <v>2604</v>
      </c>
      <c r="C62" s="211">
        <v>7381780.4833740396</v>
      </c>
      <c r="D62" s="211">
        <v>2450478.0966748078</v>
      </c>
      <c r="E62" s="211">
        <v>1232825.5966748078</v>
      </c>
      <c r="F62" s="211">
        <v>1232825.5966748078</v>
      </c>
      <c r="G62" s="211">
        <v>1232825.5966748078</v>
      </c>
      <c r="H62" s="211">
        <v>1232825.5966748078</v>
      </c>
    </row>
    <row r="63" spans="2:8" x14ac:dyDescent="0.25">
      <c r="B63" s="195" t="s">
        <v>198</v>
      </c>
      <c r="C63" s="211">
        <v>4850400</v>
      </c>
      <c r="D63" s="211">
        <v>970080</v>
      </c>
      <c r="E63" s="211">
        <v>970080</v>
      </c>
      <c r="F63" s="211">
        <v>970080</v>
      </c>
      <c r="G63" s="211">
        <v>970080</v>
      </c>
      <c r="H63" s="211">
        <v>970080</v>
      </c>
    </row>
    <row r="64" spans="2:8" x14ac:dyDescent="0.25">
      <c r="B64" s="414" t="s">
        <v>2330</v>
      </c>
      <c r="C64" s="211">
        <v>4850400</v>
      </c>
      <c r="D64" s="211">
        <v>970080</v>
      </c>
      <c r="E64" s="211">
        <v>970080</v>
      </c>
      <c r="F64" s="211">
        <v>970080</v>
      </c>
      <c r="G64" s="211">
        <v>970080</v>
      </c>
      <c r="H64" s="211">
        <v>970080</v>
      </c>
    </row>
    <row r="65" spans="2:8" x14ac:dyDescent="0.25">
      <c r="B65" s="195" t="s">
        <v>201</v>
      </c>
      <c r="C65" s="211">
        <v>3284125</v>
      </c>
      <c r="D65" s="211">
        <v>656825</v>
      </c>
      <c r="E65" s="211">
        <v>656825</v>
      </c>
      <c r="F65" s="211">
        <v>656825</v>
      </c>
      <c r="G65" s="211">
        <v>656825</v>
      </c>
      <c r="H65" s="211">
        <v>656825</v>
      </c>
    </row>
    <row r="66" spans="2:8" x14ac:dyDescent="0.25">
      <c r="B66" s="414" t="s">
        <v>2604</v>
      </c>
      <c r="C66" s="211">
        <v>3284125</v>
      </c>
      <c r="D66" s="211">
        <v>656825</v>
      </c>
      <c r="E66" s="211">
        <v>656825</v>
      </c>
      <c r="F66" s="211">
        <v>656825</v>
      </c>
      <c r="G66" s="211">
        <v>656825</v>
      </c>
      <c r="H66" s="211">
        <v>656825</v>
      </c>
    </row>
    <row r="67" spans="2:8" x14ac:dyDescent="0.25">
      <c r="B67" s="195" t="s">
        <v>196</v>
      </c>
      <c r="C67" s="211">
        <v>727560</v>
      </c>
      <c r="D67" s="211">
        <v>145512</v>
      </c>
      <c r="E67" s="211">
        <v>145512</v>
      </c>
      <c r="F67" s="211">
        <v>145512</v>
      </c>
      <c r="G67" s="211">
        <v>145512</v>
      </c>
      <c r="H67" s="211">
        <v>145512</v>
      </c>
    </row>
    <row r="68" spans="2:8" x14ac:dyDescent="0.25">
      <c r="B68" s="414" t="s">
        <v>2602</v>
      </c>
      <c r="C68" s="211">
        <v>727560</v>
      </c>
      <c r="D68" s="211">
        <v>145512</v>
      </c>
      <c r="E68" s="211">
        <v>145512</v>
      </c>
      <c r="F68" s="211">
        <v>145512</v>
      </c>
      <c r="G68" s="211">
        <v>145512</v>
      </c>
      <c r="H68" s="211">
        <v>145512</v>
      </c>
    </row>
    <row r="69" spans="2:8" x14ac:dyDescent="0.25">
      <c r="B69" s="209" t="s">
        <v>126</v>
      </c>
      <c r="C69" s="211">
        <v>110547245.62155868</v>
      </c>
      <c r="D69" s="211">
        <v>20221503.100905869</v>
      </c>
      <c r="E69" s="211">
        <v>20985478.273858801</v>
      </c>
      <c r="F69" s="211">
        <v>21722459.202436734</v>
      </c>
      <c r="G69" s="211">
        <v>23997395.147717606</v>
      </c>
      <c r="H69" s="211">
        <v>23620409.896639671</v>
      </c>
    </row>
    <row r="70" spans="2:8" x14ac:dyDescent="0.25">
      <c r="B70" s="195" t="s">
        <v>196</v>
      </c>
      <c r="C70" s="211">
        <v>48194787</v>
      </c>
      <c r="D70" s="211">
        <v>9638957.4000000004</v>
      </c>
      <c r="E70" s="211">
        <v>9638957.4000000004</v>
      </c>
      <c r="F70" s="211">
        <v>9638957.4000000004</v>
      </c>
      <c r="G70" s="211">
        <v>9638957.4000000004</v>
      </c>
      <c r="H70" s="211">
        <v>9638957.4000000004</v>
      </c>
    </row>
    <row r="71" spans="2:8" x14ac:dyDescent="0.25">
      <c r="B71" s="414" t="s">
        <v>2329</v>
      </c>
      <c r="C71" s="211">
        <v>48194787</v>
      </c>
      <c r="D71" s="211">
        <v>9638957.4000000004</v>
      </c>
      <c r="E71" s="211">
        <v>9638957.4000000004</v>
      </c>
      <c r="F71" s="211">
        <v>9638957.4000000004</v>
      </c>
      <c r="G71" s="211">
        <v>9638957.4000000004</v>
      </c>
      <c r="H71" s="211">
        <v>9638957.4000000004</v>
      </c>
    </row>
    <row r="72" spans="2:8" x14ac:dyDescent="0.25">
      <c r="B72" s="195" t="s">
        <v>198</v>
      </c>
      <c r="C72" s="211">
        <v>21099240</v>
      </c>
      <c r="D72" s="211">
        <v>4219848</v>
      </c>
      <c r="E72" s="211">
        <v>4219848</v>
      </c>
      <c r="F72" s="211">
        <v>4219848</v>
      </c>
      <c r="G72" s="211">
        <v>4219848</v>
      </c>
      <c r="H72" s="211">
        <v>4219848</v>
      </c>
    </row>
    <row r="73" spans="2:8" x14ac:dyDescent="0.25">
      <c r="B73" s="414" t="s">
        <v>2332</v>
      </c>
      <c r="C73" s="211">
        <v>21099240</v>
      </c>
      <c r="D73" s="211">
        <v>4219848</v>
      </c>
      <c r="E73" s="211">
        <v>4219848</v>
      </c>
      <c r="F73" s="211">
        <v>4219848</v>
      </c>
      <c r="G73" s="211">
        <v>4219848</v>
      </c>
      <c r="H73" s="211">
        <v>4219848</v>
      </c>
    </row>
    <row r="74" spans="2:8" x14ac:dyDescent="0.25">
      <c r="B74" s="195" t="s">
        <v>195</v>
      </c>
      <c r="C74" s="211">
        <v>18249630</v>
      </c>
      <c r="D74" s="211">
        <v>2875946.15625</v>
      </c>
      <c r="E74" s="211">
        <v>3262936.078125</v>
      </c>
      <c r="F74" s="211">
        <v>3262936.078125</v>
      </c>
      <c r="G74" s="211">
        <v>4423905.84375</v>
      </c>
      <c r="H74" s="211">
        <v>4423905.84375</v>
      </c>
    </row>
    <row r="75" spans="2:8" x14ac:dyDescent="0.25">
      <c r="B75" s="414" t="s">
        <v>2330</v>
      </c>
      <c r="C75" s="211">
        <v>18249630</v>
      </c>
      <c r="D75" s="211">
        <v>2875946.15625</v>
      </c>
      <c r="E75" s="211">
        <v>3262936.078125</v>
      </c>
      <c r="F75" s="211">
        <v>3262936.078125</v>
      </c>
      <c r="G75" s="211">
        <v>4423905.84375</v>
      </c>
      <c r="H75" s="211">
        <v>4423905.84375</v>
      </c>
    </row>
    <row r="76" spans="2:8" x14ac:dyDescent="0.25">
      <c r="B76" s="195" t="s">
        <v>194</v>
      </c>
      <c r="C76" s="211">
        <v>12786058.600000001</v>
      </c>
      <c r="D76" s="211">
        <v>2197216.0425</v>
      </c>
      <c r="E76" s="211">
        <v>2197216.0425</v>
      </c>
      <c r="F76" s="211">
        <v>2557211.7199999997</v>
      </c>
      <c r="G76" s="211">
        <v>2917207.3974999995</v>
      </c>
      <c r="H76" s="211">
        <v>2917207.3974999995</v>
      </c>
    </row>
    <row r="77" spans="2:8" x14ac:dyDescent="0.25">
      <c r="B77" s="414" t="s">
        <v>2329</v>
      </c>
      <c r="C77" s="211">
        <v>12786058.600000001</v>
      </c>
      <c r="D77" s="211">
        <v>2197216.0425</v>
      </c>
      <c r="E77" s="211">
        <v>2197216.0425</v>
      </c>
      <c r="F77" s="211">
        <v>2557211.7199999997</v>
      </c>
      <c r="G77" s="211">
        <v>2917207.3974999995</v>
      </c>
      <c r="H77" s="211">
        <v>2917207.3974999995</v>
      </c>
    </row>
    <row r="78" spans="2:8" x14ac:dyDescent="0.25">
      <c r="B78" s="195" t="s">
        <v>202</v>
      </c>
      <c r="C78" s="211">
        <v>7539705.021558688</v>
      </c>
      <c r="D78" s="211">
        <v>753970.5021558688</v>
      </c>
      <c r="E78" s="211">
        <v>1130955.753233803</v>
      </c>
      <c r="F78" s="211">
        <v>1507941.0043117376</v>
      </c>
      <c r="G78" s="211">
        <v>2261911.5064676059</v>
      </c>
      <c r="H78" s="211">
        <v>1884926.255389672</v>
      </c>
    </row>
    <row r="79" spans="2:8" x14ac:dyDescent="0.25">
      <c r="B79" s="414" t="s">
        <v>2331</v>
      </c>
      <c r="C79" s="211">
        <v>7539705.021558688</v>
      </c>
      <c r="D79" s="211">
        <v>753970.5021558688</v>
      </c>
      <c r="E79" s="211">
        <v>1130955.753233803</v>
      </c>
      <c r="F79" s="211">
        <v>1507941.0043117376</v>
      </c>
      <c r="G79" s="211">
        <v>2261911.5064676059</v>
      </c>
      <c r="H79" s="211">
        <v>1884926.255389672</v>
      </c>
    </row>
    <row r="80" spans="2:8" x14ac:dyDescent="0.25">
      <c r="B80" s="195" t="s">
        <v>204</v>
      </c>
      <c r="C80" s="211">
        <v>2677825</v>
      </c>
      <c r="D80" s="211">
        <v>535565</v>
      </c>
      <c r="E80" s="211">
        <v>535565</v>
      </c>
      <c r="F80" s="211">
        <v>535565</v>
      </c>
      <c r="G80" s="211">
        <v>535565</v>
      </c>
      <c r="H80" s="211">
        <v>535565</v>
      </c>
    </row>
    <row r="81" spans="2:8" x14ac:dyDescent="0.25">
      <c r="B81" s="414" t="s">
        <v>2333</v>
      </c>
      <c r="C81" s="211">
        <v>2677825</v>
      </c>
      <c r="D81" s="211">
        <v>535565</v>
      </c>
      <c r="E81" s="211">
        <v>535565</v>
      </c>
      <c r="F81" s="211">
        <v>535565</v>
      </c>
      <c r="G81" s="211">
        <v>535565</v>
      </c>
      <c r="H81" s="211">
        <v>535565</v>
      </c>
    </row>
    <row r="82" spans="2:8" x14ac:dyDescent="0.25">
      <c r="B82" s="209" t="s">
        <v>125</v>
      </c>
      <c r="C82" s="211">
        <v>66623089.754072718</v>
      </c>
      <c r="D82" s="211">
        <v>11275850.200607272</v>
      </c>
      <c r="E82" s="211">
        <v>12037819.856960908</v>
      </c>
      <c r="F82" s="211">
        <v>13551980.450814543</v>
      </c>
      <c r="G82" s="211">
        <v>14512739.061646817</v>
      </c>
      <c r="H82" s="211">
        <v>15244700.18404318</v>
      </c>
    </row>
    <row r="83" spans="2:8" x14ac:dyDescent="0.25">
      <c r="B83" s="195" t="s">
        <v>195</v>
      </c>
      <c r="C83" s="211">
        <v>34130066.962499999</v>
      </c>
      <c r="D83" s="211">
        <v>4953145.1137499996</v>
      </c>
      <c r="E83" s="211">
        <v>5889579.2531249989</v>
      </c>
      <c r="F83" s="211">
        <v>6826013.3924999991</v>
      </c>
      <c r="G83" s="211">
        <v>7762447.5318749994</v>
      </c>
      <c r="H83" s="211">
        <v>8698881.6712499987</v>
      </c>
    </row>
    <row r="84" spans="2:8" x14ac:dyDescent="0.25">
      <c r="B84" s="414" t="s">
        <v>2330</v>
      </c>
      <c r="C84" s="211">
        <v>34130066.962499999</v>
      </c>
      <c r="D84" s="211">
        <v>4953145.1137499996</v>
      </c>
      <c r="E84" s="211">
        <v>5889579.2531249989</v>
      </c>
      <c r="F84" s="211">
        <v>6826013.3924999991</v>
      </c>
      <c r="G84" s="211">
        <v>7762447.5318749994</v>
      </c>
      <c r="H84" s="211">
        <v>8698881.6712499987</v>
      </c>
    </row>
    <row r="85" spans="2:8" x14ac:dyDescent="0.25">
      <c r="B85" s="195" t="s">
        <v>196</v>
      </c>
      <c r="C85" s="211">
        <v>17127368.699999999</v>
      </c>
      <c r="D85" s="211">
        <v>3647152.1775000002</v>
      </c>
      <c r="E85" s="211">
        <v>3273898.74</v>
      </c>
      <c r="F85" s="211">
        <v>3652836.24</v>
      </c>
      <c r="G85" s="211">
        <v>3279582.8025000002</v>
      </c>
      <c r="H85" s="211">
        <v>3273898.74</v>
      </c>
    </row>
    <row r="86" spans="2:8" x14ac:dyDescent="0.25">
      <c r="B86" s="414" t="s">
        <v>2329</v>
      </c>
      <c r="C86" s="211">
        <v>17127368.699999999</v>
      </c>
      <c r="D86" s="211">
        <v>3647152.1775000002</v>
      </c>
      <c r="E86" s="211">
        <v>3273898.74</v>
      </c>
      <c r="F86" s="211">
        <v>3652836.24</v>
      </c>
      <c r="G86" s="211">
        <v>3279582.8025000002</v>
      </c>
      <c r="H86" s="211">
        <v>3273898.74</v>
      </c>
    </row>
    <row r="87" spans="2:8" x14ac:dyDescent="0.25">
      <c r="B87" s="195" t="s">
        <v>198</v>
      </c>
      <c r="C87" s="211">
        <v>6063000</v>
      </c>
      <c r="D87" s="211">
        <v>1212600</v>
      </c>
      <c r="E87" s="211">
        <v>1212600</v>
      </c>
      <c r="F87" s="211">
        <v>1212600</v>
      </c>
      <c r="G87" s="211">
        <v>1212600</v>
      </c>
      <c r="H87" s="211">
        <v>1212600</v>
      </c>
    </row>
    <row r="88" spans="2:8" x14ac:dyDescent="0.25">
      <c r="B88" s="414" t="s">
        <v>2332</v>
      </c>
      <c r="C88" s="211">
        <v>6063000</v>
      </c>
      <c r="D88" s="211">
        <v>1212600</v>
      </c>
      <c r="E88" s="211">
        <v>1212600</v>
      </c>
      <c r="F88" s="211">
        <v>1212600</v>
      </c>
      <c r="G88" s="211">
        <v>1212600</v>
      </c>
      <c r="H88" s="211">
        <v>1212600</v>
      </c>
    </row>
    <row r="89" spans="2:8" x14ac:dyDescent="0.25">
      <c r="B89" s="195" t="s">
        <v>202</v>
      </c>
      <c r="C89" s="211">
        <v>3975779.0895727249</v>
      </c>
      <c r="D89" s="211">
        <v>397577.90895727259</v>
      </c>
      <c r="E89" s="211">
        <v>596366.8634359088</v>
      </c>
      <c r="F89" s="211">
        <v>795155.81791454519</v>
      </c>
      <c r="G89" s="211">
        <v>1192733.7268718176</v>
      </c>
      <c r="H89" s="211">
        <v>993944.77239318122</v>
      </c>
    </row>
    <row r="90" spans="2:8" x14ac:dyDescent="0.25">
      <c r="B90" s="414" t="s">
        <v>2331</v>
      </c>
      <c r="C90" s="211">
        <v>3975779.0895727249</v>
      </c>
      <c r="D90" s="211">
        <v>397577.90895727259</v>
      </c>
      <c r="E90" s="211">
        <v>596366.8634359088</v>
      </c>
      <c r="F90" s="211">
        <v>795155.81791454519</v>
      </c>
      <c r="G90" s="211">
        <v>1192733.7268718176</v>
      </c>
      <c r="H90" s="211">
        <v>993944.77239318122</v>
      </c>
    </row>
    <row r="91" spans="2:8" x14ac:dyDescent="0.25">
      <c r="B91" s="195" t="s">
        <v>194</v>
      </c>
      <c r="C91" s="211">
        <v>2800625.0019999999</v>
      </c>
      <c r="D91" s="211">
        <v>560125.00040000002</v>
      </c>
      <c r="E91" s="211">
        <v>560125.00040000002</v>
      </c>
      <c r="F91" s="211">
        <v>560125.00040000002</v>
      </c>
      <c r="G91" s="211">
        <v>560125.00040000002</v>
      </c>
      <c r="H91" s="211">
        <v>560125.00040000002</v>
      </c>
    </row>
    <row r="92" spans="2:8" x14ac:dyDescent="0.25">
      <c r="B92" s="414" t="s">
        <v>2329</v>
      </c>
      <c r="C92" s="211">
        <v>2800625.0019999999</v>
      </c>
      <c r="D92" s="211">
        <v>560125.00040000002</v>
      </c>
      <c r="E92" s="211">
        <v>560125.00040000002</v>
      </c>
      <c r="F92" s="211">
        <v>560125.00040000002</v>
      </c>
      <c r="G92" s="211">
        <v>560125.00040000002</v>
      </c>
      <c r="H92" s="211">
        <v>560125.00040000002</v>
      </c>
    </row>
    <row r="93" spans="2:8" x14ac:dyDescent="0.25">
      <c r="B93" s="195" t="s">
        <v>204</v>
      </c>
      <c r="C93" s="211">
        <v>2526250</v>
      </c>
      <c r="D93" s="211">
        <v>505250</v>
      </c>
      <c r="E93" s="211">
        <v>505250</v>
      </c>
      <c r="F93" s="211">
        <v>505250</v>
      </c>
      <c r="G93" s="211">
        <v>505250</v>
      </c>
      <c r="H93" s="211">
        <v>505250</v>
      </c>
    </row>
    <row r="94" spans="2:8" x14ac:dyDescent="0.25">
      <c r="B94" s="414" t="s">
        <v>2333</v>
      </c>
      <c r="C94" s="211">
        <v>2526250</v>
      </c>
      <c r="D94" s="211">
        <v>505250</v>
      </c>
      <c r="E94" s="211">
        <v>505250</v>
      </c>
      <c r="F94" s="211">
        <v>505250</v>
      </c>
      <c r="G94" s="211">
        <v>505250</v>
      </c>
      <c r="H94" s="211">
        <v>505250</v>
      </c>
    </row>
    <row r="95" spans="2:8" x14ac:dyDescent="0.25">
      <c r="B95" s="209" t="s">
        <v>138</v>
      </c>
      <c r="C95" s="211">
        <v>57765232.5</v>
      </c>
      <c r="D95" s="211">
        <v>11633886.5</v>
      </c>
      <c r="E95" s="211">
        <v>11532836.5</v>
      </c>
      <c r="F95" s="211">
        <v>11532836.5</v>
      </c>
      <c r="G95" s="211">
        <v>11532836.5</v>
      </c>
      <c r="H95" s="211">
        <v>11532836.5</v>
      </c>
    </row>
    <row r="96" spans="2:8" x14ac:dyDescent="0.25">
      <c r="B96" s="195" t="s">
        <v>204</v>
      </c>
      <c r="C96" s="211">
        <v>55577500</v>
      </c>
      <c r="D96" s="211">
        <v>11115500</v>
      </c>
      <c r="E96" s="211">
        <v>11115500</v>
      </c>
      <c r="F96" s="211">
        <v>11115500</v>
      </c>
      <c r="G96" s="211">
        <v>11115500</v>
      </c>
      <c r="H96" s="211">
        <v>11115500</v>
      </c>
    </row>
    <row r="97" spans="2:8" x14ac:dyDescent="0.25">
      <c r="B97" s="414" t="s">
        <v>2333</v>
      </c>
      <c r="C97" s="211">
        <v>47493500</v>
      </c>
      <c r="D97" s="211">
        <v>9498700</v>
      </c>
      <c r="E97" s="211">
        <v>9498700</v>
      </c>
      <c r="F97" s="211">
        <v>9498700</v>
      </c>
      <c r="G97" s="211">
        <v>9498700</v>
      </c>
      <c r="H97" s="211">
        <v>9498700</v>
      </c>
    </row>
    <row r="98" spans="2:8" x14ac:dyDescent="0.25">
      <c r="B98" s="414" t="s">
        <v>2331</v>
      </c>
      <c r="C98" s="211">
        <v>8084000</v>
      </c>
      <c r="D98" s="211">
        <v>1616800</v>
      </c>
      <c r="E98" s="211">
        <v>1616800</v>
      </c>
      <c r="F98" s="211">
        <v>1616800</v>
      </c>
      <c r="G98" s="211">
        <v>1616800</v>
      </c>
      <c r="H98" s="211">
        <v>1616800</v>
      </c>
    </row>
    <row r="99" spans="2:8" x14ac:dyDescent="0.25">
      <c r="B99" s="195" t="s">
        <v>195</v>
      </c>
      <c r="C99" s="211">
        <v>1010500</v>
      </c>
      <c r="D99" s="211">
        <v>202100</v>
      </c>
      <c r="E99" s="211">
        <v>202100</v>
      </c>
      <c r="F99" s="211">
        <v>202100</v>
      </c>
      <c r="G99" s="211">
        <v>202100</v>
      </c>
      <c r="H99" s="211">
        <v>202100</v>
      </c>
    </row>
    <row r="100" spans="2:8" x14ac:dyDescent="0.25">
      <c r="B100" s="414" t="s">
        <v>2336</v>
      </c>
      <c r="C100" s="211">
        <v>1010500</v>
      </c>
      <c r="D100" s="211">
        <v>202100</v>
      </c>
      <c r="E100" s="211">
        <v>202100</v>
      </c>
      <c r="F100" s="211">
        <v>202100</v>
      </c>
      <c r="G100" s="211">
        <v>202100</v>
      </c>
      <c r="H100" s="211">
        <v>202100</v>
      </c>
    </row>
    <row r="101" spans="2:8" x14ac:dyDescent="0.25">
      <c r="B101" s="195" t="s">
        <v>205</v>
      </c>
      <c r="C101" s="211">
        <v>833662.5</v>
      </c>
      <c r="D101" s="211">
        <v>166732.5</v>
      </c>
      <c r="E101" s="211">
        <v>166732.5</v>
      </c>
      <c r="F101" s="211">
        <v>166732.5</v>
      </c>
      <c r="G101" s="211">
        <v>166732.5</v>
      </c>
      <c r="H101" s="211">
        <v>166732.5</v>
      </c>
    </row>
    <row r="102" spans="2:8" x14ac:dyDescent="0.25">
      <c r="B102" s="414" t="s">
        <v>2331</v>
      </c>
      <c r="C102" s="211">
        <v>631562.5</v>
      </c>
      <c r="D102" s="211">
        <v>126312.5</v>
      </c>
      <c r="E102" s="211">
        <v>126312.5</v>
      </c>
      <c r="F102" s="211">
        <v>126312.5</v>
      </c>
      <c r="G102" s="211">
        <v>126312.5</v>
      </c>
      <c r="H102" s="211">
        <v>126312.5</v>
      </c>
    </row>
    <row r="103" spans="2:8" x14ac:dyDescent="0.25">
      <c r="B103" s="414" t="s">
        <v>2335</v>
      </c>
      <c r="C103" s="211">
        <v>202100</v>
      </c>
      <c r="D103" s="211">
        <v>40420</v>
      </c>
      <c r="E103" s="211">
        <v>40420</v>
      </c>
      <c r="F103" s="211">
        <v>40420</v>
      </c>
      <c r="G103" s="211">
        <v>40420</v>
      </c>
      <c r="H103" s="211">
        <v>40420</v>
      </c>
    </row>
    <row r="104" spans="2:8" x14ac:dyDescent="0.25">
      <c r="B104" s="195" t="s">
        <v>201</v>
      </c>
      <c r="C104" s="211">
        <v>242520</v>
      </c>
      <c r="D104" s="211">
        <v>48504</v>
      </c>
      <c r="E104" s="211">
        <v>48504</v>
      </c>
      <c r="F104" s="211">
        <v>48504</v>
      </c>
      <c r="G104" s="211">
        <v>48504</v>
      </c>
      <c r="H104" s="211">
        <v>48504</v>
      </c>
    </row>
    <row r="105" spans="2:8" x14ac:dyDescent="0.25">
      <c r="B105" s="414" t="s">
        <v>2334</v>
      </c>
      <c r="C105" s="211">
        <v>242520</v>
      </c>
      <c r="D105" s="211">
        <v>48504</v>
      </c>
      <c r="E105" s="211">
        <v>48504</v>
      </c>
      <c r="F105" s="211">
        <v>48504</v>
      </c>
      <c r="G105" s="211">
        <v>48504</v>
      </c>
      <c r="H105" s="211">
        <v>48504</v>
      </c>
    </row>
    <row r="106" spans="2:8" x14ac:dyDescent="0.25">
      <c r="B106" s="195" t="s">
        <v>202</v>
      </c>
      <c r="C106" s="211">
        <v>101050</v>
      </c>
      <c r="D106" s="211">
        <v>101050</v>
      </c>
      <c r="E106" s="211">
        <v>0</v>
      </c>
      <c r="F106" s="211">
        <v>0</v>
      </c>
      <c r="G106" s="211">
        <v>0</v>
      </c>
      <c r="H106" s="211">
        <v>0</v>
      </c>
    </row>
    <row r="107" spans="2:8" x14ac:dyDescent="0.25">
      <c r="B107" s="414" t="s">
        <v>2331</v>
      </c>
      <c r="C107" s="211">
        <v>101050</v>
      </c>
      <c r="D107" s="211">
        <v>101050</v>
      </c>
      <c r="E107" s="211">
        <v>0</v>
      </c>
      <c r="F107" s="211">
        <v>0</v>
      </c>
      <c r="G107" s="211">
        <v>0</v>
      </c>
      <c r="H107" s="211">
        <v>0</v>
      </c>
    </row>
    <row r="108" spans="2:8" x14ac:dyDescent="0.25">
      <c r="B108" s="209" t="s">
        <v>135</v>
      </c>
      <c r="C108" s="211">
        <v>52530842.5</v>
      </c>
      <c r="D108" s="211">
        <v>10506168.5</v>
      </c>
      <c r="E108" s="211">
        <v>10506168.5</v>
      </c>
      <c r="F108" s="211">
        <v>10506168.5</v>
      </c>
      <c r="G108" s="211">
        <v>10506168.5</v>
      </c>
      <c r="H108" s="211">
        <v>10506168.5</v>
      </c>
    </row>
    <row r="109" spans="2:8" x14ac:dyDescent="0.25">
      <c r="B109" s="195" t="s">
        <v>204</v>
      </c>
      <c r="C109" s="211">
        <v>51616340</v>
      </c>
      <c r="D109" s="211">
        <v>10323268</v>
      </c>
      <c r="E109" s="211">
        <v>10323268</v>
      </c>
      <c r="F109" s="211">
        <v>10323268</v>
      </c>
      <c r="G109" s="211">
        <v>10323268</v>
      </c>
      <c r="H109" s="211">
        <v>10323268</v>
      </c>
    </row>
    <row r="110" spans="2:8" x14ac:dyDescent="0.25">
      <c r="B110" s="414" t="s">
        <v>2333</v>
      </c>
      <c r="C110" s="211">
        <v>49191140</v>
      </c>
      <c r="D110" s="211">
        <v>9838228</v>
      </c>
      <c r="E110" s="211">
        <v>9838228</v>
      </c>
      <c r="F110" s="211">
        <v>9838228</v>
      </c>
      <c r="G110" s="211">
        <v>9838228</v>
      </c>
      <c r="H110" s="211">
        <v>9838228</v>
      </c>
    </row>
    <row r="111" spans="2:8" x14ac:dyDescent="0.25">
      <c r="B111" s="414" t="s">
        <v>2331</v>
      </c>
      <c r="C111" s="211">
        <v>2425200</v>
      </c>
      <c r="D111" s="211">
        <v>485040</v>
      </c>
      <c r="E111" s="211">
        <v>485040</v>
      </c>
      <c r="F111" s="211">
        <v>485040</v>
      </c>
      <c r="G111" s="211">
        <v>485040</v>
      </c>
      <c r="H111" s="211">
        <v>485040</v>
      </c>
    </row>
    <row r="112" spans="2:8" x14ac:dyDescent="0.25">
      <c r="B112" s="195" t="s">
        <v>195</v>
      </c>
      <c r="C112" s="211">
        <v>505250</v>
      </c>
      <c r="D112" s="211">
        <v>101050</v>
      </c>
      <c r="E112" s="211">
        <v>101050</v>
      </c>
      <c r="F112" s="211">
        <v>101050</v>
      </c>
      <c r="G112" s="211">
        <v>101050</v>
      </c>
      <c r="H112" s="211">
        <v>101050</v>
      </c>
    </row>
    <row r="113" spans="2:8" x14ac:dyDescent="0.25">
      <c r="B113" s="414" t="s">
        <v>2336</v>
      </c>
      <c r="C113" s="211">
        <v>505250</v>
      </c>
      <c r="D113" s="211">
        <v>101050</v>
      </c>
      <c r="E113" s="211">
        <v>101050</v>
      </c>
      <c r="F113" s="211">
        <v>101050</v>
      </c>
      <c r="G113" s="211">
        <v>101050</v>
      </c>
      <c r="H113" s="211">
        <v>101050</v>
      </c>
    </row>
    <row r="114" spans="2:8" x14ac:dyDescent="0.25">
      <c r="B114" s="195" t="s">
        <v>205</v>
      </c>
      <c r="C114" s="211">
        <v>318307.5</v>
      </c>
      <c r="D114" s="211">
        <v>63661.5</v>
      </c>
      <c r="E114" s="211">
        <v>63661.5</v>
      </c>
      <c r="F114" s="211">
        <v>63661.5</v>
      </c>
      <c r="G114" s="211">
        <v>63661.5</v>
      </c>
      <c r="H114" s="211">
        <v>63661.5</v>
      </c>
    </row>
    <row r="115" spans="2:8" x14ac:dyDescent="0.25">
      <c r="B115" s="414" t="s">
        <v>2335</v>
      </c>
      <c r="C115" s="211">
        <v>318307.5</v>
      </c>
      <c r="D115" s="211">
        <v>63661.5</v>
      </c>
      <c r="E115" s="211">
        <v>63661.5</v>
      </c>
      <c r="F115" s="211">
        <v>63661.5</v>
      </c>
      <c r="G115" s="211">
        <v>63661.5</v>
      </c>
      <c r="H115" s="211">
        <v>63661.5</v>
      </c>
    </row>
    <row r="116" spans="2:8" x14ac:dyDescent="0.25">
      <c r="B116" s="195" t="s">
        <v>201</v>
      </c>
      <c r="C116" s="211">
        <v>90945</v>
      </c>
      <c r="D116" s="211">
        <v>18189</v>
      </c>
      <c r="E116" s="211">
        <v>18189</v>
      </c>
      <c r="F116" s="211">
        <v>18189</v>
      </c>
      <c r="G116" s="211">
        <v>18189</v>
      </c>
      <c r="H116" s="211">
        <v>18189</v>
      </c>
    </row>
    <row r="117" spans="2:8" x14ac:dyDescent="0.25">
      <c r="B117" s="414" t="s">
        <v>2334</v>
      </c>
      <c r="C117" s="211">
        <v>90945</v>
      </c>
      <c r="D117" s="211">
        <v>18189</v>
      </c>
      <c r="E117" s="211">
        <v>18189</v>
      </c>
      <c r="F117" s="211">
        <v>18189</v>
      </c>
      <c r="G117" s="211">
        <v>18189</v>
      </c>
      <c r="H117" s="211">
        <v>18189</v>
      </c>
    </row>
    <row r="118" spans="2:8" x14ac:dyDescent="0.25">
      <c r="B118" s="209" t="s">
        <v>136</v>
      </c>
      <c r="C118" s="211">
        <v>36713746.953102976</v>
      </c>
      <c r="D118" s="211">
        <v>7451955.8190602986</v>
      </c>
      <c r="E118" s="211">
        <v>7530981.1248404477</v>
      </c>
      <c r="F118" s="211">
        <v>7164578.0306205973</v>
      </c>
      <c r="G118" s="211">
        <v>7322628.6421808954</v>
      </c>
      <c r="H118" s="211">
        <v>7243603.3364007464</v>
      </c>
    </row>
    <row r="119" spans="2:8" x14ac:dyDescent="0.25">
      <c r="B119" s="195" t="s">
        <v>195</v>
      </c>
      <c r="C119" s="211">
        <v>33393564.037499994</v>
      </c>
      <c r="D119" s="211">
        <v>6678712.8074999992</v>
      </c>
      <c r="E119" s="211">
        <v>6678712.8074999992</v>
      </c>
      <c r="F119" s="211">
        <v>6678712.8074999992</v>
      </c>
      <c r="G119" s="211">
        <v>6678712.8074999992</v>
      </c>
      <c r="H119" s="211">
        <v>6678712.8074999992</v>
      </c>
    </row>
    <row r="120" spans="2:8" x14ac:dyDescent="0.25">
      <c r="B120" s="414" t="s">
        <v>2333</v>
      </c>
      <c r="C120" s="211">
        <v>26351162.174999993</v>
      </c>
      <c r="D120" s="211">
        <v>5270232.4349999996</v>
      </c>
      <c r="E120" s="211">
        <v>5270232.4349999996</v>
      </c>
      <c r="F120" s="211">
        <v>5270232.4349999996</v>
      </c>
      <c r="G120" s="211">
        <v>5270232.4349999996</v>
      </c>
      <c r="H120" s="211">
        <v>5270232.4349999996</v>
      </c>
    </row>
    <row r="121" spans="2:8" x14ac:dyDescent="0.25">
      <c r="B121" s="414" t="s">
        <v>2330</v>
      </c>
      <c r="C121" s="211">
        <v>7042401.8624999989</v>
      </c>
      <c r="D121" s="211">
        <v>1408480.3724999998</v>
      </c>
      <c r="E121" s="211">
        <v>1408480.3724999998</v>
      </c>
      <c r="F121" s="211">
        <v>1408480.3724999998</v>
      </c>
      <c r="G121" s="211">
        <v>1408480.3724999998</v>
      </c>
      <c r="H121" s="211">
        <v>1408480.3724999998</v>
      </c>
    </row>
    <row r="122" spans="2:8" x14ac:dyDescent="0.25">
      <c r="B122" s="195" t="s">
        <v>197</v>
      </c>
      <c r="C122" s="211">
        <v>1739676.7999999998</v>
      </c>
      <c r="D122" s="211">
        <v>615192.39999999991</v>
      </c>
      <c r="E122" s="211">
        <v>615192.39999999991</v>
      </c>
      <c r="F122" s="211">
        <v>169764</v>
      </c>
      <c r="G122" s="211">
        <v>169764</v>
      </c>
      <c r="H122" s="211">
        <v>169764</v>
      </c>
    </row>
    <row r="123" spans="2:8" x14ac:dyDescent="0.25">
      <c r="B123" s="414" t="s">
        <v>2329</v>
      </c>
      <c r="C123" s="211">
        <v>869838.39999999991</v>
      </c>
      <c r="D123" s="211">
        <v>307596.19999999995</v>
      </c>
      <c r="E123" s="211">
        <v>307596.19999999995</v>
      </c>
      <c r="F123" s="211">
        <v>84882</v>
      </c>
      <c r="G123" s="211">
        <v>84882</v>
      </c>
      <c r="H123" s="211">
        <v>84882</v>
      </c>
    </row>
    <row r="124" spans="2:8" x14ac:dyDescent="0.25">
      <c r="B124" s="414" t="s">
        <v>2332</v>
      </c>
      <c r="C124" s="211">
        <v>445428.39999999997</v>
      </c>
      <c r="D124" s="211">
        <v>222714.19999999998</v>
      </c>
      <c r="E124" s="211">
        <v>222714.19999999998</v>
      </c>
      <c r="F124" s="211">
        <v>0</v>
      </c>
      <c r="G124" s="211">
        <v>0</v>
      </c>
      <c r="H124" s="211">
        <v>0</v>
      </c>
    </row>
    <row r="125" spans="2:8" x14ac:dyDescent="0.25">
      <c r="B125" s="414" t="s">
        <v>2335</v>
      </c>
      <c r="C125" s="211">
        <v>424410</v>
      </c>
      <c r="D125" s="211">
        <v>84882</v>
      </c>
      <c r="E125" s="211">
        <v>84882</v>
      </c>
      <c r="F125" s="211">
        <v>84882</v>
      </c>
      <c r="G125" s="211">
        <v>84882</v>
      </c>
      <c r="H125" s="211">
        <v>84882</v>
      </c>
    </row>
    <row r="126" spans="2:8" x14ac:dyDescent="0.25">
      <c r="B126" s="195" t="s">
        <v>202</v>
      </c>
      <c r="C126" s="211">
        <v>1580506.1156029887</v>
      </c>
      <c r="D126" s="211">
        <v>158050.61156029889</v>
      </c>
      <c r="E126" s="211">
        <v>237075.9173404483</v>
      </c>
      <c r="F126" s="211">
        <v>316101.22312059777</v>
      </c>
      <c r="G126" s="211">
        <v>474151.8346808966</v>
      </c>
      <c r="H126" s="211">
        <v>395126.52890074719</v>
      </c>
    </row>
    <row r="127" spans="2:8" x14ac:dyDescent="0.25">
      <c r="B127" s="414" t="s">
        <v>2331</v>
      </c>
      <c r="C127" s="211">
        <v>1580506.1156029887</v>
      </c>
      <c r="D127" s="211">
        <v>158050.61156029889</v>
      </c>
      <c r="E127" s="211">
        <v>237075.9173404483</v>
      </c>
      <c r="F127" s="211">
        <v>316101.22312059777</v>
      </c>
      <c r="G127" s="211">
        <v>474151.8346808966</v>
      </c>
      <c r="H127" s="211">
        <v>395126.52890074719</v>
      </c>
    </row>
    <row r="128" spans="2:8" x14ac:dyDescent="0.25">
      <c r="B128" s="209" t="s">
        <v>131</v>
      </c>
      <c r="C128" s="211">
        <v>34420511.412201226</v>
      </c>
      <c r="D128" s="211">
        <v>31694038.896836031</v>
      </c>
      <c r="E128" s="211">
        <v>713196.25384129828</v>
      </c>
      <c r="F128" s="211">
        <v>738458.75384129828</v>
      </c>
      <c r="G128" s="211">
        <v>637408.75384129828</v>
      </c>
      <c r="H128" s="211">
        <v>637408.75384129828</v>
      </c>
    </row>
    <row r="129" spans="2:8" x14ac:dyDescent="0.25">
      <c r="B129" s="195" t="s">
        <v>204</v>
      </c>
      <c r="C129" s="211">
        <v>30929307.142994732</v>
      </c>
      <c r="D129" s="211">
        <v>30929307.142994732</v>
      </c>
      <c r="E129" s="211">
        <v>0</v>
      </c>
      <c r="F129" s="211">
        <v>0</v>
      </c>
      <c r="G129" s="211">
        <v>0</v>
      </c>
      <c r="H129" s="211">
        <v>0</v>
      </c>
    </row>
    <row r="130" spans="2:8" x14ac:dyDescent="0.25">
      <c r="B130" s="414" t="s">
        <v>2333</v>
      </c>
      <c r="C130" s="211">
        <v>30929307.142994732</v>
      </c>
      <c r="D130" s="211">
        <v>30929307.142994732</v>
      </c>
      <c r="E130" s="211">
        <v>0</v>
      </c>
      <c r="F130" s="211">
        <v>0</v>
      </c>
      <c r="G130" s="211">
        <v>0</v>
      </c>
      <c r="H130" s="211">
        <v>0</v>
      </c>
    </row>
    <row r="131" spans="2:8" x14ac:dyDescent="0.25">
      <c r="B131" s="195" t="s">
        <v>202</v>
      </c>
      <c r="C131" s="211">
        <v>3491204.2692064904</v>
      </c>
      <c r="D131" s="211">
        <v>764731.75384129828</v>
      </c>
      <c r="E131" s="211">
        <v>713196.25384129828</v>
      </c>
      <c r="F131" s="211">
        <v>738458.75384129828</v>
      </c>
      <c r="G131" s="211">
        <v>637408.75384129828</v>
      </c>
      <c r="H131" s="211">
        <v>637408.75384129828</v>
      </c>
    </row>
    <row r="132" spans="2:8" x14ac:dyDescent="0.25">
      <c r="B132" s="414" t="s">
        <v>2331</v>
      </c>
      <c r="C132" s="211">
        <v>3491204.2692064904</v>
      </c>
      <c r="D132" s="211">
        <v>764731.75384129828</v>
      </c>
      <c r="E132" s="211">
        <v>713196.25384129828</v>
      </c>
      <c r="F132" s="211">
        <v>738458.75384129828</v>
      </c>
      <c r="G132" s="211">
        <v>637408.75384129828</v>
      </c>
      <c r="H132" s="211">
        <v>637408.75384129828</v>
      </c>
    </row>
    <row r="133" spans="2:8" x14ac:dyDescent="0.25">
      <c r="B133" s="209" t="s">
        <v>122</v>
      </c>
      <c r="C133" s="211">
        <v>11994635</v>
      </c>
      <c r="D133" s="211">
        <v>2544439</v>
      </c>
      <c r="E133" s="211">
        <v>2544439</v>
      </c>
      <c r="F133" s="211">
        <v>2301919</v>
      </c>
      <c r="G133" s="211">
        <v>2301919</v>
      </c>
      <c r="H133" s="211">
        <v>2301919</v>
      </c>
    </row>
    <row r="134" spans="2:8" x14ac:dyDescent="0.25">
      <c r="B134" s="195" t="s">
        <v>205</v>
      </c>
      <c r="C134" s="211">
        <v>6265100</v>
      </c>
      <c r="D134" s="211">
        <v>1253020</v>
      </c>
      <c r="E134" s="211">
        <v>1253020</v>
      </c>
      <c r="F134" s="211">
        <v>1253020</v>
      </c>
      <c r="G134" s="211">
        <v>1253020</v>
      </c>
      <c r="H134" s="211">
        <v>1253020</v>
      </c>
    </row>
    <row r="135" spans="2:8" x14ac:dyDescent="0.25">
      <c r="B135" s="414" t="s">
        <v>2335</v>
      </c>
      <c r="C135" s="211">
        <v>6265100</v>
      </c>
      <c r="D135" s="211">
        <v>1253020</v>
      </c>
      <c r="E135" s="211">
        <v>1253020</v>
      </c>
      <c r="F135" s="211">
        <v>1253020</v>
      </c>
      <c r="G135" s="211">
        <v>1253020</v>
      </c>
      <c r="H135" s="211">
        <v>1253020</v>
      </c>
    </row>
    <row r="136" spans="2:8" x14ac:dyDescent="0.25">
      <c r="B136" s="195" t="s">
        <v>195</v>
      </c>
      <c r="C136" s="211">
        <v>3546855</v>
      </c>
      <c r="D136" s="211">
        <v>709371</v>
      </c>
      <c r="E136" s="211">
        <v>709371</v>
      </c>
      <c r="F136" s="211">
        <v>709371</v>
      </c>
      <c r="G136" s="211">
        <v>709371</v>
      </c>
      <c r="H136" s="211">
        <v>709371</v>
      </c>
    </row>
    <row r="137" spans="2:8" x14ac:dyDescent="0.25">
      <c r="B137" s="414" t="s">
        <v>2336</v>
      </c>
      <c r="C137" s="211">
        <v>3546855</v>
      </c>
      <c r="D137" s="211">
        <v>709371</v>
      </c>
      <c r="E137" s="211">
        <v>709371</v>
      </c>
      <c r="F137" s="211">
        <v>709371</v>
      </c>
      <c r="G137" s="211">
        <v>709371</v>
      </c>
      <c r="H137" s="211">
        <v>709371</v>
      </c>
    </row>
    <row r="138" spans="2:8" x14ac:dyDescent="0.25">
      <c r="B138" s="195" t="s">
        <v>204</v>
      </c>
      <c r="C138" s="211">
        <v>2182680</v>
      </c>
      <c r="D138" s="211">
        <v>582048</v>
      </c>
      <c r="E138" s="211">
        <v>582048</v>
      </c>
      <c r="F138" s="211">
        <v>339528</v>
      </c>
      <c r="G138" s="211">
        <v>339528</v>
      </c>
      <c r="H138" s="211">
        <v>339528</v>
      </c>
    </row>
    <row r="139" spans="2:8" x14ac:dyDescent="0.25">
      <c r="B139" s="414" t="s">
        <v>2333</v>
      </c>
      <c r="C139" s="211">
        <v>2182680</v>
      </c>
      <c r="D139" s="211">
        <v>582048</v>
      </c>
      <c r="E139" s="211">
        <v>582048</v>
      </c>
      <c r="F139" s="211">
        <v>339528</v>
      </c>
      <c r="G139" s="211">
        <v>339528</v>
      </c>
      <c r="H139" s="211">
        <v>339528</v>
      </c>
    </row>
    <row r="140" spans="2:8" x14ac:dyDescent="0.25">
      <c r="B140" s="209" t="s">
        <v>133</v>
      </c>
      <c r="C140" s="211">
        <v>9771535</v>
      </c>
      <c r="D140" s="211">
        <v>1954307</v>
      </c>
      <c r="E140" s="211">
        <v>1954307</v>
      </c>
      <c r="F140" s="211">
        <v>1954307</v>
      </c>
      <c r="G140" s="211">
        <v>1954307</v>
      </c>
      <c r="H140" s="211">
        <v>1954307</v>
      </c>
    </row>
    <row r="141" spans="2:8" x14ac:dyDescent="0.25">
      <c r="B141" s="195" t="s">
        <v>195</v>
      </c>
      <c r="C141" s="211">
        <v>5052500</v>
      </c>
      <c r="D141" s="211">
        <v>1010500</v>
      </c>
      <c r="E141" s="211">
        <v>1010500</v>
      </c>
      <c r="F141" s="211">
        <v>1010500</v>
      </c>
      <c r="G141" s="211">
        <v>1010500</v>
      </c>
      <c r="H141" s="211">
        <v>1010500</v>
      </c>
    </row>
    <row r="142" spans="2:8" x14ac:dyDescent="0.25">
      <c r="B142" s="414" t="s">
        <v>2336</v>
      </c>
      <c r="C142" s="211">
        <v>5052500</v>
      </c>
      <c r="D142" s="211">
        <v>1010500</v>
      </c>
      <c r="E142" s="211">
        <v>1010500</v>
      </c>
      <c r="F142" s="211">
        <v>1010500</v>
      </c>
      <c r="G142" s="211">
        <v>1010500</v>
      </c>
      <c r="H142" s="211">
        <v>1010500</v>
      </c>
    </row>
    <row r="143" spans="2:8" x14ac:dyDescent="0.25">
      <c r="B143" s="195" t="s">
        <v>204</v>
      </c>
      <c r="C143" s="211">
        <v>3870215</v>
      </c>
      <c r="D143" s="211">
        <v>774043</v>
      </c>
      <c r="E143" s="211">
        <v>774043</v>
      </c>
      <c r="F143" s="211">
        <v>774043</v>
      </c>
      <c r="G143" s="211">
        <v>774043</v>
      </c>
      <c r="H143" s="211">
        <v>774043</v>
      </c>
    </row>
    <row r="144" spans="2:8" x14ac:dyDescent="0.25">
      <c r="B144" s="414" t="s">
        <v>2333</v>
      </c>
      <c r="C144" s="211">
        <v>3870215</v>
      </c>
      <c r="D144" s="211">
        <v>774043</v>
      </c>
      <c r="E144" s="211">
        <v>774043</v>
      </c>
      <c r="F144" s="211">
        <v>774043</v>
      </c>
      <c r="G144" s="211">
        <v>774043</v>
      </c>
      <c r="H144" s="211">
        <v>774043</v>
      </c>
    </row>
    <row r="145" spans="2:8" x14ac:dyDescent="0.25">
      <c r="B145" s="195" t="s">
        <v>205</v>
      </c>
      <c r="C145" s="211">
        <v>606300</v>
      </c>
      <c r="D145" s="211">
        <v>121260</v>
      </c>
      <c r="E145" s="211">
        <v>121260</v>
      </c>
      <c r="F145" s="211">
        <v>121260</v>
      </c>
      <c r="G145" s="211">
        <v>121260</v>
      </c>
      <c r="H145" s="211">
        <v>121260</v>
      </c>
    </row>
    <row r="146" spans="2:8" x14ac:dyDescent="0.25">
      <c r="B146" s="414" t="s">
        <v>2335</v>
      </c>
      <c r="C146" s="211">
        <v>606300</v>
      </c>
      <c r="D146" s="211">
        <v>121260</v>
      </c>
      <c r="E146" s="211">
        <v>121260</v>
      </c>
      <c r="F146" s="211">
        <v>121260</v>
      </c>
      <c r="G146" s="211">
        <v>121260</v>
      </c>
      <c r="H146" s="211">
        <v>121260</v>
      </c>
    </row>
    <row r="147" spans="2:8" x14ac:dyDescent="0.25">
      <c r="B147" s="195" t="s">
        <v>201</v>
      </c>
      <c r="C147" s="211">
        <v>242520</v>
      </c>
      <c r="D147" s="211">
        <v>48504</v>
      </c>
      <c r="E147" s="211">
        <v>48504</v>
      </c>
      <c r="F147" s="211">
        <v>48504</v>
      </c>
      <c r="G147" s="211">
        <v>48504</v>
      </c>
      <c r="H147" s="211">
        <v>48504</v>
      </c>
    </row>
    <row r="148" spans="2:8" x14ac:dyDescent="0.25">
      <c r="B148" s="414" t="s">
        <v>2334</v>
      </c>
      <c r="C148" s="211">
        <v>242520</v>
      </c>
      <c r="D148" s="211">
        <v>48504</v>
      </c>
      <c r="E148" s="211">
        <v>48504</v>
      </c>
      <c r="F148" s="211">
        <v>48504</v>
      </c>
      <c r="G148" s="211">
        <v>48504</v>
      </c>
      <c r="H148" s="211">
        <v>48504</v>
      </c>
    </row>
    <row r="149" spans="2:8" x14ac:dyDescent="0.25">
      <c r="B149" s="209" t="s">
        <v>124</v>
      </c>
      <c r="C149" s="211">
        <v>8730720</v>
      </c>
      <c r="D149" s="211">
        <v>1746144</v>
      </c>
      <c r="E149" s="211">
        <v>1746144</v>
      </c>
      <c r="F149" s="211">
        <v>1746144</v>
      </c>
      <c r="G149" s="211">
        <v>1746144</v>
      </c>
      <c r="H149" s="211">
        <v>1746144</v>
      </c>
    </row>
    <row r="150" spans="2:8" x14ac:dyDescent="0.25">
      <c r="B150" s="195" t="s">
        <v>204</v>
      </c>
      <c r="C150" s="211">
        <v>5456700</v>
      </c>
      <c r="D150" s="211">
        <v>1091340</v>
      </c>
      <c r="E150" s="211">
        <v>1091340</v>
      </c>
      <c r="F150" s="211">
        <v>1091340</v>
      </c>
      <c r="G150" s="211">
        <v>1091340</v>
      </c>
      <c r="H150" s="211">
        <v>1091340</v>
      </c>
    </row>
    <row r="151" spans="2:8" x14ac:dyDescent="0.25">
      <c r="B151" s="414" t="s">
        <v>2333</v>
      </c>
      <c r="C151" s="211">
        <v>5456700</v>
      </c>
      <c r="D151" s="211">
        <v>1091340</v>
      </c>
      <c r="E151" s="211">
        <v>1091340</v>
      </c>
      <c r="F151" s="211">
        <v>1091340</v>
      </c>
      <c r="G151" s="211">
        <v>1091340</v>
      </c>
      <c r="H151" s="211">
        <v>1091340</v>
      </c>
    </row>
    <row r="152" spans="2:8" x14ac:dyDescent="0.25">
      <c r="B152" s="195" t="s">
        <v>205</v>
      </c>
      <c r="C152" s="211">
        <v>2455515</v>
      </c>
      <c r="D152" s="211">
        <v>491103</v>
      </c>
      <c r="E152" s="211">
        <v>491103</v>
      </c>
      <c r="F152" s="211">
        <v>491103</v>
      </c>
      <c r="G152" s="211">
        <v>491103</v>
      </c>
      <c r="H152" s="211">
        <v>491103</v>
      </c>
    </row>
    <row r="153" spans="2:8" x14ac:dyDescent="0.25">
      <c r="B153" s="414" t="s">
        <v>2335</v>
      </c>
      <c r="C153" s="211">
        <v>2455515</v>
      </c>
      <c r="D153" s="211">
        <v>491103</v>
      </c>
      <c r="E153" s="211">
        <v>491103</v>
      </c>
      <c r="F153" s="211">
        <v>491103</v>
      </c>
      <c r="G153" s="211">
        <v>491103</v>
      </c>
      <c r="H153" s="211">
        <v>491103</v>
      </c>
    </row>
    <row r="154" spans="2:8" x14ac:dyDescent="0.25">
      <c r="B154" s="195" t="s">
        <v>201</v>
      </c>
      <c r="C154" s="211">
        <v>818505</v>
      </c>
      <c r="D154" s="211">
        <v>163701</v>
      </c>
      <c r="E154" s="211">
        <v>163701</v>
      </c>
      <c r="F154" s="211">
        <v>163701</v>
      </c>
      <c r="G154" s="211">
        <v>163701</v>
      </c>
      <c r="H154" s="211">
        <v>163701</v>
      </c>
    </row>
    <row r="155" spans="2:8" x14ac:dyDescent="0.25">
      <c r="B155" s="414" t="s">
        <v>2334</v>
      </c>
      <c r="C155" s="211">
        <v>818505</v>
      </c>
      <c r="D155" s="211">
        <v>163701</v>
      </c>
      <c r="E155" s="211">
        <v>163701</v>
      </c>
      <c r="F155" s="211">
        <v>163701</v>
      </c>
      <c r="G155" s="211">
        <v>163701</v>
      </c>
      <c r="H155" s="211">
        <v>163701</v>
      </c>
    </row>
    <row r="156" spans="2:8" x14ac:dyDescent="0.25">
      <c r="B156" s="209" t="s">
        <v>127</v>
      </c>
      <c r="C156" s="211">
        <v>2392688.4007494063</v>
      </c>
      <c r="D156" s="211">
        <v>522595.48014988122</v>
      </c>
      <c r="E156" s="211">
        <v>502890.73014988122</v>
      </c>
      <c r="F156" s="211">
        <v>531184.73014988122</v>
      </c>
      <c r="G156" s="211">
        <v>418008.73014988122</v>
      </c>
      <c r="H156" s="211">
        <v>418008.73014988122</v>
      </c>
    </row>
    <row r="157" spans="2:8" x14ac:dyDescent="0.25">
      <c r="B157" s="195" t="s">
        <v>202</v>
      </c>
      <c r="C157" s="211">
        <v>2392688.4007494063</v>
      </c>
      <c r="D157" s="211">
        <v>522595.48014988122</v>
      </c>
      <c r="E157" s="211">
        <v>502890.73014988122</v>
      </c>
      <c r="F157" s="211">
        <v>531184.73014988122</v>
      </c>
      <c r="G157" s="211">
        <v>418008.73014988122</v>
      </c>
      <c r="H157" s="211">
        <v>418008.73014988122</v>
      </c>
    </row>
    <row r="158" spans="2:8" x14ac:dyDescent="0.25">
      <c r="B158" s="414" t="s">
        <v>2331</v>
      </c>
      <c r="C158" s="211">
        <v>2392688.4007494063</v>
      </c>
      <c r="D158" s="211">
        <v>522595.48014988122</v>
      </c>
      <c r="E158" s="211">
        <v>502890.73014988122</v>
      </c>
      <c r="F158" s="211">
        <v>531184.73014988122</v>
      </c>
      <c r="G158" s="211">
        <v>418008.73014988122</v>
      </c>
      <c r="H158" s="211">
        <v>418008.73014988122</v>
      </c>
    </row>
    <row r="159" spans="2:8" x14ac:dyDescent="0.25">
      <c r="B159" s="209" t="s">
        <v>121</v>
      </c>
      <c r="C159" s="211">
        <v>2041210</v>
      </c>
      <c r="D159" s="211">
        <v>408242</v>
      </c>
      <c r="E159" s="211">
        <v>462809</v>
      </c>
      <c r="F159" s="211">
        <v>462809</v>
      </c>
      <c r="G159" s="211">
        <v>353675</v>
      </c>
      <c r="H159" s="211">
        <v>353675</v>
      </c>
    </row>
    <row r="160" spans="2:8" x14ac:dyDescent="0.25">
      <c r="B160" s="195" t="s">
        <v>195</v>
      </c>
      <c r="C160" s="211">
        <v>1212600</v>
      </c>
      <c r="D160" s="211">
        <v>242520</v>
      </c>
      <c r="E160" s="211">
        <v>242520</v>
      </c>
      <c r="F160" s="211">
        <v>242520</v>
      </c>
      <c r="G160" s="211">
        <v>242520</v>
      </c>
      <c r="H160" s="211">
        <v>242520</v>
      </c>
    </row>
    <row r="161" spans="2:8" x14ac:dyDescent="0.25">
      <c r="B161" s="414" t="s">
        <v>2336</v>
      </c>
      <c r="C161" s="211">
        <v>1212600</v>
      </c>
      <c r="D161" s="211">
        <v>242520</v>
      </c>
      <c r="E161" s="211">
        <v>242520</v>
      </c>
      <c r="F161" s="211">
        <v>242520</v>
      </c>
      <c r="G161" s="211">
        <v>242520</v>
      </c>
      <c r="H161" s="211">
        <v>242520</v>
      </c>
    </row>
    <row r="162" spans="2:8" x14ac:dyDescent="0.25">
      <c r="B162" s="195" t="s">
        <v>202</v>
      </c>
      <c r="C162" s="211">
        <v>828610</v>
      </c>
      <c r="D162" s="211">
        <v>165722</v>
      </c>
      <c r="E162" s="211">
        <v>220289</v>
      </c>
      <c r="F162" s="211">
        <v>220289</v>
      </c>
      <c r="G162" s="211">
        <v>111155</v>
      </c>
      <c r="H162" s="211">
        <v>111155</v>
      </c>
    </row>
    <row r="163" spans="2:8" x14ac:dyDescent="0.25">
      <c r="B163" s="414" t="s">
        <v>2331</v>
      </c>
      <c r="C163" s="211">
        <v>828610</v>
      </c>
      <c r="D163" s="211">
        <v>165722</v>
      </c>
      <c r="E163" s="211">
        <v>220289</v>
      </c>
      <c r="F163" s="211">
        <v>220289</v>
      </c>
      <c r="G163" s="211">
        <v>111155</v>
      </c>
      <c r="H163" s="211">
        <v>111155</v>
      </c>
    </row>
    <row r="164" spans="2:8" x14ac:dyDescent="0.25">
      <c r="B164" s="209" t="s">
        <v>128</v>
      </c>
      <c r="C164" s="211">
        <v>1818900</v>
      </c>
      <c r="D164" s="211">
        <v>363780</v>
      </c>
      <c r="E164" s="211">
        <v>363780</v>
      </c>
      <c r="F164" s="211">
        <v>363780</v>
      </c>
      <c r="G164" s="211">
        <v>363780</v>
      </c>
      <c r="H164" s="211">
        <v>363780</v>
      </c>
    </row>
    <row r="165" spans="2:8" x14ac:dyDescent="0.25">
      <c r="B165" s="195" t="s">
        <v>205</v>
      </c>
      <c r="C165" s="211">
        <v>1637010</v>
      </c>
      <c r="D165" s="211">
        <v>327402</v>
      </c>
      <c r="E165" s="211">
        <v>327402</v>
      </c>
      <c r="F165" s="211">
        <v>327402</v>
      </c>
      <c r="G165" s="211">
        <v>327402</v>
      </c>
      <c r="H165" s="211">
        <v>327402</v>
      </c>
    </row>
    <row r="166" spans="2:8" x14ac:dyDescent="0.25">
      <c r="B166" s="414" t="s">
        <v>2335</v>
      </c>
      <c r="C166" s="211">
        <v>1637010</v>
      </c>
      <c r="D166" s="211">
        <v>327402</v>
      </c>
      <c r="E166" s="211">
        <v>327402</v>
      </c>
      <c r="F166" s="211">
        <v>327402</v>
      </c>
      <c r="G166" s="211">
        <v>327402</v>
      </c>
      <c r="H166" s="211">
        <v>327402</v>
      </c>
    </row>
    <row r="167" spans="2:8" x14ac:dyDescent="0.25">
      <c r="B167" s="195" t="s">
        <v>201</v>
      </c>
      <c r="C167" s="211">
        <v>181890</v>
      </c>
      <c r="D167" s="211">
        <v>36378</v>
      </c>
      <c r="E167" s="211">
        <v>36378</v>
      </c>
      <c r="F167" s="211">
        <v>36378</v>
      </c>
      <c r="G167" s="211">
        <v>36378</v>
      </c>
      <c r="H167" s="211">
        <v>36378</v>
      </c>
    </row>
    <row r="168" spans="2:8" x14ac:dyDescent="0.25">
      <c r="B168" s="414" t="s">
        <v>2334</v>
      </c>
      <c r="C168" s="211">
        <v>181890</v>
      </c>
      <c r="D168" s="211">
        <v>36378</v>
      </c>
      <c r="E168" s="211">
        <v>36378</v>
      </c>
      <c r="F168" s="211">
        <v>36378</v>
      </c>
      <c r="G168" s="211">
        <v>36378</v>
      </c>
      <c r="H168" s="211">
        <v>36378</v>
      </c>
    </row>
    <row r="169" spans="2:8" x14ac:dyDescent="0.25">
      <c r="B169" s="209" t="s">
        <v>141</v>
      </c>
      <c r="C169" s="211">
        <v>2963396073.7111349</v>
      </c>
      <c r="D169" s="211">
        <v>610166393.75645196</v>
      </c>
      <c r="E169" s="211">
        <v>582245875.41904271</v>
      </c>
      <c r="F169" s="211">
        <v>589117633.18175304</v>
      </c>
      <c r="G169" s="211">
        <v>593385669.49192381</v>
      </c>
      <c r="H169" s="211">
        <v>588480501.86196351</v>
      </c>
    </row>
  </sheetData>
  <mergeCells count="2">
    <mergeCell ref="B1:G1"/>
    <mergeCell ref="B2:G2"/>
  </mergeCell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3:M1002"/>
  <sheetViews>
    <sheetView showGridLines="0" topLeftCell="A4" workbookViewId="0">
      <selection activeCell="L25" sqref="L25"/>
    </sheetView>
  </sheetViews>
  <sheetFormatPr baseColWidth="10" defaultColWidth="11.19921875" defaultRowHeight="15.65" x14ac:dyDescent="0.25"/>
  <cols>
    <col min="1" max="1" width="10.796875" style="396" customWidth="1"/>
    <col min="2" max="2" width="11.296875" style="396" customWidth="1"/>
    <col min="3" max="3" width="22.19921875" style="396" customWidth="1"/>
    <col min="4" max="4" width="9.3984375" style="396" customWidth="1"/>
    <col min="5" max="5" width="12" style="396" customWidth="1"/>
    <col min="6" max="6" width="8.59765625" style="396" bestFit="1" customWidth="1"/>
    <col min="7" max="7" width="8" style="396" customWidth="1"/>
    <col min="8" max="8" width="14.19921875" style="396" customWidth="1"/>
    <col min="9" max="9" width="13.09765625" style="396" customWidth="1"/>
    <col min="10" max="10" width="10.796875" style="396" customWidth="1"/>
    <col min="11" max="11" width="16.8984375" style="396" customWidth="1"/>
    <col min="12" max="12" width="10.796875" style="396" customWidth="1"/>
    <col min="13" max="13" width="15.69921875" style="396" customWidth="1"/>
    <col min="14" max="26" width="10.796875" style="396" customWidth="1"/>
    <col min="27" max="16384" width="11.19921875" style="396"/>
  </cols>
  <sheetData>
    <row r="3" spans="2:13" ht="15.8" customHeight="1" x14ac:dyDescent="0.25"/>
    <row r="4" spans="2:13" ht="15.8" customHeight="1" x14ac:dyDescent="0.25"/>
    <row r="5" spans="2:13" s="959" customFormat="1" ht="65.25" x14ac:dyDescent="0.25">
      <c r="B5" s="992" t="s">
        <v>104</v>
      </c>
      <c r="C5" s="992" t="s">
        <v>105</v>
      </c>
      <c r="D5" s="992" t="s">
        <v>106</v>
      </c>
      <c r="E5" s="992" t="s">
        <v>107</v>
      </c>
      <c r="F5" s="992" t="s">
        <v>108</v>
      </c>
      <c r="G5" s="992" t="s">
        <v>109</v>
      </c>
      <c r="H5" s="992" t="s">
        <v>2344</v>
      </c>
      <c r="I5" s="992" t="s">
        <v>2342</v>
      </c>
      <c r="K5" s="993" t="s">
        <v>105</v>
      </c>
      <c r="L5" s="993" t="s">
        <v>107</v>
      </c>
      <c r="M5" s="993" t="s">
        <v>2343</v>
      </c>
    </row>
    <row r="6" spans="2:13" ht="15.8" customHeight="1" x14ac:dyDescent="0.3">
      <c r="B6" s="1509" t="s">
        <v>110</v>
      </c>
      <c r="C6" s="994" t="s">
        <v>111</v>
      </c>
      <c r="D6" s="3">
        <f>COUNTIF('UDT -USAS-INTRV'!A37:A45,"*")</f>
        <v>9</v>
      </c>
      <c r="E6" s="3">
        <f>+GETPIVOTDATA("#  Intervenciones",'10. Ranking'!$C$4,"UDT","UDT ALTO HUALLAGA ")</f>
        <v>63</v>
      </c>
      <c r="F6" s="5">
        <v>1</v>
      </c>
      <c r="G6" s="5">
        <v>5</v>
      </c>
      <c r="H6" s="240">
        <v>625312.6515228824</v>
      </c>
      <c r="I6" s="240">
        <f>GETPIVOTDATA("Al 2025 S/",'10. Ranking'!$C$4,"UDT","UDT ALTO HUALLAGA ")</f>
        <v>483055472.27892971</v>
      </c>
      <c r="K6" s="995" t="s">
        <v>111</v>
      </c>
      <c r="L6" s="424">
        <v>63</v>
      </c>
      <c r="M6" s="996">
        <f>+I6</f>
        <v>483055472.27892971</v>
      </c>
    </row>
    <row r="7" spans="2:13" ht="15.8" customHeight="1" x14ac:dyDescent="0.3">
      <c r="B7" s="1510"/>
      <c r="C7" s="994" t="s">
        <v>112</v>
      </c>
      <c r="D7" s="3">
        <f>COUNTIF('UDT -USAS-INTRV'!A17:A25,"*")</f>
        <v>9</v>
      </c>
      <c r="E7" s="3">
        <f>+GETPIVOTDATA("#  Intervenciones",'10. Ranking'!$C$4,"UDT","UDT ALTO MAYO")</f>
        <v>66</v>
      </c>
      <c r="F7" s="5">
        <v>2</v>
      </c>
      <c r="G7" s="5">
        <v>15</v>
      </c>
      <c r="H7" s="240">
        <v>661991.61514815176</v>
      </c>
      <c r="I7" s="240">
        <f>GETPIVOTDATA("Al 2025 S/",'10. Ranking'!$C$4,"UDT","UDT ALTO MAYO")</f>
        <v>568953126.58696127</v>
      </c>
      <c r="K7" s="995" t="s">
        <v>112</v>
      </c>
      <c r="L7" s="424">
        <f>+E7</f>
        <v>66</v>
      </c>
      <c r="M7" s="996">
        <f>+I7</f>
        <v>568953126.58696127</v>
      </c>
    </row>
    <row r="8" spans="2:13" ht="15.8" customHeight="1" x14ac:dyDescent="0.3">
      <c r="B8" s="1510"/>
      <c r="C8" s="994" t="s">
        <v>113</v>
      </c>
      <c r="D8" s="3">
        <f>COUNTIF('UDT -USAS-INTRV'!A27:A35,"*")</f>
        <v>9</v>
      </c>
      <c r="E8" s="3">
        <f>+GETPIVOTDATA("#  Intervenciones",'10. Ranking'!$C$4,"UDT","UDT BAJO HUALLAGA")</f>
        <v>64</v>
      </c>
      <c r="F8" s="5">
        <v>2</v>
      </c>
      <c r="G8" s="5">
        <v>7</v>
      </c>
      <c r="H8" s="240">
        <v>690403.61097253254</v>
      </c>
      <c r="I8" s="240">
        <f>GETPIVOTDATA("Al 2025 S/",'10. Ranking'!$C$4,"UDT","UDT BAJO HUALLAGA")</f>
        <v>453290440.72866219</v>
      </c>
      <c r="K8" s="995" t="s">
        <v>113</v>
      </c>
      <c r="L8" s="424">
        <f>+E8</f>
        <v>64</v>
      </c>
      <c r="M8" s="996">
        <f>+I8</f>
        <v>453290440.72866219</v>
      </c>
    </row>
    <row r="9" spans="2:13" ht="15.8" customHeight="1" x14ac:dyDescent="0.3">
      <c r="B9" s="1510"/>
      <c r="C9" s="994" t="s">
        <v>114</v>
      </c>
      <c r="D9" s="3">
        <f>COUNTIF('UDT -USAS-INTRV'!A5:A15,"*")</f>
        <v>11</v>
      </c>
      <c r="E9" s="3">
        <f>+GETPIVOTDATA("#  Intervenciones",'10. Ranking'!$C$4,"UDT","UDT HUALLAGA CENTRAL Y BAJO MAYO")</f>
        <v>70</v>
      </c>
      <c r="F9" s="5">
        <v>7</v>
      </c>
      <c r="G9" s="5">
        <v>50</v>
      </c>
      <c r="H9" s="240">
        <v>3157011.9128954536</v>
      </c>
      <c r="I9" s="240">
        <f>GETPIVOTDATA("Al 2025 S/",'10. Ranking'!$C$4,"UDT","UDT HUALLAGA CENTRAL Y BAJO MAYO")</f>
        <v>1333191630.8184476</v>
      </c>
      <c r="K9" s="995" t="s">
        <v>114</v>
      </c>
      <c r="L9" s="424">
        <f>+E9</f>
        <v>70</v>
      </c>
      <c r="M9" s="996">
        <f>+I9</f>
        <v>1333191630.8184476</v>
      </c>
    </row>
    <row r="10" spans="2:13" ht="15.8" customHeight="1" x14ac:dyDescent="0.3">
      <c r="B10" s="1511"/>
      <c r="C10" s="994" t="s">
        <v>115</v>
      </c>
      <c r="D10" s="997"/>
      <c r="E10" s="3">
        <f>+GETPIVOTDATA("#  Intervenciones",'10. Ranking'!$C$4,"UDT","REGIONAL")</f>
        <v>39</v>
      </c>
      <c r="F10" s="997"/>
      <c r="G10" s="997"/>
      <c r="H10" s="997"/>
      <c r="I10" s="240">
        <f>GETPIVOTDATA("Al 2025 S/",'10. Ranking'!$C$4,"UDT","REGIONAL")</f>
        <v>124905403.29813404</v>
      </c>
      <c r="K10" s="995" t="s">
        <v>115</v>
      </c>
      <c r="L10" s="424">
        <f>+E10</f>
        <v>39</v>
      </c>
      <c r="M10" s="996">
        <f>+I10</f>
        <v>124905403.29813404</v>
      </c>
    </row>
    <row r="11" spans="2:13" ht="15.8" customHeight="1" x14ac:dyDescent="0.25">
      <c r="C11" s="998" t="s">
        <v>116</v>
      </c>
      <c r="D11" s="999"/>
      <c r="E11" s="999">
        <f>SUBTOTAL(9,E6:E10)</f>
        <v>302</v>
      </c>
      <c r="F11" s="999">
        <v>10</v>
      </c>
      <c r="G11" s="999">
        <f t="shared" ref="G11:H11" si="0">SUBTOTAL(9,G6:G9)</f>
        <v>77</v>
      </c>
      <c r="H11" s="1000">
        <f t="shared" si="0"/>
        <v>5134719.7905390207</v>
      </c>
      <c r="I11" s="1000">
        <f>SUM(I6:I10)</f>
        <v>2963396073.7111349</v>
      </c>
      <c r="L11" s="396">
        <f>SUM(L6:L10)</f>
        <v>302</v>
      </c>
      <c r="M11" s="229">
        <f>SUM(M6:M10)</f>
        <v>2963396073.7111349</v>
      </c>
    </row>
    <row r="12" spans="2:13" ht="15.8" customHeight="1" x14ac:dyDescent="0.25">
      <c r="F12" s="978" t="s">
        <v>117</v>
      </c>
      <c r="M12" s="229"/>
    </row>
    <row r="13" spans="2:13" ht="15.8" customHeight="1" x14ac:dyDescent="0.25"/>
    <row r="14" spans="2:13" ht="15.8" customHeight="1" x14ac:dyDescent="0.25"/>
    <row r="15" spans="2:13" ht="15.8" customHeight="1" x14ac:dyDescent="0.25"/>
    <row r="16" spans="2:13" ht="15.8" customHeight="1" x14ac:dyDescent="0.25"/>
    <row r="17" ht="15.8" customHeight="1" x14ac:dyDescent="0.25"/>
    <row r="18" ht="15.8" customHeight="1" x14ac:dyDescent="0.25"/>
    <row r="19" ht="15.8" customHeight="1" x14ac:dyDescent="0.25"/>
    <row r="20" ht="15.8" customHeight="1" x14ac:dyDescent="0.25"/>
    <row r="21" ht="15.8" customHeight="1" x14ac:dyDescent="0.25"/>
    <row r="22" ht="15.8" customHeight="1" x14ac:dyDescent="0.25"/>
    <row r="23" ht="15.8" customHeight="1" x14ac:dyDescent="0.25"/>
    <row r="24" ht="15.8" customHeight="1" x14ac:dyDescent="0.25"/>
    <row r="25" ht="15.8" customHeight="1" x14ac:dyDescent="0.25"/>
    <row r="26" ht="15.8" customHeight="1" x14ac:dyDescent="0.25"/>
    <row r="27" ht="15.8" customHeight="1" x14ac:dyDescent="0.25"/>
    <row r="28" ht="15.8" customHeight="1" x14ac:dyDescent="0.25"/>
    <row r="29" ht="15.8" customHeight="1" x14ac:dyDescent="0.25"/>
    <row r="30" ht="15.8" customHeight="1" x14ac:dyDescent="0.25"/>
    <row r="31" ht="15.8" customHeight="1" x14ac:dyDescent="0.25"/>
    <row r="32" ht="15.8" customHeight="1" x14ac:dyDescent="0.25"/>
    <row r="33" ht="15.8" customHeight="1" x14ac:dyDescent="0.25"/>
    <row r="34" ht="15.8" customHeight="1" x14ac:dyDescent="0.25"/>
    <row r="35" ht="15.8" customHeight="1" x14ac:dyDescent="0.25"/>
    <row r="36" ht="15.8" customHeight="1" x14ac:dyDescent="0.25"/>
    <row r="37" ht="15.8" customHeight="1" x14ac:dyDescent="0.25"/>
    <row r="38" ht="15.8" customHeight="1" x14ac:dyDescent="0.25"/>
    <row r="39" ht="15.8" customHeight="1" x14ac:dyDescent="0.25"/>
    <row r="40" ht="15.8" customHeight="1" x14ac:dyDescent="0.25"/>
    <row r="41" ht="15.8" customHeight="1" x14ac:dyDescent="0.25"/>
    <row r="42" ht="15.8" customHeight="1" x14ac:dyDescent="0.25"/>
    <row r="43" ht="15.8" customHeight="1" x14ac:dyDescent="0.25"/>
    <row r="44" ht="15.8" customHeight="1" x14ac:dyDescent="0.25"/>
    <row r="45" ht="15.8" customHeight="1" x14ac:dyDescent="0.25"/>
    <row r="46" ht="15.8" customHeight="1" x14ac:dyDescent="0.25"/>
    <row r="47" ht="15.8" customHeight="1" x14ac:dyDescent="0.25"/>
    <row r="48" ht="15.8" customHeight="1" x14ac:dyDescent="0.25"/>
    <row r="49" ht="15.8" customHeight="1" x14ac:dyDescent="0.25"/>
    <row r="50" ht="15.8" customHeight="1" x14ac:dyDescent="0.25"/>
    <row r="51" ht="15.8" customHeight="1" x14ac:dyDescent="0.25"/>
    <row r="52" ht="15.8" customHeight="1" x14ac:dyDescent="0.25"/>
    <row r="53" ht="15.8" customHeight="1" x14ac:dyDescent="0.25"/>
    <row r="54" ht="15.8" customHeight="1" x14ac:dyDescent="0.25"/>
    <row r="55" ht="15.8" customHeight="1" x14ac:dyDescent="0.25"/>
    <row r="56" ht="15.8" customHeight="1" x14ac:dyDescent="0.25"/>
    <row r="57" ht="15.8" customHeight="1" x14ac:dyDescent="0.25"/>
    <row r="58" ht="15.8" customHeight="1" x14ac:dyDescent="0.25"/>
    <row r="59" ht="15.8" customHeight="1" x14ac:dyDescent="0.25"/>
    <row r="60" ht="15.8" customHeight="1" x14ac:dyDescent="0.25"/>
    <row r="61" ht="15.8" customHeight="1" x14ac:dyDescent="0.25"/>
    <row r="62" ht="15.8" customHeight="1" x14ac:dyDescent="0.25"/>
    <row r="63" ht="15.8" customHeight="1" x14ac:dyDescent="0.25"/>
    <row r="64" ht="15.8" customHeight="1" x14ac:dyDescent="0.25"/>
    <row r="65" ht="15.8" customHeight="1" x14ac:dyDescent="0.25"/>
    <row r="66" ht="15.8" customHeight="1" x14ac:dyDescent="0.25"/>
    <row r="67" ht="15.8" customHeight="1" x14ac:dyDescent="0.25"/>
    <row r="68" ht="15.8" customHeight="1" x14ac:dyDescent="0.25"/>
    <row r="69" ht="15.8" customHeight="1" x14ac:dyDescent="0.25"/>
    <row r="70" ht="15.8" customHeight="1" x14ac:dyDescent="0.25"/>
    <row r="71" ht="15.8" customHeight="1" x14ac:dyDescent="0.25"/>
    <row r="72" ht="15.8" customHeight="1" x14ac:dyDescent="0.25"/>
    <row r="73" ht="15.8" customHeight="1" x14ac:dyDescent="0.25"/>
    <row r="74" ht="15.8" customHeight="1" x14ac:dyDescent="0.25"/>
    <row r="75" ht="15.8" customHeight="1" x14ac:dyDescent="0.25"/>
    <row r="76" ht="15.8" customHeight="1" x14ac:dyDescent="0.25"/>
    <row r="77" ht="15.8" customHeight="1" x14ac:dyDescent="0.25"/>
    <row r="78" ht="15.8" customHeight="1" x14ac:dyDescent="0.25"/>
    <row r="79" ht="15.8" customHeight="1" x14ac:dyDescent="0.25"/>
    <row r="80" ht="15.8" customHeight="1" x14ac:dyDescent="0.25"/>
    <row r="81" ht="15.8" customHeight="1" x14ac:dyDescent="0.25"/>
    <row r="82" ht="15.8" customHeight="1" x14ac:dyDescent="0.25"/>
    <row r="83" ht="15.8" customHeight="1" x14ac:dyDescent="0.25"/>
    <row r="84" ht="15.8" customHeight="1" x14ac:dyDescent="0.25"/>
    <row r="85" ht="15.8" customHeight="1" x14ac:dyDescent="0.25"/>
    <row r="86" ht="15.8" customHeight="1" x14ac:dyDescent="0.25"/>
    <row r="87" ht="15.8" customHeight="1" x14ac:dyDescent="0.25"/>
    <row r="88" ht="15.8" customHeight="1" x14ac:dyDescent="0.25"/>
    <row r="89" ht="15.8" customHeight="1" x14ac:dyDescent="0.25"/>
    <row r="90" ht="15.8" customHeight="1" x14ac:dyDescent="0.25"/>
    <row r="91" ht="15.8" customHeight="1" x14ac:dyDescent="0.25"/>
    <row r="92" ht="15.8" customHeight="1" x14ac:dyDescent="0.25"/>
    <row r="93" ht="15.8" customHeight="1" x14ac:dyDescent="0.25"/>
    <row r="94" ht="15.8" customHeight="1" x14ac:dyDescent="0.25"/>
    <row r="95" ht="15.8" customHeight="1" x14ac:dyDescent="0.25"/>
    <row r="96" ht="15.8" customHeight="1" x14ac:dyDescent="0.25"/>
    <row r="97" ht="15.8" customHeight="1" x14ac:dyDescent="0.25"/>
    <row r="98" ht="15.8" customHeight="1" x14ac:dyDescent="0.25"/>
    <row r="99" ht="15.8" customHeight="1" x14ac:dyDescent="0.25"/>
    <row r="100" ht="15.8" customHeight="1" x14ac:dyDescent="0.25"/>
    <row r="101" ht="15.8" customHeight="1" x14ac:dyDescent="0.25"/>
    <row r="102" ht="15.8" customHeight="1" x14ac:dyDescent="0.25"/>
    <row r="103" ht="15.8" customHeight="1" x14ac:dyDescent="0.25"/>
    <row r="104" ht="15.8" customHeight="1" x14ac:dyDescent="0.25"/>
    <row r="105" ht="15.8" customHeight="1" x14ac:dyDescent="0.25"/>
    <row r="106" ht="15.8" customHeight="1" x14ac:dyDescent="0.25"/>
    <row r="107" ht="15.8" customHeight="1" x14ac:dyDescent="0.25"/>
    <row r="108" ht="15.8" customHeight="1" x14ac:dyDescent="0.25"/>
    <row r="109" ht="15.8" customHeight="1" x14ac:dyDescent="0.25"/>
    <row r="110" ht="15.8" customHeight="1" x14ac:dyDescent="0.25"/>
    <row r="111" ht="15.8" customHeight="1" x14ac:dyDescent="0.25"/>
    <row r="112" ht="15.8" customHeight="1" x14ac:dyDescent="0.25"/>
    <row r="113" ht="15.8" customHeight="1" x14ac:dyDescent="0.25"/>
    <row r="114" ht="15.8" customHeight="1" x14ac:dyDescent="0.25"/>
    <row r="115" ht="15.8" customHeight="1" x14ac:dyDescent="0.25"/>
    <row r="116" ht="15.8" customHeight="1" x14ac:dyDescent="0.25"/>
    <row r="117" ht="15.8" customHeight="1" x14ac:dyDescent="0.25"/>
    <row r="118" ht="15.8" customHeight="1" x14ac:dyDescent="0.25"/>
    <row r="119" ht="15.8" customHeight="1" x14ac:dyDescent="0.25"/>
    <row r="120" ht="15.8" customHeight="1" x14ac:dyDescent="0.25"/>
    <row r="121" ht="15.8" customHeight="1" x14ac:dyDescent="0.25"/>
    <row r="122" ht="15.8" customHeight="1" x14ac:dyDescent="0.25"/>
    <row r="123" ht="15.8" customHeight="1" x14ac:dyDescent="0.25"/>
    <row r="124" ht="15.8" customHeight="1" x14ac:dyDescent="0.25"/>
    <row r="125" ht="15.8" customHeight="1" x14ac:dyDescent="0.25"/>
    <row r="126" ht="15.8" customHeight="1" x14ac:dyDescent="0.25"/>
    <row r="127" ht="15.8" customHeight="1" x14ac:dyDescent="0.25"/>
    <row r="128" ht="15.8" customHeight="1" x14ac:dyDescent="0.25"/>
    <row r="129" ht="15.8" customHeight="1" x14ac:dyDescent="0.25"/>
    <row r="130" ht="15.8" customHeight="1" x14ac:dyDescent="0.25"/>
    <row r="131" ht="15.8" customHeight="1" x14ac:dyDescent="0.25"/>
    <row r="132" ht="15.8" customHeight="1" x14ac:dyDescent="0.25"/>
    <row r="133" ht="15.8" customHeight="1" x14ac:dyDescent="0.25"/>
    <row r="134" ht="15.8" customHeight="1" x14ac:dyDescent="0.25"/>
    <row r="135" ht="15.8" customHeight="1" x14ac:dyDescent="0.25"/>
    <row r="136" ht="15.8" customHeight="1" x14ac:dyDescent="0.25"/>
    <row r="137" ht="15.8" customHeight="1" x14ac:dyDescent="0.25"/>
    <row r="138" ht="15.8" customHeight="1" x14ac:dyDescent="0.25"/>
    <row r="139" ht="15.8" customHeight="1" x14ac:dyDescent="0.25"/>
    <row r="140" ht="15.8" customHeight="1" x14ac:dyDescent="0.25"/>
    <row r="141" ht="15.8" customHeight="1" x14ac:dyDescent="0.25"/>
    <row r="142" ht="15.8" customHeight="1" x14ac:dyDescent="0.25"/>
    <row r="143" ht="15.8" customHeight="1" x14ac:dyDescent="0.25"/>
    <row r="144" ht="15.8" customHeight="1" x14ac:dyDescent="0.25"/>
    <row r="145" ht="15.8" customHeight="1" x14ac:dyDescent="0.25"/>
    <row r="146" ht="15.8" customHeight="1" x14ac:dyDescent="0.25"/>
    <row r="147" ht="15.8" customHeight="1" x14ac:dyDescent="0.25"/>
    <row r="148" ht="15.8" customHeight="1" x14ac:dyDescent="0.25"/>
    <row r="149" ht="15.8" customHeight="1" x14ac:dyDescent="0.25"/>
    <row r="150" ht="15.8" customHeight="1" x14ac:dyDescent="0.25"/>
    <row r="151" ht="15.8" customHeight="1" x14ac:dyDescent="0.25"/>
    <row r="152" ht="15.8" customHeight="1" x14ac:dyDescent="0.25"/>
    <row r="153" ht="15.8" customHeight="1" x14ac:dyDescent="0.25"/>
    <row r="154" ht="15.8" customHeight="1" x14ac:dyDescent="0.25"/>
    <row r="155" ht="15.8" customHeight="1" x14ac:dyDescent="0.25"/>
    <row r="156" ht="15.8" customHeight="1" x14ac:dyDescent="0.25"/>
    <row r="157" ht="15.8" customHeight="1" x14ac:dyDescent="0.25"/>
    <row r="158" ht="15.8" customHeight="1" x14ac:dyDescent="0.25"/>
    <row r="159" ht="15.8" customHeight="1" x14ac:dyDescent="0.25"/>
    <row r="160" ht="15.8" customHeight="1" x14ac:dyDescent="0.25"/>
    <row r="161" ht="15.8" customHeight="1" x14ac:dyDescent="0.25"/>
    <row r="162" ht="15.8" customHeight="1" x14ac:dyDescent="0.25"/>
    <row r="163" ht="15.8" customHeight="1" x14ac:dyDescent="0.25"/>
    <row r="164" ht="15.8" customHeight="1" x14ac:dyDescent="0.25"/>
    <row r="165" ht="15.8" customHeight="1" x14ac:dyDescent="0.25"/>
    <row r="166" ht="15.8" customHeight="1" x14ac:dyDescent="0.25"/>
    <row r="167" ht="15.8" customHeight="1" x14ac:dyDescent="0.25"/>
    <row r="168" ht="15.8" customHeight="1" x14ac:dyDescent="0.25"/>
    <row r="169" ht="15.8" customHeight="1" x14ac:dyDescent="0.25"/>
    <row r="170" ht="15.8" customHeight="1" x14ac:dyDescent="0.25"/>
    <row r="171" ht="15.8" customHeight="1" x14ac:dyDescent="0.25"/>
    <row r="172" ht="15.8" customHeight="1" x14ac:dyDescent="0.25"/>
    <row r="173" ht="15.8" customHeight="1" x14ac:dyDescent="0.25"/>
    <row r="174" ht="15.8" customHeight="1" x14ac:dyDescent="0.25"/>
    <row r="175" ht="15.8" customHeight="1" x14ac:dyDescent="0.25"/>
    <row r="176" ht="15.8" customHeight="1" x14ac:dyDescent="0.25"/>
    <row r="177" ht="15.8" customHeight="1" x14ac:dyDescent="0.25"/>
    <row r="178" ht="15.8" customHeight="1" x14ac:dyDescent="0.25"/>
    <row r="179" ht="15.8" customHeight="1" x14ac:dyDescent="0.25"/>
    <row r="180" ht="15.8" customHeight="1" x14ac:dyDescent="0.25"/>
    <row r="181" ht="15.8" customHeight="1" x14ac:dyDescent="0.25"/>
    <row r="182" ht="15.8" customHeight="1" x14ac:dyDescent="0.25"/>
    <row r="183" ht="15.8" customHeight="1" x14ac:dyDescent="0.25"/>
    <row r="184" ht="15.8" customHeight="1" x14ac:dyDescent="0.25"/>
    <row r="185" ht="15.8" customHeight="1" x14ac:dyDescent="0.25"/>
    <row r="186" ht="15.8" customHeight="1" x14ac:dyDescent="0.25"/>
    <row r="187" ht="15.8" customHeight="1" x14ac:dyDescent="0.25"/>
    <row r="188" ht="15.8" customHeight="1" x14ac:dyDescent="0.25"/>
    <row r="189" ht="15.8" customHeight="1" x14ac:dyDescent="0.25"/>
    <row r="190" ht="15.8" customHeight="1" x14ac:dyDescent="0.25"/>
    <row r="191" ht="15.8" customHeight="1" x14ac:dyDescent="0.25"/>
    <row r="192" ht="15.8" customHeight="1" x14ac:dyDescent="0.25"/>
    <row r="193" ht="15.8" customHeight="1" x14ac:dyDescent="0.25"/>
    <row r="194" ht="15.8" customHeight="1" x14ac:dyDescent="0.25"/>
    <row r="195" ht="15.8" customHeight="1" x14ac:dyDescent="0.25"/>
    <row r="196" ht="15.8" customHeight="1" x14ac:dyDescent="0.25"/>
    <row r="197" ht="15.8" customHeight="1" x14ac:dyDescent="0.25"/>
    <row r="198" ht="15.8" customHeight="1" x14ac:dyDescent="0.25"/>
    <row r="199" ht="15.8" customHeight="1" x14ac:dyDescent="0.25"/>
    <row r="200" ht="15.8" customHeight="1" x14ac:dyDescent="0.25"/>
    <row r="201" ht="15.8" customHeight="1" x14ac:dyDescent="0.25"/>
    <row r="202" ht="15.8" customHeight="1" x14ac:dyDescent="0.25"/>
    <row r="203" ht="15.8" customHeight="1" x14ac:dyDescent="0.25"/>
    <row r="204" ht="15.8" customHeight="1" x14ac:dyDescent="0.25"/>
    <row r="205" ht="15.8" customHeight="1" x14ac:dyDescent="0.25"/>
    <row r="206" ht="15.8" customHeight="1" x14ac:dyDescent="0.25"/>
    <row r="207" ht="15.8" customHeight="1" x14ac:dyDescent="0.25"/>
    <row r="208" ht="15.8" customHeight="1" x14ac:dyDescent="0.25"/>
    <row r="209" ht="15.8" customHeight="1" x14ac:dyDescent="0.25"/>
    <row r="210" ht="15.8" customHeight="1" x14ac:dyDescent="0.25"/>
    <row r="211" ht="15.8" customHeight="1" x14ac:dyDescent="0.25"/>
    <row r="212" ht="15.8" customHeight="1" x14ac:dyDescent="0.25"/>
    <row r="213" ht="15.8" customHeight="1" x14ac:dyDescent="0.25"/>
    <row r="214" ht="15.8" customHeight="1" x14ac:dyDescent="0.25"/>
    <row r="215" ht="15.8" customHeight="1" x14ac:dyDescent="0.25"/>
    <row r="216" ht="15.8" customHeight="1" x14ac:dyDescent="0.25"/>
    <row r="217" ht="15.8" customHeight="1" x14ac:dyDescent="0.25"/>
    <row r="218" ht="15.8" customHeight="1" x14ac:dyDescent="0.25"/>
    <row r="219" ht="15.8" customHeight="1" x14ac:dyDescent="0.25"/>
    <row r="220" ht="15.8" customHeight="1" x14ac:dyDescent="0.25"/>
    <row r="221" ht="15.8" customHeight="1" x14ac:dyDescent="0.25"/>
    <row r="222" ht="15.8" customHeight="1" x14ac:dyDescent="0.25"/>
    <row r="223" ht="15.8" customHeight="1" x14ac:dyDescent="0.25"/>
    <row r="224" ht="15.8" customHeight="1" x14ac:dyDescent="0.25"/>
    <row r="225" ht="15.8" customHeight="1" x14ac:dyDescent="0.25"/>
    <row r="226" ht="15.8" customHeight="1" x14ac:dyDescent="0.25"/>
    <row r="227" ht="15.8" customHeight="1" x14ac:dyDescent="0.25"/>
    <row r="228" ht="15.8" customHeight="1" x14ac:dyDescent="0.25"/>
    <row r="229" ht="15.8" customHeight="1" x14ac:dyDescent="0.25"/>
    <row r="230" ht="15.8" customHeight="1" x14ac:dyDescent="0.25"/>
    <row r="231" ht="15.8" customHeight="1" x14ac:dyDescent="0.25"/>
    <row r="232" ht="15.8" customHeight="1" x14ac:dyDescent="0.25"/>
    <row r="233" ht="15.8" customHeight="1" x14ac:dyDescent="0.25"/>
    <row r="234" ht="15.8" customHeight="1" x14ac:dyDescent="0.25"/>
    <row r="235" ht="15.8" customHeight="1" x14ac:dyDescent="0.25"/>
    <row r="236" ht="15.8" customHeight="1" x14ac:dyDescent="0.25"/>
    <row r="237" ht="15.8" customHeight="1" x14ac:dyDescent="0.25"/>
    <row r="238" ht="15.8" customHeight="1" x14ac:dyDescent="0.25"/>
    <row r="239" ht="15.8" customHeight="1" x14ac:dyDescent="0.25"/>
    <row r="240" ht="15.8" customHeight="1" x14ac:dyDescent="0.25"/>
    <row r="241" ht="15.8" customHeight="1" x14ac:dyDescent="0.25"/>
    <row r="242" ht="15.8" customHeight="1" x14ac:dyDescent="0.25"/>
    <row r="243" ht="15.8" customHeight="1" x14ac:dyDescent="0.25"/>
    <row r="244" ht="15.8" customHeight="1" x14ac:dyDescent="0.25"/>
    <row r="245" ht="15.8" customHeight="1" x14ac:dyDescent="0.25"/>
    <row r="246" ht="15.8" customHeight="1" x14ac:dyDescent="0.25"/>
    <row r="247" ht="15.8" customHeight="1" x14ac:dyDescent="0.25"/>
    <row r="248" ht="15.8" customHeight="1" x14ac:dyDescent="0.25"/>
    <row r="249" ht="15.8" customHeight="1" x14ac:dyDescent="0.25"/>
    <row r="250" ht="15.8" customHeight="1" x14ac:dyDescent="0.25"/>
    <row r="251" ht="15.8" customHeight="1" x14ac:dyDescent="0.25"/>
    <row r="252" ht="15.8" customHeight="1" x14ac:dyDescent="0.25"/>
    <row r="253" ht="15.8" customHeight="1" x14ac:dyDescent="0.25"/>
    <row r="254" ht="15.8" customHeight="1" x14ac:dyDescent="0.25"/>
    <row r="255" ht="15.8" customHeight="1" x14ac:dyDescent="0.25"/>
    <row r="256" ht="15.8" customHeight="1" x14ac:dyDescent="0.25"/>
    <row r="257" ht="15.8" customHeight="1" x14ac:dyDescent="0.25"/>
    <row r="258" ht="15.8" customHeight="1" x14ac:dyDescent="0.25"/>
    <row r="259" ht="15.8" customHeight="1" x14ac:dyDescent="0.25"/>
    <row r="260" ht="15.8" customHeight="1" x14ac:dyDescent="0.25"/>
    <row r="261" ht="15.8" customHeight="1" x14ac:dyDescent="0.25"/>
    <row r="262" ht="15.8" customHeight="1" x14ac:dyDescent="0.25"/>
    <row r="263" ht="15.8" customHeight="1" x14ac:dyDescent="0.25"/>
    <row r="264" ht="15.8" customHeight="1" x14ac:dyDescent="0.25"/>
    <row r="265" ht="15.8" customHeight="1" x14ac:dyDescent="0.25"/>
    <row r="266" ht="15.8" customHeight="1" x14ac:dyDescent="0.25"/>
    <row r="267" ht="15.8" customHeight="1" x14ac:dyDescent="0.25"/>
    <row r="268" ht="15.8" customHeight="1" x14ac:dyDescent="0.25"/>
    <row r="269" ht="15.8" customHeight="1" x14ac:dyDescent="0.25"/>
    <row r="270" ht="15.8" customHeight="1" x14ac:dyDescent="0.25"/>
    <row r="271" ht="15.8" customHeight="1" x14ac:dyDescent="0.25"/>
    <row r="272" ht="15.8" customHeight="1" x14ac:dyDescent="0.25"/>
    <row r="273" ht="15.8" customHeight="1" x14ac:dyDescent="0.25"/>
    <row r="274" ht="15.8" customHeight="1" x14ac:dyDescent="0.25"/>
    <row r="275" ht="15.8" customHeight="1" x14ac:dyDescent="0.25"/>
    <row r="276" ht="15.8" customHeight="1" x14ac:dyDescent="0.25"/>
    <row r="277" ht="15.8" customHeight="1" x14ac:dyDescent="0.25"/>
    <row r="278" ht="15.8" customHeight="1" x14ac:dyDescent="0.25"/>
    <row r="279" ht="15.8" customHeight="1" x14ac:dyDescent="0.25"/>
    <row r="280" ht="15.8" customHeight="1" x14ac:dyDescent="0.25"/>
    <row r="281" ht="15.8" customHeight="1" x14ac:dyDescent="0.25"/>
    <row r="282" ht="15.8" customHeight="1" x14ac:dyDescent="0.25"/>
    <row r="283" ht="15.8" customHeight="1" x14ac:dyDescent="0.25"/>
    <row r="284" ht="15.8" customHeight="1" x14ac:dyDescent="0.25"/>
    <row r="285" ht="15.8" customHeight="1" x14ac:dyDescent="0.25"/>
    <row r="286" ht="15.8" customHeight="1" x14ac:dyDescent="0.25"/>
    <row r="287" ht="15.8" customHeight="1" x14ac:dyDescent="0.25"/>
    <row r="288" ht="15.8" customHeight="1" x14ac:dyDescent="0.25"/>
    <row r="289" ht="15.8" customHeight="1" x14ac:dyDescent="0.25"/>
    <row r="290" ht="15.8" customHeight="1" x14ac:dyDescent="0.25"/>
    <row r="291" ht="15.8" customHeight="1" x14ac:dyDescent="0.25"/>
    <row r="292" ht="15.8" customHeight="1" x14ac:dyDescent="0.25"/>
    <row r="293" ht="15.8" customHeight="1" x14ac:dyDescent="0.25"/>
    <row r="294" ht="15.8" customHeight="1" x14ac:dyDescent="0.25"/>
    <row r="295" ht="15.8" customHeight="1" x14ac:dyDescent="0.25"/>
    <row r="296" ht="15.8" customHeight="1" x14ac:dyDescent="0.25"/>
    <row r="297" ht="15.8" customHeight="1" x14ac:dyDescent="0.25"/>
    <row r="298" ht="15.8" customHeight="1" x14ac:dyDescent="0.25"/>
    <row r="299" ht="15.8" customHeight="1" x14ac:dyDescent="0.25"/>
    <row r="300" ht="15.8" customHeight="1" x14ac:dyDescent="0.25"/>
    <row r="301" ht="15.8" customHeight="1" x14ac:dyDescent="0.25"/>
    <row r="302" ht="15.8" customHeight="1" x14ac:dyDescent="0.25"/>
    <row r="303" ht="15.8" customHeight="1" x14ac:dyDescent="0.25"/>
    <row r="304" ht="15.8" customHeight="1" x14ac:dyDescent="0.25"/>
    <row r="305" ht="15.8" customHeight="1" x14ac:dyDescent="0.25"/>
    <row r="306" ht="15.8" customHeight="1" x14ac:dyDescent="0.25"/>
    <row r="307" ht="15.8" customHeight="1" x14ac:dyDescent="0.25"/>
    <row r="308" ht="15.8" customHeight="1" x14ac:dyDescent="0.25"/>
    <row r="309" ht="15.8" customHeight="1" x14ac:dyDescent="0.25"/>
    <row r="310" ht="15.8" customHeight="1" x14ac:dyDescent="0.25"/>
    <row r="311" ht="15.8" customHeight="1" x14ac:dyDescent="0.25"/>
    <row r="312" ht="15.8" customHeight="1" x14ac:dyDescent="0.25"/>
    <row r="313" ht="15.8" customHeight="1" x14ac:dyDescent="0.25"/>
    <row r="314" ht="15.8" customHeight="1" x14ac:dyDescent="0.25"/>
    <row r="315" ht="15.8" customHeight="1" x14ac:dyDescent="0.25"/>
    <row r="316" ht="15.8" customHeight="1" x14ac:dyDescent="0.25"/>
    <row r="317" ht="15.8" customHeight="1" x14ac:dyDescent="0.25"/>
    <row r="318" ht="15.8" customHeight="1" x14ac:dyDescent="0.25"/>
    <row r="319" ht="15.8" customHeight="1" x14ac:dyDescent="0.25"/>
    <row r="320" ht="15.8" customHeight="1" x14ac:dyDescent="0.25"/>
    <row r="321" ht="15.8" customHeight="1" x14ac:dyDescent="0.25"/>
    <row r="322" ht="15.8" customHeight="1" x14ac:dyDescent="0.25"/>
    <row r="323" ht="15.8" customHeight="1" x14ac:dyDescent="0.25"/>
    <row r="324" ht="15.8" customHeight="1" x14ac:dyDescent="0.25"/>
    <row r="325" ht="15.8" customHeight="1" x14ac:dyDescent="0.25"/>
    <row r="326" ht="15.8" customHeight="1" x14ac:dyDescent="0.25"/>
    <row r="327" ht="15.8" customHeight="1" x14ac:dyDescent="0.25"/>
    <row r="328" ht="15.8" customHeight="1" x14ac:dyDescent="0.25"/>
    <row r="329" ht="15.8" customHeight="1" x14ac:dyDescent="0.25"/>
    <row r="330" ht="15.8" customHeight="1" x14ac:dyDescent="0.25"/>
    <row r="331" ht="15.8" customHeight="1" x14ac:dyDescent="0.25"/>
    <row r="332" ht="15.8" customHeight="1" x14ac:dyDescent="0.25"/>
    <row r="333" ht="15.8" customHeight="1" x14ac:dyDescent="0.25"/>
    <row r="334" ht="15.8" customHeight="1" x14ac:dyDescent="0.25"/>
    <row r="335" ht="15.8" customHeight="1" x14ac:dyDescent="0.25"/>
    <row r="336" ht="15.8" customHeight="1" x14ac:dyDescent="0.25"/>
    <row r="337" ht="15.8" customHeight="1" x14ac:dyDescent="0.25"/>
    <row r="338" ht="15.8" customHeight="1" x14ac:dyDescent="0.25"/>
    <row r="339" ht="15.8" customHeight="1" x14ac:dyDescent="0.25"/>
    <row r="340" ht="15.8" customHeight="1" x14ac:dyDescent="0.25"/>
    <row r="341" ht="15.8" customHeight="1" x14ac:dyDescent="0.25"/>
    <row r="342" ht="15.8" customHeight="1" x14ac:dyDescent="0.25"/>
    <row r="343" ht="15.8" customHeight="1" x14ac:dyDescent="0.25"/>
    <row r="344" ht="15.8" customHeight="1" x14ac:dyDescent="0.25"/>
    <row r="345" ht="15.8" customHeight="1" x14ac:dyDescent="0.25"/>
    <row r="346" ht="15.8" customHeight="1" x14ac:dyDescent="0.25"/>
    <row r="347" ht="15.8" customHeight="1" x14ac:dyDescent="0.25"/>
    <row r="348" ht="15.8" customHeight="1" x14ac:dyDescent="0.25"/>
    <row r="349" ht="15.8" customHeight="1" x14ac:dyDescent="0.25"/>
    <row r="350" ht="15.8" customHeight="1" x14ac:dyDescent="0.25"/>
    <row r="351" ht="15.8" customHeight="1" x14ac:dyDescent="0.25"/>
    <row r="352" ht="15.8" customHeight="1" x14ac:dyDescent="0.25"/>
    <row r="353" ht="15.8" customHeight="1" x14ac:dyDescent="0.25"/>
    <row r="354" ht="15.8" customHeight="1" x14ac:dyDescent="0.25"/>
    <row r="355" ht="15.8" customHeight="1" x14ac:dyDescent="0.25"/>
    <row r="356" ht="15.8" customHeight="1" x14ac:dyDescent="0.25"/>
    <row r="357" ht="15.8" customHeight="1" x14ac:dyDescent="0.25"/>
    <row r="358" ht="15.8" customHeight="1" x14ac:dyDescent="0.25"/>
    <row r="359" ht="15.8" customHeight="1" x14ac:dyDescent="0.25"/>
    <row r="360" ht="15.8" customHeight="1" x14ac:dyDescent="0.25"/>
    <row r="361" ht="15.8" customHeight="1" x14ac:dyDescent="0.25"/>
    <row r="362" ht="15.8" customHeight="1" x14ac:dyDescent="0.25"/>
    <row r="363" ht="15.8" customHeight="1" x14ac:dyDescent="0.25"/>
    <row r="364" ht="15.8" customHeight="1" x14ac:dyDescent="0.25"/>
    <row r="365" ht="15.8" customHeight="1" x14ac:dyDescent="0.25"/>
    <row r="366" ht="15.8" customHeight="1" x14ac:dyDescent="0.25"/>
    <row r="367" ht="15.8" customHeight="1" x14ac:dyDescent="0.25"/>
    <row r="368" ht="15.8" customHeight="1" x14ac:dyDescent="0.25"/>
    <row r="369" ht="15.8" customHeight="1" x14ac:dyDescent="0.25"/>
    <row r="370" ht="15.8" customHeight="1" x14ac:dyDescent="0.25"/>
    <row r="371" ht="15.8" customHeight="1" x14ac:dyDescent="0.25"/>
    <row r="372" ht="15.8" customHeight="1" x14ac:dyDescent="0.25"/>
    <row r="373" ht="15.8" customHeight="1" x14ac:dyDescent="0.25"/>
    <row r="374" ht="15.8" customHeight="1" x14ac:dyDescent="0.25"/>
    <row r="375" ht="15.8" customHeight="1" x14ac:dyDescent="0.25"/>
    <row r="376" ht="15.8" customHeight="1" x14ac:dyDescent="0.25"/>
    <row r="377" ht="15.8" customHeight="1" x14ac:dyDescent="0.25"/>
    <row r="378" ht="15.8" customHeight="1" x14ac:dyDescent="0.25"/>
    <row r="379" ht="15.8" customHeight="1" x14ac:dyDescent="0.25"/>
    <row r="380" ht="15.8" customHeight="1" x14ac:dyDescent="0.25"/>
    <row r="381" ht="15.8" customHeight="1" x14ac:dyDescent="0.25"/>
    <row r="382" ht="15.8" customHeight="1" x14ac:dyDescent="0.25"/>
    <row r="383" ht="15.8" customHeight="1" x14ac:dyDescent="0.25"/>
    <row r="384" ht="15.8" customHeight="1" x14ac:dyDescent="0.25"/>
    <row r="385" ht="15.8" customHeight="1" x14ac:dyDescent="0.25"/>
    <row r="386" ht="15.8" customHeight="1" x14ac:dyDescent="0.25"/>
    <row r="387" ht="15.8" customHeight="1" x14ac:dyDescent="0.25"/>
    <row r="388" ht="15.8" customHeight="1" x14ac:dyDescent="0.25"/>
    <row r="389" ht="15.8" customHeight="1" x14ac:dyDescent="0.25"/>
    <row r="390" ht="15.8" customHeight="1" x14ac:dyDescent="0.25"/>
    <row r="391" ht="15.8" customHeight="1" x14ac:dyDescent="0.25"/>
    <row r="392" ht="15.8" customHeight="1" x14ac:dyDescent="0.25"/>
    <row r="393" ht="15.8" customHeight="1" x14ac:dyDescent="0.25"/>
    <row r="394" ht="15.8" customHeight="1" x14ac:dyDescent="0.25"/>
    <row r="395" ht="15.8" customHeight="1" x14ac:dyDescent="0.25"/>
    <row r="396" ht="15.8" customHeight="1" x14ac:dyDescent="0.25"/>
    <row r="397" ht="15.8" customHeight="1" x14ac:dyDescent="0.25"/>
    <row r="398" ht="15.8" customHeight="1" x14ac:dyDescent="0.25"/>
    <row r="399" ht="15.8" customHeight="1" x14ac:dyDescent="0.25"/>
    <row r="400" ht="15.8" customHeight="1" x14ac:dyDescent="0.25"/>
    <row r="401" ht="15.8" customHeight="1" x14ac:dyDescent="0.25"/>
    <row r="402" ht="15.8" customHeight="1" x14ac:dyDescent="0.25"/>
    <row r="403" ht="15.8" customHeight="1" x14ac:dyDescent="0.25"/>
    <row r="404" ht="15.8" customHeight="1" x14ac:dyDescent="0.25"/>
    <row r="405" ht="15.8" customHeight="1" x14ac:dyDescent="0.25"/>
    <row r="406" ht="15.8" customHeight="1" x14ac:dyDescent="0.25"/>
    <row r="407" ht="15.8" customHeight="1" x14ac:dyDescent="0.25"/>
    <row r="408" ht="15.8" customHeight="1" x14ac:dyDescent="0.25"/>
    <row r="409" ht="15.8" customHeight="1" x14ac:dyDescent="0.25"/>
    <row r="410" ht="15.8" customHeight="1" x14ac:dyDescent="0.25"/>
    <row r="411" ht="15.8" customHeight="1" x14ac:dyDescent="0.25"/>
    <row r="412" ht="15.8" customHeight="1" x14ac:dyDescent="0.25"/>
    <row r="413" ht="15.8" customHeight="1" x14ac:dyDescent="0.25"/>
    <row r="414" ht="15.8" customHeight="1" x14ac:dyDescent="0.25"/>
    <row r="415" ht="15.8" customHeight="1" x14ac:dyDescent="0.25"/>
    <row r="416" ht="15.8" customHeight="1" x14ac:dyDescent="0.25"/>
    <row r="417" ht="15.8" customHeight="1" x14ac:dyDescent="0.25"/>
    <row r="418" ht="15.8" customHeight="1" x14ac:dyDescent="0.25"/>
    <row r="419" ht="15.8" customHeight="1" x14ac:dyDescent="0.25"/>
    <row r="420" ht="15.8" customHeight="1" x14ac:dyDescent="0.25"/>
    <row r="421" ht="15.8" customHeight="1" x14ac:dyDescent="0.25"/>
    <row r="422" ht="15.8" customHeight="1" x14ac:dyDescent="0.25"/>
    <row r="423" ht="15.8" customHeight="1" x14ac:dyDescent="0.25"/>
    <row r="424" ht="15.8" customHeight="1" x14ac:dyDescent="0.25"/>
    <row r="425" ht="15.8" customHeight="1" x14ac:dyDescent="0.25"/>
    <row r="426" ht="15.8" customHeight="1" x14ac:dyDescent="0.25"/>
    <row r="427" ht="15.8" customHeight="1" x14ac:dyDescent="0.25"/>
    <row r="428" ht="15.8" customHeight="1" x14ac:dyDescent="0.25"/>
    <row r="429" ht="15.8" customHeight="1" x14ac:dyDescent="0.25"/>
    <row r="430" ht="15.8" customHeight="1" x14ac:dyDescent="0.25"/>
    <row r="431" ht="15.8" customHeight="1" x14ac:dyDescent="0.25"/>
    <row r="432" ht="15.8" customHeight="1" x14ac:dyDescent="0.25"/>
    <row r="433" ht="15.8" customHeight="1" x14ac:dyDescent="0.25"/>
    <row r="434" ht="15.8" customHeight="1" x14ac:dyDescent="0.25"/>
    <row r="435" ht="15.8" customHeight="1" x14ac:dyDescent="0.25"/>
    <row r="436" ht="15.8" customHeight="1" x14ac:dyDescent="0.25"/>
    <row r="437" ht="15.8" customHeight="1" x14ac:dyDescent="0.25"/>
    <row r="438" ht="15.8" customHeight="1" x14ac:dyDescent="0.25"/>
    <row r="439" ht="15.8" customHeight="1" x14ac:dyDescent="0.25"/>
    <row r="440" ht="15.8" customHeight="1" x14ac:dyDescent="0.25"/>
    <row r="441" ht="15.8" customHeight="1" x14ac:dyDescent="0.25"/>
    <row r="442" ht="15.8" customHeight="1" x14ac:dyDescent="0.25"/>
    <row r="443" ht="15.8" customHeight="1" x14ac:dyDescent="0.25"/>
    <row r="444" ht="15.8" customHeight="1" x14ac:dyDescent="0.25"/>
    <row r="445" ht="15.8" customHeight="1" x14ac:dyDescent="0.25"/>
    <row r="446" ht="15.8" customHeight="1" x14ac:dyDescent="0.25"/>
    <row r="447" ht="15.8" customHeight="1" x14ac:dyDescent="0.25"/>
    <row r="448" ht="15.8" customHeight="1" x14ac:dyDescent="0.25"/>
    <row r="449" ht="15.8" customHeight="1" x14ac:dyDescent="0.25"/>
    <row r="450" ht="15.8" customHeight="1" x14ac:dyDescent="0.25"/>
    <row r="451" ht="15.8" customHeight="1" x14ac:dyDescent="0.25"/>
    <row r="452" ht="15.8" customHeight="1" x14ac:dyDescent="0.25"/>
    <row r="453" ht="15.8" customHeight="1" x14ac:dyDescent="0.25"/>
    <row r="454" ht="15.8" customHeight="1" x14ac:dyDescent="0.25"/>
    <row r="455" ht="15.8" customHeight="1" x14ac:dyDescent="0.25"/>
    <row r="456" ht="15.8" customHeight="1" x14ac:dyDescent="0.25"/>
    <row r="457" ht="15.8" customHeight="1" x14ac:dyDescent="0.25"/>
    <row r="458" ht="15.8" customHeight="1" x14ac:dyDescent="0.25"/>
    <row r="459" ht="15.8" customHeight="1" x14ac:dyDescent="0.25"/>
    <row r="460" ht="15.8" customHeight="1" x14ac:dyDescent="0.25"/>
    <row r="461" ht="15.8" customHeight="1" x14ac:dyDescent="0.25"/>
    <row r="462" ht="15.8" customHeight="1" x14ac:dyDescent="0.25"/>
    <row r="463" ht="15.8" customHeight="1" x14ac:dyDescent="0.25"/>
    <row r="464" ht="15.8" customHeight="1" x14ac:dyDescent="0.25"/>
    <row r="465" ht="15.8" customHeight="1" x14ac:dyDescent="0.25"/>
    <row r="466" ht="15.8" customHeight="1" x14ac:dyDescent="0.25"/>
    <row r="467" ht="15.8" customHeight="1" x14ac:dyDescent="0.25"/>
    <row r="468" ht="15.8" customHeight="1" x14ac:dyDescent="0.25"/>
    <row r="469" ht="15.8" customHeight="1" x14ac:dyDescent="0.25"/>
    <row r="470" ht="15.8" customHeight="1" x14ac:dyDescent="0.25"/>
    <row r="471" ht="15.8" customHeight="1" x14ac:dyDescent="0.25"/>
    <row r="472" ht="15.8" customHeight="1" x14ac:dyDescent="0.25"/>
    <row r="473" ht="15.8" customHeight="1" x14ac:dyDescent="0.25"/>
    <row r="474" ht="15.8" customHeight="1" x14ac:dyDescent="0.25"/>
    <row r="475" ht="15.8" customHeight="1" x14ac:dyDescent="0.25"/>
    <row r="476" ht="15.8" customHeight="1" x14ac:dyDescent="0.25"/>
    <row r="477" ht="15.8" customHeight="1" x14ac:dyDescent="0.25"/>
    <row r="478" ht="15.8" customHeight="1" x14ac:dyDescent="0.25"/>
    <row r="479" ht="15.8" customHeight="1" x14ac:dyDescent="0.25"/>
    <row r="480" ht="15.8" customHeight="1" x14ac:dyDescent="0.25"/>
    <row r="481" ht="15.8" customHeight="1" x14ac:dyDescent="0.25"/>
    <row r="482" ht="15.8" customHeight="1" x14ac:dyDescent="0.25"/>
    <row r="483" ht="15.8" customHeight="1" x14ac:dyDescent="0.25"/>
    <row r="484" ht="15.8" customHeight="1" x14ac:dyDescent="0.25"/>
    <row r="485" ht="15.8" customHeight="1" x14ac:dyDescent="0.25"/>
    <row r="486" ht="15.8" customHeight="1" x14ac:dyDescent="0.25"/>
    <row r="487" ht="15.8" customHeight="1" x14ac:dyDescent="0.25"/>
    <row r="488" ht="15.8" customHeight="1" x14ac:dyDescent="0.25"/>
    <row r="489" ht="15.8" customHeight="1" x14ac:dyDescent="0.25"/>
    <row r="490" ht="15.8" customHeight="1" x14ac:dyDescent="0.25"/>
    <row r="491" ht="15.8" customHeight="1" x14ac:dyDescent="0.25"/>
    <row r="492" ht="15.8" customHeight="1" x14ac:dyDescent="0.25"/>
    <row r="493" ht="15.8" customHeight="1" x14ac:dyDescent="0.25"/>
    <row r="494" ht="15.8" customHeight="1" x14ac:dyDescent="0.25"/>
    <row r="495" ht="15.8" customHeight="1" x14ac:dyDescent="0.25"/>
    <row r="496" ht="15.8" customHeight="1" x14ac:dyDescent="0.25"/>
    <row r="497" ht="15.8" customHeight="1" x14ac:dyDescent="0.25"/>
    <row r="498" ht="15.8" customHeight="1" x14ac:dyDescent="0.25"/>
    <row r="499" ht="15.8" customHeight="1" x14ac:dyDescent="0.25"/>
    <row r="500" ht="15.8" customHeight="1" x14ac:dyDescent="0.25"/>
    <row r="501" ht="15.8" customHeight="1" x14ac:dyDescent="0.25"/>
    <row r="502" ht="15.8" customHeight="1" x14ac:dyDescent="0.25"/>
    <row r="503" ht="15.8" customHeight="1" x14ac:dyDescent="0.25"/>
    <row r="504" ht="15.8" customHeight="1" x14ac:dyDescent="0.25"/>
    <row r="505" ht="15.8" customHeight="1" x14ac:dyDescent="0.25"/>
    <row r="506" ht="15.8" customHeight="1" x14ac:dyDescent="0.25"/>
    <row r="507" ht="15.8" customHeight="1" x14ac:dyDescent="0.25"/>
    <row r="508" ht="15.8" customHeight="1" x14ac:dyDescent="0.25"/>
    <row r="509" ht="15.8" customHeight="1" x14ac:dyDescent="0.25"/>
    <row r="510" ht="15.8" customHeight="1" x14ac:dyDescent="0.25"/>
    <row r="511" ht="15.8" customHeight="1" x14ac:dyDescent="0.25"/>
    <row r="512" ht="15.8" customHeight="1" x14ac:dyDescent="0.25"/>
    <row r="513" ht="15.8" customHeight="1" x14ac:dyDescent="0.25"/>
    <row r="514" ht="15.8" customHeight="1" x14ac:dyDescent="0.25"/>
    <row r="515" ht="15.8" customHeight="1" x14ac:dyDescent="0.25"/>
    <row r="516" ht="15.8" customHeight="1" x14ac:dyDescent="0.25"/>
    <row r="517" ht="15.8" customHeight="1" x14ac:dyDescent="0.25"/>
    <row r="518" ht="15.8" customHeight="1" x14ac:dyDescent="0.25"/>
    <row r="519" ht="15.8" customHeight="1" x14ac:dyDescent="0.25"/>
    <row r="520" ht="15.8" customHeight="1" x14ac:dyDescent="0.25"/>
    <row r="521" ht="15.8" customHeight="1" x14ac:dyDescent="0.25"/>
    <row r="522" ht="15.8" customHeight="1" x14ac:dyDescent="0.25"/>
    <row r="523" ht="15.8" customHeight="1" x14ac:dyDescent="0.25"/>
    <row r="524" ht="15.8" customHeight="1" x14ac:dyDescent="0.25"/>
    <row r="525" ht="15.8" customHeight="1" x14ac:dyDescent="0.25"/>
    <row r="526" ht="15.8" customHeight="1" x14ac:dyDescent="0.25"/>
    <row r="527" ht="15.8" customHeight="1" x14ac:dyDescent="0.25"/>
    <row r="528" ht="15.8" customHeight="1" x14ac:dyDescent="0.25"/>
    <row r="529" ht="15.8" customHeight="1" x14ac:dyDescent="0.25"/>
    <row r="530" ht="15.8" customHeight="1" x14ac:dyDescent="0.25"/>
    <row r="531" ht="15.8" customHeight="1" x14ac:dyDescent="0.25"/>
    <row r="532" ht="15.8" customHeight="1" x14ac:dyDescent="0.25"/>
    <row r="533" ht="15.8" customHeight="1" x14ac:dyDescent="0.25"/>
    <row r="534" ht="15.8" customHeight="1" x14ac:dyDescent="0.25"/>
    <row r="535" ht="15.8" customHeight="1" x14ac:dyDescent="0.25"/>
    <row r="536" ht="15.8" customHeight="1" x14ac:dyDescent="0.25"/>
    <row r="537" ht="15.8" customHeight="1" x14ac:dyDescent="0.25"/>
    <row r="538" ht="15.8" customHeight="1" x14ac:dyDescent="0.25"/>
    <row r="539" ht="15.8" customHeight="1" x14ac:dyDescent="0.25"/>
    <row r="540" ht="15.8" customHeight="1" x14ac:dyDescent="0.25"/>
    <row r="541" ht="15.8" customHeight="1" x14ac:dyDescent="0.25"/>
    <row r="542" ht="15.8" customHeight="1" x14ac:dyDescent="0.25"/>
    <row r="543" ht="15.8" customHeight="1" x14ac:dyDescent="0.25"/>
    <row r="544" ht="15.8" customHeight="1" x14ac:dyDescent="0.25"/>
    <row r="545" ht="15.8" customHeight="1" x14ac:dyDescent="0.25"/>
    <row r="546" ht="15.8" customHeight="1" x14ac:dyDescent="0.25"/>
    <row r="547" ht="15.8" customHeight="1" x14ac:dyDescent="0.25"/>
    <row r="548" ht="15.8" customHeight="1" x14ac:dyDescent="0.25"/>
    <row r="549" ht="15.8" customHeight="1" x14ac:dyDescent="0.25"/>
    <row r="550" ht="15.8" customHeight="1" x14ac:dyDescent="0.25"/>
    <row r="551" ht="15.8" customHeight="1" x14ac:dyDescent="0.25"/>
    <row r="552" ht="15.8" customHeight="1" x14ac:dyDescent="0.25"/>
    <row r="553" ht="15.8" customHeight="1" x14ac:dyDescent="0.25"/>
    <row r="554" ht="15.8" customHeight="1" x14ac:dyDescent="0.25"/>
    <row r="555" ht="15.8" customHeight="1" x14ac:dyDescent="0.25"/>
    <row r="556" ht="15.8" customHeight="1" x14ac:dyDescent="0.25"/>
    <row r="557" ht="15.8" customHeight="1" x14ac:dyDescent="0.25"/>
    <row r="558" ht="15.8" customHeight="1" x14ac:dyDescent="0.25"/>
    <row r="559" ht="15.8" customHeight="1" x14ac:dyDescent="0.25"/>
    <row r="560" ht="15.8" customHeight="1" x14ac:dyDescent="0.25"/>
    <row r="561" ht="15.8" customHeight="1" x14ac:dyDescent="0.25"/>
    <row r="562" ht="15.8" customHeight="1" x14ac:dyDescent="0.25"/>
    <row r="563" ht="15.8" customHeight="1" x14ac:dyDescent="0.25"/>
    <row r="564" ht="15.8" customHeight="1" x14ac:dyDescent="0.25"/>
    <row r="565" ht="15.8" customHeight="1" x14ac:dyDescent="0.25"/>
    <row r="566" ht="15.8" customHeight="1" x14ac:dyDescent="0.25"/>
    <row r="567" ht="15.8" customHeight="1" x14ac:dyDescent="0.25"/>
    <row r="568" ht="15.8" customHeight="1" x14ac:dyDescent="0.25"/>
    <row r="569" ht="15.8" customHeight="1" x14ac:dyDescent="0.25"/>
    <row r="570" ht="15.8" customHeight="1" x14ac:dyDescent="0.25"/>
    <row r="571" ht="15.8" customHeight="1" x14ac:dyDescent="0.25"/>
    <row r="572" ht="15.8" customHeight="1" x14ac:dyDescent="0.25"/>
    <row r="573" ht="15.8" customHeight="1" x14ac:dyDescent="0.25"/>
    <row r="574" ht="15.8" customHeight="1" x14ac:dyDescent="0.25"/>
    <row r="575" ht="15.8" customHeight="1" x14ac:dyDescent="0.25"/>
    <row r="576" ht="15.8" customHeight="1" x14ac:dyDescent="0.25"/>
    <row r="577" ht="15.8" customHeight="1" x14ac:dyDescent="0.25"/>
    <row r="578" ht="15.8" customHeight="1" x14ac:dyDescent="0.25"/>
    <row r="579" ht="15.8" customHeight="1" x14ac:dyDescent="0.25"/>
    <row r="580" ht="15.8" customHeight="1" x14ac:dyDescent="0.25"/>
    <row r="581" ht="15.8" customHeight="1" x14ac:dyDescent="0.25"/>
    <row r="582" ht="15.8" customHeight="1" x14ac:dyDescent="0.25"/>
    <row r="583" ht="15.8" customHeight="1" x14ac:dyDescent="0.25"/>
    <row r="584" ht="15.8" customHeight="1" x14ac:dyDescent="0.25"/>
    <row r="585" ht="15.8" customHeight="1" x14ac:dyDescent="0.25"/>
    <row r="586" ht="15.8" customHeight="1" x14ac:dyDescent="0.25"/>
    <row r="587" ht="15.8" customHeight="1" x14ac:dyDescent="0.25"/>
    <row r="588" ht="15.8" customHeight="1" x14ac:dyDescent="0.25"/>
    <row r="589" ht="15.8" customHeight="1" x14ac:dyDescent="0.25"/>
    <row r="590" ht="15.8" customHeight="1" x14ac:dyDescent="0.25"/>
    <row r="591" ht="15.8" customHeight="1" x14ac:dyDescent="0.25"/>
    <row r="592" ht="15.8" customHeight="1" x14ac:dyDescent="0.25"/>
    <row r="593" ht="15.8" customHeight="1" x14ac:dyDescent="0.25"/>
    <row r="594" ht="15.8" customHeight="1" x14ac:dyDescent="0.25"/>
    <row r="595" ht="15.8" customHeight="1" x14ac:dyDescent="0.25"/>
    <row r="596" ht="15.8" customHeight="1" x14ac:dyDescent="0.25"/>
    <row r="597" ht="15.8" customHeight="1" x14ac:dyDescent="0.25"/>
    <row r="598" ht="15.8" customHeight="1" x14ac:dyDescent="0.25"/>
    <row r="599" ht="15.8" customHeight="1" x14ac:dyDescent="0.25"/>
    <row r="600" ht="15.8" customHeight="1" x14ac:dyDescent="0.25"/>
    <row r="601" ht="15.8" customHeight="1" x14ac:dyDescent="0.25"/>
    <row r="602" ht="15.8" customHeight="1" x14ac:dyDescent="0.25"/>
    <row r="603" ht="15.8" customHeight="1" x14ac:dyDescent="0.25"/>
    <row r="604" ht="15.8" customHeight="1" x14ac:dyDescent="0.25"/>
    <row r="605" ht="15.8" customHeight="1" x14ac:dyDescent="0.25"/>
    <row r="606" ht="15.8" customHeight="1" x14ac:dyDescent="0.25"/>
    <row r="607" ht="15.8" customHeight="1" x14ac:dyDescent="0.25"/>
    <row r="608" ht="15.8" customHeight="1" x14ac:dyDescent="0.25"/>
    <row r="609" ht="15.8" customHeight="1" x14ac:dyDescent="0.25"/>
    <row r="610" ht="15.8" customHeight="1" x14ac:dyDescent="0.25"/>
    <row r="611" ht="15.8" customHeight="1" x14ac:dyDescent="0.25"/>
    <row r="612" ht="15.8" customHeight="1" x14ac:dyDescent="0.25"/>
    <row r="613" ht="15.8" customHeight="1" x14ac:dyDescent="0.25"/>
    <row r="614" ht="15.8" customHeight="1" x14ac:dyDescent="0.25"/>
    <row r="615" ht="15.8" customHeight="1" x14ac:dyDescent="0.25"/>
    <row r="616" ht="15.8" customHeight="1" x14ac:dyDescent="0.25"/>
    <row r="617" ht="15.8" customHeight="1" x14ac:dyDescent="0.25"/>
    <row r="618" ht="15.8" customHeight="1" x14ac:dyDescent="0.25"/>
    <row r="619" ht="15.8" customHeight="1" x14ac:dyDescent="0.25"/>
    <row r="620" ht="15.8" customHeight="1" x14ac:dyDescent="0.25"/>
    <row r="621" ht="15.8" customHeight="1" x14ac:dyDescent="0.25"/>
    <row r="622" ht="15.8" customHeight="1" x14ac:dyDescent="0.25"/>
    <row r="623" ht="15.8" customHeight="1" x14ac:dyDescent="0.25"/>
    <row r="624" ht="15.8" customHeight="1" x14ac:dyDescent="0.25"/>
    <row r="625" ht="15.8" customHeight="1" x14ac:dyDescent="0.25"/>
    <row r="626" ht="15.8" customHeight="1" x14ac:dyDescent="0.25"/>
    <row r="627" ht="15.8" customHeight="1" x14ac:dyDescent="0.25"/>
    <row r="628" ht="15.8" customHeight="1" x14ac:dyDescent="0.25"/>
    <row r="629" ht="15.8" customHeight="1" x14ac:dyDescent="0.25"/>
    <row r="630" ht="15.8" customHeight="1" x14ac:dyDescent="0.25"/>
    <row r="631" ht="15.8" customHeight="1" x14ac:dyDescent="0.25"/>
    <row r="632" ht="15.8" customHeight="1" x14ac:dyDescent="0.25"/>
    <row r="633" ht="15.8" customHeight="1" x14ac:dyDescent="0.25"/>
    <row r="634" ht="15.8" customHeight="1" x14ac:dyDescent="0.25"/>
    <row r="635" ht="15.8" customHeight="1" x14ac:dyDescent="0.25"/>
    <row r="636" ht="15.8" customHeight="1" x14ac:dyDescent="0.25"/>
    <row r="637" ht="15.8" customHeight="1" x14ac:dyDescent="0.25"/>
    <row r="638" ht="15.8" customHeight="1" x14ac:dyDescent="0.25"/>
    <row r="639" ht="15.8" customHeight="1" x14ac:dyDescent="0.25"/>
    <row r="640" ht="15.8" customHeight="1" x14ac:dyDescent="0.25"/>
    <row r="641" ht="15.8" customHeight="1" x14ac:dyDescent="0.25"/>
    <row r="642" ht="15.8" customHeight="1" x14ac:dyDescent="0.25"/>
    <row r="643" ht="15.8" customHeight="1" x14ac:dyDescent="0.25"/>
    <row r="644" ht="15.8" customHeight="1" x14ac:dyDescent="0.25"/>
    <row r="645" ht="15.8" customHeight="1" x14ac:dyDescent="0.25"/>
    <row r="646" ht="15.8" customHeight="1" x14ac:dyDescent="0.25"/>
    <row r="647" ht="15.8" customHeight="1" x14ac:dyDescent="0.25"/>
    <row r="648" ht="15.8" customHeight="1" x14ac:dyDescent="0.25"/>
    <row r="649" ht="15.8" customHeight="1" x14ac:dyDescent="0.25"/>
    <row r="650" ht="15.8" customHeight="1" x14ac:dyDescent="0.25"/>
    <row r="651" ht="15.8" customHeight="1" x14ac:dyDescent="0.25"/>
    <row r="652" ht="15.8" customHeight="1" x14ac:dyDescent="0.25"/>
    <row r="653" ht="15.8" customHeight="1" x14ac:dyDescent="0.25"/>
    <row r="654" ht="15.8" customHeight="1" x14ac:dyDescent="0.25"/>
    <row r="655" ht="15.8" customHeight="1" x14ac:dyDescent="0.25"/>
    <row r="656" ht="15.8" customHeight="1" x14ac:dyDescent="0.25"/>
    <row r="657" ht="15.8" customHeight="1" x14ac:dyDescent="0.25"/>
    <row r="658" ht="15.8" customHeight="1" x14ac:dyDescent="0.25"/>
    <row r="659" ht="15.8" customHeight="1" x14ac:dyDescent="0.25"/>
    <row r="660" ht="15.8" customHeight="1" x14ac:dyDescent="0.25"/>
    <row r="661" ht="15.8" customHeight="1" x14ac:dyDescent="0.25"/>
    <row r="662" ht="15.8" customHeight="1" x14ac:dyDescent="0.25"/>
    <row r="663" ht="15.8" customHeight="1" x14ac:dyDescent="0.25"/>
    <row r="664" ht="15.8" customHeight="1" x14ac:dyDescent="0.25"/>
    <row r="665" ht="15.8" customHeight="1" x14ac:dyDescent="0.25"/>
    <row r="666" ht="15.8" customHeight="1" x14ac:dyDescent="0.25"/>
    <row r="667" ht="15.8" customHeight="1" x14ac:dyDescent="0.25"/>
    <row r="668" ht="15.8" customHeight="1" x14ac:dyDescent="0.25"/>
    <row r="669" ht="15.8" customHeight="1" x14ac:dyDescent="0.25"/>
    <row r="670" ht="15.8" customHeight="1" x14ac:dyDescent="0.25"/>
    <row r="671" ht="15.8" customHeight="1" x14ac:dyDescent="0.25"/>
    <row r="672" ht="15.8" customHeight="1" x14ac:dyDescent="0.25"/>
    <row r="673" ht="15.8" customHeight="1" x14ac:dyDescent="0.25"/>
    <row r="674" ht="15.8" customHeight="1" x14ac:dyDescent="0.25"/>
    <row r="675" ht="15.8" customHeight="1" x14ac:dyDescent="0.25"/>
    <row r="676" ht="15.8" customHeight="1" x14ac:dyDescent="0.25"/>
    <row r="677" ht="15.8" customHeight="1" x14ac:dyDescent="0.25"/>
    <row r="678" ht="15.8" customHeight="1" x14ac:dyDescent="0.25"/>
    <row r="679" ht="15.8" customHeight="1" x14ac:dyDescent="0.25"/>
    <row r="680" ht="15.8" customHeight="1" x14ac:dyDescent="0.25"/>
    <row r="681" ht="15.8" customHeight="1" x14ac:dyDescent="0.25"/>
    <row r="682" ht="15.8" customHeight="1" x14ac:dyDescent="0.25"/>
    <row r="683" ht="15.8" customHeight="1" x14ac:dyDescent="0.25"/>
    <row r="684" ht="15.8" customHeight="1" x14ac:dyDescent="0.25"/>
    <row r="685" ht="15.8" customHeight="1" x14ac:dyDescent="0.25"/>
    <row r="686" ht="15.8" customHeight="1" x14ac:dyDescent="0.25"/>
    <row r="687" ht="15.8" customHeight="1" x14ac:dyDescent="0.25"/>
    <row r="688" ht="15.8" customHeight="1" x14ac:dyDescent="0.25"/>
    <row r="689" ht="15.8" customHeight="1" x14ac:dyDescent="0.25"/>
    <row r="690" ht="15.8" customHeight="1" x14ac:dyDescent="0.25"/>
    <row r="691" ht="15.8" customHeight="1" x14ac:dyDescent="0.25"/>
    <row r="692" ht="15.8" customHeight="1" x14ac:dyDescent="0.25"/>
    <row r="693" ht="15.8" customHeight="1" x14ac:dyDescent="0.25"/>
    <row r="694" ht="15.8" customHeight="1" x14ac:dyDescent="0.25"/>
    <row r="695" ht="15.8" customHeight="1" x14ac:dyDescent="0.25"/>
    <row r="696" ht="15.8" customHeight="1" x14ac:dyDescent="0.25"/>
    <row r="697" ht="15.8" customHeight="1" x14ac:dyDescent="0.25"/>
    <row r="698" ht="15.8" customHeight="1" x14ac:dyDescent="0.25"/>
    <row r="699" ht="15.8" customHeight="1" x14ac:dyDescent="0.25"/>
    <row r="700" ht="15.8" customHeight="1" x14ac:dyDescent="0.25"/>
    <row r="701" ht="15.8" customHeight="1" x14ac:dyDescent="0.25"/>
    <row r="702" ht="15.8" customHeight="1" x14ac:dyDescent="0.25"/>
    <row r="703" ht="15.8" customHeight="1" x14ac:dyDescent="0.25"/>
    <row r="704" ht="15.8" customHeight="1" x14ac:dyDescent="0.25"/>
    <row r="705" ht="15.8" customHeight="1" x14ac:dyDescent="0.25"/>
    <row r="706" ht="15.8" customHeight="1" x14ac:dyDescent="0.25"/>
    <row r="707" ht="15.8" customHeight="1" x14ac:dyDescent="0.25"/>
    <row r="708" ht="15.8" customHeight="1" x14ac:dyDescent="0.25"/>
    <row r="709" ht="15.8" customHeight="1" x14ac:dyDescent="0.25"/>
    <row r="710" ht="15.8" customHeight="1" x14ac:dyDescent="0.25"/>
    <row r="711" ht="15.8" customHeight="1" x14ac:dyDescent="0.25"/>
    <row r="712" ht="15.8" customHeight="1" x14ac:dyDescent="0.25"/>
    <row r="713" ht="15.8" customHeight="1" x14ac:dyDescent="0.25"/>
    <row r="714" ht="15.8" customHeight="1" x14ac:dyDescent="0.25"/>
    <row r="715" ht="15.8" customHeight="1" x14ac:dyDescent="0.25"/>
    <row r="716" ht="15.8" customHeight="1" x14ac:dyDescent="0.25"/>
    <row r="717" ht="15.8" customHeight="1" x14ac:dyDescent="0.25"/>
    <row r="718" ht="15.8" customHeight="1" x14ac:dyDescent="0.25"/>
    <row r="719" ht="15.8" customHeight="1" x14ac:dyDescent="0.25"/>
    <row r="720" ht="15.8" customHeight="1" x14ac:dyDescent="0.25"/>
    <row r="721" ht="15.8" customHeight="1" x14ac:dyDescent="0.25"/>
    <row r="722" ht="15.8" customHeight="1" x14ac:dyDescent="0.25"/>
    <row r="723" ht="15.8" customHeight="1" x14ac:dyDescent="0.25"/>
    <row r="724" ht="15.8" customHeight="1" x14ac:dyDescent="0.25"/>
    <row r="725" ht="15.8" customHeight="1" x14ac:dyDescent="0.25"/>
    <row r="726" ht="15.8" customHeight="1" x14ac:dyDescent="0.25"/>
    <row r="727" ht="15.8" customHeight="1" x14ac:dyDescent="0.25"/>
    <row r="728" ht="15.8" customHeight="1" x14ac:dyDescent="0.25"/>
    <row r="729" ht="15.8" customHeight="1" x14ac:dyDescent="0.25"/>
    <row r="730" ht="15.8" customHeight="1" x14ac:dyDescent="0.25"/>
    <row r="731" ht="15.8" customHeight="1" x14ac:dyDescent="0.25"/>
    <row r="732" ht="15.8" customHeight="1" x14ac:dyDescent="0.25"/>
    <row r="733" ht="15.8" customHeight="1" x14ac:dyDescent="0.25"/>
    <row r="734" ht="15.8" customHeight="1" x14ac:dyDescent="0.25"/>
    <row r="735" ht="15.8" customHeight="1" x14ac:dyDescent="0.25"/>
    <row r="736" ht="15.8" customHeight="1" x14ac:dyDescent="0.25"/>
    <row r="737" ht="15.8" customHeight="1" x14ac:dyDescent="0.25"/>
    <row r="738" ht="15.8" customHeight="1" x14ac:dyDescent="0.25"/>
    <row r="739" ht="15.8" customHeight="1" x14ac:dyDescent="0.25"/>
    <row r="740" ht="15.8" customHeight="1" x14ac:dyDescent="0.25"/>
    <row r="741" ht="15.8" customHeight="1" x14ac:dyDescent="0.25"/>
    <row r="742" ht="15.8" customHeight="1" x14ac:dyDescent="0.25"/>
    <row r="743" ht="15.8" customHeight="1" x14ac:dyDescent="0.25"/>
    <row r="744" ht="15.8" customHeight="1" x14ac:dyDescent="0.25"/>
    <row r="745" ht="15.8" customHeight="1" x14ac:dyDescent="0.25"/>
    <row r="746" ht="15.8" customHeight="1" x14ac:dyDescent="0.25"/>
    <row r="747" ht="15.8" customHeight="1" x14ac:dyDescent="0.25"/>
    <row r="748" ht="15.8" customHeight="1" x14ac:dyDescent="0.25"/>
    <row r="749" ht="15.8" customHeight="1" x14ac:dyDescent="0.25"/>
    <row r="750" ht="15.8" customHeight="1" x14ac:dyDescent="0.25"/>
    <row r="751" ht="15.8" customHeight="1" x14ac:dyDescent="0.25"/>
    <row r="752" ht="15.8" customHeight="1" x14ac:dyDescent="0.25"/>
    <row r="753" ht="15.8" customHeight="1" x14ac:dyDescent="0.25"/>
    <row r="754" ht="15.8" customHeight="1" x14ac:dyDescent="0.25"/>
    <row r="755" ht="15.8" customHeight="1" x14ac:dyDescent="0.25"/>
    <row r="756" ht="15.8" customHeight="1" x14ac:dyDescent="0.25"/>
    <row r="757" ht="15.8" customHeight="1" x14ac:dyDescent="0.25"/>
    <row r="758" ht="15.8" customHeight="1" x14ac:dyDescent="0.25"/>
    <row r="759" ht="15.8" customHeight="1" x14ac:dyDescent="0.25"/>
    <row r="760" ht="15.8" customHeight="1" x14ac:dyDescent="0.25"/>
    <row r="761" ht="15.8" customHeight="1" x14ac:dyDescent="0.25"/>
    <row r="762" ht="15.8" customHeight="1" x14ac:dyDescent="0.25"/>
    <row r="763" ht="15.8" customHeight="1" x14ac:dyDescent="0.25"/>
    <row r="764" ht="15.8" customHeight="1" x14ac:dyDescent="0.25"/>
    <row r="765" ht="15.8" customHeight="1" x14ac:dyDescent="0.25"/>
    <row r="766" ht="15.8" customHeight="1" x14ac:dyDescent="0.25"/>
    <row r="767" ht="15.8" customHeight="1" x14ac:dyDescent="0.25"/>
    <row r="768" ht="15.8" customHeight="1" x14ac:dyDescent="0.25"/>
    <row r="769" ht="15.8" customHeight="1" x14ac:dyDescent="0.25"/>
    <row r="770" ht="15.8" customHeight="1" x14ac:dyDescent="0.25"/>
    <row r="771" ht="15.8" customHeight="1" x14ac:dyDescent="0.25"/>
    <row r="772" ht="15.8" customHeight="1" x14ac:dyDescent="0.25"/>
    <row r="773" ht="15.8" customHeight="1" x14ac:dyDescent="0.25"/>
    <row r="774" ht="15.8" customHeight="1" x14ac:dyDescent="0.25"/>
    <row r="775" ht="15.8" customHeight="1" x14ac:dyDescent="0.25"/>
    <row r="776" ht="15.8" customHeight="1" x14ac:dyDescent="0.25"/>
    <row r="777" ht="15.8" customHeight="1" x14ac:dyDescent="0.25"/>
    <row r="778" ht="15.8" customHeight="1" x14ac:dyDescent="0.25"/>
    <row r="779" ht="15.8" customHeight="1" x14ac:dyDescent="0.25"/>
    <row r="780" ht="15.8" customHeight="1" x14ac:dyDescent="0.25"/>
    <row r="781" ht="15.8" customHeight="1" x14ac:dyDescent="0.25"/>
    <row r="782" ht="15.8" customHeight="1" x14ac:dyDescent="0.25"/>
    <row r="783" ht="15.8" customHeight="1" x14ac:dyDescent="0.25"/>
    <row r="784" ht="15.8" customHeight="1" x14ac:dyDescent="0.25"/>
    <row r="785" ht="15.8" customHeight="1" x14ac:dyDescent="0.25"/>
    <row r="786" ht="15.8" customHeight="1" x14ac:dyDescent="0.25"/>
    <row r="787" ht="15.8" customHeight="1" x14ac:dyDescent="0.25"/>
    <row r="788" ht="15.8" customHeight="1" x14ac:dyDescent="0.25"/>
    <row r="789" ht="15.8" customHeight="1" x14ac:dyDescent="0.25"/>
    <row r="790" ht="15.8" customHeight="1" x14ac:dyDescent="0.25"/>
    <row r="791" ht="15.8" customHeight="1" x14ac:dyDescent="0.25"/>
    <row r="792" ht="15.8" customHeight="1" x14ac:dyDescent="0.25"/>
    <row r="793" ht="15.8" customHeight="1" x14ac:dyDescent="0.25"/>
    <row r="794" ht="15.8" customHeight="1" x14ac:dyDescent="0.25"/>
    <row r="795" ht="15.8" customHeight="1" x14ac:dyDescent="0.25"/>
    <row r="796" ht="15.8" customHeight="1" x14ac:dyDescent="0.25"/>
    <row r="797" ht="15.8" customHeight="1" x14ac:dyDescent="0.25"/>
    <row r="798" ht="15.8" customHeight="1" x14ac:dyDescent="0.25"/>
    <row r="799" ht="15.8" customHeight="1" x14ac:dyDescent="0.25"/>
    <row r="800" ht="15.8" customHeight="1" x14ac:dyDescent="0.25"/>
    <row r="801" ht="15.8" customHeight="1" x14ac:dyDescent="0.25"/>
    <row r="802" ht="15.8" customHeight="1" x14ac:dyDescent="0.25"/>
    <row r="803" ht="15.8" customHeight="1" x14ac:dyDescent="0.25"/>
    <row r="804" ht="15.8" customHeight="1" x14ac:dyDescent="0.25"/>
    <row r="805" ht="15.8" customHeight="1" x14ac:dyDescent="0.25"/>
    <row r="806" ht="15.8" customHeight="1" x14ac:dyDescent="0.25"/>
    <row r="807" ht="15.8" customHeight="1" x14ac:dyDescent="0.25"/>
    <row r="808" ht="15.8" customHeight="1" x14ac:dyDescent="0.25"/>
    <row r="809" ht="15.8" customHeight="1" x14ac:dyDescent="0.25"/>
    <row r="810" ht="15.8" customHeight="1" x14ac:dyDescent="0.25"/>
    <row r="811" ht="15.8" customHeight="1" x14ac:dyDescent="0.25"/>
    <row r="812" ht="15.8" customHeight="1" x14ac:dyDescent="0.25"/>
    <row r="813" ht="15.8" customHeight="1" x14ac:dyDescent="0.25"/>
    <row r="814" ht="15.8" customHeight="1" x14ac:dyDescent="0.25"/>
    <row r="815" ht="15.8" customHeight="1" x14ac:dyDescent="0.25"/>
    <row r="816" ht="15.8" customHeight="1" x14ac:dyDescent="0.25"/>
    <row r="817" ht="15.8" customHeight="1" x14ac:dyDescent="0.25"/>
    <row r="818" ht="15.8" customHeight="1" x14ac:dyDescent="0.25"/>
    <row r="819" ht="15.8" customHeight="1" x14ac:dyDescent="0.25"/>
    <row r="820" ht="15.8" customHeight="1" x14ac:dyDescent="0.25"/>
    <row r="821" ht="15.8" customHeight="1" x14ac:dyDescent="0.25"/>
    <row r="822" ht="15.8" customHeight="1" x14ac:dyDescent="0.25"/>
    <row r="823" ht="15.8" customHeight="1" x14ac:dyDescent="0.25"/>
    <row r="824" ht="15.8" customHeight="1" x14ac:dyDescent="0.25"/>
    <row r="825" ht="15.8" customHeight="1" x14ac:dyDescent="0.25"/>
    <row r="826" ht="15.8" customHeight="1" x14ac:dyDescent="0.25"/>
    <row r="827" ht="15.8" customHeight="1" x14ac:dyDescent="0.25"/>
    <row r="828" ht="15.8" customHeight="1" x14ac:dyDescent="0.25"/>
    <row r="829" ht="15.8" customHeight="1" x14ac:dyDescent="0.25"/>
    <row r="830" ht="15.8" customHeight="1" x14ac:dyDescent="0.25"/>
    <row r="831" ht="15.8" customHeight="1" x14ac:dyDescent="0.25"/>
    <row r="832" ht="15.8" customHeight="1" x14ac:dyDescent="0.25"/>
    <row r="833" ht="15.8" customHeight="1" x14ac:dyDescent="0.25"/>
    <row r="834" ht="15.8" customHeight="1" x14ac:dyDescent="0.25"/>
    <row r="835" ht="15.8" customHeight="1" x14ac:dyDescent="0.25"/>
    <row r="836" ht="15.8" customHeight="1" x14ac:dyDescent="0.25"/>
    <row r="837" ht="15.8" customHeight="1" x14ac:dyDescent="0.25"/>
    <row r="838" ht="15.8" customHeight="1" x14ac:dyDescent="0.25"/>
    <row r="839" ht="15.8" customHeight="1" x14ac:dyDescent="0.25"/>
    <row r="840" ht="15.8" customHeight="1" x14ac:dyDescent="0.25"/>
    <row r="841" ht="15.8" customHeight="1" x14ac:dyDescent="0.25"/>
    <row r="842" ht="15.8" customHeight="1" x14ac:dyDescent="0.25"/>
    <row r="843" ht="15.8" customHeight="1" x14ac:dyDescent="0.25"/>
    <row r="844" ht="15.8" customHeight="1" x14ac:dyDescent="0.25"/>
    <row r="845" ht="15.8" customHeight="1" x14ac:dyDescent="0.25"/>
    <row r="846" ht="15.8" customHeight="1" x14ac:dyDescent="0.25"/>
    <row r="847" ht="15.8" customHeight="1" x14ac:dyDescent="0.25"/>
    <row r="848" ht="15.8" customHeight="1" x14ac:dyDescent="0.25"/>
    <row r="849" ht="15.8" customHeight="1" x14ac:dyDescent="0.25"/>
    <row r="850" ht="15.8" customHeight="1" x14ac:dyDescent="0.25"/>
    <row r="851" ht="15.8" customHeight="1" x14ac:dyDescent="0.25"/>
    <row r="852" ht="15.8" customHeight="1" x14ac:dyDescent="0.25"/>
    <row r="853" ht="15.8" customHeight="1" x14ac:dyDescent="0.25"/>
    <row r="854" ht="15.8" customHeight="1" x14ac:dyDescent="0.25"/>
    <row r="855" ht="15.8" customHeight="1" x14ac:dyDescent="0.25"/>
    <row r="856" ht="15.8" customHeight="1" x14ac:dyDescent="0.25"/>
    <row r="857" ht="15.8" customHeight="1" x14ac:dyDescent="0.25"/>
    <row r="858" ht="15.8" customHeight="1" x14ac:dyDescent="0.25"/>
    <row r="859" ht="15.8" customHeight="1" x14ac:dyDescent="0.25"/>
    <row r="860" ht="15.8" customHeight="1" x14ac:dyDescent="0.25"/>
    <row r="861" ht="15.8" customHeight="1" x14ac:dyDescent="0.25"/>
    <row r="862" ht="15.8" customHeight="1" x14ac:dyDescent="0.25"/>
    <row r="863" ht="15.8" customHeight="1" x14ac:dyDescent="0.25"/>
    <row r="864" ht="15.8" customHeight="1" x14ac:dyDescent="0.25"/>
    <row r="865" ht="15.8" customHeight="1" x14ac:dyDescent="0.25"/>
    <row r="866" ht="15.8" customHeight="1" x14ac:dyDescent="0.25"/>
    <row r="867" ht="15.8" customHeight="1" x14ac:dyDescent="0.25"/>
    <row r="868" ht="15.8" customHeight="1" x14ac:dyDescent="0.25"/>
    <row r="869" ht="15.8" customHeight="1" x14ac:dyDescent="0.25"/>
    <row r="870" ht="15.8" customHeight="1" x14ac:dyDescent="0.25"/>
    <row r="871" ht="15.8" customHeight="1" x14ac:dyDescent="0.25"/>
    <row r="872" ht="15.8" customHeight="1" x14ac:dyDescent="0.25"/>
    <row r="873" ht="15.8" customHeight="1" x14ac:dyDescent="0.25"/>
    <row r="874" ht="15.8" customHeight="1" x14ac:dyDescent="0.25"/>
    <row r="875" ht="15.8" customHeight="1" x14ac:dyDescent="0.25"/>
    <row r="876" ht="15.8" customHeight="1" x14ac:dyDescent="0.25"/>
    <row r="877" ht="15.8" customHeight="1" x14ac:dyDescent="0.25"/>
    <row r="878" ht="15.8" customHeight="1" x14ac:dyDescent="0.25"/>
    <row r="879" ht="15.8" customHeight="1" x14ac:dyDescent="0.25"/>
    <row r="880" ht="15.8" customHeight="1" x14ac:dyDescent="0.25"/>
    <row r="881" ht="15.8" customHeight="1" x14ac:dyDescent="0.25"/>
    <row r="882" ht="15.8" customHeight="1" x14ac:dyDescent="0.25"/>
    <row r="883" ht="15.8" customHeight="1" x14ac:dyDescent="0.25"/>
    <row r="884" ht="15.8" customHeight="1" x14ac:dyDescent="0.25"/>
    <row r="885" ht="15.8" customHeight="1" x14ac:dyDescent="0.25"/>
    <row r="886" ht="15.8" customHeight="1" x14ac:dyDescent="0.25"/>
    <row r="887" ht="15.8" customHeight="1" x14ac:dyDescent="0.25"/>
    <row r="888" ht="15.8" customHeight="1" x14ac:dyDescent="0.25"/>
    <row r="889" ht="15.8" customHeight="1" x14ac:dyDescent="0.25"/>
    <row r="890" ht="15.8" customHeight="1" x14ac:dyDescent="0.25"/>
    <row r="891" ht="15.8" customHeight="1" x14ac:dyDescent="0.25"/>
    <row r="892" ht="15.8" customHeight="1" x14ac:dyDescent="0.25"/>
    <row r="893" ht="15.8" customHeight="1" x14ac:dyDescent="0.25"/>
    <row r="894" ht="15.8" customHeight="1" x14ac:dyDescent="0.25"/>
    <row r="895" ht="15.8" customHeight="1" x14ac:dyDescent="0.25"/>
    <row r="896" ht="15.8" customHeight="1" x14ac:dyDescent="0.25"/>
    <row r="897" ht="15.8" customHeight="1" x14ac:dyDescent="0.25"/>
    <row r="898" ht="15.8" customHeight="1" x14ac:dyDescent="0.25"/>
    <row r="899" ht="15.8" customHeight="1" x14ac:dyDescent="0.25"/>
    <row r="900" ht="15.8" customHeight="1" x14ac:dyDescent="0.25"/>
    <row r="901" ht="15.8" customHeight="1" x14ac:dyDescent="0.25"/>
    <row r="902" ht="15.8" customHeight="1" x14ac:dyDescent="0.25"/>
    <row r="903" ht="15.8" customHeight="1" x14ac:dyDescent="0.25"/>
    <row r="904" ht="15.8" customHeight="1" x14ac:dyDescent="0.25"/>
    <row r="905" ht="15.8" customHeight="1" x14ac:dyDescent="0.25"/>
    <row r="906" ht="15.8" customHeight="1" x14ac:dyDescent="0.25"/>
    <row r="907" ht="15.8" customHeight="1" x14ac:dyDescent="0.25"/>
    <row r="908" ht="15.8" customHeight="1" x14ac:dyDescent="0.25"/>
    <row r="909" ht="15.8" customHeight="1" x14ac:dyDescent="0.25"/>
    <row r="910" ht="15.8" customHeight="1" x14ac:dyDescent="0.25"/>
    <row r="911" ht="15.8" customHeight="1" x14ac:dyDescent="0.25"/>
    <row r="912" ht="15.8" customHeight="1" x14ac:dyDescent="0.25"/>
    <row r="913" ht="15.8" customHeight="1" x14ac:dyDescent="0.25"/>
    <row r="914" ht="15.8" customHeight="1" x14ac:dyDescent="0.25"/>
    <row r="915" ht="15.8" customHeight="1" x14ac:dyDescent="0.25"/>
    <row r="916" ht="15.8" customHeight="1" x14ac:dyDescent="0.25"/>
    <row r="917" ht="15.8" customHeight="1" x14ac:dyDescent="0.25"/>
    <row r="918" ht="15.8" customHeight="1" x14ac:dyDescent="0.25"/>
    <row r="919" ht="15.8" customHeight="1" x14ac:dyDescent="0.25"/>
    <row r="920" ht="15.8" customHeight="1" x14ac:dyDescent="0.25"/>
    <row r="921" ht="15.8" customHeight="1" x14ac:dyDescent="0.25"/>
    <row r="922" ht="15.8" customHeight="1" x14ac:dyDescent="0.25"/>
    <row r="923" ht="15.8" customHeight="1" x14ac:dyDescent="0.25"/>
    <row r="924" ht="15.8" customHeight="1" x14ac:dyDescent="0.25"/>
    <row r="925" ht="15.8" customHeight="1" x14ac:dyDescent="0.25"/>
    <row r="926" ht="15.8" customHeight="1" x14ac:dyDescent="0.25"/>
    <row r="927" ht="15.8" customHeight="1" x14ac:dyDescent="0.25"/>
    <row r="928" ht="15.8" customHeight="1" x14ac:dyDescent="0.25"/>
    <row r="929" ht="15.8" customHeight="1" x14ac:dyDescent="0.25"/>
    <row r="930" ht="15.8" customHeight="1" x14ac:dyDescent="0.25"/>
    <row r="931" ht="15.8" customHeight="1" x14ac:dyDescent="0.25"/>
    <row r="932" ht="15.8" customHeight="1" x14ac:dyDescent="0.25"/>
    <row r="933" ht="15.8" customHeight="1" x14ac:dyDescent="0.25"/>
    <row r="934" ht="15.8" customHeight="1" x14ac:dyDescent="0.25"/>
    <row r="935" ht="15.8" customHeight="1" x14ac:dyDescent="0.25"/>
    <row r="936" ht="15.8" customHeight="1" x14ac:dyDescent="0.25"/>
    <row r="937" ht="15.8" customHeight="1" x14ac:dyDescent="0.25"/>
    <row r="938" ht="15.8" customHeight="1" x14ac:dyDescent="0.25"/>
    <row r="939" ht="15.8" customHeight="1" x14ac:dyDescent="0.25"/>
    <row r="940" ht="15.8" customHeight="1" x14ac:dyDescent="0.25"/>
    <row r="941" ht="15.8" customHeight="1" x14ac:dyDescent="0.25"/>
    <row r="942" ht="15.8" customHeight="1" x14ac:dyDescent="0.25"/>
    <row r="943" ht="15.8" customHeight="1" x14ac:dyDescent="0.25"/>
    <row r="944" ht="15.8" customHeight="1" x14ac:dyDescent="0.25"/>
    <row r="945" ht="15.8" customHeight="1" x14ac:dyDescent="0.25"/>
    <row r="946" ht="15.8" customHeight="1" x14ac:dyDescent="0.25"/>
    <row r="947" ht="15.8" customHeight="1" x14ac:dyDescent="0.25"/>
    <row r="948" ht="15.8" customHeight="1" x14ac:dyDescent="0.25"/>
    <row r="949" ht="15.8" customHeight="1" x14ac:dyDescent="0.25"/>
    <row r="950" ht="15.8" customHeight="1" x14ac:dyDescent="0.25"/>
    <row r="951" ht="15.8" customHeight="1" x14ac:dyDescent="0.25"/>
    <row r="952" ht="15.8" customHeight="1" x14ac:dyDescent="0.25"/>
    <row r="953" ht="15.8" customHeight="1" x14ac:dyDescent="0.25"/>
    <row r="954" ht="15.8" customHeight="1" x14ac:dyDescent="0.25"/>
    <row r="955" ht="15.8" customHeight="1" x14ac:dyDescent="0.25"/>
    <row r="956" ht="15.8" customHeight="1" x14ac:dyDescent="0.25"/>
    <row r="957" ht="15.8" customHeight="1" x14ac:dyDescent="0.25"/>
    <row r="958" ht="15.8" customHeight="1" x14ac:dyDescent="0.25"/>
    <row r="959" ht="15.8" customHeight="1" x14ac:dyDescent="0.25"/>
    <row r="960" ht="15.8" customHeight="1" x14ac:dyDescent="0.25"/>
    <row r="961" ht="15.8" customHeight="1" x14ac:dyDescent="0.25"/>
    <row r="962" ht="15.8" customHeight="1" x14ac:dyDescent="0.25"/>
    <row r="963" ht="15.8" customHeight="1" x14ac:dyDescent="0.25"/>
    <row r="964" ht="15.8" customHeight="1" x14ac:dyDescent="0.25"/>
    <row r="965" ht="15.8" customHeight="1" x14ac:dyDescent="0.25"/>
    <row r="966" ht="15.8" customHeight="1" x14ac:dyDescent="0.25"/>
    <row r="967" ht="15.8" customHeight="1" x14ac:dyDescent="0.25"/>
    <row r="968" ht="15.8" customHeight="1" x14ac:dyDescent="0.25"/>
    <row r="969" ht="15.8" customHeight="1" x14ac:dyDescent="0.25"/>
    <row r="970" ht="15.8" customHeight="1" x14ac:dyDescent="0.25"/>
    <row r="971" ht="15.8" customHeight="1" x14ac:dyDescent="0.25"/>
    <row r="972" ht="15.8" customHeight="1" x14ac:dyDescent="0.25"/>
    <row r="973" ht="15.8" customHeight="1" x14ac:dyDescent="0.25"/>
    <row r="974" ht="15.8" customHeight="1" x14ac:dyDescent="0.25"/>
    <row r="975" ht="15.8" customHeight="1" x14ac:dyDescent="0.25"/>
    <row r="976" ht="15.8" customHeight="1" x14ac:dyDescent="0.25"/>
    <row r="977" ht="15.8" customHeight="1" x14ac:dyDescent="0.25"/>
    <row r="978" ht="15.8" customHeight="1" x14ac:dyDescent="0.25"/>
    <row r="979" ht="15.8" customHeight="1" x14ac:dyDescent="0.25"/>
    <row r="980" ht="15.8" customHeight="1" x14ac:dyDescent="0.25"/>
    <row r="981" ht="15.8" customHeight="1" x14ac:dyDescent="0.25"/>
    <row r="982" ht="15.8" customHeight="1" x14ac:dyDescent="0.25"/>
    <row r="983" ht="15.8" customHeight="1" x14ac:dyDescent="0.25"/>
    <row r="984" ht="15.8" customHeight="1" x14ac:dyDescent="0.25"/>
    <row r="985" ht="15.8" customHeight="1" x14ac:dyDescent="0.25"/>
    <row r="986" ht="15.8" customHeight="1" x14ac:dyDescent="0.25"/>
    <row r="987" ht="15.8" customHeight="1" x14ac:dyDescent="0.25"/>
    <row r="988" ht="15.8" customHeight="1" x14ac:dyDescent="0.25"/>
    <row r="989" ht="15.8" customHeight="1" x14ac:dyDescent="0.25"/>
    <row r="990" ht="15.8" customHeight="1" x14ac:dyDescent="0.25"/>
    <row r="991" ht="15.8" customHeight="1" x14ac:dyDescent="0.25"/>
    <row r="992" ht="15.8" customHeight="1" x14ac:dyDescent="0.25"/>
    <row r="993" ht="15.8" customHeight="1" x14ac:dyDescent="0.25"/>
    <row r="994" ht="15.8" customHeight="1" x14ac:dyDescent="0.25"/>
    <row r="995" ht="15.8" customHeight="1" x14ac:dyDescent="0.25"/>
    <row r="996" ht="15.8" customHeight="1" x14ac:dyDescent="0.25"/>
    <row r="997" ht="15.8" customHeight="1" x14ac:dyDescent="0.25"/>
    <row r="998" ht="15.8" customHeight="1" x14ac:dyDescent="0.25"/>
    <row r="999" ht="15.8" customHeight="1" x14ac:dyDescent="0.25"/>
    <row r="1000" ht="15.8" customHeight="1" x14ac:dyDescent="0.25"/>
    <row r="1001" ht="15.8" customHeight="1" x14ac:dyDescent="0.25"/>
    <row r="1002" ht="15.8" customHeight="1" x14ac:dyDescent="0.25"/>
  </sheetData>
  <mergeCells count="1">
    <mergeCell ref="B6:B10"/>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C2:L29"/>
  <sheetViews>
    <sheetView zoomScale="80" zoomScaleNormal="80" workbookViewId="0">
      <selection activeCell="B10" sqref="B10"/>
    </sheetView>
  </sheetViews>
  <sheetFormatPr baseColWidth="10" defaultColWidth="9.296875" defaultRowHeight="9.5500000000000007" x14ac:dyDescent="0.15"/>
  <cols>
    <col min="1" max="2" width="9.296875" style="1001"/>
    <col min="3" max="3" width="65.296875" style="1001" customWidth="1"/>
    <col min="4" max="4" width="13.59765625" style="1001" bestFit="1" customWidth="1"/>
    <col min="5" max="6" width="10.19921875" style="1001" bestFit="1" customWidth="1"/>
    <col min="7" max="7" width="11.296875" style="1001" bestFit="1" customWidth="1"/>
    <col min="8" max="8" width="11.796875" style="1001" customWidth="1"/>
    <col min="9" max="9" width="12.19921875" style="1001" customWidth="1"/>
    <col min="10" max="10" width="10.8984375" style="1001" bestFit="1" customWidth="1"/>
    <col min="11" max="11" width="9.19921875" style="1001" bestFit="1" customWidth="1"/>
    <col min="12" max="16384" width="9.296875" style="1001"/>
  </cols>
  <sheetData>
    <row r="2" spans="3:12" ht="15.65" x14ac:dyDescent="0.25">
      <c r="C2" s="1513" t="s">
        <v>2345</v>
      </c>
      <c r="D2" s="1513"/>
      <c r="E2" s="1513"/>
      <c r="F2" s="1513"/>
      <c r="G2" s="1513"/>
      <c r="H2" s="1513"/>
      <c r="I2" s="1513"/>
      <c r="J2" s="1513"/>
      <c r="K2" s="1513"/>
      <c r="L2" s="1513"/>
    </row>
    <row r="3" spans="3:12" ht="10.199999999999999" x14ac:dyDescent="0.15">
      <c r="C3" s="1514" t="s">
        <v>2346</v>
      </c>
      <c r="D3" s="1514"/>
      <c r="E3" s="1514"/>
      <c r="F3" s="1514"/>
      <c r="G3" s="1514"/>
      <c r="H3" s="1514"/>
      <c r="I3" s="1514"/>
      <c r="J3" s="1514"/>
      <c r="K3" s="1514"/>
      <c r="L3" s="1514"/>
    </row>
    <row r="4" spans="3:12" x14ac:dyDescent="0.15">
      <c r="C4" s="1515"/>
      <c r="D4" s="1515"/>
      <c r="E4" s="1515"/>
      <c r="F4" s="1515"/>
      <c r="G4" s="1515"/>
      <c r="H4" s="1515"/>
      <c r="I4" s="1515"/>
      <c r="J4" s="1515"/>
      <c r="K4" s="1515"/>
      <c r="L4" s="1515"/>
    </row>
    <row r="5" spans="3:12" ht="10.9" x14ac:dyDescent="0.2">
      <c r="C5" s="1516" t="s">
        <v>2347</v>
      </c>
      <c r="D5" s="1516"/>
      <c r="E5" s="1516"/>
      <c r="F5" s="1516"/>
      <c r="G5" s="1516"/>
      <c r="H5" s="1516"/>
      <c r="I5" s="1516"/>
      <c r="J5" s="1516"/>
      <c r="K5" s="1516"/>
      <c r="L5" s="1516"/>
    </row>
    <row r="6" spans="3:12" x14ac:dyDescent="0.15">
      <c r="C6" s="1515"/>
      <c r="D6" s="1515"/>
      <c r="E6" s="1515"/>
      <c r="F6" s="1515"/>
      <c r="G6" s="1515"/>
      <c r="H6" s="1515"/>
      <c r="I6" s="1515"/>
      <c r="J6" s="1515"/>
      <c r="K6" s="1515"/>
      <c r="L6" s="1515"/>
    </row>
    <row r="7" spans="3:12" ht="11.55" x14ac:dyDescent="0.25">
      <c r="C7" s="1512" t="s">
        <v>2348</v>
      </c>
      <c r="D7" s="1512"/>
      <c r="E7" s="1512"/>
      <c r="F7" s="1512"/>
      <c r="G7" s="1512"/>
      <c r="H7" s="1512"/>
      <c r="I7" s="1512"/>
      <c r="J7" s="1512"/>
      <c r="K7" s="1512"/>
      <c r="L7" s="1512"/>
    </row>
    <row r="8" spans="3:12" ht="12.25" thickBot="1" x14ac:dyDescent="0.3">
      <c r="C8" s="1512" t="s">
        <v>2349</v>
      </c>
      <c r="D8" s="1512"/>
      <c r="E8" s="1512"/>
      <c r="F8" s="1512"/>
      <c r="G8" s="1512"/>
      <c r="H8" s="1512"/>
      <c r="I8" s="1512"/>
      <c r="J8" s="1512"/>
      <c r="K8" s="1512"/>
      <c r="L8" s="1512"/>
    </row>
    <row r="9" spans="3:12" ht="14.95" thickBot="1" x14ac:dyDescent="0.2">
      <c r="C9" s="1517" t="s">
        <v>2350</v>
      </c>
      <c r="D9" s="1002" t="s">
        <v>2351</v>
      </c>
      <c r="E9" s="1519" t="s">
        <v>2352</v>
      </c>
      <c r="F9" s="1519" t="s">
        <v>2353</v>
      </c>
      <c r="G9" s="1517" t="s">
        <v>2354</v>
      </c>
      <c r="H9" s="1517" t="s">
        <v>2355</v>
      </c>
      <c r="I9" s="1521" t="s">
        <v>2356</v>
      </c>
      <c r="J9" s="1522"/>
      <c r="K9" s="1523"/>
      <c r="L9" s="1517" t="s">
        <v>2357</v>
      </c>
    </row>
    <row r="10" spans="3:12" ht="43.5" thickBot="1" x14ac:dyDescent="0.2">
      <c r="C10" s="1518"/>
      <c r="D10" s="1003" t="s">
        <v>2358</v>
      </c>
      <c r="E10" s="1520"/>
      <c r="F10" s="1520"/>
      <c r="G10" s="1518"/>
      <c r="H10" s="1518"/>
      <c r="I10" s="1004" t="s">
        <v>2359</v>
      </c>
      <c r="J10" s="1005" t="s">
        <v>2360</v>
      </c>
      <c r="K10" s="1005" t="s">
        <v>2361</v>
      </c>
      <c r="L10" s="1518"/>
    </row>
    <row r="11" spans="3:12" s="1009" customFormat="1" ht="26.5" thickBot="1" x14ac:dyDescent="0.25">
      <c r="C11" s="1006" t="s">
        <v>2362</v>
      </c>
      <c r="D11" s="1007">
        <v>1196996</v>
      </c>
      <c r="E11" s="1007">
        <v>211871</v>
      </c>
      <c r="F11" s="1007">
        <v>197913</v>
      </c>
      <c r="G11" s="1007">
        <v>153770</v>
      </c>
      <c r="H11" s="1007">
        <v>104850</v>
      </c>
      <c r="I11" s="1007">
        <v>38097</v>
      </c>
      <c r="J11" s="1007">
        <v>37749</v>
      </c>
      <c r="K11" s="1007">
        <v>31356</v>
      </c>
      <c r="L11" s="1008">
        <f>+J11/F11</f>
        <v>0.19073532309651212</v>
      </c>
    </row>
    <row r="12" spans="3:12" s="1009" customFormat="1" ht="26.5" thickBot="1" x14ac:dyDescent="0.25">
      <c r="C12" s="1006" t="s">
        <v>2363</v>
      </c>
      <c r="D12" s="1010">
        <v>85766</v>
      </c>
      <c r="E12" s="1010">
        <v>21602</v>
      </c>
      <c r="F12" s="1010">
        <v>21602</v>
      </c>
      <c r="G12" s="1010">
        <v>1305</v>
      </c>
      <c r="H12" s="1011">
        <v>0</v>
      </c>
      <c r="I12" s="1011">
        <v>0</v>
      </c>
      <c r="J12" s="1011">
        <v>0</v>
      </c>
      <c r="K12" s="1011">
        <v>0</v>
      </c>
      <c r="L12" s="1008">
        <f t="shared" ref="L12:L20" si="0">+J12/F12</f>
        <v>0</v>
      </c>
    </row>
    <row r="13" spans="3:12" s="1009" customFormat="1" ht="13.6" thickBot="1" x14ac:dyDescent="0.25">
      <c r="C13" s="1006" t="s">
        <v>2364</v>
      </c>
      <c r="D13" s="1010">
        <v>3953089</v>
      </c>
      <c r="E13" s="1010">
        <v>1105598</v>
      </c>
      <c r="F13" s="1010">
        <v>1359263</v>
      </c>
      <c r="G13" s="1010">
        <v>1209694</v>
      </c>
      <c r="H13" s="1010">
        <v>1169509</v>
      </c>
      <c r="I13" s="1010">
        <v>359022</v>
      </c>
      <c r="J13" s="1010">
        <v>277317</v>
      </c>
      <c r="K13" s="1010">
        <v>262384</v>
      </c>
      <c r="L13" s="1008">
        <f t="shared" si="0"/>
        <v>0.20402011972664599</v>
      </c>
    </row>
    <row r="14" spans="3:12" s="1009" customFormat="1" ht="26.5" thickBot="1" x14ac:dyDescent="0.25">
      <c r="C14" s="1006" t="s">
        <v>2365</v>
      </c>
      <c r="D14" s="1010">
        <v>1058350</v>
      </c>
      <c r="E14" s="1010">
        <v>18197</v>
      </c>
      <c r="F14" s="1010">
        <v>8137</v>
      </c>
      <c r="G14" s="1010">
        <v>3682</v>
      </c>
      <c r="H14" s="1010">
        <v>1102</v>
      </c>
      <c r="I14" s="1011">
        <v>763</v>
      </c>
      <c r="J14" s="1011">
        <v>763</v>
      </c>
      <c r="K14" s="1011">
        <v>763</v>
      </c>
      <c r="L14" s="1008">
        <f t="shared" si="0"/>
        <v>9.3769202408750155E-2</v>
      </c>
    </row>
    <row r="15" spans="3:12" s="1009" customFormat="1" ht="26.5" thickBot="1" x14ac:dyDescent="0.25">
      <c r="C15" s="1006" t="s">
        <v>2366</v>
      </c>
      <c r="D15" s="1010">
        <v>54925</v>
      </c>
      <c r="E15" s="1010">
        <v>7804</v>
      </c>
      <c r="F15" s="1010">
        <v>7804</v>
      </c>
      <c r="G15" s="1010">
        <v>1458</v>
      </c>
      <c r="H15" s="1010">
        <v>1458</v>
      </c>
      <c r="I15" s="1010">
        <v>1458</v>
      </c>
      <c r="J15" s="1010">
        <v>1458</v>
      </c>
      <c r="K15" s="1010">
        <v>1458</v>
      </c>
      <c r="L15" s="1008">
        <f t="shared" si="0"/>
        <v>0.18682726806765762</v>
      </c>
    </row>
    <row r="16" spans="3:12" s="1015" customFormat="1" ht="14.3" thickBot="1" x14ac:dyDescent="0.3">
      <c r="C16" s="1012" t="s">
        <v>2367</v>
      </c>
      <c r="D16" s="1013">
        <f>SUM(D11:D15)</f>
        <v>6349126</v>
      </c>
      <c r="E16" s="1013">
        <f t="shared" ref="E16:K16" si="1">SUM(E11:E15)</f>
        <v>1365072</v>
      </c>
      <c r="F16" s="1013">
        <f t="shared" si="1"/>
        <v>1594719</v>
      </c>
      <c r="G16" s="1013">
        <f t="shared" si="1"/>
        <v>1369909</v>
      </c>
      <c r="H16" s="1013">
        <f t="shared" si="1"/>
        <v>1276919</v>
      </c>
      <c r="I16" s="1013">
        <f t="shared" si="1"/>
        <v>399340</v>
      </c>
      <c r="J16" s="1013">
        <f t="shared" si="1"/>
        <v>317287</v>
      </c>
      <c r="K16" s="1013">
        <f t="shared" si="1"/>
        <v>295961</v>
      </c>
      <c r="L16" s="1014">
        <f t="shared" si="0"/>
        <v>0.19896107088458845</v>
      </c>
    </row>
    <row r="17" spans="3:12" s="1009" customFormat="1" ht="13.6" thickBot="1" x14ac:dyDescent="0.25">
      <c r="C17" s="1016"/>
    </row>
    <row r="18" spans="3:12" s="1009" customFormat="1" ht="39.4" thickBot="1" x14ac:dyDescent="0.25">
      <c r="C18" s="1006" t="s">
        <v>2368</v>
      </c>
      <c r="D18" s="1007">
        <v>2351182</v>
      </c>
      <c r="E18" s="1007">
        <v>869321</v>
      </c>
      <c r="F18" s="1007">
        <v>869321</v>
      </c>
      <c r="G18" s="1007">
        <v>51882</v>
      </c>
      <c r="H18" s="1007">
        <v>50250</v>
      </c>
      <c r="I18" s="1007">
        <v>50250</v>
      </c>
      <c r="J18" s="1007">
        <v>10500</v>
      </c>
      <c r="K18" s="1007">
        <v>10500</v>
      </c>
      <c r="L18" s="1008">
        <f>+J18/F18</f>
        <v>1.207839221645399E-2</v>
      </c>
    </row>
    <row r="19" spans="3:12" s="1009" customFormat="1" ht="39.4" thickBot="1" x14ac:dyDescent="0.25">
      <c r="C19" s="1006" t="s">
        <v>2369</v>
      </c>
      <c r="D19" s="1010">
        <v>2255738</v>
      </c>
      <c r="E19" s="1010">
        <v>1722138</v>
      </c>
      <c r="F19" s="1010">
        <v>1722138</v>
      </c>
      <c r="G19" s="1010">
        <v>187600</v>
      </c>
      <c r="H19" s="1010">
        <v>182400</v>
      </c>
      <c r="I19" s="1010">
        <v>83400</v>
      </c>
      <c r="J19" s="1010">
        <v>33000</v>
      </c>
      <c r="K19" s="1010">
        <v>31200</v>
      </c>
      <c r="L19" s="1008">
        <f t="shared" si="0"/>
        <v>1.9162227417314989E-2</v>
      </c>
    </row>
    <row r="20" spans="3:12" s="1015" customFormat="1" ht="14.3" thickBot="1" x14ac:dyDescent="0.3">
      <c r="C20" s="1012" t="s">
        <v>2370</v>
      </c>
      <c r="D20" s="1013">
        <f>SUM(D18:D19)</f>
        <v>4606920</v>
      </c>
      <c r="E20" s="1013">
        <f t="shared" ref="E20:K20" si="2">SUM(E18:E19)</f>
        <v>2591459</v>
      </c>
      <c r="F20" s="1013">
        <f t="shared" si="2"/>
        <v>2591459</v>
      </c>
      <c r="G20" s="1013">
        <f t="shared" si="2"/>
        <v>239482</v>
      </c>
      <c r="H20" s="1013">
        <f t="shared" si="2"/>
        <v>232650</v>
      </c>
      <c r="I20" s="1013">
        <f t="shared" si="2"/>
        <v>133650</v>
      </c>
      <c r="J20" s="1013">
        <f t="shared" si="2"/>
        <v>43500</v>
      </c>
      <c r="K20" s="1013">
        <f t="shared" si="2"/>
        <v>41700</v>
      </c>
      <c r="L20" s="1014">
        <f t="shared" si="0"/>
        <v>1.678591094823418E-2</v>
      </c>
    </row>
    <row r="21" spans="3:12" s="1009" customFormat="1" ht="13.6" thickBot="1" x14ac:dyDescent="0.25">
      <c r="C21" s="1016"/>
    </row>
    <row r="22" spans="3:12" s="1009" customFormat="1" ht="26.5" thickBot="1" x14ac:dyDescent="0.25">
      <c r="C22" s="1006" t="s">
        <v>2371</v>
      </c>
      <c r="D22" s="1007">
        <v>1012860</v>
      </c>
      <c r="E22" s="1017">
        <v>0</v>
      </c>
      <c r="F22" s="1007">
        <v>25000</v>
      </c>
      <c r="G22" s="1007">
        <v>6000</v>
      </c>
      <c r="H22" s="1007">
        <v>6000</v>
      </c>
      <c r="I22" s="1007">
        <v>6000</v>
      </c>
      <c r="J22" s="1007">
        <v>6000</v>
      </c>
      <c r="K22" s="1007">
        <v>5840</v>
      </c>
      <c r="L22" s="1008">
        <f t="shared" ref="L22:L28" si="3">+J22/F22</f>
        <v>0.24</v>
      </c>
    </row>
    <row r="23" spans="3:12" s="1009" customFormat="1" ht="52.3" thickBot="1" x14ac:dyDescent="0.25">
      <c r="C23" s="1006" t="s">
        <v>2372</v>
      </c>
      <c r="D23" s="1010">
        <v>1022775</v>
      </c>
      <c r="E23" s="1011">
        <v>0</v>
      </c>
      <c r="F23" s="1010">
        <v>25000</v>
      </c>
      <c r="G23" s="1011">
        <v>0</v>
      </c>
      <c r="H23" s="1011">
        <v>0</v>
      </c>
      <c r="I23" s="1011">
        <v>0</v>
      </c>
      <c r="J23" s="1011">
        <v>0</v>
      </c>
      <c r="K23" s="1011">
        <v>0</v>
      </c>
      <c r="L23" s="1008">
        <f t="shared" si="3"/>
        <v>0</v>
      </c>
    </row>
    <row r="24" spans="3:12" s="1009" customFormat="1" ht="26.5" thickBot="1" x14ac:dyDescent="0.25">
      <c r="C24" s="1006" t="s">
        <v>2373</v>
      </c>
      <c r="D24" s="1011">
        <v>0</v>
      </c>
      <c r="E24" s="1010">
        <v>7023</v>
      </c>
      <c r="F24" s="1010">
        <v>7023</v>
      </c>
      <c r="G24" s="1011">
        <v>43</v>
      </c>
      <c r="H24" s="1011">
        <v>43</v>
      </c>
      <c r="I24" s="1011">
        <v>43</v>
      </c>
      <c r="J24" s="1011">
        <v>43</v>
      </c>
      <c r="K24" s="1011">
        <v>43</v>
      </c>
      <c r="L24" s="1008">
        <f t="shared" si="3"/>
        <v>6.1227395699843369E-3</v>
      </c>
    </row>
    <row r="25" spans="3:12" s="1009" customFormat="1" ht="26.5" thickBot="1" x14ac:dyDescent="0.25">
      <c r="C25" s="1006" t="s">
        <v>2365</v>
      </c>
      <c r="D25" s="1010">
        <v>4238</v>
      </c>
      <c r="E25" s="1010">
        <v>4275</v>
      </c>
      <c r="F25" s="1010">
        <v>6275</v>
      </c>
      <c r="G25" s="1010">
        <v>2000</v>
      </c>
      <c r="H25" s="1011">
        <v>0</v>
      </c>
      <c r="I25" s="1011">
        <v>0</v>
      </c>
      <c r="J25" s="1011">
        <v>0</v>
      </c>
      <c r="K25" s="1011">
        <v>0</v>
      </c>
      <c r="L25" s="1008">
        <f t="shared" si="3"/>
        <v>0</v>
      </c>
    </row>
    <row r="26" spans="3:12" s="1015" customFormat="1" ht="14.3" thickBot="1" x14ac:dyDescent="0.3">
      <c r="C26" s="1012" t="s">
        <v>2374</v>
      </c>
      <c r="D26" s="1013">
        <f>SUM(D22:D25)</f>
        <v>2039873</v>
      </c>
      <c r="E26" s="1013">
        <f t="shared" ref="E26:K26" si="4">SUM(E22:E25)</f>
        <v>11298</v>
      </c>
      <c r="F26" s="1013">
        <f t="shared" si="4"/>
        <v>63298</v>
      </c>
      <c r="G26" s="1013">
        <f t="shared" si="4"/>
        <v>8043</v>
      </c>
      <c r="H26" s="1013">
        <f t="shared" si="4"/>
        <v>6043</v>
      </c>
      <c r="I26" s="1013">
        <f t="shared" si="4"/>
        <v>6043</v>
      </c>
      <c r="J26" s="1013">
        <f t="shared" si="4"/>
        <v>6043</v>
      </c>
      <c r="K26" s="1013">
        <f t="shared" si="4"/>
        <v>5883</v>
      </c>
      <c r="L26" s="1014">
        <f t="shared" si="3"/>
        <v>9.5469051154854809E-2</v>
      </c>
    </row>
    <row r="27" spans="3:12" s="1009" customFormat="1" ht="13.6" thickBot="1" x14ac:dyDescent="0.25"/>
    <row r="28" spans="3:12" s="1015" customFormat="1" ht="14.3" thickBot="1" x14ac:dyDescent="0.3">
      <c r="C28" s="1012" t="s">
        <v>2375</v>
      </c>
      <c r="D28" s="1013">
        <f>+D16+D20+D26</f>
        <v>12995919</v>
      </c>
      <c r="E28" s="1013">
        <f t="shared" ref="E28:K28" si="5">+E16+E20+E26</f>
        <v>3967829</v>
      </c>
      <c r="F28" s="1013">
        <f t="shared" si="5"/>
        <v>4249476</v>
      </c>
      <c r="G28" s="1013">
        <f t="shared" si="5"/>
        <v>1617434</v>
      </c>
      <c r="H28" s="1013">
        <f t="shared" si="5"/>
        <v>1515612</v>
      </c>
      <c r="I28" s="1013">
        <f t="shared" si="5"/>
        <v>539033</v>
      </c>
      <c r="J28" s="1013">
        <f t="shared" si="5"/>
        <v>366830</v>
      </c>
      <c r="K28" s="1013">
        <f t="shared" si="5"/>
        <v>343544</v>
      </c>
      <c r="L28" s="1014">
        <f t="shared" si="3"/>
        <v>8.6323584366637202E-2</v>
      </c>
    </row>
    <row r="29" spans="3:12" s="1009" customFormat="1" ht="12.9" x14ac:dyDescent="0.2"/>
  </sheetData>
  <mergeCells count="14">
    <mergeCell ref="C8:L8"/>
    <mergeCell ref="C9:C10"/>
    <mergeCell ref="E9:E10"/>
    <mergeCell ref="F9:F10"/>
    <mergeCell ref="G9:G10"/>
    <mergeCell ref="H9:H10"/>
    <mergeCell ref="I9:K9"/>
    <mergeCell ref="L9:L10"/>
    <mergeCell ref="C7:L7"/>
    <mergeCell ref="C2:L2"/>
    <mergeCell ref="C3:L3"/>
    <mergeCell ref="C4:L4"/>
    <mergeCell ref="C5:L5"/>
    <mergeCell ref="C6:L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L1048576"/>
  <sheetViews>
    <sheetView showGridLines="0" topLeftCell="Y4" zoomScale="80" zoomScaleNormal="80" workbookViewId="0">
      <selection activeCell="AD4" sqref="AD4"/>
    </sheetView>
  </sheetViews>
  <sheetFormatPr baseColWidth="10" defaultColWidth="7.3984375" defaultRowHeight="12.9" x14ac:dyDescent="0.25"/>
  <cols>
    <col min="1" max="2" width="17.796875" style="1179" customWidth="1"/>
    <col min="3" max="3" width="12" style="1180" customWidth="1"/>
    <col min="4" max="4" width="26.296875" style="1179" customWidth="1"/>
    <col min="5" max="5" width="12.59765625" style="1303" customWidth="1"/>
    <col min="6" max="6" width="63.3984375" style="1180" customWidth="1"/>
    <col min="7" max="7" width="23.796875" style="1180" customWidth="1"/>
    <col min="8" max="8" width="26.19921875" style="1180" customWidth="1"/>
    <col min="9" max="9" width="31.19921875" style="1180" customWidth="1"/>
    <col min="10" max="10" width="25.59765625" style="1180" customWidth="1"/>
    <col min="11" max="11" width="33.796875" style="1180" customWidth="1"/>
    <col min="12" max="12" width="24.59765625" style="1180" customWidth="1"/>
    <col min="13" max="13" width="35.19921875" style="1180" customWidth="1"/>
    <col min="14" max="14" width="26.296875" style="1181" customWidth="1"/>
    <col min="15" max="15" width="11.69921875" style="1181" customWidth="1"/>
    <col min="16" max="16" width="13.3984375" style="1181" customWidth="1"/>
    <col min="17" max="19" width="11.69921875" style="1181" customWidth="1"/>
    <col min="20" max="20" width="13.296875" style="1181" customWidth="1"/>
    <col min="21" max="21" width="13.8984375" style="1179" customWidth="1"/>
    <col min="22" max="22" width="10.19921875" style="1289" customWidth="1"/>
    <col min="23" max="23" width="12.19921875" style="1289" customWidth="1"/>
    <col min="24" max="24" width="19.8984375" style="1289" customWidth="1"/>
    <col min="25" max="25" width="20" style="1289" customWidth="1"/>
    <col min="26" max="26" width="10.19921875" style="1289" customWidth="1"/>
    <col min="27" max="27" width="9.59765625" style="1289" customWidth="1"/>
    <col min="28" max="28" width="12.19921875" style="1327" customWidth="1"/>
    <col min="29" max="29" width="2.09765625" style="1331" customWidth="1"/>
    <col min="30" max="30" width="14.3984375" style="1179" customWidth="1"/>
    <col min="31" max="31" width="16.796875" style="1179" bestFit="1" customWidth="1"/>
    <col min="32" max="33" width="13.796875" style="1179" bestFit="1" customWidth="1"/>
    <col min="34" max="34" width="14.796875" style="1179" bestFit="1" customWidth="1"/>
    <col min="35" max="35" width="13.19921875" style="1179" customWidth="1"/>
    <col min="36" max="36" width="10.796875" style="1179" bestFit="1" customWidth="1"/>
    <col min="37" max="37" width="7.3984375" style="1302"/>
    <col min="38" max="38" width="7.19921875" style="1289" customWidth="1"/>
    <col min="39" max="16384" width="7.3984375" style="1179"/>
  </cols>
  <sheetData>
    <row r="3" spans="1:38" ht="33.299999999999997" x14ac:dyDescent="0.55000000000000004">
      <c r="C3" s="1323" t="s">
        <v>2731</v>
      </c>
      <c r="D3" s="1313"/>
      <c r="E3" s="1324"/>
    </row>
    <row r="4" spans="1:38" ht="18.350000000000001" x14ac:dyDescent="0.25">
      <c r="C4" s="1309"/>
      <c r="D4" s="1313"/>
      <c r="E4" s="1324"/>
      <c r="AD4" s="1341" t="s">
        <v>2735</v>
      </c>
    </row>
    <row r="5" spans="1:38" x14ac:dyDescent="0.25">
      <c r="V5" s="1325"/>
      <c r="W5" s="1325"/>
    </row>
    <row r="6" spans="1:38" s="1182" customFormat="1" ht="27.7" customHeight="1" x14ac:dyDescent="0.25">
      <c r="A6" s="1179"/>
      <c r="B6" s="1179"/>
      <c r="C6" s="1180"/>
      <c r="D6" s="1179"/>
      <c r="E6" s="1303"/>
      <c r="F6" s="1180"/>
      <c r="G6" s="1180"/>
      <c r="H6" s="1180"/>
      <c r="I6" s="1180"/>
      <c r="J6" s="1180"/>
      <c r="K6" s="1180"/>
      <c r="L6" s="1180"/>
      <c r="M6" s="1180"/>
      <c r="N6" s="1181"/>
      <c r="O6" s="1181"/>
      <c r="P6" s="1181"/>
      <c r="Q6" s="1181"/>
      <c r="R6" s="1181"/>
      <c r="S6" s="1181"/>
      <c r="T6" s="1181"/>
      <c r="U6" s="1179"/>
      <c r="V6" s="1326"/>
      <c r="W6" s="1326"/>
      <c r="X6" s="1297"/>
      <c r="Y6" s="1297"/>
      <c r="Z6" s="1297"/>
      <c r="AA6" s="1297"/>
      <c r="AB6" s="1328"/>
      <c r="AC6" s="1332"/>
      <c r="AG6" s="1296"/>
      <c r="AL6" s="1297"/>
    </row>
    <row r="7" spans="1:38" ht="48.75" customHeight="1" x14ac:dyDescent="0.25">
      <c r="C7" s="1321" t="s">
        <v>2615</v>
      </c>
      <c r="D7" s="1321" t="s">
        <v>2378</v>
      </c>
      <c r="E7" s="1304" t="s">
        <v>2379</v>
      </c>
      <c r="F7" s="1321" t="s">
        <v>2380</v>
      </c>
      <c r="G7" s="1321" t="s">
        <v>2381</v>
      </c>
      <c r="H7" s="1321" t="s">
        <v>2315</v>
      </c>
      <c r="I7" s="1321" t="s">
        <v>2382</v>
      </c>
      <c r="J7" s="1321" t="s">
        <v>2384</v>
      </c>
      <c r="K7" s="1321" t="s">
        <v>2615</v>
      </c>
      <c r="L7" s="1321" t="s">
        <v>2383</v>
      </c>
      <c r="M7" s="1321" t="s">
        <v>351</v>
      </c>
      <c r="N7" s="1321" t="s">
        <v>142</v>
      </c>
      <c r="O7" s="1321">
        <v>2021</v>
      </c>
      <c r="P7" s="1321">
        <v>2022</v>
      </c>
      <c r="Q7" s="1321">
        <v>2023</v>
      </c>
      <c r="R7" s="1321">
        <v>2024</v>
      </c>
      <c r="S7" s="1321">
        <v>2025</v>
      </c>
      <c r="T7" s="1321" t="s">
        <v>116</v>
      </c>
      <c r="U7" s="1181"/>
      <c r="V7" s="1335" t="s">
        <v>2700</v>
      </c>
      <c r="W7" s="1336" t="s">
        <v>2701</v>
      </c>
      <c r="X7" s="1336" t="s">
        <v>2702</v>
      </c>
      <c r="Y7" s="1336" t="s">
        <v>2703</v>
      </c>
      <c r="Z7" s="1336" t="s">
        <v>2732</v>
      </c>
      <c r="AA7" s="1336" t="s">
        <v>2733</v>
      </c>
      <c r="AB7" s="1336" t="s">
        <v>2734</v>
      </c>
      <c r="AC7" s="1333"/>
      <c r="AD7" s="1330" t="s">
        <v>2709</v>
      </c>
      <c r="AE7" s="1330" t="s">
        <v>2710</v>
      </c>
      <c r="AF7" s="1330" t="s">
        <v>2714</v>
      </c>
      <c r="AG7" s="1330" t="s">
        <v>2715</v>
      </c>
      <c r="AH7" s="1330" t="s">
        <v>2713</v>
      </c>
      <c r="AI7" s="1330" t="s">
        <v>2712</v>
      </c>
      <c r="AJ7" s="1330" t="s">
        <v>2711</v>
      </c>
      <c r="AK7" s="1330" t="s">
        <v>2719</v>
      </c>
      <c r="AL7" s="1300" t="s">
        <v>2704</v>
      </c>
    </row>
    <row r="8" spans="1:38" ht="15.65" x14ac:dyDescent="0.25">
      <c r="C8" s="1210" t="s">
        <v>2616</v>
      </c>
      <c r="D8" s="1210" t="s">
        <v>2450</v>
      </c>
      <c r="E8" s="1305">
        <v>2455161</v>
      </c>
      <c r="F8" s="1210" t="s">
        <v>2471</v>
      </c>
      <c r="G8" s="1210" t="s">
        <v>2450</v>
      </c>
      <c r="H8" s="1270" t="s">
        <v>2669</v>
      </c>
      <c r="I8" s="1210" t="s">
        <v>196</v>
      </c>
      <c r="J8" s="1210" t="s">
        <v>2472</v>
      </c>
      <c r="K8" s="1178" t="s">
        <v>2433</v>
      </c>
      <c r="L8" s="1178" t="s">
        <v>2388</v>
      </c>
      <c r="M8" s="1210" t="s">
        <v>2617</v>
      </c>
      <c r="N8" s="1210" t="s">
        <v>2617</v>
      </c>
      <c r="O8" s="1211">
        <v>2500000</v>
      </c>
      <c r="P8" s="1211">
        <v>3500000</v>
      </c>
      <c r="Q8" s="1211">
        <v>6366707.3899999997</v>
      </c>
      <c r="R8" s="1211"/>
      <c r="S8" s="1211"/>
      <c r="T8" s="1211">
        <f t="shared" ref="T8:T9" si="0">SUM(O8:S8)</f>
        <v>12366707.390000001</v>
      </c>
      <c r="U8" s="1181"/>
      <c r="V8" s="1337"/>
      <c r="W8" s="1337"/>
      <c r="X8" s="1337" t="s">
        <v>2120</v>
      </c>
      <c r="Y8" s="1337" t="s">
        <v>2120</v>
      </c>
      <c r="Z8" s="1338">
        <v>12503157.390000001</v>
      </c>
      <c r="AA8" s="1338">
        <v>0</v>
      </c>
      <c r="AB8" s="1338">
        <v>12503157.390000001</v>
      </c>
      <c r="AC8" s="1334"/>
      <c r="AD8" s="1301">
        <v>19158974.59</v>
      </c>
      <c r="AE8" s="1301">
        <v>131175</v>
      </c>
      <c r="AF8" s="1301">
        <v>1250000</v>
      </c>
      <c r="AG8" s="1301">
        <v>1250000</v>
      </c>
      <c r="AH8" s="1301">
        <v>10730000</v>
      </c>
      <c r="AI8" s="1301">
        <v>7047800</v>
      </c>
      <c r="AJ8" s="1315">
        <v>0</v>
      </c>
      <c r="AK8" s="1316" t="s">
        <v>2707</v>
      </c>
      <c r="AL8" s="1299"/>
    </row>
    <row r="9" spans="1:38" ht="15.65" x14ac:dyDescent="0.25">
      <c r="C9" s="1210" t="s">
        <v>2616</v>
      </c>
      <c r="D9" s="1210" t="s">
        <v>2450</v>
      </c>
      <c r="E9" s="1305">
        <v>2465974</v>
      </c>
      <c r="F9" s="1210" t="s">
        <v>2484</v>
      </c>
      <c r="G9" s="1210" t="s">
        <v>2450</v>
      </c>
      <c r="H9" s="1270" t="s">
        <v>2669</v>
      </c>
      <c r="I9" s="1210" t="s">
        <v>196</v>
      </c>
      <c r="J9" s="1210" t="s">
        <v>2472</v>
      </c>
      <c r="K9" s="1178">
        <v>0</v>
      </c>
      <c r="L9" s="1178" t="s">
        <v>2388</v>
      </c>
      <c r="M9" s="1210" t="s">
        <v>2617</v>
      </c>
      <c r="N9" s="1210" t="s">
        <v>2617</v>
      </c>
      <c r="O9" s="1211">
        <v>1120000</v>
      </c>
      <c r="P9" s="1211">
        <v>7552619</v>
      </c>
      <c r="Q9" s="1211">
        <v>0</v>
      </c>
      <c r="R9" s="1211"/>
      <c r="S9" s="1211"/>
      <c r="T9" s="1211">
        <f t="shared" si="0"/>
        <v>8672619</v>
      </c>
      <c r="U9" s="1181"/>
      <c r="V9" s="1337"/>
      <c r="W9" s="1337"/>
      <c r="X9" s="1337" t="s">
        <v>2126</v>
      </c>
      <c r="Y9" s="1337" t="s">
        <v>2126</v>
      </c>
      <c r="Z9" s="1338">
        <v>8672619.3000000007</v>
      </c>
      <c r="AA9" s="1338">
        <v>0</v>
      </c>
      <c r="AB9" s="1338">
        <v>8672619.3000000007</v>
      </c>
      <c r="AC9" s="1334"/>
      <c r="AD9" s="1301">
        <v>8672619.3000000007</v>
      </c>
      <c r="AE9" s="1301">
        <v>0</v>
      </c>
      <c r="AF9" s="1301">
        <v>0</v>
      </c>
      <c r="AG9" s="1301">
        <v>0</v>
      </c>
      <c r="AH9" s="1301">
        <v>7552619</v>
      </c>
      <c r="AI9" s="1301">
        <v>1120000</v>
      </c>
      <c r="AJ9" s="1317">
        <v>0</v>
      </c>
      <c r="AK9" s="1316" t="s">
        <v>2706</v>
      </c>
      <c r="AL9" s="1299"/>
    </row>
    <row r="10" spans="1:38" ht="15.65" x14ac:dyDescent="0.25">
      <c r="C10" s="1210" t="s">
        <v>2616</v>
      </c>
      <c r="D10" s="1210" t="s">
        <v>2385</v>
      </c>
      <c r="E10" s="1305">
        <v>2228927</v>
      </c>
      <c r="F10" s="1210" t="s">
        <v>2386</v>
      </c>
      <c r="G10" s="1210" t="s">
        <v>2387</v>
      </c>
      <c r="H10" s="1270" t="s">
        <v>2668</v>
      </c>
      <c r="I10" s="1210" t="s">
        <v>202</v>
      </c>
      <c r="J10" s="1210" t="s">
        <v>2389</v>
      </c>
      <c r="K10" s="1178">
        <v>0</v>
      </c>
      <c r="L10" s="1178" t="s">
        <v>2388</v>
      </c>
      <c r="M10" s="1210" t="s">
        <v>2618</v>
      </c>
      <c r="N10" s="1210" t="s">
        <v>2202</v>
      </c>
      <c r="O10" s="1211">
        <v>207692</v>
      </c>
      <c r="P10" s="1211">
        <v>6715376</v>
      </c>
      <c r="Q10" s="1211">
        <v>0</v>
      </c>
      <c r="R10" s="1211">
        <v>0</v>
      </c>
      <c r="S10" s="1211">
        <v>0</v>
      </c>
      <c r="T10" s="1211">
        <f t="shared" ref="T10:T41" si="1">SUM(O10:S10)</f>
        <v>6923068</v>
      </c>
      <c r="U10" s="1181"/>
      <c r="V10" s="1337"/>
      <c r="W10" s="1337"/>
      <c r="X10" s="1337" t="s">
        <v>2149</v>
      </c>
      <c r="Y10" s="1337" t="s">
        <v>2160</v>
      </c>
      <c r="Z10" s="1338">
        <v>6923068</v>
      </c>
      <c r="AA10" s="1338">
        <v>0</v>
      </c>
      <c r="AB10" s="1338">
        <v>6923068</v>
      </c>
      <c r="AC10" s="1334"/>
      <c r="AD10" s="1301">
        <v>6923068</v>
      </c>
      <c r="AE10" s="1301">
        <v>0</v>
      </c>
      <c r="AF10" s="1301">
        <v>0</v>
      </c>
      <c r="AG10" s="1301">
        <v>0</v>
      </c>
      <c r="AH10" s="1301">
        <v>0</v>
      </c>
      <c r="AI10" s="1301">
        <v>6923068</v>
      </c>
      <c r="AJ10" s="1317">
        <v>0</v>
      </c>
      <c r="AK10" s="1316" t="s">
        <v>2707</v>
      </c>
      <c r="AL10" s="1299"/>
    </row>
    <row r="11" spans="1:38" ht="15.65" x14ac:dyDescent="0.25">
      <c r="C11" s="1210" t="s">
        <v>2616</v>
      </c>
      <c r="D11" s="1210" t="s">
        <v>2438</v>
      </c>
      <c r="E11" s="1305">
        <v>2124120</v>
      </c>
      <c r="F11" s="1210" t="s">
        <v>2580</v>
      </c>
      <c r="G11" s="1210" t="s">
        <v>2440</v>
      </c>
      <c r="H11" s="1270" t="s">
        <v>2668</v>
      </c>
      <c r="I11" s="1210" t="s">
        <v>201</v>
      </c>
      <c r="J11" s="1210" t="s">
        <v>2448</v>
      </c>
      <c r="K11" s="1178" t="s">
        <v>2410</v>
      </c>
      <c r="L11" s="1178" t="s">
        <v>2398</v>
      </c>
      <c r="M11" s="1210" t="s">
        <v>2441</v>
      </c>
      <c r="N11" s="1210" t="s">
        <v>2200</v>
      </c>
      <c r="O11" s="1211">
        <f>1*4</f>
        <v>4</v>
      </c>
      <c r="P11" s="1211">
        <f>1*4</f>
        <v>4</v>
      </c>
      <c r="Q11" s="1211">
        <f>1*4</f>
        <v>4</v>
      </c>
      <c r="R11" s="1211">
        <f>99055.6100000003*4</f>
        <v>396222.44000000122</v>
      </c>
      <c r="S11" s="1211">
        <f>99055.6100000003*4</f>
        <v>396222.44000000122</v>
      </c>
      <c r="T11" s="1211">
        <f t="shared" si="1"/>
        <v>792456.88000000245</v>
      </c>
      <c r="U11" s="1181"/>
      <c r="V11" s="1337"/>
      <c r="W11" s="1337"/>
      <c r="X11" s="1337" t="s">
        <v>2126</v>
      </c>
      <c r="Y11" s="1337" t="s">
        <v>2127</v>
      </c>
      <c r="Z11" s="1338">
        <v>10193055.74</v>
      </c>
      <c r="AA11" s="1338">
        <v>9994941.5199999996</v>
      </c>
      <c r="AB11" s="1338">
        <v>198114.22</v>
      </c>
      <c r="AC11" s="1334"/>
      <c r="AD11" s="1301">
        <v>38646542.020000003</v>
      </c>
      <c r="AE11" s="1301">
        <v>9994942</v>
      </c>
      <c r="AF11" s="1301">
        <v>0</v>
      </c>
      <c r="AG11" s="1301">
        <v>0</v>
      </c>
      <c r="AH11" s="1301">
        <v>1</v>
      </c>
      <c r="AI11" s="1301">
        <v>198113</v>
      </c>
      <c r="AJ11" s="1317">
        <v>1</v>
      </c>
      <c r="AK11" s="1318" t="s">
        <v>2708</v>
      </c>
      <c r="AL11" s="1299"/>
    </row>
    <row r="12" spans="1:38" ht="15.65" x14ac:dyDescent="0.25">
      <c r="C12" s="1210" t="s">
        <v>2616</v>
      </c>
      <c r="D12" s="1210" t="s">
        <v>2438</v>
      </c>
      <c r="E12" s="1305">
        <v>2289947</v>
      </c>
      <c r="F12" s="1210" t="s">
        <v>2527</v>
      </c>
      <c r="G12" s="1210" t="s">
        <v>2438</v>
      </c>
      <c r="H12" s="1270" t="s">
        <v>2668</v>
      </c>
      <c r="I12" s="1210" t="s">
        <v>201</v>
      </c>
      <c r="J12" s="1210" t="s">
        <v>2528</v>
      </c>
      <c r="K12" s="1178" t="s">
        <v>2410</v>
      </c>
      <c r="L12" s="1178" t="s">
        <v>2393</v>
      </c>
      <c r="M12" s="1210" t="s">
        <v>2618</v>
      </c>
      <c r="N12" s="1210" t="s">
        <v>2202</v>
      </c>
      <c r="O12" s="1211">
        <f>8527*2</f>
        <v>17054</v>
      </c>
      <c r="P12" s="1211">
        <v>0</v>
      </c>
      <c r="Q12" s="1211">
        <v>0</v>
      </c>
      <c r="R12" s="1211">
        <f>1216787.145*2</f>
        <v>2433574.29</v>
      </c>
      <c r="S12" s="1211">
        <f>1216787.145*2</f>
        <v>2433574.29</v>
      </c>
      <c r="T12" s="1211">
        <f t="shared" si="1"/>
        <v>4884202.58</v>
      </c>
      <c r="U12" s="1181"/>
      <c r="V12" s="1337"/>
      <c r="W12" s="1337"/>
      <c r="X12" s="1337" t="s">
        <v>2178</v>
      </c>
      <c r="Y12" s="1337" t="s">
        <v>2185</v>
      </c>
      <c r="Z12" s="1338">
        <v>2499998.5499999998</v>
      </c>
      <c r="AA12" s="1338">
        <v>57897.26</v>
      </c>
      <c r="AB12" s="1338">
        <v>8526.2900000000009</v>
      </c>
      <c r="AC12" s="1334"/>
      <c r="AD12" s="1301">
        <v>3097057.9</v>
      </c>
      <c r="AE12" s="1301">
        <v>57897</v>
      </c>
      <c r="AF12" s="1301">
        <v>14260</v>
      </c>
      <c r="AG12" s="1301">
        <v>14260</v>
      </c>
      <c r="AH12" s="1301">
        <v>260094</v>
      </c>
      <c r="AI12" s="1301">
        <v>0</v>
      </c>
      <c r="AJ12" s="1317">
        <v>0</v>
      </c>
      <c r="AK12" s="1318" t="s">
        <v>2707</v>
      </c>
      <c r="AL12" s="1299"/>
    </row>
    <row r="13" spans="1:38" ht="15.65" x14ac:dyDescent="0.25">
      <c r="C13" s="1210" t="s">
        <v>2616</v>
      </c>
      <c r="D13" s="1210" t="s">
        <v>2438</v>
      </c>
      <c r="E13" s="1305">
        <v>2257777</v>
      </c>
      <c r="F13" s="1210" t="s">
        <v>2523</v>
      </c>
      <c r="G13" s="1210" t="s">
        <v>2440</v>
      </c>
      <c r="H13" s="1270" t="s">
        <v>2668</v>
      </c>
      <c r="I13" s="1210" t="s">
        <v>201</v>
      </c>
      <c r="J13" s="1210" t="s">
        <v>2524</v>
      </c>
      <c r="K13" s="1178" t="s">
        <v>2410</v>
      </c>
      <c r="L13" s="1178" t="s">
        <v>2393</v>
      </c>
      <c r="M13" s="1210" t="s">
        <v>2441</v>
      </c>
      <c r="N13" s="1210" t="s">
        <v>2200</v>
      </c>
      <c r="O13" s="1211">
        <f>1372420*2</f>
        <v>2744840</v>
      </c>
      <c r="P13" s="1211">
        <f>588182*2</f>
        <v>1176364</v>
      </c>
      <c r="Q13" s="1211">
        <v>0</v>
      </c>
      <c r="R13" s="1211">
        <f>51594.6800000001*2</f>
        <v>103189.3600000002</v>
      </c>
      <c r="S13" s="1211">
        <f>51594.6800000001*2</f>
        <v>103189.3600000002</v>
      </c>
      <c r="T13" s="1211">
        <f t="shared" si="1"/>
        <v>4127582.7200000007</v>
      </c>
      <c r="U13" s="1181"/>
      <c r="V13" s="1337"/>
      <c r="W13" s="1337"/>
      <c r="X13" s="1337" t="s">
        <v>2120</v>
      </c>
      <c r="Y13" s="1337" t="s">
        <v>2120</v>
      </c>
      <c r="Z13" s="1338">
        <v>2107181.91</v>
      </c>
      <c r="AA13" s="1338">
        <v>43390.55</v>
      </c>
      <c r="AB13" s="1338">
        <v>1960602.36</v>
      </c>
      <c r="AC13" s="1334"/>
      <c r="AD13" s="1301">
        <v>2107181.91</v>
      </c>
      <c r="AE13" s="1301">
        <v>43391</v>
      </c>
      <c r="AF13" s="1301">
        <v>0</v>
      </c>
      <c r="AG13" s="1301">
        <v>0</v>
      </c>
      <c r="AH13" s="1301">
        <v>1238275</v>
      </c>
      <c r="AI13" s="1301">
        <v>825516</v>
      </c>
      <c r="AJ13" s="1317">
        <v>0</v>
      </c>
      <c r="AK13" s="1318" t="s">
        <v>2707</v>
      </c>
      <c r="AL13" s="1299"/>
    </row>
    <row r="14" spans="1:38" ht="15.65" x14ac:dyDescent="0.25">
      <c r="C14" s="1210" t="s">
        <v>2616</v>
      </c>
      <c r="D14" s="1210" t="s">
        <v>2416</v>
      </c>
      <c r="E14" s="1305">
        <v>2179205</v>
      </c>
      <c r="F14" s="1210" t="s">
        <v>2581</v>
      </c>
      <c r="G14" s="1210" t="s">
        <v>2497</v>
      </c>
      <c r="H14" s="1270" t="s">
        <v>2669</v>
      </c>
      <c r="I14" s="1210" t="s">
        <v>194</v>
      </c>
      <c r="J14" s="1210" t="s">
        <v>2480</v>
      </c>
      <c r="K14" s="1178" t="s">
        <v>2410</v>
      </c>
      <c r="L14" s="1178" t="s">
        <v>2398</v>
      </c>
      <c r="M14" s="1210" t="s">
        <v>2420</v>
      </c>
      <c r="N14" s="1210" t="s">
        <v>2199</v>
      </c>
      <c r="O14" s="1211">
        <v>0</v>
      </c>
      <c r="P14" s="1211">
        <v>0</v>
      </c>
      <c r="Q14" s="1211">
        <v>0</v>
      </c>
      <c r="R14" s="1211">
        <v>35776.155000000297</v>
      </c>
      <c r="S14" s="1211">
        <v>35776.155000000297</v>
      </c>
      <c r="T14" s="1211">
        <f t="shared" si="1"/>
        <v>71552.310000000594</v>
      </c>
      <c r="V14" s="1337"/>
      <c r="W14" s="1337"/>
      <c r="X14" s="1337" t="s">
        <v>2114</v>
      </c>
      <c r="Y14" s="1337" t="s">
        <v>2118</v>
      </c>
      <c r="Z14" s="1338">
        <v>4414386.26</v>
      </c>
      <c r="AA14" s="1338">
        <v>4342830.95</v>
      </c>
      <c r="AB14" s="1338">
        <v>71555.31</v>
      </c>
      <c r="AC14" s="1334"/>
      <c r="AD14" s="1301">
        <v>4414386.26</v>
      </c>
      <c r="AE14" s="1301">
        <v>4342831</v>
      </c>
      <c r="AF14" s="1301">
        <v>0</v>
      </c>
      <c r="AG14" s="1301">
        <v>0</v>
      </c>
      <c r="AH14" s="1301">
        <v>1</v>
      </c>
      <c r="AI14" s="1301">
        <v>1</v>
      </c>
      <c r="AJ14" s="1319">
        <v>1</v>
      </c>
      <c r="AK14" s="1318" t="s">
        <v>2716</v>
      </c>
      <c r="AL14" s="1299"/>
    </row>
    <row r="15" spans="1:38" ht="15.65" x14ac:dyDescent="0.25">
      <c r="C15" s="1210" t="s">
        <v>2616</v>
      </c>
      <c r="D15" s="1210" t="s">
        <v>2416</v>
      </c>
      <c r="E15" s="1305">
        <v>2181124</v>
      </c>
      <c r="F15" s="1210" t="s">
        <v>2517</v>
      </c>
      <c r="G15" s="1210" t="s">
        <v>2418</v>
      </c>
      <c r="H15" s="1270" t="s">
        <v>2669</v>
      </c>
      <c r="I15" s="1210" t="s">
        <v>194</v>
      </c>
      <c r="J15" s="1210" t="s">
        <v>2518</v>
      </c>
      <c r="K15" s="1178" t="s">
        <v>2454</v>
      </c>
      <c r="L15" s="1178" t="s">
        <v>2398</v>
      </c>
      <c r="M15" s="1210" t="s">
        <v>2420</v>
      </c>
      <c r="N15" s="1210" t="s">
        <v>2202</v>
      </c>
      <c r="O15" s="1211">
        <v>4205883</v>
      </c>
      <c r="P15" s="1211">
        <v>0</v>
      </c>
      <c r="Q15" s="1211">
        <v>0</v>
      </c>
      <c r="R15" s="1211">
        <v>0</v>
      </c>
      <c r="S15" s="1211">
        <v>0</v>
      </c>
      <c r="T15" s="1211">
        <f t="shared" si="1"/>
        <v>4205883</v>
      </c>
      <c r="U15" s="1181"/>
      <c r="V15" s="1337"/>
      <c r="W15" s="1337"/>
      <c r="X15" s="1337" t="s">
        <v>2136</v>
      </c>
      <c r="Y15" s="1337" t="s">
        <v>2166</v>
      </c>
      <c r="Z15" s="1338">
        <v>4272883</v>
      </c>
      <c r="AA15" s="1338">
        <v>67000</v>
      </c>
      <c r="AB15" s="1338">
        <v>4205883</v>
      </c>
      <c r="AC15" s="1334"/>
      <c r="AD15" s="1301">
        <v>4272883</v>
      </c>
      <c r="AE15" s="1301">
        <v>67000</v>
      </c>
      <c r="AF15" s="1301">
        <v>0</v>
      </c>
      <c r="AG15" s="1301">
        <v>0</v>
      </c>
      <c r="AH15" s="1301">
        <v>4205000</v>
      </c>
      <c r="AI15" s="1301">
        <v>882</v>
      </c>
      <c r="AJ15" s="1319">
        <v>1</v>
      </c>
      <c r="AK15" s="1318" t="s">
        <v>2716</v>
      </c>
      <c r="AL15" s="1299"/>
    </row>
    <row r="16" spans="1:38" ht="15.65" x14ac:dyDescent="0.25">
      <c r="C16" s="1210" t="s">
        <v>2616</v>
      </c>
      <c r="D16" s="1210" t="s">
        <v>2416</v>
      </c>
      <c r="E16" s="1305">
        <v>2184611</v>
      </c>
      <c r="F16" s="1210" t="s">
        <v>2531</v>
      </c>
      <c r="G16" s="1210" t="s">
        <v>2486</v>
      </c>
      <c r="H16" s="1270" t="s">
        <v>2669</v>
      </c>
      <c r="I16" s="1210" t="s">
        <v>196</v>
      </c>
      <c r="J16" s="1210" t="s">
        <v>2427</v>
      </c>
      <c r="K16" s="1178" t="s">
        <v>2454</v>
      </c>
      <c r="L16" s="1178" t="s">
        <v>2398</v>
      </c>
      <c r="M16" s="1210" t="s">
        <v>2420</v>
      </c>
      <c r="N16" s="1210" t="s">
        <v>2202</v>
      </c>
      <c r="O16" s="1211">
        <f>30000*2</f>
        <v>60000</v>
      </c>
      <c r="P16" s="1211">
        <f>30000*2</f>
        <v>60000</v>
      </c>
      <c r="Q16" s="1211">
        <f>30000*2</f>
        <v>60000</v>
      </c>
      <c r="R16" s="1211">
        <f>726000*2</f>
        <v>1452000</v>
      </c>
      <c r="S16" s="1211">
        <f>726000*2</f>
        <v>1452000</v>
      </c>
      <c r="T16" s="1211">
        <f t="shared" si="1"/>
        <v>3084000</v>
      </c>
      <c r="U16" s="1181"/>
      <c r="V16" s="1337"/>
      <c r="W16" s="1337"/>
      <c r="X16" s="1337" t="s">
        <v>2120</v>
      </c>
      <c r="Y16" s="1337" t="s">
        <v>2125</v>
      </c>
      <c r="Z16" s="1338">
        <v>1583000</v>
      </c>
      <c r="AA16" s="1338">
        <v>41000</v>
      </c>
      <c r="AB16" s="1338">
        <v>1542000</v>
      </c>
      <c r="AC16" s="1334"/>
      <c r="AD16" s="1301">
        <v>1583000</v>
      </c>
      <c r="AE16" s="1301">
        <v>41000</v>
      </c>
      <c r="AF16" s="1301">
        <v>0</v>
      </c>
      <c r="AG16" s="1301">
        <v>0</v>
      </c>
      <c r="AH16" s="1301">
        <v>40000</v>
      </c>
      <c r="AI16" s="1301">
        <v>30000</v>
      </c>
      <c r="AJ16" s="1319">
        <v>10000</v>
      </c>
      <c r="AK16" s="1318" t="s">
        <v>2716</v>
      </c>
      <c r="AL16" s="1299"/>
    </row>
    <row r="17" spans="3:38" ht="15.65" x14ac:dyDescent="0.25">
      <c r="C17" s="1210" t="s">
        <v>2616</v>
      </c>
      <c r="D17" s="1210" t="s">
        <v>2416</v>
      </c>
      <c r="E17" s="1305">
        <v>2191773</v>
      </c>
      <c r="F17" s="1210" t="s">
        <v>2492</v>
      </c>
      <c r="G17" s="1210" t="s">
        <v>2418</v>
      </c>
      <c r="H17" s="1270" t="s">
        <v>2669</v>
      </c>
      <c r="I17" s="1210" t="s">
        <v>194</v>
      </c>
      <c r="J17" s="1210" t="s">
        <v>2493</v>
      </c>
      <c r="K17" s="1178" t="s">
        <v>2454</v>
      </c>
      <c r="L17" s="1178" t="s">
        <v>2398</v>
      </c>
      <c r="M17" s="1210" t="s">
        <v>2420</v>
      </c>
      <c r="N17" s="1210" t="s">
        <v>2200</v>
      </c>
      <c r="O17" s="1211">
        <v>2323830</v>
      </c>
      <c r="P17" s="1211">
        <v>0</v>
      </c>
      <c r="Q17" s="1211">
        <v>0</v>
      </c>
      <c r="R17" s="1211">
        <v>0</v>
      </c>
      <c r="S17" s="1211">
        <v>0</v>
      </c>
      <c r="T17" s="1211">
        <f t="shared" si="1"/>
        <v>2323830</v>
      </c>
      <c r="U17" s="1181"/>
      <c r="V17" s="1337"/>
      <c r="W17" s="1337"/>
      <c r="X17" s="1337" t="s">
        <v>2120</v>
      </c>
      <c r="Y17" s="1337" t="s">
        <v>2121</v>
      </c>
      <c r="Z17" s="1338">
        <v>2329330</v>
      </c>
      <c r="AA17" s="1338">
        <v>5500</v>
      </c>
      <c r="AB17" s="1338">
        <v>2323830</v>
      </c>
      <c r="AC17" s="1334"/>
      <c r="AD17" s="1301">
        <v>2329330</v>
      </c>
      <c r="AE17" s="1301">
        <v>5500</v>
      </c>
      <c r="AF17" s="1301">
        <v>0</v>
      </c>
      <c r="AG17" s="1301">
        <v>0</v>
      </c>
      <c r="AH17" s="1301">
        <v>100000</v>
      </c>
      <c r="AI17" s="1301">
        <v>2223830</v>
      </c>
      <c r="AJ17" s="1317">
        <v>0</v>
      </c>
      <c r="AK17" s="1318" t="s">
        <v>2707</v>
      </c>
      <c r="AL17" s="1299"/>
    </row>
    <row r="18" spans="3:38" s="1313" customFormat="1" ht="15.65" x14ac:dyDescent="0.25">
      <c r="C18" s="1307" t="s">
        <v>2616</v>
      </c>
      <c r="D18" s="1307" t="s">
        <v>2416</v>
      </c>
      <c r="E18" s="1305">
        <v>2329177</v>
      </c>
      <c r="F18" s="1307" t="s">
        <v>2552</v>
      </c>
      <c r="G18" s="1307" t="s">
        <v>2497</v>
      </c>
      <c r="H18" s="1308" t="s">
        <v>2669</v>
      </c>
      <c r="I18" s="1307" t="s">
        <v>194</v>
      </c>
      <c r="J18" s="1307" t="s">
        <v>2403</v>
      </c>
      <c r="K18" s="1310" t="s">
        <v>2410</v>
      </c>
      <c r="L18" s="1310" t="s">
        <v>2388</v>
      </c>
      <c r="M18" s="1307" t="s">
        <v>2420</v>
      </c>
      <c r="N18" s="1307" t="s">
        <v>2199</v>
      </c>
      <c r="O18" s="1311">
        <v>891683.92516407499</v>
      </c>
      <c r="P18" s="1311">
        <v>549780.56430843298</v>
      </c>
      <c r="Q18" s="1311">
        <v>0</v>
      </c>
      <c r="R18" s="1311">
        <v>0</v>
      </c>
      <c r="S18" s="1311">
        <v>0</v>
      </c>
      <c r="T18" s="1311">
        <f t="shared" si="1"/>
        <v>1441464.489472508</v>
      </c>
      <c r="U18" s="1181"/>
      <c r="V18" s="1339"/>
      <c r="W18" s="1339"/>
      <c r="X18" s="1524" t="s">
        <v>2114</v>
      </c>
      <c r="Y18" s="1524" t="s">
        <v>2114</v>
      </c>
      <c r="Z18" s="1524">
        <v>8923747</v>
      </c>
      <c r="AA18" s="1524">
        <v>3001386.34</v>
      </c>
      <c r="AB18" s="1524">
        <v>4387410.66</v>
      </c>
      <c r="AC18" s="1334"/>
      <c r="AD18" s="1531">
        <v>8923747</v>
      </c>
      <c r="AE18" s="1531">
        <v>6378425</v>
      </c>
      <c r="AF18" s="1531">
        <v>1500000</v>
      </c>
      <c r="AG18" s="1531">
        <v>1500000</v>
      </c>
      <c r="AH18" s="1531">
        <v>1045322</v>
      </c>
      <c r="AI18" s="1531">
        <v>0</v>
      </c>
      <c r="AJ18" s="1531">
        <v>0</v>
      </c>
      <c r="AK18" s="1531" t="s">
        <v>2707</v>
      </c>
      <c r="AL18" s="1312"/>
    </row>
    <row r="19" spans="3:38" s="1313" customFormat="1" ht="15.65" x14ac:dyDescent="0.25">
      <c r="C19" s="1307" t="s">
        <v>2616</v>
      </c>
      <c r="D19" s="1307" t="s">
        <v>2416</v>
      </c>
      <c r="E19" s="1305">
        <v>2329177</v>
      </c>
      <c r="F19" s="1307" t="s">
        <v>2552</v>
      </c>
      <c r="G19" s="1307" t="s">
        <v>2497</v>
      </c>
      <c r="H19" s="1308" t="s">
        <v>2669</v>
      </c>
      <c r="I19" s="1307" t="s">
        <v>194</v>
      </c>
      <c r="J19" s="1307" t="s">
        <v>2403</v>
      </c>
      <c r="K19" s="1310" t="s">
        <v>2410</v>
      </c>
      <c r="L19" s="1310" t="s">
        <v>2388</v>
      </c>
      <c r="M19" s="1307" t="s">
        <v>2420</v>
      </c>
      <c r="N19" s="1307" t="s">
        <v>2200</v>
      </c>
      <c r="O19" s="1311">
        <v>891175.14552148501</v>
      </c>
      <c r="P19" s="1311">
        <v>549466.86889336701</v>
      </c>
      <c r="Q19" s="1311">
        <v>0</v>
      </c>
      <c r="R19" s="1311">
        <v>0</v>
      </c>
      <c r="S19" s="1311">
        <v>0</v>
      </c>
      <c r="T19" s="1311">
        <f t="shared" si="1"/>
        <v>1440642.014414852</v>
      </c>
      <c r="U19" s="1181"/>
      <c r="V19" s="1339"/>
      <c r="W19" s="1339"/>
      <c r="X19" s="1525" t="s">
        <v>2114</v>
      </c>
      <c r="Y19" s="1525" t="s">
        <v>2114</v>
      </c>
      <c r="Z19" s="1525">
        <v>8923747</v>
      </c>
      <c r="AA19" s="1525">
        <v>3001386.34</v>
      </c>
      <c r="AB19" s="1525"/>
      <c r="AC19" s="1334"/>
      <c r="AD19" s="1532"/>
      <c r="AE19" s="1532"/>
      <c r="AF19" s="1532"/>
      <c r="AG19" s="1532"/>
      <c r="AH19" s="1532"/>
      <c r="AI19" s="1532"/>
      <c r="AJ19" s="1532"/>
      <c r="AK19" s="1532"/>
      <c r="AL19" s="1312"/>
    </row>
    <row r="20" spans="3:38" s="1313" customFormat="1" ht="15.65" x14ac:dyDescent="0.25">
      <c r="C20" s="1307" t="s">
        <v>2616</v>
      </c>
      <c r="D20" s="1307" t="s">
        <v>2416</v>
      </c>
      <c r="E20" s="1305">
        <v>2329177</v>
      </c>
      <c r="F20" s="1307" t="s">
        <v>2552</v>
      </c>
      <c r="G20" s="1307" t="s">
        <v>2497</v>
      </c>
      <c r="H20" s="1308" t="s">
        <v>2669</v>
      </c>
      <c r="I20" s="1307" t="s">
        <v>194</v>
      </c>
      <c r="J20" s="1307" t="s">
        <v>2403</v>
      </c>
      <c r="K20" s="1310" t="s">
        <v>2410</v>
      </c>
      <c r="L20" s="1310" t="s">
        <v>2388</v>
      </c>
      <c r="M20" s="1307" t="s">
        <v>2420</v>
      </c>
      <c r="N20" s="1307" t="s">
        <v>2201</v>
      </c>
      <c r="O20" s="1311">
        <v>783260.00210872502</v>
      </c>
      <c r="P20" s="1311">
        <v>482930.23324416502</v>
      </c>
      <c r="Q20" s="1311">
        <v>0</v>
      </c>
      <c r="R20" s="1311">
        <v>0</v>
      </c>
      <c r="S20" s="1311">
        <v>0</v>
      </c>
      <c r="T20" s="1311">
        <f t="shared" si="1"/>
        <v>1266190.2353528901</v>
      </c>
      <c r="U20" s="1181"/>
      <c r="V20" s="1339"/>
      <c r="W20" s="1339"/>
      <c r="X20" s="1525" t="s">
        <v>2114</v>
      </c>
      <c r="Y20" s="1525" t="s">
        <v>2114</v>
      </c>
      <c r="Z20" s="1525">
        <v>8923747</v>
      </c>
      <c r="AA20" s="1525">
        <v>3001386.34</v>
      </c>
      <c r="AB20" s="1525"/>
      <c r="AC20" s="1334"/>
      <c r="AD20" s="1532"/>
      <c r="AE20" s="1532"/>
      <c r="AF20" s="1532"/>
      <c r="AG20" s="1532"/>
      <c r="AH20" s="1532"/>
      <c r="AI20" s="1532"/>
      <c r="AJ20" s="1532"/>
      <c r="AK20" s="1532"/>
      <c r="AL20" s="1312"/>
    </row>
    <row r="21" spans="3:38" s="1313" customFormat="1" ht="15.65" x14ac:dyDescent="0.25">
      <c r="C21" s="1307" t="s">
        <v>2616</v>
      </c>
      <c r="D21" s="1307" t="s">
        <v>2416</v>
      </c>
      <c r="E21" s="1305">
        <v>2329177</v>
      </c>
      <c r="F21" s="1307" t="s">
        <v>2552</v>
      </c>
      <c r="G21" s="1307" t="s">
        <v>2497</v>
      </c>
      <c r="H21" s="1308" t="s">
        <v>2669</v>
      </c>
      <c r="I21" s="1307" t="s">
        <v>194</v>
      </c>
      <c r="J21" s="1307" t="s">
        <v>2403</v>
      </c>
      <c r="K21" s="1310" t="s">
        <v>2410</v>
      </c>
      <c r="L21" s="1310" t="s">
        <v>2388</v>
      </c>
      <c r="M21" s="1307" t="s">
        <v>2420</v>
      </c>
      <c r="N21" s="1307" t="s">
        <v>2202</v>
      </c>
      <c r="O21" s="1311">
        <v>2433880.9272057102</v>
      </c>
      <c r="P21" s="1311">
        <v>1500644.3335540399</v>
      </c>
      <c r="Q21" s="1311">
        <v>0</v>
      </c>
      <c r="R21" s="1311">
        <v>0</v>
      </c>
      <c r="S21" s="1311">
        <v>0</v>
      </c>
      <c r="T21" s="1311">
        <f t="shared" si="1"/>
        <v>3934525.2607597504</v>
      </c>
      <c r="U21" s="1181"/>
      <c r="V21" s="1339"/>
      <c r="W21" s="1339"/>
      <c r="X21" s="1526" t="s">
        <v>2114</v>
      </c>
      <c r="Y21" s="1526" t="s">
        <v>2114</v>
      </c>
      <c r="Z21" s="1526">
        <v>8923747</v>
      </c>
      <c r="AA21" s="1526">
        <v>3001386.34</v>
      </c>
      <c r="AB21" s="1526"/>
      <c r="AC21" s="1334"/>
      <c r="AD21" s="1533"/>
      <c r="AE21" s="1533"/>
      <c r="AF21" s="1533"/>
      <c r="AG21" s="1533"/>
      <c r="AH21" s="1533"/>
      <c r="AI21" s="1533"/>
      <c r="AJ21" s="1533"/>
      <c r="AK21" s="1533"/>
      <c r="AL21" s="1312"/>
    </row>
    <row r="22" spans="3:38" s="1313" customFormat="1" ht="15.65" x14ac:dyDescent="0.25">
      <c r="C22" s="1307" t="s">
        <v>2616</v>
      </c>
      <c r="D22" s="1307" t="s">
        <v>2416</v>
      </c>
      <c r="E22" s="1305">
        <v>2244501</v>
      </c>
      <c r="F22" s="1307" t="s">
        <v>2569</v>
      </c>
      <c r="G22" s="1307" t="s">
        <v>2453</v>
      </c>
      <c r="H22" s="1308" t="s">
        <v>2669</v>
      </c>
      <c r="I22" s="1307" t="s">
        <v>194</v>
      </c>
      <c r="J22" s="1307" t="s">
        <v>2502</v>
      </c>
      <c r="K22" s="1310" t="s">
        <v>2410</v>
      </c>
      <c r="L22" s="1310" t="s">
        <v>2398</v>
      </c>
      <c r="M22" s="1307" t="s">
        <v>2420</v>
      </c>
      <c r="N22" s="1307" t="s">
        <v>2199</v>
      </c>
      <c r="O22" s="1311">
        <v>113596</v>
      </c>
      <c r="P22" s="1311">
        <v>0</v>
      </c>
      <c r="Q22" s="1311">
        <v>0</v>
      </c>
      <c r="R22" s="1311">
        <v>0</v>
      </c>
      <c r="S22" s="1311">
        <v>0</v>
      </c>
      <c r="T22" s="1311">
        <f t="shared" si="1"/>
        <v>113596</v>
      </c>
      <c r="U22" s="1181"/>
      <c r="V22" s="1339"/>
      <c r="W22" s="1339"/>
      <c r="X22" s="1339" t="s">
        <v>2114</v>
      </c>
      <c r="Y22" s="1339" t="s">
        <v>2117</v>
      </c>
      <c r="Z22" s="1524">
        <v>3388239.5</v>
      </c>
      <c r="AA22" s="1524">
        <v>2749873.1</v>
      </c>
      <c r="AB22" s="1524">
        <v>113595.61</v>
      </c>
      <c r="AC22" s="1334"/>
      <c r="AD22" s="1527">
        <v>3388239.5</v>
      </c>
      <c r="AE22" s="1527">
        <v>3180650</v>
      </c>
      <c r="AF22" s="1527">
        <v>0</v>
      </c>
      <c r="AG22" s="1527">
        <v>0</v>
      </c>
      <c r="AH22" s="1527">
        <v>207588</v>
      </c>
      <c r="AI22" s="1527">
        <v>1</v>
      </c>
      <c r="AJ22" s="1527">
        <v>1</v>
      </c>
      <c r="AK22" s="1527" t="s">
        <v>2708</v>
      </c>
      <c r="AL22" s="1312"/>
    </row>
    <row r="23" spans="3:38" ht="15.65" x14ac:dyDescent="0.25">
      <c r="C23" s="1210" t="s">
        <v>2616</v>
      </c>
      <c r="D23" s="1210" t="s">
        <v>2416</v>
      </c>
      <c r="E23" s="1305">
        <v>2244501</v>
      </c>
      <c r="F23" s="1210" t="s">
        <v>2573</v>
      </c>
      <c r="G23" s="1210" t="s">
        <v>2497</v>
      </c>
      <c r="H23" s="1270" t="s">
        <v>2669</v>
      </c>
      <c r="I23" s="1210" t="s">
        <v>194</v>
      </c>
      <c r="J23" s="1210" t="s">
        <v>2561</v>
      </c>
      <c r="K23" s="1178" t="s">
        <v>2410</v>
      </c>
      <c r="L23" s="1178" t="s">
        <v>2398</v>
      </c>
      <c r="M23" s="1210" t="s">
        <v>2420</v>
      </c>
      <c r="N23" s="1210" t="s">
        <v>2200</v>
      </c>
      <c r="O23" s="1211">
        <f>32421*2</f>
        <v>64842</v>
      </c>
      <c r="P23" s="1211">
        <f>331947*2</f>
        <v>663894</v>
      </c>
      <c r="Q23" s="1211">
        <v>0</v>
      </c>
      <c r="R23" s="1211">
        <v>0</v>
      </c>
      <c r="S23" s="1211">
        <v>0</v>
      </c>
      <c r="T23" s="1211">
        <f t="shared" si="1"/>
        <v>728736</v>
      </c>
      <c r="U23" s="1181"/>
      <c r="V23" s="1337"/>
      <c r="W23" s="1337"/>
      <c r="X23" s="1337" t="s">
        <v>2120</v>
      </c>
      <c r="Y23" s="1337" t="s">
        <v>2124</v>
      </c>
      <c r="Z23" s="1525">
        <v>4684520.8499999996</v>
      </c>
      <c r="AA23" s="1525">
        <v>4078936.98</v>
      </c>
      <c r="AB23" s="1525">
        <v>364367.87</v>
      </c>
      <c r="AC23" s="1334"/>
      <c r="AD23" s="1528">
        <v>3388239.5</v>
      </c>
      <c r="AE23" s="1528">
        <v>3180650</v>
      </c>
      <c r="AF23" s="1528">
        <v>0</v>
      </c>
      <c r="AG23" s="1528">
        <v>0</v>
      </c>
      <c r="AH23" s="1528">
        <v>207588</v>
      </c>
      <c r="AI23" s="1528">
        <v>1</v>
      </c>
      <c r="AJ23" s="1528">
        <v>1</v>
      </c>
      <c r="AK23" s="1528" t="s">
        <v>2708</v>
      </c>
      <c r="AL23" s="1299"/>
    </row>
    <row r="24" spans="3:38" ht="15.65" x14ac:dyDescent="0.25">
      <c r="C24" s="1210" t="s">
        <v>2616</v>
      </c>
      <c r="D24" s="1210" t="s">
        <v>2416</v>
      </c>
      <c r="E24" s="1305">
        <v>2270994</v>
      </c>
      <c r="F24" s="1210" t="s">
        <v>2555</v>
      </c>
      <c r="G24" s="1210" t="s">
        <v>2556</v>
      </c>
      <c r="H24" s="1270" t="s">
        <v>2669</v>
      </c>
      <c r="I24" s="1210" t="s">
        <v>196</v>
      </c>
      <c r="J24" s="1210" t="s">
        <v>2557</v>
      </c>
      <c r="K24" s="1178" t="s">
        <v>2410</v>
      </c>
      <c r="L24" s="1178" t="s">
        <v>2393</v>
      </c>
      <c r="M24" s="1210" t="s">
        <v>2420</v>
      </c>
      <c r="N24" s="1210" t="s">
        <v>2202</v>
      </c>
      <c r="O24" s="1211">
        <v>569283</v>
      </c>
      <c r="P24" s="1211">
        <v>431877</v>
      </c>
      <c r="Q24" s="1211">
        <v>256815</v>
      </c>
      <c r="R24" s="1211">
        <v>1358261.28</v>
      </c>
      <c r="S24" s="1211">
        <v>1358261.28</v>
      </c>
      <c r="T24" s="1211">
        <f t="shared" si="1"/>
        <v>3974497.5600000005</v>
      </c>
      <c r="U24" s="1181"/>
      <c r="V24" s="1337"/>
      <c r="W24" s="1337"/>
      <c r="X24" s="1337" t="s">
        <v>2139</v>
      </c>
      <c r="Y24" s="1337" t="s">
        <v>2191</v>
      </c>
      <c r="Z24" s="1338">
        <v>10702199.91</v>
      </c>
      <c r="AA24" s="1338">
        <v>5244225.3499999996</v>
      </c>
      <c r="AB24" s="1338">
        <v>1257974.56</v>
      </c>
      <c r="AC24" s="1334"/>
      <c r="AD24" s="1301">
        <v>14493796.73</v>
      </c>
      <c r="AE24" s="1301">
        <v>5770602</v>
      </c>
      <c r="AF24" s="1301">
        <v>5647920</v>
      </c>
      <c r="AG24" s="1301">
        <v>2003852</v>
      </c>
      <c r="AH24" s="1301">
        <v>1100000</v>
      </c>
      <c r="AI24" s="1301">
        <v>1000000</v>
      </c>
      <c r="AJ24" s="1320">
        <v>946814</v>
      </c>
      <c r="AK24" s="1318" t="s">
        <v>2707</v>
      </c>
      <c r="AL24" s="1299"/>
    </row>
    <row r="25" spans="3:38" ht="15.65" x14ac:dyDescent="0.25">
      <c r="C25" s="1210" t="s">
        <v>2616</v>
      </c>
      <c r="D25" s="1210" t="s">
        <v>2416</v>
      </c>
      <c r="E25" s="1305">
        <v>2306858</v>
      </c>
      <c r="F25" s="1210" t="s">
        <v>2550</v>
      </c>
      <c r="G25" s="1210" t="s">
        <v>2551</v>
      </c>
      <c r="H25" s="1270" t="s">
        <v>2669</v>
      </c>
      <c r="I25" s="1210" t="s">
        <v>194</v>
      </c>
      <c r="J25" s="1210" t="s">
        <v>2403</v>
      </c>
      <c r="K25" s="1178" t="s">
        <v>2410</v>
      </c>
      <c r="L25" s="1178" t="s">
        <v>2388</v>
      </c>
      <c r="M25" s="1210" t="s">
        <v>2420</v>
      </c>
      <c r="N25" s="1210" t="s">
        <v>2202</v>
      </c>
      <c r="O25" s="1211">
        <f>1948325*2</f>
        <v>3896650</v>
      </c>
      <c r="P25" s="1211">
        <v>0</v>
      </c>
      <c r="Q25" s="1211">
        <v>0</v>
      </c>
      <c r="R25" s="1211">
        <v>0</v>
      </c>
      <c r="S25" s="1211">
        <v>0</v>
      </c>
      <c r="T25" s="1211">
        <f t="shared" si="1"/>
        <v>3896650</v>
      </c>
      <c r="U25" s="1181"/>
      <c r="V25" s="1337"/>
      <c r="W25" s="1337"/>
      <c r="X25" s="1337" t="s">
        <v>2149</v>
      </c>
      <c r="Y25" s="1337" t="s">
        <v>2160</v>
      </c>
      <c r="Z25" s="1338">
        <v>3883598.47</v>
      </c>
      <c r="AA25" s="1338">
        <v>1279397.18</v>
      </c>
      <c r="AB25" s="1338">
        <v>1948325.62</v>
      </c>
      <c r="AC25" s="1334"/>
      <c r="AD25" s="1301">
        <v>3883598.47</v>
      </c>
      <c r="AE25" s="1301">
        <v>2633239</v>
      </c>
      <c r="AF25" s="1301">
        <v>1095264</v>
      </c>
      <c r="AG25" s="1301">
        <v>1095264</v>
      </c>
      <c r="AH25" s="1301">
        <v>155096</v>
      </c>
      <c r="AI25" s="1301">
        <v>0</v>
      </c>
      <c r="AJ25" s="1317">
        <v>0</v>
      </c>
      <c r="AK25" s="1318" t="s">
        <v>2707</v>
      </c>
      <c r="AL25" s="1299"/>
    </row>
    <row r="26" spans="3:38" ht="15.65" x14ac:dyDescent="0.25">
      <c r="C26" s="1210" t="s">
        <v>2616</v>
      </c>
      <c r="D26" s="1210" t="s">
        <v>2416</v>
      </c>
      <c r="E26" s="1305">
        <v>2307903</v>
      </c>
      <c r="F26" s="1210" t="s">
        <v>2563</v>
      </c>
      <c r="G26" s="1210" t="s">
        <v>2418</v>
      </c>
      <c r="H26" s="1270" t="s">
        <v>2669</v>
      </c>
      <c r="I26" s="1210" t="s">
        <v>194</v>
      </c>
      <c r="J26" s="1210" t="s">
        <v>2403</v>
      </c>
      <c r="K26" s="1178" t="s">
        <v>2410</v>
      </c>
      <c r="L26" s="1178" t="s">
        <v>2388</v>
      </c>
      <c r="M26" s="1210" t="s">
        <v>2420</v>
      </c>
      <c r="N26" s="1210" t="s">
        <v>2199</v>
      </c>
      <c r="O26" s="1211">
        <v>443381.98496929498</v>
      </c>
      <c r="P26" s="1211">
        <v>0</v>
      </c>
      <c r="Q26" s="1211">
        <v>0</v>
      </c>
      <c r="R26" s="1211">
        <v>0</v>
      </c>
      <c r="S26" s="1211">
        <v>0</v>
      </c>
      <c r="T26" s="1211">
        <f t="shared" si="1"/>
        <v>443381.98496929498</v>
      </c>
      <c r="U26" s="1181"/>
      <c r="V26" s="1337"/>
      <c r="W26" s="1337"/>
      <c r="X26" s="1524" t="s">
        <v>2126</v>
      </c>
      <c r="Y26" s="1524" t="s">
        <v>2130</v>
      </c>
      <c r="Z26" s="1524">
        <v>9964057.1899999995</v>
      </c>
      <c r="AA26" s="1524">
        <v>7143639.1799999997</v>
      </c>
      <c r="AB26" s="1524">
        <v>1243103.3400000001</v>
      </c>
      <c r="AC26" s="1334"/>
      <c r="AD26" s="1527">
        <v>12033666.73</v>
      </c>
      <c r="AE26" s="1527">
        <v>10351847</v>
      </c>
      <c r="AF26" s="1527">
        <v>1185067</v>
      </c>
      <c r="AG26" s="1527">
        <v>1185067</v>
      </c>
      <c r="AH26" s="1527">
        <v>496753</v>
      </c>
      <c r="AI26" s="1527">
        <v>0</v>
      </c>
      <c r="AJ26" s="1527">
        <v>0</v>
      </c>
      <c r="AK26" s="1530" t="s">
        <v>2707</v>
      </c>
      <c r="AL26" s="1299"/>
    </row>
    <row r="27" spans="3:38" ht="15.65" x14ac:dyDescent="0.25">
      <c r="C27" s="1210" t="s">
        <v>2616</v>
      </c>
      <c r="D27" s="1210" t="s">
        <v>2416</v>
      </c>
      <c r="E27" s="1305">
        <v>2307903</v>
      </c>
      <c r="F27" s="1210" t="s">
        <v>2563</v>
      </c>
      <c r="G27" s="1210" t="s">
        <v>2418</v>
      </c>
      <c r="H27" s="1270" t="s">
        <v>2669</v>
      </c>
      <c r="I27" s="1210" t="s">
        <v>194</v>
      </c>
      <c r="J27" s="1210" t="s">
        <v>2403</v>
      </c>
      <c r="K27" s="1178" t="s">
        <v>2410</v>
      </c>
      <c r="L27" s="1178" t="s">
        <v>2388</v>
      </c>
      <c r="M27" s="1210" t="s">
        <v>2420</v>
      </c>
      <c r="N27" s="1210" t="s">
        <v>2200</v>
      </c>
      <c r="O27" s="1211">
        <v>443128.998769278</v>
      </c>
      <c r="P27" s="1211">
        <v>0</v>
      </c>
      <c r="Q27" s="1211">
        <v>0</v>
      </c>
      <c r="R27" s="1211">
        <v>0</v>
      </c>
      <c r="S27" s="1211">
        <v>0</v>
      </c>
      <c r="T27" s="1211">
        <f t="shared" si="1"/>
        <v>443128.998769278</v>
      </c>
      <c r="U27" s="1181"/>
      <c r="V27" s="1337"/>
      <c r="W27" s="1337"/>
      <c r="X27" s="1525" t="s">
        <v>2126</v>
      </c>
      <c r="Y27" s="1525" t="s">
        <v>2130</v>
      </c>
      <c r="Z27" s="1525">
        <v>9964057.1899999995</v>
      </c>
      <c r="AA27" s="1525">
        <v>7143639.1799999997</v>
      </c>
      <c r="AB27" s="1525">
        <v>1243103.3400000001</v>
      </c>
      <c r="AC27" s="1334"/>
      <c r="AD27" s="1528"/>
      <c r="AE27" s="1528"/>
      <c r="AF27" s="1528"/>
      <c r="AG27" s="1528"/>
      <c r="AH27" s="1528"/>
      <c r="AI27" s="1528"/>
      <c r="AJ27" s="1528"/>
      <c r="AK27" s="1530"/>
      <c r="AL27" s="1299"/>
    </row>
    <row r="28" spans="3:38" ht="15.65" x14ac:dyDescent="0.25">
      <c r="C28" s="1210" t="s">
        <v>2616</v>
      </c>
      <c r="D28" s="1210" t="s">
        <v>2416</v>
      </c>
      <c r="E28" s="1305">
        <v>2307903</v>
      </c>
      <c r="F28" s="1210" t="s">
        <v>2563</v>
      </c>
      <c r="G28" s="1210" t="s">
        <v>2418</v>
      </c>
      <c r="H28" s="1270" t="s">
        <v>2669</v>
      </c>
      <c r="I28" s="1210" t="s">
        <v>194</v>
      </c>
      <c r="J28" s="1210" t="s">
        <v>2403</v>
      </c>
      <c r="K28" s="1178" t="s">
        <v>2410</v>
      </c>
      <c r="L28" s="1178" t="s">
        <v>2388</v>
      </c>
      <c r="M28" s="1210" t="s">
        <v>2420</v>
      </c>
      <c r="N28" s="1210" t="s">
        <v>2201</v>
      </c>
      <c r="O28" s="1211">
        <v>389469.14336054499</v>
      </c>
      <c r="P28" s="1211">
        <v>0</v>
      </c>
      <c r="Q28" s="1211">
        <v>0</v>
      </c>
      <c r="R28" s="1211">
        <v>0</v>
      </c>
      <c r="S28" s="1211">
        <v>0</v>
      </c>
      <c r="T28" s="1211">
        <f t="shared" si="1"/>
        <v>389469.14336054499</v>
      </c>
      <c r="U28" s="1181"/>
      <c r="V28" s="1337"/>
      <c r="W28" s="1337"/>
      <c r="X28" s="1525" t="s">
        <v>2126</v>
      </c>
      <c r="Y28" s="1525" t="s">
        <v>2130</v>
      </c>
      <c r="Z28" s="1525">
        <v>9964057.1899999995</v>
      </c>
      <c r="AA28" s="1525">
        <v>7143639.1799999997</v>
      </c>
      <c r="AB28" s="1525">
        <v>1243103.3400000001</v>
      </c>
      <c r="AC28" s="1334"/>
      <c r="AD28" s="1528"/>
      <c r="AE28" s="1528"/>
      <c r="AF28" s="1528"/>
      <c r="AG28" s="1528"/>
      <c r="AH28" s="1528"/>
      <c r="AI28" s="1528"/>
      <c r="AJ28" s="1528"/>
      <c r="AK28" s="1530"/>
      <c r="AL28" s="1299"/>
    </row>
    <row r="29" spans="3:38" ht="15.65" x14ac:dyDescent="0.25">
      <c r="C29" s="1210" t="s">
        <v>2616</v>
      </c>
      <c r="D29" s="1210" t="s">
        <v>2416</v>
      </c>
      <c r="E29" s="1305">
        <v>2307903</v>
      </c>
      <c r="F29" s="1210" t="s">
        <v>2563</v>
      </c>
      <c r="G29" s="1210" t="s">
        <v>2418</v>
      </c>
      <c r="H29" s="1270" t="s">
        <v>2669</v>
      </c>
      <c r="I29" s="1210" t="s">
        <v>194</v>
      </c>
      <c r="J29" s="1210" t="s">
        <v>2403</v>
      </c>
      <c r="K29" s="1178" t="s">
        <v>2410</v>
      </c>
      <c r="L29" s="1178" t="s">
        <v>2388</v>
      </c>
      <c r="M29" s="1210" t="s">
        <v>2420</v>
      </c>
      <c r="N29" s="1210" t="s">
        <v>2202</v>
      </c>
      <c r="O29" s="1211">
        <v>1210225.8729008799</v>
      </c>
      <c r="P29" s="1211">
        <v>0</v>
      </c>
      <c r="Q29" s="1211">
        <v>0</v>
      </c>
      <c r="R29" s="1211">
        <v>0</v>
      </c>
      <c r="S29" s="1211">
        <v>0</v>
      </c>
      <c r="T29" s="1211">
        <f t="shared" si="1"/>
        <v>1210225.8729008799</v>
      </c>
      <c r="U29" s="1181"/>
      <c r="V29" s="1337"/>
      <c r="W29" s="1337"/>
      <c r="X29" s="1526" t="s">
        <v>2126</v>
      </c>
      <c r="Y29" s="1526" t="s">
        <v>2130</v>
      </c>
      <c r="Z29" s="1526">
        <v>9964057.1899999995</v>
      </c>
      <c r="AA29" s="1526">
        <v>7143639.1799999997</v>
      </c>
      <c r="AB29" s="1526">
        <v>1243103.3400000001</v>
      </c>
      <c r="AC29" s="1334"/>
      <c r="AD29" s="1529"/>
      <c r="AE29" s="1529"/>
      <c r="AF29" s="1529"/>
      <c r="AG29" s="1529"/>
      <c r="AH29" s="1529"/>
      <c r="AI29" s="1529"/>
      <c r="AJ29" s="1529"/>
      <c r="AK29" s="1530"/>
      <c r="AL29" s="1299"/>
    </row>
    <row r="30" spans="3:38" ht="15.65" x14ac:dyDescent="0.25">
      <c r="C30" s="1210" t="s">
        <v>2616</v>
      </c>
      <c r="D30" s="1210" t="s">
        <v>2416</v>
      </c>
      <c r="E30" s="1305">
        <v>2326330</v>
      </c>
      <c r="F30" s="1210" t="s">
        <v>2540</v>
      </c>
      <c r="G30" s="1210" t="s">
        <v>2541</v>
      </c>
      <c r="H30" s="1270" t="s">
        <v>2669</v>
      </c>
      <c r="I30" s="1210" t="s">
        <v>196</v>
      </c>
      <c r="J30" s="1210" t="s">
        <v>2389</v>
      </c>
      <c r="K30" s="1178" t="s">
        <v>2410</v>
      </c>
      <c r="L30" s="1178" t="s">
        <v>2388</v>
      </c>
      <c r="M30" s="1210" t="s">
        <v>2617</v>
      </c>
      <c r="N30" s="1210" t="s">
        <v>2617</v>
      </c>
      <c r="O30" s="1211">
        <f>2500000*2</f>
        <v>5000000</v>
      </c>
      <c r="P30" s="1211">
        <f>3089652*2</f>
        <v>6179304</v>
      </c>
      <c r="Q30" s="1211">
        <v>0</v>
      </c>
      <c r="R30" s="1211">
        <v>0</v>
      </c>
      <c r="S30" s="1211">
        <v>0</v>
      </c>
      <c r="T30" s="1211">
        <f t="shared" si="1"/>
        <v>11179304</v>
      </c>
      <c r="U30" s="1181"/>
      <c r="V30" s="1337"/>
      <c r="W30" s="1337"/>
      <c r="X30" s="1337" t="s">
        <v>2120</v>
      </c>
      <c r="Y30" s="1337" t="s">
        <v>2123</v>
      </c>
      <c r="Z30" s="1338">
        <v>8438938.8399999999</v>
      </c>
      <c r="AA30" s="1338">
        <v>570273.82999999996</v>
      </c>
      <c r="AB30" s="1338">
        <v>5589652.0099999998</v>
      </c>
      <c r="AC30" s="1334"/>
      <c r="AD30" s="1301">
        <v>9706511.2300000004</v>
      </c>
      <c r="AE30" s="1301">
        <v>3151152</v>
      </c>
      <c r="AF30" s="1301">
        <v>1882834</v>
      </c>
      <c r="AG30" s="1301">
        <v>1770334</v>
      </c>
      <c r="AH30" s="1301">
        <v>4714374</v>
      </c>
      <c r="AI30" s="1301">
        <v>0</v>
      </c>
      <c r="AJ30" s="1320">
        <v>0</v>
      </c>
      <c r="AK30" s="1318" t="s">
        <v>2707</v>
      </c>
      <c r="AL30" s="1299"/>
    </row>
    <row r="31" spans="3:38" ht="15.65" x14ac:dyDescent="0.25">
      <c r="C31" s="1210" t="s">
        <v>2616</v>
      </c>
      <c r="D31" s="1210" t="s">
        <v>2416</v>
      </c>
      <c r="E31" s="1305">
        <v>2328196</v>
      </c>
      <c r="F31" s="1210" t="s">
        <v>2499</v>
      </c>
      <c r="G31" s="1210" t="s">
        <v>2418</v>
      </c>
      <c r="H31" s="1270" t="s">
        <v>2669</v>
      </c>
      <c r="I31" s="1210" t="s">
        <v>194</v>
      </c>
      <c r="J31" s="1210" t="s">
        <v>2500</v>
      </c>
      <c r="K31" s="1178" t="s">
        <v>2433</v>
      </c>
      <c r="L31" s="1178" t="s">
        <v>2398</v>
      </c>
      <c r="M31" s="1210" t="s">
        <v>2420</v>
      </c>
      <c r="N31" s="1210" t="s">
        <v>2202</v>
      </c>
      <c r="O31" s="1211">
        <v>30000</v>
      </c>
      <c r="P31" s="1211">
        <v>30000</v>
      </c>
      <c r="Q31" s="1211">
        <v>30000</v>
      </c>
      <c r="R31" s="1211">
        <v>1718796.78</v>
      </c>
      <c r="S31" s="1211">
        <v>1718796.78</v>
      </c>
      <c r="T31" s="1211">
        <f t="shared" si="1"/>
        <v>3527593.56</v>
      </c>
      <c r="U31" s="1181"/>
      <c r="V31" s="1337"/>
      <c r="W31" s="1337"/>
      <c r="X31" s="1337" t="s">
        <v>2146</v>
      </c>
      <c r="Y31" s="1337" t="s">
        <v>2146</v>
      </c>
      <c r="Z31" s="1338">
        <v>3552593.56</v>
      </c>
      <c r="AA31" s="1338">
        <v>25000</v>
      </c>
      <c r="AB31" s="1338">
        <v>3527593.56</v>
      </c>
      <c r="AC31" s="1334"/>
      <c r="AD31" s="1301">
        <v>3552593.56</v>
      </c>
      <c r="AE31" s="1301">
        <v>25000</v>
      </c>
      <c r="AF31" s="1301">
        <v>0</v>
      </c>
      <c r="AG31" s="1301">
        <v>0</v>
      </c>
      <c r="AH31" s="1301">
        <v>1527594</v>
      </c>
      <c r="AI31" s="1301">
        <v>1000000</v>
      </c>
      <c r="AJ31" s="1320">
        <v>1000000</v>
      </c>
      <c r="AK31" s="1318" t="s">
        <v>2707</v>
      </c>
      <c r="AL31" s="1299"/>
    </row>
    <row r="32" spans="3:38" ht="15.65" x14ac:dyDescent="0.25">
      <c r="C32" s="1210" t="s">
        <v>2616</v>
      </c>
      <c r="D32" s="1210" t="s">
        <v>2416</v>
      </c>
      <c r="E32" s="1305">
        <v>2329461</v>
      </c>
      <c r="F32" s="1210" t="s">
        <v>2501</v>
      </c>
      <c r="G32" s="1210" t="s">
        <v>2418</v>
      </c>
      <c r="H32" s="1270" t="s">
        <v>2669</v>
      </c>
      <c r="I32" s="1210" t="s">
        <v>194</v>
      </c>
      <c r="J32" s="1210" t="s">
        <v>2502</v>
      </c>
      <c r="K32" s="1178" t="s">
        <v>2454</v>
      </c>
      <c r="L32" s="1178" t="s">
        <v>2398</v>
      </c>
      <c r="M32" s="1210" t="s">
        <v>2420</v>
      </c>
      <c r="N32" s="1210" t="s">
        <v>2199</v>
      </c>
      <c r="O32" s="1211">
        <f>1132144*2</f>
        <v>2264288</v>
      </c>
      <c r="P32" s="1211">
        <f>1004096*2</f>
        <v>2008192</v>
      </c>
      <c r="Q32" s="1211">
        <f>964915*2</f>
        <v>1929830</v>
      </c>
      <c r="R32" s="1211">
        <v>0</v>
      </c>
      <c r="S32" s="1211">
        <v>0</v>
      </c>
      <c r="T32" s="1211">
        <f t="shared" si="1"/>
        <v>6202310</v>
      </c>
      <c r="U32" s="1181"/>
      <c r="V32" s="1337"/>
      <c r="W32" s="1337"/>
      <c r="X32" s="1337" t="s">
        <v>2114</v>
      </c>
      <c r="Y32" s="1337" t="s">
        <v>2117</v>
      </c>
      <c r="Z32" s="1338">
        <v>3126454.98</v>
      </c>
      <c r="AA32" s="1338">
        <v>25300</v>
      </c>
      <c r="AB32" s="1338">
        <v>3061154.98</v>
      </c>
      <c r="AC32" s="1334"/>
      <c r="AD32" s="1301">
        <v>2885207</v>
      </c>
      <c r="AE32" s="1301">
        <v>25300</v>
      </c>
      <c r="AF32" s="1301">
        <v>0</v>
      </c>
      <c r="AG32" s="1301">
        <v>1051727.6200000001</v>
      </c>
      <c r="AH32" s="1301">
        <v>923680</v>
      </c>
      <c r="AI32" s="1301">
        <v>869798</v>
      </c>
      <c r="AJ32" s="1319">
        <v>1051728</v>
      </c>
      <c r="AK32" s="1318" t="s">
        <v>2707</v>
      </c>
      <c r="AL32" s="1299"/>
    </row>
    <row r="33" spans="3:38" ht="15.65" x14ac:dyDescent="0.25">
      <c r="C33" s="1210" t="s">
        <v>2616</v>
      </c>
      <c r="D33" s="1210" t="s">
        <v>2416</v>
      </c>
      <c r="E33" s="1305">
        <v>2337645</v>
      </c>
      <c r="F33" s="1270" t="s">
        <v>2417</v>
      </c>
      <c r="G33" s="1210" t="s">
        <v>2418</v>
      </c>
      <c r="H33" s="1270" t="s">
        <v>2669</v>
      </c>
      <c r="I33" s="1210" t="s">
        <v>194</v>
      </c>
      <c r="J33" s="1210" t="s">
        <v>2419</v>
      </c>
      <c r="K33" s="1178">
        <v>0</v>
      </c>
      <c r="L33" s="1178" t="s">
        <v>2398</v>
      </c>
      <c r="M33" s="1210" t="s">
        <v>2420</v>
      </c>
      <c r="N33" s="1210" t="s">
        <v>2202</v>
      </c>
      <c r="O33" s="1211">
        <v>2265711</v>
      </c>
      <c r="P33" s="1211">
        <v>2238911</v>
      </c>
      <c r="Q33" s="1211">
        <v>0</v>
      </c>
      <c r="R33" s="1211">
        <v>0</v>
      </c>
      <c r="S33" s="1211">
        <v>0</v>
      </c>
      <c r="T33" s="1211">
        <f t="shared" si="1"/>
        <v>4504622</v>
      </c>
      <c r="U33" s="1181"/>
      <c r="V33" s="1337"/>
      <c r="W33" s="1337"/>
      <c r="X33" s="1337" t="s">
        <v>2178</v>
      </c>
      <c r="Y33" s="1337" t="s">
        <v>2181</v>
      </c>
      <c r="Z33" s="1338">
        <v>4504622</v>
      </c>
      <c r="AA33" s="1338">
        <v>0</v>
      </c>
      <c r="AB33" s="1338">
        <v>4504622</v>
      </c>
      <c r="AC33" s="1334"/>
      <c r="AD33" s="1301"/>
      <c r="AE33" s="1301"/>
      <c r="AF33" s="1301"/>
      <c r="AG33" s="1301"/>
      <c r="AH33" s="1301"/>
      <c r="AI33" s="1301"/>
      <c r="AJ33" s="1317"/>
      <c r="AK33" s="1318" t="s">
        <v>2717</v>
      </c>
      <c r="AL33" s="1299"/>
    </row>
    <row r="34" spans="3:38" ht="15.65" x14ac:dyDescent="0.25">
      <c r="C34" s="1210" t="s">
        <v>2616</v>
      </c>
      <c r="D34" s="1210" t="s">
        <v>2416</v>
      </c>
      <c r="E34" s="1305">
        <v>2340101</v>
      </c>
      <c r="F34" s="1210" t="s">
        <v>2560</v>
      </c>
      <c r="G34" s="1210" t="s">
        <v>2418</v>
      </c>
      <c r="H34" s="1270" t="s">
        <v>2669</v>
      </c>
      <c r="I34" s="1210" t="s">
        <v>194</v>
      </c>
      <c r="J34" s="1210" t="s">
        <v>2561</v>
      </c>
      <c r="K34" s="1178" t="s">
        <v>2454</v>
      </c>
      <c r="L34" s="1178" t="s">
        <v>2398</v>
      </c>
      <c r="M34" s="1210" t="s">
        <v>2420</v>
      </c>
      <c r="N34" s="1210" t="s">
        <v>2200</v>
      </c>
      <c r="O34" s="1211">
        <v>500000</v>
      </c>
      <c r="P34" s="1211">
        <v>81030.5</v>
      </c>
      <c r="Q34" s="1211">
        <v>0</v>
      </c>
      <c r="R34" s="1211">
        <v>13673.29</v>
      </c>
      <c r="S34" s="1211">
        <v>13673.29</v>
      </c>
      <c r="T34" s="1211">
        <f t="shared" si="1"/>
        <v>608377.08000000007</v>
      </c>
      <c r="U34" s="1181"/>
      <c r="V34" s="1337"/>
      <c r="W34" s="1337"/>
      <c r="X34" s="1337" t="s">
        <v>2120</v>
      </c>
      <c r="Y34" s="1337" t="s">
        <v>2124</v>
      </c>
      <c r="Z34" s="1338">
        <v>1980953.5</v>
      </c>
      <c r="AA34" s="1338">
        <v>1273808.42</v>
      </c>
      <c r="AB34" s="1338">
        <v>608377.07999999996</v>
      </c>
      <c r="AC34" s="1334"/>
      <c r="AD34" s="1301">
        <v>1980953.5</v>
      </c>
      <c r="AE34" s="1301">
        <v>1326952</v>
      </c>
      <c r="AF34" s="1301">
        <v>0</v>
      </c>
      <c r="AG34" s="1301">
        <v>0</v>
      </c>
      <c r="AH34" s="1301">
        <v>1000</v>
      </c>
      <c r="AI34" s="1301">
        <v>1000</v>
      </c>
      <c r="AJ34" s="1319">
        <v>1000</v>
      </c>
      <c r="AK34" s="1318" t="s">
        <v>2707</v>
      </c>
      <c r="AL34" s="1299"/>
    </row>
    <row r="35" spans="3:38" ht="15.65" x14ac:dyDescent="0.25">
      <c r="C35" s="1210" t="s">
        <v>2616</v>
      </c>
      <c r="D35" s="1210" t="s">
        <v>2416</v>
      </c>
      <c r="E35" s="1305">
        <v>2340992</v>
      </c>
      <c r="F35" s="1210" t="s">
        <v>2536</v>
      </c>
      <c r="G35" s="1210" t="s">
        <v>2402</v>
      </c>
      <c r="H35" s="1270" t="s">
        <v>2669</v>
      </c>
      <c r="I35" s="1210" t="s">
        <v>194</v>
      </c>
      <c r="J35" s="1210" t="s">
        <v>2427</v>
      </c>
      <c r="K35" s="1178" t="s">
        <v>2454</v>
      </c>
      <c r="L35" s="1178" t="s">
        <v>2398</v>
      </c>
      <c r="M35" s="1210" t="s">
        <v>2478</v>
      </c>
      <c r="N35" s="1210" t="s">
        <v>2200</v>
      </c>
      <c r="O35" s="1211">
        <v>256478</v>
      </c>
      <c r="P35" s="1211">
        <v>0</v>
      </c>
      <c r="Q35" s="1211">
        <v>0</v>
      </c>
      <c r="R35" s="1211"/>
      <c r="S35" s="1211"/>
      <c r="T35" s="1211">
        <f t="shared" si="1"/>
        <v>256478</v>
      </c>
      <c r="U35" s="1181"/>
      <c r="V35" s="1337"/>
      <c r="W35" s="1337"/>
      <c r="X35" s="1337" t="s">
        <v>2120</v>
      </c>
      <c r="Y35" s="1337" t="s">
        <v>2705</v>
      </c>
      <c r="Z35" s="1338">
        <v>415301.3</v>
      </c>
      <c r="AA35" s="1338">
        <v>17600</v>
      </c>
      <c r="AB35" s="1338">
        <v>397701.3</v>
      </c>
      <c r="AC35" s="1334"/>
      <c r="AD35" s="1301">
        <v>450653</v>
      </c>
      <c r="AE35" s="1301">
        <v>126319</v>
      </c>
      <c r="AF35" s="1301">
        <v>324334</v>
      </c>
      <c r="AG35" s="1301">
        <v>32504</v>
      </c>
      <c r="AH35" s="1301">
        <v>0</v>
      </c>
      <c r="AI35" s="1301">
        <v>0</v>
      </c>
      <c r="AJ35" s="1317">
        <v>0</v>
      </c>
      <c r="AK35" s="1318" t="s">
        <v>2707</v>
      </c>
      <c r="AL35" s="1299"/>
    </row>
    <row r="36" spans="3:38" ht="15.65" x14ac:dyDescent="0.25">
      <c r="C36" s="1210" t="s">
        <v>2616</v>
      </c>
      <c r="D36" s="1210" t="s">
        <v>2416</v>
      </c>
      <c r="E36" s="1305">
        <v>2344386</v>
      </c>
      <c r="F36" s="1210" t="s">
        <v>2496</v>
      </c>
      <c r="G36" s="1210" t="s">
        <v>2497</v>
      </c>
      <c r="H36" s="1270" t="s">
        <v>2669</v>
      </c>
      <c r="I36" s="1210" t="s">
        <v>194</v>
      </c>
      <c r="J36" s="1210" t="s">
        <v>2427</v>
      </c>
      <c r="K36" s="1178" t="s">
        <v>2454</v>
      </c>
      <c r="L36" s="1178" t="s">
        <v>2398</v>
      </c>
      <c r="M36" s="1210" t="s">
        <v>2420</v>
      </c>
      <c r="N36" s="1210" t="s">
        <v>2200</v>
      </c>
      <c r="O36" s="1211">
        <v>30000</v>
      </c>
      <c r="P36" s="1211">
        <v>200000</v>
      </c>
      <c r="Q36" s="1211">
        <v>30000</v>
      </c>
      <c r="R36" s="1211">
        <v>2884902.53</v>
      </c>
      <c r="S36" s="1211">
        <v>2884902.53</v>
      </c>
      <c r="T36" s="1211">
        <f t="shared" si="1"/>
        <v>6029805.0599999996</v>
      </c>
      <c r="U36" s="1181"/>
      <c r="V36" s="1337"/>
      <c r="W36" s="1337"/>
      <c r="X36" s="1337" t="s">
        <v>2120</v>
      </c>
      <c r="Y36" s="1337" t="s">
        <v>2705</v>
      </c>
      <c r="Z36" s="1338">
        <v>6045805.0599999996</v>
      </c>
      <c r="AA36" s="1338">
        <v>16000</v>
      </c>
      <c r="AB36" s="1338">
        <v>6029805.0599999996</v>
      </c>
      <c r="AC36" s="1334"/>
      <c r="AD36" s="1301">
        <v>6045805.0599999996</v>
      </c>
      <c r="AE36" s="1301">
        <v>16000</v>
      </c>
      <c r="AF36" s="1301">
        <v>0</v>
      </c>
      <c r="AG36" s="1301">
        <v>0</v>
      </c>
      <c r="AH36" s="1301">
        <v>200000</v>
      </c>
      <c r="AI36" s="1301">
        <v>300000</v>
      </c>
      <c r="AJ36" s="1320">
        <v>50000</v>
      </c>
      <c r="AK36" s="1318" t="s">
        <v>2718</v>
      </c>
      <c r="AL36" s="1299"/>
    </row>
    <row r="37" spans="3:38" ht="15.65" x14ac:dyDescent="0.25">
      <c r="C37" s="1210" t="s">
        <v>2616</v>
      </c>
      <c r="D37" s="1210" t="s">
        <v>2416</v>
      </c>
      <c r="E37" s="1305">
        <v>2344474</v>
      </c>
      <c r="F37" s="1210" t="s">
        <v>2425</v>
      </c>
      <c r="G37" s="1210" t="s">
        <v>2426</v>
      </c>
      <c r="H37" s="1270" t="s">
        <v>2669</v>
      </c>
      <c r="I37" s="1210" t="s">
        <v>196</v>
      </c>
      <c r="J37" s="1210" t="s">
        <v>2427</v>
      </c>
      <c r="K37" s="1178">
        <v>0</v>
      </c>
      <c r="L37" s="1178" t="s">
        <v>2398</v>
      </c>
      <c r="M37" s="1210" t="s">
        <v>2420</v>
      </c>
      <c r="N37" s="1210" t="s">
        <v>2200</v>
      </c>
      <c r="O37" s="1211">
        <v>406546</v>
      </c>
      <c r="P37" s="1211">
        <v>0</v>
      </c>
      <c r="Q37" s="1211">
        <v>0</v>
      </c>
      <c r="R37" s="1211">
        <v>0</v>
      </c>
      <c r="S37" s="1211">
        <v>0</v>
      </c>
      <c r="T37" s="1211">
        <f t="shared" si="1"/>
        <v>406546</v>
      </c>
      <c r="U37" s="1181"/>
      <c r="V37" s="1337"/>
      <c r="W37" s="1337"/>
      <c r="X37" s="1337" t="s">
        <v>2120</v>
      </c>
      <c r="Y37" s="1337" t="s">
        <v>2705</v>
      </c>
      <c r="Z37" s="1338">
        <v>406545.7</v>
      </c>
      <c r="AA37" s="1338">
        <v>0</v>
      </c>
      <c r="AB37" s="1338">
        <v>406545.7</v>
      </c>
      <c r="AC37" s="1334"/>
      <c r="AD37" s="1301"/>
      <c r="AE37" s="1301"/>
      <c r="AF37" s="1301"/>
      <c r="AG37" s="1301"/>
      <c r="AH37" s="1301"/>
      <c r="AI37" s="1301"/>
      <c r="AJ37" s="1317"/>
      <c r="AK37" s="1318" t="s">
        <v>2717</v>
      </c>
      <c r="AL37" s="1299"/>
    </row>
    <row r="38" spans="3:38" ht="15.65" x14ac:dyDescent="0.25">
      <c r="C38" s="1210" t="s">
        <v>2616</v>
      </c>
      <c r="D38" s="1210" t="s">
        <v>2416</v>
      </c>
      <c r="E38" s="1305">
        <v>2380938</v>
      </c>
      <c r="F38" s="1210" t="s">
        <v>2431</v>
      </c>
      <c r="G38" s="1210" t="s">
        <v>2387</v>
      </c>
      <c r="H38" s="1270" t="s">
        <v>2669</v>
      </c>
      <c r="I38" s="1210" t="s">
        <v>196</v>
      </c>
      <c r="J38" s="1210" t="s">
        <v>2389</v>
      </c>
      <c r="K38" s="1178">
        <v>0</v>
      </c>
      <c r="L38" s="1178" t="s">
        <v>2388</v>
      </c>
      <c r="M38" s="1210" t="s">
        <v>2617</v>
      </c>
      <c r="N38" s="1210" t="s">
        <v>2617</v>
      </c>
      <c r="O38" s="1211">
        <v>493865</v>
      </c>
      <c r="P38" s="1211">
        <v>15968318</v>
      </c>
      <c r="Q38" s="1211">
        <v>0</v>
      </c>
      <c r="R38" s="1211">
        <v>0</v>
      </c>
      <c r="S38" s="1211">
        <v>0</v>
      </c>
      <c r="T38" s="1211">
        <f t="shared" si="1"/>
        <v>16462183</v>
      </c>
      <c r="U38" s="1181"/>
      <c r="V38" s="1337"/>
      <c r="W38" s="1337"/>
      <c r="X38" s="1337" t="s">
        <v>2705</v>
      </c>
      <c r="Y38" s="1337" t="s">
        <v>2705</v>
      </c>
      <c r="Z38" s="1338">
        <v>16462183</v>
      </c>
      <c r="AA38" s="1338">
        <v>0</v>
      </c>
      <c r="AB38" s="1338">
        <v>16462183</v>
      </c>
      <c r="AC38" s="1334"/>
      <c r="AD38" s="1301">
        <v>16462183</v>
      </c>
      <c r="AE38" s="1301">
        <v>0</v>
      </c>
      <c r="AF38" s="1301">
        <v>0</v>
      </c>
      <c r="AG38" s="1301">
        <v>0</v>
      </c>
      <c r="AH38" s="1301">
        <v>15968318</v>
      </c>
      <c r="AI38" s="1301">
        <v>493865</v>
      </c>
      <c r="AJ38" s="1320">
        <v>0</v>
      </c>
      <c r="AK38" s="1318" t="s">
        <v>2707</v>
      </c>
      <c r="AL38" s="1299"/>
    </row>
    <row r="39" spans="3:38" ht="15.65" x14ac:dyDescent="0.25">
      <c r="C39" s="1210" t="s">
        <v>2616</v>
      </c>
      <c r="D39" s="1210" t="s">
        <v>2416</v>
      </c>
      <c r="E39" s="1305">
        <v>2421092</v>
      </c>
      <c r="F39" s="1210" t="s">
        <v>2449</v>
      </c>
      <c r="G39" s="1210" t="s">
        <v>2450</v>
      </c>
      <c r="H39" s="1270" t="s">
        <v>2669</v>
      </c>
      <c r="I39" s="1210" t="s">
        <v>196</v>
      </c>
      <c r="J39" s="1210" t="s">
        <v>2451</v>
      </c>
      <c r="K39" s="1178">
        <v>0</v>
      </c>
      <c r="L39" s="1178" t="s">
        <v>2398</v>
      </c>
      <c r="M39" s="1210" t="s">
        <v>2420</v>
      </c>
      <c r="N39" s="1210" t="s">
        <v>2199</v>
      </c>
      <c r="O39" s="1211">
        <v>2214217</v>
      </c>
      <c r="P39" s="1211">
        <v>1428434</v>
      </c>
      <c r="Q39" s="1211">
        <v>0</v>
      </c>
      <c r="R39" s="1211">
        <v>0</v>
      </c>
      <c r="S39" s="1211">
        <v>0</v>
      </c>
      <c r="T39" s="1211">
        <f t="shared" si="1"/>
        <v>3642651</v>
      </c>
      <c r="U39" s="1181"/>
      <c r="V39" s="1337"/>
      <c r="W39" s="1337"/>
      <c r="X39" s="1337" t="s">
        <v>2114</v>
      </c>
      <c r="Y39" s="1337" t="s">
        <v>2114</v>
      </c>
      <c r="Z39" s="1338">
        <v>3642651</v>
      </c>
      <c r="AA39" s="1338">
        <v>0</v>
      </c>
      <c r="AB39" s="1338">
        <v>3642651</v>
      </c>
      <c r="AC39" s="1334"/>
      <c r="AD39" s="1301">
        <v>3642651</v>
      </c>
      <c r="AE39" s="1301">
        <v>0</v>
      </c>
      <c r="AF39" s="1301">
        <v>0</v>
      </c>
      <c r="AG39" s="1301">
        <v>0</v>
      </c>
      <c r="AH39" s="1301">
        <v>120000</v>
      </c>
      <c r="AI39" s="1301">
        <v>1428434</v>
      </c>
      <c r="AJ39" s="1320">
        <v>2094217</v>
      </c>
      <c r="AK39" s="1318" t="s">
        <v>2707</v>
      </c>
      <c r="AL39" s="1299"/>
    </row>
    <row r="40" spans="3:38" ht="15.65" x14ac:dyDescent="0.25">
      <c r="C40" s="1210" t="s">
        <v>2616</v>
      </c>
      <c r="D40" s="1210" t="s">
        <v>2416</v>
      </c>
      <c r="E40" s="1305">
        <v>2421093</v>
      </c>
      <c r="F40" s="1210" t="s">
        <v>2452</v>
      </c>
      <c r="G40" s="1210" t="s">
        <v>2453</v>
      </c>
      <c r="H40" s="1270" t="s">
        <v>2669</v>
      </c>
      <c r="I40" s="1210" t="s">
        <v>194</v>
      </c>
      <c r="J40" s="1210" t="s">
        <v>2451</v>
      </c>
      <c r="K40" s="1178" t="s">
        <v>2454</v>
      </c>
      <c r="L40" s="1178" t="s">
        <v>2398</v>
      </c>
      <c r="M40" s="1210" t="s">
        <v>2420</v>
      </c>
      <c r="N40" s="1210" t="s">
        <v>2199</v>
      </c>
      <c r="O40" s="1211">
        <v>1178696.94</v>
      </c>
      <c r="P40" s="1211">
        <v>1823250.07</v>
      </c>
      <c r="Q40" s="1211">
        <v>1632799.99</v>
      </c>
      <c r="R40" s="1211">
        <v>0</v>
      </c>
      <c r="S40" s="1211">
        <v>0</v>
      </c>
      <c r="T40" s="1211">
        <f t="shared" si="1"/>
        <v>4634747</v>
      </c>
      <c r="U40" s="1181"/>
      <c r="V40" s="1337"/>
      <c r="W40" s="1337"/>
      <c r="X40" s="1337" t="s">
        <v>2114</v>
      </c>
      <c r="Y40" s="1337" t="s">
        <v>2114</v>
      </c>
      <c r="Z40" s="1338">
        <v>4744747</v>
      </c>
      <c r="AA40" s="1338">
        <v>0</v>
      </c>
      <c r="AB40" s="1338">
        <v>4744747</v>
      </c>
      <c r="AC40" s="1334"/>
      <c r="AD40" s="1301">
        <v>4744747</v>
      </c>
      <c r="AE40" s="1301">
        <v>21000</v>
      </c>
      <c r="AF40" s="1301">
        <v>84000</v>
      </c>
      <c r="AG40" s="1301">
        <v>0</v>
      </c>
      <c r="AH40" s="1301">
        <v>2421586</v>
      </c>
      <c r="AI40" s="1301">
        <v>1688526</v>
      </c>
      <c r="AJ40" s="1317">
        <v>529635</v>
      </c>
      <c r="AK40" s="1318" t="s">
        <v>2707</v>
      </c>
      <c r="AL40" s="1299"/>
    </row>
    <row r="41" spans="3:38" ht="15.65" x14ac:dyDescent="0.25">
      <c r="C41" s="1210" t="s">
        <v>2616</v>
      </c>
      <c r="D41" s="1210" t="s">
        <v>2416</v>
      </c>
      <c r="E41" s="1305">
        <v>2429918</v>
      </c>
      <c r="F41" s="1210" t="s">
        <v>2455</v>
      </c>
      <c r="G41" s="1210" t="s">
        <v>2453</v>
      </c>
      <c r="H41" s="1270" t="s">
        <v>2669</v>
      </c>
      <c r="I41" s="1210" t="s">
        <v>194</v>
      </c>
      <c r="J41" s="1210" t="s">
        <v>2456</v>
      </c>
      <c r="K41" s="1178" t="s">
        <v>2454</v>
      </c>
      <c r="L41" s="1178" t="s">
        <v>2398</v>
      </c>
      <c r="M41" s="1210" t="s">
        <v>2420</v>
      </c>
      <c r="N41" s="1210" t="s">
        <v>2200</v>
      </c>
      <c r="O41" s="1211">
        <v>516745</v>
      </c>
      <c r="P41" s="1211">
        <v>0</v>
      </c>
      <c r="Q41" s="1211">
        <v>0</v>
      </c>
      <c r="R41" s="1211">
        <v>0</v>
      </c>
      <c r="S41" s="1211">
        <v>0</v>
      </c>
      <c r="T41" s="1211">
        <f t="shared" si="1"/>
        <v>516745</v>
      </c>
      <c r="U41" s="1181"/>
      <c r="V41" s="1337"/>
      <c r="W41" s="1337"/>
      <c r="X41" s="1337" t="s">
        <v>2126</v>
      </c>
      <c r="Y41" s="1337" t="s">
        <v>2126</v>
      </c>
      <c r="Z41" s="1338">
        <v>1033490</v>
      </c>
      <c r="AA41" s="1338">
        <v>0</v>
      </c>
      <c r="AB41" s="1338">
        <v>516745</v>
      </c>
      <c r="AC41" s="1334"/>
      <c r="AD41" s="1301">
        <v>1293666.8</v>
      </c>
      <c r="AE41" s="1301">
        <v>140520</v>
      </c>
      <c r="AF41" s="1301">
        <v>379155</v>
      </c>
      <c r="AG41" s="1301">
        <v>376225</v>
      </c>
      <c r="AH41" s="1301">
        <v>776922</v>
      </c>
      <c r="AI41" s="1301">
        <v>0</v>
      </c>
      <c r="AJ41" s="1319">
        <v>0</v>
      </c>
      <c r="AK41" s="1318" t="s">
        <v>2707</v>
      </c>
      <c r="AL41" s="1299"/>
    </row>
    <row r="42" spans="3:38" ht="15.65" x14ac:dyDescent="0.25">
      <c r="C42" s="1210" t="s">
        <v>2616</v>
      </c>
      <c r="D42" s="1210" t="s">
        <v>2416</v>
      </c>
      <c r="E42" s="1305">
        <v>2437066</v>
      </c>
      <c r="F42" s="1210" t="s">
        <v>2553</v>
      </c>
      <c r="G42" s="1210" t="s">
        <v>2387</v>
      </c>
      <c r="H42" s="1270" t="s">
        <v>2669</v>
      </c>
      <c r="I42" s="1210" t="s">
        <v>194</v>
      </c>
      <c r="J42" s="1210" t="s">
        <v>2554</v>
      </c>
      <c r="K42" s="1178" t="s">
        <v>2410</v>
      </c>
      <c r="L42" s="1178" t="s">
        <v>2388</v>
      </c>
      <c r="M42" s="1210" t="s">
        <v>2478</v>
      </c>
      <c r="N42" s="1210" t="s">
        <v>2200</v>
      </c>
      <c r="O42" s="1211">
        <f>928710*2</f>
        <v>1857420</v>
      </c>
      <c r="P42" s="1211">
        <f>122500*2</f>
        <v>245000</v>
      </c>
      <c r="Q42" s="1211">
        <f>2486935*2</f>
        <v>4973870</v>
      </c>
      <c r="R42" s="1211">
        <f>1205888.69*2</f>
        <v>2411777.38</v>
      </c>
      <c r="S42" s="1211">
        <f>1205888.69*2</f>
        <v>2411777.38</v>
      </c>
      <c r="T42" s="1211">
        <f t="shared" ref="T42:T73" si="2">SUM(O42:S42)</f>
        <v>11899844.759999998</v>
      </c>
      <c r="U42" s="1181"/>
      <c r="V42" s="1337"/>
      <c r="W42" s="1337"/>
      <c r="X42" s="1337" t="s">
        <v>2120</v>
      </c>
      <c r="Y42" s="1337" t="s">
        <v>2121</v>
      </c>
      <c r="Z42" s="1338">
        <v>9167126.2400000002</v>
      </c>
      <c r="AA42" s="1338">
        <v>4079848</v>
      </c>
      <c r="AB42" s="1338">
        <v>4044645.24</v>
      </c>
      <c r="AC42" s="1334"/>
      <c r="AD42" s="1301">
        <v>11821080.640000001</v>
      </c>
      <c r="AE42" s="1301">
        <v>8251150</v>
      </c>
      <c r="AF42" s="1301">
        <v>1291335</v>
      </c>
      <c r="AG42" s="1301">
        <v>1291335</v>
      </c>
      <c r="AH42" s="1301">
        <v>1885553</v>
      </c>
      <c r="AI42" s="1301">
        <v>0</v>
      </c>
      <c r="AJ42" s="1317">
        <v>0</v>
      </c>
      <c r="AK42" s="1318" t="s">
        <v>2707</v>
      </c>
      <c r="AL42" s="1299"/>
    </row>
    <row r="43" spans="3:38" ht="15.65" x14ac:dyDescent="0.25">
      <c r="C43" s="1210" t="s">
        <v>2616</v>
      </c>
      <c r="D43" s="1210" t="s">
        <v>2416</v>
      </c>
      <c r="E43" s="1305">
        <v>2450306</v>
      </c>
      <c r="F43" s="1210" t="s">
        <v>2470</v>
      </c>
      <c r="G43" s="1210" t="s">
        <v>2418</v>
      </c>
      <c r="H43" s="1270" t="s">
        <v>2669</v>
      </c>
      <c r="I43" s="1210" t="s">
        <v>194</v>
      </c>
      <c r="J43" s="1210" t="s">
        <v>2451</v>
      </c>
      <c r="K43" s="1178" t="s">
        <v>2454</v>
      </c>
      <c r="L43" s="1178" t="s">
        <v>2398</v>
      </c>
      <c r="M43" s="1210" t="s">
        <v>2420</v>
      </c>
      <c r="N43" s="1210" t="s">
        <v>2199</v>
      </c>
      <c r="O43" s="1211">
        <v>1311080.67</v>
      </c>
      <c r="P43" s="1211">
        <v>2637564.66</v>
      </c>
      <c r="Q43" s="1211">
        <v>694023.67</v>
      </c>
      <c r="R43" s="1211">
        <v>0</v>
      </c>
      <c r="S43" s="1211">
        <v>0</v>
      </c>
      <c r="T43" s="1211">
        <f t="shared" si="2"/>
        <v>4642669</v>
      </c>
      <c r="U43" s="1181"/>
      <c r="V43" s="1337"/>
      <c r="W43" s="1337"/>
      <c r="X43" s="1337" t="s">
        <v>2114</v>
      </c>
      <c r="Y43" s="1337" t="s">
        <v>2114</v>
      </c>
      <c r="Z43" s="1338">
        <v>4772669</v>
      </c>
      <c r="AA43" s="1338">
        <v>0</v>
      </c>
      <c r="AB43" s="1338">
        <v>4772669</v>
      </c>
      <c r="AC43" s="1334"/>
      <c r="AD43" s="1301">
        <v>4772669</v>
      </c>
      <c r="AE43" s="1301">
        <v>25000</v>
      </c>
      <c r="AF43" s="1301">
        <v>100000</v>
      </c>
      <c r="AG43" s="1301">
        <v>1311080.67</v>
      </c>
      <c r="AH43" s="1301">
        <v>2637565</v>
      </c>
      <c r="AI43" s="1301">
        <v>736500</v>
      </c>
      <c r="AJ43" s="1319">
        <v>1316081</v>
      </c>
      <c r="AK43" s="1318" t="s">
        <v>2707</v>
      </c>
      <c r="AL43" s="1299"/>
    </row>
    <row r="44" spans="3:38" ht="15.65" x14ac:dyDescent="0.25">
      <c r="C44" s="1210" t="s">
        <v>2616</v>
      </c>
      <c r="D44" s="1210" t="s">
        <v>2416</v>
      </c>
      <c r="E44" s="1305">
        <v>2451114</v>
      </c>
      <c r="F44" s="1210" t="s">
        <v>2508</v>
      </c>
      <c r="G44" s="1210" t="s">
        <v>2509</v>
      </c>
      <c r="H44" s="1270" t="s">
        <v>2669</v>
      </c>
      <c r="I44" s="1210" t="s">
        <v>194</v>
      </c>
      <c r="J44" s="1210" t="s">
        <v>2403</v>
      </c>
      <c r="K44" s="1178" t="s">
        <v>2410</v>
      </c>
      <c r="L44" s="1178" t="s">
        <v>2388</v>
      </c>
      <c r="M44" s="1210" t="s">
        <v>2619</v>
      </c>
      <c r="N44" s="1210" t="s">
        <v>2199</v>
      </c>
      <c r="O44" s="1211">
        <v>507199</v>
      </c>
      <c r="P44" s="1211">
        <v>1943587</v>
      </c>
      <c r="Q44" s="1211">
        <v>1305843</v>
      </c>
      <c r="R44" s="1211" t="s">
        <v>2620</v>
      </c>
      <c r="S44" s="1211" t="s">
        <v>2620</v>
      </c>
      <c r="T44" s="1211">
        <f t="shared" si="2"/>
        <v>3756629</v>
      </c>
      <c r="U44" s="1181"/>
      <c r="V44" s="1337"/>
      <c r="W44" s="1337"/>
      <c r="X44" s="1524" t="s">
        <v>2126</v>
      </c>
      <c r="Y44" s="1524" t="s">
        <v>2129</v>
      </c>
      <c r="Z44" s="1524">
        <v>18718410</v>
      </c>
      <c r="AA44" s="1524">
        <v>201870</v>
      </c>
      <c r="AB44" s="1524">
        <v>18516540</v>
      </c>
      <c r="AC44" s="1334"/>
      <c r="AD44" s="1527">
        <v>11993610</v>
      </c>
      <c r="AE44" s="1527">
        <v>201870</v>
      </c>
      <c r="AF44" s="1527">
        <v>943160</v>
      </c>
      <c r="AG44" s="1527">
        <v>1187960</v>
      </c>
      <c r="AH44" s="1527">
        <v>10603780</v>
      </c>
      <c r="AI44" s="1527">
        <v>0</v>
      </c>
      <c r="AJ44" s="1527">
        <v>0</v>
      </c>
      <c r="AK44" s="1530" t="s">
        <v>2708</v>
      </c>
      <c r="AL44" s="1299"/>
    </row>
    <row r="45" spans="3:38" ht="15.65" x14ac:dyDescent="0.25">
      <c r="C45" s="1210" t="s">
        <v>2616</v>
      </c>
      <c r="D45" s="1210" t="s">
        <v>2416</v>
      </c>
      <c r="E45" s="1305">
        <v>2451114</v>
      </c>
      <c r="F45" s="1210" t="s">
        <v>2508</v>
      </c>
      <c r="G45" s="1210" t="s">
        <v>2509</v>
      </c>
      <c r="H45" s="1270" t="s">
        <v>2669</v>
      </c>
      <c r="I45" s="1210" t="s">
        <v>194</v>
      </c>
      <c r="J45" s="1210" t="s">
        <v>2403</v>
      </c>
      <c r="K45" s="1178" t="s">
        <v>2410</v>
      </c>
      <c r="L45" s="1178" t="s">
        <v>2388</v>
      </c>
      <c r="M45" s="1210" t="s">
        <v>2619</v>
      </c>
      <c r="N45" s="1210" t="s">
        <v>2200</v>
      </c>
      <c r="O45" s="1211">
        <v>1822692.2937870701</v>
      </c>
      <c r="P45" s="1211">
        <v>6984556.8697920702</v>
      </c>
      <c r="Q45" s="1211">
        <v>4692732.7426608996</v>
      </c>
      <c r="R45" s="1211">
        <v>0</v>
      </c>
      <c r="S45" s="1211">
        <v>0</v>
      </c>
      <c r="T45" s="1211">
        <f t="shared" si="2"/>
        <v>13499981.906240039</v>
      </c>
      <c r="U45" s="1181"/>
      <c r="V45" s="1337"/>
      <c r="W45" s="1337"/>
      <c r="X45" s="1525" t="s">
        <v>2126</v>
      </c>
      <c r="Y45" s="1525" t="s">
        <v>2129</v>
      </c>
      <c r="Z45" s="1525">
        <v>18718410</v>
      </c>
      <c r="AA45" s="1525">
        <v>201870</v>
      </c>
      <c r="AB45" s="1525">
        <v>18516540</v>
      </c>
      <c r="AC45" s="1334"/>
      <c r="AD45" s="1528"/>
      <c r="AE45" s="1528"/>
      <c r="AF45" s="1528"/>
      <c r="AG45" s="1528"/>
      <c r="AH45" s="1528"/>
      <c r="AI45" s="1528"/>
      <c r="AJ45" s="1528"/>
      <c r="AK45" s="1530"/>
      <c r="AL45" s="1299"/>
    </row>
    <row r="46" spans="3:38" ht="15.65" x14ac:dyDescent="0.25">
      <c r="C46" s="1210" t="s">
        <v>2616</v>
      </c>
      <c r="D46" s="1210" t="s">
        <v>2416</v>
      </c>
      <c r="E46" s="1305">
        <v>2451114</v>
      </c>
      <c r="F46" s="1210" t="s">
        <v>2508</v>
      </c>
      <c r="G46" s="1210" t="s">
        <v>2509</v>
      </c>
      <c r="H46" s="1270" t="s">
        <v>2669</v>
      </c>
      <c r="I46" s="1210" t="s">
        <v>194</v>
      </c>
      <c r="J46" s="1210" t="s">
        <v>2403</v>
      </c>
      <c r="K46" s="1178" t="s">
        <v>2410</v>
      </c>
      <c r="L46" s="1178" t="s">
        <v>2388</v>
      </c>
      <c r="M46" s="1210" t="s">
        <v>2619</v>
      </c>
      <c r="N46" s="1210" t="s">
        <v>2202</v>
      </c>
      <c r="O46" s="1211">
        <v>2670109</v>
      </c>
      <c r="P46" s="1211">
        <v>10231856</v>
      </c>
      <c r="Q46" s="1211">
        <v>6874504</v>
      </c>
      <c r="R46" s="1211" t="s">
        <v>2621</v>
      </c>
      <c r="S46" s="1211" t="s">
        <v>2621</v>
      </c>
      <c r="T46" s="1211">
        <f t="shared" si="2"/>
        <v>19776469</v>
      </c>
      <c r="U46" s="1181"/>
      <c r="V46" s="1337"/>
      <c r="W46" s="1337"/>
      <c r="X46" s="1525" t="s">
        <v>2126</v>
      </c>
      <c r="Y46" s="1525" t="s">
        <v>2129</v>
      </c>
      <c r="Z46" s="1525">
        <v>18718410</v>
      </c>
      <c r="AA46" s="1525">
        <v>201870</v>
      </c>
      <c r="AB46" s="1525">
        <v>18516540</v>
      </c>
      <c r="AC46" s="1334"/>
      <c r="AD46" s="1529"/>
      <c r="AE46" s="1529"/>
      <c r="AF46" s="1529"/>
      <c r="AG46" s="1529"/>
      <c r="AH46" s="1529"/>
      <c r="AI46" s="1529"/>
      <c r="AJ46" s="1529"/>
      <c r="AK46" s="1530"/>
      <c r="AL46" s="1299"/>
    </row>
    <row r="47" spans="3:38" ht="15.65" x14ac:dyDescent="0.25">
      <c r="C47" s="1210" t="s">
        <v>2616</v>
      </c>
      <c r="D47" s="1210" t="s">
        <v>2390</v>
      </c>
      <c r="E47" s="1305">
        <v>2251919</v>
      </c>
      <c r="F47" s="1210" t="s">
        <v>2391</v>
      </c>
      <c r="G47" s="1210" t="s">
        <v>2392</v>
      </c>
      <c r="H47" s="1270" t="s">
        <v>2668</v>
      </c>
      <c r="I47" s="1210" t="s">
        <v>201</v>
      </c>
      <c r="J47" s="1210" t="s">
        <v>2394</v>
      </c>
      <c r="K47" s="1178">
        <v>0</v>
      </c>
      <c r="L47" s="1178" t="s">
        <v>2393</v>
      </c>
      <c r="M47" s="1210" t="s">
        <v>2618</v>
      </c>
      <c r="N47" s="1210" t="s">
        <v>2202</v>
      </c>
      <c r="O47" s="1211">
        <v>0</v>
      </c>
      <c r="P47" s="1211">
        <v>0</v>
      </c>
      <c r="Q47" s="1211">
        <v>0</v>
      </c>
      <c r="R47" s="1211">
        <v>597826.25</v>
      </c>
      <c r="S47" s="1211">
        <v>597826.25</v>
      </c>
      <c r="T47" s="1211">
        <f t="shared" si="2"/>
        <v>1195652.5</v>
      </c>
      <c r="U47" s="1181"/>
      <c r="V47" s="1337"/>
      <c r="W47" s="1337"/>
      <c r="X47" s="1337" t="s">
        <v>2172</v>
      </c>
      <c r="Y47" s="1337" t="s">
        <v>2174</v>
      </c>
      <c r="Z47" s="1338">
        <v>1195652.5</v>
      </c>
      <c r="AA47" s="1338">
        <v>0</v>
      </c>
      <c r="AB47" s="1338">
        <v>1195652.5</v>
      </c>
      <c r="AC47" s="1334"/>
      <c r="AD47" s="1301"/>
      <c r="AE47" s="1301"/>
      <c r="AF47" s="1301"/>
      <c r="AG47" s="1301"/>
      <c r="AH47" s="1301"/>
      <c r="AI47" s="1301"/>
      <c r="AJ47" s="1317"/>
      <c r="AK47" s="1318" t="s">
        <v>2717</v>
      </c>
      <c r="AL47" s="1299"/>
    </row>
    <row r="48" spans="3:38" ht="15.65" x14ac:dyDescent="0.25">
      <c r="C48" s="1210" t="s">
        <v>2616</v>
      </c>
      <c r="D48" s="1210" t="s">
        <v>2416</v>
      </c>
      <c r="E48" s="1305">
        <v>2455006</v>
      </c>
      <c r="F48" s="1210" t="s">
        <v>2521</v>
      </c>
      <c r="G48" s="1210" t="s">
        <v>2522</v>
      </c>
      <c r="H48" s="1270" t="s">
        <v>2669</v>
      </c>
      <c r="I48" s="1210" t="s">
        <v>194</v>
      </c>
      <c r="J48" s="1210" t="s">
        <v>2403</v>
      </c>
      <c r="K48" s="1178" t="s">
        <v>2410</v>
      </c>
      <c r="L48" s="1178" t="s">
        <v>2388</v>
      </c>
      <c r="M48" s="1210" t="s">
        <v>2622</v>
      </c>
      <c r="N48" s="1210" t="s">
        <v>2199</v>
      </c>
      <c r="O48" s="1211">
        <v>891683.92382169503</v>
      </c>
      <c r="P48" s="1211">
        <v>2014336.4543480901</v>
      </c>
      <c r="Q48" s="1211">
        <v>0</v>
      </c>
      <c r="R48" s="1211">
        <v>0</v>
      </c>
      <c r="S48" s="1211">
        <v>0</v>
      </c>
      <c r="T48" s="1211">
        <f t="shared" si="2"/>
        <v>2906020.3781697853</v>
      </c>
      <c r="U48" s="1181"/>
      <c r="V48" s="1337"/>
      <c r="W48" s="1337"/>
      <c r="X48" s="1524" t="s">
        <v>2172</v>
      </c>
      <c r="Y48" s="1524" t="s">
        <v>2173</v>
      </c>
      <c r="Z48" s="1524">
        <v>8313517</v>
      </c>
      <c r="AA48" s="1524">
        <v>166523.89000000001</v>
      </c>
      <c r="AB48" s="1524">
        <v>8146993.1100000003</v>
      </c>
      <c r="AC48" s="1334"/>
      <c r="AD48" s="1527">
        <v>8300397</v>
      </c>
      <c r="AE48" s="1527">
        <v>1324122</v>
      </c>
      <c r="AF48" s="1527">
        <v>1703652</v>
      </c>
      <c r="AG48" s="1527">
        <v>1458852</v>
      </c>
      <c r="AH48" s="1527">
        <v>5517423</v>
      </c>
      <c r="AI48" s="1527">
        <v>0</v>
      </c>
      <c r="AJ48" s="1527">
        <v>0</v>
      </c>
      <c r="AK48" s="1530" t="s">
        <v>2707</v>
      </c>
      <c r="AL48" s="1299"/>
    </row>
    <row r="49" spans="3:38" ht="15.65" x14ac:dyDescent="0.25">
      <c r="C49" s="1210" t="s">
        <v>2616</v>
      </c>
      <c r="D49" s="1210" t="s">
        <v>2416</v>
      </c>
      <c r="E49" s="1305">
        <v>2455006</v>
      </c>
      <c r="F49" s="1210" t="s">
        <v>2521</v>
      </c>
      <c r="G49" s="1210" t="s">
        <v>2522</v>
      </c>
      <c r="H49" s="1270" t="s">
        <v>2669</v>
      </c>
      <c r="I49" s="1210" t="s">
        <v>194</v>
      </c>
      <c r="J49" s="1210" t="s">
        <v>2403</v>
      </c>
      <c r="K49" s="1178" t="s">
        <v>2410</v>
      </c>
      <c r="L49" s="1178" t="s">
        <v>2388</v>
      </c>
      <c r="M49" s="1210" t="s">
        <v>2622</v>
      </c>
      <c r="N49" s="1210" t="s">
        <v>2200</v>
      </c>
      <c r="O49" s="1211">
        <v>891175.14631546498</v>
      </c>
      <c r="P49" s="1211">
        <v>2013187.1131403199</v>
      </c>
      <c r="Q49" s="1211">
        <v>0</v>
      </c>
      <c r="R49" s="1211">
        <v>0</v>
      </c>
      <c r="S49" s="1211">
        <v>0</v>
      </c>
      <c r="T49" s="1211">
        <f t="shared" si="2"/>
        <v>2904362.2594557852</v>
      </c>
      <c r="U49" s="1181"/>
      <c r="V49" s="1337"/>
      <c r="W49" s="1337"/>
      <c r="X49" s="1525" t="s">
        <v>2172</v>
      </c>
      <c r="Y49" s="1525" t="s">
        <v>2173</v>
      </c>
      <c r="Z49" s="1525">
        <v>8313517</v>
      </c>
      <c r="AA49" s="1525">
        <v>166523.89000000001</v>
      </c>
      <c r="AB49" s="1525">
        <v>8146993.1100000003</v>
      </c>
      <c r="AC49" s="1334"/>
      <c r="AD49" s="1528"/>
      <c r="AE49" s="1528"/>
      <c r="AF49" s="1528"/>
      <c r="AG49" s="1528"/>
      <c r="AH49" s="1528"/>
      <c r="AI49" s="1528"/>
      <c r="AJ49" s="1528"/>
      <c r="AK49" s="1530"/>
      <c r="AL49" s="1299"/>
    </row>
    <row r="50" spans="3:38" ht="15.65" x14ac:dyDescent="0.25">
      <c r="C50" s="1210" t="s">
        <v>2616</v>
      </c>
      <c r="D50" s="1210" t="s">
        <v>2416</v>
      </c>
      <c r="E50" s="1305">
        <v>2455006</v>
      </c>
      <c r="F50" s="1210" t="s">
        <v>2521</v>
      </c>
      <c r="G50" s="1210" t="s">
        <v>2522</v>
      </c>
      <c r="H50" s="1270" t="s">
        <v>2669</v>
      </c>
      <c r="I50" s="1210" t="s">
        <v>194</v>
      </c>
      <c r="J50" s="1210" t="s">
        <v>2403</v>
      </c>
      <c r="K50" s="1178" t="s">
        <v>2410</v>
      </c>
      <c r="L50" s="1178" t="s">
        <v>2388</v>
      </c>
      <c r="M50" s="1210" t="s">
        <v>2622</v>
      </c>
      <c r="N50" s="1210" t="s">
        <v>2201</v>
      </c>
      <c r="O50" s="1211">
        <v>783260.00318270503</v>
      </c>
      <c r="P50" s="1211">
        <v>1769404.08534181</v>
      </c>
      <c r="Q50" s="1211">
        <v>0</v>
      </c>
      <c r="R50" s="1211">
        <v>0</v>
      </c>
      <c r="S50" s="1211">
        <v>0</v>
      </c>
      <c r="T50" s="1211">
        <f t="shared" si="2"/>
        <v>2552664.0885245148</v>
      </c>
      <c r="U50" s="1181"/>
      <c r="V50" s="1337"/>
      <c r="W50" s="1337"/>
      <c r="X50" s="1525" t="s">
        <v>2172</v>
      </c>
      <c r="Y50" s="1525" t="s">
        <v>2173</v>
      </c>
      <c r="Z50" s="1525">
        <v>8313517</v>
      </c>
      <c r="AA50" s="1525">
        <v>166523.89000000001</v>
      </c>
      <c r="AB50" s="1525">
        <v>8146993.1100000003</v>
      </c>
      <c r="AC50" s="1334"/>
      <c r="AD50" s="1528"/>
      <c r="AE50" s="1528"/>
      <c r="AF50" s="1528"/>
      <c r="AG50" s="1528"/>
      <c r="AH50" s="1528"/>
      <c r="AI50" s="1528"/>
      <c r="AJ50" s="1528"/>
      <c r="AK50" s="1530"/>
      <c r="AL50" s="1299"/>
    </row>
    <row r="51" spans="3:38" ht="15.65" x14ac:dyDescent="0.25">
      <c r="C51" s="1210" t="s">
        <v>2616</v>
      </c>
      <c r="D51" s="1210" t="s">
        <v>2416</v>
      </c>
      <c r="E51" s="1305">
        <v>2455006</v>
      </c>
      <c r="F51" s="1210" t="s">
        <v>2521</v>
      </c>
      <c r="G51" s="1210" t="s">
        <v>2522</v>
      </c>
      <c r="H51" s="1270" t="s">
        <v>2669</v>
      </c>
      <c r="I51" s="1210" t="s">
        <v>194</v>
      </c>
      <c r="J51" s="1210" t="s">
        <v>2403</v>
      </c>
      <c r="K51" s="1178" t="s">
        <v>2410</v>
      </c>
      <c r="L51" s="1178" t="s">
        <v>2388</v>
      </c>
      <c r="M51" s="1210" t="s">
        <v>2622</v>
      </c>
      <c r="N51" s="1210" t="s">
        <v>2202</v>
      </c>
      <c r="O51" s="1211">
        <v>2433880.9266801402</v>
      </c>
      <c r="P51" s="1211">
        <v>5498198.3471697802</v>
      </c>
      <c r="Q51" s="1211">
        <v>0</v>
      </c>
      <c r="R51" s="1211">
        <v>0</v>
      </c>
      <c r="S51" s="1211">
        <v>0</v>
      </c>
      <c r="T51" s="1211">
        <f t="shared" si="2"/>
        <v>7932079.2738499204</v>
      </c>
      <c r="U51" s="1181"/>
      <c r="V51" s="1337"/>
      <c r="W51" s="1337"/>
      <c r="X51" s="1526" t="s">
        <v>2172</v>
      </c>
      <c r="Y51" s="1526" t="s">
        <v>2173</v>
      </c>
      <c r="Z51" s="1526">
        <v>8313517</v>
      </c>
      <c r="AA51" s="1526">
        <v>166523.89000000001</v>
      </c>
      <c r="AB51" s="1526">
        <v>8146993.1100000003</v>
      </c>
      <c r="AC51" s="1334"/>
      <c r="AD51" s="1529"/>
      <c r="AE51" s="1529"/>
      <c r="AF51" s="1529"/>
      <c r="AG51" s="1529"/>
      <c r="AH51" s="1529"/>
      <c r="AI51" s="1529"/>
      <c r="AJ51" s="1529"/>
      <c r="AK51" s="1530"/>
      <c r="AL51" s="1299"/>
    </row>
    <row r="52" spans="3:38" ht="15.65" x14ac:dyDescent="0.25">
      <c r="C52" s="1210" t="s">
        <v>2616</v>
      </c>
      <c r="D52" s="1210" t="s">
        <v>2416</v>
      </c>
      <c r="E52" s="1305">
        <v>2458120</v>
      </c>
      <c r="F52" s="1210" t="s">
        <v>2477</v>
      </c>
      <c r="G52" s="1210" t="s">
        <v>2402</v>
      </c>
      <c r="H52" s="1270" t="s">
        <v>2669</v>
      </c>
      <c r="I52" s="1210" t="s">
        <v>194</v>
      </c>
      <c r="J52" s="1210" t="s">
        <v>2451</v>
      </c>
      <c r="K52" s="1178">
        <v>0</v>
      </c>
      <c r="L52" s="1178" t="s">
        <v>2398</v>
      </c>
      <c r="M52" s="1210" t="s">
        <v>2478</v>
      </c>
      <c r="N52" s="1210" t="s">
        <v>2199</v>
      </c>
      <c r="O52" s="1211">
        <v>2251185</v>
      </c>
      <c r="P52" s="1211">
        <v>1502372</v>
      </c>
      <c r="Q52" s="1211">
        <v>0</v>
      </c>
      <c r="R52" s="1211">
        <v>0</v>
      </c>
      <c r="S52" s="1211">
        <v>0</v>
      </c>
      <c r="T52" s="1211">
        <f t="shared" si="2"/>
        <v>3753557</v>
      </c>
      <c r="U52" s="1181"/>
      <c r="V52" s="1337"/>
      <c r="W52" s="1337"/>
      <c r="X52" s="1337" t="s">
        <v>2114</v>
      </c>
      <c r="Y52" s="1337" t="s">
        <v>2114</v>
      </c>
      <c r="Z52" s="1338">
        <v>3753557</v>
      </c>
      <c r="AA52" s="1338">
        <v>0</v>
      </c>
      <c r="AB52" s="1338">
        <v>3753557</v>
      </c>
      <c r="AC52" s="1334"/>
      <c r="AD52" s="1301">
        <v>3753557</v>
      </c>
      <c r="AE52" s="1301">
        <v>0</v>
      </c>
      <c r="AF52" s="1301">
        <v>0</v>
      </c>
      <c r="AG52" s="1301">
        <v>0</v>
      </c>
      <c r="AH52" s="1301">
        <v>120000</v>
      </c>
      <c r="AI52" s="1301">
        <v>2000000</v>
      </c>
      <c r="AJ52" s="1320">
        <v>1633557</v>
      </c>
      <c r="AK52" s="1318" t="s">
        <v>2706</v>
      </c>
      <c r="AL52" s="1299"/>
    </row>
    <row r="53" spans="3:38" ht="15.65" x14ac:dyDescent="0.25">
      <c r="C53" s="1210" t="s">
        <v>2616</v>
      </c>
      <c r="D53" s="1210" t="s">
        <v>2416</v>
      </c>
      <c r="E53" s="1305">
        <v>2458352</v>
      </c>
      <c r="F53" s="1210" t="s">
        <v>2481</v>
      </c>
      <c r="G53" s="1210" t="s">
        <v>2418</v>
      </c>
      <c r="H53" s="1270" t="s">
        <v>2669</v>
      </c>
      <c r="I53" s="1210" t="s">
        <v>194</v>
      </c>
      <c r="J53" s="1210" t="s">
        <v>2480</v>
      </c>
      <c r="K53" s="1178">
        <v>0</v>
      </c>
      <c r="L53" s="1178" t="s">
        <v>2398</v>
      </c>
      <c r="M53" s="1210" t="s">
        <v>2420</v>
      </c>
      <c r="N53" s="1210" t="s">
        <v>2199</v>
      </c>
      <c r="O53" s="1211">
        <v>20000</v>
      </c>
      <c r="P53" s="1211">
        <v>30000</v>
      </c>
      <c r="Q53" s="1211">
        <v>10000</v>
      </c>
      <c r="R53" s="1211">
        <v>2739431.3</v>
      </c>
      <c r="S53" s="1211">
        <v>2739431.3</v>
      </c>
      <c r="T53" s="1211">
        <f t="shared" si="2"/>
        <v>5538862.5999999996</v>
      </c>
      <c r="U53" s="1181"/>
      <c r="V53" s="1337"/>
      <c r="W53" s="1337"/>
      <c r="X53" s="1337" t="s">
        <v>2114</v>
      </c>
      <c r="Y53" s="1337" t="s">
        <v>2118</v>
      </c>
      <c r="Z53" s="1338">
        <v>5538862.5999999996</v>
      </c>
      <c r="AA53" s="1338">
        <v>0</v>
      </c>
      <c r="AB53" s="1338">
        <v>5538862.5999999996</v>
      </c>
      <c r="AC53" s="1334"/>
      <c r="AD53" s="1301">
        <v>5538862.5999999996</v>
      </c>
      <c r="AE53" s="1301">
        <v>0</v>
      </c>
      <c r="AF53" s="1301">
        <v>0</v>
      </c>
      <c r="AG53" s="1301">
        <v>0</v>
      </c>
      <c r="AH53" s="1301">
        <v>30000</v>
      </c>
      <c r="AI53" s="1301">
        <v>10000</v>
      </c>
      <c r="AJ53" s="1319">
        <v>10000</v>
      </c>
      <c r="AK53" s="1318" t="s">
        <v>2706</v>
      </c>
      <c r="AL53" s="1299"/>
    </row>
    <row r="54" spans="3:38" ht="15.65" x14ac:dyDescent="0.25">
      <c r="C54" s="1210" t="s">
        <v>2616</v>
      </c>
      <c r="D54" s="1210" t="s">
        <v>2416</v>
      </c>
      <c r="E54" s="1305">
        <v>2459590</v>
      </c>
      <c r="F54" s="1210" t="s">
        <v>2505</v>
      </c>
      <c r="G54" s="1210" t="s">
        <v>2402</v>
      </c>
      <c r="H54" s="1270" t="s">
        <v>2669</v>
      </c>
      <c r="I54" s="1210" t="s">
        <v>194</v>
      </c>
      <c r="J54" s="1210" t="s">
        <v>2411</v>
      </c>
      <c r="K54" s="1178" t="s">
        <v>2410</v>
      </c>
      <c r="L54" s="1178" t="s">
        <v>2388</v>
      </c>
      <c r="M54" s="1210" t="s">
        <v>2478</v>
      </c>
      <c r="N54" s="1210" t="s">
        <v>2199</v>
      </c>
      <c r="O54" s="1211">
        <v>1095450.8223954299</v>
      </c>
      <c r="P54" s="1211">
        <v>1234032.7713087299</v>
      </c>
      <c r="Q54" s="1211">
        <v>3317465.1027031098</v>
      </c>
      <c r="R54" s="1211"/>
      <c r="S54" s="1211"/>
      <c r="T54" s="1211">
        <f t="shared" si="2"/>
        <v>5646948.6964072697</v>
      </c>
      <c r="U54" s="1181"/>
      <c r="V54" s="1337"/>
      <c r="W54" s="1337"/>
      <c r="X54" s="1524" t="s">
        <v>2114</v>
      </c>
      <c r="Y54" s="1524" t="s">
        <v>2115</v>
      </c>
      <c r="Z54" s="1524">
        <v>17958098.399999999</v>
      </c>
      <c r="AA54" s="1524">
        <v>164600</v>
      </c>
      <c r="AB54" s="1524">
        <v>17793498.399999999</v>
      </c>
      <c r="AC54" s="1334"/>
      <c r="AD54" s="1527">
        <v>11589767.67</v>
      </c>
      <c r="AE54" s="1527">
        <v>2115179</v>
      </c>
      <c r="AF54" s="1527">
        <v>3071298</v>
      </c>
      <c r="AG54" s="1527">
        <v>3071298</v>
      </c>
      <c r="AH54" s="1527">
        <v>6403290.6699999999</v>
      </c>
      <c r="AI54" s="1527">
        <v>0</v>
      </c>
      <c r="AJ54" s="1527">
        <v>0</v>
      </c>
      <c r="AK54" s="1530" t="s">
        <v>2707</v>
      </c>
      <c r="AL54" s="1299"/>
    </row>
    <row r="55" spans="3:38" ht="15.65" x14ac:dyDescent="0.25">
      <c r="C55" s="1210" t="s">
        <v>2616</v>
      </c>
      <c r="D55" s="1210" t="s">
        <v>2416</v>
      </c>
      <c r="E55" s="1305">
        <v>2459590</v>
      </c>
      <c r="F55" s="1210" t="s">
        <v>2505</v>
      </c>
      <c r="G55" s="1210" t="s">
        <v>2402</v>
      </c>
      <c r="H55" s="1270" t="s">
        <v>2669</v>
      </c>
      <c r="I55" s="1210" t="s">
        <v>194</v>
      </c>
      <c r="J55" s="1210" t="s">
        <v>2411</v>
      </c>
      <c r="K55" s="1178" t="s">
        <v>2410</v>
      </c>
      <c r="L55" s="1178" t="s">
        <v>2388</v>
      </c>
      <c r="M55" s="1210" t="s">
        <v>2478</v>
      </c>
      <c r="N55" s="1210" t="s">
        <v>2200</v>
      </c>
      <c r="O55" s="1211">
        <v>1094825.7768359401</v>
      </c>
      <c r="P55" s="1211">
        <v>1233328.6532523099</v>
      </c>
      <c r="Q55" s="1211">
        <v>3315572.21368535</v>
      </c>
      <c r="R55" s="1211"/>
      <c r="S55" s="1211"/>
      <c r="T55" s="1211">
        <f t="shared" si="2"/>
        <v>5643726.6437736005</v>
      </c>
      <c r="U55" s="1181"/>
      <c r="V55" s="1337"/>
      <c r="W55" s="1337"/>
      <c r="X55" s="1525" t="s">
        <v>2114</v>
      </c>
      <c r="Y55" s="1525" t="s">
        <v>2115</v>
      </c>
      <c r="Z55" s="1525">
        <v>17958098.399999999</v>
      </c>
      <c r="AA55" s="1525">
        <v>164600</v>
      </c>
      <c r="AB55" s="1525">
        <v>17793498.399999999</v>
      </c>
      <c r="AC55" s="1334"/>
      <c r="AD55" s="1528"/>
      <c r="AE55" s="1528"/>
      <c r="AF55" s="1528"/>
      <c r="AG55" s="1528"/>
      <c r="AH55" s="1528"/>
      <c r="AI55" s="1528"/>
      <c r="AJ55" s="1528"/>
      <c r="AK55" s="1530"/>
      <c r="AL55" s="1299"/>
    </row>
    <row r="56" spans="3:38" ht="15.65" x14ac:dyDescent="0.25">
      <c r="C56" s="1210" t="s">
        <v>2616</v>
      </c>
      <c r="D56" s="1210" t="s">
        <v>2416</v>
      </c>
      <c r="E56" s="1305">
        <v>2459590</v>
      </c>
      <c r="F56" s="1210" t="s">
        <v>2505</v>
      </c>
      <c r="G56" s="1210" t="s">
        <v>2402</v>
      </c>
      <c r="H56" s="1270" t="s">
        <v>2669</v>
      </c>
      <c r="I56" s="1210" t="s">
        <v>194</v>
      </c>
      <c r="J56" s="1210" t="s">
        <v>2411</v>
      </c>
      <c r="K56" s="1178" t="s">
        <v>2410</v>
      </c>
      <c r="L56" s="1178" t="s">
        <v>2388</v>
      </c>
      <c r="M56" s="1210" t="s">
        <v>2478</v>
      </c>
      <c r="N56" s="1210" t="s">
        <v>2201</v>
      </c>
      <c r="O56" s="1211">
        <v>962249.95118260896</v>
      </c>
      <c r="P56" s="1211">
        <v>1083981.08767034</v>
      </c>
      <c r="Q56" s="1211">
        <v>2914079.36154141</v>
      </c>
      <c r="R56" s="1211"/>
      <c r="S56" s="1211"/>
      <c r="T56" s="1211">
        <f t="shared" si="2"/>
        <v>4960310.4003943587</v>
      </c>
      <c r="U56" s="1181"/>
      <c r="V56" s="1337"/>
      <c r="W56" s="1337"/>
      <c r="X56" s="1525" t="s">
        <v>2114</v>
      </c>
      <c r="Y56" s="1525" t="s">
        <v>2115</v>
      </c>
      <c r="Z56" s="1525">
        <v>17958098.399999999</v>
      </c>
      <c r="AA56" s="1525">
        <v>164600</v>
      </c>
      <c r="AB56" s="1525">
        <v>17793498.399999999</v>
      </c>
      <c r="AC56" s="1334"/>
      <c r="AD56" s="1528"/>
      <c r="AE56" s="1528"/>
      <c r="AF56" s="1528"/>
      <c r="AG56" s="1528"/>
      <c r="AH56" s="1528"/>
      <c r="AI56" s="1528"/>
      <c r="AJ56" s="1528"/>
      <c r="AK56" s="1530"/>
      <c r="AL56" s="1299"/>
    </row>
    <row r="57" spans="3:38" ht="15.65" x14ac:dyDescent="0.25">
      <c r="C57" s="1210" t="s">
        <v>2616</v>
      </c>
      <c r="D57" s="1210" t="s">
        <v>2416</v>
      </c>
      <c r="E57" s="1305">
        <v>2459590</v>
      </c>
      <c r="F57" s="1210" t="s">
        <v>2505</v>
      </c>
      <c r="G57" s="1210" t="s">
        <v>2402</v>
      </c>
      <c r="H57" s="1270" t="s">
        <v>2669</v>
      </c>
      <c r="I57" s="1210" t="s">
        <v>194</v>
      </c>
      <c r="J57" s="1210" t="s">
        <v>2411</v>
      </c>
      <c r="K57" s="1178" t="s">
        <v>2410</v>
      </c>
      <c r="L57" s="1178" t="s">
        <v>2388</v>
      </c>
      <c r="M57" s="1210" t="s">
        <v>2478</v>
      </c>
      <c r="N57" s="1210" t="s">
        <v>2202</v>
      </c>
      <c r="O57" s="1211">
        <v>2990069.4495860199</v>
      </c>
      <c r="P57" s="1211">
        <v>3368333.48776863</v>
      </c>
      <c r="Q57" s="1211">
        <v>9055131.3220701292</v>
      </c>
      <c r="R57" s="1211"/>
      <c r="S57" s="1211"/>
      <c r="T57" s="1211">
        <f t="shared" si="2"/>
        <v>15413534.25942478</v>
      </c>
      <c r="U57" s="1181"/>
      <c r="V57" s="1337"/>
      <c r="W57" s="1337"/>
      <c r="X57" s="1526" t="s">
        <v>2114</v>
      </c>
      <c r="Y57" s="1526" t="s">
        <v>2115</v>
      </c>
      <c r="Z57" s="1526">
        <v>17958098.399999999</v>
      </c>
      <c r="AA57" s="1526">
        <v>164600</v>
      </c>
      <c r="AB57" s="1526">
        <v>17793498.399999999</v>
      </c>
      <c r="AC57" s="1334"/>
      <c r="AD57" s="1529"/>
      <c r="AE57" s="1529"/>
      <c r="AF57" s="1529"/>
      <c r="AG57" s="1529"/>
      <c r="AH57" s="1529"/>
      <c r="AI57" s="1529"/>
      <c r="AJ57" s="1529"/>
      <c r="AK57" s="1530"/>
      <c r="AL57" s="1299"/>
    </row>
    <row r="58" spans="3:38" ht="15.65" x14ac:dyDescent="0.25">
      <c r="C58" s="1210" t="s">
        <v>2616</v>
      </c>
      <c r="D58" s="1210" t="s">
        <v>2416</v>
      </c>
      <c r="E58" s="1305">
        <v>2467374</v>
      </c>
      <c r="F58" s="1210" t="s">
        <v>2485</v>
      </c>
      <c r="G58" s="1210" t="s">
        <v>2486</v>
      </c>
      <c r="H58" s="1270" t="s">
        <v>2669</v>
      </c>
      <c r="I58" s="1210" t="s">
        <v>196</v>
      </c>
      <c r="J58" s="1210" t="s">
        <v>2480</v>
      </c>
      <c r="K58" s="1178">
        <v>0</v>
      </c>
      <c r="L58" s="1178" t="s">
        <v>2398</v>
      </c>
      <c r="M58" s="1210" t="s">
        <v>2420</v>
      </c>
      <c r="N58" s="1210" t="s">
        <v>2199</v>
      </c>
      <c r="O58" s="1211">
        <v>0</v>
      </c>
      <c r="P58" s="1211">
        <v>4366716</v>
      </c>
      <c r="Q58" s="1211">
        <v>0</v>
      </c>
      <c r="R58" s="1211">
        <v>0</v>
      </c>
      <c r="S58" s="1211">
        <v>0</v>
      </c>
      <c r="T58" s="1211">
        <f t="shared" si="2"/>
        <v>4366716</v>
      </c>
      <c r="U58" s="1181"/>
      <c r="V58" s="1337"/>
      <c r="W58" s="1337"/>
      <c r="X58" s="1337" t="s">
        <v>2114</v>
      </c>
      <c r="Y58" s="1337" t="s">
        <v>2118</v>
      </c>
      <c r="Z58" s="1338">
        <v>4366715.5</v>
      </c>
      <c r="AA58" s="1338">
        <v>0</v>
      </c>
      <c r="AB58" s="1338">
        <v>4366715.5</v>
      </c>
      <c r="AC58" s="1334"/>
      <c r="AD58" s="1301">
        <v>4366715.5</v>
      </c>
      <c r="AE58" s="1301">
        <v>0</v>
      </c>
      <c r="AF58" s="1301">
        <v>0</v>
      </c>
      <c r="AG58" s="1301">
        <v>0</v>
      </c>
      <c r="AH58" s="1301">
        <v>50000</v>
      </c>
      <c r="AI58" s="1301">
        <v>50000</v>
      </c>
      <c r="AJ58" s="1320">
        <v>10000</v>
      </c>
      <c r="AK58" s="1318" t="s">
        <v>2706</v>
      </c>
      <c r="AL58" s="1299"/>
    </row>
    <row r="59" spans="3:38" ht="15.65" x14ac:dyDescent="0.25">
      <c r="C59" s="1210" t="s">
        <v>2616</v>
      </c>
      <c r="D59" s="1210" t="s">
        <v>2416</v>
      </c>
      <c r="E59" s="1305">
        <v>2468127</v>
      </c>
      <c r="F59" s="1210" t="s">
        <v>2513</v>
      </c>
      <c r="G59" s="1210" t="s">
        <v>2497</v>
      </c>
      <c r="H59" s="1270" t="s">
        <v>2669</v>
      </c>
      <c r="I59" s="1210" t="s">
        <v>194</v>
      </c>
      <c r="J59" s="1210" t="s">
        <v>2427</v>
      </c>
      <c r="K59" s="1178" t="s">
        <v>2454</v>
      </c>
      <c r="L59" s="1178" t="s">
        <v>2398</v>
      </c>
      <c r="M59" s="1210" t="s">
        <v>2420</v>
      </c>
      <c r="N59" s="1210" t="s">
        <v>2200</v>
      </c>
      <c r="O59" s="1211">
        <v>30000</v>
      </c>
      <c r="P59" s="1211">
        <v>25000</v>
      </c>
      <c r="Q59" s="1211">
        <v>30000</v>
      </c>
      <c r="R59" s="1211">
        <v>898452.75</v>
      </c>
      <c r="S59" s="1211">
        <v>898452.75</v>
      </c>
      <c r="T59" s="1211">
        <f t="shared" si="2"/>
        <v>1881905.5</v>
      </c>
      <c r="U59" s="1181"/>
      <c r="V59" s="1337"/>
      <c r="W59" s="1337"/>
      <c r="X59" s="1337" t="s">
        <v>2120</v>
      </c>
      <c r="Y59" s="1337" t="s">
        <v>2125</v>
      </c>
      <c r="Z59" s="1338">
        <v>2707521.5</v>
      </c>
      <c r="AA59" s="1338">
        <v>31800</v>
      </c>
      <c r="AB59" s="1338">
        <v>1881905.5</v>
      </c>
      <c r="AC59" s="1334"/>
      <c r="AD59" s="1301">
        <v>2707521.5</v>
      </c>
      <c r="AE59" s="1301">
        <v>128116</v>
      </c>
      <c r="AF59" s="1301">
        <v>1451201</v>
      </c>
      <c r="AG59" s="1301">
        <v>1451201</v>
      </c>
      <c r="AH59" s="1301">
        <v>1000000</v>
      </c>
      <c r="AI59" s="1301">
        <v>128205</v>
      </c>
      <c r="AJ59" s="1317">
        <v>0</v>
      </c>
      <c r="AK59" s="1318" t="s">
        <v>2707</v>
      </c>
      <c r="AL59" s="1299"/>
    </row>
    <row r="60" spans="3:38" ht="15.65" x14ac:dyDescent="0.25">
      <c r="C60" s="1210" t="s">
        <v>2616</v>
      </c>
      <c r="D60" s="1210" t="s">
        <v>2416</v>
      </c>
      <c r="E60" s="1305">
        <v>2470557</v>
      </c>
      <c r="F60" s="1210" t="s">
        <v>2487</v>
      </c>
      <c r="G60" s="1210" t="s">
        <v>2453</v>
      </c>
      <c r="H60" s="1270" t="s">
        <v>2669</v>
      </c>
      <c r="I60" s="1210" t="s">
        <v>196</v>
      </c>
      <c r="J60" s="1210" t="s">
        <v>2472</v>
      </c>
      <c r="K60" s="1178">
        <v>0</v>
      </c>
      <c r="L60" s="1178" t="s">
        <v>2388</v>
      </c>
      <c r="M60" s="1210" t="s">
        <v>2617</v>
      </c>
      <c r="N60" s="1210" t="s">
        <v>2617</v>
      </c>
      <c r="O60" s="1211">
        <v>3468124</v>
      </c>
      <c r="P60" s="1211">
        <v>1529072</v>
      </c>
      <c r="Q60" s="1211">
        <v>0</v>
      </c>
      <c r="R60" s="1211"/>
      <c r="S60" s="1211"/>
      <c r="T60" s="1211">
        <f t="shared" si="2"/>
        <v>4997196</v>
      </c>
      <c r="U60" s="1181"/>
      <c r="V60" s="1337"/>
      <c r="W60" s="1337"/>
      <c r="X60" s="1337" t="s">
        <v>2114</v>
      </c>
      <c r="Y60" s="1337" t="s">
        <v>2114</v>
      </c>
      <c r="Z60" s="1338">
        <v>4997196.18</v>
      </c>
      <c r="AA60" s="1338">
        <v>0</v>
      </c>
      <c r="AB60" s="1338">
        <v>4997196.18</v>
      </c>
      <c r="AC60" s="1334"/>
      <c r="AD60" s="1301">
        <v>4997196.18</v>
      </c>
      <c r="AE60" s="1301">
        <v>0</v>
      </c>
      <c r="AF60" s="1301">
        <v>0</v>
      </c>
      <c r="AG60" s="1301">
        <v>0</v>
      </c>
      <c r="AH60" s="1301">
        <v>1529072</v>
      </c>
      <c r="AI60" s="1301">
        <v>3468124</v>
      </c>
      <c r="AJ60" s="1317">
        <v>0</v>
      </c>
      <c r="AK60" s="1318" t="s">
        <v>2706</v>
      </c>
      <c r="AL60" s="1299"/>
    </row>
    <row r="61" spans="3:38" ht="15.65" x14ac:dyDescent="0.25">
      <c r="C61" s="1210" t="s">
        <v>2616</v>
      </c>
      <c r="D61" s="1210" t="s">
        <v>2514</v>
      </c>
      <c r="E61" s="1305">
        <v>2343278</v>
      </c>
      <c r="F61" s="1210" t="s">
        <v>2515</v>
      </c>
      <c r="G61" s="1210" t="s">
        <v>2497</v>
      </c>
      <c r="H61" s="1270" t="s">
        <v>2669</v>
      </c>
      <c r="I61" s="1210" t="s">
        <v>194</v>
      </c>
      <c r="J61" s="1210" t="s">
        <v>2516</v>
      </c>
      <c r="K61" s="1178" t="s">
        <v>2454</v>
      </c>
      <c r="L61" s="1178" t="s">
        <v>2398</v>
      </c>
      <c r="M61" s="1210" t="s">
        <v>2420</v>
      </c>
      <c r="N61" s="1210" t="s">
        <v>2202</v>
      </c>
      <c r="O61" s="1211">
        <v>1182281</v>
      </c>
      <c r="P61" s="1211">
        <v>1182280</v>
      </c>
      <c r="Q61" s="1211">
        <v>0</v>
      </c>
      <c r="R61" s="1211">
        <v>0</v>
      </c>
      <c r="S61" s="1211">
        <v>0</v>
      </c>
      <c r="T61" s="1211">
        <f t="shared" si="2"/>
        <v>2364561</v>
      </c>
      <c r="U61" s="1181"/>
      <c r="V61" s="1337"/>
      <c r="W61" s="1337"/>
      <c r="X61" s="1337" t="s">
        <v>2149</v>
      </c>
      <c r="Y61" s="1337" t="s">
        <v>2158</v>
      </c>
      <c r="Z61" s="1338">
        <v>2399561</v>
      </c>
      <c r="AA61" s="1338">
        <v>35000</v>
      </c>
      <c r="AB61" s="1338">
        <v>2364561</v>
      </c>
      <c r="AC61" s="1334"/>
      <c r="AD61" s="1301">
        <v>2419561.5</v>
      </c>
      <c r="AE61" s="1301">
        <v>35000</v>
      </c>
      <c r="AF61" s="1301">
        <v>1082313</v>
      </c>
      <c r="AG61" s="1301">
        <v>700609.5</v>
      </c>
      <c r="AH61" s="1301">
        <v>601639</v>
      </c>
      <c r="AI61" s="1301">
        <v>700610</v>
      </c>
      <c r="AJ61" s="1320">
        <v>0</v>
      </c>
      <c r="AK61" s="1318" t="s">
        <v>2707</v>
      </c>
      <c r="AL61" s="1299"/>
    </row>
    <row r="62" spans="3:38" ht="15.65" x14ac:dyDescent="0.25">
      <c r="C62" s="1210" t="s">
        <v>2616</v>
      </c>
      <c r="D62" s="1210" t="s">
        <v>2413</v>
      </c>
      <c r="E62" s="1305">
        <v>2147536</v>
      </c>
      <c r="F62" s="1210" t="s">
        <v>2546</v>
      </c>
      <c r="G62" s="1210" t="s">
        <v>2547</v>
      </c>
      <c r="H62" s="1270" t="s">
        <v>2667</v>
      </c>
      <c r="I62" s="1210" t="s">
        <v>204</v>
      </c>
      <c r="J62" s="1210" t="s">
        <v>2411</v>
      </c>
      <c r="K62" s="1178" t="s">
        <v>2410</v>
      </c>
      <c r="L62" s="1178" t="s">
        <v>2388</v>
      </c>
      <c r="M62" s="1210" t="s">
        <v>2617</v>
      </c>
      <c r="N62" s="1210" t="s">
        <v>2617</v>
      </c>
      <c r="O62" s="1211">
        <f>2500000*2</f>
        <v>5000000</v>
      </c>
      <c r="P62" s="1211">
        <f>3959924*2</f>
        <v>7919848</v>
      </c>
      <c r="Q62" s="1211">
        <v>0</v>
      </c>
      <c r="R62" s="1211">
        <v>0</v>
      </c>
      <c r="S62" s="1211">
        <v>0</v>
      </c>
      <c r="T62" s="1211">
        <f t="shared" si="2"/>
        <v>12919848</v>
      </c>
      <c r="U62" s="1181"/>
      <c r="V62" s="1337"/>
      <c r="W62" s="1337"/>
      <c r="X62" s="1337" t="s">
        <v>2120</v>
      </c>
      <c r="Y62" s="1337" t="s">
        <v>2123</v>
      </c>
      <c r="Z62" s="1338">
        <v>8891106.3699999992</v>
      </c>
      <c r="AA62" s="1338">
        <v>2431181.7599999998</v>
      </c>
      <c r="AB62" s="1338">
        <v>5590603.6100000003</v>
      </c>
      <c r="AC62" s="1334"/>
      <c r="AD62" s="1301">
        <v>8891106.3300000001</v>
      </c>
      <c r="AE62" s="1301">
        <v>3524474</v>
      </c>
      <c r="AF62" s="1301">
        <v>1500000</v>
      </c>
      <c r="AG62" s="1301">
        <v>1500000</v>
      </c>
      <c r="AH62" s="1301">
        <v>0</v>
      </c>
      <c r="AI62" s="1301">
        <v>0</v>
      </c>
      <c r="AJ62" s="1317">
        <v>0</v>
      </c>
      <c r="AK62" s="1318" t="s">
        <v>2707</v>
      </c>
      <c r="AL62" s="1299"/>
    </row>
    <row r="63" spans="3:38" ht="15.65" x14ac:dyDescent="0.25">
      <c r="C63" s="1210" t="s">
        <v>2616</v>
      </c>
      <c r="D63" s="1210" t="s">
        <v>2413</v>
      </c>
      <c r="E63" s="1305">
        <v>2303476</v>
      </c>
      <c r="F63" s="1210" t="s">
        <v>2525</v>
      </c>
      <c r="G63" s="1210" t="s">
        <v>2397</v>
      </c>
      <c r="H63" s="1210" t="s">
        <v>2667</v>
      </c>
      <c r="I63" s="1210" t="s">
        <v>204</v>
      </c>
      <c r="J63" s="1210" t="s">
        <v>2526</v>
      </c>
      <c r="K63" s="1178" t="s">
        <v>2410</v>
      </c>
      <c r="L63" s="1178" t="s">
        <v>2393</v>
      </c>
      <c r="M63" s="1210" t="s">
        <v>2618</v>
      </c>
      <c r="N63" s="1210" t="s">
        <v>2199</v>
      </c>
      <c r="O63" s="1211">
        <v>4383889</v>
      </c>
      <c r="P63" s="1211">
        <v>4383889</v>
      </c>
      <c r="Q63" s="1211">
        <v>4383889</v>
      </c>
      <c r="R63" s="1211">
        <v>1282898.69</v>
      </c>
      <c r="S63" s="1211">
        <v>1282898.69</v>
      </c>
      <c r="T63" s="1211">
        <f t="shared" si="2"/>
        <v>15717464.379999999</v>
      </c>
      <c r="U63" s="1181"/>
      <c r="V63" s="1337"/>
      <c r="W63" s="1337"/>
      <c r="X63" s="1337" t="s">
        <v>2114</v>
      </c>
      <c r="Y63" s="1337" t="s">
        <v>2116</v>
      </c>
      <c r="Z63" s="1338">
        <v>16066964.380000001</v>
      </c>
      <c r="AA63" s="1338">
        <v>349500</v>
      </c>
      <c r="AB63" s="1338">
        <v>15717464.380000001</v>
      </c>
      <c r="AC63" s="1334"/>
      <c r="AD63" s="1301">
        <v>16581367.810000001</v>
      </c>
      <c r="AE63" s="1301">
        <v>349500</v>
      </c>
      <c r="AF63" s="1301">
        <v>0</v>
      </c>
      <c r="AG63" s="1301">
        <v>0</v>
      </c>
      <c r="AH63" s="1301">
        <v>5731790</v>
      </c>
      <c r="AI63" s="1301">
        <v>5790190</v>
      </c>
      <c r="AJ63" s="1319">
        <v>4195484</v>
      </c>
      <c r="AK63" s="1318" t="s">
        <v>2706</v>
      </c>
      <c r="AL63" s="1299"/>
    </row>
    <row r="64" spans="3:38" ht="15.65" x14ac:dyDescent="0.25">
      <c r="C64" s="1210" t="s">
        <v>2616</v>
      </c>
      <c r="D64" s="1210" t="s">
        <v>2413</v>
      </c>
      <c r="E64" s="1305">
        <v>2226587</v>
      </c>
      <c r="F64" s="1210" t="s">
        <v>2503</v>
      </c>
      <c r="G64" s="1210" t="s">
        <v>2397</v>
      </c>
      <c r="H64" s="1210" t="s">
        <v>2667</v>
      </c>
      <c r="I64" s="1210" t="s">
        <v>204</v>
      </c>
      <c r="J64" s="1210" t="s">
        <v>2504</v>
      </c>
      <c r="K64" s="1178" t="s">
        <v>2454</v>
      </c>
      <c r="L64" s="1178" t="s">
        <v>2398</v>
      </c>
      <c r="M64" s="1210" t="s">
        <v>2618</v>
      </c>
      <c r="N64" s="1210" t="s">
        <v>2202</v>
      </c>
      <c r="O64" s="1211">
        <v>2000</v>
      </c>
      <c r="P64" s="1211">
        <v>5000</v>
      </c>
      <c r="Q64" s="1211">
        <v>5000</v>
      </c>
      <c r="R64" s="1211">
        <v>2378691.5</v>
      </c>
      <c r="S64" s="1211">
        <v>2378691.5</v>
      </c>
      <c r="T64" s="1211">
        <f t="shared" si="2"/>
        <v>4769383</v>
      </c>
      <c r="U64" s="1181"/>
      <c r="V64" s="1337"/>
      <c r="W64" s="1337"/>
      <c r="X64" s="1337" t="s">
        <v>2146</v>
      </c>
      <c r="Y64" s="1337" t="s">
        <v>2150</v>
      </c>
      <c r="Z64" s="1338">
        <v>4814383</v>
      </c>
      <c r="AA64" s="1338">
        <v>45000</v>
      </c>
      <c r="AB64" s="1338">
        <v>4769383</v>
      </c>
      <c r="AC64" s="1334"/>
      <c r="AD64" s="1301">
        <v>4814383</v>
      </c>
      <c r="AE64" s="1301">
        <v>45000</v>
      </c>
      <c r="AF64" s="1301">
        <v>34600</v>
      </c>
      <c r="AG64" s="1301">
        <v>34600</v>
      </c>
      <c r="AH64" s="1301">
        <v>2000</v>
      </c>
      <c r="AI64" s="1301">
        <v>5000</v>
      </c>
      <c r="AJ64" s="1317">
        <v>20000</v>
      </c>
      <c r="AK64" s="1318" t="s">
        <v>2707</v>
      </c>
      <c r="AL64" s="1299"/>
    </row>
    <row r="65" spans="3:38" ht="15.65" x14ac:dyDescent="0.25">
      <c r="C65" s="1210" t="s">
        <v>2616</v>
      </c>
      <c r="D65" s="1210" t="s">
        <v>2413</v>
      </c>
      <c r="E65" s="1305">
        <v>2321665</v>
      </c>
      <c r="F65" s="1210" t="s">
        <v>2567</v>
      </c>
      <c r="G65" s="1210" t="s">
        <v>2397</v>
      </c>
      <c r="H65" s="1210" t="s">
        <v>2667</v>
      </c>
      <c r="I65" s="1210" t="s">
        <v>204</v>
      </c>
      <c r="J65" s="1210" t="s">
        <v>2568</v>
      </c>
      <c r="K65" s="1178" t="s">
        <v>2454</v>
      </c>
      <c r="L65" s="1178" t="s">
        <v>2398</v>
      </c>
      <c r="M65" s="1210" t="s">
        <v>2618</v>
      </c>
      <c r="N65" s="1210" t="s">
        <v>2202</v>
      </c>
      <c r="O65" s="1211">
        <v>937418</v>
      </c>
      <c r="P65" s="1211">
        <v>0</v>
      </c>
      <c r="Q65" s="1211">
        <v>0</v>
      </c>
      <c r="R65" s="1211">
        <v>0</v>
      </c>
      <c r="S65" s="1211">
        <v>0</v>
      </c>
      <c r="T65" s="1211">
        <f t="shared" si="2"/>
        <v>937418</v>
      </c>
      <c r="U65" s="1181"/>
      <c r="V65" s="1337"/>
      <c r="W65" s="1337"/>
      <c r="X65" s="1337" t="s">
        <v>2149</v>
      </c>
      <c r="Y65" s="1337" t="s">
        <v>2160</v>
      </c>
      <c r="Z65" s="1338">
        <v>4454845</v>
      </c>
      <c r="AA65" s="1338">
        <v>3517426.95</v>
      </c>
      <c r="AB65" s="1338">
        <v>937418.05</v>
      </c>
      <c r="AC65" s="1334"/>
      <c r="AD65" s="1301"/>
      <c r="AE65" s="1301"/>
      <c r="AF65" s="1301"/>
      <c r="AG65" s="1301"/>
      <c r="AH65" s="1301"/>
      <c r="AI65" s="1301"/>
      <c r="AJ65" s="1317"/>
      <c r="AK65" s="1318" t="s">
        <v>2717</v>
      </c>
      <c r="AL65" s="1299"/>
    </row>
    <row r="66" spans="3:38" ht="15.65" x14ac:dyDescent="0.25">
      <c r="C66" s="1210" t="s">
        <v>2616</v>
      </c>
      <c r="D66" s="1210" t="s">
        <v>2413</v>
      </c>
      <c r="E66" s="1305">
        <v>2332816</v>
      </c>
      <c r="F66" s="1210" t="s">
        <v>2529</v>
      </c>
      <c r="G66" s="1210" t="s">
        <v>2397</v>
      </c>
      <c r="H66" s="1210" t="s">
        <v>2667</v>
      </c>
      <c r="I66" s="1210" t="s">
        <v>204</v>
      </c>
      <c r="J66" s="1210" t="s">
        <v>2451</v>
      </c>
      <c r="K66" s="1178" t="s">
        <v>2454</v>
      </c>
      <c r="L66" s="1178" t="s">
        <v>2398</v>
      </c>
      <c r="M66" s="1210" t="s">
        <v>2618</v>
      </c>
      <c r="N66" s="1210" t="s">
        <v>2199</v>
      </c>
      <c r="O66" s="1211">
        <f>1839780*2</f>
        <v>3679560</v>
      </c>
      <c r="P66" s="1211">
        <f>1078869*2</f>
        <v>2157738</v>
      </c>
      <c r="Q66" s="1211">
        <v>0</v>
      </c>
      <c r="R66" s="1211">
        <v>0</v>
      </c>
      <c r="S66" s="1211">
        <v>0</v>
      </c>
      <c r="T66" s="1211">
        <f t="shared" si="2"/>
        <v>5837298</v>
      </c>
      <c r="U66" s="1181"/>
      <c r="V66" s="1337"/>
      <c r="W66" s="1337"/>
      <c r="X66" s="1337" t="s">
        <v>2114</v>
      </c>
      <c r="Y66" s="1337" t="s">
        <v>2116</v>
      </c>
      <c r="Z66" s="1338">
        <v>2999919.62</v>
      </c>
      <c r="AA66" s="1338">
        <v>69271.179999999993</v>
      </c>
      <c r="AB66" s="1338">
        <v>2918648.44</v>
      </c>
      <c r="AC66" s="1334"/>
      <c r="AD66" s="1301">
        <v>2999919.62</v>
      </c>
      <c r="AE66" s="1301">
        <v>69271</v>
      </c>
      <c r="AF66" s="1301">
        <v>0</v>
      </c>
      <c r="AG66" s="1301">
        <v>0</v>
      </c>
      <c r="AH66" s="1301">
        <v>50000</v>
      </c>
      <c r="AI66" s="1301">
        <v>1880649</v>
      </c>
      <c r="AJ66" s="1319">
        <v>1000000</v>
      </c>
      <c r="AK66" s="1318" t="s">
        <v>2707</v>
      </c>
      <c r="AL66" s="1299"/>
    </row>
    <row r="67" spans="3:38" ht="15.65" x14ac:dyDescent="0.25">
      <c r="C67" s="1210" t="s">
        <v>2616</v>
      </c>
      <c r="D67" s="1210" t="s">
        <v>2413</v>
      </c>
      <c r="E67" s="1305">
        <v>2332886</v>
      </c>
      <c r="F67" s="1210" t="s">
        <v>2414</v>
      </c>
      <c r="G67" s="1210" t="s">
        <v>2397</v>
      </c>
      <c r="H67" s="1210" t="s">
        <v>2667</v>
      </c>
      <c r="I67" s="1210" t="s">
        <v>204</v>
      </c>
      <c r="J67" s="1210" t="s">
        <v>2415</v>
      </c>
      <c r="K67" s="1178">
        <v>0</v>
      </c>
      <c r="L67" s="1178" t="s">
        <v>2398</v>
      </c>
      <c r="M67" s="1210" t="s">
        <v>2618</v>
      </c>
      <c r="N67" s="1210" t="s">
        <v>2199</v>
      </c>
      <c r="O67" s="1211">
        <v>0</v>
      </c>
      <c r="P67" s="1211">
        <v>0</v>
      </c>
      <c r="Q67" s="1211">
        <v>0</v>
      </c>
      <c r="R67" s="1211">
        <v>2128018.5</v>
      </c>
      <c r="S67" s="1211">
        <v>2128018.5</v>
      </c>
      <c r="T67" s="1211">
        <f t="shared" si="2"/>
        <v>4256037</v>
      </c>
      <c r="U67" s="1181"/>
      <c r="V67" s="1337"/>
      <c r="W67" s="1337"/>
      <c r="X67" s="1337" t="s">
        <v>2114</v>
      </c>
      <c r="Y67" s="1337" t="s">
        <v>2116</v>
      </c>
      <c r="Z67" s="1338">
        <v>4256037</v>
      </c>
      <c r="AA67" s="1338">
        <v>0</v>
      </c>
      <c r="AB67" s="1338">
        <v>4256037</v>
      </c>
      <c r="AC67" s="1334"/>
      <c r="AD67" s="1301"/>
      <c r="AE67" s="1301"/>
      <c r="AF67" s="1301"/>
      <c r="AG67" s="1301"/>
      <c r="AH67" s="1301"/>
      <c r="AI67" s="1301"/>
      <c r="AJ67" s="1317"/>
      <c r="AK67" s="1318" t="s">
        <v>2717</v>
      </c>
      <c r="AL67" s="1299"/>
    </row>
    <row r="68" spans="3:38" ht="15.65" x14ac:dyDescent="0.25">
      <c r="C68" s="1210" t="s">
        <v>2616</v>
      </c>
      <c r="D68" s="1210" t="s">
        <v>2413</v>
      </c>
      <c r="E68" s="1305">
        <v>2339904</v>
      </c>
      <c r="F68" s="1210" t="s">
        <v>2421</v>
      </c>
      <c r="G68" s="1210" t="s">
        <v>2397</v>
      </c>
      <c r="H68" s="1210" t="s">
        <v>2667</v>
      </c>
      <c r="I68" s="1210" t="s">
        <v>204</v>
      </c>
      <c r="J68" s="1210" t="s">
        <v>2411</v>
      </c>
      <c r="K68" s="1178">
        <v>0</v>
      </c>
      <c r="L68" s="1178" t="s">
        <v>2388</v>
      </c>
      <c r="M68" s="1210" t="s">
        <v>2618</v>
      </c>
      <c r="N68" s="1210" t="s">
        <v>2202</v>
      </c>
      <c r="O68" s="1211">
        <v>2780054</v>
      </c>
      <c r="P68" s="1211">
        <v>2269614</v>
      </c>
      <c r="Q68" s="1211">
        <v>0</v>
      </c>
      <c r="R68" s="1211">
        <v>0</v>
      </c>
      <c r="S68" s="1211">
        <v>0</v>
      </c>
      <c r="T68" s="1211">
        <f t="shared" si="2"/>
        <v>5049668</v>
      </c>
      <c r="U68" s="1181"/>
      <c r="V68" s="1337"/>
      <c r="W68" s="1337"/>
      <c r="X68" s="1337" t="s">
        <v>2178</v>
      </c>
      <c r="Y68" s="1337" t="s">
        <v>2182</v>
      </c>
      <c r="Z68" s="1338">
        <v>5049667.9000000004</v>
      </c>
      <c r="AA68" s="1338">
        <v>0</v>
      </c>
      <c r="AB68" s="1338">
        <v>5049667.9000000004</v>
      </c>
      <c r="AC68" s="1334"/>
      <c r="AD68" s="1301">
        <v>5015760.4800000004</v>
      </c>
      <c r="AE68" s="1301">
        <v>0</v>
      </c>
      <c r="AF68" s="1301">
        <v>0</v>
      </c>
      <c r="AG68" s="1301">
        <v>0</v>
      </c>
      <c r="AH68" s="1301">
        <v>2269614</v>
      </c>
      <c r="AI68" s="1301">
        <v>2746146</v>
      </c>
      <c r="AJ68" s="1317">
        <v>0</v>
      </c>
      <c r="AK68" s="1318" t="s">
        <v>2718</v>
      </c>
      <c r="AL68" s="1299"/>
    </row>
    <row r="69" spans="3:38" ht="15.65" x14ac:dyDescent="0.25">
      <c r="C69" s="1210" t="s">
        <v>2616</v>
      </c>
      <c r="D69" s="1210" t="s">
        <v>2413</v>
      </c>
      <c r="E69" s="1305">
        <v>2341222</v>
      </c>
      <c r="F69" s="1210" t="s">
        <v>2422</v>
      </c>
      <c r="G69" s="1210" t="s">
        <v>2397</v>
      </c>
      <c r="H69" s="1210" t="s">
        <v>2667</v>
      </c>
      <c r="I69" s="1210" t="s">
        <v>204</v>
      </c>
      <c r="J69" s="1210" t="s">
        <v>2423</v>
      </c>
      <c r="K69" s="1178">
        <v>0</v>
      </c>
      <c r="L69" s="1178" t="s">
        <v>2398</v>
      </c>
      <c r="M69" s="1210" t="s">
        <v>2618</v>
      </c>
      <c r="N69" s="1210" t="s">
        <v>2199</v>
      </c>
      <c r="O69" s="1211">
        <v>0</v>
      </c>
      <c r="P69" s="1211">
        <v>0</v>
      </c>
      <c r="Q69" s="1211">
        <v>1189101</v>
      </c>
      <c r="R69" s="1211"/>
      <c r="S69" s="1211"/>
      <c r="T69" s="1211">
        <f t="shared" si="2"/>
        <v>1189101</v>
      </c>
      <c r="U69" s="1181"/>
      <c r="V69" s="1337"/>
      <c r="W69" s="1337"/>
      <c r="X69" s="1337" t="s">
        <v>2114</v>
      </c>
      <c r="Y69" s="1337" t="s">
        <v>2115</v>
      </c>
      <c r="Z69" s="1338">
        <v>1189101.25</v>
      </c>
      <c r="AA69" s="1338">
        <v>0</v>
      </c>
      <c r="AB69" s="1338">
        <v>1189101.25</v>
      </c>
      <c r="AC69" s="1334"/>
      <c r="AD69" s="1301"/>
      <c r="AE69" s="1301"/>
      <c r="AF69" s="1301"/>
      <c r="AG69" s="1301"/>
      <c r="AH69" s="1301"/>
      <c r="AI69" s="1301"/>
      <c r="AJ69" s="1317"/>
      <c r="AK69" s="1318" t="s">
        <v>2717</v>
      </c>
      <c r="AL69" s="1299"/>
    </row>
    <row r="70" spans="3:38" ht="15.65" x14ac:dyDescent="0.25">
      <c r="C70" s="1210" t="s">
        <v>2616</v>
      </c>
      <c r="D70" s="1210" t="s">
        <v>2413</v>
      </c>
      <c r="E70" s="1305">
        <v>2341332</v>
      </c>
      <c r="F70" s="1210" t="s">
        <v>2579</v>
      </c>
      <c r="G70" s="1210" t="s">
        <v>2409</v>
      </c>
      <c r="H70" s="1270" t="s">
        <v>2669</v>
      </c>
      <c r="I70" s="1210" t="s">
        <v>196</v>
      </c>
      <c r="J70" s="1210" t="s">
        <v>2561</v>
      </c>
      <c r="K70" s="1178" t="s">
        <v>2454</v>
      </c>
      <c r="L70" s="1178" t="s">
        <v>2398</v>
      </c>
      <c r="M70" s="1210" t="s">
        <v>2617</v>
      </c>
      <c r="N70" s="1210" t="s">
        <v>2617</v>
      </c>
      <c r="O70" s="1211">
        <f>58139*2</f>
        <v>116278</v>
      </c>
      <c r="P70" s="1211">
        <v>0</v>
      </c>
      <c r="Q70" s="1211">
        <v>0</v>
      </c>
      <c r="R70" s="1211">
        <v>0</v>
      </c>
      <c r="S70" s="1211">
        <v>0</v>
      </c>
      <c r="T70" s="1211">
        <f t="shared" si="2"/>
        <v>116278</v>
      </c>
      <c r="U70" s="1181"/>
      <c r="V70" s="1337"/>
      <c r="W70" s="1337"/>
      <c r="X70" s="1337" t="s">
        <v>2120</v>
      </c>
      <c r="Y70" s="1337" t="s">
        <v>2124</v>
      </c>
      <c r="Z70" s="1338">
        <v>942890.63</v>
      </c>
      <c r="AA70" s="1338">
        <v>884752.17</v>
      </c>
      <c r="AB70" s="1338">
        <v>58138.46</v>
      </c>
      <c r="AC70" s="1334"/>
      <c r="AD70" s="1301">
        <v>942890.63</v>
      </c>
      <c r="AE70" s="1301">
        <v>884752</v>
      </c>
      <c r="AF70" s="1301">
        <v>0</v>
      </c>
      <c r="AG70" s="1301">
        <v>0</v>
      </c>
      <c r="AH70" s="1301">
        <v>10000</v>
      </c>
      <c r="AI70" s="1301">
        <v>1000</v>
      </c>
      <c r="AJ70" s="1317">
        <v>10000</v>
      </c>
      <c r="AK70" s="1318" t="s">
        <v>2707</v>
      </c>
      <c r="AL70" s="1299"/>
    </row>
    <row r="71" spans="3:38" ht="15.65" x14ac:dyDescent="0.25">
      <c r="C71" s="1210" t="s">
        <v>2616</v>
      </c>
      <c r="D71" s="1210" t="s">
        <v>2413</v>
      </c>
      <c r="E71" s="1305">
        <v>2342263</v>
      </c>
      <c r="F71" s="1210" t="s">
        <v>2424</v>
      </c>
      <c r="G71" s="1210" t="s">
        <v>2397</v>
      </c>
      <c r="H71" s="1210" t="s">
        <v>2667</v>
      </c>
      <c r="I71" s="1210" t="s">
        <v>204</v>
      </c>
      <c r="J71" s="1210" t="s">
        <v>2411</v>
      </c>
      <c r="K71" s="1178" t="s">
        <v>2410</v>
      </c>
      <c r="L71" s="1178" t="s">
        <v>2388</v>
      </c>
      <c r="M71" s="1210" t="s">
        <v>2618</v>
      </c>
      <c r="N71" s="1210" t="s">
        <v>2200</v>
      </c>
      <c r="O71" s="1211">
        <v>1089219</v>
      </c>
      <c r="P71" s="1211">
        <v>0</v>
      </c>
      <c r="Q71" s="1211">
        <v>0</v>
      </c>
      <c r="R71" s="1211">
        <v>0</v>
      </c>
      <c r="S71" s="1211">
        <v>0</v>
      </c>
      <c r="T71" s="1211">
        <f t="shared" si="2"/>
        <v>1089219</v>
      </c>
      <c r="U71" s="1181"/>
      <c r="V71" s="1337"/>
      <c r="W71" s="1337"/>
      <c r="X71" s="1337" t="s">
        <v>2126</v>
      </c>
      <c r="Y71" s="1337" t="s">
        <v>2126</v>
      </c>
      <c r="Z71" s="1338">
        <v>1109219</v>
      </c>
      <c r="AA71" s="1338">
        <v>0</v>
      </c>
      <c r="AB71" s="1338">
        <v>1109219</v>
      </c>
      <c r="AC71" s="1334"/>
      <c r="AD71" s="1301">
        <v>1282210.07</v>
      </c>
      <c r="AE71" s="1301">
        <v>20000</v>
      </c>
      <c r="AF71" s="1301">
        <v>0</v>
      </c>
      <c r="AG71" s="1301">
        <v>0</v>
      </c>
      <c r="AH71" s="1301">
        <v>0</v>
      </c>
      <c r="AI71" s="1301">
        <v>0</v>
      </c>
      <c r="AJ71" s="1317">
        <v>0</v>
      </c>
      <c r="AK71" s="1318" t="s">
        <v>2707</v>
      </c>
      <c r="AL71" s="1299"/>
    </row>
    <row r="72" spans="3:38" ht="15.65" x14ac:dyDescent="0.25">
      <c r="C72" s="1210" t="s">
        <v>2616</v>
      </c>
      <c r="D72" s="1210" t="s">
        <v>2413</v>
      </c>
      <c r="E72" s="1305">
        <v>2342402</v>
      </c>
      <c r="F72" s="1210" t="s">
        <v>2576</v>
      </c>
      <c r="G72" s="1210" t="s">
        <v>2577</v>
      </c>
      <c r="H72" s="1210" t="s">
        <v>2667</v>
      </c>
      <c r="I72" s="1210" t="s">
        <v>2491</v>
      </c>
      <c r="J72" s="1210" t="s">
        <v>2578</v>
      </c>
      <c r="K72" s="1178" t="s">
        <v>2410</v>
      </c>
      <c r="L72" s="1178" t="s">
        <v>2388</v>
      </c>
      <c r="M72" s="1210" t="s">
        <v>2617</v>
      </c>
      <c r="N72" s="1210" t="s">
        <v>2617</v>
      </c>
      <c r="O72" s="1211">
        <f>76544*2</f>
        <v>153088</v>
      </c>
      <c r="P72" s="1211">
        <v>0</v>
      </c>
      <c r="Q72" s="1211">
        <v>0</v>
      </c>
      <c r="R72" s="1211">
        <v>0</v>
      </c>
      <c r="S72" s="1211">
        <v>0</v>
      </c>
      <c r="T72" s="1211">
        <f t="shared" si="2"/>
        <v>153088</v>
      </c>
      <c r="U72" s="1181"/>
      <c r="V72" s="1337"/>
      <c r="W72" s="1337"/>
      <c r="X72" s="1337" t="s">
        <v>2139</v>
      </c>
      <c r="Y72" s="1337" t="s">
        <v>2142</v>
      </c>
      <c r="Z72" s="1338">
        <v>1120685</v>
      </c>
      <c r="AA72" s="1338">
        <v>1044141.44</v>
      </c>
      <c r="AB72" s="1338">
        <v>76543.56</v>
      </c>
      <c r="AC72" s="1334"/>
      <c r="AD72" s="1301">
        <v>1130685</v>
      </c>
      <c r="AE72" s="1301">
        <v>1054141</v>
      </c>
      <c r="AF72" s="1301">
        <v>0</v>
      </c>
      <c r="AG72" s="1301">
        <v>0</v>
      </c>
      <c r="AH72" s="1301">
        <v>0</v>
      </c>
      <c r="AI72" s="1301">
        <v>0</v>
      </c>
      <c r="AJ72" s="1319">
        <v>0</v>
      </c>
      <c r="AK72" s="1318" t="s">
        <v>2708</v>
      </c>
      <c r="AL72" s="1299"/>
    </row>
    <row r="73" spans="3:38" ht="15.65" x14ac:dyDescent="0.25">
      <c r="C73" s="1210" t="s">
        <v>2616</v>
      </c>
      <c r="D73" s="1210" t="s">
        <v>2413</v>
      </c>
      <c r="E73" s="1305">
        <v>2352797</v>
      </c>
      <c r="F73" s="1210" t="s">
        <v>2542</v>
      </c>
      <c r="G73" s="1210" t="s">
        <v>2436</v>
      </c>
      <c r="H73" s="1210" t="s">
        <v>2667</v>
      </c>
      <c r="I73" s="1210" t="s">
        <v>204</v>
      </c>
      <c r="J73" s="1210" t="s">
        <v>2411</v>
      </c>
      <c r="K73" s="1178" t="s">
        <v>2410</v>
      </c>
      <c r="L73" s="1178" t="s">
        <v>2388</v>
      </c>
      <c r="M73" s="1210" t="s">
        <v>2617</v>
      </c>
      <c r="N73" s="1210" t="s">
        <v>2617</v>
      </c>
      <c r="O73" s="1211">
        <v>1500000</v>
      </c>
      <c r="P73" s="1211">
        <v>2500000</v>
      </c>
      <c r="Q73" s="1211">
        <v>2044617</v>
      </c>
      <c r="R73" s="1211">
        <v>11836.1800000004</v>
      </c>
      <c r="S73" s="1211">
        <v>11836.1800000004</v>
      </c>
      <c r="T73" s="1211">
        <f t="shared" si="2"/>
        <v>6068289.3600000013</v>
      </c>
      <c r="U73" s="1181"/>
      <c r="V73" s="1337"/>
      <c r="W73" s="1337"/>
      <c r="X73" s="1337" t="s">
        <v>2114</v>
      </c>
      <c r="Y73" s="1337" t="s">
        <v>2118</v>
      </c>
      <c r="Z73" s="1338">
        <v>10030143.300000001</v>
      </c>
      <c r="AA73" s="1338">
        <v>2263388.44</v>
      </c>
      <c r="AB73" s="1338">
        <v>6044616.8600000003</v>
      </c>
      <c r="AC73" s="1334"/>
      <c r="AD73" s="1301">
        <v>10030143.390000001</v>
      </c>
      <c r="AE73" s="1301">
        <v>4247868</v>
      </c>
      <c r="AF73" s="1301">
        <v>1500000</v>
      </c>
      <c r="AG73" s="1301">
        <v>1500000</v>
      </c>
      <c r="AH73" s="1301">
        <v>0</v>
      </c>
      <c r="AI73" s="1301">
        <v>0</v>
      </c>
      <c r="AJ73" s="1317">
        <v>0</v>
      </c>
      <c r="AK73" s="1318" t="s">
        <v>2707</v>
      </c>
      <c r="AL73" s="1299"/>
    </row>
    <row r="74" spans="3:38" ht="15.65" x14ac:dyDescent="0.25">
      <c r="C74" s="1210" t="s">
        <v>2616</v>
      </c>
      <c r="D74" s="1210" t="s">
        <v>2413</v>
      </c>
      <c r="E74" s="1305">
        <v>2380943</v>
      </c>
      <c r="F74" s="1210" t="s">
        <v>2432</v>
      </c>
      <c r="G74" s="1210" t="s">
        <v>2430</v>
      </c>
      <c r="H74" s="1210" t="s">
        <v>2667</v>
      </c>
      <c r="I74" s="1210" t="s">
        <v>204</v>
      </c>
      <c r="J74" s="1210" t="s">
        <v>2389</v>
      </c>
      <c r="K74" s="1178" t="s">
        <v>2433</v>
      </c>
      <c r="L74" s="1178" t="s">
        <v>2388</v>
      </c>
      <c r="M74" s="1210" t="s">
        <v>2618</v>
      </c>
      <c r="N74" s="1210" t="s">
        <v>2202</v>
      </c>
      <c r="O74" s="1211">
        <v>2500000</v>
      </c>
      <c r="P74" s="1211">
        <v>12000000</v>
      </c>
      <c r="Q74" s="1211">
        <v>0</v>
      </c>
      <c r="R74" s="1211">
        <v>1032694</v>
      </c>
      <c r="S74" s="1211">
        <v>1032694</v>
      </c>
      <c r="T74" s="1211">
        <f t="shared" ref="T74:T105" si="3">SUM(O74:S74)</f>
        <v>16565388</v>
      </c>
      <c r="U74" s="1181"/>
      <c r="V74" s="1337"/>
      <c r="W74" s="1337"/>
      <c r="X74" s="1337" t="s">
        <v>2139</v>
      </c>
      <c r="Y74" s="1337" t="s">
        <v>2195</v>
      </c>
      <c r="Z74" s="1338">
        <v>16571233</v>
      </c>
      <c r="AA74" s="1338">
        <v>5845</v>
      </c>
      <c r="AB74" s="1338">
        <v>16565388</v>
      </c>
      <c r="AC74" s="1334"/>
      <c r="AD74" s="1301">
        <v>16571233</v>
      </c>
      <c r="AE74" s="1301">
        <v>5845</v>
      </c>
      <c r="AF74" s="1301">
        <v>0</v>
      </c>
      <c r="AG74" s="1301">
        <v>0</v>
      </c>
      <c r="AH74" s="1301">
        <v>12000000</v>
      </c>
      <c r="AI74" s="1301">
        <v>4565388</v>
      </c>
      <c r="AJ74" s="1317">
        <v>0</v>
      </c>
      <c r="AK74" s="1318" t="s">
        <v>2707</v>
      </c>
      <c r="AL74" s="1299"/>
    </row>
    <row r="75" spans="3:38" ht="15.65" x14ac:dyDescent="0.25">
      <c r="C75" s="1210" t="s">
        <v>2616</v>
      </c>
      <c r="D75" s="1210" t="s">
        <v>2400</v>
      </c>
      <c r="E75" s="1305">
        <v>2307040</v>
      </c>
      <c r="F75" s="1210" t="s">
        <v>2401</v>
      </c>
      <c r="G75" s="1210" t="s">
        <v>2402</v>
      </c>
      <c r="H75" s="1270" t="s">
        <v>2668</v>
      </c>
      <c r="I75" s="1210" t="s">
        <v>202</v>
      </c>
      <c r="J75" s="1210" t="s">
        <v>2403</v>
      </c>
      <c r="K75" s="1178">
        <v>0</v>
      </c>
      <c r="L75" s="1178" t="s">
        <v>2388</v>
      </c>
      <c r="M75" s="1210" t="s">
        <v>2617</v>
      </c>
      <c r="N75" s="1210" t="s">
        <v>2617</v>
      </c>
      <c r="O75" s="1211">
        <v>4602327</v>
      </c>
      <c r="P75" s="1211">
        <v>142340</v>
      </c>
      <c r="Q75" s="1211">
        <v>0</v>
      </c>
      <c r="R75" s="1211">
        <v>0</v>
      </c>
      <c r="S75" s="1211">
        <v>0</v>
      </c>
      <c r="T75" s="1211">
        <f t="shared" si="3"/>
        <v>4744667</v>
      </c>
      <c r="U75" s="1181"/>
      <c r="V75" s="1337"/>
      <c r="W75" s="1337"/>
      <c r="X75" s="1337" t="s">
        <v>2705</v>
      </c>
      <c r="Y75" s="1337" t="s">
        <v>2705</v>
      </c>
      <c r="Z75" s="1338">
        <v>4744667</v>
      </c>
      <c r="AA75" s="1338">
        <v>0</v>
      </c>
      <c r="AB75" s="1338">
        <v>4744667</v>
      </c>
      <c r="AC75" s="1334"/>
      <c r="AD75" s="1301"/>
      <c r="AE75" s="1301"/>
      <c r="AF75" s="1301"/>
      <c r="AG75" s="1301"/>
      <c r="AH75" s="1301"/>
      <c r="AI75" s="1301"/>
      <c r="AJ75" s="1317"/>
      <c r="AK75" s="1318" t="s">
        <v>2717</v>
      </c>
      <c r="AL75" s="1299"/>
    </row>
    <row r="76" spans="3:38" ht="15.65" x14ac:dyDescent="0.25">
      <c r="C76" s="1210" t="s">
        <v>2616</v>
      </c>
      <c r="D76" s="1210" t="s">
        <v>2428</v>
      </c>
      <c r="E76" s="1305">
        <v>2352924</v>
      </c>
      <c r="F76" s="1210" t="s">
        <v>2429</v>
      </c>
      <c r="G76" s="1210" t="s">
        <v>2430</v>
      </c>
      <c r="H76" s="1270" t="s">
        <v>2668</v>
      </c>
      <c r="I76" s="1210" t="s">
        <v>201</v>
      </c>
      <c r="J76" s="1210" t="s">
        <v>2389</v>
      </c>
      <c r="K76" s="1178">
        <v>0</v>
      </c>
      <c r="L76" s="1178" t="s">
        <v>2388</v>
      </c>
      <c r="M76" s="1210" t="s">
        <v>2618</v>
      </c>
      <c r="N76" s="1210" t="s">
        <v>2201</v>
      </c>
      <c r="O76" s="1211">
        <v>1706721</v>
      </c>
      <c r="P76" s="1211">
        <v>0</v>
      </c>
      <c r="Q76" s="1211">
        <v>0</v>
      </c>
      <c r="R76" s="1211">
        <v>0</v>
      </c>
      <c r="S76" s="1211">
        <v>0</v>
      </c>
      <c r="T76" s="1211">
        <f t="shared" si="3"/>
        <v>1706721</v>
      </c>
      <c r="U76" s="1181"/>
      <c r="V76" s="1337"/>
      <c r="W76" s="1337"/>
      <c r="X76" s="1337" t="s">
        <v>2136</v>
      </c>
      <c r="Y76" s="1337" t="s">
        <v>2168</v>
      </c>
      <c r="Z76" s="1338">
        <v>1706721</v>
      </c>
      <c r="AA76" s="1338">
        <v>0</v>
      </c>
      <c r="AB76" s="1338">
        <v>1706721</v>
      </c>
      <c r="AC76" s="1334"/>
      <c r="AD76" s="1301">
        <v>1706721</v>
      </c>
      <c r="AE76" s="1301">
        <v>0</v>
      </c>
      <c r="AF76" s="1301">
        <v>0</v>
      </c>
      <c r="AG76" s="1301">
        <v>0</v>
      </c>
      <c r="AH76" s="1301">
        <v>1706721</v>
      </c>
      <c r="AI76" s="1301">
        <v>0</v>
      </c>
      <c r="AJ76" s="1319">
        <v>0</v>
      </c>
      <c r="AK76" s="1318" t="s">
        <v>2707</v>
      </c>
      <c r="AL76" s="1299"/>
    </row>
    <row r="77" spans="3:38" ht="15.65" x14ac:dyDescent="0.25">
      <c r="C77" s="1210" t="s">
        <v>2616</v>
      </c>
      <c r="D77" s="1210" t="s">
        <v>2413</v>
      </c>
      <c r="E77" s="1305">
        <v>2270953</v>
      </c>
      <c r="F77" s="1210" t="s">
        <v>2435</v>
      </c>
      <c r="G77" s="1210" t="s">
        <v>2436</v>
      </c>
      <c r="H77" s="1210" t="s">
        <v>2667</v>
      </c>
      <c r="I77" s="1210" t="s">
        <v>204</v>
      </c>
      <c r="J77" s="1210" t="s">
        <v>2437</v>
      </c>
      <c r="K77" s="1178">
        <v>0</v>
      </c>
      <c r="L77" s="1178" t="s">
        <v>2398</v>
      </c>
      <c r="M77" s="1210" t="s">
        <v>2618</v>
      </c>
      <c r="N77" s="1210" t="s">
        <v>2202</v>
      </c>
      <c r="O77" s="1211">
        <v>0</v>
      </c>
      <c r="P77" s="1211">
        <v>0</v>
      </c>
      <c r="Q77" s="1211">
        <v>0</v>
      </c>
      <c r="R77" s="1211">
        <v>2855700</v>
      </c>
      <c r="S77" s="1211">
        <v>2855700</v>
      </c>
      <c r="T77" s="1211">
        <f t="shared" si="3"/>
        <v>5711400</v>
      </c>
      <c r="U77" s="1181"/>
      <c r="V77" s="1337"/>
      <c r="W77" s="1337"/>
      <c r="X77" s="1337" t="s">
        <v>2136</v>
      </c>
      <c r="Y77" s="1337" t="s">
        <v>2169</v>
      </c>
      <c r="Z77" s="1338">
        <v>5711400</v>
      </c>
      <c r="AA77" s="1338">
        <v>0</v>
      </c>
      <c r="AB77" s="1338">
        <v>5711400</v>
      </c>
      <c r="AC77" s="1334"/>
      <c r="AD77" s="1301"/>
      <c r="AE77" s="1301"/>
      <c r="AF77" s="1301"/>
      <c r="AG77" s="1301"/>
      <c r="AH77" s="1301"/>
      <c r="AI77" s="1301"/>
      <c r="AJ77" s="1317"/>
      <c r="AK77" s="1318" t="s">
        <v>2717</v>
      </c>
      <c r="AL77" s="1299"/>
    </row>
    <row r="78" spans="3:38" ht="15.65" x14ac:dyDescent="0.25">
      <c r="C78" s="1210" t="s">
        <v>2616</v>
      </c>
      <c r="D78" s="1210" t="s">
        <v>2413</v>
      </c>
      <c r="E78" s="1305">
        <v>2380726</v>
      </c>
      <c r="F78" s="1210" t="s">
        <v>2489</v>
      </c>
      <c r="G78" s="1210" t="s">
        <v>2490</v>
      </c>
      <c r="H78" s="1210" t="s">
        <v>2667</v>
      </c>
      <c r="I78" s="1210" t="s">
        <v>2491</v>
      </c>
      <c r="J78" s="1210"/>
      <c r="K78" s="1178">
        <v>0</v>
      </c>
      <c r="L78" s="1178" t="s">
        <v>2388</v>
      </c>
      <c r="M78" s="1210" t="s">
        <v>2617</v>
      </c>
      <c r="N78" s="1210" t="s">
        <v>2617</v>
      </c>
      <c r="O78" s="1211">
        <v>1141832</v>
      </c>
      <c r="P78" s="1211">
        <v>0</v>
      </c>
      <c r="Q78" s="1211">
        <v>0</v>
      </c>
      <c r="R78" s="1211">
        <v>0</v>
      </c>
      <c r="S78" s="1211">
        <v>0</v>
      </c>
      <c r="T78" s="1211">
        <f t="shared" si="3"/>
        <v>1141832</v>
      </c>
      <c r="U78" s="1181"/>
      <c r="V78" s="1337"/>
      <c r="W78" s="1337"/>
      <c r="X78" s="1337" t="s">
        <v>2120</v>
      </c>
      <c r="Y78" s="1337" t="s">
        <v>2120</v>
      </c>
      <c r="Z78" s="1338">
        <v>1141832</v>
      </c>
      <c r="AA78" s="1338">
        <v>0</v>
      </c>
      <c r="AB78" s="1338">
        <v>1141832</v>
      </c>
      <c r="AC78" s="1334"/>
      <c r="AD78" s="1301"/>
      <c r="AE78" s="1301"/>
      <c r="AF78" s="1301"/>
      <c r="AG78" s="1301"/>
      <c r="AH78" s="1301"/>
      <c r="AI78" s="1301"/>
      <c r="AJ78" s="1317"/>
      <c r="AK78" s="1318" t="s">
        <v>2717</v>
      </c>
      <c r="AL78" s="1299"/>
    </row>
    <row r="79" spans="3:38" ht="15.65" x14ac:dyDescent="0.25">
      <c r="C79" s="1210" t="s">
        <v>2616</v>
      </c>
      <c r="D79" s="1210" t="s">
        <v>2413</v>
      </c>
      <c r="E79" s="1305">
        <v>2380734</v>
      </c>
      <c r="F79" s="1210" t="s">
        <v>2533</v>
      </c>
      <c r="G79" s="1210" t="s">
        <v>2409</v>
      </c>
      <c r="H79" s="1270" t="s">
        <v>2669</v>
      </c>
      <c r="I79" s="1210" t="s">
        <v>196</v>
      </c>
      <c r="J79" s="1210"/>
      <c r="K79" s="1178" t="s">
        <v>2454</v>
      </c>
      <c r="L79" s="1178" t="s">
        <v>2398</v>
      </c>
      <c r="M79" s="1210" t="s">
        <v>2617</v>
      </c>
      <c r="N79" s="1210" t="s">
        <v>2617</v>
      </c>
      <c r="O79" s="1211">
        <v>550835</v>
      </c>
      <c r="P79" s="1211">
        <v>0</v>
      </c>
      <c r="Q79" s="1211">
        <v>0</v>
      </c>
      <c r="R79" s="1211">
        <v>0</v>
      </c>
      <c r="S79" s="1211">
        <v>0</v>
      </c>
      <c r="T79" s="1211">
        <f t="shared" si="3"/>
        <v>550835</v>
      </c>
      <c r="U79" s="1181"/>
      <c r="V79" s="1337"/>
      <c r="W79" s="1337"/>
      <c r="X79" s="1337" t="s">
        <v>2126</v>
      </c>
      <c r="Y79" s="1337" t="s">
        <v>2126</v>
      </c>
      <c r="Z79" s="1338">
        <v>1160186.68</v>
      </c>
      <c r="AA79" s="1338">
        <v>32000</v>
      </c>
      <c r="AB79" s="1338">
        <v>1128186.68</v>
      </c>
      <c r="AC79" s="1334"/>
      <c r="AD79" s="1301">
        <v>4050836.62</v>
      </c>
      <c r="AE79" s="1301">
        <v>64800</v>
      </c>
      <c r="AF79" s="1301">
        <v>976211</v>
      </c>
      <c r="AG79" s="1301">
        <v>0</v>
      </c>
      <c r="AH79" s="1301">
        <v>119176</v>
      </c>
      <c r="AI79" s="1301">
        <v>0</v>
      </c>
      <c r="AJ79" s="1320">
        <v>0</v>
      </c>
      <c r="AK79" s="1318" t="s">
        <v>2706</v>
      </c>
      <c r="AL79" s="1299"/>
    </row>
    <row r="80" spans="3:38" ht="15.65" x14ac:dyDescent="0.25">
      <c r="C80" s="1210" t="s">
        <v>2616</v>
      </c>
      <c r="D80" s="1210" t="s">
        <v>2413</v>
      </c>
      <c r="E80" s="1305">
        <v>2458297</v>
      </c>
      <c r="F80" s="1210" t="s">
        <v>2479</v>
      </c>
      <c r="G80" s="1210" t="s">
        <v>2397</v>
      </c>
      <c r="H80" s="1210" t="s">
        <v>2667</v>
      </c>
      <c r="I80" s="1210" t="s">
        <v>204</v>
      </c>
      <c r="J80" s="1210" t="s">
        <v>2480</v>
      </c>
      <c r="K80" s="1178">
        <v>0</v>
      </c>
      <c r="L80" s="1178" t="s">
        <v>2398</v>
      </c>
      <c r="M80" s="1210" t="s">
        <v>2618</v>
      </c>
      <c r="N80" s="1210" t="s">
        <v>2199</v>
      </c>
      <c r="O80" s="1211">
        <v>0</v>
      </c>
      <c r="P80" s="1211">
        <v>2110976</v>
      </c>
      <c r="Q80" s="1211">
        <v>1560000</v>
      </c>
      <c r="R80" s="1211">
        <v>0</v>
      </c>
      <c r="S80" s="1211">
        <v>0</v>
      </c>
      <c r="T80" s="1211">
        <f t="shared" si="3"/>
        <v>3670976</v>
      </c>
      <c r="U80" s="1181"/>
      <c r="V80" s="1337"/>
      <c r="W80" s="1337"/>
      <c r="X80" s="1337" t="s">
        <v>2114</v>
      </c>
      <c r="Y80" s="1337" t="s">
        <v>2118</v>
      </c>
      <c r="Z80" s="1338">
        <v>3670975.9</v>
      </c>
      <c r="AA80" s="1338">
        <v>0</v>
      </c>
      <c r="AB80" s="1338">
        <v>3670975.9</v>
      </c>
      <c r="AC80" s="1334"/>
      <c r="AD80" s="1301">
        <v>3670975.9</v>
      </c>
      <c r="AE80" s="1301">
        <v>30000</v>
      </c>
      <c r="AF80" s="1301">
        <v>0</v>
      </c>
      <c r="AG80" s="1301">
        <v>0</v>
      </c>
      <c r="AH80" s="1301">
        <v>14000</v>
      </c>
      <c r="AI80" s="1301">
        <v>20000</v>
      </c>
      <c r="AJ80" s="1317">
        <v>30000</v>
      </c>
      <c r="AK80" s="1318" t="s">
        <v>2707</v>
      </c>
      <c r="AL80" s="1299"/>
    </row>
    <row r="81" spans="3:38" ht="15.65" x14ac:dyDescent="0.25">
      <c r="C81" s="1210" t="s">
        <v>2616</v>
      </c>
      <c r="D81" s="1210" t="s">
        <v>2413</v>
      </c>
      <c r="E81" s="1305">
        <v>2460646</v>
      </c>
      <c r="F81" s="1210" t="s">
        <v>2482</v>
      </c>
      <c r="G81" s="1210" t="s">
        <v>2440</v>
      </c>
      <c r="H81" s="1210" t="s">
        <v>2667</v>
      </c>
      <c r="I81" s="1210" t="s">
        <v>204</v>
      </c>
      <c r="J81" s="1210" t="s">
        <v>2411</v>
      </c>
      <c r="K81" s="1178">
        <v>0</v>
      </c>
      <c r="L81" s="1178" t="s">
        <v>2388</v>
      </c>
      <c r="M81" s="1210" t="s">
        <v>2617</v>
      </c>
      <c r="N81" s="1210" t="s">
        <v>2617</v>
      </c>
      <c r="O81" s="1211">
        <v>3500000</v>
      </c>
      <c r="P81" s="1211">
        <v>5278765</v>
      </c>
      <c r="Q81" s="1211">
        <v>112000</v>
      </c>
      <c r="R81" s="1211"/>
      <c r="S81" s="1211"/>
      <c r="T81" s="1211">
        <f t="shared" si="3"/>
        <v>8890765</v>
      </c>
      <c r="U81" s="1181"/>
      <c r="V81" s="1337"/>
      <c r="W81" s="1337"/>
      <c r="X81" s="1337" t="s">
        <v>2120</v>
      </c>
      <c r="Y81" s="1337" t="s">
        <v>2120</v>
      </c>
      <c r="Z81" s="1338">
        <v>8890765.1999999993</v>
      </c>
      <c r="AA81" s="1338">
        <v>0</v>
      </c>
      <c r="AB81" s="1338">
        <v>8890765.1999999993</v>
      </c>
      <c r="AC81" s="1334"/>
      <c r="AD81" s="1301">
        <v>8890765.1999999993</v>
      </c>
      <c r="AE81" s="1301">
        <v>0</v>
      </c>
      <c r="AF81" s="1301">
        <v>0</v>
      </c>
      <c r="AG81" s="1301">
        <v>0</v>
      </c>
      <c r="AH81" s="1301">
        <v>0</v>
      </c>
      <c r="AI81" s="1301">
        <v>3612000</v>
      </c>
      <c r="AJ81" s="1317">
        <v>5278765</v>
      </c>
      <c r="AK81" s="1318" t="s">
        <v>2706</v>
      </c>
      <c r="AL81" s="1299"/>
    </row>
    <row r="82" spans="3:38" ht="15.65" x14ac:dyDescent="0.25">
      <c r="C82" s="1210" t="s">
        <v>2616</v>
      </c>
      <c r="D82" s="1210" t="s">
        <v>2413</v>
      </c>
      <c r="E82" s="1305">
        <v>2462526</v>
      </c>
      <c r="F82" s="1210" t="s">
        <v>2483</v>
      </c>
      <c r="G82" s="1210" t="s">
        <v>2436</v>
      </c>
      <c r="H82" s="1210" t="s">
        <v>2667</v>
      </c>
      <c r="I82" s="1210" t="s">
        <v>204</v>
      </c>
      <c r="J82" s="1210" t="s">
        <v>2411</v>
      </c>
      <c r="K82" s="1178" t="s">
        <v>2410</v>
      </c>
      <c r="L82" s="1178" t="s">
        <v>2388</v>
      </c>
      <c r="M82" s="1210" t="s">
        <v>2618</v>
      </c>
      <c r="N82" s="1210" t="s">
        <v>2200</v>
      </c>
      <c r="O82" s="1211">
        <v>1670536.29</v>
      </c>
      <c r="P82" s="1211">
        <v>2505804.44</v>
      </c>
      <c r="Q82" s="1211">
        <v>0</v>
      </c>
      <c r="R82" s="1211"/>
      <c r="S82" s="1211"/>
      <c r="T82" s="1211">
        <f t="shared" si="3"/>
        <v>4176340.73</v>
      </c>
      <c r="U82" s="1181"/>
      <c r="V82" s="1337"/>
      <c r="W82" s="1337"/>
      <c r="X82" s="1337" t="s">
        <v>2126</v>
      </c>
      <c r="Y82" s="1337" t="s">
        <v>2134</v>
      </c>
      <c r="Z82" s="1338">
        <v>4269561.7300000004</v>
      </c>
      <c r="AA82" s="1338">
        <v>0</v>
      </c>
      <c r="AB82" s="1338">
        <v>4269561.7300000004</v>
      </c>
      <c r="AC82" s="1334"/>
      <c r="AD82" s="1301">
        <v>5637567.0899999999</v>
      </c>
      <c r="AE82" s="1301">
        <v>93220</v>
      </c>
      <c r="AF82" s="1301">
        <v>0</v>
      </c>
      <c r="AG82" s="1301">
        <v>0</v>
      </c>
      <c r="AH82" s="1301">
        <v>0</v>
      </c>
      <c r="AI82" s="1301">
        <v>0</v>
      </c>
      <c r="AJ82" s="1317">
        <v>0</v>
      </c>
      <c r="AK82" s="1318" t="s">
        <v>2707</v>
      </c>
      <c r="AL82" s="1299"/>
    </row>
    <row r="83" spans="3:38" ht="15.65" x14ac:dyDescent="0.25">
      <c r="C83" s="1210" t="s">
        <v>2616</v>
      </c>
      <c r="D83" s="1210" t="s">
        <v>2413</v>
      </c>
      <c r="E83" s="1305">
        <v>2474553</v>
      </c>
      <c r="F83" s="1210" t="s">
        <v>2488</v>
      </c>
      <c r="G83" s="1210" t="s">
        <v>2397</v>
      </c>
      <c r="H83" s="1210" t="s">
        <v>2667</v>
      </c>
      <c r="I83" s="1210" t="s">
        <v>204</v>
      </c>
      <c r="J83" s="1210" t="s">
        <v>2411</v>
      </c>
      <c r="K83" s="1178" t="s">
        <v>2410</v>
      </c>
      <c r="L83" s="1178" t="s">
        <v>2388</v>
      </c>
      <c r="M83" s="1210" t="s">
        <v>2618</v>
      </c>
      <c r="N83" s="1210" t="s">
        <v>2200</v>
      </c>
      <c r="O83" s="1211">
        <v>555000</v>
      </c>
      <c r="P83" s="1211">
        <v>370000</v>
      </c>
      <c r="Q83" s="1211">
        <v>93396</v>
      </c>
      <c r="R83" s="1211">
        <v>0</v>
      </c>
      <c r="S83" s="1211">
        <v>0</v>
      </c>
      <c r="T83" s="1211">
        <f t="shared" si="3"/>
        <v>1018396</v>
      </c>
      <c r="U83" s="1181"/>
      <c r="V83" s="1337"/>
      <c r="W83" s="1337"/>
      <c r="X83" s="1337" t="s">
        <v>2120</v>
      </c>
      <c r="Y83" s="1337" t="s">
        <v>2125</v>
      </c>
      <c r="Z83" s="1338">
        <v>1018395.5</v>
      </c>
      <c r="AA83" s="1338">
        <v>0</v>
      </c>
      <c r="AB83" s="1338">
        <v>1018395.5</v>
      </c>
      <c r="AC83" s="1334"/>
      <c r="AD83" s="1301">
        <v>3237085.82</v>
      </c>
      <c r="AE83" s="1301">
        <v>298267</v>
      </c>
      <c r="AF83" s="1301">
        <v>1665091</v>
      </c>
      <c r="AG83" s="1301">
        <v>780700</v>
      </c>
      <c r="AH83" s="1301">
        <v>0</v>
      </c>
      <c r="AI83" s="1301">
        <v>0</v>
      </c>
      <c r="AJ83" s="1317">
        <v>0</v>
      </c>
      <c r="AK83" s="1318" t="s">
        <v>2707</v>
      </c>
      <c r="AL83" s="1299"/>
    </row>
    <row r="84" spans="3:38" ht="15.65" x14ac:dyDescent="0.25">
      <c r="C84" s="1210" t="s">
        <v>2616</v>
      </c>
      <c r="D84" s="1210" t="s">
        <v>2413</v>
      </c>
      <c r="E84" s="1305">
        <v>2380951</v>
      </c>
      <c r="F84" s="1210" t="s">
        <v>2434</v>
      </c>
      <c r="G84" s="1210" t="s">
        <v>2387</v>
      </c>
      <c r="H84" s="1270" t="s">
        <v>2668</v>
      </c>
      <c r="I84" s="1210" t="s">
        <v>202</v>
      </c>
      <c r="J84" s="1210" t="s">
        <v>2389</v>
      </c>
      <c r="K84" s="1178">
        <v>0</v>
      </c>
      <c r="L84" s="1178" t="s">
        <v>2388</v>
      </c>
      <c r="M84" s="1210" t="s">
        <v>2618</v>
      </c>
      <c r="N84" s="1210" t="s">
        <v>2202</v>
      </c>
      <c r="O84" s="1211">
        <v>2882691</v>
      </c>
      <c r="P84" s="1211">
        <v>5353570</v>
      </c>
      <c r="Q84" s="1211">
        <v>0</v>
      </c>
      <c r="R84" s="1211">
        <v>0</v>
      </c>
      <c r="S84" s="1211">
        <v>0</v>
      </c>
      <c r="T84" s="1211">
        <f t="shared" si="3"/>
        <v>8236261</v>
      </c>
      <c r="U84" s="1181"/>
      <c r="V84" s="1337"/>
      <c r="W84" s="1337"/>
      <c r="X84" s="1337" t="s">
        <v>2178</v>
      </c>
      <c r="Y84" s="1337" t="s">
        <v>2183</v>
      </c>
      <c r="Z84" s="1338">
        <v>8236261</v>
      </c>
      <c r="AA84" s="1338">
        <v>0</v>
      </c>
      <c r="AB84" s="1338">
        <v>8236261</v>
      </c>
      <c r="AC84" s="1334"/>
      <c r="AD84" s="1301">
        <v>8236261</v>
      </c>
      <c r="AE84" s="1301">
        <v>0</v>
      </c>
      <c r="AF84" s="1301">
        <v>0</v>
      </c>
      <c r="AG84" s="1301">
        <v>0</v>
      </c>
      <c r="AH84" s="1301">
        <v>5353570</v>
      </c>
      <c r="AI84" s="1301">
        <v>2882691</v>
      </c>
      <c r="AJ84" s="1320">
        <v>0</v>
      </c>
      <c r="AK84" s="1318" t="s">
        <v>2716</v>
      </c>
      <c r="AL84" s="1299"/>
    </row>
    <row r="85" spans="3:38" ht="15.65" x14ac:dyDescent="0.25">
      <c r="C85" s="1210" t="s">
        <v>2616</v>
      </c>
      <c r="D85" s="1210" t="s">
        <v>2413</v>
      </c>
      <c r="E85" s="1305">
        <v>2234074</v>
      </c>
      <c r="F85" s="1210" t="s">
        <v>2534</v>
      </c>
      <c r="G85" s="1210" t="s">
        <v>2387</v>
      </c>
      <c r="H85" s="1270" t="s">
        <v>2668</v>
      </c>
      <c r="I85" s="1210" t="s">
        <v>202</v>
      </c>
      <c r="J85" s="1210" t="s">
        <v>2493</v>
      </c>
      <c r="K85" s="1178" t="s">
        <v>2454</v>
      </c>
      <c r="L85" s="1178" t="s">
        <v>2398</v>
      </c>
      <c r="M85" s="1210" t="s">
        <v>2535</v>
      </c>
      <c r="N85" s="1210" t="s">
        <v>2200</v>
      </c>
      <c r="O85" s="1211">
        <v>550835</v>
      </c>
      <c r="P85" s="1211">
        <v>0</v>
      </c>
      <c r="Q85" s="1211">
        <v>0</v>
      </c>
      <c r="R85" s="1211">
        <v>0</v>
      </c>
      <c r="S85" s="1211">
        <v>0</v>
      </c>
      <c r="T85" s="1211">
        <f t="shared" si="3"/>
        <v>550835</v>
      </c>
      <c r="U85" s="1181"/>
      <c r="V85" s="1337"/>
      <c r="W85" s="1337"/>
      <c r="X85" s="1337" t="s">
        <v>2120</v>
      </c>
      <c r="Y85" s="1337" t="s">
        <v>2121</v>
      </c>
      <c r="Z85" s="1338">
        <v>573335</v>
      </c>
      <c r="AA85" s="1338">
        <v>22500</v>
      </c>
      <c r="AB85" s="1338">
        <v>550835</v>
      </c>
      <c r="AC85" s="1334"/>
      <c r="AD85" s="1301">
        <v>573335</v>
      </c>
      <c r="AE85" s="1301">
        <v>22500</v>
      </c>
      <c r="AF85" s="1301">
        <v>0</v>
      </c>
      <c r="AG85" s="1301">
        <v>0</v>
      </c>
      <c r="AH85" s="1301">
        <v>100000</v>
      </c>
      <c r="AI85" s="1301">
        <v>450835</v>
      </c>
      <c r="AJ85" s="1317">
        <v>0</v>
      </c>
      <c r="AK85" s="1318" t="s">
        <v>2707</v>
      </c>
      <c r="AL85" s="1299"/>
    </row>
    <row r="86" spans="3:38" ht="15.65" x14ac:dyDescent="0.25">
      <c r="C86" s="1210" t="s">
        <v>2616</v>
      </c>
      <c r="D86" s="1210" t="s">
        <v>2438</v>
      </c>
      <c r="E86" s="1305">
        <v>2349661</v>
      </c>
      <c r="F86" s="1210" t="s">
        <v>2439</v>
      </c>
      <c r="G86" s="1210" t="s">
        <v>2440</v>
      </c>
      <c r="H86" s="1270" t="s">
        <v>2668</v>
      </c>
      <c r="I86" s="1210" t="s">
        <v>201</v>
      </c>
      <c r="J86" s="1210" t="s">
        <v>2411</v>
      </c>
      <c r="K86" s="1178">
        <v>0</v>
      </c>
      <c r="L86" s="1178" t="s">
        <v>2388</v>
      </c>
      <c r="M86" s="1210" t="s">
        <v>2441</v>
      </c>
      <c r="N86" s="1210" t="s">
        <v>2200</v>
      </c>
      <c r="O86" s="1211">
        <v>995177</v>
      </c>
      <c r="P86" s="1211">
        <v>617431</v>
      </c>
      <c r="Q86" s="1211">
        <v>0</v>
      </c>
      <c r="R86" s="1211"/>
      <c r="S86" s="1211"/>
      <c r="T86" s="1211">
        <f t="shared" si="3"/>
        <v>1612608</v>
      </c>
      <c r="U86" s="1181"/>
      <c r="V86" s="1337"/>
      <c r="W86" s="1337"/>
      <c r="X86" s="1337" t="s">
        <v>2120</v>
      </c>
      <c r="Y86" s="1337" t="s">
        <v>2120</v>
      </c>
      <c r="Z86" s="1338">
        <v>1612608.16</v>
      </c>
      <c r="AA86" s="1338">
        <v>0</v>
      </c>
      <c r="AB86" s="1338">
        <v>1612608.16</v>
      </c>
      <c r="AC86" s="1334"/>
      <c r="AD86" s="1301">
        <v>1612608.16</v>
      </c>
      <c r="AE86" s="1301">
        <v>0</v>
      </c>
      <c r="AF86" s="1301">
        <v>0</v>
      </c>
      <c r="AG86" s="1301">
        <v>0</v>
      </c>
      <c r="AH86" s="1301">
        <v>0</v>
      </c>
      <c r="AI86" s="1301">
        <v>1612608</v>
      </c>
      <c r="AJ86" s="1320">
        <v>0</v>
      </c>
      <c r="AK86" s="1318" t="s">
        <v>2707</v>
      </c>
      <c r="AL86" s="1299"/>
    </row>
    <row r="87" spans="3:38" ht="15.65" x14ac:dyDescent="0.25">
      <c r="C87" s="1210" t="s">
        <v>2616</v>
      </c>
      <c r="D87" s="1210" t="s">
        <v>2438</v>
      </c>
      <c r="E87" s="1305">
        <v>2349698</v>
      </c>
      <c r="F87" s="1210" t="s">
        <v>2442</v>
      </c>
      <c r="G87" s="1210" t="s">
        <v>2440</v>
      </c>
      <c r="H87" s="1270" t="s">
        <v>2668</v>
      </c>
      <c r="I87" s="1210" t="s">
        <v>201</v>
      </c>
      <c r="J87" s="1210" t="s">
        <v>2411</v>
      </c>
      <c r="K87" s="1178" t="s">
        <v>2410</v>
      </c>
      <c r="L87" s="1178" t="s">
        <v>2388</v>
      </c>
      <c r="M87" s="1210" t="s">
        <v>2441</v>
      </c>
      <c r="N87" s="1210" t="s">
        <v>2200</v>
      </c>
      <c r="O87" s="1211">
        <v>3394568</v>
      </c>
      <c r="P87" s="1211">
        <v>0</v>
      </c>
      <c r="Q87" s="1211">
        <v>0</v>
      </c>
      <c r="R87" s="1211"/>
      <c r="S87" s="1211"/>
      <c r="T87" s="1211">
        <f t="shared" si="3"/>
        <v>3394568</v>
      </c>
      <c r="U87" s="1181"/>
      <c r="V87" s="1337"/>
      <c r="W87" s="1337"/>
      <c r="X87" s="1337" t="s">
        <v>2120</v>
      </c>
      <c r="Y87" s="1337" t="s">
        <v>2120</v>
      </c>
      <c r="Z87" s="1338">
        <v>3520637.49</v>
      </c>
      <c r="AA87" s="1338">
        <v>0</v>
      </c>
      <c r="AB87" s="1338">
        <v>3520637.49</v>
      </c>
      <c r="AC87" s="1334"/>
      <c r="AD87" s="1301">
        <v>3520637.49</v>
      </c>
      <c r="AE87" s="1301">
        <v>78526</v>
      </c>
      <c r="AF87" s="1301">
        <v>0</v>
      </c>
      <c r="AG87" s="1301">
        <v>0</v>
      </c>
      <c r="AH87" s="1301">
        <v>3394568</v>
      </c>
      <c r="AI87" s="1301">
        <v>47543</v>
      </c>
      <c r="AJ87" s="1319">
        <v>0</v>
      </c>
      <c r="AK87" s="1318" t="s">
        <v>2706</v>
      </c>
      <c r="AL87" s="1299"/>
    </row>
    <row r="88" spans="3:38" ht="15.65" x14ac:dyDescent="0.25">
      <c r="C88" s="1210" t="s">
        <v>2616</v>
      </c>
      <c r="D88" s="1210" t="s">
        <v>2438</v>
      </c>
      <c r="E88" s="1305">
        <v>2349712</v>
      </c>
      <c r="F88" s="1210" t="s">
        <v>2443</v>
      </c>
      <c r="G88" s="1210" t="s">
        <v>2440</v>
      </c>
      <c r="H88" s="1270" t="s">
        <v>2668</v>
      </c>
      <c r="I88" s="1210" t="s">
        <v>201</v>
      </c>
      <c r="J88" s="1210" t="s">
        <v>2411</v>
      </c>
      <c r="K88" s="1178">
        <v>0</v>
      </c>
      <c r="L88" s="1178" t="s">
        <v>2388</v>
      </c>
      <c r="M88" s="1210" t="s">
        <v>2441</v>
      </c>
      <c r="N88" s="1210" t="s">
        <v>2200</v>
      </c>
      <c r="O88" s="1211">
        <v>2223364</v>
      </c>
      <c r="P88" s="1211">
        <v>616749</v>
      </c>
      <c r="Q88" s="1211">
        <v>0</v>
      </c>
      <c r="R88" s="1211"/>
      <c r="S88" s="1211"/>
      <c r="T88" s="1211">
        <f t="shared" si="3"/>
        <v>2840113</v>
      </c>
      <c r="U88" s="1181"/>
      <c r="V88" s="1337"/>
      <c r="W88" s="1337"/>
      <c r="X88" s="1337" t="s">
        <v>2120</v>
      </c>
      <c r="Y88" s="1337" t="s">
        <v>2120</v>
      </c>
      <c r="Z88" s="1338">
        <v>2840113.2</v>
      </c>
      <c r="AA88" s="1338">
        <v>0</v>
      </c>
      <c r="AB88" s="1338">
        <v>2840113.2</v>
      </c>
      <c r="AC88" s="1334"/>
      <c r="AD88" s="1301">
        <v>2840113.2</v>
      </c>
      <c r="AE88" s="1301">
        <v>0</v>
      </c>
      <c r="AF88" s="1301">
        <v>0</v>
      </c>
      <c r="AG88" s="1301">
        <v>0</v>
      </c>
      <c r="AH88" s="1301">
        <v>616749</v>
      </c>
      <c r="AI88" s="1301">
        <v>2223364</v>
      </c>
      <c r="AJ88" s="1320">
        <v>0</v>
      </c>
      <c r="AK88" s="1318" t="s">
        <v>2706</v>
      </c>
      <c r="AL88" s="1299"/>
    </row>
    <row r="89" spans="3:38" ht="15.65" x14ac:dyDescent="0.25">
      <c r="C89" s="1210" t="s">
        <v>2616</v>
      </c>
      <c r="D89" s="1210" t="s">
        <v>2438</v>
      </c>
      <c r="E89" s="1305">
        <v>2349726</v>
      </c>
      <c r="F89" s="1210" t="s">
        <v>2444</v>
      </c>
      <c r="G89" s="1210" t="s">
        <v>2440</v>
      </c>
      <c r="H89" s="1270" t="s">
        <v>2668</v>
      </c>
      <c r="I89" s="1210" t="s">
        <v>201</v>
      </c>
      <c r="J89" s="1210" t="s">
        <v>2411</v>
      </c>
      <c r="K89" s="1178">
        <v>0</v>
      </c>
      <c r="L89" s="1178" t="s">
        <v>2388</v>
      </c>
      <c r="M89" s="1210" t="s">
        <v>2441</v>
      </c>
      <c r="N89" s="1210" t="s">
        <v>2200</v>
      </c>
      <c r="O89" s="1211">
        <v>2048051</v>
      </c>
      <c r="P89" s="1211">
        <v>726799</v>
      </c>
      <c r="Q89" s="1211">
        <v>0</v>
      </c>
      <c r="R89" s="1211">
        <v>0</v>
      </c>
      <c r="S89" s="1211">
        <v>0</v>
      </c>
      <c r="T89" s="1211">
        <f t="shared" si="3"/>
        <v>2774850</v>
      </c>
      <c r="U89" s="1181"/>
      <c r="V89" s="1337"/>
      <c r="W89" s="1337"/>
      <c r="X89" s="1337" t="s">
        <v>2120</v>
      </c>
      <c r="Y89" s="1337" t="s">
        <v>2120</v>
      </c>
      <c r="Z89" s="1338">
        <v>2774849.94</v>
      </c>
      <c r="AA89" s="1338">
        <v>0</v>
      </c>
      <c r="AB89" s="1338">
        <v>2774849.94</v>
      </c>
      <c r="AC89" s="1334"/>
      <c r="AD89" s="1301">
        <v>2774849.94</v>
      </c>
      <c r="AE89" s="1301">
        <v>0</v>
      </c>
      <c r="AF89" s="1301">
        <v>152100</v>
      </c>
      <c r="AG89" s="1301">
        <v>152100</v>
      </c>
      <c r="AH89" s="1301">
        <v>1500000</v>
      </c>
      <c r="AI89" s="1301">
        <v>1122749.94</v>
      </c>
      <c r="AJ89" s="1317">
        <v>0</v>
      </c>
      <c r="AK89" s="1318" t="s">
        <v>2707</v>
      </c>
      <c r="AL89" s="1299"/>
    </row>
    <row r="90" spans="3:38" ht="15.65" x14ac:dyDescent="0.25">
      <c r="C90" s="1210" t="s">
        <v>2616</v>
      </c>
      <c r="D90" s="1210" t="s">
        <v>2438</v>
      </c>
      <c r="E90" s="1305">
        <v>2350216</v>
      </c>
      <c r="F90" s="1210" t="s">
        <v>2445</v>
      </c>
      <c r="G90" s="1210" t="s">
        <v>2440</v>
      </c>
      <c r="H90" s="1270" t="s">
        <v>2668</v>
      </c>
      <c r="I90" s="1210" t="s">
        <v>201</v>
      </c>
      <c r="J90" s="1210" t="s">
        <v>2411</v>
      </c>
      <c r="K90" s="1178">
        <v>0</v>
      </c>
      <c r="L90" s="1178" t="s">
        <v>2388</v>
      </c>
      <c r="M90" s="1210" t="s">
        <v>2441</v>
      </c>
      <c r="N90" s="1210" t="s">
        <v>2200</v>
      </c>
      <c r="O90" s="1211">
        <v>1000771</v>
      </c>
      <c r="P90" s="1211">
        <v>768519</v>
      </c>
      <c r="Q90" s="1211">
        <v>0</v>
      </c>
      <c r="R90" s="1211"/>
      <c r="S90" s="1211"/>
      <c r="T90" s="1211">
        <f t="shared" si="3"/>
        <v>1769290</v>
      </c>
      <c r="U90" s="1181"/>
      <c r="V90" s="1337"/>
      <c r="W90" s="1337"/>
      <c r="X90" s="1337" t="s">
        <v>2120</v>
      </c>
      <c r="Y90" s="1337" t="s">
        <v>2120</v>
      </c>
      <c r="Z90" s="1338">
        <v>1769290.07</v>
      </c>
      <c r="AA90" s="1338">
        <v>0</v>
      </c>
      <c r="AB90" s="1338">
        <v>1769290.07</v>
      </c>
      <c r="AC90" s="1334"/>
      <c r="AD90" s="1301">
        <v>1769290.07</v>
      </c>
      <c r="AE90" s="1301">
        <v>0</v>
      </c>
      <c r="AF90" s="1301">
        <v>0</v>
      </c>
      <c r="AG90" s="1301">
        <v>0</v>
      </c>
      <c r="AH90" s="1301">
        <v>0</v>
      </c>
      <c r="AI90" s="1301">
        <v>1769290</v>
      </c>
      <c r="AJ90" s="1320">
        <v>0</v>
      </c>
      <c r="AK90" s="1318" t="s">
        <v>2706</v>
      </c>
      <c r="AL90" s="1299"/>
    </row>
    <row r="91" spans="3:38" ht="15.65" x14ac:dyDescent="0.25">
      <c r="C91" s="1210" t="s">
        <v>2616</v>
      </c>
      <c r="D91" s="1210" t="s">
        <v>2459</v>
      </c>
      <c r="E91" s="1305">
        <v>2384369</v>
      </c>
      <c r="F91" s="1210" t="s">
        <v>2537</v>
      </c>
      <c r="G91" s="1210" t="s">
        <v>2520</v>
      </c>
      <c r="H91" s="1270" t="s">
        <v>2668</v>
      </c>
      <c r="I91" s="1210" t="s">
        <v>201</v>
      </c>
      <c r="J91" s="1210"/>
      <c r="K91" s="1178" t="s">
        <v>2454</v>
      </c>
      <c r="L91" s="1178" t="s">
        <v>2398</v>
      </c>
      <c r="M91" s="1210" t="s">
        <v>2618</v>
      </c>
      <c r="N91" s="1210" t="s">
        <v>2200</v>
      </c>
      <c r="O91" s="1211">
        <v>5000</v>
      </c>
      <c r="P91" s="1211">
        <v>140621</v>
      </c>
      <c r="Q91" s="1211">
        <v>0</v>
      </c>
      <c r="R91" s="1211"/>
      <c r="S91" s="1211"/>
      <c r="T91" s="1211">
        <f t="shared" si="3"/>
        <v>145621</v>
      </c>
      <c r="U91" s="1181"/>
      <c r="V91" s="1337"/>
      <c r="W91" s="1337"/>
      <c r="X91" s="1337" t="s">
        <v>2120</v>
      </c>
      <c r="Y91" s="1337" t="s">
        <v>2123</v>
      </c>
      <c r="Z91" s="1338">
        <v>155621.15</v>
      </c>
      <c r="AA91" s="1338">
        <v>10000</v>
      </c>
      <c r="AB91" s="1338">
        <v>145621.15</v>
      </c>
      <c r="AC91" s="1334"/>
      <c r="AD91" s="1301"/>
      <c r="AE91" s="1301"/>
      <c r="AF91" s="1301"/>
      <c r="AG91" s="1301"/>
      <c r="AH91" s="1301"/>
      <c r="AI91" s="1301"/>
      <c r="AJ91" s="1317"/>
      <c r="AK91" s="1318" t="s">
        <v>2717</v>
      </c>
      <c r="AL91" s="1299"/>
    </row>
    <row r="92" spans="3:38" ht="15.65" x14ac:dyDescent="0.25">
      <c r="C92" s="1210" t="s">
        <v>2616</v>
      </c>
      <c r="D92" s="1210" t="s">
        <v>2395</v>
      </c>
      <c r="E92" s="1305">
        <v>2293615</v>
      </c>
      <c r="F92" s="1210" t="s">
        <v>2396</v>
      </c>
      <c r="G92" s="1210" t="s">
        <v>2397</v>
      </c>
      <c r="H92" s="1210" t="s">
        <v>2667</v>
      </c>
      <c r="I92" s="1210" t="s">
        <v>204</v>
      </c>
      <c r="J92" s="1210" t="s">
        <v>2399</v>
      </c>
      <c r="K92" s="1178">
        <v>0</v>
      </c>
      <c r="L92" s="1178" t="s">
        <v>2398</v>
      </c>
      <c r="M92" s="1210" t="s">
        <v>2618</v>
      </c>
      <c r="N92" s="1210" t="s">
        <v>2202</v>
      </c>
      <c r="O92" s="1211">
        <v>1046919</v>
      </c>
      <c r="P92" s="1211">
        <v>1570379</v>
      </c>
      <c r="Q92" s="1211">
        <v>0</v>
      </c>
      <c r="R92" s="1211"/>
      <c r="S92" s="1211"/>
      <c r="T92" s="1211">
        <f t="shared" si="3"/>
        <v>2617298</v>
      </c>
      <c r="U92" s="1181"/>
      <c r="V92" s="1337"/>
      <c r="W92" s="1337"/>
      <c r="X92" s="1337" t="s">
        <v>2149</v>
      </c>
      <c r="Y92" s="1337" t="s">
        <v>2159</v>
      </c>
      <c r="Z92" s="1338">
        <v>2617298.2999999998</v>
      </c>
      <c r="AA92" s="1338">
        <v>0</v>
      </c>
      <c r="AB92" s="1338">
        <v>2617298.2999999998</v>
      </c>
      <c r="AC92" s="1334"/>
      <c r="AD92" s="1301">
        <v>2617298.2999999998</v>
      </c>
      <c r="AE92" s="1301">
        <v>0</v>
      </c>
      <c r="AF92" s="1301">
        <v>0</v>
      </c>
      <c r="AG92" s="1301">
        <v>0</v>
      </c>
      <c r="AH92" s="1301">
        <v>0</v>
      </c>
      <c r="AI92" s="1301">
        <v>2617298</v>
      </c>
      <c r="AJ92" s="1317">
        <v>0</v>
      </c>
      <c r="AK92" s="1318" t="s">
        <v>2707</v>
      </c>
      <c r="AL92" s="1299"/>
    </row>
    <row r="93" spans="3:38" ht="15.65" x14ac:dyDescent="0.25">
      <c r="C93" s="1210" t="s">
        <v>2616</v>
      </c>
      <c r="D93" s="1210" t="s">
        <v>2395</v>
      </c>
      <c r="E93" s="1305">
        <v>2317388</v>
      </c>
      <c r="F93" s="1210" t="s">
        <v>2404</v>
      </c>
      <c r="G93" s="1210" t="s">
        <v>2397</v>
      </c>
      <c r="H93" s="1210" t="s">
        <v>2667</v>
      </c>
      <c r="I93" s="1210" t="s">
        <v>204</v>
      </c>
      <c r="J93" s="1210" t="s">
        <v>2405</v>
      </c>
      <c r="K93" s="1178">
        <v>0</v>
      </c>
      <c r="L93" s="1178" t="s">
        <v>2393</v>
      </c>
      <c r="M93" s="1210" t="s">
        <v>2618</v>
      </c>
      <c r="N93" s="1210" t="s">
        <v>2200</v>
      </c>
      <c r="O93" s="1211">
        <v>1007684</v>
      </c>
      <c r="P93" s="1211">
        <v>1511526</v>
      </c>
      <c r="Q93" s="1211">
        <v>1511526</v>
      </c>
      <c r="R93" s="1211">
        <v>503841.5</v>
      </c>
      <c r="S93" s="1211">
        <v>503841.5</v>
      </c>
      <c r="T93" s="1211">
        <f t="shared" si="3"/>
        <v>5038419</v>
      </c>
      <c r="U93" s="1181"/>
      <c r="V93" s="1337"/>
      <c r="W93" s="1337"/>
      <c r="X93" s="1337" t="s">
        <v>2120</v>
      </c>
      <c r="Y93" s="1337" t="s">
        <v>2120</v>
      </c>
      <c r="Z93" s="1338">
        <v>5038419</v>
      </c>
      <c r="AA93" s="1338">
        <v>0</v>
      </c>
      <c r="AB93" s="1338">
        <v>5038419</v>
      </c>
      <c r="AC93" s="1334"/>
      <c r="AD93" s="1301">
        <v>7983082.5999999996</v>
      </c>
      <c r="AE93" s="1301">
        <v>0</v>
      </c>
      <c r="AF93" s="1301">
        <v>0</v>
      </c>
      <c r="AG93" s="1301">
        <v>0</v>
      </c>
      <c r="AH93" s="1301">
        <v>1007684</v>
      </c>
      <c r="AI93" s="1301">
        <v>1511526</v>
      </c>
      <c r="AJ93" s="1317">
        <v>1511526</v>
      </c>
      <c r="AK93" s="1318" t="s">
        <v>2707</v>
      </c>
      <c r="AL93" s="1299"/>
    </row>
    <row r="94" spans="3:38" ht="15.65" x14ac:dyDescent="0.25">
      <c r="C94" s="1210" t="s">
        <v>2616</v>
      </c>
      <c r="D94" s="1210" t="s">
        <v>2395</v>
      </c>
      <c r="E94" s="1305">
        <v>2321618</v>
      </c>
      <c r="F94" s="1210" t="s">
        <v>2406</v>
      </c>
      <c r="G94" s="1210" t="s">
        <v>2397</v>
      </c>
      <c r="H94" s="1210" t="s">
        <v>2667</v>
      </c>
      <c r="I94" s="1210" t="s">
        <v>204</v>
      </c>
      <c r="J94" s="1210" t="s">
        <v>2405</v>
      </c>
      <c r="K94" s="1178">
        <v>0</v>
      </c>
      <c r="L94" s="1178" t="s">
        <v>2393</v>
      </c>
      <c r="M94" s="1210" t="s">
        <v>2618</v>
      </c>
      <c r="N94" s="1210" t="s">
        <v>2202</v>
      </c>
      <c r="O94" s="1211">
        <v>1287820</v>
      </c>
      <c r="P94" s="1211">
        <v>1931730</v>
      </c>
      <c r="Q94" s="1211">
        <v>1931730</v>
      </c>
      <c r="R94" s="1211">
        <v>643909.5</v>
      </c>
      <c r="S94" s="1211">
        <v>643909.5</v>
      </c>
      <c r="T94" s="1211">
        <f t="shared" si="3"/>
        <v>6439099</v>
      </c>
      <c r="U94" s="1181"/>
      <c r="V94" s="1337"/>
      <c r="W94" s="1337"/>
      <c r="X94" s="1337" t="s">
        <v>2139</v>
      </c>
      <c r="Y94" s="1337" t="s">
        <v>2190</v>
      </c>
      <c r="Z94" s="1338">
        <v>6439099</v>
      </c>
      <c r="AA94" s="1338">
        <v>0</v>
      </c>
      <c r="AB94" s="1338">
        <v>6439099</v>
      </c>
      <c r="AC94" s="1334"/>
      <c r="AD94" s="1301">
        <v>9513590.25</v>
      </c>
      <c r="AE94" s="1301">
        <v>0</v>
      </c>
      <c r="AF94" s="1301">
        <v>0</v>
      </c>
      <c r="AG94" s="1301">
        <v>0</v>
      </c>
      <c r="AH94" s="1301">
        <v>1287820</v>
      </c>
      <c r="AI94" s="1301">
        <v>1931730</v>
      </c>
      <c r="AJ94" s="1319">
        <v>1931730</v>
      </c>
      <c r="AK94" s="1318" t="s">
        <v>2707</v>
      </c>
      <c r="AL94" s="1299"/>
    </row>
    <row r="95" spans="3:38" ht="15.65" x14ac:dyDescent="0.25">
      <c r="C95" s="1210" t="s">
        <v>2616</v>
      </c>
      <c r="D95" s="1210" t="s">
        <v>2511</v>
      </c>
      <c r="E95" s="1305">
        <v>2215990</v>
      </c>
      <c r="F95" s="1210" t="s">
        <v>2539</v>
      </c>
      <c r="G95" s="1210" t="s">
        <v>2486</v>
      </c>
      <c r="H95" s="1270" t="s">
        <v>2669</v>
      </c>
      <c r="I95" s="1210" t="s">
        <v>197</v>
      </c>
      <c r="J95" s="1210" t="s">
        <v>2518</v>
      </c>
      <c r="K95" s="1178" t="s">
        <v>2454</v>
      </c>
      <c r="L95" s="1178" t="s">
        <v>2398</v>
      </c>
      <c r="M95" s="1210" t="s">
        <v>2420</v>
      </c>
      <c r="N95" s="1210" t="s">
        <v>2202</v>
      </c>
      <c r="O95" s="1211">
        <v>70908</v>
      </c>
      <c r="P95" s="1211">
        <v>0</v>
      </c>
      <c r="Q95" s="1211">
        <v>0</v>
      </c>
      <c r="R95" s="1211">
        <v>0</v>
      </c>
      <c r="S95" s="1211">
        <v>0</v>
      </c>
      <c r="T95" s="1211">
        <f t="shared" si="3"/>
        <v>70908</v>
      </c>
      <c r="U95" s="1181"/>
      <c r="V95" s="1337"/>
      <c r="W95" s="1337"/>
      <c r="X95" s="1337" t="s">
        <v>2136</v>
      </c>
      <c r="Y95" s="1337" t="s">
        <v>2136</v>
      </c>
      <c r="Z95" s="1338">
        <v>75908</v>
      </c>
      <c r="AA95" s="1338">
        <v>5000</v>
      </c>
      <c r="AB95" s="1338">
        <v>70908</v>
      </c>
      <c r="AC95" s="1334"/>
      <c r="AD95" s="1301">
        <v>75908</v>
      </c>
      <c r="AE95" s="1301">
        <v>5000</v>
      </c>
      <c r="AF95" s="1301">
        <v>0</v>
      </c>
      <c r="AG95" s="1301">
        <v>0</v>
      </c>
      <c r="AH95" s="1301">
        <v>70000</v>
      </c>
      <c r="AI95" s="1301">
        <v>900</v>
      </c>
      <c r="AJ95" s="1319">
        <v>8</v>
      </c>
      <c r="AK95" s="1318" t="s">
        <v>2716</v>
      </c>
      <c r="AL95" s="1299"/>
    </row>
    <row r="96" spans="3:38" ht="15.65" x14ac:dyDescent="0.25">
      <c r="C96" s="1210" t="s">
        <v>2616</v>
      </c>
      <c r="D96" s="1210" t="s">
        <v>2511</v>
      </c>
      <c r="E96" s="1305">
        <v>2215990</v>
      </c>
      <c r="F96" s="1210" t="s">
        <v>2574</v>
      </c>
      <c r="G96" s="1210" t="s">
        <v>2497</v>
      </c>
      <c r="H96" s="1270" t="s">
        <v>2669</v>
      </c>
      <c r="I96" s="1210" t="s">
        <v>194</v>
      </c>
      <c r="J96" s="1210" t="s">
        <v>2575</v>
      </c>
      <c r="K96" s="1178" t="s">
        <v>2454</v>
      </c>
      <c r="L96" s="1178" t="s">
        <v>2398</v>
      </c>
      <c r="M96" s="1210" t="s">
        <v>2420</v>
      </c>
      <c r="N96" s="1210" t="s">
        <v>2202</v>
      </c>
      <c r="O96" s="1211">
        <f>10000*2</f>
        <v>20000</v>
      </c>
      <c r="P96" s="1211">
        <f>10000*2</f>
        <v>20000</v>
      </c>
      <c r="Q96" s="1211">
        <f>10000*2</f>
        <v>20000</v>
      </c>
      <c r="R96" s="1211">
        <f>21199.86*2</f>
        <v>42399.72</v>
      </c>
      <c r="S96" s="1211">
        <f>21199.86*2</f>
        <v>42399.72</v>
      </c>
      <c r="T96" s="1211">
        <f t="shared" si="3"/>
        <v>144799.44</v>
      </c>
      <c r="U96" s="1181"/>
      <c r="V96" s="1337"/>
      <c r="W96" s="1337"/>
      <c r="X96" s="1337" t="s">
        <v>2152</v>
      </c>
      <c r="Y96" s="1337" t="s">
        <v>2139</v>
      </c>
      <c r="Z96" s="1338">
        <v>569748</v>
      </c>
      <c r="AA96" s="1338">
        <v>497348.28</v>
      </c>
      <c r="AB96" s="1338">
        <v>72399.72</v>
      </c>
      <c r="AC96" s="1334"/>
      <c r="AD96" s="1301">
        <v>75908</v>
      </c>
      <c r="AE96" s="1301">
        <v>5000</v>
      </c>
      <c r="AF96" s="1301">
        <v>0</v>
      </c>
      <c r="AG96" s="1301">
        <v>0</v>
      </c>
      <c r="AH96" s="1301">
        <v>70000</v>
      </c>
      <c r="AI96" s="1301">
        <v>900</v>
      </c>
      <c r="AJ96" s="1317">
        <v>8</v>
      </c>
      <c r="AK96" s="1318" t="s">
        <v>2716</v>
      </c>
      <c r="AL96" s="1299"/>
    </row>
    <row r="97" spans="3:38" ht="15.65" x14ac:dyDescent="0.25">
      <c r="C97" s="1210" t="s">
        <v>2616</v>
      </c>
      <c r="D97" s="1210" t="s">
        <v>2511</v>
      </c>
      <c r="E97" s="1305">
        <v>2215990</v>
      </c>
      <c r="F97" s="1210" t="s">
        <v>2562</v>
      </c>
      <c r="G97" s="1210" t="s">
        <v>2450</v>
      </c>
      <c r="H97" s="1270" t="s">
        <v>2669</v>
      </c>
      <c r="I97" s="1210" t="s">
        <v>196</v>
      </c>
      <c r="J97" s="1210" t="s">
        <v>2557</v>
      </c>
      <c r="K97" s="1178" t="s">
        <v>2410</v>
      </c>
      <c r="L97" s="1178" t="s">
        <v>2393</v>
      </c>
      <c r="M97" s="1210" t="s">
        <v>2617</v>
      </c>
      <c r="N97" s="1210" t="s">
        <v>2617</v>
      </c>
      <c r="O97" s="1211">
        <v>2746919</v>
      </c>
      <c r="P97" s="1211">
        <v>1831280</v>
      </c>
      <c r="Q97" s="1211">
        <v>592595</v>
      </c>
      <c r="R97" s="1211">
        <v>0</v>
      </c>
      <c r="S97" s="1211">
        <v>0</v>
      </c>
      <c r="T97" s="1211">
        <f t="shared" si="3"/>
        <v>5170794</v>
      </c>
      <c r="U97" s="1181"/>
      <c r="V97" s="1337"/>
      <c r="W97" s="1337"/>
      <c r="X97" s="1337" t="s">
        <v>2139</v>
      </c>
      <c r="Y97" s="1337" t="s">
        <v>2191</v>
      </c>
      <c r="Z97" s="1338">
        <v>19617686.32</v>
      </c>
      <c r="AA97" s="1338">
        <v>12946892.18</v>
      </c>
      <c r="AB97" s="1338">
        <v>5170794.1399999997</v>
      </c>
      <c r="AC97" s="1334"/>
      <c r="AD97" s="1301">
        <v>75908</v>
      </c>
      <c r="AE97" s="1301">
        <v>5000</v>
      </c>
      <c r="AF97" s="1301">
        <v>0</v>
      </c>
      <c r="AG97" s="1301">
        <v>0</v>
      </c>
      <c r="AH97" s="1301">
        <v>70000</v>
      </c>
      <c r="AI97" s="1301">
        <v>900</v>
      </c>
      <c r="AJ97" s="1320">
        <v>8</v>
      </c>
      <c r="AK97" s="1318" t="s">
        <v>2716</v>
      </c>
      <c r="AL97" s="1299"/>
    </row>
    <row r="98" spans="3:38" ht="15.65" x14ac:dyDescent="0.25">
      <c r="C98" s="1210" t="s">
        <v>2616</v>
      </c>
      <c r="D98" s="1210" t="s">
        <v>2511</v>
      </c>
      <c r="E98" s="1305">
        <v>2335797</v>
      </c>
      <c r="F98" s="1210" t="s">
        <v>2512</v>
      </c>
      <c r="G98" s="1210" t="s">
        <v>2418</v>
      </c>
      <c r="H98" s="1270" t="s">
        <v>2669</v>
      </c>
      <c r="I98" s="1210" t="s">
        <v>194</v>
      </c>
      <c r="J98" s="1210" t="s">
        <v>2472</v>
      </c>
      <c r="K98" s="1178" t="s">
        <v>2410</v>
      </c>
      <c r="L98" s="1178" t="s">
        <v>2388</v>
      </c>
      <c r="M98" s="1210" t="s">
        <v>2420</v>
      </c>
      <c r="N98" s="1210" t="s">
        <v>2202</v>
      </c>
      <c r="O98" s="1211">
        <f>1906870*2</f>
        <v>3813740</v>
      </c>
      <c r="P98" s="1211">
        <f>1267166*2</f>
        <v>2534332</v>
      </c>
      <c r="Q98" s="1211">
        <f>4494205*2</f>
        <v>8988410</v>
      </c>
      <c r="R98" s="1211">
        <v>0</v>
      </c>
      <c r="S98" s="1211">
        <v>0</v>
      </c>
      <c r="T98" s="1211">
        <f t="shared" si="3"/>
        <v>15336482</v>
      </c>
      <c r="U98" s="1181"/>
      <c r="V98" s="1337"/>
      <c r="W98" s="1337"/>
      <c r="X98" s="1337" t="s">
        <v>2114</v>
      </c>
      <c r="Y98" s="1337" t="s">
        <v>2114</v>
      </c>
      <c r="Z98" s="1338">
        <v>8598981.2899999991</v>
      </c>
      <c r="AA98" s="1338">
        <v>104200</v>
      </c>
      <c r="AB98" s="1338">
        <v>7668241.29</v>
      </c>
      <c r="AC98" s="1334"/>
      <c r="AD98" s="1301">
        <v>8348814.9500000002</v>
      </c>
      <c r="AE98" s="1301">
        <v>1536739</v>
      </c>
      <c r="AF98" s="1301">
        <v>1798415</v>
      </c>
      <c r="AG98" s="1301">
        <v>1798415</v>
      </c>
      <c r="AH98" s="1301">
        <v>5013661</v>
      </c>
      <c r="AI98" s="1301">
        <v>0</v>
      </c>
      <c r="AJ98" s="1317">
        <v>0</v>
      </c>
      <c r="AK98" s="1318" t="s">
        <v>2707</v>
      </c>
      <c r="AL98" s="1299"/>
    </row>
    <row r="99" spans="3:38" ht="15.65" x14ac:dyDescent="0.25">
      <c r="C99" s="1210" t="s">
        <v>2616</v>
      </c>
      <c r="D99" s="1210" t="s">
        <v>2446</v>
      </c>
      <c r="E99" s="1305">
        <v>2415516</v>
      </c>
      <c r="F99" s="1210" t="s">
        <v>2447</v>
      </c>
      <c r="G99" s="1210" t="s">
        <v>2440</v>
      </c>
      <c r="H99" s="1270" t="s">
        <v>2668</v>
      </c>
      <c r="I99" s="1210" t="s">
        <v>200</v>
      </c>
      <c r="J99" s="1210" t="s">
        <v>2448</v>
      </c>
      <c r="K99" s="1178">
        <v>0</v>
      </c>
      <c r="L99" s="1178" t="s">
        <v>2398</v>
      </c>
      <c r="M99" s="1210" t="s">
        <v>2618</v>
      </c>
      <c r="N99" s="1210" t="s">
        <v>2200</v>
      </c>
      <c r="O99" s="1211">
        <v>1000000</v>
      </c>
      <c r="P99" s="1211">
        <v>1152793</v>
      </c>
      <c r="Q99" s="1211">
        <v>195000</v>
      </c>
      <c r="R99" s="1211"/>
      <c r="S99" s="1211"/>
      <c r="T99" s="1211">
        <f t="shared" si="3"/>
        <v>2347793</v>
      </c>
      <c r="U99" s="1181"/>
      <c r="V99" s="1337"/>
      <c r="W99" s="1337"/>
      <c r="X99" s="1337" t="s">
        <v>2126</v>
      </c>
      <c r="Y99" s="1337" t="s">
        <v>2127</v>
      </c>
      <c r="Z99" s="1338">
        <v>2347793.38</v>
      </c>
      <c r="AA99" s="1338">
        <v>0</v>
      </c>
      <c r="AB99" s="1338">
        <v>2347793.38</v>
      </c>
      <c r="AC99" s="1334"/>
      <c r="AD99" s="1301">
        <v>2347793.38</v>
      </c>
      <c r="AE99" s="1301">
        <v>0</v>
      </c>
      <c r="AF99" s="1301">
        <v>0</v>
      </c>
      <c r="AG99" s="1301">
        <v>0</v>
      </c>
      <c r="AH99" s="1301">
        <v>152793</v>
      </c>
      <c r="AI99" s="1301">
        <v>195000</v>
      </c>
      <c r="AJ99" s="1320">
        <v>300000</v>
      </c>
      <c r="AK99" s="1318" t="s">
        <v>2718</v>
      </c>
      <c r="AL99" s="1299"/>
    </row>
    <row r="100" spans="3:38" ht="15.65" x14ac:dyDescent="0.25">
      <c r="C100" s="1210" t="s">
        <v>2616</v>
      </c>
      <c r="D100" s="1210" t="s">
        <v>2457</v>
      </c>
      <c r="E100" s="1305">
        <v>2431006</v>
      </c>
      <c r="F100" s="1210" t="s">
        <v>2458</v>
      </c>
      <c r="G100" s="1210" t="s">
        <v>2387</v>
      </c>
      <c r="H100" s="1270" t="s">
        <v>2668</v>
      </c>
      <c r="I100" s="1210" t="s">
        <v>200</v>
      </c>
      <c r="J100" s="1210" t="s">
        <v>2411</v>
      </c>
      <c r="K100" s="1178">
        <v>0</v>
      </c>
      <c r="L100" s="1178" t="s">
        <v>2388</v>
      </c>
      <c r="M100" s="1210" t="s">
        <v>2618</v>
      </c>
      <c r="N100" s="1210" t="s">
        <v>2200</v>
      </c>
      <c r="O100" s="1211">
        <v>588923</v>
      </c>
      <c r="P100" s="1211">
        <v>639572</v>
      </c>
      <c r="Q100" s="1211">
        <v>0</v>
      </c>
      <c r="R100" s="1211">
        <v>0</v>
      </c>
      <c r="S100" s="1211">
        <v>0</v>
      </c>
      <c r="T100" s="1211">
        <f t="shared" si="3"/>
        <v>1228495</v>
      </c>
      <c r="U100" s="1181"/>
      <c r="V100" s="1337"/>
      <c r="W100" s="1337"/>
      <c r="X100" s="1337" t="s">
        <v>2120</v>
      </c>
      <c r="Y100" s="1337" t="s">
        <v>2120</v>
      </c>
      <c r="Z100" s="1338">
        <v>1228494.8899999999</v>
      </c>
      <c r="AA100" s="1338">
        <v>0</v>
      </c>
      <c r="AB100" s="1338">
        <v>1228494.8899999999</v>
      </c>
      <c r="AC100" s="1334"/>
      <c r="AD100" s="1301">
        <v>1228494.8899999999</v>
      </c>
      <c r="AE100" s="1301">
        <v>0</v>
      </c>
      <c r="AF100" s="1301">
        <v>0</v>
      </c>
      <c r="AG100" s="1301">
        <v>0</v>
      </c>
      <c r="AH100" s="1301">
        <v>0</v>
      </c>
      <c r="AI100" s="1301">
        <v>1228495</v>
      </c>
      <c r="AJ100" s="1319">
        <v>0</v>
      </c>
      <c r="AK100" s="1318" t="s">
        <v>2706</v>
      </c>
      <c r="AL100" s="1299"/>
    </row>
    <row r="101" spans="3:38" ht="15.65" x14ac:dyDescent="0.25">
      <c r="C101" s="1210" t="s">
        <v>2616</v>
      </c>
      <c r="D101" s="1210" t="s">
        <v>2564</v>
      </c>
      <c r="E101" s="1305">
        <v>2104001</v>
      </c>
      <c r="F101" s="1210" t="s">
        <v>2565</v>
      </c>
      <c r="G101" s="1210" t="s">
        <v>2436</v>
      </c>
      <c r="H101" s="1210" t="s">
        <v>2667</v>
      </c>
      <c r="I101" s="1210" t="s">
        <v>204</v>
      </c>
      <c r="J101" s="1210" t="s">
        <v>2554</v>
      </c>
      <c r="K101" s="1178" t="s">
        <v>2410</v>
      </c>
      <c r="L101" s="1178" t="s">
        <v>2398</v>
      </c>
      <c r="M101" s="1210" t="s">
        <v>2566</v>
      </c>
      <c r="N101" s="1210" t="s">
        <v>2200</v>
      </c>
      <c r="O101" s="1211">
        <f>446454*2</f>
        <v>892908</v>
      </c>
      <c r="P101" s="1211">
        <v>0</v>
      </c>
      <c r="Q101" s="1211">
        <v>0</v>
      </c>
      <c r="R101" s="1211">
        <v>0</v>
      </c>
      <c r="S101" s="1211">
        <v>0</v>
      </c>
      <c r="T101" s="1211">
        <f t="shared" si="3"/>
        <v>892908</v>
      </c>
      <c r="U101" s="1181"/>
      <c r="V101" s="1337"/>
      <c r="W101" s="1337"/>
      <c r="X101" s="1337" t="s">
        <v>2126</v>
      </c>
      <c r="Y101" s="1337" t="s">
        <v>2130</v>
      </c>
      <c r="Z101" s="1338">
        <v>5712204.1600000001</v>
      </c>
      <c r="AA101" s="1338">
        <v>4274881.3899999997</v>
      </c>
      <c r="AB101" s="1338">
        <v>446453.77</v>
      </c>
      <c r="AC101" s="1334"/>
      <c r="AD101" s="1301">
        <v>5777099.7599999998</v>
      </c>
      <c r="AE101" s="1301">
        <v>5263670</v>
      </c>
      <c r="AF101" s="1301">
        <v>0</v>
      </c>
      <c r="AG101" s="1301">
        <v>0</v>
      </c>
      <c r="AH101" s="1301">
        <v>513430</v>
      </c>
      <c r="AI101" s="1301">
        <v>0</v>
      </c>
      <c r="AJ101" s="1320">
        <v>0</v>
      </c>
      <c r="AK101" s="1318" t="s">
        <v>2707</v>
      </c>
      <c r="AL101" s="1299"/>
    </row>
    <row r="102" spans="3:38" ht="15.65" x14ac:dyDescent="0.25">
      <c r="C102" s="1210" t="s">
        <v>2616</v>
      </c>
      <c r="D102" s="1210" t="s">
        <v>2474</v>
      </c>
      <c r="E102" s="1305">
        <v>2455498</v>
      </c>
      <c r="F102" s="1210" t="s">
        <v>2475</v>
      </c>
      <c r="G102" s="1210" t="s">
        <v>2476</v>
      </c>
      <c r="H102" s="1270" t="s">
        <v>2669</v>
      </c>
      <c r="I102" s="1210" t="s">
        <v>196</v>
      </c>
      <c r="J102" s="1210" t="s">
        <v>2411</v>
      </c>
      <c r="K102" s="1178">
        <v>0</v>
      </c>
      <c r="L102" s="1178" t="s">
        <v>2388</v>
      </c>
      <c r="M102" s="1210" t="s">
        <v>2617</v>
      </c>
      <c r="N102" s="1210" t="s">
        <v>2617</v>
      </c>
      <c r="O102" s="1211">
        <v>65781</v>
      </c>
      <c r="P102" s="1211">
        <v>0</v>
      </c>
      <c r="Q102" s="1211">
        <v>0</v>
      </c>
      <c r="R102" s="1211">
        <v>0</v>
      </c>
      <c r="S102" s="1211">
        <v>0</v>
      </c>
      <c r="T102" s="1211">
        <f t="shared" si="3"/>
        <v>65781</v>
      </c>
      <c r="U102" s="1181"/>
      <c r="V102" s="1337"/>
      <c r="W102" s="1337"/>
      <c r="X102" s="1337" t="s">
        <v>2178</v>
      </c>
      <c r="Y102" s="1337" t="s">
        <v>2180</v>
      </c>
      <c r="Z102" s="1338">
        <v>65781</v>
      </c>
      <c r="AA102" s="1338">
        <v>0</v>
      </c>
      <c r="AB102" s="1338">
        <v>65781</v>
      </c>
      <c r="AC102" s="1334"/>
      <c r="AD102" s="1301">
        <v>65781</v>
      </c>
      <c r="AE102" s="1301">
        <v>0</v>
      </c>
      <c r="AF102" s="1301">
        <v>0</v>
      </c>
      <c r="AG102" s="1301">
        <v>0</v>
      </c>
      <c r="AH102" s="1301">
        <v>65781</v>
      </c>
      <c r="AI102" s="1301">
        <v>0</v>
      </c>
      <c r="AJ102" s="1319">
        <v>0</v>
      </c>
      <c r="AK102" s="1318" t="s">
        <v>2706</v>
      </c>
      <c r="AL102" s="1299"/>
    </row>
    <row r="103" spans="3:38" ht="15.65" x14ac:dyDescent="0.25">
      <c r="C103" s="1210" t="s">
        <v>2616</v>
      </c>
      <c r="D103" s="1210" t="s">
        <v>2459</v>
      </c>
      <c r="E103" s="1305">
        <v>2438509</v>
      </c>
      <c r="F103" s="1210" t="s">
        <v>2460</v>
      </c>
      <c r="G103" s="1210" t="s">
        <v>2461</v>
      </c>
      <c r="H103" s="1270" t="s">
        <v>2668</v>
      </c>
      <c r="I103" s="1210" t="s">
        <v>201</v>
      </c>
      <c r="J103" s="1210" t="s">
        <v>2462</v>
      </c>
      <c r="K103" s="1178">
        <v>0</v>
      </c>
      <c r="L103" s="1178" t="s">
        <v>2398</v>
      </c>
      <c r="M103" s="1210" t="s">
        <v>2618</v>
      </c>
      <c r="N103" s="1210" t="s">
        <v>2202</v>
      </c>
      <c r="O103" s="1211">
        <v>707403</v>
      </c>
      <c r="P103" s="1211">
        <v>707403</v>
      </c>
      <c r="Q103" s="1211">
        <v>707403</v>
      </c>
      <c r="R103" s="1211">
        <v>117901.735</v>
      </c>
      <c r="S103" s="1211">
        <v>117901.735</v>
      </c>
      <c r="T103" s="1211">
        <f t="shared" si="3"/>
        <v>2358012.4699999997</v>
      </c>
      <c r="U103" s="1181"/>
      <c r="V103" s="1337"/>
      <c r="W103" s="1337"/>
      <c r="X103" s="1337" t="s">
        <v>2139</v>
      </c>
      <c r="Y103" s="1337" t="s">
        <v>2189</v>
      </c>
      <c r="Z103" s="1338">
        <v>2358012.4700000002</v>
      </c>
      <c r="AA103" s="1338">
        <v>0</v>
      </c>
      <c r="AB103" s="1338">
        <v>2358012.4700000002</v>
      </c>
      <c r="AC103" s="1334"/>
      <c r="AD103" s="1301"/>
      <c r="AE103" s="1301"/>
      <c r="AF103" s="1301"/>
      <c r="AG103" s="1301"/>
      <c r="AH103" s="1301"/>
      <c r="AI103" s="1301"/>
      <c r="AJ103" s="1317"/>
      <c r="AK103" s="1318" t="s">
        <v>2717</v>
      </c>
      <c r="AL103" s="1299"/>
    </row>
    <row r="104" spans="3:38" ht="15.65" x14ac:dyDescent="0.25">
      <c r="C104" s="1210" t="s">
        <v>2616</v>
      </c>
      <c r="D104" s="1210" t="s">
        <v>2459</v>
      </c>
      <c r="E104" s="1305">
        <v>2438974</v>
      </c>
      <c r="F104" s="1210" t="s">
        <v>2519</v>
      </c>
      <c r="G104" s="1210" t="s">
        <v>2520</v>
      </c>
      <c r="H104" s="1270" t="s">
        <v>2668</v>
      </c>
      <c r="I104" s="1210" t="s">
        <v>201</v>
      </c>
      <c r="J104" s="1210" t="s">
        <v>2493</v>
      </c>
      <c r="K104" s="1178" t="s">
        <v>2454</v>
      </c>
      <c r="L104" s="1178" t="s">
        <v>2398</v>
      </c>
      <c r="M104" s="1210" t="s">
        <v>2618</v>
      </c>
      <c r="N104" s="1210" t="s">
        <v>2200</v>
      </c>
      <c r="O104" s="1211">
        <v>181000</v>
      </c>
      <c r="P104" s="1211">
        <v>0</v>
      </c>
      <c r="Q104" s="1211">
        <v>0</v>
      </c>
      <c r="R104" s="1211">
        <v>0</v>
      </c>
      <c r="S104" s="1211">
        <v>0</v>
      </c>
      <c r="T104" s="1211">
        <f t="shared" si="3"/>
        <v>181000</v>
      </c>
      <c r="U104" s="1181"/>
      <c r="V104" s="1337"/>
      <c r="W104" s="1337"/>
      <c r="X104" s="1337" t="s">
        <v>2120</v>
      </c>
      <c r="Y104" s="1337" t="s">
        <v>2121</v>
      </c>
      <c r="Z104" s="1338">
        <v>184500</v>
      </c>
      <c r="AA104" s="1338">
        <v>3500</v>
      </c>
      <c r="AB104" s="1338">
        <v>181000</v>
      </c>
      <c r="AC104" s="1334"/>
      <c r="AD104" s="1301">
        <v>184500</v>
      </c>
      <c r="AE104" s="1301">
        <v>3500</v>
      </c>
      <c r="AF104" s="1301">
        <v>0</v>
      </c>
      <c r="AG104" s="1301">
        <v>0</v>
      </c>
      <c r="AH104" s="1301">
        <v>181000</v>
      </c>
      <c r="AI104" s="1301">
        <v>0</v>
      </c>
      <c r="AJ104" s="1320">
        <v>0</v>
      </c>
      <c r="AK104" s="1318" t="s">
        <v>2706</v>
      </c>
      <c r="AL104" s="1299"/>
    </row>
    <row r="105" spans="3:38" ht="15.65" x14ac:dyDescent="0.25">
      <c r="C105" s="1210" t="s">
        <v>2616</v>
      </c>
      <c r="D105" s="1210" t="s">
        <v>2463</v>
      </c>
      <c r="E105" s="1305">
        <v>2439441</v>
      </c>
      <c r="F105" s="1210" t="s">
        <v>2464</v>
      </c>
      <c r="G105" s="1210" t="s">
        <v>2387</v>
      </c>
      <c r="H105" s="1270" t="s">
        <v>2668</v>
      </c>
      <c r="I105" s="1210" t="s">
        <v>200</v>
      </c>
      <c r="J105" s="1210" t="s">
        <v>2465</v>
      </c>
      <c r="K105" s="1178">
        <v>0</v>
      </c>
      <c r="L105" s="1178" t="s">
        <v>2393</v>
      </c>
      <c r="M105" s="1210" t="s">
        <v>2618</v>
      </c>
      <c r="N105" s="1210" t="s">
        <v>2202</v>
      </c>
      <c r="O105" s="1211">
        <v>0</v>
      </c>
      <c r="P105" s="1211">
        <v>0</v>
      </c>
      <c r="Q105" s="1211">
        <v>0</v>
      </c>
      <c r="R105" s="1211">
        <v>186000</v>
      </c>
      <c r="S105" s="1211">
        <v>186000</v>
      </c>
      <c r="T105" s="1211">
        <f t="shared" si="3"/>
        <v>372000</v>
      </c>
      <c r="U105" s="1181"/>
      <c r="V105" s="1337"/>
      <c r="W105" s="1337"/>
      <c r="X105" s="1337" t="s">
        <v>2139</v>
      </c>
      <c r="Y105" s="1337" t="s">
        <v>2192</v>
      </c>
      <c r="Z105" s="1338">
        <v>372000</v>
      </c>
      <c r="AA105" s="1338">
        <v>0</v>
      </c>
      <c r="AB105" s="1338">
        <v>372000</v>
      </c>
      <c r="AC105" s="1334"/>
      <c r="AD105" s="1301"/>
      <c r="AE105" s="1301"/>
      <c r="AF105" s="1301"/>
      <c r="AG105" s="1301"/>
      <c r="AH105" s="1301"/>
      <c r="AI105" s="1301"/>
      <c r="AJ105" s="1317"/>
      <c r="AK105" s="1318" t="s">
        <v>2717</v>
      </c>
      <c r="AL105" s="1299"/>
    </row>
    <row r="106" spans="3:38" ht="15.65" x14ac:dyDescent="0.25">
      <c r="C106" s="1210" t="s">
        <v>2616</v>
      </c>
      <c r="D106" s="1210" t="s">
        <v>2463</v>
      </c>
      <c r="E106" s="1305">
        <v>2439443</v>
      </c>
      <c r="F106" s="1210" t="s">
        <v>2466</v>
      </c>
      <c r="G106" s="1210" t="s">
        <v>2387</v>
      </c>
      <c r="H106" s="1270" t="s">
        <v>2668</v>
      </c>
      <c r="I106" s="1210" t="s">
        <v>200</v>
      </c>
      <c r="J106" s="1210" t="s">
        <v>2465</v>
      </c>
      <c r="K106" s="1178">
        <v>0</v>
      </c>
      <c r="L106" s="1178" t="s">
        <v>2393</v>
      </c>
      <c r="M106" s="1210" t="s">
        <v>2618</v>
      </c>
      <c r="N106" s="1210" t="s">
        <v>2200</v>
      </c>
      <c r="O106" s="1211">
        <v>0</v>
      </c>
      <c r="P106" s="1211">
        <v>0</v>
      </c>
      <c r="Q106" s="1211">
        <v>0</v>
      </c>
      <c r="R106" s="1211">
        <v>186000</v>
      </c>
      <c r="S106" s="1211">
        <v>186000</v>
      </c>
      <c r="T106" s="1211">
        <f t="shared" ref="T106:T127" si="4">SUM(O106:S106)</f>
        <v>372000</v>
      </c>
      <c r="U106" s="1181"/>
      <c r="V106" s="1337"/>
      <c r="W106" s="1337"/>
      <c r="X106" s="1337" t="s">
        <v>2126</v>
      </c>
      <c r="Y106" s="1337" t="s">
        <v>2126</v>
      </c>
      <c r="Z106" s="1338">
        <v>372000</v>
      </c>
      <c r="AA106" s="1338">
        <v>0</v>
      </c>
      <c r="AB106" s="1338">
        <v>372000</v>
      </c>
      <c r="AC106" s="1334"/>
      <c r="AD106" s="1301"/>
      <c r="AE106" s="1301"/>
      <c r="AF106" s="1301"/>
      <c r="AG106" s="1301"/>
      <c r="AH106" s="1301"/>
      <c r="AI106" s="1301"/>
      <c r="AJ106" s="1317"/>
      <c r="AK106" s="1318" t="s">
        <v>2717</v>
      </c>
      <c r="AL106" s="1299"/>
    </row>
    <row r="107" spans="3:38" ht="15.65" x14ac:dyDescent="0.25">
      <c r="C107" s="1210" t="s">
        <v>2616</v>
      </c>
      <c r="D107" s="1210" t="s">
        <v>2457</v>
      </c>
      <c r="E107" s="1305">
        <v>2443579</v>
      </c>
      <c r="F107" s="1210" t="s">
        <v>2467</v>
      </c>
      <c r="G107" s="1210" t="s">
        <v>2387</v>
      </c>
      <c r="H107" s="1270" t="s">
        <v>2668</v>
      </c>
      <c r="I107" s="1210" t="s">
        <v>200</v>
      </c>
      <c r="J107" s="1210" t="s">
        <v>2468</v>
      </c>
      <c r="K107" s="1178">
        <v>0</v>
      </c>
      <c r="L107" s="1178" t="s">
        <v>2398</v>
      </c>
      <c r="M107" s="1210" t="s">
        <v>2618</v>
      </c>
      <c r="N107" s="1210" t="s">
        <v>2202</v>
      </c>
      <c r="O107" s="1211">
        <v>200000</v>
      </c>
      <c r="P107" s="1211">
        <v>200000</v>
      </c>
      <c r="Q107" s="1211">
        <v>100000</v>
      </c>
      <c r="R107" s="1211">
        <v>0</v>
      </c>
      <c r="S107" s="1211">
        <v>0</v>
      </c>
      <c r="T107" s="1211">
        <f t="shared" si="4"/>
        <v>500000</v>
      </c>
      <c r="U107" s="1181"/>
      <c r="V107" s="1337"/>
      <c r="W107" s="1337"/>
      <c r="X107" s="1337" t="s">
        <v>2172</v>
      </c>
      <c r="Y107" s="1337" t="s">
        <v>2175</v>
      </c>
      <c r="Z107" s="1338">
        <v>500000</v>
      </c>
      <c r="AA107" s="1338">
        <v>0</v>
      </c>
      <c r="AB107" s="1338">
        <v>500000</v>
      </c>
      <c r="AC107" s="1334"/>
      <c r="AD107" s="1301">
        <v>500000</v>
      </c>
      <c r="AE107" s="1301">
        <v>0</v>
      </c>
      <c r="AF107" s="1301">
        <v>0</v>
      </c>
      <c r="AG107" s="1301">
        <v>0</v>
      </c>
      <c r="AH107" s="1301">
        <v>0</v>
      </c>
      <c r="AI107" s="1301">
        <v>300000</v>
      </c>
      <c r="AJ107" s="1320">
        <v>200000</v>
      </c>
      <c r="AK107" s="1318" t="s">
        <v>2706</v>
      </c>
      <c r="AL107" s="1299"/>
    </row>
    <row r="108" spans="3:38" ht="15.65" x14ac:dyDescent="0.25">
      <c r="C108" s="1210" t="s">
        <v>2616</v>
      </c>
      <c r="D108" s="1210" t="s">
        <v>2459</v>
      </c>
      <c r="E108" s="1305">
        <v>2446149</v>
      </c>
      <c r="F108" s="1210" t="s">
        <v>2469</v>
      </c>
      <c r="G108" s="1210" t="s">
        <v>2461</v>
      </c>
      <c r="H108" s="1270" t="s">
        <v>2668</v>
      </c>
      <c r="I108" s="1210" t="s">
        <v>201</v>
      </c>
      <c r="J108" s="1210" t="s">
        <v>2456</v>
      </c>
      <c r="K108" s="1178">
        <v>0</v>
      </c>
      <c r="L108" s="1178" t="s">
        <v>2398</v>
      </c>
      <c r="M108" s="1210" t="s">
        <v>2618</v>
      </c>
      <c r="N108" s="1210" t="s">
        <v>2200</v>
      </c>
      <c r="O108" s="1211">
        <v>1453470</v>
      </c>
      <c r="P108" s="1211">
        <v>10000</v>
      </c>
      <c r="Q108" s="1211">
        <v>0</v>
      </c>
      <c r="R108" s="1211">
        <v>0</v>
      </c>
      <c r="S108" s="1211">
        <v>0</v>
      </c>
      <c r="T108" s="1211">
        <f t="shared" si="4"/>
        <v>1463470</v>
      </c>
      <c r="U108" s="1181"/>
      <c r="V108" s="1337"/>
      <c r="W108" s="1337"/>
      <c r="X108" s="1337" t="s">
        <v>2126</v>
      </c>
      <c r="Y108" s="1337" t="s">
        <v>2134</v>
      </c>
      <c r="Z108" s="1338">
        <v>1463469.6</v>
      </c>
      <c r="AA108" s="1338">
        <v>0</v>
      </c>
      <c r="AB108" s="1338">
        <v>1463469.6</v>
      </c>
      <c r="AC108" s="1334"/>
      <c r="AD108" s="1301">
        <v>1463469.6</v>
      </c>
      <c r="AE108" s="1301">
        <v>0</v>
      </c>
      <c r="AF108" s="1301">
        <v>0</v>
      </c>
      <c r="AG108" s="1301">
        <v>0</v>
      </c>
      <c r="AH108" s="1301">
        <v>63000</v>
      </c>
      <c r="AI108" s="1301">
        <v>1400470</v>
      </c>
      <c r="AJ108" s="1317">
        <v>0</v>
      </c>
      <c r="AK108" s="1318" t="s">
        <v>2706</v>
      </c>
      <c r="AL108" s="1299"/>
    </row>
    <row r="109" spans="3:38" ht="15.65" x14ac:dyDescent="0.25">
      <c r="C109" s="1210" t="s">
        <v>2616</v>
      </c>
      <c r="D109" s="1210" t="s">
        <v>2438</v>
      </c>
      <c r="E109" s="1305">
        <v>2453367</v>
      </c>
      <c r="F109" s="1210" t="s">
        <v>2498</v>
      </c>
      <c r="G109" s="1210" t="s">
        <v>2440</v>
      </c>
      <c r="H109" s="1270" t="s">
        <v>2668</v>
      </c>
      <c r="I109" s="1210" t="s">
        <v>201</v>
      </c>
      <c r="J109" s="1210" t="s">
        <v>2448</v>
      </c>
      <c r="K109" s="1178" t="s">
        <v>2433</v>
      </c>
      <c r="L109" s="1178" t="s">
        <v>2398</v>
      </c>
      <c r="M109" s="1210" t="s">
        <v>2441</v>
      </c>
      <c r="N109" s="1210" t="s">
        <v>2200</v>
      </c>
      <c r="O109" s="1211">
        <v>500000</v>
      </c>
      <c r="P109" s="1211">
        <v>6406945</v>
      </c>
      <c r="Q109" s="1211">
        <v>575225</v>
      </c>
      <c r="R109" s="1211"/>
      <c r="S109" s="1211"/>
      <c r="T109" s="1211">
        <f t="shared" si="4"/>
        <v>7482170</v>
      </c>
      <c r="U109" s="1181"/>
      <c r="V109" s="1337"/>
      <c r="W109" s="1337"/>
      <c r="X109" s="1337" t="s">
        <v>2126</v>
      </c>
      <c r="Y109" s="1337" t="s">
        <v>2127</v>
      </c>
      <c r="Z109" s="1338">
        <v>7515620.0300000003</v>
      </c>
      <c r="AA109" s="1338">
        <v>26668</v>
      </c>
      <c r="AB109" s="1338">
        <v>7482170.0300000003</v>
      </c>
      <c r="AC109" s="1334"/>
      <c r="AD109" s="1301">
        <v>7515620.0300000003</v>
      </c>
      <c r="AE109" s="1301">
        <v>26668</v>
      </c>
      <c r="AF109" s="1301">
        <v>6782</v>
      </c>
      <c r="AG109" s="1301">
        <v>6782</v>
      </c>
      <c r="AH109" s="1301">
        <v>4500000</v>
      </c>
      <c r="AI109" s="1301">
        <v>2982170.03</v>
      </c>
      <c r="AJ109" s="1319">
        <v>0</v>
      </c>
      <c r="AK109" s="1318" t="s">
        <v>2706</v>
      </c>
      <c r="AL109" s="1299"/>
    </row>
    <row r="110" spans="3:38" ht="15.65" x14ac:dyDescent="0.25">
      <c r="C110" s="1210" t="s">
        <v>2616</v>
      </c>
      <c r="D110" s="1210" t="s">
        <v>2416</v>
      </c>
      <c r="E110" s="1305">
        <v>2453791</v>
      </c>
      <c r="F110" s="1210" t="s">
        <v>2538</v>
      </c>
      <c r="G110" s="1210" t="s">
        <v>2461</v>
      </c>
      <c r="H110" s="1270" t="s">
        <v>2668</v>
      </c>
      <c r="I110" s="1210" t="s">
        <v>201</v>
      </c>
      <c r="J110" s="1210" t="s">
        <v>2419</v>
      </c>
      <c r="K110" s="1178" t="s">
        <v>2454</v>
      </c>
      <c r="L110" s="1178" t="s">
        <v>2398</v>
      </c>
      <c r="M110" s="1210" t="s">
        <v>2618</v>
      </c>
      <c r="N110" s="1210" t="s">
        <v>2202</v>
      </c>
      <c r="O110" s="1211">
        <v>25000</v>
      </c>
      <c r="P110" s="1211">
        <v>120000</v>
      </c>
      <c r="Q110" s="1211">
        <v>0</v>
      </c>
      <c r="R110" s="1211">
        <v>0</v>
      </c>
      <c r="S110" s="1211">
        <v>0</v>
      </c>
      <c r="T110" s="1211">
        <f t="shared" si="4"/>
        <v>145000</v>
      </c>
      <c r="U110" s="1181"/>
      <c r="V110" s="1337"/>
      <c r="W110" s="1337"/>
      <c r="X110" s="1337" t="s">
        <v>2178</v>
      </c>
      <c r="Y110" s="1337" t="s">
        <v>2178</v>
      </c>
      <c r="Z110" s="1338">
        <v>155000</v>
      </c>
      <c r="AA110" s="1338">
        <v>10000</v>
      </c>
      <c r="AB110" s="1338">
        <v>145000</v>
      </c>
      <c r="AC110" s="1334"/>
      <c r="AD110" s="1301">
        <v>155000</v>
      </c>
      <c r="AE110" s="1301">
        <v>10000</v>
      </c>
      <c r="AF110" s="1301">
        <v>0</v>
      </c>
      <c r="AG110" s="1301">
        <v>0</v>
      </c>
      <c r="AH110" s="1301">
        <v>120000</v>
      </c>
      <c r="AI110" s="1301">
        <v>25000</v>
      </c>
      <c r="AJ110" s="1320">
        <v>0</v>
      </c>
      <c r="AK110" s="1318" t="s">
        <v>2706</v>
      </c>
      <c r="AL110" s="1299"/>
    </row>
    <row r="111" spans="3:38" ht="15.65" x14ac:dyDescent="0.25">
      <c r="C111" s="1210" t="s">
        <v>2616</v>
      </c>
      <c r="D111" s="1210" t="s">
        <v>2446</v>
      </c>
      <c r="E111" s="1305">
        <v>2464266</v>
      </c>
      <c r="F111" s="1210" t="s">
        <v>2506</v>
      </c>
      <c r="G111" s="1210" t="s">
        <v>2440</v>
      </c>
      <c r="H111" s="1270" t="s">
        <v>2668</v>
      </c>
      <c r="I111" s="1210" t="s">
        <v>201</v>
      </c>
      <c r="J111" s="1210" t="s">
        <v>2507</v>
      </c>
      <c r="K111" s="1178" t="s">
        <v>2454</v>
      </c>
      <c r="L111" s="1178" t="s">
        <v>2398</v>
      </c>
      <c r="M111" s="1210" t="s">
        <v>2441</v>
      </c>
      <c r="N111" s="1210" t="s">
        <v>2202</v>
      </c>
      <c r="O111" s="1211">
        <f>7500*2</f>
        <v>15000</v>
      </c>
      <c r="P111" s="1211">
        <f>510525*2</f>
        <v>1021050</v>
      </c>
      <c r="Q111" s="1211">
        <v>0</v>
      </c>
      <c r="R111" s="1211">
        <v>0</v>
      </c>
      <c r="S111" s="1211">
        <v>0</v>
      </c>
      <c r="T111" s="1211">
        <f t="shared" si="4"/>
        <v>1036050</v>
      </c>
      <c r="U111" s="1181"/>
      <c r="V111" s="1337"/>
      <c r="W111" s="1337"/>
      <c r="X111" s="1337" t="s">
        <v>2136</v>
      </c>
      <c r="Y111" s="1337" t="s">
        <v>2168</v>
      </c>
      <c r="Z111" s="1338">
        <v>523025.38</v>
      </c>
      <c r="AA111" s="1338">
        <v>5000</v>
      </c>
      <c r="AB111" s="1338">
        <v>518025.38</v>
      </c>
      <c r="AC111" s="1334"/>
      <c r="AD111" s="1301">
        <v>523025.38</v>
      </c>
      <c r="AE111" s="1301">
        <v>12500</v>
      </c>
      <c r="AF111" s="1301">
        <v>0</v>
      </c>
      <c r="AG111" s="1301">
        <v>0</v>
      </c>
      <c r="AH111" s="1301">
        <v>210525</v>
      </c>
      <c r="AI111" s="1301">
        <v>205632</v>
      </c>
      <c r="AJ111" s="1320">
        <v>94368</v>
      </c>
      <c r="AK111" s="1318" t="s">
        <v>2706</v>
      </c>
      <c r="AL111" s="1299"/>
    </row>
    <row r="112" spans="3:38" ht="15.65" x14ac:dyDescent="0.25">
      <c r="C112" s="1210" t="s">
        <v>2616</v>
      </c>
      <c r="D112" s="1210" t="s">
        <v>2407</v>
      </c>
      <c r="E112" s="1305">
        <v>2104001</v>
      </c>
      <c r="F112" s="1210" t="s">
        <v>2559</v>
      </c>
      <c r="G112" s="1210" t="s">
        <v>2409</v>
      </c>
      <c r="H112" s="1270" t="s">
        <v>2669</v>
      </c>
      <c r="I112" s="1210" t="s">
        <v>196</v>
      </c>
      <c r="J112" s="1210" t="s">
        <v>2411</v>
      </c>
      <c r="K112" s="1178" t="s">
        <v>2410</v>
      </c>
      <c r="L112" s="1178" t="s">
        <v>2388</v>
      </c>
      <c r="M112" s="1210" t="s">
        <v>2617</v>
      </c>
      <c r="N112" s="1210" t="s">
        <v>2617</v>
      </c>
      <c r="O112" s="1211">
        <f>100000*2</f>
        <v>200000</v>
      </c>
      <c r="P112" s="1211">
        <f>1*2</f>
        <v>2</v>
      </c>
      <c r="Q112" s="1211">
        <f>1*2</f>
        <v>2</v>
      </c>
      <c r="R112" s="1211">
        <f>2572307.3*2</f>
        <v>5144614.5999999996</v>
      </c>
      <c r="S112" s="1211">
        <f>2572307.3*2</f>
        <v>5144614.5999999996</v>
      </c>
      <c r="T112" s="1211">
        <f t="shared" si="4"/>
        <v>10489233.199999999</v>
      </c>
      <c r="U112" s="1181"/>
      <c r="V112" s="1337"/>
      <c r="W112" s="1337"/>
      <c r="X112" s="1337" t="s">
        <v>2139</v>
      </c>
      <c r="Y112" s="1337" t="s">
        <v>2194</v>
      </c>
      <c r="Z112" s="1338">
        <v>23834841.960000001</v>
      </c>
      <c r="AA112" s="1338">
        <v>14299728.359999999</v>
      </c>
      <c r="AB112" s="1338">
        <v>4322701.5999999996</v>
      </c>
      <c r="AC112" s="1334"/>
      <c r="AD112" s="1301">
        <v>5777099.7599999998</v>
      </c>
      <c r="AE112" s="1301">
        <v>5263670</v>
      </c>
      <c r="AF112" s="1301">
        <v>0</v>
      </c>
      <c r="AG112" s="1301">
        <v>0</v>
      </c>
      <c r="AH112" s="1301">
        <v>513430</v>
      </c>
      <c r="AI112" s="1301">
        <v>0</v>
      </c>
      <c r="AJ112" s="1317">
        <v>0</v>
      </c>
      <c r="AK112" s="1318" t="s">
        <v>2707</v>
      </c>
      <c r="AL112" s="1299"/>
    </row>
    <row r="113" spans="3:38" ht="15.65" x14ac:dyDescent="0.25">
      <c r="C113" s="1210" t="s">
        <v>2616</v>
      </c>
      <c r="D113" s="1210" t="s">
        <v>2407</v>
      </c>
      <c r="E113" s="1305">
        <v>2210337</v>
      </c>
      <c r="F113" s="1210" t="s">
        <v>2558</v>
      </c>
      <c r="G113" s="1210" t="s">
        <v>2409</v>
      </c>
      <c r="H113" s="1270" t="s">
        <v>2669</v>
      </c>
      <c r="I113" s="1210" t="s">
        <v>196</v>
      </c>
      <c r="J113" s="1210" t="s">
        <v>2518</v>
      </c>
      <c r="K113" s="1178" t="s">
        <v>2454</v>
      </c>
      <c r="L113" s="1178" t="s">
        <v>2398</v>
      </c>
      <c r="M113" s="1210" t="s">
        <v>2617</v>
      </c>
      <c r="N113" s="1210" t="s">
        <v>2617</v>
      </c>
      <c r="O113" s="1211">
        <f>163280*2</f>
        <v>326560</v>
      </c>
      <c r="P113" s="1211">
        <v>0</v>
      </c>
      <c r="Q113" s="1211">
        <v>0</v>
      </c>
      <c r="R113" s="1211">
        <v>0</v>
      </c>
      <c r="S113" s="1211">
        <v>0</v>
      </c>
      <c r="T113" s="1211">
        <f t="shared" si="4"/>
        <v>326560</v>
      </c>
      <c r="U113" s="1181"/>
      <c r="V113" s="1337"/>
      <c r="W113" s="1337"/>
      <c r="X113" s="1337" t="s">
        <v>2136</v>
      </c>
      <c r="Y113" s="1337" t="s">
        <v>2136</v>
      </c>
      <c r="Z113" s="1338">
        <v>322184.98</v>
      </c>
      <c r="AA113" s="1338">
        <v>158905</v>
      </c>
      <c r="AB113" s="1338">
        <v>163279.98000000001</v>
      </c>
      <c r="AC113" s="1334"/>
      <c r="AD113" s="1301">
        <v>322184.98</v>
      </c>
      <c r="AE113" s="1301">
        <v>158905</v>
      </c>
      <c r="AF113" s="1301">
        <v>0</v>
      </c>
      <c r="AG113" s="1301">
        <v>0</v>
      </c>
      <c r="AH113" s="1301">
        <v>163280</v>
      </c>
      <c r="AI113" s="1301">
        <v>0</v>
      </c>
      <c r="AJ113" s="1317">
        <v>0</v>
      </c>
      <c r="AK113" s="1318" t="s">
        <v>2716</v>
      </c>
      <c r="AL113" s="1299"/>
    </row>
    <row r="114" spans="3:38" ht="15.65" x14ac:dyDescent="0.25">
      <c r="C114" s="1210" t="s">
        <v>2616</v>
      </c>
      <c r="D114" s="1210" t="s">
        <v>2407</v>
      </c>
      <c r="E114" s="1305">
        <v>2183902</v>
      </c>
      <c r="F114" s="1210" t="s">
        <v>2582</v>
      </c>
      <c r="G114" s="1210" t="s">
        <v>2409</v>
      </c>
      <c r="H114" s="1270" t="s">
        <v>2669</v>
      </c>
      <c r="I114" s="1210" t="s">
        <v>196</v>
      </c>
      <c r="J114" s="1210" t="s">
        <v>2572</v>
      </c>
      <c r="K114" s="1178" t="s">
        <v>2410</v>
      </c>
      <c r="L114" s="1178" t="s">
        <v>2393</v>
      </c>
      <c r="M114" s="1210" t="s">
        <v>2617</v>
      </c>
      <c r="N114" s="1210" t="s">
        <v>2617</v>
      </c>
      <c r="O114" s="1211">
        <f>18384*2</f>
        <v>36768</v>
      </c>
      <c r="P114" s="1211">
        <v>0</v>
      </c>
      <c r="Q114" s="1211">
        <v>0</v>
      </c>
      <c r="R114" s="1211"/>
      <c r="S114" s="1211"/>
      <c r="T114" s="1211">
        <f t="shared" si="4"/>
        <v>36768</v>
      </c>
      <c r="U114" s="1181"/>
      <c r="V114" s="1337"/>
      <c r="W114" s="1337"/>
      <c r="X114" s="1337" t="s">
        <v>2120</v>
      </c>
      <c r="Y114" s="1337" t="s">
        <v>2121</v>
      </c>
      <c r="Z114" s="1338">
        <v>18990061.18</v>
      </c>
      <c r="AA114" s="1338">
        <v>18971677.120000001</v>
      </c>
      <c r="AB114" s="1338">
        <v>18384.060000000001</v>
      </c>
      <c r="AC114" s="1334"/>
      <c r="AD114" s="1301">
        <v>19005137.18</v>
      </c>
      <c r="AE114" s="1301">
        <v>18983476</v>
      </c>
      <c r="AF114" s="1301">
        <v>15076</v>
      </c>
      <c r="AG114" s="1301">
        <v>15076</v>
      </c>
      <c r="AH114" s="1301">
        <v>6585.18</v>
      </c>
      <c r="AI114" s="1301">
        <v>0</v>
      </c>
      <c r="AJ114" s="1319">
        <v>0</v>
      </c>
      <c r="AK114" s="1318" t="s">
        <v>2707</v>
      </c>
      <c r="AL114" s="1299"/>
    </row>
    <row r="115" spans="3:38" ht="15.65" x14ac:dyDescent="0.25">
      <c r="C115" s="1210" t="s">
        <v>2616</v>
      </c>
      <c r="D115" s="1210" t="s">
        <v>2407</v>
      </c>
      <c r="E115" s="1305">
        <v>2197828</v>
      </c>
      <c r="F115" s="1210" t="s">
        <v>2571</v>
      </c>
      <c r="G115" s="1210" t="s">
        <v>2409</v>
      </c>
      <c r="H115" s="1270" t="s">
        <v>2669</v>
      </c>
      <c r="I115" s="1210" t="s">
        <v>196</v>
      </c>
      <c r="J115" s="1210" t="s">
        <v>2572</v>
      </c>
      <c r="K115" s="1178" t="s">
        <v>2410</v>
      </c>
      <c r="L115" s="1178" t="s">
        <v>2393</v>
      </c>
      <c r="M115" s="1210" t="s">
        <v>2617</v>
      </c>
      <c r="N115" s="1210" t="s">
        <v>2617</v>
      </c>
      <c r="O115" s="1211">
        <v>0</v>
      </c>
      <c r="P115" s="1211">
        <v>0</v>
      </c>
      <c r="Q115" s="1211">
        <v>0</v>
      </c>
      <c r="R115" s="1211">
        <f>8547986.755*2</f>
        <v>17095973.510000002</v>
      </c>
      <c r="S115" s="1211">
        <f>8547986.755*2</f>
        <v>17095973.510000002</v>
      </c>
      <c r="T115" s="1211">
        <f t="shared" si="4"/>
        <v>34191947.020000003</v>
      </c>
      <c r="U115" s="1181"/>
      <c r="V115" s="1337"/>
      <c r="W115" s="1337"/>
      <c r="X115" s="1337" t="s">
        <v>2136</v>
      </c>
      <c r="Y115" s="1337" t="s">
        <v>2136</v>
      </c>
      <c r="Z115" s="1338">
        <v>17260707.510000002</v>
      </c>
      <c r="AA115" s="1338">
        <v>14996047.789999999</v>
      </c>
      <c r="AB115" s="1338">
        <v>-602971.93999999994</v>
      </c>
      <c r="AC115" s="1334"/>
      <c r="AD115" s="1301">
        <v>25292253.859999999</v>
      </c>
      <c r="AE115" s="1301">
        <v>17356322</v>
      </c>
      <c r="AF115" s="1301">
        <v>5560994</v>
      </c>
      <c r="AG115" s="1301">
        <v>4856827</v>
      </c>
      <c r="AH115" s="1301">
        <v>200000</v>
      </c>
      <c r="AI115" s="1301">
        <v>0</v>
      </c>
      <c r="AJ115" s="1319">
        <v>0</v>
      </c>
      <c r="AK115" s="1318" t="s">
        <v>2707</v>
      </c>
      <c r="AL115" s="1299"/>
    </row>
    <row r="116" spans="3:38" ht="15.65" x14ac:dyDescent="0.25">
      <c r="C116" s="1210" t="s">
        <v>2616</v>
      </c>
      <c r="D116" s="1210" t="s">
        <v>2407</v>
      </c>
      <c r="E116" s="1305">
        <v>2198614</v>
      </c>
      <c r="F116" s="1210" t="s">
        <v>2494</v>
      </c>
      <c r="G116" s="1210" t="s">
        <v>2409</v>
      </c>
      <c r="H116" s="1270" t="s">
        <v>2669</v>
      </c>
      <c r="I116" s="1210" t="s">
        <v>196</v>
      </c>
      <c r="J116" s="1210" t="s">
        <v>2495</v>
      </c>
      <c r="K116" s="1178" t="s">
        <v>2454</v>
      </c>
      <c r="L116" s="1178" t="s">
        <v>2398</v>
      </c>
      <c r="M116" s="1210" t="s">
        <v>2617</v>
      </c>
      <c r="N116" s="1210" t="s">
        <v>2617</v>
      </c>
      <c r="O116" s="1211">
        <v>275044</v>
      </c>
      <c r="P116" s="1211">
        <v>0</v>
      </c>
      <c r="Q116" s="1211">
        <v>0</v>
      </c>
      <c r="R116" s="1211">
        <v>4434260.3600000003</v>
      </c>
      <c r="S116" s="1211">
        <v>4434260.3600000003</v>
      </c>
      <c r="T116" s="1211">
        <f t="shared" si="4"/>
        <v>9143564.7200000007</v>
      </c>
      <c r="U116" s="1181"/>
      <c r="V116" s="1337"/>
      <c r="W116" s="1337"/>
      <c r="X116" s="1337" t="s">
        <v>2126</v>
      </c>
      <c r="Y116" s="1337" t="s">
        <v>2129</v>
      </c>
      <c r="Z116" s="1338">
        <v>9168141</v>
      </c>
      <c r="AA116" s="1338">
        <v>24576.28</v>
      </c>
      <c r="AB116" s="1338">
        <v>9143564.7200000007</v>
      </c>
      <c r="AC116" s="1334"/>
      <c r="AD116" s="1301">
        <v>9168141</v>
      </c>
      <c r="AE116" s="1301">
        <v>24576</v>
      </c>
      <c r="AF116" s="1301">
        <v>0</v>
      </c>
      <c r="AG116" s="1301">
        <v>0</v>
      </c>
      <c r="AH116" s="1301">
        <v>0</v>
      </c>
      <c r="AI116" s="1301">
        <v>0</v>
      </c>
      <c r="AJ116" s="1319">
        <v>0</v>
      </c>
      <c r="AK116" s="1318" t="s">
        <v>2707</v>
      </c>
      <c r="AL116" s="1299"/>
    </row>
    <row r="117" spans="3:38" ht="15.65" x14ac:dyDescent="0.25">
      <c r="C117" s="1210" t="s">
        <v>2616</v>
      </c>
      <c r="D117" s="1210" t="s">
        <v>2407</v>
      </c>
      <c r="E117" s="1305">
        <v>2333779</v>
      </c>
      <c r="F117" s="1210" t="s">
        <v>2543</v>
      </c>
      <c r="G117" s="1210" t="s">
        <v>2409</v>
      </c>
      <c r="H117" s="1270" t="s">
        <v>2669</v>
      </c>
      <c r="I117" s="1210" t="s">
        <v>194</v>
      </c>
      <c r="J117" s="1210" t="s">
        <v>2423</v>
      </c>
      <c r="K117" s="1178" t="s">
        <v>2433</v>
      </c>
      <c r="L117" s="1178" t="s">
        <v>2398</v>
      </c>
      <c r="M117" s="1210" t="s">
        <v>2618</v>
      </c>
      <c r="N117" s="1210" t="s">
        <v>2199</v>
      </c>
      <c r="O117" s="1211">
        <v>0</v>
      </c>
      <c r="P117" s="1211">
        <v>280970</v>
      </c>
      <c r="Q117" s="1211">
        <v>0</v>
      </c>
      <c r="R117" s="1211"/>
      <c r="S117" s="1211"/>
      <c r="T117" s="1211">
        <f t="shared" si="4"/>
        <v>280970</v>
      </c>
      <c r="U117" s="1181"/>
      <c r="V117" s="1337"/>
      <c r="W117" s="1337"/>
      <c r="X117" s="1337" t="s">
        <v>2114</v>
      </c>
      <c r="Y117" s="1337" t="s">
        <v>2115</v>
      </c>
      <c r="Z117" s="1338">
        <v>372181.33</v>
      </c>
      <c r="AA117" s="1338">
        <v>91210.08</v>
      </c>
      <c r="AB117" s="1338">
        <v>280971.25</v>
      </c>
      <c r="AC117" s="1334"/>
      <c r="AD117" s="1301">
        <v>372181.33</v>
      </c>
      <c r="AE117" s="1301">
        <v>91210</v>
      </c>
      <c r="AF117" s="1301">
        <v>0</v>
      </c>
      <c r="AG117" s="1301">
        <v>0</v>
      </c>
      <c r="AH117" s="1301">
        <v>280971</v>
      </c>
      <c r="AI117" s="1301">
        <v>0</v>
      </c>
      <c r="AJ117" s="1320">
        <v>0</v>
      </c>
      <c r="AK117" s="1318" t="s">
        <v>2707</v>
      </c>
      <c r="AL117" s="1299"/>
    </row>
    <row r="118" spans="3:38" ht="15.65" x14ac:dyDescent="0.25">
      <c r="C118" s="1210" t="s">
        <v>2616</v>
      </c>
      <c r="D118" s="1210" t="s">
        <v>2407</v>
      </c>
      <c r="E118" s="1305">
        <v>2319762</v>
      </c>
      <c r="F118" s="1210" t="s">
        <v>2532</v>
      </c>
      <c r="G118" s="1210" t="s">
        <v>2409</v>
      </c>
      <c r="H118" s="1270" t="s">
        <v>2669</v>
      </c>
      <c r="I118" s="1210" t="s">
        <v>196</v>
      </c>
      <c r="J118" s="1210" t="s">
        <v>2411</v>
      </c>
      <c r="K118" s="1178" t="s">
        <v>2410</v>
      </c>
      <c r="L118" s="1178" t="s">
        <v>2388</v>
      </c>
      <c r="M118" s="1210" t="s">
        <v>2617</v>
      </c>
      <c r="N118" s="1210" t="s">
        <v>2617</v>
      </c>
      <c r="O118" s="1211">
        <v>2784894</v>
      </c>
      <c r="P118" s="1211">
        <v>2784894</v>
      </c>
      <c r="Q118" s="1211">
        <v>0</v>
      </c>
      <c r="R118" s="1211">
        <v>0</v>
      </c>
      <c r="S118" s="1211">
        <v>0</v>
      </c>
      <c r="T118" s="1211">
        <f t="shared" si="4"/>
        <v>5569788</v>
      </c>
      <c r="U118" s="1181"/>
      <c r="V118" s="1337"/>
      <c r="W118" s="1337"/>
      <c r="X118" s="1337" t="s">
        <v>2139</v>
      </c>
      <c r="Y118" s="1337" t="s">
        <v>2191</v>
      </c>
      <c r="Z118" s="1338">
        <v>5717188</v>
      </c>
      <c r="AA118" s="1338">
        <v>147400</v>
      </c>
      <c r="AB118" s="1338">
        <v>5569788</v>
      </c>
      <c r="AC118" s="1334"/>
      <c r="AD118" s="1301">
        <v>5717188</v>
      </c>
      <c r="AE118" s="1301">
        <v>147400</v>
      </c>
      <c r="AF118" s="1301">
        <v>0</v>
      </c>
      <c r="AG118" s="1301">
        <v>0</v>
      </c>
      <c r="AH118" s="1301">
        <v>2784894</v>
      </c>
      <c r="AI118" s="1301">
        <v>2784894</v>
      </c>
      <c r="AJ118" s="1319">
        <v>0</v>
      </c>
      <c r="AK118" s="1318" t="s">
        <v>2716</v>
      </c>
      <c r="AL118" s="1299"/>
    </row>
    <row r="119" spans="3:38" ht="15.65" x14ac:dyDescent="0.25">
      <c r="C119" s="1210" t="s">
        <v>2616</v>
      </c>
      <c r="D119" s="1210" t="s">
        <v>2407</v>
      </c>
      <c r="E119" s="1305">
        <v>2319812</v>
      </c>
      <c r="F119" s="1210" t="s">
        <v>2530</v>
      </c>
      <c r="G119" s="1210" t="s">
        <v>2409</v>
      </c>
      <c r="H119" s="1270" t="s">
        <v>2669</v>
      </c>
      <c r="I119" s="1210" t="s">
        <v>196</v>
      </c>
      <c r="J119" s="1210" t="s">
        <v>2411</v>
      </c>
      <c r="K119" s="1178" t="s">
        <v>2410</v>
      </c>
      <c r="L119" s="1178" t="s">
        <v>2388</v>
      </c>
      <c r="M119" s="1210" t="s">
        <v>2617</v>
      </c>
      <c r="N119" s="1210" t="s">
        <v>2617</v>
      </c>
      <c r="O119" s="1211">
        <v>2714176</v>
      </c>
      <c r="P119" s="1211">
        <v>1809451</v>
      </c>
      <c r="Q119" s="1211">
        <v>0</v>
      </c>
      <c r="R119" s="1211">
        <v>0</v>
      </c>
      <c r="S119" s="1211">
        <v>0</v>
      </c>
      <c r="T119" s="1211">
        <f t="shared" si="4"/>
        <v>4523627</v>
      </c>
      <c r="U119" s="1181"/>
      <c r="V119" s="1337"/>
      <c r="W119" s="1337"/>
      <c r="X119" s="1337" t="s">
        <v>2139</v>
      </c>
      <c r="Y119" s="1337" t="s">
        <v>2188</v>
      </c>
      <c r="Z119" s="1338">
        <v>4636077</v>
      </c>
      <c r="AA119" s="1338">
        <v>112450</v>
      </c>
      <c r="AB119" s="1338">
        <v>4523627</v>
      </c>
      <c r="AC119" s="1334"/>
      <c r="AD119" s="1301">
        <v>4636077</v>
      </c>
      <c r="AE119" s="1301">
        <v>112450</v>
      </c>
      <c r="AF119" s="1301">
        <v>0</v>
      </c>
      <c r="AG119" s="1301">
        <v>0</v>
      </c>
      <c r="AH119" s="1301">
        <v>1809451</v>
      </c>
      <c r="AI119" s="1301">
        <v>2714176</v>
      </c>
      <c r="AJ119" s="1317">
        <v>0</v>
      </c>
      <c r="AK119" s="1318" t="s">
        <v>2716</v>
      </c>
      <c r="AL119" s="1299"/>
    </row>
    <row r="120" spans="3:38" ht="15.65" x14ac:dyDescent="0.25">
      <c r="C120" s="1210" t="s">
        <v>2616</v>
      </c>
      <c r="D120" s="1210" t="s">
        <v>2407</v>
      </c>
      <c r="E120" s="1305">
        <v>2319812</v>
      </c>
      <c r="F120" s="1210" t="s">
        <v>2408</v>
      </c>
      <c r="G120" s="1210" t="s">
        <v>2409</v>
      </c>
      <c r="H120" s="1270" t="s">
        <v>2669</v>
      </c>
      <c r="I120" s="1210" t="s">
        <v>196</v>
      </c>
      <c r="J120" s="1210" t="s">
        <v>2411</v>
      </c>
      <c r="K120" s="1178" t="s">
        <v>2410</v>
      </c>
      <c r="L120" s="1178" t="s">
        <v>2388</v>
      </c>
      <c r="M120" s="1210" t="s">
        <v>2617</v>
      </c>
      <c r="N120" s="1210" t="s">
        <v>2617</v>
      </c>
      <c r="O120" s="1211">
        <v>1500000</v>
      </c>
      <c r="P120" s="1211">
        <v>4922564</v>
      </c>
      <c r="Q120" s="1211">
        <v>0</v>
      </c>
      <c r="R120" s="1211">
        <v>126998</v>
      </c>
      <c r="S120" s="1211">
        <v>126998</v>
      </c>
      <c r="T120" s="1211">
        <f t="shared" si="4"/>
        <v>6676560</v>
      </c>
      <c r="U120" s="1181"/>
      <c r="V120" s="1337"/>
      <c r="W120" s="1337"/>
      <c r="X120" s="1337" t="s">
        <v>2126</v>
      </c>
      <c r="Y120" s="1337" t="s">
        <v>2131</v>
      </c>
      <c r="Z120" s="1338">
        <v>6769000</v>
      </c>
      <c r="AA120" s="1338">
        <v>0</v>
      </c>
      <c r="AB120" s="1338">
        <v>6422564</v>
      </c>
      <c r="AC120" s="1334"/>
      <c r="AD120" s="1301">
        <v>4636077</v>
      </c>
      <c r="AE120" s="1301">
        <v>112450</v>
      </c>
      <c r="AF120" s="1301">
        <v>0</v>
      </c>
      <c r="AG120" s="1301">
        <v>0</v>
      </c>
      <c r="AH120" s="1301">
        <v>1809451</v>
      </c>
      <c r="AI120" s="1301">
        <v>2714176</v>
      </c>
      <c r="AJ120" s="1320">
        <v>0</v>
      </c>
      <c r="AK120" s="1318" t="s">
        <v>2716</v>
      </c>
      <c r="AL120" s="1299"/>
    </row>
    <row r="121" spans="3:38" ht="15.65" x14ac:dyDescent="0.25">
      <c r="C121" s="1210" t="s">
        <v>2616</v>
      </c>
      <c r="D121" s="1210" t="s">
        <v>2407</v>
      </c>
      <c r="E121" s="1305">
        <v>2329806</v>
      </c>
      <c r="F121" s="1210" t="s">
        <v>2412</v>
      </c>
      <c r="G121" s="1210" t="s">
        <v>2409</v>
      </c>
      <c r="H121" s="1270" t="s">
        <v>2669</v>
      </c>
      <c r="I121" s="1210" t="s">
        <v>196</v>
      </c>
      <c r="J121" s="1210" t="s">
        <v>2411</v>
      </c>
      <c r="K121" s="1178" t="s">
        <v>2410</v>
      </c>
      <c r="L121" s="1178" t="s">
        <v>2388</v>
      </c>
      <c r="M121" s="1210" t="s">
        <v>2617</v>
      </c>
      <c r="N121" s="1210" t="s">
        <v>2617</v>
      </c>
      <c r="O121" s="1211">
        <v>5077487</v>
      </c>
      <c r="P121" s="1211">
        <v>0</v>
      </c>
      <c r="Q121" s="1211">
        <v>0</v>
      </c>
      <c r="R121" s="1211">
        <v>0</v>
      </c>
      <c r="S121" s="1211">
        <v>0</v>
      </c>
      <c r="T121" s="1211">
        <f t="shared" si="4"/>
        <v>5077487</v>
      </c>
      <c r="U121" s="1181"/>
      <c r="V121" s="1337"/>
      <c r="W121" s="1337"/>
      <c r="X121" s="1337" t="s">
        <v>2139</v>
      </c>
      <c r="Y121" s="1337" t="s">
        <v>2191</v>
      </c>
      <c r="Z121" s="1338">
        <v>5192498</v>
      </c>
      <c r="AA121" s="1338">
        <v>0</v>
      </c>
      <c r="AB121" s="1338">
        <v>5077487</v>
      </c>
      <c r="AC121" s="1334"/>
      <c r="AD121" s="1301">
        <v>5192498</v>
      </c>
      <c r="AE121" s="1301">
        <v>97460</v>
      </c>
      <c r="AF121" s="1301">
        <v>0</v>
      </c>
      <c r="AG121" s="1301">
        <v>0</v>
      </c>
      <c r="AH121" s="1301">
        <v>2500000</v>
      </c>
      <c r="AI121" s="1301">
        <v>2595038</v>
      </c>
      <c r="AJ121" s="1317">
        <v>0</v>
      </c>
      <c r="AK121" s="1318" t="s">
        <v>2707</v>
      </c>
      <c r="AL121" s="1299"/>
    </row>
    <row r="122" spans="3:38" ht="15.65" x14ac:dyDescent="0.25">
      <c r="C122" s="1210" t="s">
        <v>2616</v>
      </c>
      <c r="D122" s="1210" t="s">
        <v>2407</v>
      </c>
      <c r="E122" s="1305">
        <v>2426932</v>
      </c>
      <c r="F122" s="1210" t="s">
        <v>2570</v>
      </c>
      <c r="G122" s="1210" t="s">
        <v>2409</v>
      </c>
      <c r="H122" s="1270" t="s">
        <v>2669</v>
      </c>
      <c r="I122" s="1210" t="s">
        <v>196</v>
      </c>
      <c r="J122" s="1210" t="s">
        <v>2411</v>
      </c>
      <c r="K122" s="1178" t="s">
        <v>2410</v>
      </c>
      <c r="L122" s="1178" t="s">
        <v>2388</v>
      </c>
      <c r="M122" s="1210" t="s">
        <v>2617</v>
      </c>
      <c r="N122" s="1210" t="s">
        <v>2617</v>
      </c>
      <c r="O122" s="1211">
        <f>343662*2</f>
        <v>687324</v>
      </c>
      <c r="P122" s="1211">
        <v>0</v>
      </c>
      <c r="Q122" s="1211">
        <v>0</v>
      </c>
      <c r="R122" s="1211">
        <v>0</v>
      </c>
      <c r="S122" s="1211">
        <v>0</v>
      </c>
      <c r="T122" s="1211">
        <f t="shared" si="4"/>
        <v>687324</v>
      </c>
      <c r="U122" s="1181"/>
      <c r="V122" s="1337"/>
      <c r="W122" s="1337"/>
      <c r="X122" s="1337" t="s">
        <v>2120</v>
      </c>
      <c r="Y122" s="1337" t="s">
        <v>2120</v>
      </c>
      <c r="Z122" s="1338">
        <v>2135304.73</v>
      </c>
      <c r="AA122" s="1338">
        <v>1756911.85</v>
      </c>
      <c r="AB122" s="1338">
        <v>343661.88</v>
      </c>
      <c r="AC122" s="1334"/>
      <c r="AD122" s="1301">
        <v>2135304.89</v>
      </c>
      <c r="AE122" s="1301">
        <v>2056182</v>
      </c>
      <c r="AF122" s="1301">
        <v>0</v>
      </c>
      <c r="AG122" s="1301">
        <v>0</v>
      </c>
      <c r="AH122" s="1301">
        <v>0</v>
      </c>
      <c r="AI122" s="1301">
        <v>0</v>
      </c>
      <c r="AJ122" s="1320">
        <v>0</v>
      </c>
      <c r="AK122" s="1318" t="s">
        <v>2707</v>
      </c>
      <c r="AL122" s="1299"/>
    </row>
    <row r="123" spans="3:38" ht="15.65" x14ac:dyDescent="0.25">
      <c r="C123" s="1210" t="s">
        <v>2616</v>
      </c>
      <c r="D123" s="1210" t="s">
        <v>2407</v>
      </c>
      <c r="E123" s="1305">
        <v>2437193</v>
      </c>
      <c r="F123" s="1210" t="s">
        <v>2548</v>
      </c>
      <c r="G123" s="1210" t="s">
        <v>2409</v>
      </c>
      <c r="H123" s="1270" t="s">
        <v>2669</v>
      </c>
      <c r="I123" s="1210" t="s">
        <v>196</v>
      </c>
      <c r="J123" s="1210" t="s">
        <v>2549</v>
      </c>
      <c r="K123" s="1178" t="s">
        <v>2454</v>
      </c>
      <c r="L123" s="1178" t="s">
        <v>2398</v>
      </c>
      <c r="M123" s="1210" t="s">
        <v>2617</v>
      </c>
      <c r="N123" s="1210" t="s">
        <v>2617</v>
      </c>
      <c r="O123" s="1211">
        <v>231004</v>
      </c>
      <c r="P123" s="1211">
        <v>231004</v>
      </c>
      <c r="Q123" s="1211">
        <v>1</v>
      </c>
      <c r="R123" s="1211">
        <v>28947.255000000001</v>
      </c>
      <c r="S123" s="1211">
        <v>28947.255000000001</v>
      </c>
      <c r="T123" s="1211">
        <f t="shared" si="4"/>
        <v>519903.51</v>
      </c>
      <c r="U123" s="1181"/>
      <c r="V123" s="1337"/>
      <c r="W123" s="1337"/>
      <c r="X123" s="1337" t="s">
        <v>2172</v>
      </c>
      <c r="Y123" s="1337" t="s">
        <v>2177</v>
      </c>
      <c r="Z123" s="1338">
        <v>933000</v>
      </c>
      <c r="AA123" s="1338">
        <v>260242.49</v>
      </c>
      <c r="AB123" s="1338">
        <v>670773.51</v>
      </c>
      <c r="AC123" s="1334"/>
      <c r="AD123" s="1301">
        <v>933000</v>
      </c>
      <c r="AE123" s="1301">
        <v>350646</v>
      </c>
      <c r="AF123" s="1301">
        <v>150000</v>
      </c>
      <c r="AG123" s="1301">
        <v>150000</v>
      </c>
      <c r="AH123" s="1301">
        <v>220000</v>
      </c>
      <c r="AI123" s="1301">
        <v>212354</v>
      </c>
      <c r="AJ123" s="1317">
        <v>0</v>
      </c>
      <c r="AK123" s="1318" t="s">
        <v>2707</v>
      </c>
      <c r="AL123" s="1299"/>
    </row>
    <row r="124" spans="3:38" ht="15.65" x14ac:dyDescent="0.25">
      <c r="C124" s="1210" t="s">
        <v>2616</v>
      </c>
      <c r="D124" s="1210" t="s">
        <v>2407</v>
      </c>
      <c r="E124" s="1305">
        <v>2439189</v>
      </c>
      <c r="F124" s="1210" t="s">
        <v>2544</v>
      </c>
      <c r="G124" s="1210" t="s">
        <v>2409</v>
      </c>
      <c r="H124" s="1270" t="s">
        <v>2669</v>
      </c>
      <c r="I124" s="1210" t="s">
        <v>196</v>
      </c>
      <c r="J124" s="1210" t="s">
        <v>2545</v>
      </c>
      <c r="K124" s="1178" t="s">
        <v>2454</v>
      </c>
      <c r="L124" s="1178" t="s">
        <v>2398</v>
      </c>
      <c r="M124" s="1210" t="s">
        <v>2617</v>
      </c>
      <c r="N124" s="1210" t="s">
        <v>2617</v>
      </c>
      <c r="O124" s="1211">
        <f>356372*3</f>
        <v>1069116</v>
      </c>
      <c r="P124" s="1211">
        <f>356372*3</f>
        <v>1069116</v>
      </c>
      <c r="Q124" s="1211">
        <f>10000*3</f>
        <v>30000</v>
      </c>
      <c r="R124" s="1211">
        <f>135043.605*3</f>
        <v>405130.81500000006</v>
      </c>
      <c r="S124" s="1211">
        <f>135043.605*3</f>
        <v>405130.81500000006</v>
      </c>
      <c r="T124" s="1211">
        <f t="shared" si="4"/>
        <v>2978493.63</v>
      </c>
      <c r="U124" s="1181"/>
      <c r="V124" s="1337"/>
      <c r="W124" s="1337"/>
      <c r="X124" s="1337" t="s">
        <v>2172</v>
      </c>
      <c r="Y124" s="1337" t="s">
        <v>2174</v>
      </c>
      <c r="Z124" s="1338">
        <v>1441000</v>
      </c>
      <c r="AA124" s="1338">
        <v>371881.79</v>
      </c>
      <c r="AB124" s="1338">
        <v>1069118.21</v>
      </c>
      <c r="AC124" s="1334"/>
      <c r="AD124" s="1301">
        <v>1441000</v>
      </c>
      <c r="AE124" s="1301">
        <v>407974</v>
      </c>
      <c r="AF124" s="1301">
        <v>0</v>
      </c>
      <c r="AG124" s="1301">
        <v>0</v>
      </c>
      <c r="AH124" s="1301">
        <v>5000</v>
      </c>
      <c r="AI124" s="1301">
        <v>5000</v>
      </c>
      <c r="AJ124" s="1319">
        <v>5000</v>
      </c>
      <c r="AK124" s="1318" t="s">
        <v>2707</v>
      </c>
      <c r="AL124" s="1299"/>
    </row>
    <row r="125" spans="3:38" ht="15.65" x14ac:dyDescent="0.25">
      <c r="C125" s="1210" t="s">
        <v>2616</v>
      </c>
      <c r="D125" s="1210" t="s">
        <v>2407</v>
      </c>
      <c r="E125" s="1305">
        <v>2455278</v>
      </c>
      <c r="F125" s="1210" t="s">
        <v>2473</v>
      </c>
      <c r="G125" s="1210" t="s">
        <v>2409</v>
      </c>
      <c r="H125" s="1270" t="s">
        <v>2669</v>
      </c>
      <c r="I125" s="1210" t="s">
        <v>196</v>
      </c>
      <c r="J125" s="1210" t="s">
        <v>2468</v>
      </c>
      <c r="K125" s="1178">
        <v>0</v>
      </c>
      <c r="L125" s="1178" t="s">
        <v>2398</v>
      </c>
      <c r="M125" s="1210" t="s">
        <v>2617</v>
      </c>
      <c r="N125" s="1210" t="s">
        <v>2617</v>
      </c>
      <c r="O125" s="1211">
        <v>400000</v>
      </c>
      <c r="P125" s="1211">
        <v>401150</v>
      </c>
      <c r="Q125" s="1211">
        <v>300000</v>
      </c>
      <c r="R125" s="1211">
        <v>0</v>
      </c>
      <c r="S125" s="1211">
        <v>0</v>
      </c>
      <c r="T125" s="1211">
        <f t="shared" si="4"/>
        <v>1101150</v>
      </c>
      <c r="U125" s="1181"/>
      <c r="V125" s="1337"/>
      <c r="W125" s="1337"/>
      <c r="X125" s="1337" t="s">
        <v>2172</v>
      </c>
      <c r="Y125" s="1337" t="s">
        <v>2175</v>
      </c>
      <c r="Z125" s="1338">
        <v>1101150</v>
      </c>
      <c r="AA125" s="1338">
        <v>0</v>
      </c>
      <c r="AB125" s="1338">
        <v>1101150</v>
      </c>
      <c r="AC125" s="1334"/>
      <c r="AD125" s="1301">
        <v>1101150</v>
      </c>
      <c r="AE125" s="1301">
        <v>0</v>
      </c>
      <c r="AF125" s="1301">
        <v>0</v>
      </c>
      <c r="AG125" s="1301">
        <v>0</v>
      </c>
      <c r="AH125" s="1301">
        <v>401150</v>
      </c>
      <c r="AI125" s="1301">
        <v>700000</v>
      </c>
      <c r="AJ125" s="1319">
        <v>0</v>
      </c>
      <c r="AK125" s="1318" t="s">
        <v>2706</v>
      </c>
      <c r="AL125" s="1299"/>
    </row>
    <row r="126" spans="3:38" ht="15.65" x14ac:dyDescent="0.25">
      <c r="C126" s="1210" t="s">
        <v>2616</v>
      </c>
      <c r="D126" s="1210" t="s">
        <v>2446</v>
      </c>
      <c r="E126" s="1305">
        <v>2464267</v>
      </c>
      <c r="F126" s="1210" t="s">
        <v>2510</v>
      </c>
      <c r="G126" s="1210" t="s">
        <v>2440</v>
      </c>
      <c r="H126" s="1270" t="s">
        <v>2668</v>
      </c>
      <c r="I126" s="1210" t="s">
        <v>201</v>
      </c>
      <c r="J126" s="1210" t="s">
        <v>2507</v>
      </c>
      <c r="K126" s="1178" t="s">
        <v>2454</v>
      </c>
      <c r="L126" s="1178" t="s">
        <v>2398</v>
      </c>
      <c r="M126" s="1210" t="s">
        <v>2441</v>
      </c>
      <c r="N126" s="1210" t="s">
        <v>2202</v>
      </c>
      <c r="O126" s="1211">
        <f>456325*2</f>
        <v>912650</v>
      </c>
      <c r="P126" s="1211">
        <v>0</v>
      </c>
      <c r="Q126" s="1211">
        <v>0</v>
      </c>
      <c r="R126" s="1211">
        <v>0</v>
      </c>
      <c r="S126" s="1211">
        <v>0</v>
      </c>
      <c r="T126" s="1211">
        <f t="shared" si="4"/>
        <v>912650</v>
      </c>
      <c r="U126" s="1181"/>
      <c r="V126" s="1337"/>
      <c r="W126" s="1337"/>
      <c r="X126" s="1337" t="s">
        <v>2136</v>
      </c>
      <c r="Y126" s="1337" t="s">
        <v>2168</v>
      </c>
      <c r="Z126" s="1338">
        <v>461325.33</v>
      </c>
      <c r="AA126" s="1338">
        <v>5000</v>
      </c>
      <c r="AB126" s="1338">
        <v>456325.33</v>
      </c>
      <c r="AC126" s="1334"/>
      <c r="AD126" s="1301">
        <v>461325.33</v>
      </c>
      <c r="AE126" s="1301">
        <v>12500</v>
      </c>
      <c r="AF126" s="1301">
        <v>0</v>
      </c>
      <c r="AG126" s="1301">
        <v>0</v>
      </c>
      <c r="AH126" s="1301">
        <v>335000</v>
      </c>
      <c r="AI126" s="1301">
        <v>100000</v>
      </c>
      <c r="AJ126" s="1319">
        <v>13825</v>
      </c>
      <c r="AK126" s="1318" t="s">
        <v>2707</v>
      </c>
      <c r="AL126" s="1299"/>
    </row>
    <row r="127" spans="3:38" ht="15.65" x14ac:dyDescent="0.25">
      <c r="C127" s="1210" t="s">
        <v>2623</v>
      </c>
      <c r="D127" s="1210"/>
      <c r="E127" s="1305"/>
      <c r="F127" s="1210"/>
      <c r="G127" s="1210"/>
      <c r="H127" s="1210"/>
      <c r="I127" s="1210"/>
      <c r="J127" s="1210"/>
      <c r="K127" s="1178"/>
      <c r="L127" s="1178"/>
      <c r="M127" s="1210"/>
      <c r="N127" s="1210"/>
      <c r="O127" s="1212">
        <f>SUM(O8:O126)</f>
        <v>147536826.1937871</v>
      </c>
      <c r="P127" s="1212">
        <f>SUM(P8:P126)</f>
        <v>183057026.53979209</v>
      </c>
      <c r="Q127" s="1212">
        <f>SUM(Q8:Q126)</f>
        <v>71829272.792660892</v>
      </c>
      <c r="R127" s="1212">
        <f>SUM(R8:R126)</f>
        <v>55649699.670000009</v>
      </c>
      <c r="S127" s="1212">
        <f>SUM(S8:S126)</f>
        <v>55649699.670000009</v>
      </c>
      <c r="T127" s="1212">
        <f t="shared" si="4"/>
        <v>513722524.86624008</v>
      </c>
      <c r="U127" s="1181"/>
      <c r="Z127" s="1298"/>
      <c r="AA127" s="1298"/>
      <c r="AB127" s="1329"/>
      <c r="AC127" s="1334"/>
    </row>
    <row r="128" spans="3:38" x14ac:dyDescent="0.25">
      <c r="N128" s="1180"/>
      <c r="O128" s="1180"/>
      <c r="U128" s="1181"/>
      <c r="Z128" s="1298"/>
      <c r="AA128" s="1298"/>
      <c r="AB128" s="1329"/>
      <c r="AC128" s="1334"/>
    </row>
    <row r="129" spans="4:30" x14ac:dyDescent="0.2">
      <c r="N129" s="1180"/>
      <c r="O129" s="1180"/>
      <c r="U129" s="1181"/>
      <c r="Z129" s="1298"/>
      <c r="AA129" s="1298"/>
      <c r="AB129" s="1329"/>
      <c r="AC129" s="1334"/>
      <c r="AD129" s="1314" t="s">
        <v>2720</v>
      </c>
    </row>
    <row r="130" spans="4:30" x14ac:dyDescent="0.2">
      <c r="N130" s="1180"/>
      <c r="O130" s="1180"/>
      <c r="U130" s="1181"/>
      <c r="AD130" s="1314" t="s">
        <v>2721</v>
      </c>
    </row>
    <row r="131" spans="4:30" ht="13.6" x14ac:dyDescent="0.25">
      <c r="D131" s="1282" t="s">
        <v>2696</v>
      </c>
      <c r="E131" s="1303">
        <f t="array" ref="E131">+SUM(1/COUNTIF(E8:E126,E8:E126))</f>
        <v>99.999999999999986</v>
      </c>
      <c r="N131" s="1180"/>
      <c r="O131" s="1180"/>
      <c r="U131" s="1181"/>
      <c r="AD131" s="1314" t="s">
        <v>2722</v>
      </c>
    </row>
    <row r="132" spans="4:30" x14ac:dyDescent="0.2">
      <c r="N132" s="1180"/>
      <c r="O132" s="1180"/>
      <c r="U132" s="1181"/>
      <c r="AD132" s="1314" t="s">
        <v>2723</v>
      </c>
    </row>
    <row r="133" spans="4:30" x14ac:dyDescent="0.2">
      <c r="N133" s="1180"/>
      <c r="O133" s="1180"/>
      <c r="U133" s="1181"/>
      <c r="AD133" s="1314" t="s">
        <v>2724</v>
      </c>
    </row>
    <row r="134" spans="4:30" ht="13.6" x14ac:dyDescent="0.2">
      <c r="D134" s="1284" t="s">
        <v>2697</v>
      </c>
      <c r="E134" s="1306" t="s">
        <v>2698</v>
      </c>
      <c r="N134" s="1180"/>
      <c r="O134" s="1180"/>
      <c r="U134" s="1181"/>
      <c r="AD134" s="1314" t="s">
        <v>2725</v>
      </c>
    </row>
    <row r="135" spans="4:30" ht="25.85" x14ac:dyDescent="0.2">
      <c r="D135" s="1289" t="s">
        <v>2669</v>
      </c>
      <c r="E135" s="1303">
        <v>56</v>
      </c>
      <c r="N135" s="1180"/>
      <c r="O135" s="1180"/>
      <c r="U135" s="1181"/>
      <c r="AD135" s="1314" t="s">
        <v>2726</v>
      </c>
    </row>
    <row r="136" spans="4:30" ht="38.75" x14ac:dyDescent="0.2">
      <c r="D136" s="1289" t="s">
        <v>2667</v>
      </c>
      <c r="E136" s="1303">
        <v>22</v>
      </c>
      <c r="N136" s="1180"/>
      <c r="O136" s="1180"/>
      <c r="U136" s="1181"/>
      <c r="AD136" s="1314" t="s">
        <v>2727</v>
      </c>
    </row>
    <row r="137" spans="4:30" ht="40.6" customHeight="1" x14ac:dyDescent="0.2">
      <c r="D137" s="1289" t="s">
        <v>2668</v>
      </c>
      <c r="E137" s="1303">
        <v>27</v>
      </c>
      <c r="N137" s="1180"/>
      <c r="O137" s="1180"/>
      <c r="U137" s="1181"/>
      <c r="AD137" s="1314" t="s">
        <v>2728</v>
      </c>
    </row>
    <row r="138" spans="4:30" ht="13.6" x14ac:dyDescent="0.2">
      <c r="D138" s="1284" t="s">
        <v>2699</v>
      </c>
      <c r="E138" s="1306">
        <f>SUBTOTAL(9,E135:E137)</f>
        <v>105</v>
      </c>
      <c r="N138" s="1180"/>
      <c r="O138" s="1180"/>
      <c r="U138" s="1181"/>
      <c r="AD138" s="1314" t="s">
        <v>2729</v>
      </c>
    </row>
    <row r="139" spans="4:30" x14ac:dyDescent="0.2">
      <c r="N139" s="1180"/>
      <c r="O139" s="1180"/>
      <c r="U139" s="1181"/>
      <c r="AD139" s="1314" t="s">
        <v>2730</v>
      </c>
    </row>
    <row r="140" spans="4:30" x14ac:dyDescent="0.25">
      <c r="N140" s="1180"/>
      <c r="O140" s="1180"/>
      <c r="U140" s="1181"/>
    </row>
    <row r="141" spans="4:30" x14ac:dyDescent="0.25">
      <c r="N141" s="1180"/>
      <c r="O141" s="1180"/>
      <c r="U141" s="1181"/>
    </row>
    <row r="142" spans="4:30" x14ac:dyDescent="0.25">
      <c r="N142" s="1180"/>
      <c r="O142" s="1180"/>
      <c r="U142" s="1181"/>
    </row>
    <row r="143" spans="4:30" x14ac:dyDescent="0.25">
      <c r="N143" s="1180"/>
      <c r="O143" s="1180"/>
      <c r="U143" s="1181"/>
    </row>
    <row r="144" spans="4:30" x14ac:dyDescent="0.25">
      <c r="N144" s="1180"/>
      <c r="O144" s="1180"/>
      <c r="U144" s="1181"/>
    </row>
    <row r="145" spans="5:21" ht="15.65" x14ac:dyDescent="0.25">
      <c r="E145" s="1305">
        <v>2455161</v>
      </c>
      <c r="N145" s="1180"/>
      <c r="O145" s="1180"/>
      <c r="U145" s="1181"/>
    </row>
    <row r="146" spans="5:21" ht="15.65" x14ac:dyDescent="0.25">
      <c r="E146" s="1305">
        <v>2465974</v>
      </c>
      <c r="N146" s="1180"/>
      <c r="O146" s="1180"/>
      <c r="U146" s="1181"/>
    </row>
    <row r="147" spans="5:21" ht="15.65" x14ac:dyDescent="0.25">
      <c r="E147" s="1305">
        <v>252335</v>
      </c>
      <c r="N147" s="1180"/>
      <c r="O147" s="1180"/>
      <c r="U147" s="1181"/>
    </row>
    <row r="148" spans="5:21" ht="15.65" x14ac:dyDescent="0.25">
      <c r="E148" s="1305">
        <v>255428</v>
      </c>
      <c r="N148" s="1180"/>
      <c r="O148" s="1180"/>
      <c r="U148" s="1181"/>
    </row>
    <row r="149" spans="5:21" ht="15.65" x14ac:dyDescent="0.25">
      <c r="E149" s="1305">
        <v>271732</v>
      </c>
      <c r="N149" s="1180"/>
      <c r="O149" s="1180"/>
      <c r="U149" s="1181"/>
    </row>
    <row r="150" spans="5:21" ht="15.65" x14ac:dyDescent="0.25">
      <c r="E150" s="1305">
        <v>276379</v>
      </c>
      <c r="N150" s="1180"/>
      <c r="O150" s="1180"/>
      <c r="U150" s="1181"/>
    </row>
    <row r="151" spans="5:21" ht="15.65" x14ac:dyDescent="0.25">
      <c r="E151" s="1305">
        <v>288013</v>
      </c>
      <c r="N151" s="1180"/>
      <c r="O151" s="1180"/>
      <c r="U151" s="1181"/>
    </row>
    <row r="152" spans="5:21" ht="15.65" x14ac:dyDescent="0.25">
      <c r="E152" s="1305">
        <v>288013</v>
      </c>
      <c r="N152" s="1180"/>
      <c r="O152" s="1180"/>
      <c r="U152" s="1181"/>
    </row>
    <row r="153" spans="5:21" ht="15.65" x14ac:dyDescent="0.25">
      <c r="E153" s="1305">
        <v>288013</v>
      </c>
      <c r="N153" s="1180"/>
      <c r="O153" s="1180"/>
      <c r="U153" s="1181"/>
    </row>
    <row r="154" spans="5:21" ht="15.65" x14ac:dyDescent="0.25">
      <c r="E154" s="1305">
        <v>288013</v>
      </c>
      <c r="N154" s="1180"/>
      <c r="O154" s="1180"/>
      <c r="U154" s="1181"/>
    </row>
    <row r="155" spans="5:21" ht="15.65" x14ac:dyDescent="0.25">
      <c r="E155" s="1305">
        <v>293893</v>
      </c>
      <c r="N155" s="1180"/>
      <c r="O155" s="1180"/>
      <c r="U155" s="1181"/>
    </row>
    <row r="156" spans="5:21" ht="15.65" x14ac:dyDescent="0.25">
      <c r="E156" s="1305">
        <v>295867</v>
      </c>
      <c r="N156" s="1180"/>
      <c r="O156" s="1180"/>
      <c r="U156" s="1181"/>
    </row>
    <row r="157" spans="5:21" ht="15.65" x14ac:dyDescent="0.25">
      <c r="E157" s="1305">
        <v>316984</v>
      </c>
      <c r="N157" s="1180"/>
      <c r="O157" s="1180"/>
      <c r="U157" s="1181"/>
    </row>
    <row r="158" spans="5:21" ht="15.65" x14ac:dyDescent="0.25">
      <c r="E158" s="1305">
        <v>345572</v>
      </c>
      <c r="N158" s="1180"/>
      <c r="O158" s="1180"/>
      <c r="U158" s="1181"/>
    </row>
    <row r="159" spans="5:21" ht="15.65" x14ac:dyDescent="0.25">
      <c r="E159" s="1305">
        <v>346495</v>
      </c>
      <c r="N159" s="1180"/>
      <c r="O159" s="1180"/>
      <c r="U159" s="1181"/>
    </row>
    <row r="160" spans="5:21" ht="15.65" x14ac:dyDescent="0.25">
      <c r="E160" s="1305">
        <v>346495</v>
      </c>
      <c r="N160" s="1180"/>
      <c r="O160" s="1180"/>
      <c r="U160" s="1181"/>
    </row>
    <row r="161" spans="5:21" ht="15.65" x14ac:dyDescent="0.25">
      <c r="E161" s="1305">
        <v>346495</v>
      </c>
      <c r="N161" s="1180"/>
      <c r="O161" s="1180"/>
      <c r="U161" s="1181"/>
    </row>
    <row r="162" spans="5:21" ht="15.65" x14ac:dyDescent="0.25">
      <c r="E162" s="1305">
        <v>346495</v>
      </c>
      <c r="N162" s="1180"/>
      <c r="O162" s="1180"/>
      <c r="U162" s="1181"/>
    </row>
    <row r="163" spans="5:21" ht="15.65" x14ac:dyDescent="0.25">
      <c r="E163" s="1305">
        <v>362858</v>
      </c>
      <c r="N163" s="1180"/>
      <c r="O163" s="1180"/>
      <c r="U163" s="1181"/>
    </row>
    <row r="164" spans="5:21" ht="15.65" x14ac:dyDescent="0.25">
      <c r="E164" s="1305">
        <v>364568</v>
      </c>
      <c r="N164" s="1180"/>
      <c r="O164" s="1180"/>
      <c r="U164" s="1181"/>
    </row>
    <row r="165" spans="5:21" ht="15.65" x14ac:dyDescent="0.25">
      <c r="E165" s="1305">
        <v>365784</v>
      </c>
      <c r="N165" s="1180"/>
      <c r="O165" s="1180"/>
      <c r="U165" s="1181"/>
    </row>
    <row r="166" spans="5:21" ht="15.65" x14ac:dyDescent="0.25">
      <c r="E166" s="1305">
        <v>376587</v>
      </c>
      <c r="N166" s="1180"/>
      <c r="O166" s="1180"/>
      <c r="U166" s="1181"/>
    </row>
    <row r="167" spans="5:21" ht="15.65" x14ac:dyDescent="0.25">
      <c r="E167" s="1305">
        <v>378913</v>
      </c>
      <c r="N167" s="1180"/>
      <c r="O167" s="1180"/>
      <c r="U167" s="1181"/>
    </row>
    <row r="168" spans="5:21" ht="15.65" x14ac:dyDescent="0.25">
      <c r="E168" s="1305">
        <v>379758</v>
      </c>
      <c r="N168" s="1180"/>
      <c r="O168" s="1180"/>
      <c r="U168" s="1181"/>
    </row>
    <row r="169" spans="5:21" ht="15.65" x14ac:dyDescent="0.25">
      <c r="E169" s="1305">
        <v>382932</v>
      </c>
      <c r="N169" s="1180"/>
      <c r="O169" s="1180"/>
      <c r="U169" s="1181"/>
    </row>
    <row r="170" spans="5:21" ht="15.65" x14ac:dyDescent="0.25">
      <c r="E170" s="1305">
        <v>383013</v>
      </c>
      <c r="N170" s="1180"/>
      <c r="O170" s="1180"/>
      <c r="U170" s="1181"/>
    </row>
    <row r="171" spans="5:21" ht="15.65" x14ac:dyDescent="0.25">
      <c r="E171" s="1305">
        <v>387502</v>
      </c>
      <c r="N171" s="1180"/>
      <c r="O171" s="1180"/>
      <c r="U171" s="1181"/>
    </row>
    <row r="172" spans="5:21" ht="15.65" x14ac:dyDescent="0.25">
      <c r="E172" s="1305">
        <v>2421092</v>
      </c>
      <c r="N172" s="1180"/>
      <c r="O172" s="1180"/>
      <c r="U172" s="1181"/>
    </row>
    <row r="173" spans="5:21" ht="15.65" x14ac:dyDescent="0.25">
      <c r="E173" s="1305">
        <v>2421093</v>
      </c>
      <c r="N173" s="1180"/>
      <c r="O173" s="1180"/>
      <c r="U173" s="1181"/>
    </row>
    <row r="174" spans="5:21" ht="15.65" x14ac:dyDescent="0.25">
      <c r="E174" s="1305">
        <v>2429918</v>
      </c>
      <c r="N174" s="1180"/>
      <c r="O174" s="1180"/>
      <c r="U174" s="1181"/>
    </row>
    <row r="175" spans="5:21" ht="15.65" x14ac:dyDescent="0.25">
      <c r="E175" s="1305">
        <v>2437066</v>
      </c>
      <c r="N175" s="1180"/>
      <c r="O175" s="1180"/>
      <c r="U175" s="1181"/>
    </row>
    <row r="176" spans="5:21" ht="15.65" x14ac:dyDescent="0.25">
      <c r="E176" s="1305">
        <v>2450306</v>
      </c>
      <c r="N176" s="1180"/>
      <c r="O176" s="1180"/>
      <c r="U176" s="1181"/>
    </row>
    <row r="177" spans="5:21" ht="15.65" x14ac:dyDescent="0.25">
      <c r="E177" s="1305">
        <v>2451114</v>
      </c>
      <c r="N177" s="1180"/>
      <c r="O177" s="1180"/>
      <c r="U177" s="1181"/>
    </row>
    <row r="178" spans="5:21" ht="15.65" x14ac:dyDescent="0.25">
      <c r="E178" s="1305">
        <v>2451114</v>
      </c>
      <c r="N178" s="1180"/>
      <c r="O178" s="1180"/>
      <c r="U178" s="1181"/>
    </row>
    <row r="179" spans="5:21" ht="15.65" x14ac:dyDescent="0.25">
      <c r="E179" s="1305">
        <v>2451114</v>
      </c>
      <c r="N179" s="1180"/>
      <c r="O179" s="1180"/>
      <c r="U179" s="1181"/>
    </row>
    <row r="180" spans="5:21" ht="15.65" x14ac:dyDescent="0.25">
      <c r="E180" s="1305">
        <v>2455006</v>
      </c>
      <c r="N180" s="1180"/>
      <c r="O180" s="1180"/>
      <c r="U180" s="1181"/>
    </row>
    <row r="181" spans="5:21" ht="15.65" x14ac:dyDescent="0.25">
      <c r="E181" s="1305">
        <v>2455006</v>
      </c>
      <c r="N181" s="1180"/>
      <c r="O181" s="1180"/>
      <c r="U181" s="1181"/>
    </row>
    <row r="182" spans="5:21" ht="15.65" x14ac:dyDescent="0.25">
      <c r="E182" s="1305">
        <v>2455006</v>
      </c>
      <c r="N182" s="1180"/>
      <c r="O182" s="1180"/>
      <c r="U182" s="1181"/>
    </row>
    <row r="183" spans="5:21" ht="15.65" x14ac:dyDescent="0.25">
      <c r="E183" s="1305">
        <v>2455006</v>
      </c>
      <c r="N183" s="1180"/>
      <c r="O183" s="1180"/>
      <c r="U183" s="1181"/>
    </row>
    <row r="184" spans="5:21" ht="15.65" x14ac:dyDescent="0.25">
      <c r="E184" s="1305">
        <v>2458120</v>
      </c>
      <c r="N184" s="1180"/>
      <c r="O184" s="1180"/>
      <c r="U184" s="1181"/>
    </row>
    <row r="185" spans="5:21" ht="15.65" x14ac:dyDescent="0.25">
      <c r="E185" s="1305">
        <v>2458352</v>
      </c>
      <c r="N185" s="1180"/>
      <c r="O185" s="1180"/>
      <c r="U185" s="1181"/>
    </row>
    <row r="186" spans="5:21" ht="15.65" x14ac:dyDescent="0.25">
      <c r="E186" s="1305">
        <v>2459590</v>
      </c>
      <c r="N186" s="1180"/>
      <c r="O186" s="1180"/>
      <c r="U186" s="1181"/>
    </row>
    <row r="187" spans="5:21" ht="15.65" x14ac:dyDescent="0.25">
      <c r="E187" s="1305">
        <v>2459590</v>
      </c>
      <c r="N187" s="1180"/>
      <c r="O187" s="1180"/>
      <c r="U187" s="1181"/>
    </row>
    <row r="188" spans="5:21" ht="15.65" x14ac:dyDescent="0.25">
      <c r="E188" s="1305">
        <v>2459590</v>
      </c>
      <c r="N188" s="1180"/>
      <c r="O188" s="1180"/>
      <c r="U188" s="1181"/>
    </row>
    <row r="189" spans="5:21" ht="15.65" x14ac:dyDescent="0.25">
      <c r="E189" s="1305">
        <v>2459590</v>
      </c>
      <c r="N189" s="1180"/>
      <c r="O189" s="1180"/>
      <c r="U189" s="1181"/>
    </row>
    <row r="190" spans="5:21" ht="15.65" x14ac:dyDescent="0.25">
      <c r="E190" s="1305">
        <v>2467374</v>
      </c>
      <c r="N190" s="1180"/>
      <c r="O190" s="1180"/>
      <c r="U190" s="1181"/>
    </row>
    <row r="191" spans="5:21" ht="15.65" x14ac:dyDescent="0.25">
      <c r="E191" s="1305">
        <v>2468127</v>
      </c>
      <c r="N191" s="1180"/>
      <c r="O191" s="1180"/>
      <c r="U191" s="1181"/>
    </row>
    <row r="192" spans="5:21" ht="15.65" x14ac:dyDescent="0.25">
      <c r="E192" s="1305">
        <v>2470557</v>
      </c>
      <c r="N192" s="1180"/>
      <c r="O192" s="1180"/>
      <c r="U192" s="1181"/>
    </row>
    <row r="193" spans="5:21" ht="15.65" x14ac:dyDescent="0.25">
      <c r="E193" s="1305">
        <v>381956</v>
      </c>
      <c r="N193" s="1180"/>
      <c r="O193" s="1180"/>
      <c r="U193" s="1181"/>
    </row>
    <row r="194" spans="5:21" ht="15.65" x14ac:dyDescent="0.25">
      <c r="E194" s="1305">
        <v>380072</v>
      </c>
      <c r="N194" s="1180"/>
      <c r="O194" s="1180"/>
      <c r="U194" s="1181"/>
    </row>
    <row r="195" spans="5:21" ht="15.65" x14ac:dyDescent="0.25">
      <c r="E195" s="1305">
        <v>2380734</v>
      </c>
      <c r="N195" s="1180"/>
      <c r="O195" s="1180"/>
      <c r="U195" s="1181"/>
    </row>
    <row r="196" spans="5:21" ht="15.65" x14ac:dyDescent="0.25">
      <c r="E196" s="1305">
        <v>209484</v>
      </c>
      <c r="N196" s="1180"/>
      <c r="O196" s="1180"/>
      <c r="U196" s="1181"/>
    </row>
    <row r="197" spans="5:21" ht="15.65" x14ac:dyDescent="0.25">
      <c r="E197" s="1305">
        <v>313445</v>
      </c>
      <c r="N197" s="1180"/>
      <c r="O197" s="1180"/>
      <c r="U197" s="1181"/>
    </row>
    <row r="198" spans="5:21" ht="15.65" x14ac:dyDescent="0.25">
      <c r="E198" s="1305">
        <v>327211</v>
      </c>
      <c r="N198" s="1180"/>
      <c r="O198" s="1180"/>
      <c r="U198" s="1181"/>
    </row>
    <row r="199" spans="5:21" ht="15.65" x14ac:dyDescent="0.25">
      <c r="E199" s="1305">
        <v>374864</v>
      </c>
      <c r="N199" s="1180"/>
      <c r="O199" s="1180"/>
      <c r="U199" s="1181"/>
    </row>
    <row r="200" spans="5:21" ht="15.65" x14ac:dyDescent="0.25">
      <c r="E200" s="1305">
        <v>2455498</v>
      </c>
      <c r="N200" s="1180"/>
      <c r="O200" s="1180"/>
      <c r="U200" s="1181"/>
    </row>
    <row r="201" spans="5:21" ht="15.65" x14ac:dyDescent="0.25">
      <c r="E201" s="1305">
        <v>171052</v>
      </c>
      <c r="N201" s="1180"/>
      <c r="O201" s="1180"/>
      <c r="U201" s="1181"/>
    </row>
    <row r="202" spans="5:21" ht="15.65" x14ac:dyDescent="0.25">
      <c r="E202" s="1305">
        <v>196795</v>
      </c>
      <c r="N202" s="1180"/>
      <c r="O202" s="1180"/>
      <c r="U202" s="1181"/>
    </row>
    <row r="203" spans="5:21" ht="15.65" x14ac:dyDescent="0.25">
      <c r="E203" s="1305">
        <v>259317</v>
      </c>
      <c r="N203" s="1180"/>
      <c r="O203" s="1180"/>
      <c r="U203" s="1181"/>
    </row>
    <row r="204" spans="5:21" ht="15.65" x14ac:dyDescent="0.25">
      <c r="E204" s="1305">
        <v>266882</v>
      </c>
      <c r="N204" s="1180"/>
      <c r="O204" s="1180"/>
      <c r="U204" s="1181"/>
    </row>
    <row r="205" spans="5:21" ht="15.65" x14ac:dyDescent="0.25">
      <c r="E205" s="1305">
        <v>284428</v>
      </c>
      <c r="N205" s="1180"/>
      <c r="O205" s="1180"/>
      <c r="U205" s="1181"/>
    </row>
    <row r="206" spans="5:21" ht="15.65" x14ac:dyDescent="0.25">
      <c r="E206" s="1305">
        <v>310454</v>
      </c>
      <c r="N206" s="1180"/>
      <c r="O206" s="1180"/>
      <c r="U206" s="1181"/>
    </row>
    <row r="207" spans="5:21" ht="15.65" x14ac:dyDescent="0.25">
      <c r="E207" s="1305">
        <v>356671</v>
      </c>
      <c r="N207" s="1180"/>
      <c r="O207" s="1180"/>
      <c r="U207" s="1181"/>
    </row>
    <row r="208" spans="5:21" ht="15.65" x14ac:dyDescent="0.25">
      <c r="E208" s="1305">
        <v>356720</v>
      </c>
      <c r="N208" s="1180"/>
      <c r="O208" s="1180"/>
      <c r="U208" s="1181"/>
    </row>
    <row r="209" spans="5:21" ht="15.65" x14ac:dyDescent="0.25">
      <c r="E209" s="1305">
        <v>364580</v>
      </c>
      <c r="N209" s="1180"/>
      <c r="O209" s="1180"/>
      <c r="U209" s="1181"/>
    </row>
    <row r="210" spans="5:21" ht="15.65" x14ac:dyDescent="0.25">
      <c r="E210" s="1305">
        <v>366160</v>
      </c>
      <c r="N210" s="1180"/>
      <c r="O210" s="1180"/>
      <c r="U210" s="1181"/>
    </row>
    <row r="211" spans="5:21" ht="15.65" x14ac:dyDescent="0.25">
      <c r="E211" s="1305">
        <v>2426932</v>
      </c>
      <c r="N211" s="1180"/>
      <c r="O211" s="1180"/>
      <c r="U211" s="1181"/>
    </row>
    <row r="212" spans="5:21" ht="15.65" x14ac:dyDescent="0.25">
      <c r="E212" s="1305">
        <v>2437193</v>
      </c>
      <c r="N212" s="1180"/>
      <c r="O212" s="1180"/>
      <c r="U212" s="1181"/>
    </row>
    <row r="213" spans="5:21" ht="15.65" x14ac:dyDescent="0.25">
      <c r="E213" s="1305">
        <v>2439189</v>
      </c>
      <c r="N213" s="1180"/>
      <c r="O213" s="1180"/>
      <c r="U213" s="1181"/>
    </row>
    <row r="214" spans="5:21" ht="15.65" x14ac:dyDescent="0.25">
      <c r="E214" s="1305">
        <v>2455278</v>
      </c>
      <c r="N214" s="1180"/>
      <c r="O214" s="1180"/>
      <c r="U214" s="1181"/>
    </row>
    <row r="215" spans="5:21" x14ac:dyDescent="0.25">
      <c r="N215" s="1180"/>
      <c r="O215" s="1180"/>
      <c r="U215" s="1181"/>
    </row>
    <row r="216" spans="5:21" x14ac:dyDescent="0.25">
      <c r="E216" s="1303">
        <f t="array" ref="E216">+SUM(1/COUNTIF(E145:E214,E145:E214))</f>
        <v>56</v>
      </c>
      <c r="N216" s="1180"/>
      <c r="O216" s="1180"/>
      <c r="U216" s="1181"/>
    </row>
    <row r="217" spans="5:21" x14ac:dyDescent="0.25">
      <c r="N217" s="1180"/>
      <c r="O217" s="1180"/>
      <c r="U217" s="1181"/>
    </row>
    <row r="218" spans="5:21" x14ac:dyDescent="0.25">
      <c r="N218" s="1180"/>
      <c r="O218" s="1180"/>
      <c r="U218" s="1181"/>
    </row>
    <row r="219" spans="5:21" x14ac:dyDescent="0.25">
      <c r="N219" s="1180"/>
      <c r="O219" s="1180"/>
      <c r="U219" s="1181"/>
    </row>
    <row r="220" spans="5:21" ht="15.65" x14ac:dyDescent="0.25">
      <c r="E220" s="1305">
        <v>184512</v>
      </c>
      <c r="N220" s="1180"/>
      <c r="O220" s="1180"/>
      <c r="U220" s="1181"/>
    </row>
    <row r="221" spans="5:21" ht="15.65" x14ac:dyDescent="0.25">
      <c r="E221" s="1305">
        <v>194396</v>
      </c>
      <c r="N221" s="1180"/>
      <c r="O221" s="1180"/>
      <c r="U221" s="1181"/>
    </row>
    <row r="222" spans="5:21" ht="15.65" x14ac:dyDescent="0.25">
      <c r="E222" s="1305">
        <v>246630</v>
      </c>
      <c r="N222" s="1180"/>
      <c r="O222" s="1180"/>
      <c r="U222" s="1181"/>
    </row>
    <row r="223" spans="5:21" ht="15.65" x14ac:dyDescent="0.25">
      <c r="E223" s="1305">
        <v>358635</v>
      </c>
      <c r="N223" s="1180"/>
      <c r="O223" s="1180"/>
      <c r="U223" s="1181"/>
    </row>
    <row r="224" spans="5:21" ht="15.65" x14ac:dyDescent="0.25">
      <c r="E224" s="1305">
        <v>372116</v>
      </c>
      <c r="N224" s="1180"/>
      <c r="O224" s="1180"/>
      <c r="U224" s="1181"/>
    </row>
    <row r="225" spans="5:21" ht="15.65" x14ac:dyDescent="0.25">
      <c r="E225" s="1305">
        <v>372186</v>
      </c>
      <c r="N225" s="1180"/>
      <c r="O225" s="1180"/>
      <c r="U225" s="1181"/>
    </row>
    <row r="226" spans="5:21" ht="15.65" x14ac:dyDescent="0.25">
      <c r="E226" s="1305">
        <v>378722</v>
      </c>
      <c r="N226" s="1180"/>
      <c r="O226" s="1180"/>
      <c r="U226" s="1181"/>
    </row>
    <row r="227" spans="5:21" ht="15.65" x14ac:dyDescent="0.25">
      <c r="E227" s="1305">
        <v>379963</v>
      </c>
      <c r="N227" s="1180"/>
      <c r="O227" s="1180"/>
      <c r="U227" s="1181"/>
    </row>
    <row r="228" spans="5:21" ht="15.65" x14ac:dyDescent="0.25">
      <c r="E228" s="1305">
        <v>380994</v>
      </c>
      <c r="N228" s="1180"/>
      <c r="O228" s="1180"/>
      <c r="U228" s="1181"/>
    </row>
    <row r="229" spans="5:21" ht="15.65" x14ac:dyDescent="0.25">
      <c r="E229" s="1305">
        <v>381131</v>
      </c>
      <c r="N229" s="1180"/>
      <c r="O229" s="1180"/>
      <c r="U229" s="1181"/>
    </row>
    <row r="230" spans="5:21" ht="15.65" x14ac:dyDescent="0.25">
      <c r="E230" s="1305">
        <v>384279</v>
      </c>
      <c r="N230" s="1180"/>
      <c r="O230" s="1180"/>
      <c r="U230" s="1181"/>
    </row>
    <row r="231" spans="5:21" ht="15.65" x14ac:dyDescent="0.25">
      <c r="E231" s="1305">
        <v>387504</v>
      </c>
      <c r="N231" s="1180"/>
      <c r="O231" s="1180"/>
      <c r="U231" s="1181"/>
    </row>
    <row r="232" spans="5:21" ht="15.65" x14ac:dyDescent="0.25">
      <c r="E232" s="1305">
        <v>2270953</v>
      </c>
      <c r="N232" s="1180"/>
      <c r="O232" s="1180"/>
      <c r="U232" s="1181"/>
    </row>
    <row r="233" spans="5:21" ht="15.65" x14ac:dyDescent="0.25">
      <c r="E233" s="1305">
        <v>2380726</v>
      </c>
      <c r="N233" s="1180"/>
      <c r="O233" s="1180"/>
      <c r="U233" s="1181"/>
    </row>
    <row r="234" spans="5:21" ht="15.65" x14ac:dyDescent="0.25">
      <c r="E234" s="1305">
        <v>2458297</v>
      </c>
      <c r="N234" s="1180"/>
      <c r="O234" s="1180"/>
      <c r="U234" s="1181"/>
    </row>
    <row r="235" spans="5:21" ht="15.65" x14ac:dyDescent="0.25">
      <c r="E235" s="1305">
        <v>2460646</v>
      </c>
      <c r="N235" s="1180"/>
      <c r="O235" s="1180"/>
      <c r="U235" s="1181"/>
    </row>
    <row r="236" spans="5:21" ht="15.65" x14ac:dyDescent="0.25">
      <c r="E236" s="1305">
        <v>2462526</v>
      </c>
      <c r="N236" s="1180"/>
      <c r="O236" s="1180"/>
      <c r="U236" s="1181"/>
    </row>
    <row r="237" spans="5:21" ht="15.65" x14ac:dyDescent="0.25">
      <c r="E237" s="1305">
        <v>2474553</v>
      </c>
      <c r="N237" s="1180"/>
      <c r="O237" s="1180"/>
      <c r="U237" s="1181"/>
    </row>
    <row r="238" spans="5:21" ht="15.65" x14ac:dyDescent="0.25">
      <c r="E238" s="1305">
        <v>335046</v>
      </c>
      <c r="N238" s="1180"/>
      <c r="O238" s="1180"/>
      <c r="U238" s="1181"/>
    </row>
    <row r="239" spans="5:21" ht="15.65" x14ac:dyDescent="0.25">
      <c r="E239" s="1305">
        <v>354542</v>
      </c>
      <c r="N239" s="1180"/>
      <c r="O239" s="1180"/>
      <c r="U239" s="1181"/>
    </row>
    <row r="240" spans="5:21" ht="15.65" x14ac:dyDescent="0.25">
      <c r="E240" s="1305">
        <v>358587</v>
      </c>
      <c r="N240" s="1180"/>
      <c r="O240" s="1180"/>
      <c r="U240" s="1181"/>
    </row>
    <row r="241" spans="5:21" ht="15.65" x14ac:dyDescent="0.25">
      <c r="E241" s="1305">
        <v>104777</v>
      </c>
      <c r="N241" s="1180"/>
      <c r="O241" s="1180"/>
      <c r="U241" s="1181"/>
    </row>
    <row r="242" spans="5:21" x14ac:dyDescent="0.25">
      <c r="N242" s="1180"/>
      <c r="O242" s="1180"/>
      <c r="U242" s="1181"/>
    </row>
    <row r="243" spans="5:21" x14ac:dyDescent="0.25">
      <c r="E243" s="1303">
        <f t="array" ref="E243">+SUM(1/COUNTIF(E220:E241,E220:E241))</f>
        <v>22</v>
      </c>
      <c r="N243" s="1180"/>
      <c r="O243" s="1180"/>
      <c r="U243" s="1181"/>
    </row>
    <row r="247" spans="5:21" ht="15.65" x14ac:dyDescent="0.25">
      <c r="E247" s="1305">
        <v>70480</v>
      </c>
    </row>
    <row r="248" spans="5:21" ht="15.65" x14ac:dyDescent="0.25">
      <c r="E248" s="1305">
        <v>121810</v>
      </c>
    </row>
    <row r="249" spans="5:21" ht="15.65" x14ac:dyDescent="0.25">
      <c r="E249" s="1305">
        <v>292966</v>
      </c>
    </row>
    <row r="250" spans="5:21" ht="15.65" x14ac:dyDescent="0.25">
      <c r="E250" s="1305">
        <v>296353</v>
      </c>
    </row>
    <row r="251" spans="5:21" ht="15.65" x14ac:dyDescent="0.25">
      <c r="E251" s="1305">
        <v>311300</v>
      </c>
    </row>
    <row r="252" spans="5:21" ht="15.65" x14ac:dyDescent="0.25">
      <c r="E252" s="1305">
        <v>345737</v>
      </c>
    </row>
    <row r="253" spans="5:21" ht="15.65" x14ac:dyDescent="0.25">
      <c r="E253" s="1305">
        <v>384392</v>
      </c>
    </row>
    <row r="254" spans="5:21" ht="15.65" x14ac:dyDescent="0.25">
      <c r="E254" s="1305">
        <v>387507</v>
      </c>
    </row>
    <row r="255" spans="5:21" ht="15.65" x14ac:dyDescent="0.25">
      <c r="E255" s="1305">
        <v>2234074</v>
      </c>
    </row>
    <row r="256" spans="5:21" ht="15.65" x14ac:dyDescent="0.25">
      <c r="E256" s="1305">
        <v>2349661</v>
      </c>
    </row>
    <row r="257" spans="5:5" ht="15.65" x14ac:dyDescent="0.25">
      <c r="E257" s="1305">
        <v>2349698</v>
      </c>
    </row>
    <row r="258" spans="5:5" ht="15.65" x14ac:dyDescent="0.25">
      <c r="E258" s="1305">
        <v>2349712</v>
      </c>
    </row>
    <row r="259" spans="5:5" ht="15.65" x14ac:dyDescent="0.25">
      <c r="E259" s="1305">
        <v>2349726</v>
      </c>
    </row>
    <row r="260" spans="5:5" ht="15.65" x14ac:dyDescent="0.25">
      <c r="E260" s="1305">
        <v>2350216</v>
      </c>
    </row>
    <row r="261" spans="5:5" ht="15.65" x14ac:dyDescent="0.25">
      <c r="E261" s="1305">
        <v>2384369</v>
      </c>
    </row>
    <row r="262" spans="5:5" ht="15.65" x14ac:dyDescent="0.25">
      <c r="E262" s="1305">
        <v>2415516</v>
      </c>
    </row>
    <row r="263" spans="5:5" ht="15.65" x14ac:dyDescent="0.25">
      <c r="E263" s="1305">
        <v>2431006</v>
      </c>
    </row>
    <row r="264" spans="5:5" ht="15.65" x14ac:dyDescent="0.25">
      <c r="E264" s="1305">
        <v>2438509</v>
      </c>
    </row>
    <row r="265" spans="5:5" ht="15.65" x14ac:dyDescent="0.25">
      <c r="E265" s="1305">
        <v>2438974</v>
      </c>
    </row>
    <row r="266" spans="5:5" ht="15.65" x14ac:dyDescent="0.25">
      <c r="E266" s="1305">
        <v>2439441</v>
      </c>
    </row>
    <row r="267" spans="5:5" ht="15.65" x14ac:dyDescent="0.25">
      <c r="E267" s="1305">
        <v>2439443</v>
      </c>
    </row>
    <row r="268" spans="5:5" ht="15.65" x14ac:dyDescent="0.25">
      <c r="E268" s="1305">
        <v>2443579</v>
      </c>
    </row>
    <row r="269" spans="5:5" ht="15.65" x14ac:dyDescent="0.25">
      <c r="E269" s="1305">
        <v>2446149</v>
      </c>
    </row>
    <row r="270" spans="5:5" ht="15.65" x14ac:dyDescent="0.25">
      <c r="E270" s="1305">
        <v>2453367</v>
      </c>
    </row>
    <row r="271" spans="5:5" ht="15.65" x14ac:dyDescent="0.25">
      <c r="E271" s="1305">
        <v>2453791</v>
      </c>
    </row>
    <row r="272" spans="5:5" ht="15.65" x14ac:dyDescent="0.25">
      <c r="E272" s="1305">
        <v>2464266</v>
      </c>
    </row>
    <row r="273" spans="5:5" ht="15.65" x14ac:dyDescent="0.25">
      <c r="E273" s="1305">
        <v>2464267</v>
      </c>
    </row>
    <row r="278" spans="5:5" x14ac:dyDescent="0.25">
      <c r="E278" s="1303">
        <f t="array" ref="E278">+SUM(1/COUNTIF(E247:E273,E247:E273))</f>
        <v>27</v>
      </c>
    </row>
    <row r="1048576" spans="8:8" ht="15.65" x14ac:dyDescent="0.25">
      <c r="H1048576" s="1270" t="s">
        <v>2668</v>
      </c>
    </row>
  </sheetData>
  <autoFilter ref="C7:T127">
    <sortState ref="C10:T126">
      <sortCondition ref="E7:E127"/>
    </sortState>
  </autoFilter>
  <mergeCells count="76">
    <mergeCell ref="AK18:AK21"/>
    <mergeCell ref="AD22:AD23"/>
    <mergeCell ref="AE22:AE23"/>
    <mergeCell ref="AF22:AF23"/>
    <mergeCell ref="AG22:AG23"/>
    <mergeCell ref="AH22:AH23"/>
    <mergeCell ref="AI22:AI23"/>
    <mergeCell ref="AJ22:AJ23"/>
    <mergeCell ref="AK22:AK23"/>
    <mergeCell ref="AD18:AD21"/>
    <mergeCell ref="AE18:AE21"/>
    <mergeCell ref="AF18:AF21"/>
    <mergeCell ref="AG18:AG21"/>
    <mergeCell ref="AH18:AH21"/>
    <mergeCell ref="AI18:AI21"/>
    <mergeCell ref="AJ18:AJ21"/>
    <mergeCell ref="AH48:AH51"/>
    <mergeCell ref="AI48:AI51"/>
    <mergeCell ref="AJ26:AJ29"/>
    <mergeCell ref="AH26:AH29"/>
    <mergeCell ref="AI26:AI29"/>
    <mergeCell ref="AK26:AK29"/>
    <mergeCell ref="AD44:AD46"/>
    <mergeCell ref="AE44:AE46"/>
    <mergeCell ref="AF44:AF46"/>
    <mergeCell ref="AG44:AG46"/>
    <mergeCell ref="AH44:AH46"/>
    <mergeCell ref="AI44:AI46"/>
    <mergeCell ref="AJ44:AJ46"/>
    <mergeCell ref="AK44:AK46"/>
    <mergeCell ref="AD26:AD29"/>
    <mergeCell ref="AE26:AE29"/>
    <mergeCell ref="AF26:AF29"/>
    <mergeCell ref="AG26:AG29"/>
    <mergeCell ref="Y26:Y29"/>
    <mergeCell ref="X26:X29"/>
    <mergeCell ref="AJ48:AJ51"/>
    <mergeCell ref="AK48:AK51"/>
    <mergeCell ref="AD54:AD57"/>
    <mergeCell ref="AE54:AE57"/>
    <mergeCell ref="AF54:AF57"/>
    <mergeCell ref="AG54:AG57"/>
    <mergeCell ref="AH54:AH57"/>
    <mergeCell ref="AI54:AI57"/>
    <mergeCell ref="AJ54:AJ57"/>
    <mergeCell ref="AK54:AK57"/>
    <mergeCell ref="AD48:AD51"/>
    <mergeCell ref="AE48:AE51"/>
    <mergeCell ref="AF48:AF51"/>
    <mergeCell ref="AG48:AG51"/>
    <mergeCell ref="AB18:AB21"/>
    <mergeCell ref="AA18:AA21"/>
    <mergeCell ref="Z18:Z21"/>
    <mergeCell ref="Y18:Y21"/>
    <mergeCell ref="X18:X21"/>
    <mergeCell ref="AB22:AB23"/>
    <mergeCell ref="AA22:AA23"/>
    <mergeCell ref="Z22:Z23"/>
    <mergeCell ref="AB44:AB46"/>
    <mergeCell ref="AA44:AA46"/>
    <mergeCell ref="Z44:Z46"/>
    <mergeCell ref="AB26:AB29"/>
    <mergeCell ref="AA26:AA29"/>
    <mergeCell ref="Z26:Z29"/>
    <mergeCell ref="Y44:Y46"/>
    <mergeCell ref="X44:X46"/>
    <mergeCell ref="AB48:AB51"/>
    <mergeCell ref="AA48:AA51"/>
    <mergeCell ref="Z48:Z51"/>
    <mergeCell ref="Y48:Y51"/>
    <mergeCell ref="X48:X51"/>
    <mergeCell ref="AB54:AB57"/>
    <mergeCell ref="AA54:AA57"/>
    <mergeCell ref="Z54:Z57"/>
    <mergeCell ref="Y54:Y57"/>
    <mergeCell ref="X54:X57"/>
  </mergeCells>
  <hyperlinks>
    <hyperlink ref="D106" r:id="rId1" tooltip="http://ofi4.mef.gob.pe/bp/ConsultarPIP/frmConsultarPIP.asp?accion=consultar&amp;txtCodigo=259994" display="2234074"/>
  </hyperlinks>
  <pageMargins left="0.7" right="0.7" top="0.75" bottom="0.75" header="0.3" footer="0.3"/>
  <pageSetup orientation="portrait" horizontalDpi="300" verticalDpi="30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3:Q122"/>
  <sheetViews>
    <sheetView showGridLines="0" topLeftCell="A142" zoomScale="80" zoomScaleNormal="80" workbookViewId="0">
      <selection activeCell="B7" sqref="B7:Q49"/>
    </sheetView>
  </sheetViews>
  <sheetFormatPr baseColWidth="10" defaultColWidth="9.296875" defaultRowHeight="13.6" x14ac:dyDescent="0.25"/>
  <cols>
    <col min="1" max="1" width="9.296875" style="1184"/>
    <col min="2" max="2" width="14.69921875" style="1184" customWidth="1"/>
    <col min="3" max="3" width="57" style="1184" customWidth="1"/>
    <col min="4" max="4" width="24.296875" style="1184" customWidth="1"/>
    <col min="5" max="5" width="37.3984375" style="1184" customWidth="1"/>
    <col min="6" max="7" width="28.796875" style="1184" customWidth="1"/>
    <col min="8" max="8" width="42.296875" style="1184" customWidth="1"/>
    <col min="9" max="9" width="50.59765625" style="1184" customWidth="1"/>
    <col min="10" max="10" width="22.3984375" style="1184" customWidth="1"/>
    <col min="11" max="11" width="21.8984375" style="1184" customWidth="1"/>
    <col min="12" max="16" width="11" style="1184" customWidth="1"/>
    <col min="17" max="17" width="15.796875" style="1184" customWidth="1"/>
    <col min="18" max="26" width="9.296875" style="1184"/>
    <col min="27" max="27" width="9.296875" style="1184" customWidth="1"/>
    <col min="28" max="16384" width="9.296875" style="1184"/>
  </cols>
  <sheetData>
    <row r="3" spans="2:17" ht="33.299999999999997" x14ac:dyDescent="0.55000000000000004">
      <c r="D3" s="1323" t="s">
        <v>2590</v>
      </c>
      <c r="E3" s="1322"/>
      <c r="F3" s="1322"/>
      <c r="G3" s="1322"/>
      <c r="H3" s="1322"/>
      <c r="I3" s="1322"/>
      <c r="J3" s="1322"/>
      <c r="K3" s="1322"/>
      <c r="L3" s="1322"/>
      <c r="M3" s="1322"/>
      <c r="N3" s="1322"/>
    </row>
    <row r="7" spans="2:17" s="1213" customFormat="1" ht="29.4" customHeight="1" x14ac:dyDescent="0.25">
      <c r="B7" s="1214" t="s">
        <v>2615</v>
      </c>
      <c r="C7" s="1215" t="s">
        <v>2378</v>
      </c>
      <c r="D7" s="1214" t="s">
        <v>2379</v>
      </c>
      <c r="E7" s="1215" t="s">
        <v>2380</v>
      </c>
      <c r="F7" s="1215" t="s">
        <v>2381</v>
      </c>
      <c r="G7" s="1215" t="s">
        <v>2670</v>
      </c>
      <c r="H7" s="1215" t="s">
        <v>2382</v>
      </c>
      <c r="I7" s="1215" t="s">
        <v>2384</v>
      </c>
      <c r="J7" s="1215" t="s">
        <v>351</v>
      </c>
      <c r="K7" s="1215" t="s">
        <v>142</v>
      </c>
      <c r="L7" s="1214">
        <v>2021</v>
      </c>
      <c r="M7" s="1214">
        <v>2022</v>
      </c>
      <c r="N7" s="1214">
        <v>2023</v>
      </c>
      <c r="O7" s="1214">
        <v>2024</v>
      </c>
      <c r="P7" s="1214">
        <v>2025</v>
      </c>
      <c r="Q7" s="1214" t="s">
        <v>116</v>
      </c>
    </row>
    <row r="8" spans="2:17" s="979" customFormat="1" ht="46.9" x14ac:dyDescent="0.25">
      <c r="B8" s="1216" t="s">
        <v>2624</v>
      </c>
      <c r="C8" s="1217" t="s">
        <v>2413</v>
      </c>
      <c r="D8" s="1216" t="s">
        <v>2585</v>
      </c>
      <c r="E8" s="1217" t="s">
        <v>2625</v>
      </c>
      <c r="F8" s="1216" t="s">
        <v>2436</v>
      </c>
      <c r="G8" s="1216" t="s">
        <v>2667</v>
      </c>
      <c r="H8" s="1217" t="s">
        <v>2626</v>
      </c>
      <c r="I8" s="1217" t="s">
        <v>2584</v>
      </c>
      <c r="J8" s="1217" t="s">
        <v>2627</v>
      </c>
      <c r="K8" s="1217" t="s">
        <v>2627</v>
      </c>
      <c r="L8" s="1208">
        <v>668192.75651966501</v>
      </c>
      <c r="M8" s="1208">
        <v>668192.75651966501</v>
      </c>
      <c r="N8" s="1208">
        <v>668192.75651966501</v>
      </c>
      <c r="O8" s="1208">
        <v>668192.75651966501</v>
      </c>
      <c r="P8" s="1208">
        <v>668192.75651966501</v>
      </c>
      <c r="Q8" s="1208">
        <f t="shared" ref="Q8:Q48" si="0">SUM(L8:P8)</f>
        <v>3340963.7825983251</v>
      </c>
    </row>
    <row r="9" spans="2:17" s="979" customFormat="1" ht="46.9" x14ac:dyDescent="0.25">
      <c r="B9" s="1216" t="s">
        <v>2624</v>
      </c>
      <c r="C9" s="1217" t="s">
        <v>2413</v>
      </c>
      <c r="D9" s="1216" t="s">
        <v>2585</v>
      </c>
      <c r="E9" s="1217" t="s">
        <v>2625</v>
      </c>
      <c r="F9" s="1216" t="s">
        <v>2436</v>
      </c>
      <c r="G9" s="1216" t="s">
        <v>2667</v>
      </c>
      <c r="H9" s="1217" t="s">
        <v>2626</v>
      </c>
      <c r="I9" s="1217" t="s">
        <v>2584</v>
      </c>
      <c r="J9" s="1217" t="s">
        <v>2618</v>
      </c>
      <c r="K9" s="1217" t="s">
        <v>2199</v>
      </c>
      <c r="L9" s="1208">
        <v>365459.73273679102</v>
      </c>
      <c r="M9" s="1208">
        <v>365459.73273679102</v>
      </c>
      <c r="N9" s="1208">
        <v>365459.73273679102</v>
      </c>
      <c r="O9" s="1208">
        <v>365459.73273679102</v>
      </c>
      <c r="P9" s="1208">
        <v>365459.73273679102</v>
      </c>
      <c r="Q9" s="1208">
        <f t="shared" si="0"/>
        <v>1827298.6636839551</v>
      </c>
    </row>
    <row r="10" spans="2:17" s="979" customFormat="1" ht="46.9" x14ac:dyDescent="0.25">
      <c r="B10" s="1216" t="s">
        <v>2624</v>
      </c>
      <c r="C10" s="1217" t="s">
        <v>2413</v>
      </c>
      <c r="D10" s="1216" t="s">
        <v>2585</v>
      </c>
      <c r="E10" s="1217" t="s">
        <v>2625</v>
      </c>
      <c r="F10" s="1216" t="s">
        <v>2436</v>
      </c>
      <c r="G10" s="1216" t="s">
        <v>2667</v>
      </c>
      <c r="H10" s="1217" t="s">
        <v>2626</v>
      </c>
      <c r="I10" s="1217" t="s">
        <v>2584</v>
      </c>
      <c r="J10" s="1217" t="s">
        <v>2628</v>
      </c>
      <c r="K10" s="1217" t="s">
        <v>2200</v>
      </c>
      <c r="L10" s="1208">
        <v>52273.711283751203</v>
      </c>
      <c r="M10" s="1208">
        <v>52273.711283751203</v>
      </c>
      <c r="N10" s="1208">
        <v>52273.711283751203</v>
      </c>
      <c r="O10" s="1208">
        <v>52273.711283751203</v>
      </c>
      <c r="P10" s="1208">
        <v>52273.711283751203</v>
      </c>
      <c r="Q10" s="1208">
        <f t="shared" si="0"/>
        <v>261368.55641875602</v>
      </c>
    </row>
    <row r="11" spans="2:17" s="979" customFormat="1" ht="46.9" x14ac:dyDescent="0.25">
      <c r="B11" s="1216" t="s">
        <v>2624</v>
      </c>
      <c r="C11" s="1217" t="s">
        <v>2413</v>
      </c>
      <c r="D11" s="1216" t="s">
        <v>2585</v>
      </c>
      <c r="E11" s="1217" t="s">
        <v>2625</v>
      </c>
      <c r="F11" s="1216" t="s">
        <v>2436</v>
      </c>
      <c r="G11" s="1216" t="s">
        <v>2667</v>
      </c>
      <c r="H11" s="1217" t="s">
        <v>2626</v>
      </c>
      <c r="I11" s="1217" t="s">
        <v>2584</v>
      </c>
      <c r="J11" s="1217" t="s">
        <v>2618</v>
      </c>
      <c r="K11" s="1217" t="s">
        <v>2200</v>
      </c>
      <c r="L11" s="1208">
        <v>903789.86709970096</v>
      </c>
      <c r="M11" s="1208">
        <v>903789.86709970096</v>
      </c>
      <c r="N11" s="1208">
        <v>903789.86709970096</v>
      </c>
      <c r="O11" s="1208">
        <v>903789.86709970096</v>
      </c>
      <c r="P11" s="1208">
        <v>903789.86709970096</v>
      </c>
      <c r="Q11" s="1208">
        <f t="shared" si="0"/>
        <v>4518949.3354985043</v>
      </c>
    </row>
    <row r="12" spans="2:17" s="979" customFormat="1" ht="46.9" x14ac:dyDescent="0.25">
      <c r="B12" s="1216" t="s">
        <v>2624</v>
      </c>
      <c r="C12" s="1217" t="s">
        <v>2413</v>
      </c>
      <c r="D12" s="1216" t="s">
        <v>2585</v>
      </c>
      <c r="E12" s="1217" t="s">
        <v>2625</v>
      </c>
      <c r="F12" s="1216" t="s">
        <v>2436</v>
      </c>
      <c r="G12" s="1216" t="s">
        <v>2667</v>
      </c>
      <c r="H12" s="1217" t="s">
        <v>2626</v>
      </c>
      <c r="I12" s="1217" t="s">
        <v>2584</v>
      </c>
      <c r="J12" s="1217" t="s">
        <v>2618</v>
      </c>
      <c r="K12" s="1217" t="s">
        <v>2201</v>
      </c>
      <c r="L12" s="1208">
        <v>204258.349859604</v>
      </c>
      <c r="M12" s="1208">
        <v>204258.349859604</v>
      </c>
      <c r="N12" s="1208">
        <v>204258.349859604</v>
      </c>
      <c r="O12" s="1208">
        <v>204258.349859604</v>
      </c>
      <c r="P12" s="1208">
        <v>204258.349859604</v>
      </c>
      <c r="Q12" s="1208">
        <f t="shared" si="0"/>
        <v>1021291.74929802</v>
      </c>
    </row>
    <row r="13" spans="2:17" s="979" customFormat="1" ht="46.9" x14ac:dyDescent="0.25">
      <c r="B13" s="1216" t="s">
        <v>2624</v>
      </c>
      <c r="C13" s="1217" t="s">
        <v>2413</v>
      </c>
      <c r="D13" s="1216" t="s">
        <v>2585</v>
      </c>
      <c r="E13" s="1217" t="s">
        <v>2625</v>
      </c>
      <c r="F13" s="1216" t="s">
        <v>2436</v>
      </c>
      <c r="G13" s="1216" t="s">
        <v>2667</v>
      </c>
      <c r="H13" s="1217" t="s">
        <v>2626</v>
      </c>
      <c r="I13" s="1217" t="s">
        <v>2584</v>
      </c>
      <c r="J13" s="1217" t="s">
        <v>2629</v>
      </c>
      <c r="K13" s="1217" t="s">
        <v>2202</v>
      </c>
      <c r="L13" s="1208">
        <v>56436.147445952702</v>
      </c>
      <c r="M13" s="1208">
        <v>56436.147445952702</v>
      </c>
      <c r="N13" s="1208">
        <v>56436.147445952702</v>
      </c>
      <c r="O13" s="1208">
        <v>56436.147445952702</v>
      </c>
      <c r="P13" s="1208">
        <v>56436.147445952702</v>
      </c>
      <c r="Q13" s="1208">
        <f t="shared" si="0"/>
        <v>282180.73722976353</v>
      </c>
    </row>
    <row r="14" spans="2:17" s="979" customFormat="1" ht="46.9" x14ac:dyDescent="0.25">
      <c r="B14" s="1216" t="s">
        <v>2624</v>
      </c>
      <c r="C14" s="1217" t="s">
        <v>2413</v>
      </c>
      <c r="D14" s="1216" t="s">
        <v>2585</v>
      </c>
      <c r="E14" s="1217" t="s">
        <v>2625</v>
      </c>
      <c r="F14" s="1216" t="s">
        <v>2436</v>
      </c>
      <c r="G14" s="1216" t="s">
        <v>2667</v>
      </c>
      <c r="H14" s="1217" t="s">
        <v>2626</v>
      </c>
      <c r="I14" s="1217" t="s">
        <v>2584</v>
      </c>
      <c r="J14" s="1217" t="s">
        <v>2618</v>
      </c>
      <c r="K14" s="1217" t="s">
        <v>2202</v>
      </c>
      <c r="L14" s="1208">
        <v>1545577.28838787</v>
      </c>
      <c r="M14" s="1208">
        <v>1545577.28838787</v>
      </c>
      <c r="N14" s="1208">
        <v>1545577.28838787</v>
      </c>
      <c r="O14" s="1208">
        <v>1545577.28838787</v>
      </c>
      <c r="P14" s="1208">
        <v>1545577.28838787</v>
      </c>
      <c r="Q14" s="1208">
        <f t="shared" si="0"/>
        <v>7727886.4419393502</v>
      </c>
    </row>
    <row r="15" spans="2:17" s="979" customFormat="1" ht="46.9" x14ac:dyDescent="0.25">
      <c r="B15" s="1216" t="s">
        <v>2624</v>
      </c>
      <c r="C15" s="1217" t="s">
        <v>2413</v>
      </c>
      <c r="D15" s="1216" t="s">
        <v>2630</v>
      </c>
      <c r="E15" s="1217" t="s">
        <v>2631</v>
      </c>
      <c r="F15" s="1216" t="s">
        <v>2436</v>
      </c>
      <c r="G15" s="1216" t="s">
        <v>2667</v>
      </c>
      <c r="H15" s="1217" t="s">
        <v>2626</v>
      </c>
      <c r="I15" s="1217" t="s">
        <v>2584</v>
      </c>
      <c r="J15" s="1217" t="s">
        <v>2627</v>
      </c>
      <c r="K15" s="1217" t="s">
        <v>2627</v>
      </c>
      <c r="L15" s="1208">
        <v>695936.60049685405</v>
      </c>
      <c r="M15" s="1208">
        <v>695936.60049685405</v>
      </c>
      <c r="N15" s="1208">
        <v>695936.60049685405</v>
      </c>
      <c r="O15" s="1208">
        <v>695936.60049685405</v>
      </c>
      <c r="P15" s="1208">
        <v>695936.60049685405</v>
      </c>
      <c r="Q15" s="1208">
        <f t="shared" si="0"/>
        <v>3479683.0024842704</v>
      </c>
    </row>
    <row r="16" spans="2:17" s="979" customFormat="1" ht="46.9" x14ac:dyDescent="0.25">
      <c r="B16" s="1216" t="s">
        <v>2624</v>
      </c>
      <c r="C16" s="1217" t="s">
        <v>2413</v>
      </c>
      <c r="D16" s="1216" t="s">
        <v>2630</v>
      </c>
      <c r="E16" s="1217" t="s">
        <v>2631</v>
      </c>
      <c r="F16" s="1216" t="s">
        <v>2436</v>
      </c>
      <c r="G16" s="1216" t="s">
        <v>2667</v>
      </c>
      <c r="H16" s="1217" t="s">
        <v>2626</v>
      </c>
      <c r="I16" s="1217" t="s">
        <v>2584</v>
      </c>
      <c r="J16" s="1217" t="s">
        <v>2618</v>
      </c>
      <c r="K16" s="1217" t="s">
        <v>2199</v>
      </c>
      <c r="L16" s="1208">
        <v>380633.88376740902</v>
      </c>
      <c r="M16" s="1208">
        <v>380633.88376740902</v>
      </c>
      <c r="N16" s="1208">
        <v>380633.88376740902</v>
      </c>
      <c r="O16" s="1208">
        <v>380633.88376740902</v>
      </c>
      <c r="P16" s="1208">
        <v>380633.88376740902</v>
      </c>
      <c r="Q16" s="1208">
        <f t="shared" si="0"/>
        <v>1903169.4188370451</v>
      </c>
    </row>
    <row r="17" spans="2:17" s="979" customFormat="1" ht="46.9" x14ac:dyDescent="0.25">
      <c r="B17" s="1216" t="s">
        <v>2624</v>
      </c>
      <c r="C17" s="1217" t="s">
        <v>2413</v>
      </c>
      <c r="D17" s="1216" t="s">
        <v>2630</v>
      </c>
      <c r="E17" s="1217" t="s">
        <v>2631</v>
      </c>
      <c r="F17" s="1216" t="s">
        <v>2436</v>
      </c>
      <c r="G17" s="1216" t="s">
        <v>2667</v>
      </c>
      <c r="H17" s="1217" t="s">
        <v>2626</v>
      </c>
      <c r="I17" s="1217" t="s">
        <v>2584</v>
      </c>
      <c r="J17" s="1217" t="s">
        <v>2628</v>
      </c>
      <c r="K17" s="1217" t="s">
        <v>2200</v>
      </c>
      <c r="L17" s="1208">
        <v>54444.153384199701</v>
      </c>
      <c r="M17" s="1208">
        <v>54444.153384199701</v>
      </c>
      <c r="N17" s="1208">
        <v>54444.153384199701</v>
      </c>
      <c r="O17" s="1208">
        <v>54444.153384199701</v>
      </c>
      <c r="P17" s="1208">
        <v>54444.153384199701</v>
      </c>
      <c r="Q17" s="1208">
        <f t="shared" si="0"/>
        <v>272220.76692099852</v>
      </c>
    </row>
    <row r="18" spans="2:17" s="979" customFormat="1" ht="46.9" x14ac:dyDescent="0.25">
      <c r="B18" s="1216" t="s">
        <v>2624</v>
      </c>
      <c r="C18" s="1217" t="s">
        <v>2413</v>
      </c>
      <c r="D18" s="1216" t="s">
        <v>2630</v>
      </c>
      <c r="E18" s="1217" t="s">
        <v>2631</v>
      </c>
      <c r="F18" s="1216" t="s">
        <v>2436</v>
      </c>
      <c r="G18" s="1216" t="s">
        <v>2667</v>
      </c>
      <c r="H18" s="1217" t="s">
        <v>2626</v>
      </c>
      <c r="I18" s="1217" t="s">
        <v>2584</v>
      </c>
      <c r="J18" s="1217" t="s">
        <v>2618</v>
      </c>
      <c r="K18" s="1217" t="s">
        <v>2200</v>
      </c>
      <c r="L18" s="1208">
        <v>941315.87260682601</v>
      </c>
      <c r="M18" s="1208">
        <v>941315.87260682601</v>
      </c>
      <c r="N18" s="1208">
        <v>941315.87260682601</v>
      </c>
      <c r="O18" s="1208">
        <v>941315.87260682601</v>
      </c>
      <c r="P18" s="1208">
        <v>941315.87260682601</v>
      </c>
      <c r="Q18" s="1208">
        <f t="shared" si="0"/>
        <v>4706579.3630341301</v>
      </c>
    </row>
    <row r="19" spans="2:17" s="979" customFormat="1" ht="46.9" x14ac:dyDescent="0.25">
      <c r="B19" s="1216" t="s">
        <v>2624</v>
      </c>
      <c r="C19" s="1217" t="s">
        <v>2413</v>
      </c>
      <c r="D19" s="1216" t="s">
        <v>2630</v>
      </c>
      <c r="E19" s="1217" t="s">
        <v>2631</v>
      </c>
      <c r="F19" s="1216" t="s">
        <v>2436</v>
      </c>
      <c r="G19" s="1216" t="s">
        <v>2667</v>
      </c>
      <c r="H19" s="1217" t="s">
        <v>2626</v>
      </c>
      <c r="I19" s="1217" t="s">
        <v>2584</v>
      </c>
      <c r="J19" s="1217" t="s">
        <v>2618</v>
      </c>
      <c r="K19" s="1217" t="s">
        <v>2201</v>
      </c>
      <c r="L19" s="1208">
        <v>212739.30349798099</v>
      </c>
      <c r="M19" s="1208">
        <v>212739.30349798099</v>
      </c>
      <c r="N19" s="1208">
        <v>212739.30349798099</v>
      </c>
      <c r="O19" s="1208">
        <v>212739.30349798099</v>
      </c>
      <c r="P19" s="1208">
        <v>212739.30349798099</v>
      </c>
      <c r="Q19" s="1208">
        <f t="shared" si="0"/>
        <v>1063696.517489905</v>
      </c>
    </row>
    <row r="20" spans="2:17" s="979" customFormat="1" ht="46.9" x14ac:dyDescent="0.25">
      <c r="B20" s="1216" t="s">
        <v>2624</v>
      </c>
      <c r="C20" s="1217" t="s">
        <v>2413</v>
      </c>
      <c r="D20" s="1216" t="s">
        <v>2632</v>
      </c>
      <c r="E20" s="1217" t="s">
        <v>2631</v>
      </c>
      <c r="F20" s="1216" t="s">
        <v>2436</v>
      </c>
      <c r="G20" s="1216" t="s">
        <v>2667</v>
      </c>
      <c r="H20" s="1217" t="s">
        <v>2626</v>
      </c>
      <c r="I20" s="1217" t="s">
        <v>2584</v>
      </c>
      <c r="J20" s="1217" t="s">
        <v>2629</v>
      </c>
      <c r="K20" s="1217" t="s">
        <v>2202</v>
      </c>
      <c r="L20" s="1208">
        <v>58779.416890490596</v>
      </c>
      <c r="M20" s="1208">
        <v>58779.416890490596</v>
      </c>
      <c r="N20" s="1208">
        <v>58779.416890490596</v>
      </c>
      <c r="O20" s="1208">
        <v>58779.416890490596</v>
      </c>
      <c r="P20" s="1208">
        <v>58779.416890490596</v>
      </c>
      <c r="Q20" s="1208">
        <f t="shared" si="0"/>
        <v>293897.08445245295</v>
      </c>
    </row>
    <row r="21" spans="2:17" s="979" customFormat="1" ht="46.9" x14ac:dyDescent="0.25">
      <c r="B21" s="1216" t="s">
        <v>2624</v>
      </c>
      <c r="C21" s="1217" t="s">
        <v>2413</v>
      </c>
      <c r="D21" s="1216" t="s">
        <v>2633</v>
      </c>
      <c r="E21" s="1217" t="s">
        <v>2631</v>
      </c>
      <c r="F21" s="1216" t="s">
        <v>2436</v>
      </c>
      <c r="G21" s="1216" t="s">
        <v>2667</v>
      </c>
      <c r="H21" s="1217" t="s">
        <v>2626</v>
      </c>
      <c r="I21" s="1217" t="s">
        <v>2584</v>
      </c>
      <c r="J21" s="1217" t="s">
        <v>2618</v>
      </c>
      <c r="K21" s="1217" t="s">
        <v>2202</v>
      </c>
      <c r="L21" s="1208">
        <v>1609750.7693562401</v>
      </c>
      <c r="M21" s="1208">
        <v>1609750.7693562401</v>
      </c>
      <c r="N21" s="1208">
        <v>1609750.7693562401</v>
      </c>
      <c r="O21" s="1208">
        <v>1609750.7693562401</v>
      </c>
      <c r="P21" s="1208">
        <v>1609750.7693562401</v>
      </c>
      <c r="Q21" s="1208">
        <f t="shared" si="0"/>
        <v>8048753.8467811998</v>
      </c>
    </row>
    <row r="22" spans="2:17" s="979" customFormat="1" ht="46.9" x14ac:dyDescent="0.25">
      <c r="B22" s="1216" t="s">
        <v>2624</v>
      </c>
      <c r="C22" s="1217" t="s">
        <v>2413</v>
      </c>
      <c r="D22" s="1218" t="s">
        <v>2634</v>
      </c>
      <c r="E22" s="1217" t="s">
        <v>2635</v>
      </c>
      <c r="F22" s="1216" t="s">
        <v>2436</v>
      </c>
      <c r="G22" s="1216" t="s">
        <v>2667</v>
      </c>
      <c r="H22" s="1217" t="s">
        <v>2626</v>
      </c>
      <c r="I22" s="1216" t="s">
        <v>2636</v>
      </c>
      <c r="J22" s="1217" t="s">
        <v>2627</v>
      </c>
      <c r="K22" s="1217" t="s">
        <v>2627</v>
      </c>
      <c r="L22" s="1208">
        <v>549578.29167124606</v>
      </c>
      <c r="M22" s="1208">
        <v>328678.69409407402</v>
      </c>
      <c r="N22" s="1208">
        <v>53525.647981027003</v>
      </c>
      <c r="O22" s="1208">
        <v>0</v>
      </c>
      <c r="P22" s="1208">
        <v>0</v>
      </c>
      <c r="Q22" s="1208">
        <f t="shared" si="0"/>
        <v>931782.63374634704</v>
      </c>
    </row>
    <row r="23" spans="2:17" s="979" customFormat="1" ht="46.9" x14ac:dyDescent="0.25">
      <c r="B23" s="1216" t="s">
        <v>2624</v>
      </c>
      <c r="C23" s="1217" t="s">
        <v>2413</v>
      </c>
      <c r="D23" s="1218" t="s">
        <v>2634</v>
      </c>
      <c r="E23" s="1217" t="s">
        <v>2635</v>
      </c>
      <c r="F23" s="1216" t="s">
        <v>2436</v>
      </c>
      <c r="G23" s="1216" t="s">
        <v>2667</v>
      </c>
      <c r="H23" s="1217" t="s">
        <v>2626</v>
      </c>
      <c r="I23" s="1216" t="s">
        <v>2636</v>
      </c>
      <c r="J23" s="1217" t="s">
        <v>2618</v>
      </c>
      <c r="K23" s="1217" t="s">
        <v>2199</v>
      </c>
      <c r="L23" s="1208">
        <v>300585.02375609701</v>
      </c>
      <c r="M23" s="1208">
        <v>179766.73127309201</v>
      </c>
      <c r="N23" s="1208">
        <v>29275.1886560356</v>
      </c>
      <c r="O23" s="1208">
        <v>0</v>
      </c>
      <c r="P23" s="1208">
        <v>0</v>
      </c>
      <c r="Q23" s="1208">
        <f t="shared" si="0"/>
        <v>509626.94368522463</v>
      </c>
    </row>
    <row r="24" spans="2:17" s="979" customFormat="1" ht="46.9" x14ac:dyDescent="0.25">
      <c r="B24" s="1216" t="s">
        <v>2624</v>
      </c>
      <c r="C24" s="1217" t="s">
        <v>2413</v>
      </c>
      <c r="D24" s="1218" t="s">
        <v>2634</v>
      </c>
      <c r="E24" s="1217" t="s">
        <v>2635</v>
      </c>
      <c r="F24" s="1216" t="s">
        <v>2436</v>
      </c>
      <c r="G24" s="1216" t="s">
        <v>2667</v>
      </c>
      <c r="H24" s="1217" t="s">
        <v>2626</v>
      </c>
      <c r="I24" s="1216" t="s">
        <v>2636</v>
      </c>
      <c r="J24" s="1217" t="s">
        <v>2628</v>
      </c>
      <c r="K24" s="1217" t="s">
        <v>2200</v>
      </c>
      <c r="L24" s="1208">
        <v>42994.325613876099</v>
      </c>
      <c r="M24" s="1208">
        <v>25713.022166962601</v>
      </c>
      <c r="N24" s="1208">
        <v>4187.3909011067799</v>
      </c>
      <c r="O24" s="1208">
        <v>0</v>
      </c>
      <c r="P24" s="1208">
        <v>0</v>
      </c>
      <c r="Q24" s="1208">
        <f t="shared" si="0"/>
        <v>72894.73868194547</v>
      </c>
    </row>
    <row r="25" spans="2:17" s="979" customFormat="1" ht="46.9" x14ac:dyDescent="0.25">
      <c r="B25" s="1216" t="s">
        <v>2624</v>
      </c>
      <c r="C25" s="1217" t="s">
        <v>2413</v>
      </c>
      <c r="D25" s="1218" t="s">
        <v>2634</v>
      </c>
      <c r="E25" s="1217" t="s">
        <v>2635</v>
      </c>
      <c r="F25" s="1216" t="s">
        <v>2436</v>
      </c>
      <c r="G25" s="1216" t="s">
        <v>2667</v>
      </c>
      <c r="H25" s="1217" t="s">
        <v>2626</v>
      </c>
      <c r="I25" s="1216" t="s">
        <v>2636</v>
      </c>
      <c r="J25" s="1217" t="s">
        <v>2618</v>
      </c>
      <c r="K25" s="1217" t="s">
        <v>2200</v>
      </c>
      <c r="L25" s="1208">
        <v>743353.30089113</v>
      </c>
      <c r="M25" s="1208">
        <v>444567.03601671499</v>
      </c>
      <c r="N25" s="1208">
        <v>72398.1782250494</v>
      </c>
      <c r="O25" s="1208">
        <v>0</v>
      </c>
      <c r="P25" s="1208">
        <v>0</v>
      </c>
      <c r="Q25" s="1208">
        <f t="shared" si="0"/>
        <v>1260318.5151328943</v>
      </c>
    </row>
    <row r="26" spans="2:17" s="979" customFormat="1" ht="46.9" x14ac:dyDescent="0.25">
      <c r="B26" s="1216" t="s">
        <v>2624</v>
      </c>
      <c r="C26" s="1217" t="s">
        <v>2413</v>
      </c>
      <c r="D26" s="1218" t="s">
        <v>2634</v>
      </c>
      <c r="E26" s="1217" t="s">
        <v>2635</v>
      </c>
      <c r="F26" s="1216" t="s">
        <v>2436</v>
      </c>
      <c r="G26" s="1216" t="s">
        <v>2667</v>
      </c>
      <c r="H26" s="1217" t="s">
        <v>2626</v>
      </c>
      <c r="I26" s="1216" t="s">
        <v>2636</v>
      </c>
      <c r="J26" s="1217" t="s">
        <v>2618</v>
      </c>
      <c r="K26" s="1217" t="s">
        <v>2201</v>
      </c>
      <c r="L26" s="1208">
        <v>167999.35928686601</v>
      </c>
      <c r="M26" s="1208">
        <v>100473.055169506</v>
      </c>
      <c r="N26" s="1208">
        <v>16362.1356638409</v>
      </c>
      <c r="O26" s="1208">
        <v>0</v>
      </c>
      <c r="P26" s="1208">
        <v>0</v>
      </c>
      <c r="Q26" s="1208">
        <f t="shared" si="0"/>
        <v>284834.55012021295</v>
      </c>
    </row>
    <row r="27" spans="2:17" s="979" customFormat="1" ht="46.9" x14ac:dyDescent="0.25">
      <c r="B27" s="1216" t="s">
        <v>2624</v>
      </c>
      <c r="C27" s="1217" t="s">
        <v>2413</v>
      </c>
      <c r="D27" s="1218" t="s">
        <v>2634</v>
      </c>
      <c r="E27" s="1217" t="s">
        <v>2635</v>
      </c>
      <c r="F27" s="1216" t="s">
        <v>2436</v>
      </c>
      <c r="G27" s="1216" t="s">
        <v>2667</v>
      </c>
      <c r="H27" s="1217" t="s">
        <v>2626</v>
      </c>
      <c r="I27" s="1216" t="s">
        <v>2636</v>
      </c>
      <c r="J27" s="1217" t="s">
        <v>2629</v>
      </c>
      <c r="K27" s="1217" t="s">
        <v>2202</v>
      </c>
      <c r="L27" s="1208">
        <v>46417.865502468099</v>
      </c>
      <c r="M27" s="1208">
        <v>27760.491357093</v>
      </c>
      <c r="N27" s="1208">
        <v>4520.8232686199299</v>
      </c>
      <c r="O27" s="1208">
        <v>0</v>
      </c>
      <c r="P27" s="1208">
        <v>0</v>
      </c>
      <c r="Q27" s="1208">
        <f t="shared" si="0"/>
        <v>78699.180128181033</v>
      </c>
    </row>
    <row r="28" spans="2:17" s="979" customFormat="1" ht="46.9" x14ac:dyDescent="0.25">
      <c r="B28" s="1216" t="s">
        <v>2624</v>
      </c>
      <c r="C28" s="1217" t="s">
        <v>2413</v>
      </c>
      <c r="D28" s="1218" t="s">
        <v>2634</v>
      </c>
      <c r="E28" s="1217" t="s">
        <v>2635</v>
      </c>
      <c r="F28" s="1216" t="s">
        <v>2436</v>
      </c>
      <c r="G28" s="1216" t="s">
        <v>2667</v>
      </c>
      <c r="H28" s="1217" t="s">
        <v>2626</v>
      </c>
      <c r="I28" s="1216" t="s">
        <v>2636</v>
      </c>
      <c r="J28" s="1217" t="s">
        <v>2618</v>
      </c>
      <c r="K28" s="1217" t="s">
        <v>2202</v>
      </c>
      <c r="L28" s="1208">
        <v>1271213.6094116501</v>
      </c>
      <c r="M28" s="1208">
        <v>760257.15605588595</v>
      </c>
      <c r="N28" s="1208">
        <v>123808.62417098699</v>
      </c>
      <c r="O28" s="1208">
        <v>0</v>
      </c>
      <c r="P28" s="1208">
        <v>0</v>
      </c>
      <c r="Q28" s="1208">
        <f t="shared" si="0"/>
        <v>2155279.3896385231</v>
      </c>
    </row>
    <row r="29" spans="2:17" s="979" customFormat="1" ht="62.5" x14ac:dyDescent="0.25">
      <c r="B29" s="1216" t="s">
        <v>2624</v>
      </c>
      <c r="C29" s="1217" t="s">
        <v>2413</v>
      </c>
      <c r="D29" s="1218" t="s">
        <v>2637</v>
      </c>
      <c r="E29" s="1217" t="s">
        <v>2638</v>
      </c>
      <c r="F29" s="1216" t="s">
        <v>2436</v>
      </c>
      <c r="G29" s="1216" t="s">
        <v>2667</v>
      </c>
      <c r="H29" s="1217" t="s">
        <v>2626</v>
      </c>
      <c r="I29" s="1216" t="s">
        <v>2639</v>
      </c>
      <c r="J29" s="1217" t="s">
        <v>2627</v>
      </c>
      <c r="K29" s="1217" t="s">
        <v>2627</v>
      </c>
      <c r="L29" s="1208">
        <v>740984.62324991298</v>
      </c>
      <c r="M29" s="1208">
        <v>0</v>
      </c>
      <c r="N29" s="1208">
        <v>0</v>
      </c>
      <c r="O29" s="1208">
        <v>0</v>
      </c>
      <c r="P29" s="1208">
        <v>0</v>
      </c>
      <c r="Q29" s="1208">
        <f t="shared" si="0"/>
        <v>740984.62324991298</v>
      </c>
    </row>
    <row r="30" spans="2:17" s="979" customFormat="1" ht="62.5" x14ac:dyDescent="0.25">
      <c r="B30" s="1216" t="s">
        <v>2624</v>
      </c>
      <c r="C30" s="1217" t="s">
        <v>2413</v>
      </c>
      <c r="D30" s="1218" t="s">
        <v>2637</v>
      </c>
      <c r="E30" s="1217" t="s">
        <v>2638</v>
      </c>
      <c r="F30" s="1216" t="s">
        <v>2436</v>
      </c>
      <c r="G30" s="1216" t="s">
        <v>2667</v>
      </c>
      <c r="H30" s="1217" t="s">
        <v>2626</v>
      </c>
      <c r="I30" s="1216" t="s">
        <v>2639</v>
      </c>
      <c r="J30" s="1217" t="s">
        <v>2618</v>
      </c>
      <c r="K30" s="1217" t="s">
        <v>2199</v>
      </c>
      <c r="L30" s="1208">
        <v>405272.34055254899</v>
      </c>
      <c r="M30" s="1208">
        <v>0</v>
      </c>
      <c r="N30" s="1208">
        <v>0</v>
      </c>
      <c r="O30" s="1208">
        <v>0</v>
      </c>
      <c r="P30" s="1208">
        <v>0</v>
      </c>
      <c r="Q30" s="1208">
        <f t="shared" si="0"/>
        <v>405272.34055254899</v>
      </c>
    </row>
    <row r="31" spans="2:17" s="979" customFormat="1" ht="62.5" x14ac:dyDescent="0.25">
      <c r="B31" s="1216" t="s">
        <v>2624</v>
      </c>
      <c r="C31" s="1217" t="s">
        <v>2413</v>
      </c>
      <c r="D31" s="1218" t="s">
        <v>2637</v>
      </c>
      <c r="E31" s="1217" t="s">
        <v>2638</v>
      </c>
      <c r="F31" s="1216" t="s">
        <v>2436</v>
      </c>
      <c r="G31" s="1216" t="s">
        <v>2667</v>
      </c>
      <c r="H31" s="1217" t="s">
        <v>2626</v>
      </c>
      <c r="I31" s="1216" t="s">
        <v>2639</v>
      </c>
      <c r="J31" s="1217" t="s">
        <v>2628</v>
      </c>
      <c r="K31" s="1217" t="s">
        <v>2200</v>
      </c>
      <c r="L31" s="1208">
        <v>57968.3270785727</v>
      </c>
      <c r="M31" s="1208">
        <v>0</v>
      </c>
      <c r="N31" s="1208">
        <v>0</v>
      </c>
      <c r="O31" s="1208">
        <v>0</v>
      </c>
      <c r="P31" s="1208">
        <v>0</v>
      </c>
      <c r="Q31" s="1208">
        <f t="shared" si="0"/>
        <v>57968.3270785727</v>
      </c>
    </row>
    <row r="32" spans="2:17" s="979" customFormat="1" ht="62.5" x14ac:dyDescent="0.25">
      <c r="B32" s="1216" t="s">
        <v>2624</v>
      </c>
      <c r="C32" s="1217" t="s">
        <v>2413</v>
      </c>
      <c r="D32" s="1218" t="s">
        <v>2637</v>
      </c>
      <c r="E32" s="1217" t="s">
        <v>2638</v>
      </c>
      <c r="F32" s="1216" t="s">
        <v>2436</v>
      </c>
      <c r="G32" s="1216" t="s">
        <v>2667</v>
      </c>
      <c r="H32" s="1217" t="s">
        <v>2626</v>
      </c>
      <c r="I32" s="1216" t="s">
        <v>2639</v>
      </c>
      <c r="J32" s="1217" t="s">
        <v>2618</v>
      </c>
      <c r="K32" s="1217" t="s">
        <v>2200</v>
      </c>
      <c r="L32" s="1208">
        <v>1002247.31207521</v>
      </c>
      <c r="M32" s="1208">
        <v>0</v>
      </c>
      <c r="N32" s="1208">
        <v>0</v>
      </c>
      <c r="O32" s="1208">
        <v>0</v>
      </c>
      <c r="P32" s="1208">
        <v>0</v>
      </c>
      <c r="Q32" s="1208">
        <f t="shared" si="0"/>
        <v>1002247.31207521</v>
      </c>
    </row>
    <row r="33" spans="2:17" s="979" customFormat="1" ht="62.5" x14ac:dyDescent="0.25">
      <c r="B33" s="1216" t="s">
        <v>2624</v>
      </c>
      <c r="C33" s="1217" t="s">
        <v>2413</v>
      </c>
      <c r="D33" s="1218" t="s">
        <v>2637</v>
      </c>
      <c r="E33" s="1217" t="s">
        <v>2638</v>
      </c>
      <c r="F33" s="1216" t="s">
        <v>2436</v>
      </c>
      <c r="G33" s="1216" t="s">
        <v>2667</v>
      </c>
      <c r="H33" s="1217" t="s">
        <v>2626</v>
      </c>
      <c r="I33" s="1216" t="s">
        <v>2639</v>
      </c>
      <c r="J33" s="1217" t="s">
        <v>2618</v>
      </c>
      <c r="K33" s="1217" t="s">
        <v>2201</v>
      </c>
      <c r="L33" s="1208">
        <v>226509.932859341</v>
      </c>
      <c r="M33" s="1208">
        <v>0</v>
      </c>
      <c r="N33" s="1208">
        <v>0</v>
      </c>
      <c r="O33" s="1208">
        <v>0</v>
      </c>
      <c r="P33" s="1208">
        <v>0</v>
      </c>
      <c r="Q33" s="1208">
        <f t="shared" si="0"/>
        <v>226509.932859341</v>
      </c>
    </row>
    <row r="34" spans="2:17" s="979" customFormat="1" ht="62.5" x14ac:dyDescent="0.25">
      <c r="B34" s="1216" t="s">
        <v>2624</v>
      </c>
      <c r="C34" s="1217" t="s">
        <v>2413</v>
      </c>
      <c r="D34" s="1218" t="s">
        <v>2637</v>
      </c>
      <c r="E34" s="1217" t="s">
        <v>2638</v>
      </c>
      <c r="F34" s="1216" t="s">
        <v>2436</v>
      </c>
      <c r="G34" s="1216" t="s">
        <v>2667</v>
      </c>
      <c r="H34" s="1217" t="s">
        <v>2626</v>
      </c>
      <c r="I34" s="1216" t="s">
        <v>2639</v>
      </c>
      <c r="J34" s="1217" t="s">
        <v>2629</v>
      </c>
      <c r="K34" s="1217" t="s">
        <v>2202</v>
      </c>
      <c r="L34" s="1208">
        <v>62584.212481933697</v>
      </c>
      <c r="M34" s="1208">
        <v>0</v>
      </c>
      <c r="N34" s="1208">
        <v>0</v>
      </c>
      <c r="O34" s="1208">
        <v>0</v>
      </c>
      <c r="P34" s="1208">
        <v>0</v>
      </c>
      <c r="Q34" s="1208">
        <f t="shared" si="0"/>
        <v>62584.212481933697</v>
      </c>
    </row>
    <row r="35" spans="2:17" s="979" customFormat="1" ht="62.5" x14ac:dyDescent="0.25">
      <c r="B35" s="1216" t="s">
        <v>2624</v>
      </c>
      <c r="C35" s="1217" t="s">
        <v>2413</v>
      </c>
      <c r="D35" s="1218" t="s">
        <v>2637</v>
      </c>
      <c r="E35" s="1217" t="s">
        <v>2638</v>
      </c>
      <c r="F35" s="1216" t="s">
        <v>2436</v>
      </c>
      <c r="G35" s="1216" t="s">
        <v>2667</v>
      </c>
      <c r="H35" s="1217" t="s">
        <v>2626</v>
      </c>
      <c r="I35" s="1216" t="s">
        <v>2639</v>
      </c>
      <c r="J35" s="1217" t="s">
        <v>2618</v>
      </c>
      <c r="K35" s="1217" t="s">
        <v>2202</v>
      </c>
      <c r="L35" s="1208">
        <v>1713950.04445248</v>
      </c>
      <c r="M35" s="1208">
        <v>0</v>
      </c>
      <c r="N35" s="1208">
        <v>0</v>
      </c>
      <c r="O35" s="1208">
        <v>0</v>
      </c>
      <c r="P35" s="1208">
        <v>0</v>
      </c>
      <c r="Q35" s="1208">
        <f t="shared" si="0"/>
        <v>1713950.04445248</v>
      </c>
    </row>
    <row r="36" spans="2:17" s="979" customFormat="1" ht="62.5" x14ac:dyDescent="0.25">
      <c r="B36" s="1216" t="s">
        <v>2624</v>
      </c>
      <c r="C36" s="1217" t="s">
        <v>2640</v>
      </c>
      <c r="D36" s="1218" t="s">
        <v>2641</v>
      </c>
      <c r="E36" s="1217" t="s">
        <v>2642</v>
      </c>
      <c r="F36" s="1216" t="s">
        <v>2643</v>
      </c>
      <c r="G36" s="1216" t="s">
        <v>2669</v>
      </c>
      <c r="H36" s="1217" t="s">
        <v>2644</v>
      </c>
      <c r="I36" s="1216" t="s">
        <v>2589</v>
      </c>
      <c r="J36" s="1217" t="s">
        <v>2645</v>
      </c>
      <c r="K36" s="1217" t="s">
        <v>2199</v>
      </c>
      <c r="L36" s="1208">
        <v>271956.46329422598</v>
      </c>
      <c r="M36" s="1208">
        <v>498586.849372747</v>
      </c>
      <c r="N36" s="1208">
        <v>498586.849372747</v>
      </c>
      <c r="O36" s="1208">
        <v>498586.849372747</v>
      </c>
      <c r="P36" s="1208">
        <v>498586.849372747</v>
      </c>
      <c r="Q36" s="1208">
        <f t="shared" si="0"/>
        <v>2266303.8607852138</v>
      </c>
    </row>
    <row r="37" spans="2:17" s="979" customFormat="1" ht="62.5" x14ac:dyDescent="0.25">
      <c r="B37" s="1216" t="s">
        <v>2624</v>
      </c>
      <c r="C37" s="1217" t="s">
        <v>2640</v>
      </c>
      <c r="D37" s="1218" t="s">
        <v>2641</v>
      </c>
      <c r="E37" s="1217" t="s">
        <v>2642</v>
      </c>
      <c r="F37" s="1216" t="s">
        <v>2643</v>
      </c>
      <c r="G37" s="1216" t="s">
        <v>2669</v>
      </c>
      <c r="H37" s="1217" t="s">
        <v>2644</v>
      </c>
      <c r="I37" s="1216" t="s">
        <v>2589</v>
      </c>
      <c r="J37" s="1217" t="s">
        <v>2645</v>
      </c>
      <c r="K37" s="1217" t="s">
        <v>2200</v>
      </c>
      <c r="L37" s="1208">
        <v>271801.29022504599</v>
      </c>
      <c r="M37" s="1208">
        <v>498302.36541258497</v>
      </c>
      <c r="N37" s="1208">
        <v>498302.36541258497</v>
      </c>
      <c r="O37" s="1208">
        <v>498302.36541258497</v>
      </c>
      <c r="P37" s="1208">
        <v>498302.36541258497</v>
      </c>
      <c r="Q37" s="1208">
        <f t="shared" si="0"/>
        <v>2265010.7518753856</v>
      </c>
    </row>
    <row r="38" spans="2:17" s="979" customFormat="1" ht="62.5" x14ac:dyDescent="0.25">
      <c r="B38" s="1216" t="s">
        <v>2624</v>
      </c>
      <c r="C38" s="1217" t="s">
        <v>2640</v>
      </c>
      <c r="D38" s="1218" t="s">
        <v>2641</v>
      </c>
      <c r="E38" s="1217" t="s">
        <v>2642</v>
      </c>
      <c r="F38" s="1216" t="s">
        <v>2643</v>
      </c>
      <c r="G38" s="1216" t="s">
        <v>2669</v>
      </c>
      <c r="H38" s="1217" t="s">
        <v>2644</v>
      </c>
      <c r="I38" s="1216" t="s">
        <v>2589</v>
      </c>
      <c r="J38" s="1217" t="s">
        <v>2645</v>
      </c>
      <c r="K38" s="1217" t="s">
        <v>2201</v>
      </c>
      <c r="L38" s="1208">
        <v>238888.03489069999</v>
      </c>
      <c r="M38" s="1208">
        <v>437961.39729961602</v>
      </c>
      <c r="N38" s="1208">
        <v>437961.39729961602</v>
      </c>
      <c r="O38" s="1208">
        <v>437961.39729961602</v>
      </c>
      <c r="P38" s="1208">
        <v>437961.39729961602</v>
      </c>
      <c r="Q38" s="1208">
        <f t="shared" si="0"/>
        <v>1990733.6240891642</v>
      </c>
    </row>
    <row r="39" spans="2:17" s="979" customFormat="1" ht="62.5" x14ac:dyDescent="0.25">
      <c r="B39" s="1216" t="s">
        <v>2624</v>
      </c>
      <c r="C39" s="1217" t="s">
        <v>2640</v>
      </c>
      <c r="D39" s="1218" t="s">
        <v>2641</v>
      </c>
      <c r="E39" s="1217" t="s">
        <v>2642</v>
      </c>
      <c r="F39" s="1216" t="s">
        <v>2643</v>
      </c>
      <c r="G39" s="1216" t="s">
        <v>2669</v>
      </c>
      <c r="H39" s="1217" t="s">
        <v>2644</v>
      </c>
      <c r="I39" s="1216" t="s">
        <v>2589</v>
      </c>
      <c r="J39" s="1217" t="s">
        <v>2645</v>
      </c>
      <c r="K39" s="1217" t="s">
        <v>2202</v>
      </c>
      <c r="L39" s="1208">
        <v>742314.21159002802</v>
      </c>
      <c r="M39" s="1208">
        <v>1360909.3879150499</v>
      </c>
      <c r="N39" s="1208">
        <v>1360909.3879150499</v>
      </c>
      <c r="O39" s="1208">
        <v>1360909.3879150499</v>
      </c>
      <c r="P39" s="1208">
        <v>1360909.3879150499</v>
      </c>
      <c r="Q39" s="1208">
        <f t="shared" si="0"/>
        <v>6185951.7632502271</v>
      </c>
    </row>
    <row r="40" spans="2:17" s="979" customFormat="1" ht="31.25" x14ac:dyDescent="0.25">
      <c r="B40" s="1216" t="s">
        <v>2624</v>
      </c>
      <c r="C40" s="1217" t="s">
        <v>2640</v>
      </c>
      <c r="D40" s="1216" t="s">
        <v>2586</v>
      </c>
      <c r="E40" s="1217" t="s">
        <v>2646</v>
      </c>
      <c r="F40" s="1216" t="s">
        <v>2647</v>
      </c>
      <c r="G40" s="1216" t="s">
        <v>2669</v>
      </c>
      <c r="H40" s="1217" t="s">
        <v>2644</v>
      </c>
      <c r="I40" s="1216" t="s">
        <v>2648</v>
      </c>
      <c r="J40" s="1217" t="s">
        <v>2645</v>
      </c>
      <c r="K40" s="1217" t="s">
        <v>2199</v>
      </c>
      <c r="L40" s="1208">
        <v>208750.03552798901</v>
      </c>
      <c r="M40" s="1208">
        <v>208750.03552798901</v>
      </c>
      <c r="N40" s="1208">
        <v>208750.03552798901</v>
      </c>
      <c r="O40" s="1208">
        <v>0</v>
      </c>
      <c r="P40" s="1208">
        <v>0</v>
      </c>
      <c r="Q40" s="1208">
        <f t="shared" si="0"/>
        <v>626250.10658396699</v>
      </c>
    </row>
    <row r="41" spans="2:17" s="979" customFormat="1" ht="31.25" x14ac:dyDescent="0.25">
      <c r="B41" s="1216" t="s">
        <v>2624</v>
      </c>
      <c r="C41" s="1217" t="s">
        <v>2640</v>
      </c>
      <c r="D41" s="1216" t="s">
        <v>2586</v>
      </c>
      <c r="E41" s="1217" t="s">
        <v>2646</v>
      </c>
      <c r="F41" s="1216" t="s">
        <v>2647</v>
      </c>
      <c r="G41" s="1216" t="s">
        <v>2669</v>
      </c>
      <c r="H41" s="1217" t="s">
        <v>2644</v>
      </c>
      <c r="I41" s="1216" t="s">
        <v>2648</v>
      </c>
      <c r="J41" s="1217" t="s">
        <v>2645</v>
      </c>
      <c r="K41" s="1217" t="s">
        <v>2200</v>
      </c>
      <c r="L41" s="1208">
        <v>208630.92681730801</v>
      </c>
      <c r="M41" s="1208">
        <v>208630.92681730801</v>
      </c>
      <c r="N41" s="1208">
        <v>208630.92681730801</v>
      </c>
      <c r="O41" s="1208">
        <v>0</v>
      </c>
      <c r="P41" s="1208">
        <v>0</v>
      </c>
      <c r="Q41" s="1208">
        <f t="shared" si="0"/>
        <v>625892.78045192407</v>
      </c>
    </row>
    <row r="42" spans="2:17" s="979" customFormat="1" ht="31.25" x14ac:dyDescent="0.25">
      <c r="B42" s="1216" t="s">
        <v>2624</v>
      </c>
      <c r="C42" s="1217" t="s">
        <v>2640</v>
      </c>
      <c r="D42" s="1216" t="s">
        <v>2586</v>
      </c>
      <c r="E42" s="1217" t="s">
        <v>2646</v>
      </c>
      <c r="F42" s="1216" t="s">
        <v>2647</v>
      </c>
      <c r="G42" s="1216" t="s">
        <v>2669</v>
      </c>
      <c r="H42" s="1217" t="s">
        <v>2644</v>
      </c>
      <c r="I42" s="1216" t="s">
        <v>2648</v>
      </c>
      <c r="J42" s="1217" t="s">
        <v>2645</v>
      </c>
      <c r="K42" s="1217" t="s">
        <v>2201</v>
      </c>
      <c r="L42" s="1208">
        <v>183367.16534180599</v>
      </c>
      <c r="M42" s="1208">
        <v>183367.16534180599</v>
      </c>
      <c r="N42" s="1208">
        <v>183367.16534180599</v>
      </c>
      <c r="O42" s="1208">
        <v>0</v>
      </c>
      <c r="P42" s="1208">
        <v>0</v>
      </c>
      <c r="Q42" s="1208">
        <f t="shared" si="0"/>
        <v>550101.49602541793</v>
      </c>
    </row>
    <row r="43" spans="2:17" s="979" customFormat="1" ht="31.25" x14ac:dyDescent="0.25">
      <c r="B43" s="1216" t="s">
        <v>2624</v>
      </c>
      <c r="C43" s="1217" t="s">
        <v>2640</v>
      </c>
      <c r="D43" s="1216" t="s">
        <v>2586</v>
      </c>
      <c r="E43" s="1217" t="s">
        <v>2646</v>
      </c>
      <c r="F43" s="1216" t="s">
        <v>2647</v>
      </c>
      <c r="G43" s="1216" t="s">
        <v>2669</v>
      </c>
      <c r="H43" s="1217" t="s">
        <v>2644</v>
      </c>
      <c r="I43" s="1216" t="s">
        <v>2648</v>
      </c>
      <c r="J43" s="1217" t="s">
        <v>2645</v>
      </c>
      <c r="K43" s="1217" t="s">
        <v>2202</v>
      </c>
      <c r="L43" s="1208">
        <v>569790.16481289698</v>
      </c>
      <c r="M43" s="1208">
        <v>569790.16481289698</v>
      </c>
      <c r="N43" s="1208">
        <v>569790.16481289698</v>
      </c>
      <c r="O43" s="1208">
        <v>0</v>
      </c>
      <c r="P43" s="1208">
        <v>0</v>
      </c>
      <c r="Q43" s="1208">
        <f t="shared" si="0"/>
        <v>1709370.4944386911</v>
      </c>
    </row>
    <row r="44" spans="2:17" s="979" customFormat="1" ht="31.25" x14ac:dyDescent="0.25">
      <c r="B44" s="1216" t="s">
        <v>2624</v>
      </c>
      <c r="C44" s="1217" t="s">
        <v>2459</v>
      </c>
      <c r="D44" s="1216" t="s">
        <v>2587</v>
      </c>
      <c r="E44" s="1217" t="s">
        <v>2649</v>
      </c>
      <c r="F44" s="1216" t="s">
        <v>227</v>
      </c>
      <c r="G44" s="1216" t="s">
        <v>2668</v>
      </c>
      <c r="H44" s="1217" t="s">
        <v>2650</v>
      </c>
      <c r="I44" s="1216" t="s">
        <v>2651</v>
      </c>
      <c r="J44" s="1217" t="s">
        <v>2627</v>
      </c>
      <c r="K44" s="1217" t="s">
        <v>2627</v>
      </c>
      <c r="L44" s="1208">
        <v>19977315.797800001</v>
      </c>
      <c r="M44" s="1208">
        <v>19977315.797800001</v>
      </c>
      <c r="N44" s="1208">
        <v>0</v>
      </c>
      <c r="O44" s="1208">
        <v>0</v>
      </c>
      <c r="P44" s="1208">
        <v>0</v>
      </c>
      <c r="Q44" s="1208">
        <f t="shared" si="0"/>
        <v>39954631.595600002</v>
      </c>
    </row>
    <row r="45" spans="2:17" s="979" customFormat="1" ht="46.9" x14ac:dyDescent="0.25">
      <c r="B45" s="1216" t="s">
        <v>2624</v>
      </c>
      <c r="C45" s="1217" t="s">
        <v>2640</v>
      </c>
      <c r="D45" s="1216" t="s">
        <v>2588</v>
      </c>
      <c r="E45" s="1217" t="s">
        <v>2652</v>
      </c>
      <c r="F45" s="1216" t="s">
        <v>2643</v>
      </c>
      <c r="G45" s="1216" t="s">
        <v>2668</v>
      </c>
      <c r="H45" s="1217" t="s">
        <v>2653</v>
      </c>
      <c r="I45" s="1216" t="s">
        <v>2589</v>
      </c>
      <c r="J45" s="1217" t="s">
        <v>2618</v>
      </c>
      <c r="K45" s="1217" t="s">
        <v>2199</v>
      </c>
      <c r="L45" s="1208">
        <v>480141.86758319702</v>
      </c>
      <c r="M45" s="1208">
        <v>0</v>
      </c>
      <c r="N45" s="1208">
        <v>0</v>
      </c>
      <c r="O45" s="1208">
        <v>0</v>
      </c>
      <c r="P45" s="1208">
        <v>0</v>
      </c>
      <c r="Q45" s="1208">
        <f t="shared" si="0"/>
        <v>480141.86758319702</v>
      </c>
    </row>
    <row r="46" spans="2:17" s="979" customFormat="1" ht="46.9" x14ac:dyDescent="0.25">
      <c r="B46" s="1216" t="s">
        <v>2624</v>
      </c>
      <c r="C46" s="1217" t="s">
        <v>2640</v>
      </c>
      <c r="D46" s="1216" t="s">
        <v>2588</v>
      </c>
      <c r="E46" s="1217" t="s">
        <v>2652</v>
      </c>
      <c r="F46" s="1216" t="s">
        <v>2643</v>
      </c>
      <c r="G46" s="1216" t="s">
        <v>2668</v>
      </c>
      <c r="H46" s="1217" t="s">
        <v>2653</v>
      </c>
      <c r="I46" s="1216" t="s">
        <v>2589</v>
      </c>
      <c r="J46" s="1217" t="s">
        <v>2618</v>
      </c>
      <c r="K46" s="1217" t="s">
        <v>2200</v>
      </c>
      <c r="L46" s="1208">
        <v>1710066.8603276301</v>
      </c>
      <c r="M46" s="1208">
        <v>0</v>
      </c>
      <c r="N46" s="1208">
        <v>0</v>
      </c>
      <c r="O46" s="1208">
        <v>0</v>
      </c>
      <c r="P46" s="1208">
        <v>0</v>
      </c>
      <c r="Q46" s="1208">
        <f t="shared" si="0"/>
        <v>1710066.8603276301</v>
      </c>
    </row>
    <row r="47" spans="2:17" s="979" customFormat="1" ht="46.9" x14ac:dyDescent="0.25">
      <c r="B47" s="1216" t="s">
        <v>2624</v>
      </c>
      <c r="C47" s="1217" t="s">
        <v>2640</v>
      </c>
      <c r="D47" s="1216" t="s">
        <v>2588</v>
      </c>
      <c r="E47" s="1217" t="s">
        <v>2652</v>
      </c>
      <c r="F47" s="1216" t="s">
        <v>2643</v>
      </c>
      <c r="G47" s="1216" t="s">
        <v>2668</v>
      </c>
      <c r="H47" s="1217" t="s">
        <v>2653</v>
      </c>
      <c r="I47" s="1216" t="s">
        <v>2589</v>
      </c>
      <c r="J47" s="1217" t="s">
        <v>2618</v>
      </c>
      <c r="K47" s="1217" t="s">
        <v>2201</v>
      </c>
      <c r="L47" s="1208">
        <v>328781.90515091602</v>
      </c>
      <c r="M47" s="1208">
        <v>0</v>
      </c>
      <c r="N47" s="1208">
        <v>0</v>
      </c>
      <c r="O47" s="1208">
        <v>0</v>
      </c>
      <c r="P47" s="1208">
        <v>0</v>
      </c>
      <c r="Q47" s="1208">
        <f t="shared" si="0"/>
        <v>328781.90515091602</v>
      </c>
    </row>
    <row r="48" spans="2:17" s="979" customFormat="1" ht="46.9" x14ac:dyDescent="0.25">
      <c r="B48" s="1216" t="s">
        <v>2624</v>
      </c>
      <c r="C48" s="1217" t="s">
        <v>2640</v>
      </c>
      <c r="D48" s="1216" t="s">
        <v>2588</v>
      </c>
      <c r="E48" s="1217" t="s">
        <v>2652</v>
      </c>
      <c r="F48" s="1216" t="s">
        <v>2643</v>
      </c>
      <c r="G48" s="1216" t="s">
        <v>2668</v>
      </c>
      <c r="H48" s="1217" t="s">
        <v>2653</v>
      </c>
      <c r="I48" s="1216" t="s">
        <v>2589</v>
      </c>
      <c r="J48" s="1217" t="s">
        <v>2618</v>
      </c>
      <c r="K48" s="1217" t="s">
        <v>2202</v>
      </c>
      <c r="L48" s="1208">
        <v>3309370.3044382599</v>
      </c>
      <c r="M48" s="1208">
        <v>0</v>
      </c>
      <c r="N48" s="1208">
        <v>0</v>
      </c>
      <c r="O48" s="1208">
        <v>0</v>
      </c>
      <c r="P48" s="1208">
        <v>0</v>
      </c>
      <c r="Q48" s="1208">
        <f t="shared" si="0"/>
        <v>3309370.3044382599</v>
      </c>
    </row>
    <row r="49" spans="2:17" s="979" customFormat="1" ht="15.65" x14ac:dyDescent="0.25">
      <c r="B49" s="1216" t="s">
        <v>2654</v>
      </c>
      <c r="C49" s="1217"/>
      <c r="D49" s="1216"/>
      <c r="E49" s="1217"/>
      <c r="F49" s="1216"/>
      <c r="G49" s="1216"/>
      <c r="H49" s="1217"/>
      <c r="I49" s="1216"/>
      <c r="J49" s="1217"/>
      <c r="K49" s="1217"/>
      <c r="L49" s="1209">
        <f>SUM(L8:L48)</f>
        <v>43582421.450016677</v>
      </c>
      <c r="M49" s="1209">
        <f>SUM(M8:M48)</f>
        <v>33560418.129766665</v>
      </c>
      <c r="N49" s="1209">
        <f>SUM(N8:N48)</f>
        <v>12019964.1347</v>
      </c>
      <c r="O49" s="1209">
        <f>SUM(O8:O48)</f>
        <v>10545347.853333334</v>
      </c>
      <c r="P49" s="1209">
        <f>SUM(P8:P48)</f>
        <v>10545347.853333334</v>
      </c>
      <c r="Q49" s="1209">
        <f>SUM(L49:P49)</f>
        <v>110253499.42115003</v>
      </c>
    </row>
    <row r="55" spans="2:17" x14ac:dyDescent="0.25">
      <c r="C55" s="1288"/>
      <c r="D55" s="1282" t="s">
        <v>2696</v>
      </c>
      <c r="E55" s="1287">
        <f t="array" ref="E55">SUM(1/COUNTIF(E8:E48,E8:E48))</f>
        <v>7.9999999999999982</v>
      </c>
    </row>
    <row r="59" spans="2:17" x14ac:dyDescent="0.25">
      <c r="D59" s="1284" t="s">
        <v>2697</v>
      </c>
      <c r="E59" s="1285" t="s">
        <v>2698</v>
      </c>
    </row>
    <row r="60" spans="2:17" ht="39.1" customHeight="1" x14ac:dyDescent="0.25">
      <c r="D60" s="1289" t="s">
        <v>2669</v>
      </c>
      <c r="E60" s="1283">
        <v>2</v>
      </c>
    </row>
    <row r="61" spans="2:17" ht="46.55" customHeight="1" x14ac:dyDescent="0.25">
      <c r="D61" s="1289" t="s">
        <v>2667</v>
      </c>
      <c r="E61" s="1283">
        <v>4</v>
      </c>
    </row>
    <row r="62" spans="2:17" ht="59.3" customHeight="1" x14ac:dyDescent="0.25">
      <c r="D62" s="1289" t="s">
        <v>2668</v>
      </c>
      <c r="E62" s="1283">
        <v>2</v>
      </c>
    </row>
    <row r="63" spans="2:17" x14ac:dyDescent="0.25">
      <c r="D63" s="1284" t="s">
        <v>2699</v>
      </c>
      <c r="E63" s="1286">
        <f>SUBTOTAL(9,E60:E62)</f>
        <v>8</v>
      </c>
    </row>
    <row r="68" spans="5:5" ht="62.5" x14ac:dyDescent="0.25">
      <c r="E68" s="1217" t="s">
        <v>2642</v>
      </c>
    </row>
    <row r="69" spans="5:5" ht="62.5" x14ac:dyDescent="0.25">
      <c r="E69" s="1217" t="s">
        <v>2642</v>
      </c>
    </row>
    <row r="70" spans="5:5" ht="62.5" x14ac:dyDescent="0.25">
      <c r="E70" s="1217" t="s">
        <v>2642</v>
      </c>
    </row>
    <row r="71" spans="5:5" ht="62.5" x14ac:dyDescent="0.25">
      <c r="E71" s="1217" t="s">
        <v>2642</v>
      </c>
    </row>
    <row r="72" spans="5:5" ht="31.25" x14ac:dyDescent="0.25">
      <c r="E72" s="1217" t="s">
        <v>2646</v>
      </c>
    </row>
    <row r="73" spans="5:5" ht="31.25" x14ac:dyDescent="0.25">
      <c r="E73" s="1217" t="s">
        <v>2646</v>
      </c>
    </row>
    <row r="74" spans="5:5" ht="31.25" x14ac:dyDescent="0.25">
      <c r="E74" s="1217" t="s">
        <v>2646</v>
      </c>
    </row>
    <row r="75" spans="5:5" ht="31.25" x14ac:dyDescent="0.25">
      <c r="E75" s="1217" t="s">
        <v>2646</v>
      </c>
    </row>
    <row r="78" spans="5:5" x14ac:dyDescent="0.25">
      <c r="E78" s="1287">
        <f t="array" ref="E78">SUM(1/COUNTIF(E68:E75,E68:E75))</f>
        <v>2</v>
      </c>
    </row>
    <row r="82" spans="5:5" ht="15.65" x14ac:dyDescent="0.25">
      <c r="E82" s="1217" t="s">
        <v>2625</v>
      </c>
    </row>
    <row r="83" spans="5:5" ht="15.65" x14ac:dyDescent="0.25">
      <c r="E83" s="1217" t="s">
        <v>2625</v>
      </c>
    </row>
    <row r="84" spans="5:5" ht="15.65" x14ac:dyDescent="0.25">
      <c r="E84" s="1217" t="s">
        <v>2625</v>
      </c>
    </row>
    <row r="85" spans="5:5" ht="15.65" x14ac:dyDescent="0.25">
      <c r="E85" s="1217" t="s">
        <v>2625</v>
      </c>
    </row>
    <row r="86" spans="5:5" ht="15.65" x14ac:dyDescent="0.25">
      <c r="E86" s="1217" t="s">
        <v>2625</v>
      </c>
    </row>
    <row r="87" spans="5:5" ht="15.65" x14ac:dyDescent="0.25">
      <c r="E87" s="1217" t="s">
        <v>2625</v>
      </c>
    </row>
    <row r="88" spans="5:5" ht="15.65" x14ac:dyDescent="0.25">
      <c r="E88" s="1217" t="s">
        <v>2625</v>
      </c>
    </row>
    <row r="89" spans="5:5" ht="46.9" x14ac:dyDescent="0.25">
      <c r="E89" s="1217" t="s">
        <v>2631</v>
      </c>
    </row>
    <row r="90" spans="5:5" ht="46.9" x14ac:dyDescent="0.25">
      <c r="E90" s="1217" t="s">
        <v>2631</v>
      </c>
    </row>
    <row r="91" spans="5:5" ht="46.9" x14ac:dyDescent="0.25">
      <c r="E91" s="1217" t="s">
        <v>2631</v>
      </c>
    </row>
    <row r="92" spans="5:5" ht="46.9" x14ac:dyDescent="0.25">
      <c r="E92" s="1217" t="s">
        <v>2631</v>
      </c>
    </row>
    <row r="93" spans="5:5" ht="46.9" x14ac:dyDescent="0.25">
      <c r="E93" s="1217" t="s">
        <v>2631</v>
      </c>
    </row>
    <row r="94" spans="5:5" ht="46.9" x14ac:dyDescent="0.25">
      <c r="E94" s="1217" t="s">
        <v>2631</v>
      </c>
    </row>
    <row r="95" spans="5:5" ht="46.9" x14ac:dyDescent="0.25">
      <c r="E95" s="1217" t="s">
        <v>2631</v>
      </c>
    </row>
    <row r="96" spans="5:5" ht="31.25" x14ac:dyDescent="0.25">
      <c r="E96" s="1217" t="s">
        <v>2635</v>
      </c>
    </row>
    <row r="97" spans="5:5" ht="31.25" x14ac:dyDescent="0.25">
      <c r="E97" s="1217" t="s">
        <v>2635</v>
      </c>
    </row>
    <row r="98" spans="5:5" ht="31.25" x14ac:dyDescent="0.25">
      <c r="E98" s="1217" t="s">
        <v>2635</v>
      </c>
    </row>
    <row r="99" spans="5:5" ht="31.25" x14ac:dyDescent="0.25">
      <c r="E99" s="1217" t="s">
        <v>2635</v>
      </c>
    </row>
    <row r="100" spans="5:5" ht="31.25" x14ac:dyDescent="0.25">
      <c r="E100" s="1217" t="s">
        <v>2635</v>
      </c>
    </row>
    <row r="101" spans="5:5" ht="31.25" x14ac:dyDescent="0.25">
      <c r="E101" s="1217" t="s">
        <v>2635</v>
      </c>
    </row>
    <row r="102" spans="5:5" ht="31.25" x14ac:dyDescent="0.25">
      <c r="E102" s="1217" t="s">
        <v>2635</v>
      </c>
    </row>
    <row r="103" spans="5:5" ht="62.5" x14ac:dyDescent="0.25">
      <c r="E103" s="1217" t="s">
        <v>2638</v>
      </c>
    </row>
    <row r="104" spans="5:5" ht="62.5" x14ac:dyDescent="0.25">
      <c r="E104" s="1217" t="s">
        <v>2638</v>
      </c>
    </row>
    <row r="105" spans="5:5" ht="62.5" x14ac:dyDescent="0.25">
      <c r="E105" s="1217" t="s">
        <v>2638</v>
      </c>
    </row>
    <row r="106" spans="5:5" ht="62.5" x14ac:dyDescent="0.25">
      <c r="E106" s="1217" t="s">
        <v>2638</v>
      </c>
    </row>
    <row r="107" spans="5:5" ht="62.5" x14ac:dyDescent="0.25">
      <c r="E107" s="1217" t="s">
        <v>2638</v>
      </c>
    </row>
    <row r="108" spans="5:5" ht="62.5" x14ac:dyDescent="0.25">
      <c r="E108" s="1217" t="s">
        <v>2638</v>
      </c>
    </row>
    <row r="109" spans="5:5" ht="62.5" x14ac:dyDescent="0.25">
      <c r="E109" s="1217" t="s">
        <v>2638</v>
      </c>
    </row>
    <row r="111" spans="5:5" x14ac:dyDescent="0.25">
      <c r="E111" s="1287">
        <f t="array" ref="E111">SUM(1/COUNTIF(E82:E109,E82:E109))</f>
        <v>3.9999999999999987</v>
      </c>
    </row>
    <row r="115" spans="5:5" ht="31.25" x14ac:dyDescent="0.25">
      <c r="E115" s="1217" t="s">
        <v>2649</v>
      </c>
    </row>
    <row r="116" spans="5:5" ht="46.9" x14ac:dyDescent="0.25">
      <c r="E116" s="1217" t="s">
        <v>2652</v>
      </c>
    </row>
    <row r="117" spans="5:5" ht="46.9" x14ac:dyDescent="0.25">
      <c r="E117" s="1217" t="s">
        <v>2652</v>
      </c>
    </row>
    <row r="118" spans="5:5" ht="46.9" x14ac:dyDescent="0.25">
      <c r="E118" s="1217" t="s">
        <v>2652</v>
      </c>
    </row>
    <row r="119" spans="5:5" ht="46.9" x14ac:dyDescent="0.25">
      <c r="E119" s="1217" t="s">
        <v>2652</v>
      </c>
    </row>
    <row r="122" spans="5:5" x14ac:dyDescent="0.25">
      <c r="E122" s="1287">
        <f t="array" ref="E122">SUM(1/COUNTIF(E115:E119,E115:E119))</f>
        <v>2</v>
      </c>
    </row>
  </sheetData>
  <autoFilter ref="B7:Q49"/>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3:Q44"/>
  <sheetViews>
    <sheetView showGridLines="0" zoomScale="70" zoomScaleNormal="70" workbookViewId="0"/>
  </sheetViews>
  <sheetFormatPr baseColWidth="10" defaultColWidth="7.3984375" defaultRowHeight="15.65" x14ac:dyDescent="0.25"/>
  <cols>
    <col min="1" max="1" width="14.19921875" style="1219" customWidth="1"/>
    <col min="2" max="2" width="42.59765625" style="1219" customWidth="1"/>
    <col min="3" max="3" width="25" style="1219" customWidth="1"/>
    <col min="4" max="4" width="13.69921875" style="1219" customWidth="1"/>
    <col min="5" max="5" width="5.796875" style="1219" customWidth="1"/>
    <col min="6" max="6" width="13.69921875" style="1219" customWidth="1"/>
    <col min="7" max="7" width="5.09765625" style="1219" bestFit="1" customWidth="1"/>
    <col min="8" max="8" width="13.69921875" style="1219" customWidth="1"/>
    <col min="9" max="9" width="5.09765625" style="1219" bestFit="1" customWidth="1"/>
    <col min="10" max="10" width="13.69921875" style="1219" customWidth="1"/>
    <col min="11" max="11" width="6.69921875" style="1219" bestFit="1" customWidth="1"/>
    <col min="12" max="12" width="13.69921875" style="1219" customWidth="1"/>
    <col min="13" max="13" width="5.09765625" style="1219" bestFit="1" customWidth="1"/>
    <col min="14" max="14" width="13.69921875" style="1219" customWidth="1"/>
    <col min="15" max="15" width="5.09765625" style="1219" bestFit="1" customWidth="1"/>
    <col min="16" max="16" width="20.09765625" style="1219" customWidth="1"/>
    <col min="17" max="17" width="12.296875" style="1219" bestFit="1" customWidth="1"/>
    <col min="18" max="16384" width="7.3984375" style="1219"/>
  </cols>
  <sheetData>
    <row r="3" spans="1:17" ht="23.8" x14ac:dyDescent="0.25">
      <c r="B3" s="1534" t="s">
        <v>2655</v>
      </c>
      <c r="C3" s="1534"/>
      <c r="D3" s="1534"/>
      <c r="E3" s="1534"/>
      <c r="F3" s="1534"/>
      <c r="G3" s="1534"/>
      <c r="H3" s="1534"/>
      <c r="I3" s="1534"/>
      <c r="J3" s="1534"/>
      <c r="K3" s="1534"/>
      <c r="L3" s="1534"/>
      <c r="M3" s="1534"/>
      <c r="N3" s="1534"/>
    </row>
    <row r="5" spans="1:17" ht="13.95" customHeight="1" x14ac:dyDescent="0.25">
      <c r="A5" s="1221"/>
      <c r="B5" s="1222" t="s">
        <v>2197</v>
      </c>
      <c r="C5" s="1222" t="s">
        <v>2615</v>
      </c>
      <c r="D5" s="1222" t="s">
        <v>211</v>
      </c>
      <c r="E5" s="1222" t="s">
        <v>89</v>
      </c>
      <c r="F5" s="1222" t="s">
        <v>212</v>
      </c>
      <c r="G5" s="1222" t="s">
        <v>89</v>
      </c>
      <c r="H5" s="1222" t="s">
        <v>213</v>
      </c>
      <c r="I5" s="1222" t="s">
        <v>89</v>
      </c>
      <c r="J5" s="1222" t="s">
        <v>214</v>
      </c>
      <c r="K5" s="1222" t="s">
        <v>89</v>
      </c>
      <c r="L5" s="1222" t="s">
        <v>215</v>
      </c>
      <c r="M5" s="1222" t="s">
        <v>89</v>
      </c>
      <c r="N5" s="1222" t="s">
        <v>2312</v>
      </c>
      <c r="O5" s="1222" t="s">
        <v>89</v>
      </c>
    </row>
    <row r="6" spans="1:17" ht="16.3" x14ac:dyDescent="0.25">
      <c r="A6" s="1223"/>
      <c r="B6" s="1224" t="s">
        <v>2199</v>
      </c>
      <c r="C6" s="1224" t="s">
        <v>2616</v>
      </c>
      <c r="D6" s="1225">
        <v>21245912.2663505</v>
      </c>
      <c r="E6" s="1226">
        <f>+D6/$D$11</f>
        <v>0.14400412977871954</v>
      </c>
      <c r="F6" s="1225">
        <v>28471838.519965298</v>
      </c>
      <c r="G6" s="1226">
        <f>+F6/$F$11</f>
        <v>0.15553534905570096</v>
      </c>
      <c r="H6" s="1225">
        <v>16022951.7627031</v>
      </c>
      <c r="I6" s="1226">
        <f>+H6/$H$11</f>
        <v>0.22306994265352256</v>
      </c>
      <c r="J6" s="1225">
        <v>6186124.9663347099</v>
      </c>
      <c r="K6" s="1226">
        <f>+J6/$J$11</f>
        <v>0.11116187102580374</v>
      </c>
      <c r="L6" s="1225">
        <v>6186124.9663347099</v>
      </c>
      <c r="M6" s="1226">
        <f>+L6/$L$11</f>
        <v>0.11116187102580374</v>
      </c>
      <c r="N6" s="1227">
        <v>78112952.481688306</v>
      </c>
      <c r="O6" s="1226">
        <f>+N6/$N$11</f>
        <v>0.15205280686411282</v>
      </c>
      <c r="P6" s="1252"/>
      <c r="Q6" s="1252"/>
    </row>
    <row r="7" spans="1:17" ht="16.3" x14ac:dyDescent="0.25">
      <c r="A7" s="1223"/>
      <c r="B7" s="1224" t="s">
        <v>2200</v>
      </c>
      <c r="C7" s="1224" t="s">
        <v>2616</v>
      </c>
      <c r="D7" s="1225">
        <v>33030208.651229199</v>
      </c>
      <c r="E7" s="1226">
        <f t="shared" ref="E7:E10" si="0">+D7/$D$11</f>
        <v>0.22387772262258504</v>
      </c>
      <c r="F7" s="1225">
        <v>28638591.445078101</v>
      </c>
      <c r="G7" s="1226">
        <f t="shared" ref="G7:G10" si="1">+F7/$F$11</f>
        <v>0.15644628335997121</v>
      </c>
      <c r="H7" s="1225">
        <v>15417325.956346299</v>
      </c>
      <c r="I7" s="1226">
        <f t="shared" ref="I7:I10" si="2">+H7/$H$11</f>
        <v>0.21463848034281571</v>
      </c>
      <c r="J7" s="1225">
        <v>7398060.2112940103</v>
      </c>
      <c r="K7" s="1226">
        <f t="shared" ref="K7:K10" si="3">+J7/$J$11</f>
        <v>0.13293979987867238</v>
      </c>
      <c r="L7" s="1225">
        <v>7398060.2112940103</v>
      </c>
      <c r="M7" s="1226">
        <f t="shared" ref="M7:M10" si="4">+L7/$L$11</f>
        <v>0.13293979987867238</v>
      </c>
      <c r="N7" s="1227">
        <v>91882246.475241497</v>
      </c>
      <c r="O7" s="1226">
        <f t="shared" ref="O7:O10" si="5">+N7/$N$11</f>
        <v>0.17885578554742068</v>
      </c>
      <c r="P7" s="1252"/>
      <c r="Q7" s="1252"/>
    </row>
    <row r="8" spans="1:17" ht="16.3" x14ac:dyDescent="0.25">
      <c r="A8" s="1223"/>
      <c r="B8" s="1224" t="s">
        <v>2201</v>
      </c>
      <c r="C8" s="1224" t="s">
        <v>2616</v>
      </c>
      <c r="D8" s="1225">
        <v>4624960.09983458</v>
      </c>
      <c r="E8" s="1226">
        <f t="shared" si="0"/>
        <v>3.1347835107688807E-2</v>
      </c>
      <c r="F8" s="1225">
        <v>3336315.40625632</v>
      </c>
      <c r="G8" s="1226">
        <f t="shared" si="1"/>
        <v>1.8225552273630343E-2</v>
      </c>
      <c r="H8" s="1225">
        <v>2914079.36154141</v>
      </c>
      <c r="I8" s="1226">
        <f t="shared" si="2"/>
        <v>4.0569523374586539E-2</v>
      </c>
      <c r="J8" s="1225">
        <v>6.2660799935268394E-2</v>
      </c>
      <c r="K8" s="1226">
        <f t="shared" si="3"/>
        <v>1.1259862674428097E-9</v>
      </c>
      <c r="L8" s="1225">
        <v>6.2660799935268394E-2</v>
      </c>
      <c r="M8" s="1226">
        <f t="shared" si="4"/>
        <v>1.1259862674428097E-9</v>
      </c>
      <c r="N8" s="1227">
        <v>10875354.9929539</v>
      </c>
      <c r="O8" s="1226">
        <f t="shared" si="5"/>
        <v>2.1169706172736686E-2</v>
      </c>
      <c r="P8" s="1252"/>
      <c r="Q8" s="1252"/>
    </row>
    <row r="9" spans="1:17" ht="16.3" x14ac:dyDescent="0.25">
      <c r="A9" s="1223"/>
      <c r="B9" s="1228" t="s">
        <v>120</v>
      </c>
      <c r="C9" s="1224" t="s">
        <v>2616</v>
      </c>
      <c r="D9" s="1225">
        <v>41374323.176372796</v>
      </c>
      <c r="E9" s="1226">
        <f t="shared" si="0"/>
        <v>0.28043387026658917</v>
      </c>
      <c r="F9" s="1225">
        <v>58990554.168492503</v>
      </c>
      <c r="G9" s="1226">
        <f t="shared" si="1"/>
        <v>0.32225233460606534</v>
      </c>
      <c r="H9" s="1225">
        <v>28028993.322070099</v>
      </c>
      <c r="I9" s="1226">
        <f t="shared" si="2"/>
        <v>0.39021686051280657</v>
      </c>
      <c r="J9" s="1225">
        <v>14817755.399710501</v>
      </c>
      <c r="K9" s="1226">
        <f t="shared" si="3"/>
        <v>0.26626837052250441</v>
      </c>
      <c r="L9" s="1225">
        <v>14817755.399710501</v>
      </c>
      <c r="M9" s="1226">
        <f t="shared" si="4"/>
        <v>0.26626837052250441</v>
      </c>
      <c r="N9" s="1227">
        <v>158029381.46635601</v>
      </c>
      <c r="O9" s="1226">
        <f t="shared" si="5"/>
        <v>0.30761621799652256</v>
      </c>
      <c r="P9" s="1252"/>
      <c r="Q9" s="1252"/>
    </row>
    <row r="10" spans="1:17" ht="16.3" x14ac:dyDescent="0.25">
      <c r="A10" s="1223"/>
      <c r="B10" s="1229" t="s">
        <v>2617</v>
      </c>
      <c r="C10" s="1224" t="s">
        <v>2616</v>
      </c>
      <c r="D10" s="1225">
        <v>47261422</v>
      </c>
      <c r="E10" s="1226">
        <f t="shared" si="0"/>
        <v>0.32033644222441754</v>
      </c>
      <c r="F10" s="1225">
        <v>63619727</v>
      </c>
      <c r="G10" s="1226">
        <f t="shared" si="1"/>
        <v>0.34754048070463223</v>
      </c>
      <c r="H10" s="1225">
        <v>9445922.3900000006</v>
      </c>
      <c r="I10" s="1226">
        <f t="shared" si="2"/>
        <v>0.13150519311626843</v>
      </c>
      <c r="J10" s="1225">
        <v>27247761.09</v>
      </c>
      <c r="K10" s="1226">
        <f t="shared" si="3"/>
        <v>0.48962995744703319</v>
      </c>
      <c r="L10" s="1225">
        <v>27247761.09</v>
      </c>
      <c r="M10" s="1226">
        <f t="shared" si="4"/>
        <v>0.48962995744703319</v>
      </c>
      <c r="N10" s="1227">
        <v>174822593.56999999</v>
      </c>
      <c r="O10" s="1226">
        <f t="shared" si="5"/>
        <v>0.34030548341920719</v>
      </c>
      <c r="P10" s="1252"/>
      <c r="Q10" s="1252"/>
    </row>
    <row r="11" spans="1:17" ht="16.3" x14ac:dyDescent="0.25">
      <c r="A11" s="1230"/>
      <c r="B11" s="1231"/>
      <c r="C11" s="1232" t="s">
        <v>2623</v>
      </c>
      <c r="D11" s="1233">
        <f>SUM(D6:D10)</f>
        <v>147536826.19378707</v>
      </c>
      <c r="E11" s="1234">
        <f>SUM(E6:E10)</f>
        <v>1</v>
      </c>
      <c r="F11" s="1233">
        <f t="shared" ref="F11:N11" si="6">SUM(F6:F10)</f>
        <v>183057026.53979221</v>
      </c>
      <c r="G11" s="1234">
        <f t="shared" si="6"/>
        <v>1</v>
      </c>
      <c r="H11" s="1233">
        <f t="shared" si="6"/>
        <v>71829272.792660922</v>
      </c>
      <c r="I11" s="1234">
        <f>SUM(I6:I10)</f>
        <v>0.99999999999999978</v>
      </c>
      <c r="J11" s="1233">
        <f t="shared" si="6"/>
        <v>55649701.730000019</v>
      </c>
      <c r="K11" s="1234">
        <f>SUM(K6:K10)</f>
        <v>1</v>
      </c>
      <c r="L11" s="1233">
        <f t="shared" si="6"/>
        <v>55649701.730000019</v>
      </c>
      <c r="M11" s="1234">
        <f>SUM(M6:M10)</f>
        <v>1</v>
      </c>
      <c r="N11" s="1233">
        <f t="shared" si="6"/>
        <v>513722528.98623973</v>
      </c>
      <c r="O11" s="1234">
        <f>SUM(O6:O10)</f>
        <v>0.99999999999999989</v>
      </c>
      <c r="P11" s="1252"/>
      <c r="Q11" s="1252"/>
    </row>
    <row r="12" spans="1:17" x14ac:dyDescent="0.25">
      <c r="A12" s="1223"/>
      <c r="B12" s="1224" t="s">
        <v>2199</v>
      </c>
      <c r="C12" s="1224" t="s">
        <v>2624</v>
      </c>
      <c r="D12" s="1225">
        <v>2412799.3472182602</v>
      </c>
      <c r="E12" s="1226">
        <f>+D12/$D$17</f>
        <v>5.5361755197228364E-2</v>
      </c>
      <c r="F12" s="1225">
        <v>1633197.2326780299</v>
      </c>
      <c r="G12" s="1226">
        <f>+F12/$F$17</f>
        <v>4.8664388696321184E-2</v>
      </c>
      <c r="H12" s="1225">
        <v>1482705.6900609699</v>
      </c>
      <c r="I12" s="1226">
        <f>+H12/$H$17</f>
        <v>0.12335358686974775</v>
      </c>
      <c r="J12" s="1225">
        <v>1244680.46587695</v>
      </c>
      <c r="K12" s="1226">
        <f>+J12/$J$17</f>
        <v>0.11803123834208207</v>
      </c>
      <c r="L12" s="1225">
        <v>1244680.46587695</v>
      </c>
      <c r="M12" s="1226">
        <f>+L12/$L$17</f>
        <v>0.11803123834208207</v>
      </c>
      <c r="N12" s="1225">
        <v>8018063.2017111601</v>
      </c>
      <c r="O12" s="1226">
        <f>+N12/$N$17</f>
        <v>7.2723888527868777E-2</v>
      </c>
      <c r="P12" s="1252"/>
      <c r="Q12" s="1252"/>
    </row>
    <row r="13" spans="1:17" x14ac:dyDescent="0.25">
      <c r="A13" s="1223"/>
      <c r="B13" s="1224" t="s">
        <v>2200</v>
      </c>
      <c r="C13" s="1224" t="s">
        <v>2624</v>
      </c>
      <c r="D13" s="1225">
        <v>5988885.9474032503</v>
      </c>
      <c r="E13" s="1226">
        <f t="shared" ref="E13:E16" si="7">+D13/$D$17</f>
        <v>0.13741517217605065</v>
      </c>
      <c r="F13" s="1225">
        <v>3129036.9547880501</v>
      </c>
      <c r="G13" s="1226">
        <f t="shared" ref="G13:G16" si="8">+F13/$F$17</f>
        <v>9.3235934745780971E-2</v>
      </c>
      <c r="H13" s="1225">
        <v>2735342.4657305302</v>
      </c>
      <c r="I13" s="1226">
        <f t="shared" ref="I13:I16" si="9">+H13/$H$17</f>
        <v>0.2275666079430276</v>
      </c>
      <c r="J13" s="1225">
        <v>2450125.9697870598</v>
      </c>
      <c r="K13" s="1226">
        <f t="shared" ref="K13:K16" si="10">+J13/$J$17</f>
        <v>0.23234188230335021</v>
      </c>
      <c r="L13" s="1225">
        <v>2450125.9697870598</v>
      </c>
      <c r="M13" s="1226">
        <f t="shared" ref="M13:M16" si="11">+L13/$L$17</f>
        <v>0.23234188230335021</v>
      </c>
      <c r="N13" s="1225">
        <v>16753517.307495899</v>
      </c>
      <c r="O13" s="1226">
        <f t="shared" ref="O13:O16" si="12">+N13/$N$17</f>
        <v>0.15195451750243547</v>
      </c>
      <c r="P13" s="1252"/>
      <c r="Q13" s="1252"/>
    </row>
    <row r="14" spans="1:17" x14ac:dyDescent="0.25">
      <c r="A14" s="1223"/>
      <c r="B14" s="1224" t="s">
        <v>2201</v>
      </c>
      <c r="C14" s="1224" t="s">
        <v>2624</v>
      </c>
      <c r="D14" s="1225">
        <v>1562544.0508872101</v>
      </c>
      <c r="E14" s="1226">
        <f t="shared" si="7"/>
        <v>3.5852621284001893E-2</v>
      </c>
      <c r="F14" s="1225">
        <v>1138799.27116851</v>
      </c>
      <c r="G14" s="1226">
        <f t="shared" si="8"/>
        <v>3.3932809381729462E-2</v>
      </c>
      <c r="H14" s="1225">
        <v>1054688.35166285</v>
      </c>
      <c r="I14" s="1226">
        <f t="shared" si="9"/>
        <v>8.7744717026077265E-2</v>
      </c>
      <c r="J14" s="1225">
        <v>854959.05065720098</v>
      </c>
      <c r="K14" s="1226">
        <f t="shared" si="10"/>
        <v>8.1074523339403418E-2</v>
      </c>
      <c r="L14" s="1225">
        <v>854959.05065720098</v>
      </c>
      <c r="M14" s="1226">
        <f t="shared" si="11"/>
        <v>8.1074523339403418E-2</v>
      </c>
      <c r="N14" s="1225">
        <v>5465949.7750329804</v>
      </c>
      <c r="O14" s="1226">
        <f t="shared" si="12"/>
        <v>4.9576202149865203E-2</v>
      </c>
      <c r="P14" s="1252"/>
      <c r="Q14" s="1252"/>
    </row>
    <row r="15" spans="1:17" x14ac:dyDescent="0.25">
      <c r="A15" s="1223"/>
      <c r="B15" s="1224" t="s">
        <v>2202</v>
      </c>
      <c r="C15" s="1224" t="s">
        <v>2624</v>
      </c>
      <c r="D15" s="1225">
        <v>10986184.034770301</v>
      </c>
      <c r="E15" s="1226">
        <f t="shared" si="7"/>
        <v>0.25207833041975425</v>
      </c>
      <c r="F15" s="1225">
        <v>5989260.8222214803</v>
      </c>
      <c r="G15" s="1226">
        <f t="shared" si="8"/>
        <v>0.17846204415758632</v>
      </c>
      <c r="H15" s="1225">
        <v>5329572.6222481104</v>
      </c>
      <c r="I15" s="1226">
        <f t="shared" si="9"/>
        <v>0.44339338807695405</v>
      </c>
      <c r="J15" s="1225">
        <v>4631453.0099956002</v>
      </c>
      <c r="K15" s="1226">
        <f t="shared" si="10"/>
        <v>0.43919395305026576</v>
      </c>
      <c r="L15" s="1225">
        <v>4631453.0099956002</v>
      </c>
      <c r="M15" s="1226">
        <f t="shared" si="11"/>
        <v>0.43919395305026576</v>
      </c>
      <c r="N15" s="1225">
        <v>31567923.4992311</v>
      </c>
      <c r="O15" s="1226">
        <f t="shared" si="12"/>
        <v>0.28632128381383054</v>
      </c>
      <c r="P15" s="1252"/>
      <c r="Q15" s="1252"/>
    </row>
    <row r="16" spans="1:17" x14ac:dyDescent="0.25">
      <c r="A16" s="1223"/>
      <c r="B16" s="1229" t="s">
        <v>2627</v>
      </c>
      <c r="C16" s="1224" t="s">
        <v>2624</v>
      </c>
      <c r="D16" s="1225">
        <v>22632008.069737699</v>
      </c>
      <c r="E16" s="1226">
        <f t="shared" si="7"/>
        <v>0.51929212092296484</v>
      </c>
      <c r="F16" s="1225">
        <v>21670123.8489106</v>
      </c>
      <c r="G16" s="1226">
        <f t="shared" si="8"/>
        <v>0.64570482301858201</v>
      </c>
      <c r="H16" s="1225">
        <v>1417655.00499755</v>
      </c>
      <c r="I16" s="1226">
        <f t="shared" si="9"/>
        <v>0.11794170008419343</v>
      </c>
      <c r="J16" s="1225">
        <v>1364129.3570165201</v>
      </c>
      <c r="K16" s="1226">
        <f t="shared" si="10"/>
        <v>0.12935840296489848</v>
      </c>
      <c r="L16" s="1225">
        <v>1364129.3570165201</v>
      </c>
      <c r="M16" s="1226">
        <f t="shared" si="11"/>
        <v>0.12935840296489848</v>
      </c>
      <c r="N16" s="1225">
        <v>48448045.637678899</v>
      </c>
      <c r="O16" s="1226">
        <f t="shared" si="12"/>
        <v>0.43942410800600007</v>
      </c>
      <c r="P16" s="1252"/>
      <c r="Q16" s="1252"/>
    </row>
    <row r="17" spans="1:17" ht="16.3" x14ac:dyDescent="0.25">
      <c r="A17" s="1235"/>
      <c r="B17" s="1236"/>
      <c r="C17" s="1237" t="s">
        <v>2654</v>
      </c>
      <c r="D17" s="1238">
        <f t="shared" ref="D17:O17" si="13">SUM(D12:D16)</f>
        <v>43582421.450016722</v>
      </c>
      <c r="E17" s="1239">
        <f t="shared" si="13"/>
        <v>1</v>
      </c>
      <c r="F17" s="1238">
        <f t="shared" si="13"/>
        <v>33560418.129766673</v>
      </c>
      <c r="G17" s="1239">
        <f t="shared" si="13"/>
        <v>1</v>
      </c>
      <c r="H17" s="1238">
        <f t="shared" si="13"/>
        <v>12019964.13470001</v>
      </c>
      <c r="I17" s="1239">
        <f t="shared" si="13"/>
        <v>1</v>
      </c>
      <c r="J17" s="1238">
        <f t="shared" si="13"/>
        <v>10545347.853333332</v>
      </c>
      <c r="K17" s="1239">
        <f t="shared" si="13"/>
        <v>0.99999999999999978</v>
      </c>
      <c r="L17" s="1238">
        <f t="shared" si="13"/>
        <v>10545347.853333332</v>
      </c>
      <c r="M17" s="1239">
        <f t="shared" si="13"/>
        <v>0.99999999999999978</v>
      </c>
      <c r="N17" s="1238">
        <f t="shared" si="13"/>
        <v>110253499.42115003</v>
      </c>
      <c r="O17" s="1239">
        <f t="shared" si="13"/>
        <v>1</v>
      </c>
      <c r="P17" s="1252"/>
      <c r="Q17" s="1252"/>
    </row>
    <row r="18" spans="1:17" s="1241" customFormat="1" ht="5.95" customHeight="1" x14ac:dyDescent="0.25">
      <c r="A18" s="1235"/>
      <c r="B18" s="1223"/>
      <c r="C18" s="1230"/>
      <c r="D18" s="1240"/>
      <c r="E18" s="1240"/>
      <c r="F18" s="1240"/>
      <c r="G18" s="1240"/>
      <c r="H18" s="1240"/>
      <c r="I18" s="1240"/>
      <c r="J18" s="1240"/>
      <c r="K18" s="1240"/>
      <c r="L18" s="1240"/>
      <c r="M18" s="1240"/>
      <c r="N18" s="1240"/>
      <c r="O18" s="1240"/>
      <c r="P18" s="1252"/>
      <c r="Q18" s="1252"/>
    </row>
    <row r="19" spans="1:17" x14ac:dyDescent="0.25">
      <c r="A19" s="1241"/>
      <c r="B19" s="1224" t="s">
        <v>2199</v>
      </c>
      <c r="C19" s="1224"/>
      <c r="D19" s="1242">
        <f>+D6+D12</f>
        <v>23658711.61356876</v>
      </c>
      <c r="E19" s="1226">
        <f>+D19/$D$24</f>
        <v>0.12379031366669253</v>
      </c>
      <c r="F19" s="1242">
        <f>+F6+F12</f>
        <v>30105035.752643328</v>
      </c>
      <c r="G19" s="1226">
        <f>+F19/$F$24</f>
        <v>0.13897789164010932</v>
      </c>
      <c r="H19" s="1242">
        <f>+H6+H12</f>
        <v>17505657.452764072</v>
      </c>
      <c r="I19" s="1226">
        <f>+H19/$H$24</f>
        <v>0.20877539372158299</v>
      </c>
      <c r="J19" s="1242">
        <f>+J6+J12</f>
        <v>7430805.4322116598</v>
      </c>
      <c r="K19" s="1226">
        <f>+J19/$J$24</f>
        <v>0.11225621068320181</v>
      </c>
      <c r="L19" s="1242">
        <f>+L6+L12</f>
        <v>7430805.4322116598</v>
      </c>
      <c r="M19" s="1226">
        <f>+L19/$L$24</f>
        <v>0.11225621068320181</v>
      </c>
      <c r="N19" s="1242">
        <f>SUM(D19:L19)</f>
        <v>86131016.267199308</v>
      </c>
      <c r="O19" s="1226">
        <f>+N19/$N$24</f>
        <v>0.13803577668663541</v>
      </c>
      <c r="P19" s="1252"/>
      <c r="Q19" s="1252"/>
    </row>
    <row r="20" spans="1:17" x14ac:dyDescent="0.25">
      <c r="A20" s="1241"/>
      <c r="B20" s="1224" t="s">
        <v>2200</v>
      </c>
      <c r="C20" s="1224"/>
      <c r="D20" s="1242">
        <f>+D7+D13</f>
        <v>39019094.598632447</v>
      </c>
      <c r="E20" s="1226">
        <f t="shared" ref="E20:E23" si="14">+D20/$D$24</f>
        <v>0.20416098890967704</v>
      </c>
      <c r="F20" s="1242">
        <f>+F7+F13</f>
        <v>31767628.399866153</v>
      </c>
      <c r="G20" s="1226">
        <f t="shared" ref="G20:G23" si="15">+F20/$F$24</f>
        <v>0.14665313981672334</v>
      </c>
      <c r="H20" s="1242">
        <f>+H7+H13</f>
        <v>18152668.422076829</v>
      </c>
      <c r="I20" s="1226">
        <f t="shared" ref="I20:I23" si="16">+H20/$H$24</f>
        <v>0.21649175457377853</v>
      </c>
      <c r="J20" s="1242">
        <f>+J7+J13</f>
        <v>9848186.1810810696</v>
      </c>
      <c r="K20" s="1226">
        <f t="shared" ref="K20:K23" si="17">+J20/$J$24</f>
        <v>0.14877526707919642</v>
      </c>
      <c r="L20" s="1242">
        <f>+L7+L13</f>
        <v>9848186.1810810696</v>
      </c>
      <c r="M20" s="1226">
        <f t="shared" ref="M20:M23" si="18">+L20/$L$24</f>
        <v>0.14877526707919642</v>
      </c>
      <c r="N20" s="1242">
        <f t="shared" ref="N20:N23" si="19">SUM(D20:L20)</f>
        <v>108635764.49881874</v>
      </c>
      <c r="O20" s="1226">
        <f t="shared" ref="O20:O23" si="20">+N20/$N$24</f>
        <v>0.1741024636470189</v>
      </c>
      <c r="P20" s="1252"/>
      <c r="Q20" s="1252"/>
    </row>
    <row r="21" spans="1:17" x14ac:dyDescent="0.25">
      <c r="A21" s="1241"/>
      <c r="B21" s="1224" t="s">
        <v>2201</v>
      </c>
      <c r="C21" s="1224"/>
      <c r="D21" s="1242">
        <f>+D8+D14</f>
        <v>6187504.1507217903</v>
      </c>
      <c r="E21" s="1226">
        <f t="shared" si="14"/>
        <v>3.2375096841390234E-2</v>
      </c>
      <c r="F21" s="1242">
        <f>+F8+F14</f>
        <v>4475114.6774248295</v>
      </c>
      <c r="G21" s="1226">
        <f t="shared" si="15"/>
        <v>2.0659068729443446E-2</v>
      </c>
      <c r="H21" s="1242">
        <f>+H8+H14</f>
        <v>3968767.71320426</v>
      </c>
      <c r="I21" s="1226">
        <f t="shared" si="16"/>
        <v>4.7332186417419951E-2</v>
      </c>
      <c r="J21" s="1242">
        <f>+J8+J14</f>
        <v>854959.11331800092</v>
      </c>
      <c r="K21" s="1226">
        <f t="shared" si="17"/>
        <v>1.2915756067856518E-2</v>
      </c>
      <c r="L21" s="1242">
        <f>+L8+L14</f>
        <v>854959.11331800092</v>
      </c>
      <c r="M21" s="1226">
        <f t="shared" si="18"/>
        <v>1.2915756067856518E-2</v>
      </c>
      <c r="N21" s="1242">
        <f t="shared" si="19"/>
        <v>16341304.881268989</v>
      </c>
      <c r="O21" s="1226">
        <f t="shared" si="20"/>
        <v>2.6188994500673142E-2</v>
      </c>
      <c r="P21" s="1252"/>
      <c r="Q21" s="1252"/>
    </row>
    <row r="22" spans="1:17" x14ac:dyDescent="0.25">
      <c r="A22" s="1241"/>
      <c r="B22" s="1228" t="s">
        <v>120</v>
      </c>
      <c r="C22" s="1224"/>
      <c r="D22" s="1242">
        <f>+D9+D15</f>
        <v>52360507.211143099</v>
      </c>
      <c r="E22" s="1226">
        <f t="shared" si="14"/>
        <v>0.27396773405433955</v>
      </c>
      <c r="F22" s="1242">
        <f>+F9+F15</f>
        <v>64979814.990713984</v>
      </c>
      <c r="G22" s="1226">
        <f t="shared" si="15"/>
        <v>0.29997498627055663</v>
      </c>
      <c r="H22" s="1242">
        <f>+H9+H15</f>
        <v>33358565.944318209</v>
      </c>
      <c r="I22" s="1226">
        <f t="shared" si="16"/>
        <v>0.39783982737036627</v>
      </c>
      <c r="J22" s="1242">
        <f>+J9+J15</f>
        <v>19449208.409706101</v>
      </c>
      <c r="K22" s="1226">
        <f t="shared" si="17"/>
        <v>0.29381666049243416</v>
      </c>
      <c r="L22" s="1242">
        <f>+L9+L15</f>
        <v>19449208.409706101</v>
      </c>
      <c r="M22" s="1226">
        <f t="shared" si="18"/>
        <v>0.29381666049243416</v>
      </c>
      <c r="N22" s="1242">
        <f t="shared" si="19"/>
        <v>189597306.23118669</v>
      </c>
      <c r="O22" s="1226">
        <f t="shared" si="20"/>
        <v>0.30385350780172232</v>
      </c>
      <c r="P22" s="1252"/>
      <c r="Q22" s="1252"/>
    </row>
    <row r="23" spans="1:17" x14ac:dyDescent="0.25">
      <c r="A23" s="1241"/>
      <c r="B23" s="1229" t="s">
        <v>2617</v>
      </c>
      <c r="C23" s="1229"/>
      <c r="D23" s="1242">
        <f>+D10+D16</f>
        <v>69893430.069737703</v>
      </c>
      <c r="E23" s="1226">
        <f t="shared" si="14"/>
        <v>0.36570586652790066</v>
      </c>
      <c r="F23" s="1242">
        <f>+F10+F16</f>
        <v>85289850.8489106</v>
      </c>
      <c r="G23" s="1226">
        <f t="shared" si="15"/>
        <v>0.39373491354316731</v>
      </c>
      <c r="H23" s="1242">
        <f>+H10+H16</f>
        <v>10863577.39499755</v>
      </c>
      <c r="I23" s="1226">
        <f t="shared" si="16"/>
        <v>0.12956083791685225</v>
      </c>
      <c r="J23" s="1242">
        <f>+J10+J16</f>
        <v>28611890.447016519</v>
      </c>
      <c r="K23" s="1226">
        <f t="shared" si="17"/>
        <v>0.43223610567731102</v>
      </c>
      <c r="L23" s="1242">
        <f>+L10+L16</f>
        <v>28611890.447016519</v>
      </c>
      <c r="M23" s="1226">
        <f t="shared" si="18"/>
        <v>0.43223610567731102</v>
      </c>
      <c r="N23" s="1242">
        <f t="shared" si="19"/>
        <v>223270640.52891654</v>
      </c>
      <c r="O23" s="1226">
        <f t="shared" si="20"/>
        <v>0.35781925736395026</v>
      </c>
      <c r="P23" s="1252"/>
      <c r="Q23" s="1252"/>
    </row>
    <row r="24" spans="1:17" ht="16.3" x14ac:dyDescent="0.25">
      <c r="A24" s="1241"/>
      <c r="B24" s="1243" t="s">
        <v>2656</v>
      </c>
      <c r="C24" s="1244"/>
      <c r="D24" s="1245">
        <f>SUM(D19:D23)</f>
        <v>191119247.64380381</v>
      </c>
      <c r="E24" s="1246">
        <f>SUM(E19:E23)</f>
        <v>1</v>
      </c>
      <c r="F24" s="1245">
        <f t="shared" ref="F24:N24" si="21">SUM(F19:F23)</f>
        <v>216617444.66955888</v>
      </c>
      <c r="G24" s="1246">
        <f>SUM(G19:G23)</f>
        <v>1</v>
      </c>
      <c r="H24" s="1245">
        <f t="shared" si="21"/>
        <v>83849236.927360922</v>
      </c>
      <c r="I24" s="1246">
        <f>SUM(I19:I23)</f>
        <v>1</v>
      </c>
      <c r="J24" s="1245">
        <f t="shared" si="21"/>
        <v>66195049.583333358</v>
      </c>
      <c r="K24" s="1246">
        <f>SUM(K19:K23)</f>
        <v>0.99999999999999978</v>
      </c>
      <c r="L24" s="1245">
        <f t="shared" si="21"/>
        <v>66195049.583333358</v>
      </c>
      <c r="M24" s="1246">
        <f>SUM(M19:M23)</f>
        <v>0.99999999999999978</v>
      </c>
      <c r="N24" s="1245">
        <f t="shared" si="21"/>
        <v>623976032.40739024</v>
      </c>
      <c r="O24" s="1246">
        <f>SUM(O19:O23)</f>
        <v>1</v>
      </c>
      <c r="P24" s="1252"/>
      <c r="Q24" s="1252"/>
    </row>
    <row r="25" spans="1:17" x14ac:dyDescent="0.25">
      <c r="A25" s="1241"/>
      <c r="P25" s="1252"/>
      <c r="Q25" s="1252"/>
    </row>
    <row r="26" spans="1:17" ht="16.3" x14ac:dyDescent="0.25">
      <c r="A26" s="1241"/>
      <c r="B26" s="1220" t="s">
        <v>2657</v>
      </c>
      <c r="D26" s="1260"/>
      <c r="E26" s="1260"/>
      <c r="F26" s="1260"/>
      <c r="G26" s="1260"/>
      <c r="H26" s="1260"/>
      <c r="I26" s="1260"/>
      <c r="J26" s="1260"/>
      <c r="K26" s="1260"/>
      <c r="L26" s="1260"/>
      <c r="N26" s="1252"/>
      <c r="P26" s="1252"/>
      <c r="Q26" s="1252"/>
    </row>
    <row r="27" spans="1:17" ht="16.3" x14ac:dyDescent="0.25">
      <c r="A27" s="1241"/>
      <c r="B27" s="1222" t="s">
        <v>2197</v>
      </c>
      <c r="C27" s="1222" t="s">
        <v>2309</v>
      </c>
      <c r="D27" s="1222" t="s">
        <v>211</v>
      </c>
      <c r="E27" s="1222" t="s">
        <v>89</v>
      </c>
      <c r="F27" s="1222" t="s">
        <v>212</v>
      </c>
      <c r="G27" s="1222" t="s">
        <v>89</v>
      </c>
      <c r="H27" s="1222" t="s">
        <v>213</v>
      </c>
      <c r="I27" s="1222" t="s">
        <v>89</v>
      </c>
      <c r="J27" s="1222" t="s">
        <v>214</v>
      </c>
      <c r="K27" s="1222" t="s">
        <v>89</v>
      </c>
      <c r="L27" s="1222" t="s">
        <v>215</v>
      </c>
      <c r="M27" s="1222" t="s">
        <v>89</v>
      </c>
      <c r="N27" s="1222" t="s">
        <v>2312</v>
      </c>
      <c r="O27" s="1222" t="s">
        <v>89</v>
      </c>
      <c r="P27" s="1252"/>
      <c r="Q27" s="1252"/>
    </row>
    <row r="28" spans="1:17" x14ac:dyDescent="0.25">
      <c r="A28" s="1241"/>
      <c r="B28" s="1228" t="s">
        <v>137</v>
      </c>
      <c r="C28" s="1247">
        <v>63</v>
      </c>
      <c r="D28" s="1225">
        <f>+GETPIVOTDATA(" Año 1",'10. Ranking'!$C$4,"UDT","UDT ALTO HUALLAGA ")*A34</f>
        <v>98766679.628442109</v>
      </c>
      <c r="E28" s="1226">
        <f>+D28/$D$33</f>
        <v>0.16018647761031699</v>
      </c>
      <c r="F28" s="1225">
        <f>+GETPIVOTDATA(" Año 2",'10. Ranking'!$C$4,"UDT","UDT ALTO HUALLAGA ")*A34</f>
        <v>96833966.58034429</v>
      </c>
      <c r="G28" s="1226">
        <f>+F28/$F$33</f>
        <v>0.16458300348537616</v>
      </c>
      <c r="H28" s="1225">
        <f>+GETPIVOTDATA(" Año 3",'10. Ranking'!$C$4,"UDT","UDT ALTO HUALLAGA ")*A34</f>
        <v>97137737.369759142</v>
      </c>
      <c r="I28" s="1226">
        <f>+H28/$H$33</f>
        <v>0.16317350537127406</v>
      </c>
      <c r="J28" s="1225">
        <f>+GETPIVOTDATA(" Año 4",'10. Ranking'!$C$4,"UDT","UDT ALTO HUALLAGA ")*A34</f>
        <v>97916621.248538837</v>
      </c>
      <c r="K28" s="1226">
        <f>+J28/$J$33</f>
        <v>0.16329882038266444</v>
      </c>
      <c r="L28" s="1225">
        <f>+GETPIVOTDATA(" Año 5",'10. Ranking'!$C$4,"UDT","UDT ALTO HUALLAGA ")*A34</f>
        <v>97472549.910773993</v>
      </c>
      <c r="M28" s="1226">
        <f>+L28/$L$33</f>
        <v>0.16391320105925605</v>
      </c>
      <c r="N28" s="1225">
        <f>+D28+F28+H28+J28+L28</f>
        <v>488127554.73785841</v>
      </c>
      <c r="O28" s="1226">
        <f>+N28/$N$33</f>
        <v>0.16300739430824285</v>
      </c>
      <c r="P28" s="1252"/>
      <c r="Q28" s="1252"/>
    </row>
    <row r="29" spans="1:17" x14ac:dyDescent="0.25">
      <c r="A29" s="1241"/>
      <c r="B29" s="1228" t="s">
        <v>132</v>
      </c>
      <c r="C29" s="1247">
        <v>66</v>
      </c>
      <c r="D29" s="1225">
        <f>+GETPIVOTDATA(" Año 1",'10. Ranking'!$C$4,"UDT","UDT ALTO MAYO")*A34</f>
        <v>115284295.238499</v>
      </c>
      <c r="E29" s="1226">
        <f t="shared" ref="E29:E32" si="22">+D29/$D$33</f>
        <v>0.18697586319106149</v>
      </c>
      <c r="F29" s="1225">
        <f>+GETPIVOTDATA(" Año 2",'10. Ranking'!$C$4,"UDT","UDT ALTO MAYO")*A34</f>
        <v>113344890.75491242</v>
      </c>
      <c r="G29" s="1226">
        <f t="shared" ref="G29:G32" si="23">+F29/$F$33</f>
        <v>0.19264565120016386</v>
      </c>
      <c r="H29" s="1225">
        <f>+GETPIVOTDATA(" Año 3",'10. Ranking'!$C$4,"UDT","UDT ALTO MAYO")*A34</f>
        <v>114463226.07030421</v>
      </c>
      <c r="I29" s="1226">
        <f t="shared" ref="I29:I32" si="24">+H29/$H$33</f>
        <v>0.192277134919253</v>
      </c>
      <c r="J29" s="1225">
        <f>+GETPIVOTDATA(" Año 4",'10. Ranking'!$C$4,"UDT","UDT ALTO MAYO")*A34</f>
        <v>116493121.87546279</v>
      </c>
      <c r="K29" s="1226">
        <f t="shared" ref="K29:K32" si="25">+J29/$J$33</f>
        <v>0.19427947106825758</v>
      </c>
      <c r="L29" s="1225">
        <f>+GETPIVOTDATA(" Año 5",'10. Ranking'!$C$4,"UDT","UDT ALTO MAYO")*A34</f>
        <v>115341600.47694598</v>
      </c>
      <c r="M29" s="1226">
        <f t="shared" ref="M29:M32" si="26">+L29/$L$33</f>
        <v>0.19396241266675102</v>
      </c>
      <c r="N29" s="1225">
        <f t="shared" ref="N29:N32" si="27">+D29+F29+H29+J29+L29</f>
        <v>574927134.41612434</v>
      </c>
      <c r="O29" s="1226">
        <f t="shared" ref="O29:O32" si="28">+N29/$N$33</f>
        <v>0.19199361557985972</v>
      </c>
      <c r="P29" s="1252"/>
      <c r="Q29" s="1252"/>
    </row>
    <row r="30" spans="1:17" x14ac:dyDescent="0.25">
      <c r="A30" s="1241"/>
      <c r="B30" s="1228" t="s">
        <v>134</v>
      </c>
      <c r="C30" s="1247">
        <v>64</v>
      </c>
      <c r="D30" s="1225">
        <f>+GETPIVOTDATA(" Año 1",'10. Ranking'!$C$4,"UDT","UDT BAJO HUALLAGA")*A34</f>
        <v>93987011.269192621</v>
      </c>
      <c r="E30" s="1226">
        <f t="shared" si="22"/>
        <v>0.15243448836157467</v>
      </c>
      <c r="F30" s="1225">
        <f>+GETPIVOTDATA(" Año 2",'10. Ranking'!$C$4,"UDT","UDT BAJO HUALLAGA")*A34</f>
        <v>91376954.852416798</v>
      </c>
      <c r="G30" s="1226">
        <f t="shared" si="23"/>
        <v>0.15530804127991865</v>
      </c>
      <c r="H30" s="1225">
        <f>+GETPIVOTDATA(" Año 3",'10. Ranking'!$C$4,"UDT","UDT BAJO HUALLAGA")*A34</f>
        <v>92948414.603692353</v>
      </c>
      <c r="I30" s="1226">
        <f t="shared" si="24"/>
        <v>0.15613621482508092</v>
      </c>
      <c r="J30" s="1225">
        <f>+GETPIVOTDATA(" Año 4",'10. Ranking'!$C$4,"UDT","UDT BAJO HUALLAGA")*A34</f>
        <v>90047178.314443484</v>
      </c>
      <c r="K30" s="1226">
        <f t="shared" si="25"/>
        <v>0.15017468750491117</v>
      </c>
      <c r="L30" s="1225">
        <f>+GETPIVOTDATA(" Año 5",'10. Ranking'!$C$4,"UDT","UDT BAJO HUALLAGA")*A34</f>
        <v>89690431.316567913</v>
      </c>
      <c r="M30" s="1226">
        <f t="shared" si="26"/>
        <v>0.15082652208177214</v>
      </c>
      <c r="N30" s="1225">
        <f t="shared" si="27"/>
        <v>458049990.35631311</v>
      </c>
      <c r="O30" s="1226">
        <f t="shared" si="28"/>
        <v>0.15296316437410787</v>
      </c>
      <c r="P30" s="1252"/>
      <c r="Q30" s="1252"/>
    </row>
    <row r="31" spans="1:17" x14ac:dyDescent="0.25">
      <c r="A31" s="1241"/>
      <c r="B31" s="1228" t="s">
        <v>120</v>
      </c>
      <c r="C31" s="1247">
        <v>70</v>
      </c>
      <c r="D31" s="1225">
        <f>+GETPIVOTDATA(" Año 1",'10. Ranking'!$C$4,"UDT","UDT HUALLAGA CENTRAL Y BAJO MAYO")*A34</f>
        <v>280473610.569233</v>
      </c>
      <c r="E31" s="1226">
        <f t="shared" si="22"/>
        <v>0.45489106152754721</v>
      </c>
      <c r="F31" s="1225">
        <f>+GETPIVOTDATA(" Año 2",'10. Ranking'!$C$4,"UDT","UDT HUALLAGA CENTRAL Y BAJO MAYO")*A34</f>
        <v>261102907.63574114</v>
      </c>
      <c r="G31" s="1226">
        <f t="shared" si="23"/>
        <v>0.44378127092211744</v>
      </c>
      <c r="H31" s="1225">
        <f>+GETPIVOTDATA(" Año 3",'10. Ranking'!$C$4,"UDT","UDT HUALLAGA CENTRAL Y BAJO MAYO")*A34</f>
        <v>265084396.8615028</v>
      </c>
      <c r="I31" s="1226">
        <f t="shared" si="24"/>
        <v>0.44529295643844607</v>
      </c>
      <c r="J31" s="1225">
        <f>+GETPIVOTDATA(" Año 4",'10. Ranking'!$C$4,"UDT","UDT HUALLAGA CENTRAL Y BAJO MAYO")*A34</f>
        <v>271736146.70824105</v>
      </c>
      <c r="K31" s="1226">
        <f t="shared" si="25"/>
        <v>0.45318344982669206</v>
      </c>
      <c r="L31" s="1225">
        <f>+GETPIVOTDATA(" Año 5",'10. Ranking'!$C$4,"UDT","UDT HUALLAGA CENTRAL Y BAJO MAYO")*A34</f>
        <v>268793081.16732323</v>
      </c>
      <c r="M31" s="1226">
        <f t="shared" si="26"/>
        <v>0.45201171403690149</v>
      </c>
      <c r="N31" s="1225">
        <f t="shared" si="27"/>
        <v>1347190142.9420414</v>
      </c>
      <c r="O31" s="1226">
        <f t="shared" si="28"/>
        <v>0.44988641330986801</v>
      </c>
      <c r="P31" s="1252"/>
      <c r="Q31" s="1252"/>
    </row>
    <row r="32" spans="1:17" x14ac:dyDescent="0.25">
      <c r="A32" s="1241"/>
      <c r="B32" s="1228" t="s">
        <v>139</v>
      </c>
      <c r="C32" s="1247">
        <v>39</v>
      </c>
      <c r="D32" s="1225">
        <f>+GETPIVOTDATA(" Año 1",'10. Ranking'!$C$4,"UDT","REGIONAL")*A34</f>
        <v>28061544.185527887</v>
      </c>
      <c r="E32" s="1226">
        <f t="shared" si="22"/>
        <v>4.5512109309499588E-2</v>
      </c>
      <c r="F32" s="1225">
        <f>+GETPIVOTDATA(" Año 2",'10. Ranking'!$C$4,"UDT","REGIONAL")*A34</f>
        <v>25700737.287527889</v>
      </c>
      <c r="G32" s="1226">
        <f t="shared" si="23"/>
        <v>4.3682033112423808E-2</v>
      </c>
      <c r="H32" s="1225">
        <f>+GETPIVOTDATA(" Año 3",'10. Ranking'!$C$4,"UDT","REGIONAL")*A34</f>
        <v>25669593.424902886</v>
      </c>
      <c r="I32" s="1226">
        <f t="shared" si="24"/>
        <v>4.3120188445945867E-2</v>
      </c>
      <c r="J32" s="1225">
        <f>+GETPIVOTDATA(" Año 4",'10. Ranking'!$C$4,"UDT","REGIONAL")*A34</f>
        <v>23423150.874902889</v>
      </c>
      <c r="K32" s="1226">
        <f t="shared" si="25"/>
        <v>3.9063571217474939E-2</v>
      </c>
      <c r="L32" s="1225">
        <f>+GETPIVOTDATA(" Año 5",'10. Ranking'!$C$4,"UDT","REGIONAL")*A34</f>
        <v>23361884.259902887</v>
      </c>
      <c r="M32" s="1226">
        <f t="shared" si="26"/>
        <v>3.9286150155319395E-2</v>
      </c>
      <c r="N32" s="1225">
        <f t="shared" si="27"/>
        <v>126216910.03276443</v>
      </c>
      <c r="O32" s="1226">
        <f t="shared" si="28"/>
        <v>4.214941242792155E-2</v>
      </c>
      <c r="P32" s="1252"/>
      <c r="Q32" s="1252"/>
    </row>
    <row r="33" spans="1:17" ht="16.3" x14ac:dyDescent="0.25">
      <c r="A33" s="1241"/>
      <c r="B33" s="1243" t="s">
        <v>141</v>
      </c>
      <c r="C33" s="1222">
        <v>302</v>
      </c>
      <c r="D33" s="1248">
        <f>+D28+D29+D30+D31+D32</f>
        <v>616573140.89089465</v>
      </c>
      <c r="E33" s="1246">
        <f>SUM(E28:E32)</f>
        <v>0.99999999999999989</v>
      </c>
      <c r="F33" s="1248">
        <f>+F28+F29+F30+F31+F32</f>
        <v>588359457.1109426</v>
      </c>
      <c r="G33" s="1246">
        <f>SUM(G28:G32)</f>
        <v>0.99999999999999989</v>
      </c>
      <c r="H33" s="1248">
        <f>+H28+H29+H30+H31+H32</f>
        <v>595303368.33016145</v>
      </c>
      <c r="I33" s="1246">
        <f>SUM(I28:I32)</f>
        <v>0.99999999999999989</v>
      </c>
      <c r="J33" s="1248">
        <f>+J28+J29+J30+J31+J32</f>
        <v>599616219.02158892</v>
      </c>
      <c r="K33" s="1246">
        <f>SUM(K28:K32)</f>
        <v>1.0000000000000002</v>
      </c>
      <c r="L33" s="1248">
        <f>+L28+L29+L30+L31+L32</f>
        <v>594659547.13151395</v>
      </c>
      <c r="M33" s="1246">
        <f>SUM(M28:M32)</f>
        <v>1.0000000000000002</v>
      </c>
      <c r="N33" s="1248">
        <f>+N28+N29+N30+N31+N32</f>
        <v>2994511732.4851017</v>
      </c>
      <c r="O33" s="1246">
        <f>SUM(O28:O32)</f>
        <v>1</v>
      </c>
      <c r="P33" s="1252"/>
      <c r="Q33" s="1252"/>
    </row>
    <row r="34" spans="1:17" s="1259" customFormat="1" ht="16.3" x14ac:dyDescent="0.25">
      <c r="A34" s="1261">
        <v>1.0105</v>
      </c>
      <c r="B34" s="979" t="s">
        <v>2660</v>
      </c>
      <c r="C34" s="1255"/>
      <c r="D34" s="1256"/>
      <c r="E34" s="1257"/>
      <c r="F34" s="1256"/>
      <c r="G34" s="1257"/>
      <c r="H34" s="1256"/>
      <c r="I34" s="1257"/>
      <c r="J34" s="1256"/>
      <c r="K34" s="1257"/>
      <c r="L34" s="1256"/>
      <c r="M34" s="1257"/>
      <c r="N34" s="1256"/>
      <c r="O34" s="1257"/>
      <c r="P34" s="1258"/>
      <c r="Q34" s="1258"/>
    </row>
    <row r="35" spans="1:17" s="1259" customFormat="1" ht="16.3" x14ac:dyDescent="0.25">
      <c r="A35" s="1253"/>
      <c r="B35" s="1254"/>
      <c r="C35" s="1255"/>
      <c r="D35" s="1256"/>
      <c r="E35" s="1257"/>
      <c r="F35" s="1256"/>
      <c r="G35" s="1257"/>
      <c r="H35" s="1256"/>
      <c r="I35" s="1257"/>
      <c r="J35" s="1256"/>
      <c r="K35" s="1257"/>
      <c r="L35" s="1256"/>
      <c r="M35" s="1257"/>
      <c r="N35" s="1256"/>
      <c r="O35" s="1257"/>
      <c r="P35" s="1258"/>
      <c r="Q35" s="1258"/>
    </row>
    <row r="36" spans="1:17" x14ac:dyDescent="0.25">
      <c r="E36" s="1249"/>
    </row>
    <row r="37" spans="1:17" ht="16.3" x14ac:dyDescent="0.25">
      <c r="B37" s="1220" t="s">
        <v>2658</v>
      </c>
      <c r="E37" s="1249"/>
    </row>
    <row r="38" spans="1:17" ht="16.3" x14ac:dyDescent="0.25">
      <c r="B38" s="1222" t="s">
        <v>2197</v>
      </c>
      <c r="C38" s="1222"/>
      <c r="D38" s="1222" t="s">
        <v>211</v>
      </c>
      <c r="E38" s="1222"/>
      <c r="F38" s="1222" t="s">
        <v>212</v>
      </c>
      <c r="G38" s="1222"/>
      <c r="H38" s="1222" t="s">
        <v>213</v>
      </c>
      <c r="I38" s="1222"/>
      <c r="J38" s="1222" t="s">
        <v>214</v>
      </c>
      <c r="K38" s="1222"/>
      <c r="L38" s="1222" t="s">
        <v>215</v>
      </c>
      <c r="M38" s="1222"/>
      <c r="N38" s="1222" t="s">
        <v>2312</v>
      </c>
      <c r="O38" s="1222"/>
    </row>
    <row r="39" spans="1:17" x14ac:dyDescent="0.25">
      <c r="B39" s="1228" t="s">
        <v>137</v>
      </c>
      <c r="C39" s="1228"/>
      <c r="D39" s="1250">
        <f t="shared" ref="D39:D44" si="29">+D19/D28</f>
        <v>0.23954142938258396</v>
      </c>
      <c r="E39" s="1250"/>
      <c r="F39" s="1250">
        <f t="shared" ref="F39:F44" si="30">+F19/F28</f>
        <v>0.31089334471974589</v>
      </c>
      <c r="G39" s="1247"/>
      <c r="H39" s="1250">
        <f t="shared" ref="H39:H44" si="31">+H19/H28</f>
        <v>0.18021479526672526</v>
      </c>
      <c r="I39" s="1247"/>
      <c r="J39" s="1250">
        <f t="shared" ref="J39:J44" si="32">+J19/J28</f>
        <v>7.5889111955265168E-2</v>
      </c>
      <c r="K39" s="1247"/>
      <c r="L39" s="1250">
        <f t="shared" ref="L39:L44" si="33">+L19/L28</f>
        <v>7.6234852161083208E-2</v>
      </c>
      <c r="M39" s="1247"/>
      <c r="N39" s="1250">
        <f t="shared" ref="N39:N44" si="34">+N19/N28</f>
        <v>0.17645186269694338</v>
      </c>
    </row>
    <row r="40" spans="1:17" x14ac:dyDescent="0.25">
      <c r="B40" s="1228" t="s">
        <v>132</v>
      </c>
      <c r="C40" s="1228"/>
      <c r="D40" s="1250">
        <f t="shared" si="29"/>
        <v>0.33845975740156226</v>
      </c>
      <c r="E40" s="1247"/>
      <c r="F40" s="1250">
        <f t="shared" si="30"/>
        <v>0.28027402195444201</v>
      </c>
      <c r="G40" s="1247"/>
      <c r="H40" s="1250">
        <f t="shared" si="31"/>
        <v>0.15858952298729828</v>
      </c>
      <c r="I40" s="1247"/>
      <c r="J40" s="1250">
        <f t="shared" si="32"/>
        <v>8.4538778105794896E-2</v>
      </c>
      <c r="K40" s="1247"/>
      <c r="L40" s="1250">
        <f t="shared" si="33"/>
        <v>8.5382777249128655E-2</v>
      </c>
      <c r="M40" s="1247"/>
      <c r="N40" s="1250">
        <f t="shared" si="34"/>
        <v>0.18895570933374953</v>
      </c>
    </row>
    <row r="41" spans="1:17" x14ac:dyDescent="0.25">
      <c r="B41" s="1228" t="s">
        <v>134</v>
      </c>
      <c r="C41" s="1228"/>
      <c r="D41" s="1250">
        <f t="shared" si="29"/>
        <v>6.5833608997309945E-2</v>
      </c>
      <c r="E41" s="1247"/>
      <c r="F41" s="1250">
        <f t="shared" si="30"/>
        <v>4.8974215486307253E-2</v>
      </c>
      <c r="G41" s="1247"/>
      <c r="H41" s="1250">
        <f t="shared" si="31"/>
        <v>4.2698605781777386E-2</v>
      </c>
      <c r="I41" s="1247"/>
      <c r="J41" s="1250">
        <f t="shared" si="32"/>
        <v>9.4945686174917748E-3</v>
      </c>
      <c r="K41" s="1247"/>
      <c r="L41" s="1250">
        <f t="shared" si="33"/>
        <v>9.5323336142778704E-3</v>
      </c>
      <c r="M41" s="1247"/>
      <c r="N41" s="1250">
        <f t="shared" si="34"/>
        <v>3.5675810992938192E-2</v>
      </c>
    </row>
    <row r="42" spans="1:17" x14ac:dyDescent="0.25">
      <c r="B42" s="1228" t="s">
        <v>120</v>
      </c>
      <c r="C42" s="1228"/>
      <c r="D42" s="1250">
        <f t="shared" si="29"/>
        <v>0.18668603832237637</v>
      </c>
      <c r="E42" s="1247"/>
      <c r="F42" s="1250">
        <f t="shared" si="30"/>
        <v>0.24886668470718787</v>
      </c>
      <c r="G42" s="1247"/>
      <c r="H42" s="1250">
        <f t="shared" si="31"/>
        <v>0.12584130314447317</v>
      </c>
      <c r="I42" s="1247"/>
      <c r="J42" s="1250">
        <f t="shared" si="32"/>
        <v>7.157387283697822E-2</v>
      </c>
      <c r="K42" s="1247"/>
      <c r="L42" s="1250">
        <f t="shared" si="33"/>
        <v>7.235754850995961E-2</v>
      </c>
      <c r="M42" s="1247"/>
      <c r="N42" s="1250">
        <f t="shared" si="34"/>
        <v>0.14073537222974139</v>
      </c>
    </row>
    <row r="43" spans="1:17" x14ac:dyDescent="0.25">
      <c r="B43" s="1228" t="s">
        <v>139</v>
      </c>
      <c r="C43" s="1228"/>
      <c r="D43" s="1250">
        <f t="shared" si="29"/>
        <v>2.4907193135074754</v>
      </c>
      <c r="E43" s="1247"/>
      <c r="F43" s="1250">
        <f t="shared" si="30"/>
        <v>3.3185760351824714</v>
      </c>
      <c r="G43" s="1247"/>
      <c r="H43" s="1250">
        <f t="shared" si="31"/>
        <v>0.42320800392804231</v>
      </c>
      <c r="I43" s="1247"/>
      <c r="J43" s="1250">
        <f t="shared" si="32"/>
        <v>1.2215218439152518</v>
      </c>
      <c r="K43" s="1247"/>
      <c r="L43" s="1250">
        <f t="shared" si="33"/>
        <v>1.224725288795496</v>
      </c>
      <c r="M43" s="1247"/>
      <c r="N43" s="1250">
        <f t="shared" si="34"/>
        <v>1.7689439590222744</v>
      </c>
    </row>
    <row r="44" spans="1:17" ht="16.3" x14ac:dyDescent="0.25">
      <c r="D44" s="1251">
        <f t="shared" si="29"/>
        <v>0.309970115415104</v>
      </c>
      <c r="E44" s="1182"/>
      <c r="F44" s="1251">
        <f t="shared" si="30"/>
        <v>0.36817194327635822</v>
      </c>
      <c r="G44" s="1182"/>
      <c r="H44" s="1251">
        <f t="shared" si="31"/>
        <v>0.14085127245720078</v>
      </c>
      <c r="I44" s="1182"/>
      <c r="J44" s="1251">
        <f t="shared" si="32"/>
        <v>0.11039569558566266</v>
      </c>
      <c r="K44" s="1182"/>
      <c r="L44" s="1251">
        <f t="shared" si="33"/>
        <v>0.11131587797192764</v>
      </c>
      <c r="M44" s="1182"/>
      <c r="N44" s="1251">
        <f t="shared" si="34"/>
        <v>0.20837321344857834</v>
      </c>
    </row>
  </sheetData>
  <mergeCells count="1">
    <mergeCell ref="B3:N3"/>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9">
    <pageSetUpPr fitToPage="1"/>
  </sheetPr>
  <dimension ref="A1:CC663"/>
  <sheetViews>
    <sheetView showGridLines="0" zoomScale="70" zoomScaleNormal="70" workbookViewId="0"/>
  </sheetViews>
  <sheetFormatPr baseColWidth="10" defaultColWidth="8.8984375" defaultRowHeight="15.65" x14ac:dyDescent="0.25"/>
  <cols>
    <col min="1" max="1" width="4.59765625" style="530" customWidth="1"/>
    <col min="2" max="2" width="10.3984375" style="671" customWidth="1"/>
    <col min="3" max="3" width="9.09765625" style="658" customWidth="1"/>
    <col min="4" max="4" width="12" style="1063" customWidth="1"/>
    <col min="5" max="5" width="22.19921875" style="195" customWidth="1"/>
    <col min="6" max="6" width="15.19921875" style="209" customWidth="1"/>
    <col min="7" max="7" width="8" style="1085" customWidth="1"/>
    <col min="8" max="8" width="10.796875" style="1105" customWidth="1"/>
    <col min="9" max="9" width="12.19921875" style="1054" customWidth="1"/>
    <col min="10" max="10" width="12.69921875" style="675" customWidth="1"/>
    <col min="11" max="11" width="9.8984375" style="675" customWidth="1"/>
    <col min="12" max="12" width="9.8984375" style="639" customWidth="1"/>
    <col min="13" max="13" width="13.296875" style="639" customWidth="1"/>
    <col min="14" max="14" width="23.59765625" style="596" customWidth="1"/>
    <col min="15" max="15" width="23.59765625" style="512" customWidth="1"/>
    <col min="16" max="16" width="11.796875" style="512" hidden="1" customWidth="1"/>
    <col min="17" max="17" width="25.59765625" style="753" customWidth="1"/>
    <col min="18" max="19" width="25.59765625" style="596" customWidth="1"/>
    <col min="20" max="20" width="11.8984375" style="517" customWidth="1"/>
    <col min="21" max="21" width="11.8984375" style="231" customWidth="1"/>
    <col min="22" max="23" width="11.8984375" style="596" hidden="1" customWidth="1"/>
    <col min="24" max="24" width="8.8984375" style="530" customWidth="1"/>
    <col min="25" max="25" width="8.8984375" style="530"/>
    <col min="26" max="26" width="8.8984375" style="530" customWidth="1"/>
    <col min="27" max="27" width="37.296875" style="530" customWidth="1"/>
    <col min="28" max="28" width="3.796875" style="530" customWidth="1"/>
    <col min="29" max="29" width="8.8984375" style="530" customWidth="1"/>
    <col min="30" max="30" width="29.8984375" style="530" customWidth="1"/>
    <col min="31" max="31" width="3.796875" style="530" customWidth="1"/>
    <col min="32" max="32" width="9.19921875" style="530" customWidth="1"/>
    <col min="33" max="33" width="29.8984375" style="530" customWidth="1"/>
    <col min="34" max="34" width="3.796875" style="530" customWidth="1"/>
    <col min="35" max="35" width="8.8984375" style="530" customWidth="1"/>
    <col min="36" max="36" width="29.8984375" style="530" customWidth="1"/>
    <col min="37" max="37" width="3.796875" style="530" customWidth="1"/>
    <col min="38" max="38" width="8.8984375" style="530" customWidth="1"/>
    <col min="39" max="39" width="29.8984375" style="530" customWidth="1"/>
    <col min="40" max="40" width="4.3984375" style="530" customWidth="1"/>
    <col min="41" max="41" width="8.8984375" style="530" customWidth="1"/>
    <col min="42" max="42" width="29.8984375" style="530" customWidth="1"/>
    <col min="43" max="43" width="3.69921875" style="530" customWidth="1"/>
    <col min="44" max="44" width="8.8984375" style="530" customWidth="1"/>
    <col min="45" max="45" width="29.8984375" style="530" customWidth="1"/>
    <col min="46" max="46" width="3.69921875" style="530" customWidth="1"/>
    <col min="47" max="47" width="8.8984375" style="530" customWidth="1"/>
    <col min="48" max="48" width="29.8984375" style="530" customWidth="1"/>
    <col min="49" max="50" width="8.8984375" style="530"/>
    <col min="51" max="51" width="8.8984375" style="273"/>
    <col min="52" max="52" width="17.8984375" style="273" customWidth="1"/>
    <col min="53" max="53" width="25.09765625" style="530" customWidth="1"/>
    <col min="54" max="16384" width="8.8984375" style="530"/>
  </cols>
  <sheetData>
    <row r="1" spans="1:81" s="1186" customFormat="1" x14ac:dyDescent="0.25">
      <c r="B1" s="671"/>
      <c r="C1" s="658"/>
      <c r="D1" s="1063"/>
      <c r="E1" s="195"/>
      <c r="F1" s="209"/>
      <c r="G1" s="1085"/>
      <c r="H1" s="1105"/>
      <c r="I1" s="1054"/>
      <c r="J1" s="675"/>
      <c r="K1" s="675"/>
      <c r="L1" s="639"/>
      <c r="M1" s="639"/>
      <c r="O1" s="512"/>
      <c r="P1" s="512"/>
      <c r="Q1" s="753"/>
      <c r="T1" s="517"/>
      <c r="U1" s="231"/>
      <c r="AY1" s="273"/>
      <c r="AZ1" s="273"/>
    </row>
    <row r="2" spans="1:81" ht="6.8" customHeight="1" x14ac:dyDescent="0.25">
      <c r="A2" s="825"/>
      <c r="N2" s="825"/>
      <c r="R2" s="825"/>
      <c r="S2" s="825"/>
      <c r="V2" s="825"/>
      <c r="W2" s="825"/>
      <c r="X2" s="825"/>
      <c r="Y2" s="825"/>
      <c r="Z2" s="825"/>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BA2" s="825"/>
      <c r="BB2" s="825"/>
      <c r="BC2" s="825"/>
      <c r="BD2" s="825"/>
      <c r="BE2" s="825"/>
      <c r="BF2" s="825"/>
      <c r="BG2" s="825"/>
      <c r="BH2" s="825"/>
      <c r="BI2" s="825"/>
      <c r="BJ2" s="825"/>
      <c r="BK2" s="825"/>
      <c r="BL2" s="825"/>
      <c r="BM2" s="825"/>
      <c r="BN2" s="825"/>
      <c r="BO2" s="825"/>
      <c r="BP2" s="825"/>
      <c r="BQ2" s="825"/>
      <c r="BR2" s="825"/>
      <c r="BS2" s="825"/>
      <c r="BT2" s="825"/>
      <c r="BU2" s="825"/>
      <c r="BV2" s="825"/>
      <c r="BW2" s="825"/>
      <c r="BX2" s="825"/>
      <c r="BY2" s="825"/>
      <c r="BZ2" s="825"/>
      <c r="CA2" s="825"/>
      <c r="CB2" s="825"/>
      <c r="CC2" s="825"/>
    </row>
    <row r="3" spans="1:81" ht="22.95" customHeight="1" x14ac:dyDescent="0.4">
      <c r="A3" s="825"/>
      <c r="B3" s="1672" t="s">
        <v>450</v>
      </c>
      <c r="C3" s="1672"/>
      <c r="D3" s="1672"/>
      <c r="E3" s="1672"/>
      <c r="F3" s="1672"/>
      <c r="G3" s="1672"/>
      <c r="H3" s="1672"/>
      <c r="I3" s="1672"/>
      <c r="J3" s="1672"/>
      <c r="K3" s="1672"/>
      <c r="L3" s="1672"/>
      <c r="M3" s="1672"/>
      <c r="N3" s="1672"/>
      <c r="O3" s="1672"/>
      <c r="P3" s="1672"/>
      <c r="Q3" s="1672"/>
      <c r="R3" s="1672"/>
      <c r="S3" s="1672"/>
      <c r="T3" s="1672"/>
      <c r="U3" s="1672"/>
      <c r="V3" s="1672"/>
      <c r="W3" s="1672"/>
      <c r="X3" s="825"/>
      <c r="Y3" s="825"/>
      <c r="Z3" s="825" t="s">
        <v>451</v>
      </c>
      <c r="AA3" s="825"/>
      <c r="AB3" s="273"/>
      <c r="AC3" s="825"/>
      <c r="AD3" s="825"/>
      <c r="AE3" s="825"/>
      <c r="AF3" s="825"/>
      <c r="AG3" s="825"/>
      <c r="AH3" s="273"/>
      <c r="AI3" s="825"/>
      <c r="AJ3" s="825"/>
      <c r="AK3" s="273"/>
      <c r="AL3" s="825"/>
      <c r="AM3" s="825"/>
      <c r="AN3" s="825"/>
      <c r="AO3" s="825"/>
      <c r="AP3" s="825"/>
      <c r="AQ3" s="825"/>
      <c r="AR3" s="825"/>
      <c r="AS3" s="825"/>
      <c r="AT3" s="825"/>
      <c r="AU3" s="825"/>
      <c r="AV3" s="825"/>
      <c r="AW3" s="825"/>
      <c r="AX3" s="825"/>
      <c r="BA3" s="825"/>
      <c r="BB3" s="825"/>
      <c r="BC3" s="825"/>
      <c r="BD3" s="825"/>
      <c r="BE3" s="825"/>
      <c r="BF3" s="825"/>
      <c r="BG3" s="825"/>
      <c r="BH3" s="825"/>
      <c r="BI3" s="825"/>
      <c r="BJ3" s="825"/>
      <c r="BK3" s="825"/>
      <c r="BL3" s="825"/>
      <c r="BM3" s="825"/>
      <c r="BN3" s="825"/>
      <c r="BO3" s="825"/>
      <c r="BP3" s="825"/>
      <c r="BQ3" s="825"/>
      <c r="BR3" s="825"/>
      <c r="BS3" s="825"/>
      <c r="BT3" s="825"/>
      <c r="BU3" s="825"/>
      <c r="BV3" s="825"/>
      <c r="BW3" s="825"/>
      <c r="BX3" s="825"/>
      <c r="BY3" s="825"/>
      <c r="BZ3" s="825"/>
      <c r="CA3" s="825"/>
      <c r="CB3" s="825"/>
      <c r="CC3" s="825"/>
    </row>
    <row r="4" spans="1:81" s="685" customFormat="1" x14ac:dyDescent="0.25">
      <c r="A4" s="825"/>
      <c r="B4" s="832"/>
      <c r="C4" s="832"/>
      <c r="D4" s="1064"/>
      <c r="E4" s="1064"/>
      <c r="F4" s="832"/>
      <c r="G4" s="1086"/>
      <c r="H4" s="1106"/>
      <c r="I4" s="1055"/>
      <c r="J4" s="832"/>
      <c r="K4" s="832"/>
      <c r="L4" s="832"/>
      <c r="M4" s="832"/>
      <c r="N4" s="832"/>
      <c r="O4" s="832"/>
      <c r="P4" s="832"/>
      <c r="Q4" s="754"/>
      <c r="R4" s="832"/>
      <c r="S4" s="832"/>
      <c r="T4" s="832"/>
      <c r="U4" s="832"/>
      <c r="V4" s="832"/>
      <c r="W4" s="832"/>
      <c r="X4" s="825"/>
      <c r="Y4" s="825"/>
      <c r="Z4" s="501" t="s">
        <v>452</v>
      </c>
      <c r="AA4" s="726" t="s">
        <v>453</v>
      </c>
      <c r="AB4" s="662"/>
      <c r="AC4" s="607" t="s">
        <v>454</v>
      </c>
      <c r="AD4" s="710" t="s">
        <v>261</v>
      </c>
      <c r="AE4" s="825"/>
      <c r="AF4" s="607" t="s">
        <v>455</v>
      </c>
      <c r="AG4" s="711" t="s">
        <v>456</v>
      </c>
      <c r="AH4" s="662"/>
      <c r="AI4" s="607" t="s">
        <v>457</v>
      </c>
      <c r="AJ4" s="727" t="s">
        <v>458</v>
      </c>
      <c r="AK4" s="662"/>
      <c r="AL4" s="273"/>
      <c r="AM4" s="825"/>
      <c r="AN4" s="825"/>
      <c r="AO4" s="825"/>
      <c r="AP4" s="825"/>
      <c r="AQ4" s="825"/>
      <c r="AR4" s="825"/>
      <c r="AS4" s="825"/>
      <c r="AT4" s="825"/>
      <c r="AU4" s="825"/>
      <c r="AV4" s="825"/>
      <c r="AW4" s="825"/>
      <c r="AX4" s="825"/>
      <c r="AY4" s="273"/>
      <c r="AZ4" s="273"/>
      <c r="BA4" s="825"/>
      <c r="BB4" s="825"/>
      <c r="BC4" s="825"/>
      <c r="BD4" s="825"/>
      <c r="BE4" s="825"/>
      <c r="BF4" s="825"/>
      <c r="BG4" s="825"/>
      <c r="BH4" s="825"/>
      <c r="BI4" s="825"/>
      <c r="BJ4" s="825"/>
      <c r="BK4" s="825"/>
      <c r="BL4" s="825"/>
      <c r="BM4" s="825"/>
      <c r="BN4" s="825"/>
      <c r="BO4" s="825"/>
      <c r="BP4" s="825"/>
      <c r="BQ4" s="825"/>
      <c r="BR4" s="825"/>
      <c r="BS4" s="825"/>
      <c r="BT4" s="825"/>
      <c r="BU4" s="825"/>
      <c r="BV4" s="825"/>
      <c r="BW4" s="825"/>
      <c r="BX4" s="825"/>
      <c r="BY4" s="825"/>
      <c r="BZ4" s="825"/>
      <c r="CA4" s="825"/>
      <c r="CB4" s="825"/>
      <c r="CC4" s="825"/>
    </row>
    <row r="5" spans="1:81" ht="14.95" customHeight="1" x14ac:dyDescent="0.25">
      <c r="A5" s="825"/>
      <c r="I5" s="1084" t="s">
        <v>2377</v>
      </c>
      <c r="J5" s="1053"/>
      <c r="K5" s="1053" t="s">
        <v>2376</v>
      </c>
      <c r="L5" s="1053"/>
      <c r="N5" s="825"/>
      <c r="Q5" s="753" t="s">
        <v>532</v>
      </c>
      <c r="R5" s="825"/>
      <c r="S5" s="825"/>
      <c r="V5" s="825"/>
      <c r="W5" s="825"/>
      <c r="X5" s="825"/>
      <c r="Y5" s="825"/>
      <c r="Z5" s="273"/>
      <c r="AA5" s="273"/>
      <c r="AB5" s="273"/>
      <c r="AC5" s="273"/>
      <c r="AD5" s="273"/>
      <c r="AE5" s="825"/>
      <c r="AF5" s="273"/>
      <c r="AG5" s="273"/>
      <c r="AH5" s="273"/>
      <c r="AI5" s="273"/>
      <c r="AJ5" s="273"/>
      <c r="AK5" s="273"/>
      <c r="AL5" s="825"/>
      <c r="AM5" s="825"/>
      <c r="AN5" s="825"/>
      <c r="AO5" s="825"/>
      <c r="AP5" s="825"/>
      <c r="AQ5" s="825"/>
      <c r="AR5" s="825"/>
      <c r="AS5" s="825"/>
      <c r="AT5" s="825"/>
      <c r="AU5" s="825"/>
      <c r="AV5" s="825"/>
      <c r="AW5" s="825"/>
      <c r="AX5" s="825"/>
      <c r="BA5" s="825"/>
      <c r="BB5" s="825"/>
      <c r="BC5" s="825"/>
      <c r="BD5" s="825"/>
      <c r="BE5" s="825"/>
      <c r="BF5" s="825"/>
      <c r="BG5" s="825"/>
      <c r="BH5" s="825"/>
      <c r="BI5" s="825"/>
      <c r="BJ5" s="825"/>
      <c r="BK5" s="825"/>
      <c r="BL5" s="825"/>
      <c r="BM5" s="825"/>
      <c r="BN5" s="825"/>
      <c r="BO5" s="825"/>
      <c r="BP5" s="825"/>
      <c r="BQ5" s="825"/>
      <c r="BR5" s="825"/>
      <c r="BS5" s="825"/>
      <c r="BT5" s="825"/>
      <c r="BU5" s="825"/>
      <c r="BV5" s="825"/>
      <c r="BW5" s="825"/>
      <c r="BX5" s="825"/>
      <c r="BY5" s="825"/>
      <c r="BZ5" s="825"/>
      <c r="CA5" s="825"/>
      <c r="CB5" s="825"/>
      <c r="CC5" s="825"/>
    </row>
    <row r="6" spans="1:81" x14ac:dyDescent="0.25">
      <c r="A6" s="825"/>
      <c r="D6" s="1065"/>
      <c r="E6" s="1066"/>
      <c r="F6" s="511"/>
      <c r="G6" s="1087" t="s">
        <v>459</v>
      </c>
      <c r="H6" s="1107"/>
      <c r="I6" s="1056"/>
      <c r="J6" s="1193">
        <v>6.8000000000000005E-4</v>
      </c>
      <c r="K6" s="1062"/>
      <c r="L6" s="660"/>
      <c r="M6" s="597"/>
      <c r="N6" s="273"/>
      <c r="O6" s="513"/>
      <c r="P6" s="513"/>
      <c r="Q6" s="755"/>
      <c r="R6" s="273"/>
      <c r="S6" s="273"/>
      <c r="T6" s="518"/>
      <c r="U6" s="610"/>
      <c r="V6" s="273"/>
      <c r="W6" s="273"/>
      <c r="X6" s="825"/>
      <c r="Y6" s="273"/>
      <c r="Z6" s="501" t="s">
        <v>460</v>
      </c>
      <c r="AA6" s="1194" t="s">
        <v>358</v>
      </c>
      <c r="AB6" s="606"/>
      <c r="AC6" s="607" t="s">
        <v>461</v>
      </c>
      <c r="AD6" s="609" t="s">
        <v>360</v>
      </c>
      <c r="AE6" s="608"/>
      <c r="AF6" s="607" t="s">
        <v>462</v>
      </c>
      <c r="AG6" s="604" t="s">
        <v>463</v>
      </c>
      <c r="AH6" s="608"/>
      <c r="AI6" s="607" t="s">
        <v>464</v>
      </c>
      <c r="AJ6" s="605" t="s">
        <v>465</v>
      </c>
      <c r="AK6" s="273"/>
      <c r="AL6" s="825"/>
      <c r="AM6" s="825"/>
      <c r="AN6" s="825"/>
      <c r="AO6" s="825"/>
      <c r="AP6" s="825"/>
      <c r="AQ6" s="825"/>
      <c r="AR6" s="825"/>
      <c r="AS6" s="825"/>
      <c r="AT6" s="825"/>
      <c r="AU6" s="825"/>
      <c r="AV6" s="825"/>
      <c r="AW6" s="825"/>
      <c r="AX6" s="825"/>
      <c r="BA6" s="825"/>
      <c r="BB6" s="825"/>
      <c r="BC6" s="825"/>
      <c r="BD6" s="825"/>
      <c r="BE6" s="825"/>
      <c r="BF6" s="825"/>
      <c r="BG6" s="825"/>
      <c r="BH6" s="825"/>
      <c r="BI6" s="825"/>
      <c r="BJ6" s="825"/>
      <c r="BK6" s="825"/>
      <c r="BL6" s="825"/>
      <c r="BM6" s="825"/>
      <c r="BN6" s="825"/>
      <c r="BO6" s="825"/>
      <c r="BP6" s="825"/>
      <c r="BQ6" s="825"/>
      <c r="BR6" s="825"/>
      <c r="BS6" s="825"/>
      <c r="BT6" s="825"/>
      <c r="BU6" s="825"/>
      <c r="BV6" s="825"/>
      <c r="BW6" s="825"/>
      <c r="BX6" s="825"/>
      <c r="BY6" s="825"/>
      <c r="BZ6" s="825"/>
      <c r="CA6" s="825"/>
      <c r="CB6" s="825"/>
      <c r="CC6" s="825"/>
    </row>
    <row r="7" spans="1:81" s="483" customFormat="1" ht="62.5" customHeight="1" x14ac:dyDescent="0.25">
      <c r="A7" s="482"/>
      <c r="B7" s="670" t="s">
        <v>357</v>
      </c>
      <c r="C7" s="659" t="s">
        <v>466</v>
      </c>
      <c r="D7" s="1067" t="s">
        <v>467</v>
      </c>
      <c r="E7" s="1068" t="s">
        <v>468</v>
      </c>
      <c r="F7" s="532" t="s">
        <v>469</v>
      </c>
      <c r="G7" s="1088" t="s">
        <v>470</v>
      </c>
      <c r="H7" s="1108" t="s">
        <v>471</v>
      </c>
      <c r="I7" s="1057" t="s">
        <v>472</v>
      </c>
      <c r="J7" s="677" t="s">
        <v>473</v>
      </c>
      <c r="K7" s="644" t="s">
        <v>474</v>
      </c>
      <c r="L7" s="644" t="s">
        <v>475</v>
      </c>
      <c r="M7" s="644" t="s">
        <v>476</v>
      </c>
      <c r="N7" s="746" t="s">
        <v>477</v>
      </c>
      <c r="O7" s="626" t="s">
        <v>478</v>
      </c>
      <c r="P7" s="532" t="s">
        <v>479</v>
      </c>
      <c r="Q7" s="746" t="s">
        <v>480</v>
      </c>
      <c r="R7" s="532" t="s">
        <v>481</v>
      </c>
      <c r="S7" s="532" t="s">
        <v>482</v>
      </c>
      <c r="T7" s="533" t="s">
        <v>483</v>
      </c>
      <c r="U7" s="543" t="s">
        <v>484</v>
      </c>
      <c r="V7" s="509" t="s">
        <v>485</v>
      </c>
      <c r="W7" s="509" t="s">
        <v>486</v>
      </c>
      <c r="X7" s="482"/>
      <c r="Y7" s="482"/>
      <c r="Z7" s="482"/>
      <c r="AA7" s="503" t="s">
        <v>487</v>
      </c>
      <c r="AC7" s="482"/>
      <c r="AD7" s="482"/>
      <c r="AF7" s="482"/>
      <c r="AG7" s="482"/>
      <c r="AI7" s="482"/>
      <c r="AJ7" s="482"/>
      <c r="AY7" s="482"/>
      <c r="AZ7" s="482"/>
      <c r="BA7" s="482"/>
      <c r="BB7" s="482"/>
      <c r="BC7" s="482"/>
      <c r="BD7" s="482"/>
      <c r="BE7" s="482"/>
      <c r="BF7" s="482"/>
      <c r="BG7" s="482"/>
      <c r="BH7" s="482"/>
      <c r="BI7" s="482"/>
      <c r="BJ7" s="482"/>
      <c r="BK7" s="482"/>
      <c r="BL7" s="482"/>
      <c r="BM7" s="482"/>
      <c r="BN7" s="482"/>
      <c r="BO7" s="482"/>
      <c r="BP7" s="482"/>
      <c r="BQ7" s="482"/>
    </row>
    <row r="8" spans="1:81" s="480" customFormat="1" ht="71.349999999999994" customHeight="1" x14ac:dyDescent="0.2">
      <c r="A8" s="479"/>
      <c r="B8" s="1644" t="s">
        <v>488</v>
      </c>
      <c r="C8" s="1644" t="str">
        <f>'8. BASE  CONSOLIDADA'!E7</f>
        <v>1.1.1</v>
      </c>
      <c r="D8" s="1612" t="str">
        <f>'8. BASE  CONSOLIDADA'!F7</f>
        <v>Otorgamiento de derechos sobre la tierra/bosques</v>
      </c>
      <c r="E8" s="1612" t="str">
        <f>'8. BASE  CONSOLIDADA'!G7</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8" s="1560" t="str">
        <f>'8. BASE  CONSOLIDADA'!C7</f>
        <v>Predios de agricultura familiar con producción destinada al autoconsumo y productos de exportación, con título o sin título de propiedad.</v>
      </c>
      <c r="G8" s="1678" t="str">
        <f>VLOOKUP($C8,'8. BASE  CONSOLIDADA'!$E$7:$AS$308,13,FALSE)</f>
        <v>N° Títulos/Contratos otorgados</v>
      </c>
      <c r="H8" s="1680">
        <f>VLOOKUP($C8,'8. BASE  CONSOLIDADA'!$E$7:$AS$308,15,FALSE)</f>
        <v>25988.784394583301</v>
      </c>
      <c r="I8" s="1681">
        <f>VLOOKUP(C8,'8. BASE  CONSOLIDADA'!$E$7:$AS$308,20,FALSE)</f>
        <v>51977568.7891666</v>
      </c>
      <c r="J8" s="1681">
        <f>I8*$J$6</f>
        <v>35344.746776633292</v>
      </c>
      <c r="K8" s="1560"/>
      <c r="L8" s="1560"/>
      <c r="M8" s="645" t="s">
        <v>489</v>
      </c>
      <c r="N8" s="721" t="s">
        <v>490</v>
      </c>
      <c r="O8" s="837" t="str">
        <f t="shared" ref="O8:O39" si="0">VLOOKUP(T8,$AY$9:$BA$81,3,FALSE)</f>
        <v>Biodiversidad y recursos naturales</v>
      </c>
      <c r="P8" s="837" t="e">
        <f>#REF!</f>
        <v>#REF!</v>
      </c>
      <c r="Q8" s="756" t="str">
        <f>AA9</f>
        <v>Realizar estudios de suelos para determinar la capacidad de uso mayor de los suelos como parte de los procesos de formalización de la propiedad rural</v>
      </c>
      <c r="R8" s="845" t="s">
        <v>491</v>
      </c>
      <c r="S8" s="845" t="s">
        <v>492</v>
      </c>
      <c r="T8" s="519" t="str">
        <f>Z9</f>
        <v>SBRN1</v>
      </c>
      <c r="U8" s="607" t="s">
        <v>493</v>
      </c>
      <c r="V8" s="669"/>
      <c r="W8" s="669"/>
      <c r="X8" s="479"/>
      <c r="Y8" s="479"/>
      <c r="Z8" s="1630" t="s">
        <v>494</v>
      </c>
      <c r="AA8" s="1630"/>
      <c r="AB8" s="494"/>
      <c r="AC8" s="1631" t="s">
        <v>495</v>
      </c>
      <c r="AD8" s="1631"/>
      <c r="AE8" s="494"/>
      <c r="AF8" s="1632" t="s">
        <v>496</v>
      </c>
      <c r="AG8" s="1632"/>
      <c r="AH8" s="494"/>
      <c r="AI8" s="1633" t="s">
        <v>497</v>
      </c>
      <c r="AJ8" s="1633"/>
      <c r="AL8" s="1634" t="s">
        <v>498</v>
      </c>
      <c r="AM8" s="1634"/>
      <c r="AO8" s="1635" t="s">
        <v>499</v>
      </c>
      <c r="AP8" s="1635"/>
      <c r="AR8" s="1628" t="s">
        <v>500</v>
      </c>
      <c r="AS8" s="1628"/>
      <c r="AU8" s="1629" t="s">
        <v>501</v>
      </c>
      <c r="AV8" s="1629"/>
      <c r="AX8" s="479"/>
      <c r="AY8" s="713" t="s">
        <v>502</v>
      </c>
      <c r="AZ8" s="712" t="s">
        <v>503</v>
      </c>
      <c r="BA8" s="713" t="s">
        <v>504</v>
      </c>
      <c r="BB8" s="661"/>
      <c r="BC8" s="662"/>
      <c r="BD8" s="663"/>
      <c r="BE8" s="662"/>
      <c r="BF8" s="662"/>
      <c r="BG8" s="663"/>
      <c r="BH8" s="662"/>
      <c r="BI8" s="662"/>
      <c r="BJ8" s="663"/>
      <c r="BK8" s="662"/>
      <c r="BL8" s="662"/>
      <c r="BM8" s="663"/>
      <c r="BN8" s="662"/>
      <c r="BO8" s="662"/>
      <c r="BP8" s="663"/>
      <c r="BQ8" s="663"/>
      <c r="BR8" s="479"/>
    </row>
    <row r="9" spans="1:81" s="480" customFormat="1" ht="56.25" customHeight="1" x14ac:dyDescent="0.2">
      <c r="A9" s="479"/>
      <c r="B9" s="1644"/>
      <c r="C9" s="1644"/>
      <c r="D9" s="1612"/>
      <c r="E9" s="1612"/>
      <c r="F9" s="1537"/>
      <c r="G9" s="1679"/>
      <c r="H9" s="1653"/>
      <c r="I9" s="1654"/>
      <c r="J9" s="1654"/>
      <c r="K9" s="1537"/>
      <c r="L9" s="1537"/>
      <c r="M9" s="645" t="s">
        <v>489</v>
      </c>
      <c r="N9" s="722" t="s">
        <v>505</v>
      </c>
      <c r="O9" s="837" t="str">
        <f t="shared" si="0"/>
        <v>Biodiversidad y recursos naturales</v>
      </c>
      <c r="P9" s="842" t="e">
        <f>#REF!</f>
        <v>#REF!</v>
      </c>
      <c r="Q9" s="757" t="str">
        <f>AA10</f>
        <v>Implementar el procedimiento de cambio de uso actual de tierras A y C con cobertura de bosques para formalización de propiedad rural considerado en la Ley Forestal y de Fauna Silvestre (Ley No 29736)</v>
      </c>
      <c r="R9" s="842" t="s">
        <v>506</v>
      </c>
      <c r="S9" s="842" t="s">
        <v>507</v>
      </c>
      <c r="T9" s="519" t="str">
        <f>Z10</f>
        <v>SBRN2</v>
      </c>
      <c r="U9" s="607" t="s">
        <v>508</v>
      </c>
      <c r="V9" s="669"/>
      <c r="W9" s="669"/>
      <c r="X9" s="479"/>
      <c r="Y9" s="479"/>
      <c r="Z9" s="669" t="s">
        <v>509</v>
      </c>
      <c r="AA9" s="842" t="s">
        <v>510</v>
      </c>
      <c r="AB9" s="479"/>
      <c r="AC9" s="669" t="s">
        <v>511</v>
      </c>
      <c r="AD9" s="842" t="s">
        <v>512</v>
      </c>
      <c r="AE9" s="479"/>
      <c r="AF9" s="669" t="s">
        <v>513</v>
      </c>
      <c r="AG9" s="837" t="s">
        <v>379</v>
      </c>
      <c r="AH9" s="479"/>
      <c r="AI9" s="858" t="s">
        <v>514</v>
      </c>
      <c r="AJ9" s="840" t="s">
        <v>515</v>
      </c>
      <c r="AL9" s="669" t="s">
        <v>516</v>
      </c>
      <c r="AM9" s="836" t="s">
        <v>517</v>
      </c>
      <c r="AO9" s="669" t="s">
        <v>518</v>
      </c>
      <c r="AP9" s="836" t="s">
        <v>519</v>
      </c>
      <c r="AQ9" s="479"/>
      <c r="AR9" s="669" t="s">
        <v>520</v>
      </c>
      <c r="AS9" s="836" t="s">
        <v>521</v>
      </c>
      <c r="AT9" s="479"/>
      <c r="AU9" s="669" t="s">
        <v>522</v>
      </c>
      <c r="AV9" s="836" t="s">
        <v>523</v>
      </c>
      <c r="AW9" s="479"/>
      <c r="AY9" s="860" t="s">
        <v>509</v>
      </c>
      <c r="AZ9" s="842" t="s">
        <v>371</v>
      </c>
      <c r="BA9" s="726" t="s">
        <v>453</v>
      </c>
      <c r="BC9" s="479"/>
      <c r="BD9" s="479"/>
      <c r="BE9" s="479"/>
      <c r="BF9" s="479"/>
      <c r="BG9" s="479"/>
      <c r="BH9" s="479"/>
      <c r="BI9" s="479"/>
      <c r="BJ9" s="479"/>
      <c r="BK9" s="479"/>
      <c r="BL9" s="479"/>
      <c r="BM9" s="479"/>
      <c r="BN9" s="479"/>
      <c r="BO9" s="479"/>
      <c r="BP9" s="479"/>
      <c r="BQ9" s="479"/>
    </row>
    <row r="10" spans="1:81" s="480" customFormat="1" ht="45.7" customHeight="1" x14ac:dyDescent="0.25">
      <c r="A10" s="479"/>
      <c r="B10" s="1644"/>
      <c r="C10" s="1644"/>
      <c r="D10" s="1612"/>
      <c r="E10" s="1612"/>
      <c r="F10" s="1537"/>
      <c r="G10" s="1679"/>
      <c r="H10" s="1653"/>
      <c r="I10" s="1654"/>
      <c r="J10" s="1654"/>
      <c r="K10" s="1537"/>
      <c r="L10" s="1537"/>
      <c r="M10" s="645" t="s">
        <v>489</v>
      </c>
      <c r="N10" s="722" t="s">
        <v>524</v>
      </c>
      <c r="O10" s="837" t="str">
        <f t="shared" si="0"/>
        <v>Biodiversidad y recursos naturales</v>
      </c>
      <c r="P10" s="842" t="str">
        <f>Z6</f>
        <v>DPI</v>
      </c>
      <c r="Q10" s="757" t="str">
        <f>AA11</f>
        <v>Fortalecer las capacidades de la población local para que conozcan el marco legal sobre los derechos sobre la tierra y los bosques</v>
      </c>
      <c r="R10" s="842" t="s">
        <v>525</v>
      </c>
      <c r="S10" s="836" t="s">
        <v>526</v>
      </c>
      <c r="T10" s="519" t="str">
        <f>Z11</f>
        <v>SBRN3</v>
      </c>
      <c r="U10" s="607" t="s">
        <v>493</v>
      </c>
      <c r="V10" s="669"/>
      <c r="W10" s="669"/>
      <c r="X10" s="479"/>
      <c r="Y10" s="479"/>
      <c r="Z10" s="669" t="s">
        <v>527</v>
      </c>
      <c r="AA10" s="842" t="s">
        <v>528</v>
      </c>
      <c r="AB10" s="479"/>
      <c r="AC10" s="669" t="s">
        <v>529</v>
      </c>
      <c r="AD10" s="842" t="s">
        <v>530</v>
      </c>
      <c r="AE10" s="479"/>
      <c r="AF10" s="669" t="s">
        <v>531</v>
      </c>
      <c r="AG10" s="842" t="s">
        <v>532</v>
      </c>
      <c r="AH10" s="479"/>
      <c r="AI10" s="715" t="s">
        <v>533</v>
      </c>
      <c r="AJ10" s="848" t="s">
        <v>369</v>
      </c>
      <c r="AL10" s="669" t="s">
        <v>534</v>
      </c>
      <c r="AM10" s="836" t="s">
        <v>535</v>
      </c>
      <c r="AO10" s="825"/>
      <c r="AP10" s="825"/>
      <c r="AR10" s="669" t="s">
        <v>536</v>
      </c>
      <c r="AS10" s="836" t="s">
        <v>537</v>
      </c>
      <c r="AU10" s="669" t="s">
        <v>538</v>
      </c>
      <c r="AV10" s="836" t="s">
        <v>539</v>
      </c>
      <c r="AY10" s="669" t="s">
        <v>527</v>
      </c>
      <c r="AZ10" s="842" t="s">
        <v>540</v>
      </c>
      <c r="BA10" s="726" t="s">
        <v>453</v>
      </c>
    </row>
    <row r="11" spans="1:81" ht="70.5" customHeight="1" x14ac:dyDescent="0.25">
      <c r="A11" s="273"/>
      <c r="B11" s="1644"/>
      <c r="C11" s="1644"/>
      <c r="D11" s="1612"/>
      <c r="E11" s="1612"/>
      <c r="F11" s="1537"/>
      <c r="G11" s="1679"/>
      <c r="H11" s="1653"/>
      <c r="I11" s="1654"/>
      <c r="J11" s="1654"/>
      <c r="K11" s="1537"/>
      <c r="L11" s="1537"/>
      <c r="M11" s="645" t="s">
        <v>489</v>
      </c>
      <c r="N11" s="722" t="str">
        <f>N10</f>
        <v>Superposición de áreas a ser tituladas individualmente con áreas solicitadas por pueblos indígenas</v>
      </c>
      <c r="O11" s="837" t="str">
        <f t="shared" si="0"/>
        <v>Derechos de los pueblos indígenas</v>
      </c>
      <c r="P11" s="836" t="str">
        <f>Z6</f>
        <v>DPI</v>
      </c>
      <c r="Q11" s="757" t="str">
        <f>AD9</f>
        <v>Evaluación de superposiciones de solicitudes de titulación de predios rurales con solicitudes de pueblos indígenas (como parte del proceso de titulación de un predio rural individual)</v>
      </c>
      <c r="R11" s="842" t="s">
        <v>541</v>
      </c>
      <c r="S11" s="842" t="s">
        <v>542</v>
      </c>
      <c r="T11" s="519" t="str">
        <f>AC9</f>
        <v>SDPI1</v>
      </c>
      <c r="U11" s="607" t="s">
        <v>493</v>
      </c>
      <c r="V11" s="669"/>
      <c r="W11" s="669"/>
      <c r="X11" s="273"/>
      <c r="Y11" s="273"/>
      <c r="Z11" s="669" t="s">
        <v>543</v>
      </c>
      <c r="AA11" s="842" t="s">
        <v>544</v>
      </c>
      <c r="AB11" s="479"/>
      <c r="AC11" s="669" t="s">
        <v>545</v>
      </c>
      <c r="AD11" s="836" t="s">
        <v>546</v>
      </c>
      <c r="AE11" s="479"/>
      <c r="AF11" s="669" t="s">
        <v>547</v>
      </c>
      <c r="AG11" s="842" t="s">
        <v>548</v>
      </c>
      <c r="AH11" s="479"/>
      <c r="AI11" s="715" t="s">
        <v>549</v>
      </c>
      <c r="AJ11" s="848" t="s">
        <v>550</v>
      </c>
      <c r="AK11" s="825"/>
      <c r="AL11" s="825"/>
      <c r="AM11" s="825"/>
      <c r="AN11" s="825"/>
      <c r="AO11" s="825"/>
      <c r="AP11" s="825"/>
      <c r="AQ11" s="825"/>
      <c r="AR11" s="669" t="s">
        <v>551</v>
      </c>
      <c r="AS11" s="836" t="s">
        <v>552</v>
      </c>
      <c r="AT11" s="825"/>
      <c r="AU11" s="669" t="s">
        <v>553</v>
      </c>
      <c r="AV11" s="836" t="s">
        <v>554</v>
      </c>
      <c r="AW11" s="825"/>
      <c r="AX11" s="480"/>
      <c r="AY11" s="669" t="s">
        <v>543</v>
      </c>
      <c r="AZ11" s="842" t="s">
        <v>381</v>
      </c>
      <c r="BA11" s="726" t="s">
        <v>453</v>
      </c>
      <c r="BB11" s="825"/>
      <c r="BC11" s="825"/>
      <c r="BD11" s="825"/>
      <c r="BE11" s="825"/>
      <c r="BF11" s="825"/>
      <c r="BG11" s="825"/>
      <c r="BH11" s="825"/>
      <c r="BI11" s="825"/>
      <c r="BJ11" s="825"/>
      <c r="BK11" s="825"/>
      <c r="BL11" s="825"/>
      <c r="BM11" s="825"/>
      <c r="BN11" s="825"/>
      <c r="BO11" s="825"/>
      <c r="BP11" s="825"/>
      <c r="BQ11" s="480"/>
      <c r="BR11" s="825"/>
      <c r="BS11" s="825"/>
      <c r="BT11" s="825"/>
      <c r="BU11" s="825"/>
      <c r="BV11" s="825"/>
      <c r="BW11" s="825"/>
      <c r="BX11" s="825"/>
      <c r="BY11" s="825"/>
      <c r="BZ11" s="825"/>
      <c r="CA11" s="825"/>
      <c r="CB11" s="825"/>
      <c r="CC11" s="825"/>
    </row>
    <row r="12" spans="1:81" ht="44.35" customHeight="1" x14ac:dyDescent="0.25">
      <c r="A12" s="273"/>
      <c r="B12" s="1644"/>
      <c r="C12" s="1644"/>
      <c r="D12" s="1612"/>
      <c r="E12" s="1612"/>
      <c r="F12" s="1537"/>
      <c r="G12" s="1679"/>
      <c r="H12" s="1653"/>
      <c r="I12" s="1654"/>
      <c r="J12" s="1654"/>
      <c r="K12" s="1537"/>
      <c r="L12" s="1537"/>
      <c r="M12" s="645" t="s">
        <v>489</v>
      </c>
      <c r="N12" s="722" t="str">
        <f>N10</f>
        <v>Superposición de áreas a ser tituladas individualmente con áreas solicitadas por pueblos indígenas</v>
      </c>
      <c r="O12" s="837" t="str">
        <f t="shared" si="0"/>
        <v>Derechos de los pueblos indígenas</v>
      </c>
      <c r="P12" s="836" t="str">
        <f>Z6</f>
        <v>DPI</v>
      </c>
      <c r="Q12" s="757" t="str">
        <f>AD10</f>
        <v xml:space="preserve">Análisis de demandas de titulación de tierras a favor de comunidades nativas a nivel departamental con organizaciones indígenas </v>
      </c>
      <c r="R12" s="842" t="s">
        <v>555</v>
      </c>
      <c r="S12" s="842" t="s">
        <v>507</v>
      </c>
      <c r="T12" s="519" t="str">
        <f>AC10</f>
        <v>SDPI2</v>
      </c>
      <c r="U12" s="607" t="s">
        <v>508</v>
      </c>
      <c r="V12" s="669"/>
      <c r="W12" s="669"/>
      <c r="X12" s="273"/>
      <c r="Y12" s="273"/>
      <c r="Z12" s="528" t="s">
        <v>556</v>
      </c>
      <c r="AA12" s="571" t="s">
        <v>557</v>
      </c>
      <c r="AB12" s="273"/>
      <c r="AC12" s="669" t="s">
        <v>558</v>
      </c>
      <c r="AD12" s="836" t="s">
        <v>559</v>
      </c>
      <c r="AE12" s="273"/>
      <c r="AF12" s="669" t="s">
        <v>560</v>
      </c>
      <c r="AG12" s="842" t="s">
        <v>367</v>
      </c>
      <c r="AH12" s="273"/>
      <c r="AI12" s="715" t="s">
        <v>561</v>
      </c>
      <c r="AJ12" s="848" t="s">
        <v>562</v>
      </c>
      <c r="AK12" s="825"/>
      <c r="AL12" s="825"/>
      <c r="AM12" s="825"/>
      <c r="AN12" s="825"/>
      <c r="AO12" s="825"/>
      <c r="AP12" s="825"/>
      <c r="AQ12" s="825"/>
      <c r="AR12" s="669" t="s">
        <v>563</v>
      </c>
      <c r="AS12" s="836" t="s">
        <v>564</v>
      </c>
      <c r="AT12" s="825"/>
      <c r="AU12" s="825"/>
      <c r="AV12" s="825"/>
      <c r="AW12" s="825"/>
      <c r="AX12" s="480"/>
      <c r="AY12" s="528" t="s">
        <v>556</v>
      </c>
      <c r="AZ12" s="571" t="s">
        <v>373</v>
      </c>
      <c r="BA12" s="726" t="s">
        <v>453</v>
      </c>
      <c r="BB12" s="825"/>
      <c r="BC12" s="825"/>
      <c r="BD12" s="825"/>
      <c r="BE12" s="825"/>
      <c r="BF12" s="825"/>
      <c r="BG12" s="825"/>
      <c r="BH12" s="825"/>
      <c r="BI12" s="825"/>
      <c r="BJ12" s="825"/>
      <c r="BK12" s="825"/>
      <c r="BL12" s="825"/>
      <c r="BM12" s="825"/>
      <c r="BN12" s="825"/>
      <c r="BO12" s="825"/>
      <c r="BP12" s="825"/>
      <c r="BQ12" s="480"/>
      <c r="BR12" s="825"/>
      <c r="BS12" s="825"/>
      <c r="BT12" s="825"/>
      <c r="BU12" s="825"/>
      <c r="BV12" s="825"/>
      <c r="BW12" s="825"/>
      <c r="BX12" s="825"/>
      <c r="BY12" s="825"/>
      <c r="BZ12" s="825"/>
      <c r="CA12" s="825"/>
      <c r="CB12" s="825"/>
      <c r="CC12" s="825"/>
    </row>
    <row r="13" spans="1:81" ht="45" customHeight="1" x14ac:dyDescent="0.25">
      <c r="A13" s="273"/>
      <c r="B13" s="1644"/>
      <c r="C13" s="1644"/>
      <c r="D13" s="1612"/>
      <c r="E13" s="1612"/>
      <c r="F13" s="1537"/>
      <c r="G13" s="1679"/>
      <c r="H13" s="1653"/>
      <c r="I13" s="1654"/>
      <c r="J13" s="1654"/>
      <c r="K13" s="1537"/>
      <c r="L13" s="1537"/>
      <c r="M13" s="645" t="s">
        <v>489</v>
      </c>
      <c r="N13" s="723" t="s">
        <v>565</v>
      </c>
      <c r="O13" s="837" t="str">
        <f t="shared" si="0"/>
        <v>Corrupción</v>
      </c>
      <c r="P13" s="836" t="e">
        <f>#REF!</f>
        <v>#REF!</v>
      </c>
      <c r="Q13" s="758" t="str">
        <f>AG9</f>
        <v xml:space="preserve">Transparencia en procesos de formalización de la propiedad rural y cesión en uso </v>
      </c>
      <c r="R13" s="838" t="s">
        <v>566</v>
      </c>
      <c r="S13" s="840" t="s">
        <v>526</v>
      </c>
      <c r="T13" s="519" t="str">
        <f>AF9</f>
        <v>SCR1</v>
      </c>
      <c r="U13" s="607" t="s">
        <v>508</v>
      </c>
      <c r="V13" s="669"/>
      <c r="W13" s="669"/>
      <c r="X13" s="273"/>
      <c r="Y13" s="273"/>
      <c r="Z13" s="669" t="s">
        <v>567</v>
      </c>
      <c r="AA13" s="836" t="s">
        <v>568</v>
      </c>
      <c r="AB13" s="273"/>
      <c r="AC13" s="669" t="s">
        <v>569</v>
      </c>
      <c r="AD13" s="836" t="s">
        <v>570</v>
      </c>
      <c r="AE13" s="825"/>
      <c r="AF13" s="669" t="s">
        <v>571</v>
      </c>
      <c r="AG13" s="842" t="s">
        <v>572</v>
      </c>
      <c r="AH13" s="825"/>
      <c r="AI13" s="715" t="s">
        <v>573</v>
      </c>
      <c r="AJ13" s="848" t="s">
        <v>574</v>
      </c>
      <c r="AK13" s="825"/>
      <c r="AL13" s="825"/>
      <c r="AM13" s="825"/>
      <c r="AN13" s="825"/>
      <c r="AO13" s="825"/>
      <c r="AP13" s="825"/>
      <c r="AQ13" s="825"/>
      <c r="AR13" s="825"/>
      <c r="AS13" s="825"/>
      <c r="AT13" s="825"/>
      <c r="AU13" s="825"/>
      <c r="AV13" s="825"/>
      <c r="AW13" s="825"/>
      <c r="AX13" s="480"/>
      <c r="AY13" s="669" t="s">
        <v>567</v>
      </c>
      <c r="AZ13" s="836" t="s">
        <v>370</v>
      </c>
      <c r="BA13" s="726" t="s">
        <v>453</v>
      </c>
      <c r="BB13" s="825"/>
      <c r="BC13" s="825"/>
      <c r="BD13" s="825"/>
      <c r="BE13" s="825"/>
      <c r="BF13" s="825"/>
      <c r="BG13" s="825"/>
      <c r="BH13" s="825"/>
      <c r="BI13" s="825"/>
      <c r="BJ13" s="825"/>
      <c r="BK13" s="825"/>
      <c r="BL13" s="825"/>
      <c r="BM13" s="825"/>
      <c r="BN13" s="825"/>
      <c r="BO13" s="825"/>
      <c r="BP13" s="825"/>
      <c r="BQ13" s="480"/>
      <c r="BR13" s="825"/>
      <c r="BS13" s="825"/>
      <c r="BT13" s="825"/>
      <c r="BU13" s="825"/>
      <c r="BV13" s="825"/>
      <c r="BW13" s="825"/>
      <c r="BX13" s="825"/>
      <c r="BY13" s="825"/>
      <c r="BZ13" s="825"/>
      <c r="CA13" s="825"/>
      <c r="CB13" s="825"/>
      <c r="CC13" s="825"/>
    </row>
    <row r="14" spans="1:81" ht="32.299999999999997" customHeight="1" x14ac:dyDescent="0.25">
      <c r="A14" s="273"/>
      <c r="B14" s="1644"/>
      <c r="C14" s="1644"/>
      <c r="D14" s="1612"/>
      <c r="E14" s="1612"/>
      <c r="F14" s="1537"/>
      <c r="G14" s="1679"/>
      <c r="H14" s="1653"/>
      <c r="I14" s="1654"/>
      <c r="J14" s="1654"/>
      <c r="K14" s="1537"/>
      <c r="L14" s="1537"/>
      <c r="M14" s="645" t="s">
        <v>489</v>
      </c>
      <c r="N14" s="724" t="s">
        <v>575</v>
      </c>
      <c r="O14" s="837" t="str">
        <f t="shared" si="0"/>
        <v>Género</v>
      </c>
      <c r="P14" s="514" t="str">
        <f>AC6</f>
        <v>GN</v>
      </c>
      <c r="Q14" s="757" t="str">
        <f>AJ9</f>
        <v xml:space="preserve">Incorporación de cónyuges o convivientes en títulos de propiedad y contratos de cesión en uso </v>
      </c>
      <c r="R14" s="842" t="s">
        <v>576</v>
      </c>
      <c r="S14" s="842" t="s">
        <v>507</v>
      </c>
      <c r="T14" s="519" t="str">
        <f>AI9</f>
        <v>SGN1</v>
      </c>
      <c r="U14" s="611" t="s">
        <v>508</v>
      </c>
      <c r="V14" s="858"/>
      <c r="W14" s="858"/>
      <c r="X14" s="273"/>
      <c r="Y14" s="273"/>
      <c r="Z14" s="669" t="s">
        <v>577</v>
      </c>
      <c r="AA14" s="836" t="s">
        <v>578</v>
      </c>
      <c r="AB14" s="273"/>
      <c r="AC14" s="669" t="s">
        <v>579</v>
      </c>
      <c r="AD14" s="836" t="s">
        <v>580</v>
      </c>
      <c r="AE14" s="825"/>
      <c r="AF14" s="669" t="s">
        <v>581</v>
      </c>
      <c r="AG14" s="842" t="s">
        <v>582</v>
      </c>
      <c r="AH14" s="825"/>
      <c r="AI14" s="715" t="s">
        <v>583</v>
      </c>
      <c r="AJ14" s="848" t="s">
        <v>584</v>
      </c>
      <c r="AK14" s="825"/>
      <c r="AL14" s="825"/>
      <c r="AM14" s="825"/>
      <c r="AN14" s="825"/>
      <c r="AO14" s="825"/>
      <c r="AP14" s="825"/>
      <c r="AQ14" s="825"/>
      <c r="AR14" s="825"/>
      <c r="AS14" s="825"/>
      <c r="AT14" s="825"/>
      <c r="AU14" s="825"/>
      <c r="AV14" s="825"/>
      <c r="AW14" s="825"/>
      <c r="AX14" s="480"/>
      <c r="AY14" s="669" t="s">
        <v>577</v>
      </c>
      <c r="AZ14" s="855" t="s">
        <v>372</v>
      </c>
      <c r="BA14" s="726" t="s">
        <v>453</v>
      </c>
      <c r="BB14" s="825"/>
      <c r="BC14" s="825"/>
      <c r="BD14" s="825"/>
      <c r="BE14" s="825"/>
      <c r="BF14" s="825"/>
      <c r="BG14" s="825"/>
      <c r="BH14" s="825"/>
      <c r="BI14" s="825"/>
      <c r="BJ14" s="825"/>
      <c r="BK14" s="825"/>
      <c r="BL14" s="825"/>
      <c r="BM14" s="825"/>
      <c r="BN14" s="825"/>
      <c r="BO14" s="825"/>
      <c r="BP14" s="825"/>
      <c r="BQ14" s="480"/>
      <c r="BR14" s="825"/>
      <c r="BS14" s="825"/>
      <c r="BT14" s="825"/>
      <c r="BU14" s="825"/>
      <c r="BV14" s="825"/>
      <c r="BW14" s="825"/>
      <c r="BX14" s="825"/>
      <c r="BY14" s="825"/>
      <c r="BZ14" s="825"/>
      <c r="CA14" s="825"/>
      <c r="CB14" s="825"/>
      <c r="CC14" s="825"/>
    </row>
    <row r="15" spans="1:81" s="272" customFormat="1" ht="41.95" customHeight="1" x14ac:dyDescent="0.25">
      <c r="A15" s="563"/>
      <c r="B15" s="1644"/>
      <c r="C15" s="1644"/>
      <c r="D15" s="1612"/>
      <c r="E15" s="1612"/>
      <c r="F15" s="1537"/>
      <c r="G15" s="1679"/>
      <c r="H15" s="1653"/>
      <c r="I15" s="1654"/>
      <c r="J15" s="1654"/>
      <c r="K15" s="1538"/>
      <c r="L15" s="1537"/>
      <c r="M15" s="645" t="s">
        <v>489</v>
      </c>
      <c r="N15" s="725" t="s">
        <v>585</v>
      </c>
      <c r="O15" s="837" t="str">
        <f t="shared" si="0"/>
        <v>Patrimonio cultural</v>
      </c>
      <c r="P15" s="565" t="str">
        <f>AI6</f>
        <v>PC</v>
      </c>
      <c r="Q15" s="759" t="str">
        <f>AV9</f>
        <v>Evaluación de superposición del área solicitada para titulación de predios rurales con áreas determinadas como patrimonio cultural</v>
      </c>
      <c r="R15" s="566" t="s">
        <v>586</v>
      </c>
      <c r="S15" s="566" t="s">
        <v>542</v>
      </c>
      <c r="T15" s="519" t="str">
        <f>AU9</f>
        <v>SPC1</v>
      </c>
      <c r="U15" s="612" t="s">
        <v>493</v>
      </c>
      <c r="V15" s="567"/>
      <c r="W15" s="567"/>
      <c r="X15" s="563"/>
      <c r="Y15" s="563"/>
      <c r="Z15" s="567" t="s">
        <v>587</v>
      </c>
      <c r="AA15" s="854" t="s">
        <v>588</v>
      </c>
      <c r="AB15" s="563"/>
      <c r="AC15" s="567" t="s">
        <v>589</v>
      </c>
      <c r="AD15" s="854" t="s">
        <v>590</v>
      </c>
      <c r="AF15" s="567" t="s">
        <v>591</v>
      </c>
      <c r="AG15" s="564" t="s">
        <v>592</v>
      </c>
      <c r="AI15" s="715" t="s">
        <v>593</v>
      </c>
      <c r="AJ15" s="848" t="s">
        <v>594</v>
      </c>
      <c r="AK15" s="825"/>
      <c r="AL15" s="825"/>
      <c r="AM15" s="825"/>
      <c r="AN15" s="825"/>
      <c r="AO15" s="825"/>
      <c r="AP15" s="825"/>
      <c r="AQ15" s="825"/>
      <c r="AR15" s="825"/>
      <c r="AS15" s="825"/>
      <c r="AT15" s="825"/>
      <c r="AU15" s="825"/>
      <c r="AV15" s="825"/>
      <c r="AW15" s="825"/>
      <c r="AX15" s="480"/>
      <c r="AY15" s="567" t="s">
        <v>587</v>
      </c>
      <c r="AZ15" s="854" t="s">
        <v>362</v>
      </c>
      <c r="BA15" s="726" t="s">
        <v>453</v>
      </c>
      <c r="BN15" s="825"/>
      <c r="BO15" s="825"/>
      <c r="BP15" s="825"/>
      <c r="BQ15" s="480"/>
      <c r="BR15" s="825"/>
      <c r="BS15" s="825"/>
    </row>
    <row r="16" spans="1:81" ht="138.1" customHeight="1" x14ac:dyDescent="0.25">
      <c r="A16" s="273"/>
      <c r="B16" s="835" t="s">
        <v>488</v>
      </c>
      <c r="C16" s="842" t="str">
        <f>'8. BASE  CONSOLIDADA'!E8</f>
        <v>1.1.2</v>
      </c>
      <c r="D16" s="1069" t="str">
        <f>'8. BASE  CONSOLIDADA'!F8</f>
        <v>Asistencia técnica con enfoque bajo en emisiones</v>
      </c>
      <c r="E16" s="1070" t="str">
        <f>'8. BASE  CONSOLIDADA'!G8</f>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v>
      </c>
      <c r="F16" s="836" t="str">
        <f>'8. BASE  CONSOLIDADA'!C8</f>
        <v>Predios de agricultura familiar con producción destinada al autoconsumo y productos de exportación, con título o sin título de propiedad.</v>
      </c>
      <c r="G16" s="1019" t="str">
        <f>VLOOKUP($C16,'8. BASE  CONSOLIDADA'!$E$7:$AS$308,13,FALSE)</f>
        <v>Productores asistidos</v>
      </c>
      <c r="H16" s="1109">
        <f>VLOOKUP($C16,'8. BASE  CONSOLIDADA'!$E$7:$AS$308,15,FALSE)</f>
        <v>22368.6</v>
      </c>
      <c r="I16" s="1058">
        <f>VLOOKUP(C16,'8. BASE  CONSOLIDADA'!$E$7:$AS$308,20,FALSE)</f>
        <v>12526416</v>
      </c>
      <c r="J16" s="1060">
        <f>I16*$J$6</f>
        <v>8517.962880000001</v>
      </c>
      <c r="K16" s="1134"/>
      <c r="L16" s="1028"/>
      <c r="M16" s="645" t="s">
        <v>489</v>
      </c>
      <c r="N16" s="721" t="s">
        <v>595</v>
      </c>
      <c r="O16" s="837" t="str">
        <f t="shared" si="0"/>
        <v>Género</v>
      </c>
      <c r="P16" s="855" t="str">
        <f>AC6</f>
        <v>GN</v>
      </c>
      <c r="Q16" s="510" t="str">
        <f>AJ10</f>
        <v>Programas de asistencia técnica y proyectos específicos para mujeres rurales y mujeres indígenas</v>
      </c>
      <c r="R16" s="836" t="s">
        <v>596</v>
      </c>
      <c r="S16" s="834" t="s">
        <v>507</v>
      </c>
      <c r="T16" s="519" t="str">
        <f>AI10</f>
        <v>SGN2</v>
      </c>
      <c r="U16" s="231" t="s">
        <v>508</v>
      </c>
      <c r="V16" s="859"/>
      <c r="W16" s="859"/>
      <c r="X16" s="273"/>
      <c r="Y16" s="273"/>
      <c r="Z16" s="669" t="s">
        <v>597</v>
      </c>
      <c r="AA16" s="836" t="s">
        <v>598</v>
      </c>
      <c r="AB16" s="273"/>
      <c r="AC16" s="858" t="s">
        <v>599</v>
      </c>
      <c r="AD16" s="836" t="s">
        <v>374</v>
      </c>
      <c r="AE16" s="825"/>
      <c r="AF16" s="669" t="s">
        <v>600</v>
      </c>
      <c r="AG16" s="842" t="s">
        <v>601</v>
      </c>
      <c r="AH16" s="825"/>
      <c r="AI16" s="858" t="s">
        <v>602</v>
      </c>
      <c r="AJ16" s="840" t="s">
        <v>603</v>
      </c>
      <c r="AK16" s="825"/>
      <c r="AL16" s="825"/>
      <c r="AM16" s="825"/>
      <c r="AN16" s="825"/>
      <c r="AO16" s="825"/>
      <c r="AP16" s="825"/>
      <c r="AQ16" s="825"/>
      <c r="AR16" s="825"/>
      <c r="AS16" s="825"/>
      <c r="AT16" s="825"/>
      <c r="AU16" s="825"/>
      <c r="AV16" s="825"/>
      <c r="AW16" s="825"/>
      <c r="AX16" s="480"/>
      <c r="AY16" s="669" t="s">
        <v>597</v>
      </c>
      <c r="AZ16" s="836" t="s">
        <v>368</v>
      </c>
      <c r="BA16" s="726" t="s">
        <v>453</v>
      </c>
      <c r="BB16" s="825"/>
      <c r="BC16" s="825"/>
      <c r="BD16" s="825"/>
      <c r="BE16" s="825"/>
      <c r="BF16" s="825"/>
      <c r="BG16" s="825"/>
      <c r="BH16" s="825"/>
      <c r="BI16" s="825"/>
      <c r="BJ16" s="825"/>
      <c r="BK16" s="825"/>
      <c r="BL16" s="825"/>
      <c r="BM16" s="825"/>
      <c r="BN16" s="825"/>
      <c r="BO16" s="825"/>
      <c r="BP16" s="825"/>
      <c r="BQ16" s="825"/>
      <c r="BR16" s="825"/>
      <c r="BS16" s="825"/>
      <c r="BT16" s="825"/>
      <c r="BU16" s="825"/>
      <c r="BV16" s="825"/>
      <c r="BW16" s="825"/>
      <c r="BX16" s="825"/>
      <c r="BY16" s="825"/>
      <c r="BZ16" s="825"/>
      <c r="CA16" s="825"/>
      <c r="CB16" s="825"/>
      <c r="CC16" s="825"/>
    </row>
    <row r="17" spans="1:81" ht="54.7" customHeight="1" x14ac:dyDescent="0.25">
      <c r="A17" s="273"/>
      <c r="B17" s="672" t="s">
        <v>488</v>
      </c>
      <c r="C17" s="1643" t="str">
        <f>'8. BASE  CONSOLIDADA'!E12</f>
        <v>1.1.6</v>
      </c>
      <c r="D17" s="1645" t="str">
        <f>'8. BASE  CONSOLIDADA'!F12</f>
        <v xml:space="preserve">Reconversión y diversificación productiva </v>
      </c>
      <c r="E17" s="1677" t="str">
        <f>'8. BASE  CONSOLIDADA'!G12</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F17" s="1537" t="str">
        <f>'8. BASE  CONSOLIDADA'!C12</f>
        <v>Predios de agricultura familiar con producción destinada al autoconsumo y productos de exportación, con título o sin título de propiedad.</v>
      </c>
      <c r="G17" s="1679" t="str">
        <f>VLOOKUP($C17,'8. BASE  CONSOLIDADA'!$E$7:$AS$308,13,FALSE)</f>
        <v>Hectáreas reconvertidas/diversificadas</v>
      </c>
      <c r="H17" s="1653">
        <f>VLOOKUP($C17,'8. BASE  CONSOLIDADA'!$E$7:$AS$308,15,FALSE)</f>
        <v>3111.4</v>
      </c>
      <c r="I17" s="1654">
        <f>VLOOKUP(C17,'8. BASE  CONSOLIDADA'!$E$7:$AS$308,20,FALSE)</f>
        <v>46671000</v>
      </c>
      <c r="J17" s="1654">
        <f>I17*$J$6</f>
        <v>31736.280000000002</v>
      </c>
      <c r="K17" s="984"/>
      <c r="L17" s="1130"/>
      <c r="M17" s="645" t="s">
        <v>489</v>
      </c>
      <c r="N17" s="724" t="s">
        <v>604</v>
      </c>
      <c r="O17" s="837" t="str">
        <f t="shared" si="0"/>
        <v>Biodiversidad y recursos naturales</v>
      </c>
      <c r="P17" s="853" t="e">
        <f>#REF!</f>
        <v>#REF!</v>
      </c>
      <c r="Q17" s="756" t="str">
        <f>AA12</f>
        <v xml:space="preserve">Ordenamiento agroterritorial como estrategia para ordenar y promover el desarrollo agrario regional </v>
      </c>
      <c r="R17" s="573" t="s">
        <v>605</v>
      </c>
      <c r="S17" s="845" t="s">
        <v>492</v>
      </c>
      <c r="T17" s="519" t="str">
        <f>Z12</f>
        <v>SBRN4</v>
      </c>
      <c r="U17" s="612" t="s">
        <v>493</v>
      </c>
      <c r="V17" s="669"/>
      <c r="W17" s="669"/>
      <c r="X17" s="273"/>
      <c r="Y17" s="825"/>
      <c r="Z17" s="669" t="s">
        <v>606</v>
      </c>
      <c r="AA17" s="836" t="s">
        <v>607</v>
      </c>
      <c r="AB17" s="273"/>
      <c r="AC17" s="669" t="s">
        <v>608</v>
      </c>
      <c r="AD17" s="836" t="s">
        <v>376</v>
      </c>
      <c r="AE17" s="825"/>
      <c r="AF17" s="669" t="s">
        <v>609</v>
      </c>
      <c r="AG17" s="842" t="s">
        <v>610</v>
      </c>
      <c r="AH17" s="273"/>
      <c r="AI17" s="669" t="s">
        <v>611</v>
      </c>
      <c r="AJ17" s="836" t="s">
        <v>612</v>
      </c>
      <c r="AK17" s="273"/>
      <c r="AL17" s="825"/>
      <c r="AM17" s="825"/>
      <c r="AN17" s="825"/>
      <c r="AO17" s="825"/>
      <c r="AP17" s="825"/>
      <c r="AQ17" s="825"/>
      <c r="AR17" s="825"/>
      <c r="AS17" s="825"/>
      <c r="AT17" s="825"/>
      <c r="AU17" s="825"/>
      <c r="AV17" s="825"/>
      <c r="AW17" s="825"/>
      <c r="AX17" s="480"/>
      <c r="AY17" s="669" t="s">
        <v>606</v>
      </c>
      <c r="AZ17" s="836" t="s">
        <v>364</v>
      </c>
      <c r="BA17" s="726" t="s">
        <v>453</v>
      </c>
      <c r="BB17" s="825"/>
      <c r="BC17" s="825"/>
      <c r="BD17" s="825"/>
      <c r="BE17" s="825"/>
      <c r="BF17" s="825"/>
      <c r="BG17" s="825"/>
      <c r="BH17" s="825"/>
      <c r="BI17" s="825"/>
      <c r="BJ17" s="825"/>
      <c r="BK17" s="825"/>
      <c r="BL17" s="825"/>
      <c r="BM17" s="825"/>
      <c r="BN17" s="825"/>
      <c r="BO17" s="825"/>
      <c r="BP17" s="825"/>
      <c r="BQ17" s="825"/>
      <c r="BR17" s="825"/>
      <c r="BS17" s="825"/>
      <c r="BT17" s="825"/>
      <c r="BU17" s="825"/>
      <c r="BV17" s="825"/>
      <c r="BW17" s="825"/>
      <c r="BX17" s="825"/>
      <c r="BY17" s="825"/>
      <c r="BZ17" s="825"/>
      <c r="CA17" s="825"/>
      <c r="CB17" s="825"/>
      <c r="CC17" s="825"/>
    </row>
    <row r="18" spans="1:81" ht="54.7" customHeight="1" x14ac:dyDescent="0.25">
      <c r="A18" s="273"/>
      <c r="B18" s="672"/>
      <c r="C18" s="1643"/>
      <c r="D18" s="1645"/>
      <c r="E18" s="1677"/>
      <c r="F18" s="1537"/>
      <c r="G18" s="1679"/>
      <c r="H18" s="1653"/>
      <c r="I18" s="1654"/>
      <c r="J18" s="1654"/>
      <c r="K18" s="1135">
        <v>17</v>
      </c>
      <c r="L18" s="1136">
        <f>K18*H17</f>
        <v>52893.8</v>
      </c>
      <c r="M18" s="646" t="s">
        <v>613</v>
      </c>
      <c r="N18" s="724" t="str">
        <f>N17</f>
        <v>Especies exóticas o invasoras en bosques colindantes</v>
      </c>
      <c r="O18" s="837" t="str">
        <f t="shared" si="0"/>
        <v>Biodiversidad y recursos naturales</v>
      </c>
      <c r="P18" s="643" t="e">
        <f>#REF!</f>
        <v>#REF!</v>
      </c>
      <c r="Q18" s="757" t="str">
        <f>AA13</f>
        <v xml:space="preserve">Inclusión de cláusulas de monitoreo y control de especies exóticas e invasoras en proyectos de promoción agrarios  </v>
      </c>
      <c r="R18" s="598" t="s">
        <v>614</v>
      </c>
      <c r="S18" s="842" t="s">
        <v>492</v>
      </c>
      <c r="T18" s="519" t="str">
        <f>Z13</f>
        <v>SBRN5</v>
      </c>
      <c r="U18" s="214" t="s">
        <v>508</v>
      </c>
      <c r="V18" s="669"/>
      <c r="W18" s="669"/>
      <c r="X18" s="273"/>
      <c r="Y18" s="825"/>
      <c r="Z18" s="669" t="s">
        <v>615</v>
      </c>
      <c r="AA18" s="836" t="s">
        <v>616</v>
      </c>
      <c r="AB18" s="273"/>
      <c r="AC18" s="669" t="s">
        <v>617</v>
      </c>
      <c r="AD18" s="836" t="s">
        <v>375</v>
      </c>
      <c r="AE18" s="825"/>
      <c r="AF18" s="669" t="s">
        <v>618</v>
      </c>
      <c r="AG18" s="842" t="s">
        <v>619</v>
      </c>
      <c r="AH18" s="825"/>
      <c r="AI18" s="669" t="s">
        <v>620</v>
      </c>
      <c r="AJ18" s="836" t="s">
        <v>621</v>
      </c>
      <c r="AK18" s="825"/>
      <c r="AL18" s="825"/>
      <c r="AM18" s="825"/>
      <c r="AN18" s="825"/>
      <c r="AO18" s="825"/>
      <c r="AP18" s="825"/>
      <c r="AQ18" s="825"/>
      <c r="AR18" s="825"/>
      <c r="AS18" s="825"/>
      <c r="AT18" s="825"/>
      <c r="AU18" s="825"/>
      <c r="AV18" s="825"/>
      <c r="AW18" s="825"/>
      <c r="AX18" s="480"/>
      <c r="AY18" s="669" t="s">
        <v>615</v>
      </c>
      <c r="AZ18" s="836" t="s">
        <v>365</v>
      </c>
      <c r="BA18" s="726" t="s">
        <v>453</v>
      </c>
      <c r="BB18" s="825"/>
      <c r="BC18" s="825"/>
      <c r="BD18" s="825"/>
      <c r="BE18" s="825"/>
      <c r="BF18" s="825"/>
      <c r="BG18" s="825"/>
      <c r="BH18" s="825"/>
      <c r="BI18" s="825"/>
      <c r="BJ18" s="825"/>
      <c r="BK18" s="825"/>
      <c r="BL18" s="825"/>
      <c r="BM18" s="825"/>
      <c r="BN18" s="825"/>
      <c r="BO18" s="825"/>
      <c r="BP18" s="825"/>
      <c r="BQ18" s="825"/>
      <c r="BR18" s="825"/>
      <c r="BS18" s="825"/>
      <c r="BT18" s="825"/>
      <c r="BU18" s="825"/>
      <c r="BV18" s="825"/>
      <c r="BW18" s="825"/>
      <c r="BX18" s="825"/>
      <c r="BY18" s="825"/>
      <c r="BZ18" s="825"/>
      <c r="CA18" s="825"/>
      <c r="CB18" s="825"/>
      <c r="CC18" s="825"/>
    </row>
    <row r="19" spans="1:81" ht="75.099999999999994" customHeight="1" x14ac:dyDescent="0.25">
      <c r="A19" s="273"/>
      <c r="B19" s="672"/>
      <c r="C19" s="1643"/>
      <c r="D19" s="1645"/>
      <c r="E19" s="1677"/>
      <c r="F19" s="1537"/>
      <c r="G19" s="1679"/>
      <c r="H19" s="1653"/>
      <c r="I19" s="1654"/>
      <c r="J19" s="1654"/>
      <c r="K19" s="1023"/>
      <c r="L19" s="1137"/>
      <c r="M19" s="645" t="s">
        <v>489</v>
      </c>
      <c r="N19" s="723" t="s">
        <v>622</v>
      </c>
      <c r="O19" s="837" t="str">
        <f t="shared" si="0"/>
        <v>Vulnerabilidad al cambio climático</v>
      </c>
      <c r="P19" s="635" t="e">
        <f>#REF!</f>
        <v>#REF!</v>
      </c>
      <c r="Q19" s="760" t="str">
        <f>AS9</f>
        <v xml:space="preserve">Los cultivos deben ser aptos para las zonas en los programas de reconversión productiva </v>
      </c>
      <c r="R19" s="635" t="s">
        <v>623</v>
      </c>
      <c r="S19" s="653" t="s">
        <v>507</v>
      </c>
      <c r="T19" s="519" t="str">
        <f>AR9</f>
        <v>SVCC1</v>
      </c>
      <c r="U19" s="214" t="s">
        <v>508</v>
      </c>
      <c r="V19" s="856"/>
      <c r="W19" s="856"/>
      <c r="X19" s="273"/>
      <c r="Y19" s="825"/>
      <c r="Z19" s="273"/>
      <c r="AA19" s="273"/>
      <c r="AB19" s="825"/>
      <c r="AC19" s="669" t="s">
        <v>624</v>
      </c>
      <c r="AD19" s="836" t="s">
        <v>383</v>
      </c>
      <c r="AE19" s="825"/>
      <c r="AF19" s="669" t="s">
        <v>625</v>
      </c>
      <c r="AG19" s="842" t="s">
        <v>626</v>
      </c>
      <c r="AH19" s="825"/>
      <c r="AI19" s="669" t="s">
        <v>627</v>
      </c>
      <c r="AJ19" s="836" t="s">
        <v>628</v>
      </c>
      <c r="AK19" s="825"/>
      <c r="AL19" s="825"/>
      <c r="AM19" s="825"/>
      <c r="AN19" s="825"/>
      <c r="AO19" s="825"/>
      <c r="AP19" s="825"/>
      <c r="AQ19" s="825"/>
      <c r="AR19" s="825"/>
      <c r="AS19" s="825"/>
      <c r="AT19" s="825"/>
      <c r="AU19" s="825"/>
      <c r="AV19" s="825"/>
      <c r="AW19" s="825"/>
      <c r="AX19" s="480"/>
      <c r="AY19" s="669" t="s">
        <v>511</v>
      </c>
      <c r="AZ19" s="842" t="s">
        <v>629</v>
      </c>
      <c r="BA19" s="525" t="s">
        <v>358</v>
      </c>
      <c r="BB19" s="825"/>
      <c r="BC19" s="825"/>
      <c r="BD19" s="825"/>
      <c r="BE19" s="825"/>
      <c r="BF19" s="825"/>
      <c r="BG19" s="825"/>
      <c r="BH19" s="825"/>
      <c r="BI19" s="825"/>
      <c r="BJ19" s="825"/>
      <c r="BK19" s="825"/>
      <c r="BL19" s="825"/>
      <c r="BM19" s="825"/>
      <c r="BN19" s="825"/>
      <c r="BO19" s="825"/>
      <c r="BP19" s="825"/>
      <c r="BQ19" s="825"/>
      <c r="BR19" s="825"/>
      <c r="BS19" s="825"/>
      <c r="BT19" s="825"/>
      <c r="BU19" s="825"/>
      <c r="BV19" s="825"/>
      <c r="BW19" s="825"/>
      <c r="BX19" s="825"/>
      <c r="BY19" s="825"/>
      <c r="BZ19" s="825"/>
      <c r="CA19" s="825"/>
      <c r="CB19" s="825"/>
      <c r="CC19" s="825"/>
    </row>
    <row r="20" spans="1:81" ht="144" customHeight="1" x14ac:dyDescent="0.25">
      <c r="A20" s="273"/>
      <c r="B20" s="672" t="s">
        <v>488</v>
      </c>
      <c r="C20" s="834" t="str">
        <f>'8. BASE  CONSOLIDADA'!E13</f>
        <v>1.1.7</v>
      </c>
      <c r="D20" s="1071" t="str">
        <f>'8. BASE  CONSOLIDADA'!F13</f>
        <v>Promoción de agricultura familiar con enfoque de mercado</v>
      </c>
      <c r="E20" s="1070" t="str">
        <f>'8. BASE  CONSOLIDADA'!G13</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F20" s="510" t="str">
        <f>'8. BASE  CONSOLIDADA'!C13</f>
        <v>Predios de agricultura familiar con producción destinada al autoconsumo y productos de exportación, con título o sin título de propiedad.</v>
      </c>
      <c r="G20" s="1019" t="str">
        <f>VLOOKUP($C20,'8. BASE  CONSOLIDADA'!$E$7:$AS$308,13,FALSE)</f>
        <v>Productores beneficiados</v>
      </c>
      <c r="H20" s="1109">
        <f>VLOOKUP($C20,'8. BASE  CONSOLIDADA'!$E$7:$AS$308,15,FALSE)</f>
        <v>18640.5</v>
      </c>
      <c r="I20" s="1058">
        <f>VLOOKUP(C20,'8. BASE  CONSOLIDADA'!$E$7:$AS$308,20,FALSE)</f>
        <v>240462450</v>
      </c>
      <c r="J20" s="678">
        <f>I20*$J$6</f>
        <v>163514.46600000001</v>
      </c>
      <c r="K20" s="1022"/>
      <c r="L20" s="1124"/>
      <c r="M20" s="645" t="s">
        <v>489</v>
      </c>
      <c r="N20" s="723" t="s">
        <v>630</v>
      </c>
      <c r="O20" s="837" t="str">
        <f t="shared" si="0"/>
        <v>Género</v>
      </c>
      <c r="P20" s="635" t="str">
        <f>AC6</f>
        <v>GN</v>
      </c>
      <c r="Q20" s="760" t="str">
        <f>AJ10</f>
        <v>Programas de asistencia técnica y proyectos específicos para mujeres rurales y mujeres indígenas</v>
      </c>
      <c r="R20" s="635" t="s">
        <v>596</v>
      </c>
      <c r="S20" s="653" t="s">
        <v>507</v>
      </c>
      <c r="T20" s="519" t="str">
        <f>AI10</f>
        <v>SGN2</v>
      </c>
      <c r="U20" s="825" t="s">
        <v>508</v>
      </c>
      <c r="V20" s="860"/>
      <c r="W20" s="860"/>
      <c r="X20" s="273"/>
      <c r="Y20" s="825"/>
      <c r="Z20" s="522"/>
      <c r="AA20" s="273"/>
      <c r="AB20" s="825"/>
      <c r="AC20" s="669" t="s">
        <v>631</v>
      </c>
      <c r="AD20" s="836" t="s">
        <v>632</v>
      </c>
      <c r="AE20" s="825"/>
      <c r="AF20" s="669" t="s">
        <v>633</v>
      </c>
      <c r="AG20" s="842" t="s">
        <v>634</v>
      </c>
      <c r="AH20" s="825"/>
      <c r="AI20" s="669" t="s">
        <v>635</v>
      </c>
      <c r="AJ20" s="836" t="s">
        <v>636</v>
      </c>
      <c r="AK20" s="825"/>
      <c r="AL20" s="825"/>
      <c r="AM20" s="825"/>
      <c r="AN20" s="825"/>
      <c r="AO20" s="825"/>
      <c r="AP20" s="825"/>
      <c r="AQ20" s="825"/>
      <c r="AR20" s="825"/>
      <c r="AS20" s="825"/>
      <c r="AT20" s="825"/>
      <c r="AU20" s="825"/>
      <c r="AV20" s="825"/>
      <c r="AW20" s="825"/>
      <c r="AX20" s="480"/>
      <c r="AY20" s="669" t="s">
        <v>529</v>
      </c>
      <c r="AZ20" s="842" t="s">
        <v>637</v>
      </c>
      <c r="BA20" s="525" t="s">
        <v>358</v>
      </c>
      <c r="BB20" s="825"/>
      <c r="BC20" s="825"/>
      <c r="BD20" s="825"/>
      <c r="BE20" s="825"/>
      <c r="BF20" s="825"/>
      <c r="BG20" s="825"/>
      <c r="BH20" s="825"/>
      <c r="BI20" s="825"/>
      <c r="BJ20" s="825"/>
      <c r="BK20" s="825"/>
      <c r="BL20" s="825"/>
      <c r="BM20" s="825"/>
      <c r="BN20" s="825"/>
      <c r="BO20" s="825"/>
      <c r="BP20" s="825"/>
      <c r="BQ20" s="825"/>
      <c r="BR20" s="825"/>
      <c r="BS20" s="825"/>
      <c r="BT20" s="825"/>
      <c r="BU20" s="825"/>
      <c r="BV20" s="825"/>
      <c r="BW20" s="825"/>
      <c r="BX20" s="825"/>
      <c r="BY20" s="825"/>
      <c r="BZ20" s="825"/>
      <c r="CA20" s="825"/>
      <c r="CB20" s="825"/>
      <c r="CC20" s="825"/>
    </row>
    <row r="21" spans="1:81" ht="41.3" customHeight="1" x14ac:dyDescent="0.25">
      <c r="A21" s="273"/>
      <c r="B21" s="672" t="s">
        <v>488</v>
      </c>
      <c r="C21" s="1643" t="str">
        <f>'8. BASE  CONSOLIDADA'!E14</f>
        <v>1.1.8</v>
      </c>
      <c r="D21" s="1612" t="str">
        <f>'8. BASE  CONSOLIDADA'!F14</f>
        <v>Asistencia técnica para el desarrollo de la acuicultura</v>
      </c>
      <c r="E21" s="1612" t="str">
        <f>'8. BASE  CONSOLIDADA'!G14</f>
        <v>Capacitaciones a pequeños productores acuícolas en temas relacionados a: Asociatividad, Gestión y administración de piscigranjas, programación de la producción, formalización, gestión de la calidad entre otros temas que permitan la sostenibilidad de la actividad.</v>
      </c>
      <c r="F21" s="1537" t="s">
        <v>129</v>
      </c>
      <c r="G21" s="1655" t="str">
        <f>VLOOKUP($C21,'8. BASE  CONSOLIDADA'!$E$7:$AS$308,13,FALSE)</f>
        <v>Acuicultores atendidos</v>
      </c>
      <c r="H21" s="1682">
        <f>VLOOKUP($C21,'8. BASE  CONSOLIDADA'!$E$7:$AS$308,15,FALSE)</f>
        <v>801.6</v>
      </c>
      <c r="I21" s="1673">
        <f>VLOOKUP(C21,'8. BASE  CONSOLIDADA'!$E$7:$AS$308,20,FALSE)</f>
        <v>448896</v>
      </c>
      <c r="J21" s="1684">
        <f>I21*$J$6</f>
        <v>305.24928</v>
      </c>
      <c r="K21" s="1688">
        <v>17</v>
      </c>
      <c r="L21" s="1686">
        <f>K21*H21</f>
        <v>13627.2</v>
      </c>
      <c r="M21" s="1123" t="s">
        <v>638</v>
      </c>
      <c r="N21" s="723" t="s">
        <v>639</v>
      </c>
      <c r="O21" s="837" t="str">
        <f t="shared" si="0"/>
        <v>Biodiversidad y recursos naturales</v>
      </c>
      <c r="P21" s="836" t="e">
        <f>#REF!</f>
        <v>#REF!</v>
      </c>
      <c r="Q21" s="510" t="str">
        <f>AA13</f>
        <v xml:space="preserve">Inclusión de cláusulas de monitoreo y control de especies exóticas e invasoras en proyectos de promoción agrarios  </v>
      </c>
      <c r="R21" s="840" t="s">
        <v>614</v>
      </c>
      <c r="S21" s="523" t="s">
        <v>492</v>
      </c>
      <c r="T21" s="519" t="str">
        <f>Z13</f>
        <v>SBRN5</v>
      </c>
      <c r="U21" s="13" t="s">
        <v>508</v>
      </c>
      <c r="V21" s="669"/>
      <c r="W21" s="669"/>
      <c r="X21" s="273"/>
      <c r="Y21" s="825"/>
      <c r="Z21" s="521"/>
      <c r="AA21" s="825"/>
      <c r="AB21" s="273"/>
      <c r="AC21" s="669" t="s">
        <v>640</v>
      </c>
      <c r="AD21" s="836" t="s">
        <v>641</v>
      </c>
      <c r="AE21" s="273"/>
      <c r="AF21" s="669" t="s">
        <v>642</v>
      </c>
      <c r="AG21" s="836" t="s">
        <v>643</v>
      </c>
      <c r="AH21" s="825"/>
      <c r="AI21" s="669" t="s">
        <v>644</v>
      </c>
      <c r="AJ21" s="836" t="s">
        <v>645</v>
      </c>
      <c r="AK21" s="825"/>
      <c r="AL21" s="825"/>
      <c r="AM21" s="825"/>
      <c r="AN21" s="825"/>
      <c r="AO21" s="825"/>
      <c r="AP21" s="825"/>
      <c r="AQ21" s="825"/>
      <c r="AR21" s="825"/>
      <c r="AS21" s="825"/>
      <c r="AT21" s="825"/>
      <c r="AU21" s="825"/>
      <c r="AV21" s="825"/>
      <c r="AW21" s="825"/>
      <c r="AX21" s="480"/>
      <c r="AY21" s="669" t="s">
        <v>545</v>
      </c>
      <c r="AZ21" s="836" t="s">
        <v>377</v>
      </c>
      <c r="BA21" s="525" t="s">
        <v>358</v>
      </c>
      <c r="BB21" s="825"/>
      <c r="BC21" s="825"/>
      <c r="BD21" s="825"/>
      <c r="BE21" s="825"/>
      <c r="BF21" s="825"/>
      <c r="BG21" s="825"/>
      <c r="BH21" s="825"/>
      <c r="BI21" s="825"/>
      <c r="BJ21" s="825"/>
      <c r="BK21" s="825"/>
      <c r="BL21" s="825"/>
      <c r="BM21" s="825"/>
      <c r="BN21" s="825"/>
      <c r="BO21" s="825"/>
      <c r="BP21" s="825"/>
      <c r="BQ21" s="825"/>
      <c r="BR21" s="825"/>
      <c r="BS21" s="825"/>
      <c r="BT21" s="825"/>
      <c r="BU21" s="825"/>
      <c r="BV21" s="825"/>
      <c r="BW21" s="825"/>
      <c r="BX21" s="825"/>
      <c r="BY21" s="825"/>
      <c r="BZ21" s="825"/>
      <c r="CA21" s="825"/>
      <c r="CB21" s="825"/>
      <c r="CC21" s="825"/>
    </row>
    <row r="22" spans="1:81" ht="36" customHeight="1" x14ac:dyDescent="0.25">
      <c r="A22" s="273"/>
      <c r="B22" s="672"/>
      <c r="C22" s="1643"/>
      <c r="D22" s="1612"/>
      <c r="E22" s="1612"/>
      <c r="F22" s="1537"/>
      <c r="G22" s="1656"/>
      <c r="H22" s="1683"/>
      <c r="I22" s="1674"/>
      <c r="J22" s="1685"/>
      <c r="K22" s="1689"/>
      <c r="L22" s="1687"/>
      <c r="M22" s="645" t="s">
        <v>489</v>
      </c>
      <c r="N22" s="738" t="s">
        <v>646</v>
      </c>
      <c r="O22" s="837" t="str">
        <f t="shared" si="0"/>
        <v>Contaminación</v>
      </c>
      <c r="P22" s="529" t="e">
        <f>#REF!</f>
        <v>#REF!</v>
      </c>
      <c r="Q22" s="510" t="str">
        <f>AM9</f>
        <v xml:space="preserve">Control de aguas residuales de sistemas productivos agrarios a cuerpos de agua naturales </v>
      </c>
      <c r="R22" s="836" t="s">
        <v>647</v>
      </c>
      <c r="S22" s="842" t="s">
        <v>492</v>
      </c>
      <c r="T22" s="519" t="str">
        <f>AL9</f>
        <v>SCT1</v>
      </c>
      <c r="U22" s="520" t="s">
        <v>648</v>
      </c>
      <c r="V22" s="501"/>
      <c r="W22" s="501"/>
      <c r="X22" s="273"/>
      <c r="Y22" s="825"/>
      <c r="Z22" s="521"/>
      <c r="AA22" s="825"/>
      <c r="AB22" s="273"/>
      <c r="AC22" s="669" t="s">
        <v>649</v>
      </c>
      <c r="AD22" s="836" t="s">
        <v>650</v>
      </c>
      <c r="AE22" s="273"/>
      <c r="AF22" s="669" t="s">
        <v>651</v>
      </c>
      <c r="AG22" s="836" t="s">
        <v>652</v>
      </c>
      <c r="AH22" s="825"/>
      <c r="AI22" s="669" t="s">
        <v>653</v>
      </c>
      <c r="AJ22" s="836" t="s">
        <v>654</v>
      </c>
      <c r="AK22" s="825"/>
      <c r="AL22" s="825"/>
      <c r="AM22" s="825"/>
      <c r="AN22" s="825"/>
      <c r="AO22" s="825"/>
      <c r="AP22" s="825"/>
      <c r="AQ22" s="825"/>
      <c r="AR22" s="825"/>
      <c r="AS22" s="825"/>
      <c r="AT22" s="825"/>
      <c r="AU22" s="825"/>
      <c r="AV22" s="825"/>
      <c r="AW22" s="825"/>
      <c r="AX22" s="480"/>
      <c r="AY22" s="669" t="s">
        <v>558</v>
      </c>
      <c r="AZ22" s="836" t="s">
        <v>559</v>
      </c>
      <c r="BA22" s="525" t="s">
        <v>358</v>
      </c>
      <c r="BB22" s="825"/>
      <c r="BC22" s="825"/>
      <c r="BD22" s="825"/>
      <c r="BE22" s="825"/>
      <c r="BF22" s="825"/>
      <c r="BG22" s="825"/>
      <c r="BH22" s="825"/>
      <c r="BI22" s="825"/>
      <c r="BJ22" s="825"/>
      <c r="BK22" s="825"/>
      <c r="BL22" s="825"/>
      <c r="BM22" s="825"/>
      <c r="BN22" s="825"/>
      <c r="BO22" s="825"/>
      <c r="BP22" s="825"/>
      <c r="BQ22" s="825"/>
      <c r="BR22" s="825"/>
      <c r="BS22" s="825"/>
      <c r="BT22" s="825"/>
      <c r="BU22" s="825"/>
      <c r="BV22" s="825"/>
      <c r="BW22" s="825"/>
      <c r="BX22" s="825"/>
      <c r="BY22" s="825"/>
      <c r="BZ22" s="825"/>
      <c r="CA22" s="825"/>
      <c r="CB22" s="825"/>
      <c r="CC22" s="825"/>
    </row>
    <row r="23" spans="1:81" ht="47.25" customHeight="1" x14ac:dyDescent="0.25">
      <c r="A23" s="273"/>
      <c r="B23" s="672" t="s">
        <v>488</v>
      </c>
      <c r="C23" s="1643" t="str">
        <f>'8. BASE  CONSOLIDADA'!E15</f>
        <v>1.1.9</v>
      </c>
      <c r="D23" s="1612" t="str">
        <f>'8. BASE  CONSOLIDADA'!F15</f>
        <v xml:space="preserve">Incentivos financieros para la acuicultura </v>
      </c>
      <c r="E23" s="1612" t="str">
        <f>'8. BASE  CONSOLIDADA'!G15</f>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F23" s="1537" t="str">
        <f>'8. BASE  CONSOLIDADA'!C15</f>
        <v>Predios de agricultura familiar con producción destinada al autoconsumo y productos de exportación, con título o sin título de propiedad.</v>
      </c>
      <c r="G23" s="1690" t="str">
        <f>VLOOKUP($C23,'8. BASE  CONSOLIDADA'!$E$7:$AS$308,13,FALSE)</f>
        <v>Créditos otorgados</v>
      </c>
      <c r="H23" s="1692">
        <f>VLOOKUP($C23,'8. BASE  CONSOLIDADA'!$E$7:$AS$308,15,FALSE)</f>
        <v>801.6</v>
      </c>
      <c r="I23" s="1675">
        <f>VLOOKUP(C23,'8. BASE  CONSOLIDADA'!$E$7:$AS$308,20,FALSE)</f>
        <v>10340640</v>
      </c>
      <c r="J23" s="1694">
        <f>I23*$J$6</f>
        <v>7031.6352000000006</v>
      </c>
      <c r="K23" s="1696"/>
      <c r="L23" s="1698"/>
      <c r="M23" s="645" t="s">
        <v>489</v>
      </c>
      <c r="N23" s="740" t="s">
        <v>655</v>
      </c>
      <c r="O23" s="837" t="str">
        <f t="shared" si="0"/>
        <v>Biodiversidad y recursos naturales</v>
      </c>
      <c r="P23" s="836" t="e">
        <f>#REF!</f>
        <v>#REF!</v>
      </c>
      <c r="Q23" s="510" t="str">
        <f>AA12</f>
        <v xml:space="preserve">Ordenamiento agroterritorial como estrategia para ordenar y promover el desarrollo agrario regional </v>
      </c>
      <c r="R23" s="591" t="s">
        <v>656</v>
      </c>
      <c r="S23" s="839" t="s">
        <v>492</v>
      </c>
      <c r="T23" s="519" t="str">
        <f>Z12</f>
        <v>SBRN4</v>
      </c>
      <c r="U23" s="499"/>
      <c r="V23" s="499"/>
      <c r="W23" s="501"/>
      <c r="X23" s="273"/>
      <c r="Y23" s="825"/>
      <c r="Z23" s="521"/>
      <c r="AA23" s="825"/>
      <c r="AB23" s="273"/>
      <c r="AC23" s="669" t="s">
        <v>657</v>
      </c>
      <c r="AD23" s="836" t="s">
        <v>658</v>
      </c>
      <c r="AE23" s="273"/>
      <c r="AF23" s="825"/>
      <c r="AG23" s="825"/>
      <c r="AH23" s="825"/>
      <c r="AI23" s="669" t="s">
        <v>659</v>
      </c>
      <c r="AJ23" s="836" t="s">
        <v>660</v>
      </c>
      <c r="AK23" s="825"/>
      <c r="AL23" s="825"/>
      <c r="AM23" s="825"/>
      <c r="AN23" s="825"/>
      <c r="AO23" s="825"/>
      <c r="AP23" s="825"/>
      <c r="AQ23" s="825"/>
      <c r="AR23" s="825"/>
      <c r="AS23" s="825"/>
      <c r="AT23" s="825"/>
      <c r="AU23" s="825"/>
      <c r="AV23" s="825"/>
      <c r="AW23" s="825"/>
      <c r="AX23" s="480"/>
      <c r="AY23" s="669" t="s">
        <v>569</v>
      </c>
      <c r="AZ23" s="836" t="s">
        <v>359</v>
      </c>
      <c r="BA23" s="525" t="s">
        <v>358</v>
      </c>
      <c r="BB23" s="825"/>
      <c r="BC23" s="825"/>
      <c r="BD23" s="825"/>
      <c r="BE23" s="825"/>
      <c r="BF23" s="825"/>
      <c r="BG23" s="825"/>
      <c r="BH23" s="825"/>
      <c r="BI23" s="825"/>
      <c r="BJ23" s="825"/>
      <c r="BK23" s="825"/>
      <c r="BL23" s="825"/>
      <c r="BM23" s="825"/>
      <c r="BN23" s="825"/>
      <c r="BO23" s="825"/>
      <c r="BP23" s="825"/>
      <c r="BQ23" s="825"/>
      <c r="BR23" s="825"/>
      <c r="BS23" s="825"/>
      <c r="BT23" s="825"/>
      <c r="BU23" s="825"/>
      <c r="BV23" s="825"/>
      <c r="BW23" s="825"/>
      <c r="BX23" s="825"/>
      <c r="BY23" s="825"/>
      <c r="BZ23" s="825"/>
      <c r="CA23" s="825"/>
      <c r="CB23" s="825"/>
      <c r="CC23" s="825"/>
    </row>
    <row r="24" spans="1:81" ht="61.5" customHeight="1" x14ac:dyDescent="0.25">
      <c r="A24" s="273"/>
      <c r="B24" s="672"/>
      <c r="C24" s="1643"/>
      <c r="D24" s="1612"/>
      <c r="E24" s="1612"/>
      <c r="F24" s="1537"/>
      <c r="G24" s="1691"/>
      <c r="H24" s="1693"/>
      <c r="I24" s="1676"/>
      <c r="J24" s="1695"/>
      <c r="K24" s="1697"/>
      <c r="L24" s="1699"/>
      <c r="M24" s="645" t="s">
        <v>489</v>
      </c>
      <c r="N24" s="742" t="s">
        <v>661</v>
      </c>
      <c r="O24" s="837" t="str">
        <f t="shared" si="0"/>
        <v>Vulnerabilidad al cambio climático</v>
      </c>
      <c r="P24" s="635" t="e">
        <f>#REF!</f>
        <v>#REF!</v>
      </c>
      <c r="Q24" s="761" t="str">
        <f>AS10</f>
        <v>Análisis de rentabilidad de la actividad acuícola en los programas de reconversión productiva</v>
      </c>
      <c r="R24" s="635" t="s">
        <v>662</v>
      </c>
      <c r="S24" s="635" t="s">
        <v>507</v>
      </c>
      <c r="T24" s="519" t="str">
        <f>AR10</f>
        <v>SVCC2</v>
      </c>
      <c r="U24" s="655" t="s">
        <v>663</v>
      </c>
      <c r="V24" s="656"/>
      <c r="W24" s="657"/>
      <c r="X24" s="273"/>
      <c r="Y24" s="825"/>
      <c r="Z24" s="521"/>
      <c r="AA24" s="825"/>
      <c r="AB24" s="273"/>
      <c r="AC24" s="669" t="s">
        <v>664</v>
      </c>
      <c r="AD24" s="836" t="s">
        <v>665</v>
      </c>
      <c r="AE24" s="273"/>
      <c r="AF24" s="825"/>
      <c r="AG24" s="825"/>
      <c r="AH24" s="825"/>
      <c r="AI24" s="669" t="s">
        <v>666</v>
      </c>
      <c r="AJ24" s="836" t="s">
        <v>361</v>
      </c>
      <c r="AK24" s="825"/>
      <c r="AL24" s="825"/>
      <c r="AM24" s="825"/>
      <c r="AN24" s="825"/>
      <c r="AO24" s="825"/>
      <c r="AP24" s="825"/>
      <c r="AQ24" s="825"/>
      <c r="AR24" s="825"/>
      <c r="AS24" s="825"/>
      <c r="AT24" s="825"/>
      <c r="AU24" s="825"/>
      <c r="AV24" s="825"/>
      <c r="AW24" s="825"/>
      <c r="AX24" s="480"/>
      <c r="AY24" s="669" t="s">
        <v>579</v>
      </c>
      <c r="AZ24" s="836" t="s">
        <v>667</v>
      </c>
      <c r="BA24" s="525" t="s">
        <v>358</v>
      </c>
      <c r="BB24" s="825"/>
      <c r="BC24" s="825"/>
      <c r="BD24" s="825"/>
      <c r="BE24" s="825"/>
      <c r="BF24" s="825"/>
      <c r="BG24" s="825"/>
      <c r="BH24" s="825"/>
      <c r="BI24" s="825"/>
      <c r="BJ24" s="825"/>
      <c r="BK24" s="825"/>
      <c r="BL24" s="825"/>
      <c r="BM24" s="825"/>
      <c r="BN24" s="825"/>
      <c r="BO24" s="825"/>
      <c r="BP24" s="825"/>
      <c r="BQ24" s="825"/>
      <c r="BR24" s="825"/>
      <c r="BS24" s="825"/>
      <c r="BT24" s="825"/>
      <c r="BU24" s="825"/>
      <c r="BV24" s="825"/>
      <c r="BW24" s="825"/>
      <c r="BX24" s="825"/>
      <c r="BY24" s="825"/>
      <c r="BZ24" s="825"/>
      <c r="CA24" s="825"/>
      <c r="CB24" s="825"/>
      <c r="CC24" s="825"/>
    </row>
    <row r="25" spans="1:81" ht="57.1" customHeight="1" x14ac:dyDescent="0.25">
      <c r="A25" s="273"/>
      <c r="B25" s="672" t="s">
        <v>488</v>
      </c>
      <c r="C25" s="1643" t="str">
        <f>'8. BASE  CONSOLIDADA'!E16</f>
        <v>1.1.10</v>
      </c>
      <c r="D25" s="1612" t="str">
        <f>'8. BASE  CONSOLIDADA'!F16</f>
        <v>Programa de acceso al financiamiento agropecuario condicionado</v>
      </c>
      <c r="E25" s="1612" t="str">
        <f>'8. BASE  CONSOLIDADA'!G16</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F25" s="1588" t="str">
        <f>'8. BASE  CONSOLIDADA'!C16</f>
        <v>Predios de agricultura familiar con producción destinada al autoconsumo y productos de exportación, con título o sin título de propiedad.</v>
      </c>
      <c r="G25" s="1582" t="str">
        <f>VLOOKUP($C25,'8. BASE  CONSOLIDADA'!$E$7:$AS$308,13,FALSE)</f>
        <v>Créditos otorgados</v>
      </c>
      <c r="H25" s="1585">
        <f>VLOOKUP($C25,'8. BASE  CONSOLIDADA'!$E$7:$AS$308,15,FALSE)</f>
        <v>22368.6</v>
      </c>
      <c r="I25" s="1585">
        <f>VLOOKUP(C25,'8. BASE  CONSOLIDADA'!$E$7:$AS$308,20,FALSE)</f>
        <v>240462449.99999997</v>
      </c>
      <c r="J25" s="1587">
        <f>I25*$J$6</f>
        <v>163514.46599999999</v>
      </c>
      <c r="K25" s="1130"/>
      <c r="L25" s="1126"/>
      <c r="M25" s="645" t="s">
        <v>489</v>
      </c>
      <c r="N25" s="740" t="s">
        <v>668</v>
      </c>
      <c r="O25" s="837" t="str">
        <f t="shared" si="0"/>
        <v>Biodiversidad y recursos naturales</v>
      </c>
      <c r="P25" s="840" t="e">
        <f>#REF!</f>
        <v>#REF!</v>
      </c>
      <c r="Q25" s="758" t="str">
        <f>AA12</f>
        <v xml:space="preserve">Ordenamiento agroterritorial como estrategia para ordenar y promover el desarrollo agrario regional </v>
      </c>
      <c r="R25" s="836" t="s">
        <v>656</v>
      </c>
      <c r="S25" s="842" t="s">
        <v>492</v>
      </c>
      <c r="T25" s="519" t="str">
        <f>Z12</f>
        <v>SBRN4</v>
      </c>
      <c r="U25" s="500"/>
      <c r="V25" s="499"/>
      <c r="W25" s="501"/>
      <c r="X25" s="273"/>
      <c r="Y25" s="825"/>
      <c r="Z25" s="825"/>
      <c r="AA25" s="825"/>
      <c r="AB25" s="273"/>
      <c r="AC25" s="858" t="s">
        <v>669</v>
      </c>
      <c r="AD25" s="840" t="s">
        <v>670</v>
      </c>
      <c r="AE25" s="273"/>
      <c r="AF25" s="825"/>
      <c r="AG25" s="825"/>
      <c r="AH25" s="825"/>
      <c r="AI25" s="669" t="s">
        <v>671</v>
      </c>
      <c r="AJ25" s="836" t="s">
        <v>380</v>
      </c>
      <c r="AK25" s="825"/>
      <c r="AL25" s="825"/>
      <c r="AM25" s="825"/>
      <c r="AN25" s="825"/>
      <c r="AO25" s="825"/>
      <c r="AP25" s="825"/>
      <c r="AQ25" s="825"/>
      <c r="AR25" s="825"/>
      <c r="AS25" s="825"/>
      <c r="AT25" s="825"/>
      <c r="AU25" s="825"/>
      <c r="AV25" s="825"/>
      <c r="AW25" s="825"/>
      <c r="AX25" s="480"/>
      <c r="AY25" s="567" t="s">
        <v>589</v>
      </c>
      <c r="AZ25" s="854" t="s">
        <v>590</v>
      </c>
      <c r="BA25" s="525" t="s">
        <v>358</v>
      </c>
      <c r="BB25" s="825"/>
      <c r="BC25" s="825"/>
      <c r="BD25" s="825"/>
      <c r="BE25" s="825"/>
      <c r="BF25" s="825"/>
      <c r="BG25" s="825"/>
      <c r="BH25" s="825"/>
      <c r="BI25" s="825"/>
      <c r="BJ25" s="825"/>
      <c r="BK25" s="825"/>
      <c r="BL25" s="825"/>
      <c r="BM25" s="825"/>
      <c r="BN25" s="825"/>
      <c r="BO25" s="825"/>
      <c r="BP25" s="825"/>
      <c r="BQ25" s="825"/>
      <c r="BR25" s="825"/>
      <c r="BS25" s="825"/>
      <c r="BT25" s="825"/>
      <c r="BU25" s="825"/>
      <c r="BV25" s="825"/>
      <c r="BW25" s="825"/>
      <c r="BX25" s="825"/>
      <c r="BY25" s="825"/>
      <c r="BZ25" s="825"/>
      <c r="CA25" s="825"/>
      <c r="CB25" s="825"/>
      <c r="CC25" s="825"/>
    </row>
    <row r="26" spans="1:81" ht="32.299999999999997" customHeight="1" x14ac:dyDescent="0.25">
      <c r="A26" s="273"/>
      <c r="B26" s="672"/>
      <c r="C26" s="1643"/>
      <c r="D26" s="1612"/>
      <c r="E26" s="1612"/>
      <c r="F26" s="1588"/>
      <c r="G26" s="1583"/>
      <c r="H26" s="1537"/>
      <c r="I26" s="1537"/>
      <c r="J26" s="1588"/>
      <c r="K26" s="1131">
        <v>100</v>
      </c>
      <c r="L26" s="1127">
        <f>K26*H25</f>
        <v>2236860</v>
      </c>
      <c r="M26" s="739" t="s">
        <v>672</v>
      </c>
      <c r="N26" s="740" t="str">
        <f>N25</f>
        <v>Deforestación de nuevas áreas para implementar créditos o incentivos otorgados</v>
      </c>
      <c r="O26" s="837" t="str">
        <f t="shared" si="0"/>
        <v>Biodiversidad y recursos naturales</v>
      </c>
      <c r="P26" s="643" t="e">
        <f>#REF!</f>
        <v>#REF!</v>
      </c>
      <c r="Q26" s="510" t="str">
        <f>AA14</f>
        <v>Desarrollo de incentivos financieros y no financieros condicionados con cláusulas de no deforestación</v>
      </c>
      <c r="R26" s="572" t="s">
        <v>673</v>
      </c>
      <c r="S26" s="852" t="s">
        <v>526</v>
      </c>
      <c r="T26" s="519" t="str">
        <f>Z14</f>
        <v>SBRN6</v>
      </c>
      <c r="U26" s="500"/>
      <c r="V26" s="504"/>
      <c r="W26" s="669"/>
      <c r="X26" s="273"/>
      <c r="Y26" s="825"/>
      <c r="Z26" s="825"/>
      <c r="AA26" s="825"/>
      <c r="AB26" s="273"/>
      <c r="AC26" s="669" t="s">
        <v>674</v>
      </c>
      <c r="AD26" s="836" t="s">
        <v>675</v>
      </c>
      <c r="AE26" s="273"/>
      <c r="AF26" s="825"/>
      <c r="AG26" s="825"/>
      <c r="AH26" s="825"/>
      <c r="AI26" s="669" t="s">
        <v>676</v>
      </c>
      <c r="AJ26" s="836" t="s">
        <v>677</v>
      </c>
      <c r="AK26" s="825"/>
      <c r="AL26" s="825"/>
      <c r="AM26" s="825"/>
      <c r="AN26" s="825"/>
      <c r="AO26" s="825"/>
      <c r="AP26" s="825"/>
      <c r="AQ26" s="825"/>
      <c r="AR26" s="825"/>
      <c r="AS26" s="825"/>
      <c r="AT26" s="825"/>
      <c r="AU26" s="825"/>
      <c r="AV26" s="825"/>
      <c r="AW26" s="825"/>
      <c r="AX26" s="480"/>
      <c r="AY26" s="858" t="s">
        <v>599</v>
      </c>
      <c r="AZ26" s="836" t="s">
        <v>374</v>
      </c>
      <c r="BA26" s="525" t="s">
        <v>358</v>
      </c>
      <c r="BB26" s="825"/>
      <c r="BC26" s="825"/>
      <c r="BD26" s="825"/>
      <c r="BE26" s="825"/>
      <c r="BF26" s="825"/>
      <c r="BG26" s="825"/>
      <c r="BH26" s="825"/>
      <c r="BI26" s="825"/>
      <c r="BJ26" s="825"/>
      <c r="BK26" s="825"/>
      <c r="BL26" s="825"/>
      <c r="BM26" s="825"/>
      <c r="BN26" s="825"/>
      <c r="BO26" s="825"/>
      <c r="BP26" s="825"/>
      <c r="BQ26" s="825"/>
      <c r="BR26" s="825"/>
      <c r="BS26" s="825"/>
      <c r="BT26" s="825"/>
      <c r="BU26" s="825"/>
      <c r="BV26" s="825"/>
      <c r="BW26" s="825"/>
      <c r="BX26" s="825"/>
      <c r="BY26" s="825"/>
      <c r="BZ26" s="825"/>
      <c r="CA26" s="825"/>
      <c r="CB26" s="825"/>
      <c r="CC26" s="825"/>
    </row>
    <row r="27" spans="1:81" ht="43.5" customHeight="1" x14ac:dyDescent="0.25">
      <c r="A27" s="273"/>
      <c r="B27" s="672"/>
      <c r="C27" s="1643"/>
      <c r="D27" s="1612"/>
      <c r="E27" s="1612"/>
      <c r="F27" s="1588"/>
      <c r="G27" s="1583"/>
      <c r="H27" s="1537"/>
      <c r="I27" s="1537"/>
      <c r="J27" s="1588"/>
      <c r="K27" s="1132">
        <v>17</v>
      </c>
      <c r="L27" s="1128">
        <f>K27*H25</f>
        <v>380266.19999999995</v>
      </c>
      <c r="M27" s="485" t="s">
        <v>678</v>
      </c>
      <c r="N27" s="724" t="str">
        <f>N17</f>
        <v>Especies exóticas o invasoras en bosques colindantes</v>
      </c>
      <c r="O27" s="837" t="str">
        <f t="shared" si="0"/>
        <v>Biodiversidad y recursos naturales</v>
      </c>
      <c r="P27" s="643" t="e">
        <f>#REF!</f>
        <v>#REF!</v>
      </c>
      <c r="Q27" s="510" t="str">
        <f>AA13</f>
        <v xml:space="preserve">Inclusión de cláusulas de monitoreo y control de especies exóticas e invasoras en proyectos de promoción agrarios  </v>
      </c>
      <c r="R27" s="598" t="s">
        <v>614</v>
      </c>
      <c r="S27" s="481" t="s">
        <v>492</v>
      </c>
      <c r="T27" s="519" t="str">
        <f>Z13</f>
        <v>SBRN5</v>
      </c>
      <c r="U27" s="499"/>
      <c r="V27" s="499"/>
      <c r="W27" s="501"/>
      <c r="X27" s="273"/>
      <c r="Y27" s="825"/>
      <c r="Z27" s="825"/>
      <c r="AA27" s="825"/>
      <c r="AB27" s="273"/>
      <c r="AC27" s="858" t="s">
        <v>679</v>
      </c>
      <c r="AD27" s="838" t="s">
        <v>680</v>
      </c>
      <c r="AE27" s="273"/>
      <c r="AF27" s="825"/>
      <c r="AG27" s="825"/>
      <c r="AH27" s="825"/>
      <c r="AI27" s="669" t="s">
        <v>681</v>
      </c>
      <c r="AJ27" s="836" t="s">
        <v>682</v>
      </c>
      <c r="AK27" s="825"/>
      <c r="AL27" s="825"/>
      <c r="AM27" s="825"/>
      <c r="AN27" s="825"/>
      <c r="AO27" s="825"/>
      <c r="AP27" s="825"/>
      <c r="AQ27" s="825"/>
      <c r="AR27" s="825"/>
      <c r="AS27" s="825"/>
      <c r="AT27" s="825"/>
      <c r="AU27" s="825"/>
      <c r="AV27" s="825"/>
      <c r="AW27" s="825"/>
      <c r="AX27" s="480"/>
      <c r="AY27" s="669" t="s">
        <v>608</v>
      </c>
      <c r="AZ27" s="836" t="s">
        <v>376</v>
      </c>
      <c r="BA27" s="525" t="s">
        <v>358</v>
      </c>
      <c r="BB27" s="825"/>
      <c r="BC27" s="825"/>
      <c r="BD27" s="825"/>
      <c r="BE27" s="825"/>
      <c r="BF27" s="825"/>
      <c r="BG27" s="825"/>
      <c r="BH27" s="825"/>
      <c r="BI27" s="825"/>
      <c r="BJ27" s="825"/>
      <c r="BK27" s="825"/>
      <c r="BL27" s="825"/>
      <c r="BM27" s="825"/>
      <c r="BN27" s="825"/>
      <c r="BO27" s="825"/>
      <c r="BP27" s="825"/>
      <c r="BQ27" s="825"/>
      <c r="BR27" s="825"/>
      <c r="BS27" s="825"/>
      <c r="BT27" s="825"/>
      <c r="BU27" s="825"/>
      <c r="BV27" s="825"/>
      <c r="BW27" s="825"/>
      <c r="BX27" s="825"/>
      <c r="BY27" s="825"/>
      <c r="BZ27" s="825"/>
      <c r="CA27" s="825"/>
      <c r="CB27" s="825"/>
      <c r="CC27" s="825"/>
    </row>
    <row r="28" spans="1:81" ht="43.5" x14ac:dyDescent="0.25">
      <c r="A28" s="273"/>
      <c r="B28" s="672"/>
      <c r="C28" s="1643"/>
      <c r="D28" s="1612"/>
      <c r="E28" s="1612"/>
      <c r="F28" s="1588"/>
      <c r="G28" s="1583"/>
      <c r="H28" s="1537"/>
      <c r="I28" s="1537"/>
      <c r="J28" s="1588"/>
      <c r="K28" s="1131"/>
      <c r="L28" s="1128"/>
      <c r="M28" s="1125" t="s">
        <v>489</v>
      </c>
      <c r="N28" s="740" t="s">
        <v>683</v>
      </c>
      <c r="O28" s="837" t="str">
        <f t="shared" si="0"/>
        <v>Contaminación</v>
      </c>
      <c r="P28" s="643" t="e">
        <f>#REF!</f>
        <v>#REF!</v>
      </c>
      <c r="Q28" s="510" t="str">
        <f>AM10</f>
        <v>Control de residuos agropecuarios</v>
      </c>
      <c r="R28" s="527" t="s">
        <v>535</v>
      </c>
      <c r="S28" s="851" t="s">
        <v>492</v>
      </c>
      <c r="T28" s="519" t="str">
        <f>AL10</f>
        <v>SCT2</v>
      </c>
      <c r="U28" s="613"/>
      <c r="V28" s="505"/>
      <c r="W28" s="487"/>
      <c r="X28" s="273"/>
      <c r="Y28" s="825"/>
      <c r="Z28" s="825"/>
      <c r="AA28" s="825"/>
      <c r="AB28" s="273"/>
      <c r="AC28" s="669" t="s">
        <v>684</v>
      </c>
      <c r="AD28" s="836" t="s">
        <v>685</v>
      </c>
      <c r="AE28" s="273"/>
      <c r="AF28" s="825"/>
      <c r="AG28" s="825"/>
      <c r="AH28" s="825"/>
      <c r="AI28" s="825"/>
      <c r="AJ28" s="825"/>
      <c r="AK28" s="825"/>
      <c r="AL28" s="825"/>
      <c r="AM28" s="825"/>
      <c r="AN28" s="825"/>
      <c r="AO28" s="825"/>
      <c r="AP28" s="825"/>
      <c r="AQ28" s="825"/>
      <c r="AR28" s="825"/>
      <c r="AS28" s="825"/>
      <c r="AT28" s="825"/>
      <c r="AU28" s="825"/>
      <c r="AV28" s="825"/>
      <c r="AW28" s="825"/>
      <c r="AX28" s="480"/>
      <c r="AY28" s="669" t="s">
        <v>617</v>
      </c>
      <c r="AZ28" s="836" t="s">
        <v>375</v>
      </c>
      <c r="BA28" s="525" t="s">
        <v>358</v>
      </c>
      <c r="BB28" s="825"/>
      <c r="BC28" s="825"/>
      <c r="BD28" s="825"/>
      <c r="BE28" s="825"/>
      <c r="BF28" s="825"/>
      <c r="BG28" s="825"/>
      <c r="BH28" s="825"/>
      <c r="BI28" s="825"/>
      <c r="BJ28" s="825"/>
      <c r="BK28" s="825"/>
      <c r="BL28" s="825"/>
      <c r="BM28" s="825"/>
      <c r="BN28" s="825"/>
      <c r="BO28" s="825"/>
      <c r="BP28" s="825"/>
      <c r="BQ28" s="825"/>
      <c r="BR28" s="825"/>
      <c r="BS28" s="825"/>
      <c r="BT28" s="825"/>
      <c r="BU28" s="825"/>
      <c r="BV28" s="825"/>
      <c r="BW28" s="825"/>
      <c r="BX28" s="825"/>
      <c r="BY28" s="825"/>
      <c r="BZ28" s="825"/>
      <c r="CA28" s="825"/>
      <c r="CB28" s="825"/>
      <c r="CC28" s="825"/>
    </row>
    <row r="29" spans="1:81" ht="41.95" customHeight="1" x14ac:dyDescent="0.25">
      <c r="A29" s="273"/>
      <c r="B29" s="672"/>
      <c r="C29" s="1643"/>
      <c r="D29" s="1612"/>
      <c r="E29" s="1612"/>
      <c r="F29" s="1588"/>
      <c r="G29" s="1583"/>
      <c r="H29" s="1537"/>
      <c r="I29" s="1537"/>
      <c r="J29" s="1588"/>
      <c r="K29" s="1131"/>
      <c r="L29" s="1128"/>
      <c r="M29" s="645" t="s">
        <v>489</v>
      </c>
      <c r="N29" s="740" t="s">
        <v>686</v>
      </c>
      <c r="O29" s="837" t="str">
        <f t="shared" si="0"/>
        <v>Corrupción</v>
      </c>
      <c r="P29" s="643" t="e">
        <f>#REF!</f>
        <v>#REF!</v>
      </c>
      <c r="Q29" s="757" t="str">
        <f>AG10</f>
        <v>Transparencia en incentivos financieros y obras públicas vinculadas a la ERDRBE</v>
      </c>
      <c r="R29" s="485" t="s">
        <v>687</v>
      </c>
      <c r="S29" s="526" t="s">
        <v>507</v>
      </c>
      <c r="T29" s="519" t="str">
        <f>AF10</f>
        <v>SCR2</v>
      </c>
      <c r="U29" s="499"/>
      <c r="V29" s="504"/>
      <c r="W29" s="669"/>
      <c r="X29" s="273"/>
      <c r="Y29" s="825"/>
      <c r="Z29" s="825"/>
      <c r="AA29" s="825"/>
      <c r="AB29" s="273"/>
      <c r="AC29" s="273"/>
      <c r="AD29" s="273"/>
      <c r="AE29" s="273"/>
      <c r="AF29" s="825"/>
      <c r="AG29" s="825"/>
      <c r="AH29" s="825"/>
      <c r="AI29" s="825"/>
      <c r="AJ29" s="825"/>
      <c r="AK29" s="825"/>
      <c r="AL29" s="825"/>
      <c r="AM29" s="825"/>
      <c r="AN29" s="825"/>
      <c r="AO29" s="825"/>
      <c r="AP29" s="825"/>
      <c r="AQ29" s="825"/>
      <c r="AR29" s="825"/>
      <c r="AS29" s="825"/>
      <c r="AT29" s="825"/>
      <c r="AU29" s="825"/>
      <c r="AV29" s="825"/>
      <c r="AW29" s="825"/>
      <c r="AX29" s="480"/>
      <c r="AY29" s="669" t="s">
        <v>624</v>
      </c>
      <c r="AZ29" s="836" t="s">
        <v>383</v>
      </c>
      <c r="BA29" s="525" t="s">
        <v>358</v>
      </c>
      <c r="BB29" s="825"/>
      <c r="BC29" s="825"/>
      <c r="BD29" s="825"/>
      <c r="BE29" s="825"/>
      <c r="BF29" s="825"/>
      <c r="BG29" s="825"/>
      <c r="BH29" s="825"/>
      <c r="BI29" s="825"/>
      <c r="BJ29" s="825"/>
      <c r="BK29" s="825"/>
      <c r="BL29" s="825"/>
      <c r="BM29" s="825"/>
      <c r="BN29" s="825"/>
      <c r="BO29" s="825"/>
      <c r="BP29" s="825"/>
      <c r="BQ29" s="825"/>
      <c r="BR29" s="825"/>
      <c r="BS29" s="825"/>
      <c r="BT29" s="825"/>
      <c r="BU29" s="825"/>
      <c r="BV29" s="825"/>
      <c r="BW29" s="825"/>
      <c r="BX29" s="825"/>
      <c r="BY29" s="825"/>
      <c r="BZ29" s="825"/>
      <c r="CA29" s="825"/>
      <c r="CB29" s="825"/>
      <c r="CC29" s="825"/>
    </row>
    <row r="30" spans="1:81" ht="22.6" customHeight="1" x14ac:dyDescent="0.25">
      <c r="A30" s="273"/>
      <c r="B30" s="672"/>
      <c r="C30" s="1643"/>
      <c r="D30" s="1612"/>
      <c r="E30" s="1612"/>
      <c r="F30" s="1588"/>
      <c r="G30" s="1583"/>
      <c r="H30" s="1537"/>
      <c r="I30" s="1537"/>
      <c r="J30" s="1588"/>
      <c r="K30" s="1131"/>
      <c r="L30" s="1128"/>
      <c r="M30" s="645" t="s">
        <v>489</v>
      </c>
      <c r="N30" s="724" t="s">
        <v>688</v>
      </c>
      <c r="O30" s="837" t="str">
        <f t="shared" si="0"/>
        <v>Género</v>
      </c>
      <c r="P30" s="836" t="str">
        <f>AC6</f>
        <v>GN</v>
      </c>
      <c r="Q30" s="571" t="str">
        <f>AJ11</f>
        <v xml:space="preserve">Cuotas de género y medición de participación efectiva de mujeres rurales </v>
      </c>
      <c r="R30" s="855" t="s">
        <v>689</v>
      </c>
      <c r="S30" s="834" t="s">
        <v>507</v>
      </c>
      <c r="T30" s="519" t="str">
        <f>AI11</f>
        <v>SGN3</v>
      </c>
      <c r="U30" s="499"/>
      <c r="V30" s="505"/>
      <c r="W30" s="487"/>
      <c r="X30" s="273"/>
      <c r="Y30" s="825"/>
      <c r="Z30" s="825"/>
      <c r="AA30" s="825"/>
      <c r="AB30" s="825"/>
      <c r="AC30" s="273"/>
      <c r="AD30" s="273"/>
      <c r="AE30" s="825"/>
      <c r="AF30" s="825"/>
      <c r="AG30" s="825"/>
      <c r="AH30" s="825"/>
      <c r="AI30" s="825"/>
      <c r="AJ30" s="825"/>
      <c r="AK30" s="825"/>
      <c r="AL30" s="825"/>
      <c r="AM30" s="825"/>
      <c r="AN30" s="825"/>
      <c r="AO30" s="825"/>
      <c r="AP30" s="825"/>
      <c r="AQ30" s="825"/>
      <c r="AR30" s="825"/>
      <c r="AS30" s="825"/>
      <c r="AT30" s="825"/>
      <c r="AU30" s="825"/>
      <c r="AV30" s="825"/>
      <c r="AW30" s="825"/>
      <c r="AX30" s="480"/>
      <c r="AY30" s="669" t="s">
        <v>631</v>
      </c>
      <c r="AZ30" s="836" t="s">
        <v>632</v>
      </c>
      <c r="BA30" s="525" t="s">
        <v>358</v>
      </c>
      <c r="BB30" s="825"/>
      <c r="BC30" s="825"/>
      <c r="BD30" s="825"/>
      <c r="BE30" s="825"/>
      <c r="BF30" s="825"/>
      <c r="BG30" s="825"/>
      <c r="BH30" s="825"/>
      <c r="BI30" s="825"/>
      <c r="BJ30" s="825"/>
      <c r="BK30" s="825"/>
      <c r="BL30" s="825"/>
      <c r="BM30" s="825"/>
      <c r="BN30" s="825"/>
      <c r="BO30" s="825"/>
      <c r="BP30" s="825"/>
      <c r="BQ30" s="825"/>
      <c r="BR30" s="825"/>
      <c r="BS30" s="825"/>
      <c r="BT30" s="825"/>
      <c r="BU30" s="825"/>
      <c r="BV30" s="825"/>
      <c r="BW30" s="825"/>
      <c r="BX30" s="825"/>
      <c r="BY30" s="825"/>
      <c r="BZ30" s="825"/>
      <c r="CA30" s="825"/>
      <c r="CB30" s="825"/>
      <c r="CC30" s="825"/>
    </row>
    <row r="31" spans="1:81" ht="32.950000000000003" customHeight="1" x14ac:dyDescent="0.25">
      <c r="A31" s="273"/>
      <c r="B31" s="672"/>
      <c r="C31" s="1643"/>
      <c r="D31" s="1612"/>
      <c r="E31" s="1612"/>
      <c r="F31" s="1588"/>
      <c r="G31" s="1583"/>
      <c r="H31" s="1537"/>
      <c r="I31" s="1537"/>
      <c r="J31" s="1588"/>
      <c r="K31" s="1131"/>
      <c r="L31" s="1128"/>
      <c r="M31" s="645" t="s">
        <v>489</v>
      </c>
      <c r="N31" s="724" t="str">
        <f>N30</f>
        <v>Exclusión de productoras agrarias en sistemas de incentivos financieros</v>
      </c>
      <c r="O31" s="837" t="str">
        <f t="shared" si="0"/>
        <v>Género</v>
      </c>
      <c r="P31" s="836" t="str">
        <f>AC6</f>
        <v>GN</v>
      </c>
      <c r="Q31" s="510" t="str">
        <f>AJ12</f>
        <v>Criterios de evaluación de programas y proyectos con enfoque de género</v>
      </c>
      <c r="R31" s="836" t="s">
        <v>690</v>
      </c>
      <c r="S31" s="834" t="s">
        <v>507</v>
      </c>
      <c r="T31" s="519" t="str">
        <f>AI12</f>
        <v>SGN4</v>
      </c>
      <c r="U31" s="499"/>
      <c r="V31" s="505"/>
      <c r="W31" s="487"/>
      <c r="X31" s="273"/>
      <c r="Y31" s="825"/>
      <c r="Z31" s="667" t="s">
        <v>691</v>
      </c>
      <c r="AA31" s="825"/>
      <c r="AB31" s="825"/>
      <c r="AC31" s="825"/>
      <c r="AD31" s="825"/>
      <c r="AE31" s="825"/>
      <c r="AF31" s="825"/>
      <c r="AG31" s="825"/>
      <c r="AH31" s="825"/>
      <c r="AI31" s="825"/>
      <c r="AJ31" s="825"/>
      <c r="AK31" s="825"/>
      <c r="AL31" s="825"/>
      <c r="AM31" s="825"/>
      <c r="AN31" s="825"/>
      <c r="AO31" s="825"/>
      <c r="AP31" s="825"/>
      <c r="AQ31" s="825"/>
      <c r="AR31" s="825"/>
      <c r="AS31" s="825"/>
      <c r="AT31" s="825"/>
      <c r="AU31" s="825"/>
      <c r="AV31" s="825"/>
      <c r="AW31" s="825"/>
      <c r="AX31" s="480"/>
      <c r="AY31" s="669" t="s">
        <v>640</v>
      </c>
      <c r="AZ31" s="836" t="s">
        <v>692</v>
      </c>
      <c r="BA31" s="525" t="s">
        <v>358</v>
      </c>
      <c r="BB31" s="825"/>
      <c r="BC31" s="825"/>
      <c r="BD31" s="825"/>
      <c r="BE31" s="825"/>
      <c r="BF31" s="825"/>
      <c r="BG31" s="825"/>
      <c r="BH31" s="825"/>
      <c r="BI31" s="825"/>
      <c r="BJ31" s="825"/>
      <c r="BK31" s="825"/>
      <c r="BL31" s="825"/>
      <c r="BM31" s="825"/>
      <c r="BN31" s="825"/>
      <c r="BO31" s="825"/>
      <c r="BP31" s="825"/>
      <c r="BQ31" s="825"/>
      <c r="BR31" s="825"/>
      <c r="BS31" s="825"/>
      <c r="BT31" s="825"/>
      <c r="BU31" s="825"/>
      <c r="BV31" s="825"/>
      <c r="BW31" s="825"/>
      <c r="BX31" s="825"/>
      <c r="BY31" s="825"/>
      <c r="BZ31" s="825"/>
      <c r="CA31" s="825"/>
      <c r="CB31" s="825"/>
      <c r="CC31" s="825"/>
    </row>
    <row r="32" spans="1:81" ht="23.95" customHeight="1" x14ac:dyDescent="0.25">
      <c r="A32" s="273"/>
      <c r="B32" s="672"/>
      <c r="C32" s="1643"/>
      <c r="D32" s="1612"/>
      <c r="E32" s="1612"/>
      <c r="F32" s="1588"/>
      <c r="G32" s="1583"/>
      <c r="H32" s="1537"/>
      <c r="I32" s="1537"/>
      <c r="J32" s="1588"/>
      <c r="K32" s="1131"/>
      <c r="L32" s="1128"/>
      <c r="M32" s="645" t="s">
        <v>489</v>
      </c>
      <c r="N32" s="724" t="str">
        <f>N30</f>
        <v>Exclusión de productoras agrarias en sistemas de incentivos financieros</v>
      </c>
      <c r="O32" s="837" t="str">
        <f t="shared" si="0"/>
        <v>Género</v>
      </c>
      <c r="P32" s="837" t="str">
        <f>AC6</f>
        <v>GN</v>
      </c>
      <c r="Q32" s="571" t="str">
        <f>AJ13</f>
        <v>Programas de incentivos financieros y no financieros para el desarrollo rural para mujeres rurales</v>
      </c>
      <c r="R32" s="837" t="s">
        <v>693</v>
      </c>
      <c r="S32" s="844" t="s">
        <v>492</v>
      </c>
      <c r="T32" s="519" t="str">
        <f>AI13</f>
        <v>SGN5</v>
      </c>
      <c r="U32" s="613"/>
      <c r="V32" s="505"/>
      <c r="W32" s="487"/>
      <c r="X32" s="273"/>
      <c r="Y32" s="825"/>
      <c r="Z32" s="273"/>
      <c r="AA32" s="273"/>
      <c r="AB32" s="273"/>
      <c r="AC32" s="273"/>
      <c r="AD32" s="273"/>
      <c r="AE32" s="273"/>
      <c r="AF32" s="273"/>
      <c r="AG32" s="273"/>
      <c r="AH32" s="825"/>
      <c r="AI32" s="825"/>
      <c r="AJ32" s="825"/>
      <c r="AK32" s="825"/>
      <c r="AL32" s="825"/>
      <c r="AM32" s="825"/>
      <c r="AN32" s="825"/>
      <c r="AO32" s="825"/>
      <c r="AP32" s="825"/>
      <c r="AQ32" s="825"/>
      <c r="AR32" s="825"/>
      <c r="AS32" s="825"/>
      <c r="AT32" s="825"/>
      <c r="AU32" s="825"/>
      <c r="AV32" s="825"/>
      <c r="AW32" s="825"/>
      <c r="AX32" s="480"/>
      <c r="AY32" s="669" t="s">
        <v>649</v>
      </c>
      <c r="AZ32" s="836" t="s">
        <v>650</v>
      </c>
      <c r="BA32" s="525" t="s">
        <v>358</v>
      </c>
      <c r="BB32" s="825"/>
      <c r="BC32" s="825"/>
      <c r="BD32" s="825"/>
      <c r="BE32" s="825"/>
      <c r="BF32" s="825"/>
      <c r="BG32" s="825"/>
      <c r="BH32" s="825"/>
      <c r="BI32" s="825"/>
      <c r="BJ32" s="825"/>
      <c r="BK32" s="825"/>
      <c r="BL32" s="825"/>
      <c r="BM32" s="825"/>
      <c r="BN32" s="825"/>
      <c r="BO32" s="825"/>
      <c r="BP32" s="825"/>
      <c r="BQ32" s="825"/>
      <c r="BR32" s="825"/>
      <c r="BS32" s="825"/>
      <c r="BT32" s="825"/>
      <c r="BU32" s="825"/>
      <c r="BV32" s="825"/>
      <c r="BW32" s="825"/>
      <c r="BX32" s="825"/>
      <c r="BY32" s="825"/>
      <c r="BZ32" s="825"/>
      <c r="CA32" s="825"/>
      <c r="CB32" s="825"/>
      <c r="CC32" s="825"/>
    </row>
    <row r="33" spans="1:81" ht="45.7" customHeight="1" x14ac:dyDescent="0.25">
      <c r="A33" s="273"/>
      <c r="B33" s="672"/>
      <c r="C33" s="1643"/>
      <c r="D33" s="1612"/>
      <c r="E33" s="1612"/>
      <c r="F33" s="1588"/>
      <c r="G33" s="1584"/>
      <c r="H33" s="1586"/>
      <c r="I33" s="1586"/>
      <c r="J33" s="1589"/>
      <c r="K33" s="1133"/>
      <c r="L33" s="1129"/>
      <c r="M33" s="645" t="s">
        <v>489</v>
      </c>
      <c r="N33" s="724" t="s">
        <v>694</v>
      </c>
      <c r="O33" s="837" t="str">
        <f t="shared" si="0"/>
        <v>Vulnerabilidad al cambio climático</v>
      </c>
      <c r="P33" s="837" t="e">
        <f>#REF!</f>
        <v>#REF!</v>
      </c>
      <c r="Q33" s="571" t="str">
        <f>AS11</f>
        <v>Análisis de rentabilidad de la actividad agropecuaria en los programas de reconversión productiva</v>
      </c>
      <c r="R33" s="837" t="s">
        <v>695</v>
      </c>
      <c r="S33" s="844" t="s">
        <v>507</v>
      </c>
      <c r="T33" s="519" t="str">
        <f>AR11</f>
        <v>SVCC3</v>
      </c>
      <c r="U33" s="613" t="s">
        <v>663</v>
      </c>
      <c r="V33" s="505"/>
      <c r="W33" s="487"/>
      <c r="X33" s="273"/>
      <c r="Y33" s="273"/>
      <c r="Z33" s="862" t="s">
        <v>696</v>
      </c>
      <c r="AA33" s="665" t="s">
        <v>697</v>
      </c>
      <c r="AB33" s="1574" t="s">
        <v>474</v>
      </c>
      <c r="AC33" s="1574"/>
      <c r="AD33" s="862" t="s">
        <v>698</v>
      </c>
      <c r="AE33" s="1574" t="s">
        <v>475</v>
      </c>
      <c r="AF33" s="1574"/>
      <c r="AG33" s="862" t="s">
        <v>699</v>
      </c>
      <c r="AH33" s="273"/>
      <c r="AI33" s="825"/>
      <c r="AJ33" s="825"/>
      <c r="AK33" s="825"/>
      <c r="AL33" s="825"/>
      <c r="AM33" s="825"/>
      <c r="AN33" s="825"/>
      <c r="AO33" s="825"/>
      <c r="AP33" s="825"/>
      <c r="AQ33" s="825"/>
      <c r="AR33" s="825"/>
      <c r="AS33" s="825"/>
      <c r="AT33" s="825"/>
      <c r="AU33" s="825"/>
      <c r="AV33" s="825"/>
      <c r="AW33" s="825"/>
      <c r="AX33" s="480"/>
      <c r="AY33" s="669" t="s">
        <v>657</v>
      </c>
      <c r="AZ33" s="836" t="s">
        <v>658</v>
      </c>
      <c r="BA33" s="525" t="s">
        <v>358</v>
      </c>
      <c r="BB33" s="825"/>
      <c r="BC33" s="825"/>
      <c r="BD33" s="825"/>
      <c r="BE33" s="825"/>
      <c r="BF33" s="825"/>
      <c r="BG33" s="825"/>
      <c r="BH33" s="825"/>
      <c r="BI33" s="825"/>
      <c r="BJ33" s="825"/>
      <c r="BK33" s="825"/>
      <c r="BL33" s="825"/>
      <c r="BM33" s="825"/>
      <c r="BN33" s="825"/>
      <c r="BO33" s="825"/>
      <c r="BP33" s="825"/>
      <c r="BQ33" s="825"/>
      <c r="BR33" s="825"/>
      <c r="BS33" s="825"/>
      <c r="BT33" s="825"/>
      <c r="BU33" s="825"/>
      <c r="BV33" s="825"/>
      <c r="BW33" s="825"/>
      <c r="BX33" s="825"/>
      <c r="BY33" s="825"/>
      <c r="BZ33" s="825"/>
      <c r="CA33" s="825"/>
      <c r="CB33" s="825"/>
      <c r="CC33" s="825"/>
    </row>
    <row r="34" spans="1:81" ht="98.35" customHeight="1" x14ac:dyDescent="0.25">
      <c r="A34" s="273"/>
      <c r="B34" s="672" t="s">
        <v>488</v>
      </c>
      <c r="C34" s="1643" t="str">
        <f>'8. BASE  CONSOLIDADA'!E17</f>
        <v>1.1.11</v>
      </c>
      <c r="D34" s="1646" t="str">
        <f>'8. BASE  CONSOLIDADA'!F17</f>
        <v xml:space="preserve">Implementación de infraestructura productiva con énfasis a la agro exportación </v>
      </c>
      <c r="E34" s="1639" t="str">
        <f>'8. BASE  CONSOLIDADA'!G17</f>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F34" s="1537" t="str">
        <f>'8. BASE  CONSOLIDADA'!C17</f>
        <v>Predios de agricultura familiar con producción destinada al autoconsumo y productos de exportación, con título o sin título de propiedad.</v>
      </c>
      <c r="G34" s="1537" t="str">
        <f>VLOOKUP($C34,'8. BASE  CONSOLIDADA'!$E$7:$AS$308,13,FALSE)</f>
        <v>Planes de negocios/proyectos ejecutados</v>
      </c>
      <c r="H34" s="1537">
        <f>VLOOKUP($C34,'8. BASE  CONSOLIDADA'!$E$7:$AS$308,15,FALSE)</f>
        <v>9.6000000000000014</v>
      </c>
      <c r="I34" s="1537">
        <f>VLOOKUP(C34,'8. BASE  CONSOLIDADA'!$E$7:$AS$308,20,FALSE)</f>
        <v>7680000.0000000009</v>
      </c>
      <c r="J34" s="1537">
        <f>I34*$J$6</f>
        <v>5222.4000000000015</v>
      </c>
      <c r="K34" s="1537"/>
      <c r="L34" s="1537"/>
      <c r="M34" s="645" t="s">
        <v>489</v>
      </c>
      <c r="N34" s="724" t="s">
        <v>700</v>
      </c>
      <c r="O34" s="837" t="str">
        <f t="shared" si="0"/>
        <v>Biodiversidad y recursos naturales</v>
      </c>
      <c r="P34" s="837" t="e">
        <f>#REF!</f>
        <v>#REF!</v>
      </c>
      <c r="Q34" s="571" t="str">
        <f>AA14</f>
        <v>Desarrollo de incentivos financieros y no financieros condicionados con cláusulas de no deforestación</v>
      </c>
      <c r="R34" s="837" t="s">
        <v>673</v>
      </c>
      <c r="S34" s="844" t="s">
        <v>526</v>
      </c>
      <c r="T34" s="519" t="str">
        <f>Z14</f>
        <v>SBRN6</v>
      </c>
      <c r="U34" s="507" t="s">
        <v>701</v>
      </c>
      <c r="V34" s="507"/>
      <c r="W34" s="506"/>
      <c r="X34" s="273"/>
      <c r="Y34" s="273"/>
      <c r="Z34" s="861">
        <v>1</v>
      </c>
      <c r="AA34" s="664" t="s">
        <v>702</v>
      </c>
      <c r="AB34" s="1594">
        <v>7000</v>
      </c>
      <c r="AC34" s="1594"/>
      <c r="AD34" s="861" t="s">
        <v>703</v>
      </c>
      <c r="AE34" s="1577">
        <f>AB34*60*2</f>
        <v>840000</v>
      </c>
      <c r="AF34" s="1578"/>
      <c r="AG34" s="666" t="s">
        <v>704</v>
      </c>
      <c r="AH34" s="273"/>
      <c r="AI34" s="825"/>
      <c r="AJ34" s="825"/>
      <c r="AK34" s="825"/>
      <c r="AL34" s="825"/>
      <c r="AM34" s="825"/>
      <c r="AN34" s="825"/>
      <c r="AO34" s="825"/>
      <c r="AP34" s="825"/>
      <c r="AQ34" s="825"/>
      <c r="AR34" s="825"/>
      <c r="AS34" s="825"/>
      <c r="AT34" s="825"/>
      <c r="AU34" s="825"/>
      <c r="AV34" s="825"/>
      <c r="AW34" s="825"/>
      <c r="AX34" s="480"/>
      <c r="AY34" s="669" t="s">
        <v>664</v>
      </c>
      <c r="AZ34" s="836" t="s">
        <v>384</v>
      </c>
      <c r="BA34" s="525" t="s">
        <v>358</v>
      </c>
      <c r="BB34" s="825"/>
      <c r="BC34" s="825"/>
      <c r="BD34" s="825"/>
      <c r="BE34" s="825"/>
      <c r="BF34" s="825"/>
      <c r="BG34" s="825"/>
      <c r="BH34" s="825"/>
      <c r="BI34" s="825"/>
      <c r="BJ34" s="825"/>
      <c r="BK34" s="825"/>
      <c r="BL34" s="825"/>
      <c r="BM34" s="825"/>
      <c r="BN34" s="825"/>
      <c r="BO34" s="825"/>
      <c r="BP34" s="825"/>
      <c r="BQ34" s="825"/>
      <c r="BR34" s="825"/>
      <c r="BS34" s="825"/>
      <c r="BT34" s="825"/>
      <c r="BU34" s="825"/>
      <c r="BV34" s="825"/>
      <c r="BW34" s="825"/>
      <c r="BX34" s="825"/>
      <c r="BY34" s="825"/>
      <c r="BZ34" s="825"/>
      <c r="CA34" s="825"/>
      <c r="CB34" s="825"/>
      <c r="CC34" s="825"/>
    </row>
    <row r="35" spans="1:81" ht="48.75" customHeight="1" x14ac:dyDescent="0.25">
      <c r="A35" s="273"/>
      <c r="B35" s="672"/>
      <c r="C35" s="1643"/>
      <c r="D35" s="1646"/>
      <c r="E35" s="1639"/>
      <c r="F35" s="1537"/>
      <c r="G35" s="1537"/>
      <c r="H35" s="1537"/>
      <c r="I35" s="1537"/>
      <c r="J35" s="1537"/>
      <c r="K35" s="1537"/>
      <c r="L35" s="1537"/>
      <c r="M35" s="645" t="s">
        <v>489</v>
      </c>
      <c r="N35" s="724" t="str">
        <f>N28</f>
        <v>Contaminación por residuos agropecuarios</v>
      </c>
      <c r="O35" s="837" t="str">
        <f t="shared" si="0"/>
        <v>Contaminación</v>
      </c>
      <c r="P35" s="837" t="e">
        <f>#REF!</f>
        <v>#REF!</v>
      </c>
      <c r="Q35" s="571" t="str">
        <f>AM10</f>
        <v>Control de residuos agropecuarios</v>
      </c>
      <c r="R35" s="837" t="s">
        <v>535</v>
      </c>
      <c r="S35" s="844" t="s">
        <v>492</v>
      </c>
      <c r="T35" s="519" t="str">
        <f>AL10</f>
        <v>SCT2</v>
      </c>
      <c r="U35" s="499"/>
      <c r="V35" s="499"/>
      <c r="W35" s="501"/>
      <c r="X35" s="273"/>
      <c r="Y35" s="273"/>
      <c r="Z35" s="861">
        <v>2</v>
      </c>
      <c r="AA35" s="664" t="s">
        <v>705</v>
      </c>
      <c r="AB35" s="1594">
        <f>24000+16800+8400+4000</f>
        <v>53200</v>
      </c>
      <c r="AC35" s="1594"/>
      <c r="AD35" s="714" t="s">
        <v>706</v>
      </c>
      <c r="AE35" s="1577">
        <f>AB35*2</f>
        <v>106400</v>
      </c>
      <c r="AF35" s="1578"/>
      <c r="AG35" s="666" t="s">
        <v>704</v>
      </c>
      <c r="AH35" s="273"/>
      <c r="AI35" s="825"/>
      <c r="AJ35" s="825"/>
      <c r="AK35" s="825"/>
      <c r="AL35" s="825"/>
      <c r="AM35" s="825"/>
      <c r="AN35" s="825"/>
      <c r="AO35" s="825"/>
      <c r="AP35" s="825"/>
      <c r="AQ35" s="825"/>
      <c r="AR35" s="825"/>
      <c r="AS35" s="825"/>
      <c r="AT35" s="825"/>
      <c r="AU35" s="825"/>
      <c r="AV35" s="825"/>
      <c r="AW35" s="825"/>
      <c r="AX35" s="480"/>
      <c r="AY35" s="858" t="s">
        <v>669</v>
      </c>
      <c r="AZ35" s="840" t="s">
        <v>385</v>
      </c>
      <c r="BA35" s="525" t="s">
        <v>358</v>
      </c>
      <c r="BB35" s="825"/>
      <c r="BC35" s="825"/>
      <c r="BD35" s="825"/>
      <c r="BE35" s="825"/>
      <c r="BF35" s="825"/>
      <c r="BG35" s="825"/>
      <c r="BH35" s="825"/>
      <c r="BI35" s="825"/>
      <c r="BJ35" s="825"/>
      <c r="BK35" s="825"/>
      <c r="BL35" s="825"/>
      <c r="BM35" s="825"/>
      <c r="BN35" s="825"/>
      <c r="BO35" s="825"/>
      <c r="BP35" s="825"/>
      <c r="BQ35" s="825"/>
      <c r="BR35" s="825"/>
      <c r="BS35" s="825"/>
      <c r="BT35" s="825"/>
      <c r="BU35" s="825"/>
      <c r="BV35" s="825"/>
      <c r="BW35" s="825"/>
      <c r="BX35" s="825"/>
      <c r="BY35" s="825"/>
      <c r="BZ35" s="825"/>
      <c r="CA35" s="825"/>
      <c r="CB35" s="825"/>
      <c r="CC35" s="825"/>
    </row>
    <row r="36" spans="1:81" ht="57.1" customHeight="1" x14ac:dyDescent="0.25">
      <c r="A36" s="273"/>
      <c r="B36" s="672"/>
      <c r="C36" s="1643"/>
      <c r="D36" s="1646"/>
      <c r="E36" s="1639"/>
      <c r="F36" s="1537"/>
      <c r="G36" s="1537"/>
      <c r="H36" s="1537"/>
      <c r="I36" s="1537"/>
      <c r="J36" s="1537"/>
      <c r="K36" s="1537"/>
      <c r="L36" s="1537"/>
      <c r="M36" s="645" t="s">
        <v>489</v>
      </c>
      <c r="N36" s="724" t="s">
        <v>707</v>
      </c>
      <c r="O36" s="837" t="str">
        <f t="shared" si="0"/>
        <v>Corrupción</v>
      </c>
      <c r="P36" s="837" t="e">
        <f>#REF!</f>
        <v>#REF!</v>
      </c>
      <c r="Q36" s="571" t="str">
        <f>AG10</f>
        <v>Transparencia en incentivos financieros y obras públicas vinculadas a la ERDRBE</v>
      </c>
      <c r="R36" s="837" t="s">
        <v>687</v>
      </c>
      <c r="S36" s="844" t="s">
        <v>507</v>
      </c>
      <c r="T36" s="519" t="str">
        <f>AF10</f>
        <v>SCR2</v>
      </c>
      <c r="U36" s="499"/>
      <c r="V36" s="499"/>
      <c r="W36" s="501"/>
      <c r="X36" s="273"/>
      <c r="Y36" s="273"/>
      <c r="Z36" s="861">
        <v>3</v>
      </c>
      <c r="AA36" s="664" t="s">
        <v>708</v>
      </c>
      <c r="AB36" s="1594">
        <v>4000</v>
      </c>
      <c r="AC36" s="1594"/>
      <c r="AD36" s="861" t="s">
        <v>703</v>
      </c>
      <c r="AE36" s="1595">
        <f>(AB36*60)*2</f>
        <v>480000</v>
      </c>
      <c r="AF36" s="1595"/>
      <c r="AG36" s="666" t="s">
        <v>709</v>
      </c>
      <c r="AH36" s="273"/>
      <c r="AI36" s="825"/>
      <c r="AJ36" s="825"/>
      <c r="AK36" s="825"/>
      <c r="AL36" s="825"/>
      <c r="AM36" s="825"/>
      <c r="AN36" s="825"/>
      <c r="AO36" s="825"/>
      <c r="AP36" s="825"/>
      <c r="AQ36" s="825"/>
      <c r="AR36" s="825"/>
      <c r="AS36" s="825"/>
      <c r="AT36" s="825"/>
      <c r="AU36" s="825"/>
      <c r="AV36" s="825"/>
      <c r="AW36" s="825"/>
      <c r="AX36" s="480"/>
      <c r="AY36" s="669" t="s">
        <v>674</v>
      </c>
      <c r="AZ36" s="836" t="s">
        <v>675</v>
      </c>
      <c r="BA36" s="525" t="s">
        <v>358</v>
      </c>
      <c r="BB36" s="825"/>
      <c r="BC36" s="825"/>
      <c r="BD36" s="825"/>
      <c r="BE36" s="825"/>
      <c r="BF36" s="825"/>
      <c r="BG36" s="825"/>
      <c r="BH36" s="825"/>
      <c r="BI36" s="825"/>
      <c r="BJ36" s="825"/>
      <c r="BK36" s="825"/>
      <c r="BL36" s="825"/>
      <c r="BM36" s="825"/>
      <c r="BN36" s="825"/>
      <c r="BO36" s="825"/>
      <c r="BP36" s="825"/>
      <c r="BQ36" s="825"/>
      <c r="BR36" s="825"/>
      <c r="BS36" s="825"/>
      <c r="BT36" s="825"/>
      <c r="BU36" s="825"/>
      <c r="BV36" s="825"/>
      <c r="BW36" s="825"/>
      <c r="BX36" s="825"/>
      <c r="BY36" s="825"/>
      <c r="BZ36" s="825"/>
      <c r="CA36" s="825"/>
      <c r="CB36" s="825"/>
      <c r="CC36" s="825"/>
    </row>
    <row r="37" spans="1:81" s="490" customFormat="1" ht="65.25" customHeight="1" x14ac:dyDescent="0.2">
      <c r="A37" s="489"/>
      <c r="B37" s="672" t="s">
        <v>488</v>
      </c>
      <c r="C37" s="1643" t="str">
        <f>'8. BASE  CONSOLIDADA'!E38</f>
        <v>1.4.1</v>
      </c>
      <c r="D37" s="1612" t="str">
        <f>'8. BASE  CONSOLIDADA'!F38</f>
        <v xml:space="preserve">Concluir reconocimiento y titulación </v>
      </c>
      <c r="E37" s="1612" t="str">
        <f>'8. BASE  CONSOLIDADA'!G38</f>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
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v>
      </c>
      <c r="F37" s="1535" t="str">
        <f>'8. BASE  CONSOLIDADA'!C38</f>
        <v>Territorios de comunidades nativas</v>
      </c>
      <c r="G37" s="1535" t="str">
        <f>VLOOKUP($C37,'8. BASE  CONSOLIDADA'!$E$7:$AS$308,13,FALSE)</f>
        <v>Comunidades tituladas</v>
      </c>
      <c r="H37" s="1535">
        <f>VLOOKUP($C37,'8. BASE  CONSOLIDADA'!$E$7:$AS$308,15,FALSE)</f>
        <v>63</v>
      </c>
      <c r="I37" s="1535">
        <f>VLOOKUP(C37,'8. BASE  CONSOLIDADA'!$E$7:$AS$308,20,FALSE)</f>
        <v>4488750</v>
      </c>
      <c r="J37" s="1535">
        <f>I37*$J$6</f>
        <v>3052.3500000000004</v>
      </c>
      <c r="K37" s="1020"/>
      <c r="L37" s="1027"/>
      <c r="M37" s="645" t="s">
        <v>489</v>
      </c>
      <c r="N37" s="724" t="s">
        <v>710</v>
      </c>
      <c r="O37" s="837" t="str">
        <f t="shared" si="0"/>
        <v>Derechos de los pueblos indígenas</v>
      </c>
      <c r="P37" s="837" t="str">
        <f>Z6</f>
        <v>DPI</v>
      </c>
      <c r="Q37" s="571" t="str">
        <f>AD11</f>
        <v>Soporte para solución de conflictos entre pueblos indígenas y terceros</v>
      </c>
      <c r="R37" s="837" t="s">
        <v>711</v>
      </c>
      <c r="S37" s="844" t="s">
        <v>492</v>
      </c>
      <c r="T37" s="519" t="str">
        <f>AC11</f>
        <v>SDPI3</v>
      </c>
      <c r="U37" s="614"/>
      <c r="V37" s="669"/>
      <c r="W37" s="669"/>
      <c r="X37" s="489"/>
      <c r="Y37" s="489"/>
      <c r="Z37" s="861">
        <v>4</v>
      </c>
      <c r="AA37" s="664" t="s">
        <v>712</v>
      </c>
      <c r="AB37" s="1594">
        <v>3000</v>
      </c>
      <c r="AC37" s="1594"/>
      <c r="AD37" s="861" t="s">
        <v>713</v>
      </c>
      <c r="AE37" s="1595">
        <f>AB37*60</f>
        <v>180000</v>
      </c>
      <c r="AF37" s="1595"/>
      <c r="AG37" s="666" t="s">
        <v>714</v>
      </c>
      <c r="AH37" s="489"/>
      <c r="AX37" s="480"/>
      <c r="AY37" s="669" t="s">
        <v>679</v>
      </c>
      <c r="AZ37" s="842" t="s">
        <v>680</v>
      </c>
      <c r="BA37" s="525" t="s">
        <v>358</v>
      </c>
    </row>
    <row r="38" spans="1:81" s="490" customFormat="1" ht="102.1" customHeight="1" x14ac:dyDescent="0.2">
      <c r="A38" s="489"/>
      <c r="B38" s="672"/>
      <c r="C38" s="1643"/>
      <c r="D38" s="1612"/>
      <c r="E38" s="1612"/>
      <c r="F38" s="1536"/>
      <c r="G38" s="1536"/>
      <c r="H38" s="1536"/>
      <c r="I38" s="1536"/>
      <c r="J38" s="1536"/>
      <c r="K38" s="1028">
        <v>8000</v>
      </c>
      <c r="L38" s="1028">
        <f>K38*H37</f>
        <v>504000</v>
      </c>
      <c r="M38" s="745" t="s">
        <v>715</v>
      </c>
      <c r="N38" s="724" t="s">
        <v>716</v>
      </c>
      <c r="O38" s="837" t="str">
        <f t="shared" si="0"/>
        <v>Derechos de los pueblos indígenas</v>
      </c>
      <c r="P38" s="837" t="str">
        <f>Z6</f>
        <v>DPI</v>
      </c>
      <c r="Q38" s="571" t="str">
        <f>AD12</f>
        <v>Actualización en registros públicos de juntas directivas de las comunidades nativas</v>
      </c>
      <c r="R38" s="837" t="s">
        <v>717</v>
      </c>
      <c r="S38" s="844" t="s">
        <v>507</v>
      </c>
      <c r="T38" s="519" t="str">
        <f>AC12</f>
        <v>SDPI4</v>
      </c>
      <c r="U38" s="615"/>
      <c r="V38" s="669"/>
      <c r="W38" s="669"/>
      <c r="X38" s="489"/>
      <c r="Y38" s="489"/>
      <c r="Z38" s="861">
        <v>5</v>
      </c>
      <c r="AA38" s="666" t="s">
        <v>718</v>
      </c>
      <c r="AB38" s="1575">
        <v>30000</v>
      </c>
      <c r="AC38" s="1576"/>
      <c r="AD38" s="861" t="s">
        <v>719</v>
      </c>
      <c r="AE38" s="1577">
        <f>AB38</f>
        <v>30000</v>
      </c>
      <c r="AF38" s="1578"/>
      <c r="AG38" s="666" t="s">
        <v>720</v>
      </c>
      <c r="AH38" s="489"/>
      <c r="AX38" s="480"/>
      <c r="AY38" s="669" t="s">
        <v>721</v>
      </c>
      <c r="AZ38" s="836" t="s">
        <v>722</v>
      </c>
      <c r="BA38" s="525" t="s">
        <v>358</v>
      </c>
    </row>
    <row r="39" spans="1:81" s="490" customFormat="1" ht="63" customHeight="1" x14ac:dyDescent="0.2">
      <c r="A39" s="489"/>
      <c r="B39" s="672"/>
      <c r="C39" s="1643"/>
      <c r="D39" s="1612"/>
      <c r="E39" s="1612"/>
      <c r="F39" s="1536"/>
      <c r="G39" s="1536"/>
      <c r="H39" s="1536"/>
      <c r="I39" s="1536"/>
      <c r="J39" s="1536"/>
      <c r="K39" s="1028"/>
      <c r="L39" s="1027"/>
      <c r="M39" s="645" t="s">
        <v>489</v>
      </c>
      <c r="N39" s="724" t="s">
        <v>723</v>
      </c>
      <c r="O39" s="837" t="str">
        <f t="shared" si="0"/>
        <v>Derechos de los pueblos indígenas</v>
      </c>
      <c r="P39" s="837" t="str">
        <f>Z6</f>
        <v>DPI</v>
      </c>
      <c r="Q39" s="571" t="str">
        <f>AD13</f>
        <v xml:space="preserve">Análisis y solución de superposiciones en tierras de comunidades nativas en proceso de titulación (como parte del proceso de titulación de una comunidad nativa) </v>
      </c>
      <c r="R39" s="837" t="s">
        <v>724</v>
      </c>
      <c r="S39" s="844" t="s">
        <v>492</v>
      </c>
      <c r="T39" s="519" t="str">
        <f>AC13</f>
        <v>SDPI5</v>
      </c>
      <c r="U39" s="615" t="s">
        <v>725</v>
      </c>
      <c r="V39" s="669"/>
      <c r="W39" s="669"/>
      <c r="X39" s="489"/>
      <c r="Z39" s="861">
        <v>6</v>
      </c>
      <c r="AA39" s="668" t="s">
        <v>726</v>
      </c>
      <c r="AB39" s="1598">
        <v>700</v>
      </c>
      <c r="AC39" s="1598"/>
      <c r="AD39" s="861" t="s">
        <v>727</v>
      </c>
      <c r="AE39" s="1596">
        <f>AB39*5</f>
        <v>3500</v>
      </c>
      <c r="AF39" s="1597"/>
      <c r="AG39" s="666" t="s">
        <v>728</v>
      </c>
      <c r="AX39" s="480"/>
      <c r="AY39" s="669" t="s">
        <v>513</v>
      </c>
      <c r="AZ39" s="837" t="s">
        <v>379</v>
      </c>
      <c r="BA39" s="710" t="s">
        <v>261</v>
      </c>
    </row>
    <row r="40" spans="1:81" s="490" customFormat="1" ht="38.25" customHeight="1" x14ac:dyDescent="0.2">
      <c r="A40" s="489"/>
      <c r="B40" s="672"/>
      <c r="C40" s="1643"/>
      <c r="D40" s="1612"/>
      <c r="E40" s="1612"/>
      <c r="F40" s="1536"/>
      <c r="G40" s="1536"/>
      <c r="H40" s="1536"/>
      <c r="I40" s="1536"/>
      <c r="J40" s="1536"/>
      <c r="K40" s="1028"/>
      <c r="L40" s="1027"/>
      <c r="M40" s="645" t="s">
        <v>489</v>
      </c>
      <c r="N40" s="724" t="s">
        <v>729</v>
      </c>
      <c r="O40" s="837" t="str">
        <f t="shared" ref="O40:O56" si="1">VLOOKUP(T40,$AY$9:$BA$81,3,FALSE)</f>
        <v>Derechos de los pueblos indígenas</v>
      </c>
      <c r="P40" s="837" t="str">
        <f>Z6</f>
        <v>DPI</v>
      </c>
      <c r="Q40" s="571" t="str">
        <f>AD14</f>
        <v xml:space="preserve">Actualización de bases gráficas de tierras tituladas y cedidas en uso a favor de comunidades nativas </v>
      </c>
      <c r="R40" s="837" t="s">
        <v>730</v>
      </c>
      <c r="S40" s="844" t="s">
        <v>492</v>
      </c>
      <c r="T40" s="519" t="str">
        <f>AC14</f>
        <v>SDPI6</v>
      </c>
      <c r="U40" s="615" t="s">
        <v>725</v>
      </c>
      <c r="V40" s="669"/>
      <c r="W40" s="669"/>
      <c r="X40" s="489"/>
      <c r="Z40" s="861">
        <v>7</v>
      </c>
      <c r="AA40" s="664" t="s">
        <v>731</v>
      </c>
      <c r="AB40" s="1575">
        <v>7000</v>
      </c>
      <c r="AC40" s="1576"/>
      <c r="AD40" s="861" t="s">
        <v>732</v>
      </c>
      <c r="AE40" s="1577">
        <f>(AB40*60)*3</f>
        <v>1260000</v>
      </c>
      <c r="AF40" s="1578"/>
      <c r="AG40" s="666" t="s">
        <v>733</v>
      </c>
      <c r="AX40" s="480"/>
      <c r="AY40" s="669" t="s">
        <v>531</v>
      </c>
      <c r="AZ40" s="842" t="s">
        <v>734</v>
      </c>
      <c r="BA40" s="710" t="s">
        <v>261</v>
      </c>
    </row>
    <row r="41" spans="1:81" ht="45" customHeight="1" x14ac:dyDescent="0.25">
      <c r="A41" s="273"/>
      <c r="B41" s="672"/>
      <c r="C41" s="1643"/>
      <c r="D41" s="1612"/>
      <c r="E41" s="1612"/>
      <c r="F41" s="1536"/>
      <c r="G41" s="1536"/>
      <c r="H41" s="1536"/>
      <c r="I41" s="1536"/>
      <c r="J41" s="1536"/>
      <c r="K41" s="1028">
        <v>715</v>
      </c>
      <c r="L41" s="1028">
        <f>K41*H37</f>
        <v>45045</v>
      </c>
      <c r="M41" s="745" t="s">
        <v>735</v>
      </c>
      <c r="N41" s="724" t="s">
        <v>736</v>
      </c>
      <c r="O41" s="837" t="str">
        <f t="shared" si="1"/>
        <v>Derechos de los pueblos indígenas</v>
      </c>
      <c r="P41" s="837" t="str">
        <f>Z6</f>
        <v>DPI</v>
      </c>
      <c r="Q41" s="571" t="str">
        <f>AD15</f>
        <v>Articulación interinstitucional para facilitar el reconocimiento y de titulación de comunidades nativas</v>
      </c>
      <c r="R41" s="837" t="s">
        <v>737</v>
      </c>
      <c r="S41" s="844" t="s">
        <v>526</v>
      </c>
      <c r="T41" s="519" t="str">
        <f>AC15</f>
        <v>SDPI7</v>
      </c>
      <c r="U41" s="615"/>
      <c r="V41" s="669"/>
      <c r="W41" s="669"/>
      <c r="X41" s="273"/>
      <c r="Y41" s="825"/>
      <c r="Z41" s="861">
        <v>8</v>
      </c>
      <c r="AA41" s="664" t="s">
        <v>738</v>
      </c>
      <c r="AB41" s="1575">
        <v>7000</v>
      </c>
      <c r="AC41" s="1576"/>
      <c r="AD41" s="861" t="s">
        <v>703</v>
      </c>
      <c r="AE41" s="1577">
        <f>AB41*60*2</f>
        <v>840000</v>
      </c>
      <c r="AF41" s="1578"/>
      <c r="AG41" s="666" t="s">
        <v>739</v>
      </c>
      <c r="AH41" s="825"/>
      <c r="AI41" s="825"/>
      <c r="AJ41" s="825"/>
      <c r="AK41" s="825"/>
      <c r="AL41" s="825"/>
      <c r="AM41" s="825"/>
      <c r="AN41" s="825"/>
      <c r="AO41" s="825"/>
      <c r="AP41" s="825"/>
      <c r="AQ41" s="825"/>
      <c r="AR41" s="825"/>
      <c r="AS41" s="825"/>
      <c r="AT41" s="825"/>
      <c r="AU41" s="825"/>
      <c r="AV41" s="825"/>
      <c r="AW41" s="825"/>
      <c r="AX41" s="480"/>
      <c r="AY41" s="669" t="s">
        <v>547</v>
      </c>
      <c r="AZ41" s="842" t="s">
        <v>740</v>
      </c>
      <c r="BA41" s="710" t="s">
        <v>261</v>
      </c>
      <c r="BB41" s="825"/>
      <c r="BC41" s="825"/>
      <c r="BD41" s="825"/>
      <c r="BE41" s="825"/>
      <c r="BF41" s="825"/>
      <c r="BG41" s="825"/>
      <c r="BH41" s="825"/>
      <c r="BI41" s="825"/>
      <c r="BJ41" s="825"/>
      <c r="BK41" s="825"/>
      <c r="BL41" s="825"/>
      <c r="BM41" s="825"/>
      <c r="BN41" s="825"/>
      <c r="BO41" s="825"/>
      <c r="BP41" s="825"/>
      <c r="BQ41" s="825"/>
      <c r="BR41" s="825"/>
      <c r="BS41" s="825"/>
      <c r="BT41" s="825"/>
      <c r="BU41" s="825"/>
      <c r="BV41" s="825"/>
      <c r="BW41" s="825"/>
      <c r="BX41" s="825"/>
      <c r="BY41" s="825"/>
      <c r="BZ41" s="825"/>
      <c r="CA41" s="825"/>
      <c r="CB41" s="825"/>
      <c r="CC41" s="825"/>
    </row>
    <row r="42" spans="1:81" ht="56.25" customHeight="1" x14ac:dyDescent="0.25">
      <c r="A42" s="273"/>
      <c r="B42" s="672"/>
      <c r="C42" s="1643"/>
      <c r="D42" s="1612"/>
      <c r="E42" s="1612"/>
      <c r="F42" s="1536"/>
      <c r="G42" s="1536"/>
      <c r="H42" s="1536"/>
      <c r="I42" s="1536"/>
      <c r="J42" s="1536"/>
      <c r="K42" s="1028"/>
      <c r="L42" s="1027"/>
      <c r="M42" s="645" t="s">
        <v>489</v>
      </c>
      <c r="N42" s="724" t="s">
        <v>741</v>
      </c>
      <c r="O42" s="837" t="str">
        <f t="shared" si="1"/>
        <v>Género</v>
      </c>
      <c r="P42" s="837" t="str">
        <f>AC6</f>
        <v>GN</v>
      </c>
      <c r="Q42" s="571" t="str">
        <f>AJ14</f>
        <v xml:space="preserve">Incorporación de mujeres indígenas en brigadas de titulación de tierras de comunidades nativas </v>
      </c>
      <c r="R42" s="837" t="s">
        <v>742</v>
      </c>
      <c r="S42" s="844" t="s">
        <v>492</v>
      </c>
      <c r="T42" s="519" t="str">
        <f>AI14</f>
        <v>SGN6</v>
      </c>
      <c r="U42" s="615"/>
      <c r="V42" s="669"/>
      <c r="W42" s="669"/>
      <c r="X42" s="273"/>
      <c r="Y42" s="825"/>
      <c r="Z42" s="861">
        <v>9</v>
      </c>
      <c r="AA42" s="664" t="s">
        <v>743</v>
      </c>
      <c r="AB42" s="1575">
        <v>7000</v>
      </c>
      <c r="AC42" s="1576"/>
      <c r="AD42" s="861" t="s">
        <v>713</v>
      </c>
      <c r="AE42" s="1577">
        <f>AB42*60</f>
        <v>420000</v>
      </c>
      <c r="AF42" s="1578"/>
      <c r="AG42" s="666" t="s">
        <v>744</v>
      </c>
      <c r="AH42" s="825"/>
      <c r="AI42" s="825"/>
      <c r="AJ42" s="825"/>
      <c r="AK42" s="825"/>
      <c r="AL42" s="825"/>
      <c r="AM42" s="825"/>
      <c r="AN42" s="825"/>
      <c r="AO42" s="825"/>
      <c r="AP42" s="825"/>
      <c r="AQ42" s="825"/>
      <c r="AR42" s="825"/>
      <c r="AS42" s="825"/>
      <c r="AT42" s="825"/>
      <c r="AU42" s="825"/>
      <c r="AV42" s="825"/>
      <c r="AW42" s="825"/>
      <c r="AX42" s="480"/>
      <c r="AY42" s="669" t="s">
        <v>560</v>
      </c>
      <c r="AZ42" s="842" t="s">
        <v>367</v>
      </c>
      <c r="BA42" s="710" t="s">
        <v>261</v>
      </c>
      <c r="BB42" s="825"/>
      <c r="BC42" s="825"/>
      <c r="BD42" s="825"/>
      <c r="BE42" s="825"/>
      <c r="BF42" s="825"/>
      <c r="BG42" s="825"/>
      <c r="BH42" s="825"/>
      <c r="BI42" s="825"/>
      <c r="BJ42" s="825"/>
      <c r="BK42" s="825"/>
      <c r="BL42" s="825"/>
      <c r="BM42" s="825"/>
      <c r="BN42" s="825"/>
      <c r="BO42" s="825"/>
      <c r="BP42" s="825"/>
      <c r="BQ42" s="825"/>
      <c r="BR42" s="825"/>
      <c r="BS42" s="825"/>
      <c r="BT42" s="825"/>
      <c r="BU42" s="825"/>
      <c r="BV42" s="825"/>
      <c r="BW42" s="825"/>
      <c r="BX42" s="825"/>
      <c r="BY42" s="825"/>
      <c r="BZ42" s="825"/>
      <c r="CA42" s="825"/>
      <c r="CB42" s="825"/>
      <c r="CC42" s="825"/>
    </row>
    <row r="43" spans="1:81" ht="48.1" customHeight="1" x14ac:dyDescent="0.25">
      <c r="A43" s="273"/>
      <c r="B43" s="672"/>
      <c r="C43" s="1643"/>
      <c r="D43" s="1612"/>
      <c r="E43" s="1612"/>
      <c r="F43" s="1536"/>
      <c r="G43" s="1536"/>
      <c r="H43" s="1536"/>
      <c r="I43" s="1536"/>
      <c r="J43" s="1536"/>
      <c r="K43" s="1028"/>
      <c r="L43" s="1027"/>
      <c r="M43" s="645" t="s">
        <v>489</v>
      </c>
      <c r="N43" s="724" t="s">
        <v>745</v>
      </c>
      <c r="O43" s="837" t="str">
        <f t="shared" si="1"/>
        <v>Derechos de los pueblos indígenas</v>
      </c>
      <c r="P43" s="837" t="str">
        <f>Z6</f>
        <v>DPI</v>
      </c>
      <c r="Q43" s="571" t="str">
        <f>AD21</f>
        <v>Participación activa de organizaciones indígenas en procesos de titulación</v>
      </c>
      <c r="R43" s="837" t="s">
        <v>746</v>
      </c>
      <c r="S43" s="844" t="s">
        <v>492</v>
      </c>
      <c r="T43" s="519" t="str">
        <f>AC21</f>
        <v>SDPI13</v>
      </c>
      <c r="U43" s="615"/>
      <c r="V43" s="669"/>
      <c r="W43" s="669"/>
      <c r="X43" s="273"/>
      <c r="Y43" s="825"/>
      <c r="Z43" s="861">
        <v>10</v>
      </c>
      <c r="AA43" s="664" t="s">
        <v>747</v>
      </c>
      <c r="AB43" s="1575">
        <v>7000</v>
      </c>
      <c r="AC43" s="1576"/>
      <c r="AD43" s="861" t="s">
        <v>713</v>
      </c>
      <c r="AE43" s="1577">
        <f>AB43*60</f>
        <v>420000</v>
      </c>
      <c r="AF43" s="1578"/>
      <c r="AG43" s="666" t="s">
        <v>748</v>
      </c>
      <c r="AH43" s="825"/>
      <c r="AI43" s="825"/>
      <c r="AJ43" s="825"/>
      <c r="AK43" s="825"/>
      <c r="AL43" s="825"/>
      <c r="AM43" s="825"/>
      <c r="AN43" s="825"/>
      <c r="AO43" s="825"/>
      <c r="AP43" s="825"/>
      <c r="AQ43" s="825"/>
      <c r="AR43" s="825"/>
      <c r="AS43" s="825"/>
      <c r="AT43" s="825"/>
      <c r="AU43" s="825"/>
      <c r="AV43" s="825"/>
      <c r="AW43" s="825"/>
      <c r="AX43" s="480"/>
      <c r="AY43" s="669" t="s">
        <v>571</v>
      </c>
      <c r="AZ43" s="842" t="s">
        <v>749</v>
      </c>
      <c r="BA43" s="710" t="s">
        <v>261</v>
      </c>
      <c r="BB43" s="825"/>
      <c r="BC43" s="825"/>
      <c r="BD43" s="825"/>
      <c r="BE43" s="825"/>
      <c r="BF43" s="825"/>
      <c r="BG43" s="825"/>
      <c r="BH43" s="825"/>
      <c r="BI43" s="825"/>
      <c r="BJ43" s="825"/>
      <c r="BK43" s="825"/>
      <c r="BL43" s="825"/>
      <c r="BM43" s="825"/>
      <c r="BN43" s="825"/>
      <c r="BO43" s="825"/>
      <c r="BP43" s="825"/>
      <c r="BQ43" s="825"/>
      <c r="BR43" s="825"/>
      <c r="BS43" s="825"/>
      <c r="BT43" s="825"/>
      <c r="BU43" s="825"/>
      <c r="BV43" s="825"/>
      <c r="BW43" s="825"/>
      <c r="BX43" s="825"/>
      <c r="BY43" s="825"/>
      <c r="BZ43" s="825"/>
      <c r="CA43" s="825"/>
      <c r="CB43" s="825"/>
      <c r="CC43" s="825"/>
    </row>
    <row r="44" spans="1:81" ht="51.8" customHeight="1" x14ac:dyDescent="0.25">
      <c r="A44" s="273"/>
      <c r="B44" s="672"/>
      <c r="C44" s="1643"/>
      <c r="D44" s="1612"/>
      <c r="E44" s="1612"/>
      <c r="F44" s="1543"/>
      <c r="G44" s="1543"/>
      <c r="H44" s="1543"/>
      <c r="I44" s="1543"/>
      <c r="J44" s="1543"/>
      <c r="K44" s="1028"/>
      <c r="L44" s="1027"/>
      <c r="M44" s="645" t="s">
        <v>489</v>
      </c>
      <c r="N44" s="724" t="str">
        <f>N15</f>
        <v>Otorgamiento de derechos sobre la tierra / bosques en zonas con patrimonio cultural</v>
      </c>
      <c r="O44" s="837" t="str">
        <f t="shared" si="1"/>
        <v>Patrimonio cultural</v>
      </c>
      <c r="P44" s="837" t="str">
        <f>AI6</f>
        <v>PC</v>
      </c>
      <c r="Q44" s="571" t="str">
        <f>AV10</f>
        <v>Evaluación de superposición del área solicitada para titulación de comunidades nativas con áreas determinadas como patrimonio cultural</v>
      </c>
      <c r="R44" s="837" t="s">
        <v>750</v>
      </c>
      <c r="S44" s="844" t="s">
        <v>542</v>
      </c>
      <c r="T44" s="519" t="str">
        <f>AU10</f>
        <v>SPC2</v>
      </c>
      <c r="U44" s="615"/>
      <c r="V44" s="669"/>
      <c r="W44" s="669"/>
      <c r="X44" s="273"/>
      <c r="Y44" s="825"/>
      <c r="Z44" s="861">
        <v>11</v>
      </c>
      <c r="AA44" s="664" t="s">
        <v>751</v>
      </c>
      <c r="AB44" s="1575">
        <v>3500</v>
      </c>
      <c r="AC44" s="1576"/>
      <c r="AD44" s="861" t="s">
        <v>703</v>
      </c>
      <c r="AE44" s="1577">
        <f>AB44*60*2</f>
        <v>420000</v>
      </c>
      <c r="AF44" s="1578"/>
      <c r="AG44" s="666" t="s">
        <v>752</v>
      </c>
      <c r="AH44" s="825"/>
      <c r="AI44" s="825"/>
      <c r="AJ44" s="825"/>
      <c r="AK44" s="825"/>
      <c r="AL44" s="825"/>
      <c r="AM44" s="825"/>
      <c r="AN44" s="825"/>
      <c r="AO44" s="825"/>
      <c r="AP44" s="825"/>
      <c r="AQ44" s="825"/>
      <c r="AR44" s="825"/>
      <c r="AS44" s="825"/>
      <c r="AT44" s="825"/>
      <c r="AU44" s="825"/>
      <c r="AV44" s="825"/>
      <c r="AW44" s="825"/>
      <c r="AX44" s="480"/>
      <c r="AY44" s="669" t="s">
        <v>581</v>
      </c>
      <c r="AZ44" s="842" t="s">
        <v>753</v>
      </c>
      <c r="BA44" s="710" t="s">
        <v>261</v>
      </c>
      <c r="BB44" s="825"/>
      <c r="BC44" s="825"/>
      <c r="BD44" s="825"/>
      <c r="BE44" s="825"/>
      <c r="BF44" s="825"/>
      <c r="BG44" s="825"/>
      <c r="BH44" s="825"/>
      <c r="BI44" s="825"/>
      <c r="BJ44" s="825"/>
      <c r="BK44" s="825"/>
      <c r="BL44" s="825"/>
      <c r="BM44" s="825"/>
      <c r="BN44" s="825"/>
      <c r="BO44" s="825"/>
      <c r="BP44" s="825"/>
      <c r="BQ44" s="825"/>
      <c r="BR44" s="825"/>
      <c r="BS44" s="825"/>
      <c r="BT44" s="825"/>
      <c r="BU44" s="825"/>
      <c r="BV44" s="825"/>
      <c r="BW44" s="825"/>
      <c r="BX44" s="825"/>
      <c r="BY44" s="825"/>
      <c r="BZ44" s="825"/>
      <c r="CA44" s="825"/>
      <c r="CB44" s="825"/>
      <c r="CC44" s="825"/>
    </row>
    <row r="45" spans="1:81" ht="66.75" customHeight="1" x14ac:dyDescent="0.25">
      <c r="A45" s="273"/>
      <c r="B45" s="672" t="s">
        <v>488</v>
      </c>
      <c r="C45" s="1643" t="str">
        <f>'8. BASE  CONSOLIDADA'!E39</f>
        <v>1.4.2</v>
      </c>
      <c r="D45" s="1612" t="str">
        <f>'8. BASE  CONSOLIDADA'!F39</f>
        <v xml:space="preserve">Asistencia técnica para el manejo agroforestal </v>
      </c>
      <c r="E45" s="1612" t="str">
        <f>'8. BASE  CONSOLIDADA'!G39</f>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v>
      </c>
      <c r="F45" s="1535" t="str">
        <f>'8. BASE  CONSOLIDADA'!C39</f>
        <v>Territorios de comunidades nativas</v>
      </c>
      <c r="G45" s="1535" t="str">
        <f>VLOOKUP($C45,'8. BASE  CONSOLIDADA'!$E$7:$AS$308,13,FALSE)</f>
        <v>Productor asistido</v>
      </c>
      <c r="H45" s="1535">
        <f>VLOOKUP($C45,'8. BASE  CONSOLIDADA'!$E$7:$AS$308,15,FALSE)</f>
        <v>4140</v>
      </c>
      <c r="I45" s="1535">
        <f>VLOOKUP(C45,'8. BASE  CONSOLIDADA'!$E$7:$AS$308,20,FALSE)</f>
        <v>2318400</v>
      </c>
      <c r="J45" s="1535">
        <f>I45*$J$6</f>
        <v>1576.5120000000002</v>
      </c>
      <c r="K45" s="1535"/>
      <c r="L45" s="1535"/>
      <c r="M45" s="645" t="s">
        <v>489</v>
      </c>
      <c r="N45" s="724" t="s">
        <v>754</v>
      </c>
      <c r="O45" s="837" t="str">
        <f t="shared" si="1"/>
        <v>Derechos de los pueblos indígenas</v>
      </c>
      <c r="P45" s="837" t="str">
        <f>Z6</f>
        <v>DPI</v>
      </c>
      <c r="Q45" s="571" t="str">
        <f>AD17</f>
        <v>Programas de asistencia técnica y capacitación específicos para pueblos indígenas, con enfoque intercultural y metodologías apropiadas para pueblos indígenas</v>
      </c>
      <c r="R45" s="837" t="s">
        <v>755</v>
      </c>
      <c r="S45" s="844" t="s">
        <v>507</v>
      </c>
      <c r="T45" s="519" t="str">
        <f>AC17</f>
        <v>SDPI9</v>
      </c>
      <c r="U45" s="615"/>
      <c r="V45" s="669"/>
      <c r="W45" s="669"/>
      <c r="X45" s="273"/>
      <c r="Y45" s="825"/>
      <c r="Z45" s="861">
        <v>12</v>
      </c>
      <c r="AA45" s="664" t="s">
        <v>756</v>
      </c>
      <c r="AB45" s="1575">
        <v>30000</v>
      </c>
      <c r="AC45" s="1576"/>
      <c r="AD45" s="861" t="s">
        <v>719</v>
      </c>
      <c r="AE45" s="1577">
        <f>AB45</f>
        <v>30000</v>
      </c>
      <c r="AF45" s="1578"/>
      <c r="AG45" s="666" t="s">
        <v>728</v>
      </c>
      <c r="AH45" s="825"/>
      <c r="AI45" s="825"/>
      <c r="AJ45" s="825"/>
      <c r="AK45" s="825"/>
      <c r="AL45" s="825"/>
      <c r="AM45" s="825"/>
      <c r="AN45" s="825"/>
      <c r="AO45" s="825"/>
      <c r="AP45" s="825"/>
      <c r="AQ45" s="825"/>
      <c r="AR45" s="825"/>
      <c r="AS45" s="825"/>
      <c r="AT45" s="825"/>
      <c r="AU45" s="825"/>
      <c r="AV45" s="825"/>
      <c r="AW45" s="825"/>
      <c r="AX45" s="480"/>
      <c r="AY45" s="567" t="s">
        <v>591</v>
      </c>
      <c r="AZ45" s="564" t="s">
        <v>592</v>
      </c>
      <c r="BA45" s="710" t="s">
        <v>261</v>
      </c>
      <c r="BB45" s="825"/>
      <c r="BC45" s="825"/>
      <c r="BD45" s="825"/>
      <c r="BE45" s="825"/>
      <c r="BF45" s="825"/>
      <c r="BG45" s="825"/>
      <c r="BH45" s="825"/>
      <c r="BI45" s="825"/>
      <c r="BJ45" s="825"/>
      <c r="BK45" s="825"/>
      <c r="BL45" s="825"/>
      <c r="BM45" s="825"/>
      <c r="BN45" s="825"/>
      <c r="BO45" s="825"/>
      <c r="BP45" s="825"/>
      <c r="BQ45" s="825"/>
      <c r="BR45" s="825"/>
      <c r="BS45" s="825"/>
      <c r="BT45" s="825"/>
      <c r="BU45" s="825"/>
      <c r="BV45" s="825"/>
      <c r="BW45" s="825"/>
      <c r="BX45" s="825"/>
      <c r="BY45" s="825"/>
      <c r="BZ45" s="825"/>
      <c r="CA45" s="825"/>
      <c r="CB45" s="825"/>
      <c r="CC45" s="825"/>
    </row>
    <row r="46" spans="1:81" ht="83.25" customHeight="1" x14ac:dyDescent="0.25">
      <c r="A46" s="273"/>
      <c r="B46" s="672"/>
      <c r="C46" s="1643"/>
      <c r="D46" s="1612"/>
      <c r="E46" s="1612"/>
      <c r="F46" s="1536"/>
      <c r="G46" s="1536"/>
      <c r="H46" s="1536"/>
      <c r="I46" s="1536"/>
      <c r="J46" s="1536"/>
      <c r="K46" s="1536"/>
      <c r="L46" s="1536"/>
      <c r="M46" s="645" t="s">
        <v>489</v>
      </c>
      <c r="N46" s="724" t="s">
        <v>757</v>
      </c>
      <c r="O46" s="837" t="str">
        <f t="shared" si="1"/>
        <v>Género</v>
      </c>
      <c r="P46" s="837" t="str">
        <f>AC6</f>
        <v>GN</v>
      </c>
      <c r="Q46" s="571" t="str">
        <f>AJ15</f>
        <v>Programas de asistencia técnica y capacitación específicos para mujeres rurales indígenas</v>
      </c>
      <c r="R46" s="837" t="s">
        <v>758</v>
      </c>
      <c r="S46" s="844" t="s">
        <v>507</v>
      </c>
      <c r="T46" s="519" t="str">
        <f>AI15</f>
        <v>SGN7</v>
      </c>
      <c r="U46" s="616"/>
      <c r="V46" s="669"/>
      <c r="W46" s="669"/>
      <c r="X46" s="273"/>
      <c r="Y46" s="825"/>
      <c r="Z46" s="861">
        <v>13</v>
      </c>
      <c r="AA46" s="664" t="s">
        <v>759</v>
      </c>
      <c r="AB46" s="1575">
        <v>7000</v>
      </c>
      <c r="AC46" s="1576"/>
      <c r="AD46" s="861" t="s">
        <v>713</v>
      </c>
      <c r="AE46" s="1577">
        <f>AB46*60</f>
        <v>420000</v>
      </c>
      <c r="AF46" s="1578"/>
      <c r="AG46" s="666" t="s">
        <v>760</v>
      </c>
      <c r="AH46" s="825"/>
      <c r="AI46" s="825"/>
      <c r="AJ46" s="825"/>
      <c r="AK46" s="825"/>
      <c r="AL46" s="825"/>
      <c r="AM46" s="825"/>
      <c r="AN46" s="825"/>
      <c r="AO46" s="825"/>
      <c r="AP46" s="825"/>
      <c r="AQ46" s="825"/>
      <c r="AR46" s="825"/>
      <c r="AS46" s="825"/>
      <c r="AT46" s="825"/>
      <c r="AU46" s="825"/>
      <c r="AV46" s="825"/>
      <c r="AW46" s="825"/>
      <c r="AX46" s="480"/>
      <c r="AY46" s="669" t="s">
        <v>600</v>
      </c>
      <c r="AZ46" s="842" t="s">
        <v>378</v>
      </c>
      <c r="BA46" s="710" t="s">
        <v>261</v>
      </c>
      <c r="BB46" s="825"/>
      <c r="BC46" s="825"/>
      <c r="BD46" s="825"/>
      <c r="BE46" s="825"/>
      <c r="BF46" s="825"/>
      <c r="BG46" s="825"/>
      <c r="BH46" s="825"/>
      <c r="BI46" s="825"/>
      <c r="BJ46" s="825"/>
      <c r="BK46" s="825"/>
      <c r="BL46" s="825"/>
      <c r="BM46" s="825"/>
      <c r="BN46" s="825"/>
      <c r="BO46" s="825"/>
      <c r="BP46" s="825"/>
      <c r="BQ46" s="825"/>
      <c r="BR46" s="825"/>
      <c r="BS46" s="825"/>
      <c r="BT46" s="825"/>
      <c r="BU46" s="825"/>
      <c r="BV46" s="825"/>
      <c r="BW46" s="825"/>
      <c r="BX46" s="825"/>
      <c r="BY46" s="825"/>
      <c r="BZ46" s="825"/>
      <c r="CA46" s="825"/>
      <c r="CB46" s="825"/>
      <c r="CC46" s="825"/>
    </row>
    <row r="47" spans="1:81" ht="30.75" customHeight="1" x14ac:dyDescent="0.25">
      <c r="A47" s="273"/>
      <c r="B47" s="672" t="s">
        <v>488</v>
      </c>
      <c r="C47" s="1643" t="str">
        <f>'8. BASE  CONSOLIDADA'!E40</f>
        <v>1.4.3</v>
      </c>
      <c r="D47" s="1612" t="str">
        <f>'8. BASE  CONSOLIDADA'!F40</f>
        <v xml:space="preserve">Promoción de Bionegocios con productos forestales no maderables </v>
      </c>
      <c r="E47" s="1612" t="str">
        <f>'8. BASE  CONSOLIDADA'!G40</f>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v>
      </c>
      <c r="F47" s="1538" t="str">
        <f>'8. BASE  CONSOLIDADA'!C40</f>
        <v>Territorios de comunidades nativas</v>
      </c>
      <c r="G47" s="1538" t="str">
        <f>VLOOKUP($C47,'8. BASE  CONSOLIDADA'!$E$7:$AS$308,13,FALSE)</f>
        <v>Planes de negocio</v>
      </c>
      <c r="H47" s="1538">
        <f>VLOOKUP($C47,'8. BASE  CONSOLIDADA'!$E$7:$AS$308,15,FALSE)</f>
        <v>40</v>
      </c>
      <c r="I47" s="1538">
        <f>VLOOKUP(C47,'8. BASE  CONSOLIDADA'!$E$7:$AS$308,20,FALSE)</f>
        <v>600000</v>
      </c>
      <c r="J47" s="1579">
        <f>I47*$J$6</f>
        <v>408.00000000000006</v>
      </c>
      <c r="K47" s="1138"/>
      <c r="L47" s="1139"/>
      <c r="M47" s="649" t="s">
        <v>489</v>
      </c>
      <c r="N47" s="724" t="s">
        <v>761</v>
      </c>
      <c r="O47" s="837" t="str">
        <f t="shared" si="1"/>
        <v>Derechos de los pueblos indígenas</v>
      </c>
      <c r="P47" s="837" t="str">
        <f>Z6</f>
        <v>DPI</v>
      </c>
      <c r="Q47" s="571" t="str">
        <f>AD18</f>
        <v>Fortalecimiento a comunidades nativas en procesos de negociación de bionegocios</v>
      </c>
      <c r="R47" s="837" t="s">
        <v>762</v>
      </c>
      <c r="S47" s="844" t="s">
        <v>507</v>
      </c>
      <c r="T47" s="519" t="str">
        <f>AC18</f>
        <v>SDPI10</v>
      </c>
      <c r="U47" s="615"/>
      <c r="V47" s="669"/>
      <c r="W47" s="669"/>
      <c r="X47" s="273"/>
      <c r="Y47" s="273"/>
      <c r="Z47" s="861">
        <v>14</v>
      </c>
      <c r="AA47" s="717" t="s">
        <v>763</v>
      </c>
      <c r="AB47" s="1590">
        <v>7000</v>
      </c>
      <c r="AC47" s="1591"/>
      <c r="AD47" s="716" t="s">
        <v>713</v>
      </c>
      <c r="AE47" s="1592">
        <f>AB47*60</f>
        <v>420000</v>
      </c>
      <c r="AF47" s="1593"/>
      <c r="AG47" s="718" t="s">
        <v>764</v>
      </c>
      <c r="AH47" s="273"/>
      <c r="AI47" s="825"/>
      <c r="AJ47" s="825"/>
      <c r="AK47" s="825"/>
      <c r="AL47" s="825"/>
      <c r="AM47" s="825"/>
      <c r="AN47" s="825"/>
      <c r="AO47" s="825"/>
      <c r="AP47" s="825"/>
      <c r="AQ47" s="825"/>
      <c r="AR47" s="825"/>
      <c r="AS47" s="825"/>
      <c r="AT47" s="825"/>
      <c r="AU47" s="825"/>
      <c r="AV47" s="825"/>
      <c r="AW47" s="825"/>
      <c r="AX47" s="480"/>
      <c r="AY47" s="669" t="s">
        <v>609</v>
      </c>
      <c r="AZ47" s="842" t="s">
        <v>765</v>
      </c>
      <c r="BA47" s="710" t="s">
        <v>261</v>
      </c>
      <c r="BB47" s="825"/>
      <c r="BC47" s="825"/>
      <c r="BD47" s="825"/>
      <c r="BE47" s="825"/>
      <c r="BF47" s="825"/>
      <c r="BG47" s="825"/>
      <c r="BH47" s="825"/>
      <c r="BI47" s="825"/>
      <c r="BJ47" s="825"/>
      <c r="BK47" s="825"/>
      <c r="BL47" s="825"/>
      <c r="BM47" s="825"/>
      <c r="BN47" s="825"/>
      <c r="BO47" s="825"/>
      <c r="BP47" s="825"/>
      <c r="BQ47" s="825"/>
      <c r="BR47" s="825"/>
      <c r="BS47" s="825"/>
      <c r="BT47" s="825"/>
      <c r="BU47" s="825"/>
      <c r="BV47" s="825"/>
      <c r="BW47" s="825"/>
      <c r="BX47" s="825"/>
      <c r="BY47" s="825"/>
      <c r="BZ47" s="825"/>
      <c r="CA47" s="825"/>
      <c r="CB47" s="825"/>
      <c r="CC47" s="825"/>
    </row>
    <row r="48" spans="1:81" ht="43.5" customHeight="1" x14ac:dyDescent="0.25">
      <c r="A48" s="273"/>
      <c r="B48" s="672"/>
      <c r="C48" s="1643"/>
      <c r="D48" s="1612"/>
      <c r="E48" s="1612"/>
      <c r="F48" s="1539"/>
      <c r="G48" s="1539"/>
      <c r="H48" s="1539"/>
      <c r="I48" s="1539"/>
      <c r="J48" s="1580"/>
      <c r="K48" s="1131">
        <v>150</v>
      </c>
      <c r="L48" s="1131">
        <f>K48*H47</f>
        <v>6000</v>
      </c>
      <c r="M48" s="745" t="s">
        <v>766</v>
      </c>
      <c r="N48" s="724" t="s">
        <v>767</v>
      </c>
      <c r="O48" s="837" t="str">
        <f t="shared" si="1"/>
        <v>Derechos de los pueblos indígenas</v>
      </c>
      <c r="P48" s="837" t="str">
        <f>Z6</f>
        <v>DPI</v>
      </c>
      <c r="Q48" s="571" t="str">
        <f>AD19</f>
        <v>Simplificación administrativa con enfoque intercultural</v>
      </c>
      <c r="R48" s="837" t="s">
        <v>768</v>
      </c>
      <c r="S48" s="844" t="s">
        <v>507</v>
      </c>
      <c r="T48" s="519" t="str">
        <f>AC19</f>
        <v>SDPI11</v>
      </c>
      <c r="U48" s="616"/>
      <c r="V48" s="858"/>
      <c r="W48" s="858"/>
      <c r="X48" s="273"/>
      <c r="Y48" s="825"/>
      <c r="Z48" s="861">
        <v>15</v>
      </c>
      <c r="AA48" s="718" t="s">
        <v>769</v>
      </c>
      <c r="AB48" s="1590">
        <f>12000+3600+900</f>
        <v>16500</v>
      </c>
      <c r="AC48" s="1591"/>
      <c r="AD48" s="719" t="s">
        <v>770</v>
      </c>
      <c r="AE48" s="1592">
        <f>AB48*3</f>
        <v>49500</v>
      </c>
      <c r="AF48" s="1593"/>
      <c r="AG48" s="718" t="s">
        <v>771</v>
      </c>
      <c r="AH48" s="825"/>
      <c r="AI48" s="825"/>
      <c r="AJ48" s="825"/>
      <c r="AK48" s="825"/>
      <c r="AL48" s="825"/>
      <c r="AM48" s="825"/>
      <c r="AN48" s="825"/>
      <c r="AO48" s="825"/>
      <c r="AP48" s="825"/>
      <c r="AQ48" s="825"/>
      <c r="AR48" s="825"/>
      <c r="AS48" s="825"/>
      <c r="AT48" s="825"/>
      <c r="AU48" s="825"/>
      <c r="AV48" s="825"/>
      <c r="AW48" s="825"/>
      <c r="AX48" s="480"/>
      <c r="AY48" s="669" t="s">
        <v>618</v>
      </c>
      <c r="AZ48" s="842" t="s">
        <v>772</v>
      </c>
      <c r="BA48" s="710" t="s">
        <v>261</v>
      </c>
      <c r="BB48" s="825"/>
      <c r="BC48" s="825"/>
      <c r="BD48" s="825"/>
      <c r="BE48" s="825"/>
      <c r="BF48" s="825"/>
      <c r="BG48" s="825"/>
      <c r="BH48" s="825"/>
      <c r="BI48" s="825"/>
      <c r="BJ48" s="825"/>
      <c r="BK48" s="825"/>
      <c r="BL48" s="825"/>
      <c r="BM48" s="825"/>
      <c r="BN48" s="825"/>
      <c r="BO48" s="825"/>
      <c r="BP48" s="825"/>
      <c r="BQ48" s="825"/>
      <c r="BR48" s="825"/>
      <c r="BS48" s="825"/>
      <c r="BT48" s="825"/>
      <c r="BU48" s="825"/>
      <c r="BV48" s="825"/>
      <c r="BW48" s="825"/>
      <c r="BX48" s="825"/>
      <c r="BY48" s="825"/>
      <c r="BZ48" s="825"/>
      <c r="CA48" s="825"/>
      <c r="CB48" s="825"/>
      <c r="CC48" s="825"/>
    </row>
    <row r="49" spans="1:81" ht="50.3" customHeight="1" x14ac:dyDescent="0.25">
      <c r="A49" s="273"/>
      <c r="B49" s="672"/>
      <c r="C49" s="1643"/>
      <c r="D49" s="1612"/>
      <c r="E49" s="1612"/>
      <c r="F49" s="1539"/>
      <c r="G49" s="1539"/>
      <c r="H49" s="1539"/>
      <c r="I49" s="1539"/>
      <c r="J49" s="1580"/>
      <c r="K49" s="1131"/>
      <c r="L49" s="1140"/>
      <c r="M49" s="649" t="s">
        <v>489</v>
      </c>
      <c r="N49" s="724" t="s">
        <v>773</v>
      </c>
      <c r="O49" s="837" t="str">
        <f t="shared" si="1"/>
        <v>Derechos de los pueblos indígenas</v>
      </c>
      <c r="P49" s="837" t="str">
        <f>Z6</f>
        <v>DPI</v>
      </c>
      <c r="Q49" s="571" t="str">
        <f>AD20</f>
        <v>Registro de conocimientos tradicionales en INDECOPI</v>
      </c>
      <c r="R49" s="837" t="s">
        <v>774</v>
      </c>
      <c r="S49" s="844" t="s">
        <v>526</v>
      </c>
      <c r="T49" s="519" t="str">
        <f>AC20</f>
        <v>SDPI12</v>
      </c>
      <c r="U49" s="501"/>
      <c r="V49" s="669"/>
      <c r="W49" s="669"/>
      <c r="X49" s="273"/>
      <c r="Y49" s="825"/>
      <c r="Z49" s="861">
        <v>16</v>
      </c>
      <c r="AA49" s="718" t="s">
        <v>775</v>
      </c>
      <c r="AB49" s="1590">
        <v>7000</v>
      </c>
      <c r="AC49" s="1591"/>
      <c r="AD49" s="719" t="s">
        <v>713</v>
      </c>
      <c r="AE49" s="1592">
        <f>AB49*60</f>
        <v>420000</v>
      </c>
      <c r="AF49" s="1593"/>
      <c r="AG49" s="718" t="s">
        <v>776</v>
      </c>
      <c r="AH49" s="825"/>
      <c r="AI49" s="825"/>
      <c r="AJ49" s="825"/>
      <c r="AK49" s="825"/>
      <c r="AL49" s="825"/>
      <c r="AM49" s="825"/>
      <c r="AN49" s="825"/>
      <c r="AO49" s="825"/>
      <c r="AP49" s="825"/>
      <c r="AQ49" s="825"/>
      <c r="AR49" s="825"/>
      <c r="AS49" s="825"/>
      <c r="AT49" s="825"/>
      <c r="AU49" s="825"/>
      <c r="AV49" s="825"/>
      <c r="AW49" s="825"/>
      <c r="AX49" s="480"/>
      <c r="AY49" s="669" t="s">
        <v>625</v>
      </c>
      <c r="AZ49" s="842" t="s">
        <v>382</v>
      </c>
      <c r="BA49" s="710" t="s">
        <v>261</v>
      </c>
      <c r="BB49" s="825"/>
      <c r="BC49" s="825"/>
      <c r="BD49" s="825"/>
      <c r="BE49" s="825"/>
      <c r="BF49" s="825"/>
      <c r="BG49" s="825"/>
      <c r="BH49" s="825"/>
      <c r="BI49" s="825"/>
      <c r="BJ49" s="825"/>
      <c r="BK49" s="825"/>
      <c r="BL49" s="825"/>
      <c r="BM49" s="825"/>
      <c r="BN49" s="825"/>
      <c r="BO49" s="825"/>
      <c r="BP49" s="825"/>
      <c r="BQ49" s="825"/>
      <c r="BR49" s="825"/>
      <c r="BS49" s="825"/>
      <c r="BT49" s="825"/>
      <c r="BU49" s="825"/>
      <c r="BV49" s="825"/>
      <c r="BW49" s="825"/>
      <c r="BX49" s="825"/>
      <c r="BY49" s="825"/>
      <c r="BZ49" s="825"/>
      <c r="CA49" s="825"/>
      <c r="CB49" s="825"/>
      <c r="CC49" s="825"/>
    </row>
    <row r="50" spans="1:81" ht="135" customHeight="1" x14ac:dyDescent="0.25">
      <c r="A50" s="273"/>
      <c r="B50" s="672"/>
      <c r="C50" s="1643"/>
      <c r="D50" s="1612"/>
      <c r="E50" s="1612"/>
      <c r="F50" s="1539"/>
      <c r="G50" s="1539"/>
      <c r="H50" s="1539"/>
      <c r="I50" s="1539"/>
      <c r="J50" s="1580"/>
      <c r="K50" s="1131"/>
      <c r="L50" s="1140"/>
      <c r="M50" s="649" t="s">
        <v>489</v>
      </c>
      <c r="N50" s="724" t="s">
        <v>777</v>
      </c>
      <c r="O50" s="837" t="str">
        <f t="shared" si="1"/>
        <v>Género</v>
      </c>
      <c r="P50" s="837" t="str">
        <f>AC6</f>
        <v>GN</v>
      </c>
      <c r="Q50" s="571" t="str">
        <f>AJ16</f>
        <v>Cuotas de género y medición de participación efectiva de mujeres indígenas</v>
      </c>
      <c r="R50" s="837" t="s">
        <v>689</v>
      </c>
      <c r="S50" s="844" t="s">
        <v>507</v>
      </c>
      <c r="T50" s="519" t="str">
        <f>AI16</f>
        <v>SGN8</v>
      </c>
      <c r="U50" s="501"/>
      <c r="V50" s="669"/>
      <c r="W50" s="669"/>
      <c r="X50" s="273"/>
      <c r="Y50" s="825"/>
      <c r="Z50" s="861">
        <v>17</v>
      </c>
      <c r="AA50" s="718" t="s">
        <v>778</v>
      </c>
      <c r="AB50" s="1590">
        <f>(100+200+300+500)*10+50000</f>
        <v>61000</v>
      </c>
      <c r="AC50" s="1591"/>
      <c r="AD50" s="719" t="s">
        <v>779</v>
      </c>
      <c r="AE50" s="1592">
        <f>AB50</f>
        <v>61000</v>
      </c>
      <c r="AF50" s="1593"/>
      <c r="AG50" s="718" t="s">
        <v>780</v>
      </c>
      <c r="AH50" s="825"/>
      <c r="AI50" s="825"/>
      <c r="AJ50" s="825"/>
      <c r="AK50" s="825"/>
      <c r="AL50" s="825"/>
      <c r="AM50" s="825"/>
      <c r="AN50" s="825"/>
      <c r="AO50" s="825"/>
      <c r="AP50" s="825"/>
      <c r="AQ50" s="825"/>
      <c r="AR50" s="825"/>
      <c r="AS50" s="825"/>
      <c r="AT50" s="825"/>
      <c r="AU50" s="825"/>
      <c r="AV50" s="825"/>
      <c r="AW50" s="825"/>
      <c r="AX50" s="480"/>
      <c r="AY50" s="669" t="s">
        <v>633</v>
      </c>
      <c r="AZ50" s="842" t="s">
        <v>781</v>
      </c>
      <c r="BA50" s="710" t="s">
        <v>261</v>
      </c>
      <c r="BB50" s="825"/>
      <c r="BC50" s="825"/>
      <c r="BD50" s="825"/>
      <c r="BE50" s="825"/>
      <c r="BF50" s="825"/>
      <c r="BG50" s="825"/>
      <c r="BH50" s="825"/>
      <c r="BI50" s="825"/>
      <c r="BJ50" s="825"/>
      <c r="BK50" s="825"/>
      <c r="BL50" s="825"/>
      <c r="BM50" s="825"/>
      <c r="BN50" s="825"/>
      <c r="BO50" s="825"/>
      <c r="BP50" s="825"/>
      <c r="BQ50" s="825"/>
      <c r="BR50" s="825"/>
      <c r="BS50" s="825"/>
      <c r="BT50" s="825"/>
      <c r="BU50" s="825"/>
      <c r="BV50" s="825"/>
      <c r="BW50" s="825"/>
      <c r="BX50" s="825"/>
      <c r="BY50" s="825"/>
      <c r="BZ50" s="825"/>
      <c r="CA50" s="825"/>
      <c r="CB50" s="825"/>
      <c r="CC50" s="825"/>
    </row>
    <row r="51" spans="1:81" ht="48.1" customHeight="1" x14ac:dyDescent="0.25">
      <c r="A51" s="273"/>
      <c r="B51" s="672"/>
      <c r="C51" s="1643"/>
      <c r="D51" s="1612"/>
      <c r="E51" s="1612"/>
      <c r="F51" s="1560"/>
      <c r="G51" s="1560"/>
      <c r="H51" s="1560"/>
      <c r="I51" s="1560"/>
      <c r="J51" s="1581"/>
      <c r="K51" s="1133"/>
      <c r="L51" s="1141"/>
      <c r="M51" s="649" t="s">
        <v>489</v>
      </c>
      <c r="N51" s="724" t="str">
        <f>N50</f>
        <v>Exclusión de mujeres indígenas en programa de biocomercio</v>
      </c>
      <c r="O51" s="837" t="str">
        <f t="shared" si="1"/>
        <v>Género</v>
      </c>
      <c r="P51" s="837" t="str">
        <f>AC6</f>
        <v>GN</v>
      </c>
      <c r="Q51" s="571" t="str">
        <f>AJ17</f>
        <v>Programas de biocomercio diseñados especialmente para mujeres indígenas</v>
      </c>
      <c r="R51" s="837" t="s">
        <v>782</v>
      </c>
      <c r="S51" s="844" t="s">
        <v>526</v>
      </c>
      <c r="T51" s="519" t="str">
        <f>AI17</f>
        <v>SGN9</v>
      </c>
      <c r="U51" s="501"/>
      <c r="V51" s="501"/>
      <c r="W51" s="501"/>
      <c r="X51" s="273"/>
      <c r="Y51" s="825"/>
      <c r="Z51" s="861">
        <v>18</v>
      </c>
      <c r="AA51" s="718" t="s">
        <v>783</v>
      </c>
      <c r="AB51" s="1575">
        <v>30000</v>
      </c>
      <c r="AC51" s="1576"/>
      <c r="AD51" s="861" t="s">
        <v>719</v>
      </c>
      <c r="AE51" s="1577">
        <f>AB51</f>
        <v>30000</v>
      </c>
      <c r="AF51" s="1578"/>
      <c r="AG51" s="666" t="s">
        <v>784</v>
      </c>
      <c r="AH51" s="825"/>
      <c r="AI51" s="825"/>
      <c r="AJ51" s="825"/>
      <c r="AK51" s="825"/>
      <c r="AL51" s="825"/>
      <c r="AM51" s="825"/>
      <c r="AN51" s="825"/>
      <c r="AO51" s="825"/>
      <c r="AP51" s="825"/>
      <c r="AQ51" s="825"/>
      <c r="AR51" s="825"/>
      <c r="AS51" s="825"/>
      <c r="AT51" s="825"/>
      <c r="AU51" s="825"/>
      <c r="AV51" s="825"/>
      <c r="AW51" s="825"/>
      <c r="AX51" s="480"/>
      <c r="AY51" s="669" t="s">
        <v>642</v>
      </c>
      <c r="AZ51" s="836" t="s">
        <v>785</v>
      </c>
      <c r="BA51" s="710" t="s">
        <v>261</v>
      </c>
      <c r="BB51" s="825"/>
      <c r="BC51" s="825"/>
      <c r="BD51" s="825"/>
      <c r="BE51" s="825"/>
      <c r="BF51" s="825"/>
      <c r="BG51" s="825"/>
      <c r="BH51" s="825"/>
      <c r="BI51" s="825"/>
      <c r="BJ51" s="825"/>
      <c r="BK51" s="825"/>
      <c r="BL51" s="825"/>
      <c r="BM51" s="825"/>
      <c r="BN51" s="825"/>
      <c r="BO51" s="825"/>
      <c r="BP51" s="825"/>
      <c r="BQ51" s="825"/>
      <c r="BR51" s="825"/>
      <c r="BS51" s="825"/>
      <c r="BT51" s="825"/>
      <c r="BU51" s="825"/>
      <c r="BV51" s="825"/>
      <c r="BW51" s="825"/>
      <c r="BX51" s="825"/>
      <c r="BY51" s="825"/>
      <c r="BZ51" s="825"/>
      <c r="CA51" s="825"/>
      <c r="CB51" s="825"/>
      <c r="CC51" s="825"/>
    </row>
    <row r="52" spans="1:81" ht="48.75" customHeight="1" x14ac:dyDescent="0.25">
      <c r="A52" s="273"/>
      <c r="B52" s="672" t="s">
        <v>488</v>
      </c>
      <c r="C52" s="1643" t="str">
        <f>'8. BASE  CONSOLIDADA'!E41</f>
        <v>1.4.4</v>
      </c>
      <c r="D52" s="1612" t="str">
        <f>'8. BASE  CONSOLIDADA'!F41</f>
        <v>Fortalecimiento de capacidades</v>
      </c>
      <c r="E52" s="1612" t="str">
        <f>'8. BASE  CONSOLIDADA'!G41</f>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v>
      </c>
      <c r="F52" s="1647" t="str">
        <f>'8. BASE  CONSOLIDADA'!C41</f>
        <v>Territorios de comunidades nativas</v>
      </c>
      <c r="G52" s="1019" t="str">
        <f>VLOOKUP($C52,'8. BASE  CONSOLIDADA'!$E$7:$AS$308,13,FALSE)</f>
        <v>Comunidades fortalecidas</v>
      </c>
      <c r="H52" s="1109">
        <f>VLOOKUP($C52,'8. BASE  CONSOLIDADA'!$E$7:$AS$308,15,FALSE)</f>
        <v>39.6</v>
      </c>
      <c r="I52" s="1058">
        <f>VLOOKUP(C52,'8. BASE  CONSOLIDADA'!$E$7:$AS$308,20,FALSE)</f>
        <v>1440000</v>
      </c>
      <c r="J52" s="678">
        <f>I52*$J$6</f>
        <v>979.2</v>
      </c>
      <c r="K52" s="1020"/>
      <c r="L52" s="1027"/>
      <c r="M52" s="649" t="s">
        <v>489</v>
      </c>
      <c r="N52" s="724" t="str">
        <f>N45</f>
        <v>Programas de asistencia técnica no recogen enfoque intercultural y metodologías apropiadas para pueblos indígenas</v>
      </c>
      <c r="O52" s="837" t="str">
        <f t="shared" si="1"/>
        <v>Derechos de los pueblos indígenas</v>
      </c>
      <c r="P52" s="837" t="str">
        <f>Z6</f>
        <v>DPI</v>
      </c>
      <c r="Q52" s="571" t="str">
        <f>AD17</f>
        <v>Programas de asistencia técnica y capacitación específicos para pueblos indígenas, con enfoque intercultural y metodologías apropiadas para pueblos indígenas</v>
      </c>
      <c r="R52" s="837" t="s">
        <v>755</v>
      </c>
      <c r="S52" s="844" t="s">
        <v>507</v>
      </c>
      <c r="T52" s="519" t="str">
        <f>AC17</f>
        <v>SDPI9</v>
      </c>
      <c r="U52" s="506"/>
      <c r="V52" s="669"/>
      <c r="W52" s="669"/>
      <c r="X52" s="273"/>
      <c r="Y52" s="825"/>
      <c r="Z52" s="861">
        <v>19</v>
      </c>
      <c r="AA52" s="718" t="s">
        <v>786</v>
      </c>
      <c r="AB52" s="1575">
        <v>30500</v>
      </c>
      <c r="AC52" s="1576"/>
      <c r="AD52" s="861" t="s">
        <v>787</v>
      </c>
      <c r="AE52" s="1577">
        <f>AB52*2</f>
        <v>61000</v>
      </c>
      <c r="AF52" s="1578"/>
      <c r="AG52" s="666" t="s">
        <v>788</v>
      </c>
      <c r="AH52" s="825"/>
      <c r="AI52" s="825"/>
      <c r="AJ52" s="825"/>
      <c r="AK52" s="825"/>
      <c r="AL52" s="825"/>
      <c r="AM52" s="825"/>
      <c r="AN52" s="825"/>
      <c r="AO52" s="825"/>
      <c r="AP52" s="825"/>
      <c r="AQ52" s="825"/>
      <c r="AR52" s="825"/>
      <c r="AS52" s="825"/>
      <c r="AT52" s="825"/>
      <c r="AU52" s="825"/>
      <c r="AV52" s="825"/>
      <c r="AW52" s="825"/>
      <c r="AX52" s="480"/>
      <c r="AY52" s="669" t="s">
        <v>651</v>
      </c>
      <c r="AZ52" s="836" t="s">
        <v>789</v>
      </c>
      <c r="BA52" s="710" t="s">
        <v>261</v>
      </c>
      <c r="BB52" s="825"/>
      <c r="BC52" s="825"/>
      <c r="BD52" s="825"/>
      <c r="BE52" s="825"/>
      <c r="BF52" s="825"/>
      <c r="BG52" s="825"/>
      <c r="BH52" s="825"/>
      <c r="BI52" s="825"/>
      <c r="BJ52" s="825"/>
      <c r="BK52" s="825"/>
      <c r="BL52" s="825"/>
      <c r="BM52" s="825"/>
      <c r="BN52" s="825"/>
      <c r="BO52" s="825"/>
      <c r="BP52" s="825"/>
      <c r="BQ52" s="825"/>
      <c r="BR52" s="825"/>
      <c r="BS52" s="825"/>
      <c r="BT52" s="825"/>
      <c r="BU52" s="825"/>
      <c r="BV52" s="825"/>
      <c r="BW52" s="825"/>
      <c r="BX52" s="825"/>
      <c r="BY52" s="825"/>
      <c r="BZ52" s="825"/>
      <c r="CA52" s="825"/>
      <c r="CB52" s="825"/>
      <c r="CC52" s="825"/>
    </row>
    <row r="53" spans="1:81" ht="49.6" customHeight="1" x14ac:dyDescent="0.25">
      <c r="A53" s="273"/>
      <c r="B53" s="672"/>
      <c r="C53" s="1643"/>
      <c r="D53" s="1612"/>
      <c r="E53" s="1612"/>
      <c r="F53" s="1647"/>
      <c r="G53" s="1090"/>
      <c r="H53" s="1111"/>
      <c r="I53" s="1059"/>
      <c r="J53" s="678"/>
      <c r="K53" s="1028"/>
      <c r="L53" s="1027"/>
      <c r="M53" s="649" t="s">
        <v>489</v>
      </c>
      <c r="N53" s="724" t="s">
        <v>790</v>
      </c>
      <c r="O53" s="837" t="str">
        <f t="shared" si="1"/>
        <v>Género</v>
      </c>
      <c r="P53" s="837" t="str">
        <f>AC6</f>
        <v>GN</v>
      </c>
      <c r="Q53" s="571" t="str">
        <f>AJ15</f>
        <v>Programas de asistencia técnica y capacitación específicos para mujeres rurales indígenas</v>
      </c>
      <c r="R53" s="837" t="s">
        <v>758</v>
      </c>
      <c r="S53" s="844" t="s">
        <v>507</v>
      </c>
      <c r="T53" s="519" t="str">
        <f>AI15</f>
        <v>SGN7</v>
      </c>
      <c r="U53" s="507"/>
      <c r="V53" s="669"/>
      <c r="W53" s="669"/>
      <c r="X53" s="273"/>
      <c r="Y53" s="825"/>
      <c r="Z53" s="861">
        <v>20</v>
      </c>
      <c r="AA53" s="718" t="s">
        <v>791</v>
      </c>
      <c r="AB53" s="1575">
        <f>(3*60*7)+(100*3)+(120*3*4)</f>
        <v>3000</v>
      </c>
      <c r="AC53" s="1576"/>
      <c r="AD53" s="714" t="s">
        <v>792</v>
      </c>
      <c r="AE53" s="1577">
        <f>AB53*4</f>
        <v>12000</v>
      </c>
      <c r="AF53" s="1578"/>
      <c r="AG53" s="666" t="s">
        <v>793</v>
      </c>
      <c r="AH53" s="825"/>
      <c r="AI53" s="825"/>
      <c r="AJ53" s="825"/>
      <c r="AK53" s="825"/>
      <c r="AL53" s="825"/>
      <c r="AM53" s="825"/>
      <c r="AN53" s="825"/>
      <c r="AO53" s="825"/>
      <c r="AP53" s="825"/>
      <c r="AQ53" s="825"/>
      <c r="AR53" s="825"/>
      <c r="AS53" s="825"/>
      <c r="AT53" s="825"/>
      <c r="AU53" s="825"/>
      <c r="AV53" s="825"/>
      <c r="AW53" s="825"/>
      <c r="AX53" s="480"/>
      <c r="AY53" s="858" t="s">
        <v>514</v>
      </c>
      <c r="AZ53" s="840" t="s">
        <v>515</v>
      </c>
      <c r="BA53" s="609" t="s">
        <v>360</v>
      </c>
      <c r="BB53" s="825"/>
      <c r="BC53" s="825"/>
      <c r="BD53" s="825"/>
      <c r="BE53" s="825"/>
      <c r="BF53" s="825"/>
      <c r="BG53" s="825"/>
      <c r="BH53" s="825"/>
      <c r="BI53" s="825"/>
      <c r="BJ53" s="825"/>
      <c r="BK53" s="825"/>
      <c r="BL53" s="825"/>
      <c r="BM53" s="825"/>
      <c r="BN53" s="825"/>
      <c r="BO53" s="825"/>
      <c r="BP53" s="825"/>
      <c r="BQ53" s="825"/>
      <c r="BR53" s="825"/>
      <c r="BS53" s="825"/>
      <c r="BT53" s="825"/>
      <c r="BU53" s="825"/>
      <c r="BV53" s="825"/>
      <c r="BW53" s="825"/>
      <c r="BX53" s="825"/>
      <c r="BY53" s="825"/>
      <c r="BZ53" s="825"/>
      <c r="CA53" s="825"/>
      <c r="CB53" s="825"/>
      <c r="CC53" s="825"/>
    </row>
    <row r="54" spans="1:81" ht="39.1" customHeight="1" x14ac:dyDescent="0.25">
      <c r="A54" s="273"/>
      <c r="B54" s="672" t="s">
        <v>488</v>
      </c>
      <c r="C54" s="1643" t="str">
        <f>'8. BASE  CONSOLIDADA'!E42</f>
        <v>1.4.5</v>
      </c>
      <c r="D54" s="1612" t="str">
        <f>'8. BASE  CONSOLIDADA'!F42</f>
        <v>Identificación y apertura de mercado para productos del bosque.</v>
      </c>
      <c r="E54" s="1612" t="str">
        <f>'8. BASE  CONSOLIDADA'!G42</f>
        <v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v>
      </c>
      <c r="F54" s="1535" t="str">
        <f>'8. BASE  CONSOLIDADA'!C42</f>
        <v>Territorios de comunidades nativas</v>
      </c>
      <c r="G54" s="1535" t="str">
        <f>VLOOKUP($C54,'8. BASE  CONSOLIDADA'!$E$7:$AS$308,13,FALSE)</f>
        <v>Especialistas</v>
      </c>
      <c r="H54" s="1535">
        <f>VLOOKUP($C54,'8. BASE  CONSOLIDADA'!$E$7:$AS$308,15,FALSE)</f>
        <v>5</v>
      </c>
      <c r="I54" s="1535">
        <f>VLOOKUP(C54,'8. BASE  CONSOLIDADA'!$E$7:$AS$308,20,FALSE)</f>
        <v>1050000</v>
      </c>
      <c r="J54" s="1535">
        <f>I54*$J$6</f>
        <v>714</v>
      </c>
      <c r="K54" s="1020"/>
      <c r="L54" s="1027"/>
      <c r="M54" s="649" t="s">
        <v>489</v>
      </c>
      <c r="N54" s="724" t="str">
        <f>N47</f>
        <v>Biopiratería de recursos genéticos y recursos biológicos en tierras de comunidades nativas</v>
      </c>
      <c r="O54" s="837" t="str">
        <f t="shared" si="1"/>
        <v>Derechos de los pueblos indígenas</v>
      </c>
      <c r="P54" s="837" t="str">
        <f>Z6</f>
        <v>DPI</v>
      </c>
      <c r="Q54" s="571" t="str">
        <f>AD18</f>
        <v>Fortalecimiento a comunidades nativas en procesos de negociación de bionegocios</v>
      </c>
      <c r="R54" s="837" t="s">
        <v>762</v>
      </c>
      <c r="S54" s="844" t="s">
        <v>507</v>
      </c>
      <c r="T54" s="519" t="str">
        <f>AC18</f>
        <v>SDPI10</v>
      </c>
      <c r="U54" s="507"/>
      <c r="V54" s="669"/>
      <c r="W54" s="669"/>
      <c r="X54" s="273"/>
      <c r="Y54" s="825"/>
      <c r="Z54" s="831">
        <v>21</v>
      </c>
      <c r="AA54" s="666" t="s">
        <v>794</v>
      </c>
      <c r="AB54" s="1669">
        <v>1500</v>
      </c>
      <c r="AC54" s="1576"/>
      <c r="AD54" s="714" t="s">
        <v>795</v>
      </c>
      <c r="AE54" s="1577">
        <f>AB54*10</f>
        <v>15000</v>
      </c>
      <c r="AF54" s="1578"/>
      <c r="AG54" s="666" t="s">
        <v>796</v>
      </c>
      <c r="AH54" s="825"/>
      <c r="AI54" s="825"/>
      <c r="AJ54" s="825"/>
      <c r="AK54" s="825"/>
      <c r="AL54" s="825"/>
      <c r="AM54" s="825"/>
      <c r="AN54" s="825"/>
      <c r="AO54" s="825"/>
      <c r="AP54" s="825"/>
      <c r="AQ54" s="825"/>
      <c r="AR54" s="825"/>
      <c r="AS54" s="825"/>
      <c r="AT54" s="825"/>
      <c r="AU54" s="825"/>
      <c r="AV54" s="825"/>
      <c r="AW54" s="825"/>
      <c r="AX54" s="480"/>
      <c r="AY54" s="858" t="s">
        <v>533</v>
      </c>
      <c r="AZ54" s="840" t="s">
        <v>369</v>
      </c>
      <c r="BA54" s="609" t="s">
        <v>360</v>
      </c>
      <c r="BB54" s="825"/>
      <c r="BC54" s="825"/>
      <c r="BD54" s="825"/>
      <c r="BE54" s="825"/>
      <c r="BF54" s="825"/>
      <c r="BG54" s="825"/>
      <c r="BH54" s="825"/>
      <c r="BI54" s="825"/>
      <c r="BJ54" s="825"/>
      <c r="BK54" s="825"/>
      <c r="BL54" s="825"/>
      <c r="BM54" s="825"/>
      <c r="BN54" s="825"/>
      <c r="BO54" s="825"/>
      <c r="BP54" s="825"/>
      <c r="BQ54" s="825"/>
      <c r="BR54" s="825"/>
      <c r="BS54" s="825"/>
      <c r="BT54" s="825"/>
      <c r="BU54" s="825"/>
      <c r="BV54" s="825"/>
      <c r="BW54" s="825"/>
      <c r="BX54" s="825"/>
      <c r="BY54" s="825"/>
      <c r="BZ54" s="825"/>
      <c r="CA54" s="825"/>
      <c r="CB54" s="825"/>
      <c r="CC54" s="825"/>
    </row>
    <row r="55" spans="1:81" ht="39.1" customHeight="1" x14ac:dyDescent="0.25">
      <c r="A55" s="273"/>
      <c r="B55" s="672"/>
      <c r="C55" s="1643"/>
      <c r="D55" s="1612"/>
      <c r="E55" s="1612"/>
      <c r="F55" s="1543"/>
      <c r="G55" s="1543"/>
      <c r="H55" s="1543"/>
      <c r="I55" s="1543"/>
      <c r="J55" s="1543"/>
      <c r="K55" s="1021"/>
      <c r="L55" s="1029"/>
      <c r="M55" s="649" t="s">
        <v>489</v>
      </c>
      <c r="N55" s="724" t="str">
        <f>N49</f>
        <v>Apropiación ilícita de conocimientos tradicionales</v>
      </c>
      <c r="O55" s="837" t="str">
        <f t="shared" si="1"/>
        <v>Derechos de los pueblos indígenas</v>
      </c>
      <c r="P55" s="837" t="str">
        <f>Z6</f>
        <v>DPI</v>
      </c>
      <c r="Q55" s="571" t="str">
        <f>AD20</f>
        <v>Registro de conocimientos tradicionales en INDECOPI</v>
      </c>
      <c r="R55" s="837" t="s">
        <v>774</v>
      </c>
      <c r="S55" s="844" t="s">
        <v>526</v>
      </c>
      <c r="T55" s="519" t="str">
        <f>AC20</f>
        <v>SDPI12</v>
      </c>
      <c r="U55" s="507"/>
      <c r="V55" s="669"/>
      <c r="W55" s="669"/>
      <c r="X55" s="273"/>
      <c r="Y55" s="825"/>
      <c r="Z55" s="825"/>
      <c r="AA55" s="273"/>
      <c r="AB55" s="825"/>
      <c r="AC55" s="825"/>
      <c r="AD55" s="830" t="s">
        <v>797</v>
      </c>
      <c r="AE55" s="1667">
        <f>SUM(AE34:AF54)</f>
        <v>6518400</v>
      </c>
      <c r="AF55" s="1668"/>
      <c r="AG55" s="825"/>
      <c r="AH55" s="825"/>
      <c r="AI55" s="825"/>
      <c r="AJ55" s="825"/>
      <c r="AK55" s="825"/>
      <c r="AL55" s="825"/>
      <c r="AM55" s="825"/>
      <c r="AN55" s="825"/>
      <c r="AO55" s="825"/>
      <c r="AP55" s="825"/>
      <c r="AQ55" s="825"/>
      <c r="AR55" s="825"/>
      <c r="AS55" s="825"/>
      <c r="AT55" s="825"/>
      <c r="AU55" s="825"/>
      <c r="AV55" s="825"/>
      <c r="AW55" s="825"/>
      <c r="AX55" s="480"/>
      <c r="AY55" s="858" t="s">
        <v>549</v>
      </c>
      <c r="AZ55" s="840" t="s">
        <v>363</v>
      </c>
      <c r="BA55" s="609" t="s">
        <v>360</v>
      </c>
      <c r="BB55" s="825"/>
      <c r="BC55" s="825"/>
      <c r="BD55" s="825"/>
      <c r="BE55" s="825"/>
      <c r="BF55" s="825"/>
      <c r="BG55" s="825"/>
      <c r="BH55" s="825"/>
      <c r="BI55" s="825"/>
      <c r="BJ55" s="825"/>
      <c r="BK55" s="825"/>
      <c r="BL55" s="825"/>
      <c r="BM55" s="825"/>
      <c r="BN55" s="825"/>
      <c r="BO55" s="825"/>
      <c r="BP55" s="825"/>
      <c r="BQ55" s="825"/>
      <c r="BR55" s="825"/>
      <c r="BS55" s="825"/>
      <c r="BT55" s="825"/>
      <c r="BU55" s="825"/>
      <c r="BV55" s="825"/>
      <c r="BW55" s="825"/>
      <c r="BX55" s="825"/>
      <c r="BY55" s="825"/>
      <c r="BZ55" s="825"/>
      <c r="CA55" s="825"/>
      <c r="CB55" s="825"/>
      <c r="CC55" s="825"/>
    </row>
    <row r="56" spans="1:81" ht="54" customHeight="1" x14ac:dyDescent="0.25">
      <c r="A56" s="273"/>
      <c r="B56" s="672" t="s">
        <v>488</v>
      </c>
      <c r="C56" s="1643" t="str">
        <f>'8. BASE  CONSOLIDADA'!E43</f>
        <v>1.4.6</v>
      </c>
      <c r="D56" s="1612" t="str">
        <f>'8. BASE  CONSOLIDADA'!F43</f>
        <v>Transferencias de Incentivos para protección de bosques</v>
      </c>
      <c r="E56" s="1612" t="str">
        <f>'8. BASE  CONSOLIDADA'!G43</f>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v>
      </c>
      <c r="F56" s="1537" t="str">
        <f>'8. BASE  CONSOLIDADA'!C43</f>
        <v>Territorios de comunidades nativas</v>
      </c>
      <c r="G56" s="1537" t="str">
        <f>VLOOKUP($C56,'8. BASE  CONSOLIDADA'!$E$7:$AS$308,13,FALSE)</f>
        <v>Comunidades atendidas</v>
      </c>
      <c r="H56" s="1537">
        <f>VLOOKUP($C56,'8. BASE  CONSOLIDADA'!$E$7:$AS$308,15,FALSE)</f>
        <v>30</v>
      </c>
      <c r="I56" s="1537">
        <f>VLOOKUP(C56,'8. BASE  CONSOLIDADA'!$E$7:$AS$308,20,FALSE)</f>
        <v>750000</v>
      </c>
      <c r="J56" s="1537">
        <f>I56*$J$6</f>
        <v>510.00000000000006</v>
      </c>
      <c r="K56" s="1537"/>
      <c r="L56" s="1537"/>
      <c r="M56" s="649" t="s">
        <v>489</v>
      </c>
      <c r="N56" s="724" t="str">
        <f>N45</f>
        <v>Programas de asistencia técnica no recogen enfoque intercultural y metodologías apropiadas para pueblos indígenas</v>
      </c>
      <c r="O56" s="837" t="str">
        <f t="shared" si="1"/>
        <v>Derechos de los pueblos indígenas</v>
      </c>
      <c r="P56" s="837" t="str">
        <f>Z6</f>
        <v>DPI</v>
      </c>
      <c r="Q56" s="571" t="str">
        <f>AD17</f>
        <v>Programas de asistencia técnica y capacitación específicos para pueblos indígenas, con enfoque intercultural y metodologías apropiadas para pueblos indígenas</v>
      </c>
      <c r="R56" s="837" t="s">
        <v>755</v>
      </c>
      <c r="S56" s="844" t="s">
        <v>507</v>
      </c>
      <c r="T56" s="519" t="str">
        <f>AC17</f>
        <v>SDPI9</v>
      </c>
      <c r="U56" s="617"/>
      <c r="V56" s="860"/>
      <c r="W56" s="860"/>
      <c r="X56" s="273"/>
      <c r="Y56" s="825"/>
      <c r="Z56" s="825"/>
      <c r="AA56" s="825"/>
      <c r="AB56" s="825"/>
      <c r="AC56" s="825"/>
      <c r="AD56" s="830" t="s">
        <v>798</v>
      </c>
      <c r="AE56" s="1667">
        <f>L607</f>
        <v>7214227.5599999987</v>
      </c>
      <c r="AF56" s="1668"/>
      <c r="AG56" s="666" t="s">
        <v>799</v>
      </c>
      <c r="AH56" s="825"/>
      <c r="AI56" s="825"/>
      <c r="AJ56" s="825"/>
      <c r="AK56" s="825"/>
      <c r="AL56" s="825"/>
      <c r="AM56" s="825"/>
      <c r="AN56" s="825"/>
      <c r="AO56" s="825"/>
      <c r="AP56" s="825"/>
      <c r="AQ56" s="825"/>
      <c r="AR56" s="825"/>
      <c r="AS56" s="825"/>
      <c r="AT56" s="825"/>
      <c r="AU56" s="825"/>
      <c r="AV56" s="825"/>
      <c r="AW56" s="825"/>
      <c r="AX56" s="480"/>
      <c r="AY56" s="858" t="s">
        <v>561</v>
      </c>
      <c r="AZ56" s="840" t="s">
        <v>800</v>
      </c>
      <c r="BA56" s="609" t="s">
        <v>360</v>
      </c>
      <c r="BB56" s="825"/>
      <c r="BC56" s="825"/>
      <c r="BD56" s="825"/>
      <c r="BE56" s="825"/>
      <c r="BF56" s="825"/>
      <c r="BG56" s="825"/>
      <c r="BH56" s="825"/>
      <c r="BI56" s="825"/>
      <c r="BJ56" s="825"/>
      <c r="BK56" s="825"/>
      <c r="BL56" s="825"/>
      <c r="BM56" s="825"/>
      <c r="BN56" s="825"/>
      <c r="BO56" s="825"/>
      <c r="BP56" s="825"/>
      <c r="BQ56" s="825"/>
      <c r="BR56" s="825"/>
      <c r="BS56" s="825"/>
      <c r="BT56" s="825"/>
      <c r="BU56" s="825"/>
      <c r="BV56" s="825"/>
      <c r="BW56" s="825"/>
      <c r="BX56" s="825"/>
      <c r="BY56" s="825"/>
      <c r="BZ56" s="825"/>
      <c r="CA56" s="825"/>
      <c r="CB56" s="825"/>
      <c r="CC56" s="825"/>
    </row>
    <row r="57" spans="1:81" ht="52.5" customHeight="1" x14ac:dyDescent="0.25">
      <c r="A57" s="273"/>
      <c r="B57" s="672"/>
      <c r="C57" s="1643"/>
      <c r="D57" s="1612"/>
      <c r="E57" s="1612"/>
      <c r="F57" s="1537"/>
      <c r="G57" s="1537"/>
      <c r="H57" s="1537"/>
      <c r="I57" s="1537"/>
      <c r="J57" s="1537"/>
      <c r="K57" s="1537"/>
      <c r="L57" s="1537"/>
      <c r="M57" s="649" t="s">
        <v>489</v>
      </c>
      <c r="N57" s="724" t="s">
        <v>801</v>
      </c>
      <c r="O57" s="837" t="str">
        <f>AA6</f>
        <v>Derechos de los pueblos indígenas</v>
      </c>
      <c r="P57" s="837" t="str">
        <f>Z6</f>
        <v>DPI</v>
      </c>
      <c r="Q57" s="571" t="str">
        <f>AD22</f>
        <v>Fortalecimiento de organizaciones indígenas</v>
      </c>
      <c r="R57" s="837" t="s">
        <v>802</v>
      </c>
      <c r="S57" s="844" t="s">
        <v>526</v>
      </c>
      <c r="T57" s="519" t="str">
        <f>AC22</f>
        <v>SDPI14</v>
      </c>
      <c r="U57" s="516"/>
      <c r="V57" s="502"/>
      <c r="W57" s="860"/>
      <c r="X57" s="273"/>
      <c r="Y57" s="825"/>
      <c r="Z57" s="825"/>
      <c r="AA57" s="825"/>
      <c r="AB57" s="825"/>
      <c r="AC57" s="825"/>
      <c r="AD57" s="830" t="s">
        <v>803</v>
      </c>
      <c r="AE57" s="1667">
        <f>AE55+AE56</f>
        <v>13732627.559999999</v>
      </c>
      <c r="AF57" s="1668"/>
      <c r="AG57" s="825"/>
      <c r="AH57" s="825"/>
      <c r="AI57" s="825"/>
      <c r="AJ57" s="825"/>
      <c r="AK57" s="825"/>
      <c r="AL57" s="825"/>
      <c r="AM57" s="825"/>
      <c r="AN57" s="825"/>
      <c r="AO57" s="825"/>
      <c r="AP57" s="825"/>
      <c r="AQ57" s="825"/>
      <c r="AR57" s="825"/>
      <c r="AS57" s="825"/>
      <c r="AT57" s="825"/>
      <c r="AU57" s="825"/>
      <c r="AV57" s="825"/>
      <c r="AW57" s="825"/>
      <c r="AX57" s="480"/>
      <c r="AY57" s="858" t="s">
        <v>573</v>
      </c>
      <c r="AZ57" s="840" t="s">
        <v>804</v>
      </c>
      <c r="BA57" s="609" t="s">
        <v>360</v>
      </c>
      <c r="BB57" s="825"/>
      <c r="BC57" s="825"/>
      <c r="BD57" s="825"/>
      <c r="BE57" s="825"/>
      <c r="BF57" s="825"/>
      <c r="BG57" s="825"/>
      <c r="BH57" s="825"/>
      <c r="BI57" s="825"/>
      <c r="BJ57" s="825"/>
      <c r="BK57" s="825"/>
      <c r="BL57" s="825"/>
      <c r="BM57" s="825"/>
      <c r="BN57" s="825"/>
      <c r="BO57" s="825"/>
      <c r="BP57" s="825"/>
      <c r="BQ57" s="825"/>
      <c r="BR57" s="825"/>
      <c r="BS57" s="825"/>
      <c r="BT57" s="825"/>
      <c r="BU57" s="825"/>
      <c r="BV57" s="825"/>
      <c r="BW57" s="825"/>
      <c r="BX57" s="825"/>
      <c r="BY57" s="825"/>
      <c r="BZ57" s="825"/>
      <c r="CA57" s="825"/>
      <c r="CB57" s="825"/>
      <c r="CC57" s="825"/>
    </row>
    <row r="58" spans="1:81" ht="34.5" customHeight="1" x14ac:dyDescent="0.25">
      <c r="A58" s="273"/>
      <c r="B58" s="672"/>
      <c r="C58" s="1643"/>
      <c r="D58" s="1612"/>
      <c r="E58" s="1612"/>
      <c r="F58" s="1537"/>
      <c r="G58" s="1537"/>
      <c r="H58" s="1537"/>
      <c r="I58" s="1537"/>
      <c r="J58" s="1537"/>
      <c r="K58" s="1537"/>
      <c r="L58" s="1537"/>
      <c r="M58" s="649" t="s">
        <v>489</v>
      </c>
      <c r="N58" s="724" t="str">
        <f>N57</f>
        <v>Apropiación ilícita de los recursos de las transferencias directas condicionadas y adquisiciones inadecuadas</v>
      </c>
      <c r="O58" s="837" t="str">
        <f t="shared" ref="O58:O89" si="2">VLOOKUP(T58,$AY$9:$BA$81,3,FALSE)</f>
        <v>Corrupción</v>
      </c>
      <c r="P58" s="837" t="e">
        <f>#REF!</f>
        <v>#REF!</v>
      </c>
      <c r="Q58" s="571" t="str">
        <f>AG11</f>
        <v>Transparencia en las adquisiciones vinculadas a la ERDRBE</v>
      </c>
      <c r="R58" s="837" t="s">
        <v>805</v>
      </c>
      <c r="S58" s="844" t="s">
        <v>526</v>
      </c>
      <c r="T58" s="519" t="str">
        <f>AF11</f>
        <v>SCR3</v>
      </c>
      <c r="U58" s="501"/>
      <c r="V58" s="478"/>
      <c r="W58" s="508"/>
      <c r="X58" s="273"/>
      <c r="Y58" s="825"/>
      <c r="Z58" s="825"/>
      <c r="AA58" s="825"/>
      <c r="AB58" s="825"/>
      <c r="AC58" s="825"/>
      <c r="AD58" s="830" t="s">
        <v>806</v>
      </c>
      <c r="AE58" s="1667">
        <f>AE57*0.1</f>
        <v>1373262.7560000001</v>
      </c>
      <c r="AF58" s="1668"/>
      <c r="AG58" s="825"/>
      <c r="AH58" s="825"/>
      <c r="AI58" s="825"/>
      <c r="AJ58" s="825"/>
      <c r="AK58" s="825"/>
      <c r="AL58" s="825"/>
      <c r="AM58" s="825"/>
      <c r="AN58" s="825"/>
      <c r="AO58" s="825"/>
      <c r="AP58" s="825"/>
      <c r="AQ58" s="825"/>
      <c r="AR58" s="825"/>
      <c r="AS58" s="825"/>
      <c r="AT58" s="825"/>
      <c r="AU58" s="825"/>
      <c r="AV58" s="825"/>
      <c r="AW58" s="825"/>
      <c r="AX58" s="480"/>
      <c r="AY58" s="858" t="s">
        <v>583</v>
      </c>
      <c r="AZ58" s="840" t="s">
        <v>807</v>
      </c>
      <c r="BA58" s="609" t="s">
        <v>360</v>
      </c>
      <c r="BB58" s="825"/>
      <c r="BC58" s="825"/>
      <c r="BD58" s="825"/>
      <c r="BE58" s="825"/>
      <c r="BF58" s="825"/>
      <c r="BG58" s="825"/>
      <c r="BH58" s="825"/>
      <c r="BI58" s="825"/>
      <c r="BJ58" s="825"/>
      <c r="BK58" s="825"/>
      <c r="BL58" s="825"/>
      <c r="BM58" s="825"/>
      <c r="BN58" s="825"/>
      <c r="BO58" s="825"/>
      <c r="BP58" s="825"/>
      <c r="BQ58" s="825"/>
      <c r="BR58" s="825"/>
      <c r="BS58" s="825"/>
      <c r="BT58" s="825"/>
      <c r="BU58" s="825"/>
      <c r="BV58" s="825"/>
      <c r="BW58" s="825"/>
      <c r="BX58" s="825"/>
      <c r="BY58" s="825"/>
      <c r="BZ58" s="825"/>
      <c r="CA58" s="825"/>
      <c r="CB58" s="825"/>
      <c r="CC58" s="825"/>
    </row>
    <row r="59" spans="1:81" ht="51.8" customHeight="1" x14ac:dyDescent="0.25">
      <c r="A59" s="273"/>
      <c r="B59" s="672" t="s">
        <v>488</v>
      </c>
      <c r="C59" s="1643" t="str">
        <f>'8. BASE  CONSOLIDADA'!E45</f>
        <v>1.4.8</v>
      </c>
      <c r="D59" s="1612" t="str">
        <f>'8. BASE  CONSOLIDADA'!F45</f>
        <v>Servicios básicos de calidad</v>
      </c>
      <c r="E59" s="1612" t="str">
        <f>'8. BASE  CONSOLIDADA'!G45</f>
        <v xml:space="preserve">Implementación de proyectos enfocados a mejorar los servicios básicos de las comunidades nativas, dichos servicios deberán contar con profesionales bilingües, para asegurar y garantizar la adecuada transferencia de dichos servicios.  </v>
      </c>
      <c r="F59" s="1537" t="str">
        <f>'8. BASE  CONSOLIDADA'!C45</f>
        <v>Territorios de comunidades nativas</v>
      </c>
      <c r="G59" s="1537" t="str">
        <f>VLOOKUP($C59,'8. BASE  CONSOLIDADA'!$E$7:$AS$308,13,FALSE)</f>
        <v>Escuelas y postas médicas implementadas</v>
      </c>
      <c r="H59" s="1537">
        <f>VLOOKUP($C59,'8. BASE  CONSOLIDADA'!$E$7:$AS$308,15,FALSE)</f>
        <v>36</v>
      </c>
      <c r="I59" s="1537">
        <f>VLOOKUP(C59,'8. BASE  CONSOLIDADA'!$E$7:$AS$308,20,FALSE)</f>
        <v>27000000</v>
      </c>
      <c r="J59" s="1537">
        <f>I59*$J$6</f>
        <v>18360</v>
      </c>
      <c r="K59" s="1537"/>
      <c r="L59" s="1537"/>
      <c r="M59" s="649" t="s">
        <v>489</v>
      </c>
      <c r="N59" s="724" t="s">
        <v>808</v>
      </c>
      <c r="O59" s="837" t="str">
        <f t="shared" si="2"/>
        <v>Derechos de los pueblos indígenas</v>
      </c>
      <c r="P59" s="837" t="str">
        <f>Z6</f>
        <v>DPI</v>
      </c>
      <c r="Q59" s="571" t="str">
        <f>AD16</f>
        <v>Diseño de servicios básicos con enfoque intercultural</v>
      </c>
      <c r="R59" s="837" t="s">
        <v>809</v>
      </c>
      <c r="S59" s="844" t="s">
        <v>507</v>
      </c>
      <c r="T59" s="519" t="str">
        <f>AC16</f>
        <v>SDPI8</v>
      </c>
      <c r="U59" s="501"/>
      <c r="V59" s="478"/>
      <c r="W59" s="508"/>
      <c r="X59" s="273"/>
      <c r="Y59" s="825"/>
      <c r="Z59" s="825"/>
      <c r="AA59" s="825"/>
      <c r="AB59" s="825"/>
      <c r="AC59" s="825"/>
      <c r="AD59" s="830" t="s">
        <v>116</v>
      </c>
      <c r="AE59" s="1667">
        <f>AE57+AE58</f>
        <v>15105890.316</v>
      </c>
      <c r="AF59" s="1668"/>
      <c r="AG59" s="825"/>
      <c r="AH59" s="825"/>
      <c r="AI59" s="825"/>
      <c r="AJ59" s="825"/>
      <c r="AK59" s="825"/>
      <c r="AL59" s="825"/>
      <c r="AM59" s="825"/>
      <c r="AN59" s="825"/>
      <c r="AO59" s="825"/>
      <c r="AP59" s="825"/>
      <c r="AQ59" s="825"/>
      <c r="AR59" s="825"/>
      <c r="AS59" s="825"/>
      <c r="AT59" s="825"/>
      <c r="AU59" s="825"/>
      <c r="AV59" s="825"/>
      <c r="AW59" s="825"/>
      <c r="AX59" s="480"/>
      <c r="AY59" s="568" t="s">
        <v>593</v>
      </c>
      <c r="AZ59" s="569" t="s">
        <v>594</v>
      </c>
      <c r="BA59" s="609" t="s">
        <v>360</v>
      </c>
      <c r="BB59" s="825"/>
      <c r="BC59" s="825"/>
      <c r="BD59" s="825"/>
      <c r="BE59" s="825"/>
      <c r="BF59" s="825"/>
      <c r="BG59" s="825"/>
      <c r="BH59" s="825"/>
      <c r="BI59" s="825"/>
      <c r="BJ59" s="825"/>
      <c r="BK59" s="825"/>
      <c r="BL59" s="825"/>
      <c r="BM59" s="825"/>
      <c r="BN59" s="825"/>
      <c r="BO59" s="825"/>
      <c r="BP59" s="825"/>
      <c r="BQ59" s="825"/>
      <c r="BR59" s="825"/>
      <c r="BS59" s="825"/>
      <c r="BT59" s="825"/>
      <c r="BU59" s="825"/>
      <c r="BV59" s="825"/>
      <c r="BW59" s="825"/>
      <c r="BX59" s="825"/>
      <c r="BY59" s="825"/>
      <c r="BZ59" s="825"/>
      <c r="CA59" s="825"/>
      <c r="CB59" s="825"/>
      <c r="CC59" s="825"/>
    </row>
    <row r="60" spans="1:81" ht="67.599999999999994" customHeight="1" x14ac:dyDescent="0.25">
      <c r="A60" s="273"/>
      <c r="B60" s="672"/>
      <c r="C60" s="1643"/>
      <c r="D60" s="1612"/>
      <c r="E60" s="1612"/>
      <c r="F60" s="1537"/>
      <c r="G60" s="1537"/>
      <c r="H60" s="1537"/>
      <c r="I60" s="1537"/>
      <c r="J60" s="1537"/>
      <c r="K60" s="1537"/>
      <c r="L60" s="1537"/>
      <c r="M60" s="649" t="s">
        <v>489</v>
      </c>
      <c r="N60" s="729" t="s">
        <v>810</v>
      </c>
      <c r="O60" s="654" t="str">
        <f t="shared" si="2"/>
        <v>Género</v>
      </c>
      <c r="P60" s="857" t="str">
        <f>AC6</f>
        <v>GN</v>
      </c>
      <c r="Q60" s="540" t="str">
        <f>AJ18</f>
        <v>Diseño de servicios básicos de educación y salud adaptados a las necesidades de las mujeres indígenas</v>
      </c>
      <c r="R60" s="849" t="s">
        <v>811</v>
      </c>
      <c r="S60" s="850" t="s">
        <v>507</v>
      </c>
      <c r="T60" s="519" t="str">
        <f>AI18</f>
        <v>SGN10</v>
      </c>
      <c r="U60" s="501"/>
      <c r="V60" s="478"/>
      <c r="W60" s="508"/>
      <c r="X60" s="273"/>
      <c r="Y60" s="825"/>
      <c r="Z60" s="825"/>
      <c r="AA60" s="825"/>
      <c r="AB60" s="825"/>
      <c r="AC60" s="825"/>
      <c r="AD60" s="825"/>
      <c r="AE60" s="825"/>
      <c r="AF60" s="825"/>
      <c r="AG60" s="825"/>
      <c r="AH60" s="825"/>
      <c r="AI60" s="825"/>
      <c r="AJ60" s="825"/>
      <c r="AK60" s="825"/>
      <c r="AL60" s="825"/>
      <c r="AM60" s="825"/>
      <c r="AN60" s="825"/>
      <c r="AO60" s="825"/>
      <c r="AP60" s="825"/>
      <c r="AQ60" s="825"/>
      <c r="AR60" s="825"/>
      <c r="AS60" s="825"/>
      <c r="AT60" s="825"/>
      <c r="AU60" s="825"/>
      <c r="AV60" s="825"/>
      <c r="AW60" s="825"/>
      <c r="AX60" s="480"/>
      <c r="AY60" s="858" t="s">
        <v>602</v>
      </c>
      <c r="AZ60" s="840" t="s">
        <v>386</v>
      </c>
      <c r="BA60" s="609" t="s">
        <v>360</v>
      </c>
      <c r="BB60" s="825"/>
      <c r="BC60" s="825"/>
      <c r="BD60" s="825"/>
      <c r="BE60" s="825"/>
      <c r="BF60" s="825"/>
      <c r="BG60" s="825"/>
      <c r="BH60" s="825"/>
      <c r="BI60" s="825"/>
      <c r="BJ60" s="825"/>
      <c r="BK60" s="825"/>
      <c r="BL60" s="825"/>
      <c r="BM60" s="825"/>
      <c r="BN60" s="825"/>
      <c r="BO60" s="825"/>
      <c r="BP60" s="825"/>
      <c r="BQ60" s="825"/>
      <c r="BR60" s="825"/>
      <c r="BS60" s="825"/>
      <c r="BT60" s="825"/>
      <c r="BU60" s="825"/>
      <c r="BV60" s="825"/>
      <c r="BW60" s="825"/>
      <c r="BX60" s="825"/>
      <c r="BY60" s="825"/>
      <c r="BZ60" s="825"/>
      <c r="CA60" s="825"/>
      <c r="CB60" s="825"/>
      <c r="CC60" s="825"/>
    </row>
    <row r="61" spans="1:81" ht="51.8" customHeight="1" x14ac:dyDescent="0.25">
      <c r="A61" s="273"/>
      <c r="B61" s="672"/>
      <c r="C61" s="1643"/>
      <c r="D61" s="1612"/>
      <c r="E61" s="1612"/>
      <c r="F61" s="1537"/>
      <c r="G61" s="1537"/>
      <c r="H61" s="1537"/>
      <c r="I61" s="1537"/>
      <c r="J61" s="1537"/>
      <c r="K61" s="1537"/>
      <c r="L61" s="1537"/>
      <c r="M61" s="649" t="s">
        <v>489</v>
      </c>
      <c r="N61" s="724" t="s">
        <v>812</v>
      </c>
      <c r="O61" s="837" t="str">
        <f t="shared" si="2"/>
        <v>Derechos humanos</v>
      </c>
      <c r="P61" s="837" t="str">
        <f>AF6</f>
        <v>DH</v>
      </c>
      <c r="Q61" s="571" t="str">
        <f>AP9</f>
        <v xml:space="preserve">Adecuado acceso a servicios básicos de salud y educación </v>
      </c>
      <c r="R61" s="837" t="s">
        <v>813</v>
      </c>
      <c r="S61" s="844" t="s">
        <v>526</v>
      </c>
      <c r="T61" s="519" t="str">
        <f>AO9</f>
        <v>SDH1</v>
      </c>
      <c r="U61" s="499"/>
      <c r="V61" s="478"/>
      <c r="W61" s="508"/>
      <c r="X61" s="273"/>
      <c r="Y61" s="825"/>
      <c r="Z61" s="825"/>
      <c r="AA61" s="825"/>
      <c r="AB61" s="825"/>
      <c r="AC61" s="825"/>
      <c r="AD61" s="825"/>
      <c r="AE61" s="825"/>
      <c r="AF61" s="825"/>
      <c r="AG61" s="825"/>
      <c r="AH61" s="825"/>
      <c r="AI61" s="825"/>
      <c r="AJ61" s="825"/>
      <c r="AK61" s="825"/>
      <c r="AL61" s="825"/>
      <c r="AM61" s="825"/>
      <c r="AN61" s="825"/>
      <c r="AO61" s="825"/>
      <c r="AP61" s="825"/>
      <c r="AQ61" s="825"/>
      <c r="AR61" s="825"/>
      <c r="AS61" s="825"/>
      <c r="AT61" s="825"/>
      <c r="AU61" s="825"/>
      <c r="AV61" s="825"/>
      <c r="AW61" s="825"/>
      <c r="AX61" s="480"/>
      <c r="AY61" s="669" t="s">
        <v>611</v>
      </c>
      <c r="AZ61" s="836" t="s">
        <v>814</v>
      </c>
      <c r="BA61" s="609" t="s">
        <v>360</v>
      </c>
      <c r="BB61" s="825"/>
      <c r="BC61" s="825"/>
      <c r="BD61" s="825"/>
      <c r="BE61" s="825"/>
      <c r="BF61" s="825"/>
      <c r="BG61" s="825"/>
      <c r="BH61" s="825"/>
      <c r="BI61" s="825"/>
      <c r="BJ61" s="825"/>
      <c r="BK61" s="825"/>
      <c r="BL61" s="825"/>
      <c r="BM61" s="825"/>
      <c r="BN61" s="825"/>
      <c r="BO61" s="825"/>
      <c r="BP61" s="825"/>
      <c r="BQ61" s="825"/>
      <c r="BR61" s="825"/>
      <c r="BS61" s="825"/>
      <c r="BT61" s="825"/>
      <c r="BU61" s="825"/>
      <c r="BV61" s="825"/>
      <c r="BW61" s="825"/>
      <c r="BX61" s="825"/>
      <c r="BY61" s="825"/>
      <c r="BZ61" s="825"/>
      <c r="CA61" s="825"/>
      <c r="CB61" s="825"/>
      <c r="CC61" s="825"/>
    </row>
    <row r="62" spans="1:81" ht="53.35" customHeight="1" x14ac:dyDescent="0.25">
      <c r="A62" s="273"/>
      <c r="B62" s="672" t="s">
        <v>488</v>
      </c>
      <c r="C62" s="1605" t="str">
        <f>'8. BASE  CONSOLIDADA'!E54</f>
        <v>1.7.2</v>
      </c>
      <c r="D62" s="1564" t="str">
        <f>'8. BASE  CONSOLIDADA'!F54</f>
        <v>Fortalecer el control y vigilancia</v>
      </c>
      <c r="E62" s="1564" t="str">
        <f>'8. BASE  CONSOLIDADA'!G54</f>
        <v>Implementar con recursos necesarios al ente que administra el área, con la finalidad de aumentar el número de personas (guardaparques) que contribuyan a realizar acciones de control y vigilancia.</v>
      </c>
      <c r="F62" s="1535" t="str">
        <f>'8. BASE  CONSOLIDADA'!C54</f>
        <v>Parque Nacional Cordillera Azul</v>
      </c>
      <c r="G62" s="1535" t="str">
        <f>VLOOKUP($C62,'8. BASE  CONSOLIDADA'!$E$7:$AS$308,13,FALSE)</f>
        <v>Número de guardaparques</v>
      </c>
      <c r="H62" s="1535">
        <f>VLOOKUP($C62,'8. BASE  CONSOLIDADA'!$E$7:$AS$308,15,FALSE)</f>
        <v>18</v>
      </c>
      <c r="I62" s="1535">
        <f>VLOOKUP(C62,'8. BASE  CONSOLIDADA'!$E$7:$AS$308,20,FALSE)</f>
        <v>2160000</v>
      </c>
      <c r="J62" s="1535">
        <f>I62*$J$6</f>
        <v>1468.8000000000002</v>
      </c>
      <c r="K62" s="1025"/>
      <c r="L62" s="1026"/>
      <c r="M62" s="649" t="s">
        <v>489</v>
      </c>
      <c r="N62" s="724" t="s">
        <v>815</v>
      </c>
      <c r="O62" s="837" t="str">
        <f t="shared" si="2"/>
        <v>Corrupción</v>
      </c>
      <c r="P62" s="837" t="e">
        <f>#REF!</f>
        <v>#REF!</v>
      </c>
      <c r="Q62" s="571" t="str">
        <f>AG12</f>
        <v>Implementación de sistema anticorrupción en coordinación con el Ministerio Público</v>
      </c>
      <c r="R62" s="837" t="s">
        <v>778</v>
      </c>
      <c r="S62" s="844" t="s">
        <v>526</v>
      </c>
      <c r="T62" s="519" t="str">
        <f>AF12</f>
        <v>SCR4</v>
      </c>
      <c r="U62" s="618"/>
      <c r="V62" s="478"/>
      <c r="W62" s="515"/>
      <c r="X62" s="273"/>
      <c r="Y62" s="825"/>
      <c r="Z62" s="825"/>
      <c r="AA62" s="825"/>
      <c r="AB62" s="825"/>
      <c r="AC62" s="825"/>
      <c r="AD62" s="825"/>
      <c r="AE62" s="825"/>
      <c r="AF62" s="825"/>
      <c r="AG62" s="825"/>
      <c r="AH62" s="825"/>
      <c r="AI62" s="825"/>
      <c r="AJ62" s="825"/>
      <c r="AK62" s="825"/>
      <c r="AL62" s="825"/>
      <c r="AM62" s="825"/>
      <c r="AN62" s="825"/>
      <c r="AO62" s="825"/>
      <c r="AP62" s="825"/>
      <c r="AQ62" s="825"/>
      <c r="AR62" s="825"/>
      <c r="AS62" s="825"/>
      <c r="AT62" s="825"/>
      <c r="AU62" s="825"/>
      <c r="AV62" s="825"/>
      <c r="AW62" s="825"/>
      <c r="AX62" s="480"/>
      <c r="AY62" s="669" t="s">
        <v>620</v>
      </c>
      <c r="AZ62" s="836" t="s">
        <v>366</v>
      </c>
      <c r="BA62" s="609" t="s">
        <v>360</v>
      </c>
      <c r="BB62" s="825"/>
      <c r="BC62" s="825"/>
      <c r="BD62" s="825"/>
      <c r="BE62" s="825"/>
      <c r="BF62" s="825"/>
      <c r="BG62" s="825"/>
      <c r="BH62" s="825"/>
      <c r="BI62" s="825"/>
      <c r="BJ62" s="825"/>
      <c r="BK62" s="825"/>
      <c r="BL62" s="825"/>
      <c r="BM62" s="825"/>
      <c r="BN62" s="825"/>
      <c r="BO62" s="825"/>
      <c r="BP62" s="825"/>
      <c r="BQ62" s="825"/>
      <c r="BR62" s="825"/>
      <c r="BS62" s="825"/>
      <c r="BT62" s="825"/>
      <c r="BU62" s="825"/>
      <c r="BV62" s="825"/>
      <c r="BW62" s="825"/>
      <c r="BX62" s="825"/>
      <c r="BY62" s="825"/>
      <c r="BZ62" s="825"/>
      <c r="CA62" s="825"/>
      <c r="CB62" s="825"/>
      <c r="CC62" s="825"/>
    </row>
    <row r="63" spans="1:81" ht="29.25" customHeight="1" x14ac:dyDescent="0.25">
      <c r="A63" s="273"/>
      <c r="B63" s="672"/>
      <c r="C63" s="1606"/>
      <c r="D63" s="1565"/>
      <c r="E63" s="1565"/>
      <c r="F63" s="1536"/>
      <c r="G63" s="1536"/>
      <c r="H63" s="1536"/>
      <c r="I63" s="1536"/>
      <c r="J63" s="1536"/>
      <c r="K63" s="1024"/>
      <c r="L63" s="1026"/>
      <c r="M63" s="649" t="s">
        <v>489</v>
      </c>
      <c r="N63" s="724" t="str">
        <f>N62</f>
        <v>Cohecho en el control y vigilancia de recursos naturales</v>
      </c>
      <c r="O63" s="837" t="str">
        <f t="shared" si="2"/>
        <v>Corrupción</v>
      </c>
      <c r="P63" s="837" t="e">
        <f>#REF!</f>
        <v>#REF!</v>
      </c>
      <c r="Q63" s="571" t="str">
        <f>AG13</f>
        <v xml:space="preserve">Inclusión de población local y rondas en sistemas de control y vigilancia para reducir la deforestación </v>
      </c>
      <c r="R63" s="837" t="s">
        <v>816</v>
      </c>
      <c r="S63" s="844" t="s">
        <v>526</v>
      </c>
      <c r="T63" s="519" t="str">
        <f>AF13</f>
        <v>SCR5</v>
      </c>
      <c r="U63" s="619"/>
      <c r="V63" s="498"/>
      <c r="W63" s="478"/>
      <c r="X63" s="273"/>
      <c r="Y63" s="825"/>
      <c r="Z63" s="825"/>
      <c r="AA63" s="825"/>
      <c r="AB63" s="825"/>
      <c r="AC63" s="825"/>
      <c r="AD63" s="825"/>
      <c r="AE63" s="825"/>
      <c r="AF63" s="825"/>
      <c r="AG63" s="825"/>
      <c r="AH63" s="825"/>
      <c r="AI63" s="825"/>
      <c r="AJ63" s="825"/>
      <c r="AK63" s="825"/>
      <c r="AL63" s="825"/>
      <c r="AM63" s="825"/>
      <c r="AN63" s="825"/>
      <c r="AO63" s="825"/>
      <c r="AP63" s="825"/>
      <c r="AQ63" s="825"/>
      <c r="AR63" s="825"/>
      <c r="AS63" s="825"/>
      <c r="AT63" s="825"/>
      <c r="AU63" s="825"/>
      <c r="AV63" s="825"/>
      <c r="AW63" s="825"/>
      <c r="AX63" s="480"/>
      <c r="AY63" s="669" t="s">
        <v>627</v>
      </c>
      <c r="AZ63" s="836" t="s">
        <v>817</v>
      </c>
      <c r="BA63" s="609" t="s">
        <v>360</v>
      </c>
      <c r="BB63" s="825"/>
      <c r="BC63" s="825"/>
      <c r="BD63" s="825"/>
      <c r="BE63" s="825"/>
      <c r="BF63" s="825"/>
      <c r="BG63" s="825"/>
      <c r="BH63" s="825"/>
      <c r="BI63" s="825"/>
      <c r="BJ63" s="825"/>
      <c r="BK63" s="825"/>
      <c r="BL63" s="825"/>
      <c r="BM63" s="825"/>
      <c r="BN63" s="825"/>
      <c r="BO63" s="825"/>
      <c r="BP63" s="825"/>
      <c r="BQ63" s="825"/>
      <c r="BR63" s="825"/>
      <c r="BS63" s="825"/>
      <c r="BT63" s="825"/>
      <c r="BU63" s="825"/>
      <c r="BV63" s="825"/>
      <c r="BW63" s="825"/>
      <c r="BX63" s="825"/>
      <c r="BY63" s="825"/>
      <c r="BZ63" s="825"/>
      <c r="CA63" s="825"/>
      <c r="CB63" s="825"/>
      <c r="CC63" s="825"/>
    </row>
    <row r="64" spans="1:81" ht="34.5" customHeight="1" x14ac:dyDescent="0.25">
      <c r="A64" s="273"/>
      <c r="B64" s="672"/>
      <c r="C64" s="1606"/>
      <c r="D64" s="1565"/>
      <c r="E64" s="1565"/>
      <c r="F64" s="1536"/>
      <c r="G64" s="1536"/>
      <c r="H64" s="1536"/>
      <c r="I64" s="1536"/>
      <c r="J64" s="1536"/>
      <c r="K64" s="1031"/>
      <c r="L64" s="1032"/>
      <c r="M64" s="833" t="s">
        <v>489</v>
      </c>
      <c r="N64" s="724" t="s">
        <v>818</v>
      </c>
      <c r="O64" s="837" t="str">
        <f t="shared" si="2"/>
        <v>Corrupción</v>
      </c>
      <c r="P64" s="837" t="e">
        <f>#REF!</f>
        <v>#REF!</v>
      </c>
      <c r="Q64" s="571" t="str">
        <f>AG11</f>
        <v>Transparencia en las adquisiciones vinculadas a la ERDRBE</v>
      </c>
      <c r="R64" s="837" t="s">
        <v>805</v>
      </c>
      <c r="S64" s="844" t="s">
        <v>526</v>
      </c>
      <c r="T64" s="519" t="str">
        <f>AF11</f>
        <v>SCR3</v>
      </c>
      <c r="U64" s="620"/>
      <c r="V64" s="478"/>
      <c r="W64" s="478"/>
      <c r="X64" s="273"/>
      <c r="Y64" s="825"/>
      <c r="Z64" s="825"/>
      <c r="AA64" s="825"/>
      <c r="AB64" s="825"/>
      <c r="AC64" s="825"/>
      <c r="AD64" s="825"/>
      <c r="AE64" s="825"/>
      <c r="AF64" s="825"/>
      <c r="AG64" s="825"/>
      <c r="AH64" s="825"/>
      <c r="AI64" s="825"/>
      <c r="AJ64" s="825"/>
      <c r="AK64" s="825"/>
      <c r="AL64" s="825"/>
      <c r="AM64" s="825"/>
      <c r="AN64" s="825"/>
      <c r="AO64" s="825"/>
      <c r="AP64" s="825"/>
      <c r="AQ64" s="825"/>
      <c r="AR64" s="825"/>
      <c r="AS64" s="825"/>
      <c r="AT64" s="825"/>
      <c r="AU64" s="825"/>
      <c r="AV64" s="825"/>
      <c r="AW64" s="825"/>
      <c r="AX64" s="480"/>
      <c r="AY64" s="669" t="s">
        <v>635</v>
      </c>
      <c r="AZ64" s="836" t="s">
        <v>636</v>
      </c>
      <c r="BA64" s="609" t="s">
        <v>360</v>
      </c>
      <c r="BB64" s="825"/>
      <c r="BC64" s="825"/>
      <c r="BD64" s="825"/>
      <c r="BE64" s="825"/>
      <c r="BF64" s="825"/>
      <c r="BG64" s="825"/>
      <c r="BH64" s="825"/>
      <c r="BI64" s="825"/>
      <c r="BJ64" s="825"/>
      <c r="BK64" s="825"/>
      <c r="BL64" s="825"/>
      <c r="BM64" s="825"/>
      <c r="BN64" s="825"/>
      <c r="BO64" s="825"/>
      <c r="BP64" s="825"/>
      <c r="BQ64" s="825"/>
      <c r="BR64" s="825"/>
      <c r="BS64" s="825"/>
      <c r="BT64" s="825"/>
      <c r="BU64" s="825"/>
      <c r="BV64" s="825"/>
      <c r="BW64" s="825"/>
      <c r="BX64" s="825"/>
      <c r="BY64" s="825"/>
      <c r="BZ64" s="825"/>
      <c r="CA64" s="825"/>
      <c r="CB64" s="825"/>
      <c r="CC64" s="825"/>
    </row>
    <row r="65" spans="1:81" ht="31.6" customHeight="1" x14ac:dyDescent="0.25">
      <c r="A65" s="273"/>
      <c r="B65" s="672"/>
      <c r="C65" s="1607"/>
      <c r="D65" s="1566"/>
      <c r="E65" s="1566"/>
      <c r="F65" s="1543"/>
      <c r="G65" s="1543"/>
      <c r="H65" s="1543"/>
      <c r="I65" s="1543"/>
      <c r="J65" s="1543"/>
      <c r="K65" s="1024"/>
      <c r="L65" s="1026"/>
      <c r="M65" s="649" t="s">
        <v>489</v>
      </c>
      <c r="N65" s="724" t="s">
        <v>819</v>
      </c>
      <c r="O65" s="837" t="str">
        <f t="shared" si="2"/>
        <v>Género</v>
      </c>
      <c r="P65" s="837" t="str">
        <f>AC6</f>
        <v>GN</v>
      </c>
      <c r="Q65" s="571" t="str">
        <f>AJ19</f>
        <v xml:space="preserve">Inclusión de mujeres rurales y sus organizaciones en iniciativas de control y vigilancia de la deforestación </v>
      </c>
      <c r="R65" s="837" t="s">
        <v>820</v>
      </c>
      <c r="S65" s="844" t="s">
        <v>507</v>
      </c>
      <c r="T65" s="519" t="str">
        <f>AI19</f>
        <v>SGN11</v>
      </c>
      <c r="U65" s="620"/>
      <c r="V65" s="478"/>
      <c r="W65" s="478"/>
      <c r="X65" s="273"/>
      <c r="Y65" s="825"/>
      <c r="Z65" s="825"/>
      <c r="AA65" s="825"/>
      <c r="AB65" s="825"/>
      <c r="AC65" s="825"/>
      <c r="AD65" s="825"/>
      <c r="AE65" s="825"/>
      <c r="AF65" s="825"/>
      <c r="AG65" s="825"/>
      <c r="AH65" s="825"/>
      <c r="AI65" s="825"/>
      <c r="AJ65" s="825"/>
      <c r="AK65" s="825"/>
      <c r="AL65" s="825"/>
      <c r="AM65" s="825"/>
      <c r="AN65" s="825"/>
      <c r="AO65" s="825"/>
      <c r="AP65" s="825"/>
      <c r="AQ65" s="825"/>
      <c r="AR65" s="825"/>
      <c r="AS65" s="825"/>
      <c r="AT65" s="825"/>
      <c r="AU65" s="825"/>
      <c r="AV65" s="825"/>
      <c r="AW65" s="825"/>
      <c r="AX65" s="480"/>
      <c r="AY65" s="669" t="s">
        <v>644</v>
      </c>
      <c r="AZ65" s="836" t="s">
        <v>645</v>
      </c>
      <c r="BA65" s="609" t="s">
        <v>360</v>
      </c>
      <c r="BB65" s="825"/>
      <c r="BC65" s="825"/>
      <c r="BD65" s="825"/>
      <c r="BE65" s="825"/>
      <c r="BF65" s="825"/>
      <c r="BG65" s="825"/>
      <c r="BH65" s="825"/>
      <c r="BI65" s="825"/>
      <c r="BJ65" s="825"/>
      <c r="BK65" s="825"/>
      <c r="BL65" s="825"/>
      <c r="BM65" s="825"/>
      <c r="BN65" s="825"/>
      <c r="BO65" s="825"/>
      <c r="BP65" s="825"/>
      <c r="BQ65" s="825"/>
      <c r="BR65" s="825"/>
      <c r="BS65" s="825"/>
      <c r="BT65" s="825"/>
      <c r="BU65" s="825"/>
      <c r="BV65" s="825"/>
      <c r="BW65" s="825"/>
      <c r="BX65" s="825"/>
      <c r="BY65" s="825"/>
      <c r="BZ65" s="825"/>
      <c r="CA65" s="825"/>
      <c r="CB65" s="825"/>
      <c r="CC65" s="825"/>
    </row>
    <row r="66" spans="1:81" ht="55.55" customHeight="1" x14ac:dyDescent="0.25">
      <c r="A66" s="273"/>
      <c r="B66" s="672" t="s">
        <v>488</v>
      </c>
      <c r="C66" s="1605" t="str">
        <f>'8. BASE  CONSOLIDADA'!E55</f>
        <v>1.7.3</v>
      </c>
      <c r="D66" s="1564" t="str">
        <f>'8. BASE  CONSOLIDADA'!F55</f>
        <v>Promover acuerdos de conservación con cadena de valor para aquellos productos sostenibles con el parque.</v>
      </c>
      <c r="E66" s="1564" t="str">
        <f>'8. BASE  CONSOLIDADA'!G55</f>
        <v>Promover la planificación comunal en centros poblados del interior en base a la zonificación y zona de amortiguamiento teniendo como base al Plan Maestro (incluye acuerdos de conservación)</v>
      </c>
      <c r="F66" s="1535" t="str">
        <f>'8. BASE  CONSOLIDADA'!C55</f>
        <v>Parque Nacional Cordillera Azul</v>
      </c>
      <c r="G66" s="1535" t="str">
        <f>VLOOKUP($C66,'8. BASE  CONSOLIDADA'!$E$7:$AS$308,13,FALSE)</f>
        <v>Planes de gestión comunal</v>
      </c>
      <c r="H66" s="1535">
        <f>VLOOKUP($C66,'8. BASE  CONSOLIDADA'!$E$7:$AS$308,15,FALSE)</f>
        <v>81</v>
      </c>
      <c r="I66" s="1535">
        <f>VLOOKUP(C66,'8. BASE  CONSOLIDADA'!$E$7:$AS$308,20,FALSE)</f>
        <v>810000</v>
      </c>
      <c r="J66" s="1535">
        <f>I66*$J$6</f>
        <v>550.80000000000007</v>
      </c>
      <c r="K66" s="1025"/>
      <c r="L66" s="1033"/>
      <c r="M66" s="645" t="s">
        <v>489</v>
      </c>
      <c r="N66" s="724" t="s">
        <v>821</v>
      </c>
      <c r="O66" s="837" t="str">
        <f t="shared" si="2"/>
        <v>Género</v>
      </c>
      <c r="P66" s="837" t="str">
        <f>AC6</f>
        <v>GN</v>
      </c>
      <c r="Q66" s="571" t="str">
        <f>AJ18</f>
        <v>Diseño de servicios básicos de educación y salud adaptados a las necesidades de las mujeres indígenas</v>
      </c>
      <c r="R66" s="837" t="s">
        <v>811</v>
      </c>
      <c r="S66" s="844" t="s">
        <v>507</v>
      </c>
      <c r="T66" s="519" t="str">
        <f>AI18</f>
        <v>SGN10</v>
      </c>
      <c r="U66" s="620"/>
      <c r="V66" s="478"/>
      <c r="W66" s="478"/>
      <c r="X66" s="273"/>
      <c r="Y66" s="825"/>
      <c r="Z66" s="825"/>
      <c r="AA66" s="825"/>
      <c r="AB66" s="825"/>
      <c r="AC66" s="825"/>
      <c r="AD66" s="825"/>
      <c r="AE66" s="825"/>
      <c r="AF66" s="825"/>
      <c r="AG66" s="825"/>
      <c r="AH66" s="825"/>
      <c r="AI66" s="825"/>
      <c r="AJ66" s="825"/>
      <c r="AK66" s="825"/>
      <c r="AL66" s="825"/>
      <c r="AM66" s="825"/>
      <c r="AN66" s="825"/>
      <c r="AO66" s="825"/>
      <c r="AP66" s="825"/>
      <c r="AQ66" s="825"/>
      <c r="AR66" s="825"/>
      <c r="AS66" s="825"/>
      <c r="AT66" s="825"/>
      <c r="AU66" s="825"/>
      <c r="AV66" s="825"/>
      <c r="AW66" s="825"/>
      <c r="AX66" s="480"/>
      <c r="AY66" s="669" t="s">
        <v>653</v>
      </c>
      <c r="AZ66" s="836" t="s">
        <v>822</v>
      </c>
      <c r="BA66" s="609" t="s">
        <v>360</v>
      </c>
      <c r="BB66" s="825"/>
      <c r="BC66" s="825"/>
      <c r="BD66" s="825"/>
      <c r="BE66" s="825"/>
      <c r="BF66" s="825"/>
      <c r="BG66" s="825"/>
      <c r="BH66" s="825"/>
      <c r="BI66" s="825"/>
      <c r="BJ66" s="825"/>
      <c r="BK66" s="825"/>
      <c r="BL66" s="825"/>
      <c r="BM66" s="825"/>
      <c r="BN66" s="825"/>
      <c r="BO66" s="825"/>
      <c r="BP66" s="825"/>
      <c r="BQ66" s="825"/>
      <c r="BR66" s="825"/>
      <c r="BS66" s="825"/>
      <c r="BT66" s="825"/>
      <c r="BU66" s="825"/>
      <c r="BV66" s="825"/>
      <c r="BW66" s="825"/>
      <c r="BX66" s="825"/>
      <c r="BY66" s="825"/>
      <c r="BZ66" s="825"/>
      <c r="CA66" s="825"/>
      <c r="CB66" s="825"/>
      <c r="CC66" s="825"/>
    </row>
    <row r="67" spans="1:81" ht="58.6" customHeight="1" x14ac:dyDescent="0.25">
      <c r="A67" s="273"/>
      <c r="B67" s="672"/>
      <c r="C67" s="1607"/>
      <c r="D67" s="1566"/>
      <c r="E67" s="1566"/>
      <c r="F67" s="1543"/>
      <c r="G67" s="1543"/>
      <c r="H67" s="1543"/>
      <c r="I67" s="1543"/>
      <c r="J67" s="1543"/>
      <c r="K67" s="1034"/>
      <c r="L67" s="1035"/>
      <c r="M67" s="645" t="s">
        <v>489</v>
      </c>
      <c r="N67" s="724" t="str">
        <f>N66</f>
        <v>No se considera la opinión de las mujeres rurales en proceso de planificación comunal de centros poblados y desarrollo de acuerdos de conservación en ANP y su zona de amortiguamiento</v>
      </c>
      <c r="O67" s="837" t="str">
        <f t="shared" si="2"/>
        <v>Género</v>
      </c>
      <c r="P67" s="837" t="str">
        <f>AC6</f>
        <v>GN</v>
      </c>
      <c r="Q67" s="571" t="str">
        <f>AJ20</f>
        <v>Diseño de mecanismos de participación apropiados para mujeres rurales</v>
      </c>
      <c r="R67" s="837" t="s">
        <v>823</v>
      </c>
      <c r="S67" s="844" t="s">
        <v>507</v>
      </c>
      <c r="T67" s="519" t="str">
        <f>AI20</f>
        <v>SGN12</v>
      </c>
      <c r="U67" s="620"/>
      <c r="V67" s="478"/>
      <c r="W67" s="478"/>
      <c r="X67" s="273"/>
      <c r="Y67" s="825"/>
      <c r="Z67" s="825"/>
      <c r="AA67" s="825"/>
      <c r="AB67" s="825"/>
      <c r="AC67" s="825"/>
      <c r="AD67" s="825"/>
      <c r="AE67" s="825"/>
      <c r="AF67" s="825"/>
      <c r="AG67" s="825"/>
      <c r="AH67" s="825"/>
      <c r="AI67" s="825"/>
      <c r="AJ67" s="825"/>
      <c r="AK67" s="825"/>
      <c r="AL67" s="825"/>
      <c r="AM67" s="825"/>
      <c r="AN67" s="825"/>
      <c r="AO67" s="825"/>
      <c r="AP67" s="825"/>
      <c r="AQ67" s="825"/>
      <c r="AR67" s="825"/>
      <c r="AS67" s="825"/>
      <c r="AT67" s="825"/>
      <c r="AU67" s="825"/>
      <c r="AV67" s="825"/>
      <c r="AW67" s="825"/>
      <c r="AX67" s="480"/>
      <c r="AY67" s="669" t="s">
        <v>659</v>
      </c>
      <c r="AZ67" s="836" t="s">
        <v>660</v>
      </c>
      <c r="BA67" s="609" t="s">
        <v>360</v>
      </c>
      <c r="BB67" s="825"/>
      <c r="BC67" s="825"/>
      <c r="BD67" s="825"/>
      <c r="BE67" s="825"/>
      <c r="BF67" s="825"/>
      <c r="BG67" s="825"/>
      <c r="BH67" s="825"/>
      <c r="BI67" s="825"/>
      <c r="BJ67" s="825"/>
      <c r="BK67" s="825"/>
      <c r="BL67" s="825"/>
      <c r="BM67" s="825"/>
      <c r="BN67" s="825"/>
      <c r="BO67" s="825"/>
      <c r="BP67" s="825"/>
      <c r="BQ67" s="825"/>
      <c r="BR67" s="825"/>
      <c r="BS67" s="825"/>
      <c r="BT67" s="825"/>
      <c r="BU67" s="825"/>
      <c r="BV67" s="825"/>
      <c r="BW67" s="825"/>
      <c r="BX67" s="825"/>
      <c r="BY67" s="825"/>
      <c r="BZ67" s="825"/>
      <c r="CA67" s="825"/>
      <c r="CB67" s="825"/>
      <c r="CC67" s="825"/>
    </row>
    <row r="68" spans="1:81" ht="35.35" customHeight="1" x14ac:dyDescent="0.25">
      <c r="A68" s="273"/>
      <c r="B68" s="672" t="s">
        <v>488</v>
      </c>
      <c r="C68" s="1605" t="str">
        <f>'8. BASE  CONSOLIDADA'!E56</f>
        <v>1.7.4</v>
      </c>
      <c r="D68" s="1564" t="str">
        <f>'8. BASE  CONSOLIDADA'!F56</f>
        <v>Promoción del turismo comunitario en zona de amortiguamiento y al interior del parque</v>
      </c>
      <c r="E68" s="1564" t="str">
        <f>'8. BASE  CONSOLIDADA'!G56</f>
        <v xml:space="preserve">Campañas de promoción y difusión en el ámbito regional y nacional de los circuitos turísticos que existen en la zona de amortiguamiento. acorde al plan maestro del parque.  </v>
      </c>
      <c r="F68" s="1535" t="str">
        <f>'8. BASE  CONSOLIDADA'!C56</f>
        <v>Parque Nacional Cordillera Azul</v>
      </c>
      <c r="G68" s="1535" t="str">
        <f>VLOOKUP($C68,'8. BASE  CONSOLIDADA'!$E$7:$AS$308,13,FALSE)</f>
        <v>Campañas de promoción</v>
      </c>
      <c r="H68" s="1535">
        <f>VLOOKUP($C68,'8. BASE  CONSOLIDADA'!$E$7:$AS$308,15,FALSE)</f>
        <v>54</v>
      </c>
      <c r="I68" s="1535">
        <f>VLOOKUP(C68,'8. BASE  CONSOLIDADA'!$E$7:$AS$308,20,FALSE)</f>
        <v>1080000</v>
      </c>
      <c r="J68" s="1535">
        <f>I68*$J$6</f>
        <v>734.40000000000009</v>
      </c>
      <c r="K68" s="1025"/>
      <c r="L68" s="1026"/>
      <c r="M68" s="645" t="s">
        <v>489</v>
      </c>
      <c r="N68" s="724" t="s">
        <v>824</v>
      </c>
      <c r="O68" s="837" t="str">
        <f t="shared" si="2"/>
        <v>Biodiversidad y recursos naturales</v>
      </c>
      <c r="P68" s="837" t="e">
        <f>#REF!</f>
        <v>#REF!</v>
      </c>
      <c r="Q68" s="571" t="str">
        <f>AA15</f>
        <v>Evaluación de impacto de actividades turísticas e implementación de buenas prácticas para mitigar el impacto directo e indirecto de la actividad</v>
      </c>
      <c r="R68" s="837" t="s">
        <v>825</v>
      </c>
      <c r="S68" s="844" t="s">
        <v>526</v>
      </c>
      <c r="T68" s="519" t="str">
        <f>Z15</f>
        <v>SBRN7</v>
      </c>
      <c r="U68" s="620"/>
      <c r="V68" s="478"/>
      <c r="W68" s="478"/>
      <c r="X68" s="273"/>
      <c r="Y68" s="825"/>
      <c r="Z68" s="825"/>
      <c r="AA68" s="825"/>
      <c r="AB68" s="825"/>
      <c r="AC68" s="825"/>
      <c r="AD68" s="825"/>
      <c r="AE68" s="825"/>
      <c r="AF68" s="825"/>
      <c r="AG68" s="825"/>
      <c r="AH68" s="825"/>
      <c r="AI68" s="825"/>
      <c r="AJ68" s="825"/>
      <c r="AK68" s="825"/>
      <c r="AL68" s="825"/>
      <c r="AM68" s="825"/>
      <c r="AN68" s="825"/>
      <c r="AO68" s="825"/>
      <c r="AP68" s="825"/>
      <c r="AQ68" s="825"/>
      <c r="AR68" s="825"/>
      <c r="AS68" s="825"/>
      <c r="AT68" s="825"/>
      <c r="AU68" s="825"/>
      <c r="AV68" s="825"/>
      <c r="AW68" s="825"/>
      <c r="AX68" s="480"/>
      <c r="AY68" s="669" t="s">
        <v>666</v>
      </c>
      <c r="AZ68" s="836" t="s">
        <v>361</v>
      </c>
      <c r="BA68" s="609" t="s">
        <v>360</v>
      </c>
      <c r="BB68" s="825"/>
      <c r="BC68" s="825"/>
      <c r="BD68" s="825"/>
      <c r="BE68" s="825"/>
      <c r="BF68" s="825"/>
      <c r="BG68" s="825"/>
      <c r="BH68" s="825"/>
      <c r="BI68" s="825"/>
      <c r="BJ68" s="825"/>
      <c r="BK68" s="825"/>
      <c r="BL68" s="825"/>
      <c r="BM68" s="825"/>
      <c r="BN68" s="825"/>
      <c r="BO68" s="825"/>
      <c r="BP68" s="825"/>
      <c r="BQ68" s="825"/>
      <c r="BR68" s="825"/>
      <c r="BS68" s="825"/>
      <c r="BT68" s="825"/>
      <c r="BU68" s="825"/>
      <c r="BV68" s="825"/>
      <c r="BW68" s="825"/>
      <c r="BX68" s="825"/>
      <c r="BY68" s="825"/>
      <c r="BZ68" s="825"/>
      <c r="CA68" s="825"/>
      <c r="CB68" s="825"/>
      <c r="CC68" s="825"/>
    </row>
    <row r="69" spans="1:81" ht="57.75" customHeight="1" x14ac:dyDescent="0.25">
      <c r="A69" s="273"/>
      <c r="B69" s="672"/>
      <c r="C69" s="1607"/>
      <c r="D69" s="1566"/>
      <c r="E69" s="1566"/>
      <c r="F69" s="1543"/>
      <c r="G69" s="1543"/>
      <c r="H69" s="1543"/>
      <c r="I69" s="1543"/>
      <c r="J69" s="1543"/>
      <c r="K69" s="1036"/>
      <c r="L69" s="1037"/>
      <c r="M69" s="645" t="s">
        <v>489</v>
      </c>
      <c r="N69" s="724" t="s">
        <v>826</v>
      </c>
      <c r="O69" s="837" t="str">
        <f t="shared" si="2"/>
        <v>Género</v>
      </c>
      <c r="P69" s="837" t="str">
        <f>AC6</f>
        <v>GN</v>
      </c>
      <c r="Q69" s="571" t="str">
        <f>AJ21</f>
        <v>Inclusión de mujeres rurales en actividades de turismo comunitario en ANPs y sus zonas de amortiguamiento</v>
      </c>
      <c r="R69" s="837" t="s">
        <v>827</v>
      </c>
      <c r="S69" s="844" t="s">
        <v>526</v>
      </c>
      <c r="T69" s="519" t="str">
        <f>AI21</f>
        <v>SGN13</v>
      </c>
      <c r="U69" s="620"/>
      <c r="V69" s="478"/>
      <c r="W69" s="478"/>
      <c r="X69" s="273"/>
      <c r="Y69" s="825"/>
      <c r="Z69" s="825"/>
      <c r="AA69" s="825"/>
      <c r="AB69" s="825"/>
      <c r="AC69" s="825"/>
      <c r="AD69" s="825"/>
      <c r="AE69" s="825"/>
      <c r="AF69" s="825"/>
      <c r="AG69" s="825"/>
      <c r="AH69" s="825"/>
      <c r="AI69" s="825"/>
      <c r="AJ69" s="825"/>
      <c r="AK69" s="825"/>
      <c r="AL69" s="825"/>
      <c r="AM69" s="825"/>
      <c r="AN69" s="825"/>
      <c r="AO69" s="825"/>
      <c r="AP69" s="825"/>
      <c r="AQ69" s="825"/>
      <c r="AR69" s="825"/>
      <c r="AS69" s="825"/>
      <c r="AT69" s="825"/>
      <c r="AU69" s="825"/>
      <c r="AV69" s="825"/>
      <c r="AW69" s="825"/>
      <c r="AX69" s="480"/>
      <c r="AY69" s="669" t="s">
        <v>671</v>
      </c>
      <c r="AZ69" s="836" t="s">
        <v>380</v>
      </c>
      <c r="BA69" s="609" t="s">
        <v>360</v>
      </c>
      <c r="BB69" s="825"/>
      <c r="BC69" s="825"/>
      <c r="BD69" s="825"/>
      <c r="BE69" s="825"/>
      <c r="BF69" s="825"/>
      <c r="BG69" s="825"/>
      <c r="BH69" s="825"/>
      <c r="BI69" s="825"/>
      <c r="BJ69" s="825"/>
      <c r="BK69" s="825"/>
      <c r="BL69" s="825"/>
      <c r="BM69" s="825"/>
      <c r="BN69" s="825"/>
      <c r="BO69" s="825"/>
      <c r="BP69" s="825"/>
      <c r="BQ69" s="825"/>
      <c r="BR69" s="825"/>
      <c r="BS69" s="825"/>
      <c r="BT69" s="825"/>
      <c r="BU69" s="825"/>
      <c r="BV69" s="825"/>
      <c r="BW69" s="825"/>
      <c r="BX69" s="825"/>
      <c r="BY69" s="825"/>
      <c r="BZ69" s="825"/>
      <c r="CA69" s="825"/>
      <c r="CB69" s="825"/>
      <c r="CC69" s="825"/>
    </row>
    <row r="70" spans="1:81" ht="42.8" customHeight="1" x14ac:dyDescent="0.25">
      <c r="A70" s="273"/>
      <c r="B70" s="672" t="s">
        <v>488</v>
      </c>
      <c r="C70" s="834" t="str">
        <f>'8. BASE  CONSOLIDADA'!E57</f>
        <v>1.7.5</v>
      </c>
      <c r="D70" s="1069" t="str">
        <f>'8. BASE  CONSOLIDADA'!F57</f>
        <v>Promoción de agroforestería sostenible en zona de amortiguamiento y al interior del parque</v>
      </c>
      <c r="E70" s="1069" t="str">
        <f>'8. BASE  CONSOLIDADA'!G57</f>
        <v>Realizar pasantías focalizadas en aquellos sectores claves que se necesita intervenir para disminuir la presión del parque.</v>
      </c>
      <c r="F70" s="847" t="str">
        <f>'8. BASE  CONSOLIDADA'!C57</f>
        <v>Parque Nacional Cordillera Azul</v>
      </c>
      <c r="G70" s="1019" t="str">
        <f>VLOOKUP($C70,'8. BASE  CONSOLIDADA'!$E$7:$AS$308,13,FALSE)</f>
        <v>Pasantías</v>
      </c>
      <c r="H70" s="1109">
        <f>VLOOKUP($C70,'8. BASE  CONSOLIDADA'!$E$7:$AS$308,15,FALSE)</f>
        <v>54</v>
      </c>
      <c r="I70" s="1058">
        <f>VLOOKUP(C70,'8. BASE  CONSOLIDADA'!$E$7:$AS$308,20,FALSE)</f>
        <v>1350000</v>
      </c>
      <c r="J70" s="678">
        <f>I70*$J$6</f>
        <v>918.00000000000011</v>
      </c>
      <c r="K70" s="1020"/>
      <c r="L70" s="1029"/>
      <c r="M70" s="645" t="s">
        <v>489</v>
      </c>
      <c r="N70" s="724" t="s">
        <v>828</v>
      </c>
      <c r="O70" s="837" t="str">
        <f t="shared" si="2"/>
        <v>Género</v>
      </c>
      <c r="P70" s="837" t="str">
        <f>AC6</f>
        <v>GN</v>
      </c>
      <c r="Q70" s="571" t="str">
        <f>AJ11</f>
        <v xml:space="preserve">Cuotas de género y medición de participación efectiva de mujeres rurales </v>
      </c>
      <c r="R70" s="837" t="s">
        <v>689</v>
      </c>
      <c r="S70" s="844" t="s">
        <v>507</v>
      </c>
      <c r="T70" s="519" t="str">
        <f>AI11</f>
        <v>SGN3</v>
      </c>
      <c r="U70" s="621"/>
      <c r="V70" s="524"/>
      <c r="W70" s="524"/>
      <c r="X70" s="273"/>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480"/>
      <c r="AY70" s="669" t="s">
        <v>676</v>
      </c>
      <c r="AZ70" s="836" t="s">
        <v>677</v>
      </c>
      <c r="BA70" s="609" t="s">
        <v>360</v>
      </c>
      <c r="BB70" s="825"/>
      <c r="BC70" s="825"/>
      <c r="BD70" s="825"/>
      <c r="BE70" s="825"/>
      <c r="BF70" s="825"/>
      <c r="BG70" s="825"/>
      <c r="BH70" s="825"/>
      <c r="BI70" s="825"/>
      <c r="BJ70" s="825"/>
      <c r="BK70" s="825"/>
      <c r="BL70" s="825"/>
      <c r="BM70" s="825"/>
      <c r="BN70" s="825"/>
      <c r="BO70" s="825"/>
      <c r="BP70" s="825"/>
      <c r="BQ70" s="825"/>
      <c r="BR70" s="825"/>
      <c r="BS70" s="825"/>
      <c r="BT70" s="825"/>
      <c r="BU70" s="825"/>
      <c r="BV70" s="825"/>
      <c r="BW70" s="825"/>
      <c r="BX70" s="825"/>
      <c r="BY70" s="825"/>
      <c r="BZ70" s="825"/>
      <c r="CA70" s="825"/>
      <c r="CB70" s="825"/>
      <c r="CC70" s="825"/>
    </row>
    <row r="71" spans="1:81" ht="53.35" customHeight="1" x14ac:dyDescent="0.25">
      <c r="A71" s="825"/>
      <c r="B71" s="672" t="s">
        <v>488</v>
      </c>
      <c r="C71" s="1605" t="str">
        <f>'8. BASE  CONSOLIDADA'!E58</f>
        <v>1.8.1</v>
      </c>
      <c r="D71" s="1564" t="str">
        <f>'8. BASE  CONSOLIDADA'!F58</f>
        <v>Promover acuerdos de conservación con cadena de valor para aquellos productos sostenibles con el parque.</v>
      </c>
      <c r="E71" s="1564" t="str">
        <f>'8. BASE  CONSOLIDADA'!G58</f>
        <v>Promover la planificación comunal en centros poblados en base a la zonificación y zona de amortiguamiento teniendo como base al Plan Maestro (incluye acuerdos de conservación)</v>
      </c>
      <c r="F71" s="1535" t="str">
        <f>'8. BASE  CONSOLIDADA'!C58</f>
        <v>Parque Nacional del Río Abiseo</v>
      </c>
      <c r="G71" s="1535" t="str">
        <f>VLOOKUP($C71,'8. BASE  CONSOLIDADA'!$E$7:$AS$308,13,FALSE)</f>
        <v>Planes de gestión comunal</v>
      </c>
      <c r="H71" s="1535">
        <f>VLOOKUP($C71,'8. BASE  CONSOLIDADA'!$E$7:$AS$308,15,FALSE)</f>
        <v>18</v>
      </c>
      <c r="I71" s="1535">
        <f>VLOOKUP(C71,'8. BASE  CONSOLIDADA'!$E$7:$AS$308,20,FALSE)</f>
        <v>180000</v>
      </c>
      <c r="J71" s="1535">
        <f>I71*$J$6</f>
        <v>122.4</v>
      </c>
      <c r="K71" s="1535"/>
      <c r="L71" s="1535"/>
      <c r="M71" s="645" t="s">
        <v>489</v>
      </c>
      <c r="N71" s="724" t="str">
        <f>N66</f>
        <v>No se considera la opinión de las mujeres rurales en proceso de planificación comunal de centros poblados y desarrollo de acuerdos de conservación en ANP y su zona de amortiguamiento</v>
      </c>
      <c r="O71" s="837" t="str">
        <f t="shared" si="2"/>
        <v>Género</v>
      </c>
      <c r="P71" s="837" t="str">
        <f>AC6</f>
        <v>GN</v>
      </c>
      <c r="Q71" s="571" t="str">
        <f>AJ18</f>
        <v>Diseño de servicios básicos de educación y salud adaptados a las necesidades de las mujeres indígenas</v>
      </c>
      <c r="R71" s="837" t="s">
        <v>811</v>
      </c>
      <c r="S71" s="844" t="s">
        <v>507</v>
      </c>
      <c r="T71" s="519" t="str">
        <f>AI18</f>
        <v>SGN10</v>
      </c>
      <c r="U71" s="620"/>
      <c r="V71" s="478"/>
      <c r="W71" s="478"/>
      <c r="X71" s="273"/>
      <c r="Y71" s="825"/>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480"/>
      <c r="AY71" s="669" t="s">
        <v>681</v>
      </c>
      <c r="AZ71" s="836" t="s">
        <v>829</v>
      </c>
      <c r="BA71" s="609" t="s">
        <v>360</v>
      </c>
      <c r="BB71" s="825"/>
      <c r="BC71" s="825"/>
      <c r="BD71" s="825"/>
      <c r="BE71" s="825"/>
      <c r="BF71" s="825"/>
      <c r="BG71" s="825"/>
      <c r="BH71" s="825"/>
      <c r="BI71" s="825"/>
      <c r="BJ71" s="825"/>
      <c r="BK71" s="825"/>
      <c r="BL71" s="825"/>
      <c r="BM71" s="825"/>
      <c r="BN71" s="825"/>
      <c r="BO71" s="825"/>
      <c r="BP71" s="825"/>
      <c r="BQ71" s="825"/>
      <c r="BR71" s="825"/>
      <c r="BS71" s="825"/>
      <c r="BT71" s="825"/>
      <c r="BU71" s="825"/>
      <c r="BV71" s="825"/>
      <c r="BW71" s="825"/>
      <c r="BX71" s="825"/>
      <c r="BY71" s="825"/>
      <c r="BZ71" s="825"/>
      <c r="CA71" s="825"/>
      <c r="CB71" s="825"/>
      <c r="CC71" s="825"/>
    </row>
    <row r="72" spans="1:81" ht="53.35" customHeight="1" x14ac:dyDescent="0.25">
      <c r="A72" s="825"/>
      <c r="B72" s="672"/>
      <c r="C72" s="1607"/>
      <c r="D72" s="1566"/>
      <c r="E72" s="1566"/>
      <c r="F72" s="1543"/>
      <c r="G72" s="1543"/>
      <c r="H72" s="1543"/>
      <c r="I72" s="1543"/>
      <c r="J72" s="1543"/>
      <c r="K72" s="1543"/>
      <c r="L72" s="1543"/>
      <c r="M72" s="645" t="s">
        <v>489</v>
      </c>
      <c r="N72" s="724" t="str">
        <f>N66</f>
        <v>No se considera la opinión de las mujeres rurales en proceso de planificación comunal de centros poblados y desarrollo de acuerdos de conservación en ANP y su zona de amortiguamiento</v>
      </c>
      <c r="O72" s="837" t="str">
        <f t="shared" si="2"/>
        <v>Género</v>
      </c>
      <c r="P72" s="837" t="str">
        <f>AC6</f>
        <v>GN</v>
      </c>
      <c r="Q72" s="571" t="str">
        <f>AJ20</f>
        <v>Diseño de mecanismos de participación apropiados para mujeres rurales</v>
      </c>
      <c r="R72" s="837" t="s">
        <v>823</v>
      </c>
      <c r="S72" s="844" t="s">
        <v>507</v>
      </c>
      <c r="T72" s="519" t="str">
        <f>AI20</f>
        <v>SGN12</v>
      </c>
      <c r="U72" s="620"/>
      <c r="V72" s="478"/>
      <c r="W72" s="478"/>
      <c r="X72" s="273"/>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480"/>
      <c r="AY72" s="669" t="s">
        <v>516</v>
      </c>
      <c r="AZ72" s="836" t="s">
        <v>830</v>
      </c>
      <c r="BA72" s="711" t="s">
        <v>456</v>
      </c>
      <c r="BB72" s="825"/>
      <c r="BC72" s="825"/>
      <c r="BD72" s="825"/>
      <c r="BE72" s="825"/>
      <c r="BF72" s="825"/>
      <c r="BG72" s="825"/>
      <c r="BH72" s="825"/>
      <c r="BI72" s="825"/>
      <c r="BJ72" s="825"/>
      <c r="BK72" s="825"/>
      <c r="BL72" s="825"/>
      <c r="BM72" s="825"/>
      <c r="BN72" s="825"/>
      <c r="BO72" s="825"/>
      <c r="BP72" s="825"/>
      <c r="BQ72" s="825"/>
      <c r="BR72" s="825"/>
      <c r="BS72" s="825"/>
      <c r="BT72" s="825"/>
      <c r="BU72" s="825"/>
      <c r="BV72" s="825"/>
      <c r="BW72" s="825"/>
      <c r="BX72" s="825"/>
      <c r="BY72" s="825"/>
      <c r="BZ72" s="825"/>
      <c r="CA72" s="825"/>
      <c r="CB72" s="825"/>
      <c r="CC72" s="825"/>
    </row>
    <row r="73" spans="1:81" ht="48.1" customHeight="1" x14ac:dyDescent="0.25">
      <c r="A73" s="825"/>
      <c r="B73" s="672" t="s">
        <v>488</v>
      </c>
      <c r="C73" s="1618" t="str">
        <f>'8. BASE  CONSOLIDADA'!E59</f>
        <v>1.8.2</v>
      </c>
      <c r="D73" s="1620" t="str">
        <f>'8. BASE  CONSOLIDADA'!F59</f>
        <v>Promoción del turismo comunitario en zona de amortiguamiento y al interior del parque</v>
      </c>
      <c r="E73" s="1620" t="str">
        <f>'8. BASE  CONSOLIDADA'!G59</f>
        <v xml:space="preserve">Campañas de promoción y difusión en el ámbito regional y nacional de los circuitos turísticos que existen en la zona de amortiguamiento. acorde al plan maestro del parque.  </v>
      </c>
      <c r="F73" s="1569" t="str">
        <f>'8. BASE  CONSOLIDADA'!C59</f>
        <v>Parque Nacional del Río Abiseo</v>
      </c>
      <c r="G73" s="1569" t="str">
        <f>VLOOKUP($C73,'8. BASE  CONSOLIDADA'!$E$7:$AS$308,13,FALSE)</f>
        <v>Campañas de promoción</v>
      </c>
      <c r="H73" s="1569">
        <f>VLOOKUP($C73,'8. BASE  CONSOLIDADA'!$E$7:$AS$308,15,FALSE)</f>
        <v>36</v>
      </c>
      <c r="I73" s="1569">
        <f>VLOOKUP(C73,'8. BASE  CONSOLIDADA'!$E$7:$AS$308,20,FALSE)</f>
        <v>720000</v>
      </c>
      <c r="J73" s="1569">
        <f>I73*$J$6</f>
        <v>489.6</v>
      </c>
      <c r="K73" s="1569"/>
      <c r="L73" s="1569"/>
      <c r="M73" s="645" t="s">
        <v>489</v>
      </c>
      <c r="N73" s="724" t="str">
        <f>N68</f>
        <v>Impacto negativo sobre la biodiversidad por infraestructura o visitantes</v>
      </c>
      <c r="O73" s="837" t="str">
        <f t="shared" si="2"/>
        <v>Biodiversidad y recursos naturales</v>
      </c>
      <c r="P73" s="837" t="e">
        <f>#REF!</f>
        <v>#REF!</v>
      </c>
      <c r="Q73" s="571" t="str">
        <f>AA15</f>
        <v>Evaluación de impacto de actividades turísticas e implementación de buenas prácticas para mitigar el impacto directo e indirecto de la actividad</v>
      </c>
      <c r="R73" s="837" t="s">
        <v>831</v>
      </c>
      <c r="S73" s="844" t="s">
        <v>526</v>
      </c>
      <c r="T73" s="519" t="str">
        <f>Z15</f>
        <v>SBRN7</v>
      </c>
      <c r="U73" s="620"/>
      <c r="V73" s="478"/>
      <c r="W73" s="478"/>
      <c r="X73" s="273"/>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480"/>
      <c r="AY73" s="669" t="s">
        <v>534</v>
      </c>
      <c r="AZ73" s="836" t="s">
        <v>832</v>
      </c>
      <c r="BA73" s="711" t="s">
        <v>456</v>
      </c>
      <c r="BB73" s="825"/>
      <c r="BC73" s="825"/>
      <c r="BD73" s="825"/>
      <c r="BE73" s="825"/>
      <c r="BF73" s="825"/>
      <c r="BG73" s="825"/>
      <c r="BH73" s="825"/>
      <c r="BI73" s="825"/>
      <c r="BJ73" s="825"/>
      <c r="BK73" s="825"/>
      <c r="BL73" s="825"/>
      <c r="BM73" s="825"/>
      <c r="BN73" s="825"/>
      <c r="BO73" s="825"/>
      <c r="BP73" s="825"/>
      <c r="BQ73" s="825"/>
      <c r="BR73" s="825"/>
      <c r="BS73" s="825"/>
      <c r="BT73" s="825"/>
      <c r="BU73" s="825"/>
      <c r="BV73" s="825"/>
      <c r="BW73" s="825"/>
      <c r="BX73" s="825"/>
      <c r="BY73" s="825"/>
      <c r="BZ73" s="825"/>
      <c r="CA73" s="825"/>
      <c r="CB73" s="825"/>
      <c r="CC73" s="825"/>
    </row>
    <row r="74" spans="1:81" ht="45" customHeight="1" x14ac:dyDescent="0.25">
      <c r="A74" s="825"/>
      <c r="B74" s="672"/>
      <c r="C74" s="1619"/>
      <c r="D74" s="1621"/>
      <c r="E74" s="1621"/>
      <c r="F74" s="1570"/>
      <c r="G74" s="1570"/>
      <c r="H74" s="1570"/>
      <c r="I74" s="1570"/>
      <c r="J74" s="1570"/>
      <c r="K74" s="1570"/>
      <c r="L74" s="1570"/>
      <c r="M74" s="645" t="s">
        <v>489</v>
      </c>
      <c r="N74" s="724" t="str">
        <f>N69</f>
        <v>Exclusión de mujeres rurales en programas de turismo comunitario</v>
      </c>
      <c r="O74" s="837" t="str">
        <f t="shared" si="2"/>
        <v>Género</v>
      </c>
      <c r="P74" s="837" t="str">
        <f>AC6</f>
        <v>GN</v>
      </c>
      <c r="Q74" s="571" t="str">
        <f>AJ21</f>
        <v>Inclusión de mujeres rurales en actividades de turismo comunitario en ANPs y sus zonas de amortiguamiento</v>
      </c>
      <c r="R74" s="837" t="s">
        <v>827</v>
      </c>
      <c r="S74" s="844" t="s">
        <v>526</v>
      </c>
      <c r="T74" s="519" t="str">
        <f>AI21</f>
        <v>SGN13</v>
      </c>
      <c r="U74" s="620"/>
      <c r="V74" s="478"/>
      <c r="W74" s="478"/>
      <c r="X74" s="273"/>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480"/>
      <c r="AY74" s="669" t="s">
        <v>518</v>
      </c>
      <c r="AZ74" s="836" t="s">
        <v>833</v>
      </c>
      <c r="BA74" s="604" t="s">
        <v>463</v>
      </c>
      <c r="BB74" s="825"/>
      <c r="BC74" s="825"/>
      <c r="BD74" s="825"/>
      <c r="BE74" s="825"/>
      <c r="BF74" s="825"/>
      <c r="BG74" s="825"/>
      <c r="BH74" s="825"/>
      <c r="BI74" s="825"/>
      <c r="BJ74" s="825"/>
      <c r="BK74" s="825"/>
      <c r="BL74" s="825"/>
      <c r="BM74" s="825"/>
      <c r="BN74" s="825"/>
      <c r="BO74" s="825"/>
      <c r="BP74" s="825"/>
      <c r="BQ74" s="825"/>
      <c r="BR74" s="825"/>
      <c r="BS74" s="825"/>
      <c r="BT74" s="825"/>
      <c r="BU74" s="825"/>
      <c r="BV74" s="825"/>
      <c r="BW74" s="825"/>
      <c r="BX74" s="825"/>
      <c r="BY74" s="825"/>
      <c r="BZ74" s="825"/>
      <c r="CA74" s="825"/>
      <c r="CB74" s="825"/>
      <c r="CC74" s="825"/>
    </row>
    <row r="75" spans="1:81" ht="33.799999999999997" customHeight="1" x14ac:dyDescent="0.25">
      <c r="A75" s="825"/>
      <c r="B75" s="672" t="s">
        <v>488</v>
      </c>
      <c r="C75" s="1605" t="str">
        <f>'8. BASE  CONSOLIDADA'!E60</f>
        <v>1.8.3</v>
      </c>
      <c r="D75" s="1564" t="str">
        <f>'8. BASE  CONSOLIDADA'!F60</f>
        <v>Promoción de agroforestería sostenible en zona de amortiguamiento del parque</v>
      </c>
      <c r="E75" s="1564" t="str">
        <f>'8. BASE  CONSOLIDADA'!G60</f>
        <v>Realizar pasantías focalizadas en aquellos sectores claves que se necesita intervenir para disminuir la presión del parque.</v>
      </c>
      <c r="F75" s="1535" t="str">
        <f>'8. BASE  CONSOLIDADA'!C60</f>
        <v>Parque Nacional del Río Abiseo</v>
      </c>
      <c r="G75" s="1569" t="str">
        <f>VLOOKUP($C75,'8. BASE  CONSOLIDADA'!$E$7:$AS$308,13,FALSE)</f>
        <v>Pasantías</v>
      </c>
      <c r="H75" s="1569">
        <f>VLOOKUP($C75,'8. BASE  CONSOLIDADA'!$E$7:$AS$308,15,FALSE)</f>
        <v>36</v>
      </c>
      <c r="I75" s="1569">
        <f>VLOOKUP(C75,'8. BASE  CONSOLIDADA'!$E$7:$AS$308,20,FALSE)</f>
        <v>900000</v>
      </c>
      <c r="J75" s="1569">
        <f>I75*$J$6</f>
        <v>612</v>
      </c>
      <c r="K75" s="1569"/>
      <c r="L75" s="1569"/>
      <c r="M75" s="645" t="s">
        <v>489</v>
      </c>
      <c r="N75" s="724" t="str">
        <f>N17</f>
        <v>Especies exóticas o invasoras en bosques colindantes</v>
      </c>
      <c r="O75" s="837" t="str">
        <f t="shared" si="2"/>
        <v>Biodiversidad y recursos naturales</v>
      </c>
      <c r="P75" s="837" t="e">
        <f>#REF!</f>
        <v>#REF!</v>
      </c>
      <c r="Q75" s="571" t="str">
        <f>AA16</f>
        <v>Promoción del cultivo de especies nativas</v>
      </c>
      <c r="R75" s="837" t="s">
        <v>834</v>
      </c>
      <c r="S75" s="844" t="s">
        <v>492</v>
      </c>
      <c r="T75" s="519" t="str">
        <f>Z16</f>
        <v>SBRN8</v>
      </c>
      <c r="U75" s="622"/>
      <c r="V75" s="478"/>
      <c r="W75" s="478"/>
      <c r="X75" s="273"/>
      <c r="Y75" s="825"/>
      <c r="Z75" s="825"/>
      <c r="AA75" s="825"/>
      <c r="AB75" s="825"/>
      <c r="AC75" s="825"/>
      <c r="AD75" s="825"/>
      <c r="AE75" s="825"/>
      <c r="AF75" s="825"/>
      <c r="AG75" s="825"/>
      <c r="AH75" s="825"/>
      <c r="AI75" s="825"/>
      <c r="AJ75" s="825"/>
      <c r="AK75" s="825"/>
      <c r="AL75" s="825"/>
      <c r="AM75" s="825"/>
      <c r="AN75" s="825"/>
      <c r="AO75" s="825"/>
      <c r="AP75" s="825"/>
      <c r="AQ75" s="825"/>
      <c r="AR75" s="825"/>
      <c r="AS75" s="825"/>
      <c r="AT75" s="825"/>
      <c r="AU75" s="825"/>
      <c r="AV75" s="825"/>
      <c r="AW75" s="825"/>
      <c r="AX75" s="480"/>
      <c r="AY75" s="669" t="s">
        <v>520</v>
      </c>
      <c r="AZ75" s="836" t="s">
        <v>835</v>
      </c>
      <c r="BA75" s="727" t="s">
        <v>458</v>
      </c>
      <c r="BB75" s="825"/>
      <c r="BC75" s="825"/>
      <c r="BD75" s="825"/>
      <c r="BE75" s="825"/>
      <c r="BF75" s="825"/>
      <c r="BG75" s="825"/>
      <c r="BH75" s="825"/>
      <c r="BI75" s="825"/>
      <c r="BJ75" s="825"/>
      <c r="BK75" s="825"/>
      <c r="BL75" s="825"/>
      <c r="BM75" s="825"/>
      <c r="BN75" s="825"/>
      <c r="BO75" s="825"/>
      <c r="BP75" s="825"/>
      <c r="BQ75" s="825"/>
      <c r="BR75" s="825"/>
      <c r="BS75" s="825"/>
      <c r="BT75" s="825"/>
      <c r="BU75" s="825"/>
      <c r="BV75" s="825"/>
      <c r="BW75" s="825"/>
      <c r="BX75" s="825"/>
      <c r="BY75" s="825"/>
      <c r="BZ75" s="825"/>
      <c r="CA75" s="825"/>
      <c r="CB75" s="825"/>
      <c r="CC75" s="825"/>
    </row>
    <row r="76" spans="1:81" ht="43.5" x14ac:dyDescent="0.25">
      <c r="A76" s="825"/>
      <c r="B76" s="672"/>
      <c r="C76" s="1607"/>
      <c r="D76" s="1566"/>
      <c r="E76" s="1566"/>
      <c r="F76" s="1543"/>
      <c r="G76" s="1570"/>
      <c r="H76" s="1570"/>
      <c r="I76" s="1570"/>
      <c r="J76" s="1570"/>
      <c r="K76" s="1570"/>
      <c r="L76" s="1570"/>
      <c r="M76" s="645" t="s">
        <v>489</v>
      </c>
      <c r="N76" s="724" t="s">
        <v>836</v>
      </c>
      <c r="O76" s="837" t="str">
        <f t="shared" si="2"/>
        <v>Género</v>
      </c>
      <c r="P76" s="837" t="str">
        <f>AC6</f>
        <v>GN</v>
      </c>
      <c r="Q76" s="571" t="str">
        <f>AJ22</f>
        <v>Escuelas de campo específicas para mujeres rurales</v>
      </c>
      <c r="R76" s="837" t="s">
        <v>837</v>
      </c>
      <c r="S76" s="844" t="s">
        <v>507</v>
      </c>
      <c r="T76" s="519" t="str">
        <f>AI22</f>
        <v>SGN14</v>
      </c>
      <c r="U76" s="622"/>
      <c r="V76" s="478"/>
      <c r="W76" s="478"/>
      <c r="X76" s="273"/>
      <c r="Y76" s="825"/>
      <c r="Z76" s="825"/>
      <c r="AA76" s="825"/>
      <c r="AB76" s="825"/>
      <c r="AC76" s="825"/>
      <c r="AD76" s="825"/>
      <c r="AE76" s="825"/>
      <c r="AF76" s="825"/>
      <c r="AG76" s="825"/>
      <c r="AH76" s="825"/>
      <c r="AI76" s="825"/>
      <c r="AJ76" s="825"/>
      <c r="AK76" s="825"/>
      <c r="AL76" s="825"/>
      <c r="AM76" s="825"/>
      <c r="AN76" s="825"/>
      <c r="AO76" s="825"/>
      <c r="AP76" s="825"/>
      <c r="AQ76" s="825"/>
      <c r="AR76" s="825"/>
      <c r="AS76" s="825"/>
      <c r="AT76" s="825"/>
      <c r="AU76" s="825"/>
      <c r="AV76" s="825"/>
      <c r="AW76" s="825"/>
      <c r="AX76" s="480"/>
      <c r="AY76" s="669" t="s">
        <v>536</v>
      </c>
      <c r="AZ76" s="836" t="s">
        <v>838</v>
      </c>
      <c r="BA76" s="727" t="s">
        <v>458</v>
      </c>
      <c r="BB76" s="825"/>
      <c r="BC76" s="825"/>
      <c r="BD76" s="825"/>
      <c r="BE76" s="825"/>
      <c r="BF76" s="825"/>
      <c r="BG76" s="825"/>
      <c r="BH76" s="825"/>
      <c r="BI76" s="825"/>
      <c r="BJ76" s="825"/>
      <c r="BK76" s="825"/>
      <c r="BL76" s="825"/>
      <c r="BM76" s="825"/>
      <c r="BN76" s="825"/>
      <c r="BO76" s="825"/>
      <c r="BP76" s="825"/>
      <c r="BQ76" s="825"/>
      <c r="BR76" s="825"/>
      <c r="BS76" s="825"/>
      <c r="BT76" s="825"/>
      <c r="BU76" s="825"/>
      <c r="BV76" s="825"/>
      <c r="BW76" s="825"/>
      <c r="BX76" s="825"/>
      <c r="BY76" s="825"/>
      <c r="BZ76" s="825"/>
      <c r="CA76" s="825"/>
      <c r="CB76" s="825"/>
      <c r="CC76" s="825"/>
    </row>
    <row r="77" spans="1:81" ht="65.25" customHeight="1" x14ac:dyDescent="0.25">
      <c r="A77" s="825"/>
      <c r="B77" s="672" t="s">
        <v>488</v>
      </c>
      <c r="C77" s="1571" t="str">
        <f>'8. BASE  CONSOLIDADA'!E22</f>
        <v>1.2.1</v>
      </c>
      <c r="D77" s="1564" t="str">
        <f>'8. BASE  CONSOLIDADA'!F22</f>
        <v>Otorgamiento de derechos sobre la tierra/bosques</v>
      </c>
      <c r="E77" s="1564" t="str">
        <f>'8. BASE  CONSOLIDADA'!G22</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77" s="1571" t="str">
        <f>'8. BASE  CONSOLIDADA'!C22</f>
        <v xml:space="preserve">Predios privados dedicados a la producción comercial (arroz) </v>
      </c>
      <c r="G77" s="1571" t="str">
        <f>VLOOKUP($C77,'8. BASE  CONSOLIDADA'!$E$7:$AS$308,13,FALSE)</f>
        <v>N° Títulos/Contratos otorgados</v>
      </c>
      <c r="H77" s="1571">
        <f>VLOOKUP($C77,'8. BASE  CONSOLIDADA'!$E$7:$AS$308,15,FALSE)</f>
        <v>1286.3341618199499</v>
      </c>
      <c r="I77" s="1571">
        <f>VLOOKUP(C77,'8. BASE  CONSOLIDADA'!$E$7:$AS$308,20,FALSE)</f>
        <v>2572668.3236399</v>
      </c>
      <c r="J77" s="1571">
        <f>I77*$J$6</f>
        <v>1749.4144600751322</v>
      </c>
      <c r="K77" s="1571"/>
      <c r="L77" s="1571"/>
      <c r="M77" s="645" t="s">
        <v>489</v>
      </c>
      <c r="N77" s="724" t="str">
        <f>N8</f>
        <v>Otorgamiento de titulos de propiedad en tierras de aptitud forestal o protección con cobertura de bosques</v>
      </c>
      <c r="O77" s="837" t="str">
        <f t="shared" si="2"/>
        <v>Biodiversidad y recursos naturales</v>
      </c>
      <c r="P77" s="837" t="e">
        <f>#REF!</f>
        <v>#REF!</v>
      </c>
      <c r="Q77" s="571" t="str">
        <f>AA9</f>
        <v>Realizar estudios de suelos para determinar la capacidad de uso mayor de los suelos como parte de los procesos de formalización de la propiedad rural</v>
      </c>
      <c r="R77" s="837" t="s">
        <v>491</v>
      </c>
      <c r="S77" s="844" t="s">
        <v>492</v>
      </c>
      <c r="T77" s="519" t="str">
        <f>Z9</f>
        <v>SBRN1</v>
      </c>
      <c r="U77" s="623" t="s">
        <v>493</v>
      </c>
      <c r="V77" s="478"/>
      <c r="W77" s="478"/>
      <c r="X77" s="273"/>
      <c r="Y77" s="825"/>
      <c r="Z77" s="825"/>
      <c r="AA77" s="825"/>
      <c r="AB77" s="825"/>
      <c r="AC77" s="825"/>
      <c r="AD77" s="825"/>
      <c r="AE77" s="825"/>
      <c r="AF77" s="825"/>
      <c r="AG77" s="825"/>
      <c r="AH77" s="825"/>
      <c r="AI77" s="825"/>
      <c r="AJ77" s="825"/>
      <c r="AK77" s="825"/>
      <c r="AL77" s="825"/>
      <c r="AM77" s="825"/>
      <c r="AN77" s="825"/>
      <c r="AO77" s="825"/>
      <c r="AP77" s="825"/>
      <c r="AQ77" s="825"/>
      <c r="AR77" s="825"/>
      <c r="AS77" s="825"/>
      <c r="AT77" s="825"/>
      <c r="AU77" s="825"/>
      <c r="AV77" s="825"/>
      <c r="AW77" s="825"/>
      <c r="AX77" s="480"/>
      <c r="AY77" s="669" t="s">
        <v>551</v>
      </c>
      <c r="AZ77" s="836" t="s">
        <v>839</v>
      </c>
      <c r="BA77" s="727" t="s">
        <v>458</v>
      </c>
      <c r="BB77" s="825"/>
      <c r="BC77" s="825"/>
      <c r="BD77" s="825"/>
      <c r="BE77" s="825"/>
      <c r="BF77" s="825"/>
      <c r="BG77" s="825"/>
      <c r="BH77" s="825"/>
      <c r="BI77" s="825"/>
      <c r="BJ77" s="825"/>
      <c r="BK77" s="825"/>
      <c r="BL77" s="825"/>
      <c r="BM77" s="825"/>
      <c r="BN77" s="825"/>
      <c r="BO77" s="825"/>
      <c r="BP77" s="825"/>
      <c r="BQ77" s="825"/>
      <c r="BR77" s="825"/>
      <c r="BS77" s="825"/>
      <c r="BT77" s="825"/>
      <c r="BU77" s="825"/>
      <c r="BV77" s="825"/>
      <c r="BW77" s="825"/>
      <c r="BX77" s="825"/>
      <c r="BY77" s="825"/>
      <c r="BZ77" s="825"/>
      <c r="CA77" s="825"/>
      <c r="CB77" s="825"/>
      <c r="CC77" s="825"/>
    </row>
    <row r="78" spans="1:81" ht="34.5" customHeight="1" x14ac:dyDescent="0.25">
      <c r="A78" s="825"/>
      <c r="B78" s="672"/>
      <c r="C78" s="1572"/>
      <c r="D78" s="1565"/>
      <c r="E78" s="1565"/>
      <c r="F78" s="1572"/>
      <c r="G78" s="1572"/>
      <c r="H78" s="1572"/>
      <c r="I78" s="1572"/>
      <c r="J78" s="1572"/>
      <c r="K78" s="1572"/>
      <c r="L78" s="1572"/>
      <c r="M78" s="645" t="s">
        <v>489</v>
      </c>
      <c r="N78" s="724" t="str">
        <f>N9</f>
        <v>Otorgamiento de titulos de propiedad en tierras de aptitud  A y C con cobertura de bosques</v>
      </c>
      <c r="O78" s="837" t="str">
        <f t="shared" si="2"/>
        <v>Biodiversidad y recursos naturales</v>
      </c>
      <c r="P78" s="837" t="e">
        <f>#REF!</f>
        <v>#REF!</v>
      </c>
      <c r="Q78" s="571" t="str">
        <f>AA10</f>
        <v>Implementar el procedimiento de cambio de uso actual de tierras A y C con cobertura de bosques para formalización de propiedad rural considerado en la Ley Forestal y de Fauna Silvestre (Ley No 29736)</v>
      </c>
      <c r="R78" s="837" t="s">
        <v>506</v>
      </c>
      <c r="S78" s="844" t="s">
        <v>507</v>
      </c>
      <c r="T78" s="519" t="str">
        <f>Z10</f>
        <v>SBRN2</v>
      </c>
      <c r="U78" s="623" t="s">
        <v>508</v>
      </c>
      <c r="V78" s="478"/>
      <c r="W78" s="478"/>
      <c r="X78" s="273"/>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480"/>
      <c r="AY78" s="669" t="s">
        <v>563</v>
      </c>
      <c r="AZ78" s="836" t="s">
        <v>387</v>
      </c>
      <c r="BA78" s="727" t="s">
        <v>458</v>
      </c>
      <c r="BB78" s="825"/>
      <c r="BC78" s="825"/>
      <c r="BD78" s="825"/>
      <c r="BE78" s="825"/>
      <c r="BF78" s="825"/>
      <c r="BG78" s="825"/>
      <c r="BH78" s="825"/>
      <c r="BI78" s="825"/>
      <c r="BJ78" s="825"/>
      <c r="BK78" s="825"/>
      <c r="BL78" s="825"/>
      <c r="BM78" s="825"/>
      <c r="BN78" s="825"/>
      <c r="BO78" s="825"/>
      <c r="BP78" s="825"/>
      <c r="BQ78" s="825"/>
      <c r="BR78" s="825"/>
      <c r="BS78" s="825"/>
      <c r="BT78" s="825"/>
      <c r="BU78" s="825"/>
      <c r="BV78" s="825"/>
      <c r="BW78" s="825"/>
      <c r="BX78" s="825"/>
      <c r="BY78" s="825"/>
      <c r="BZ78" s="825"/>
      <c r="CA78" s="825"/>
      <c r="CB78" s="825"/>
      <c r="CC78" s="825"/>
    </row>
    <row r="79" spans="1:81" ht="43.5" customHeight="1" x14ac:dyDescent="0.25">
      <c r="A79" s="825"/>
      <c r="B79" s="672"/>
      <c r="C79" s="1572"/>
      <c r="D79" s="1565"/>
      <c r="E79" s="1565"/>
      <c r="F79" s="1572"/>
      <c r="G79" s="1572"/>
      <c r="H79" s="1572"/>
      <c r="I79" s="1572"/>
      <c r="J79" s="1572"/>
      <c r="K79" s="1572"/>
      <c r="L79" s="1572"/>
      <c r="M79" s="645" t="s">
        <v>489</v>
      </c>
      <c r="N79" s="724" t="str">
        <f>N9</f>
        <v>Otorgamiento de titulos de propiedad en tierras de aptitud  A y C con cobertura de bosques</v>
      </c>
      <c r="O79" s="837" t="str">
        <f t="shared" si="2"/>
        <v>Biodiversidad y recursos naturales</v>
      </c>
      <c r="P79" s="837" t="e">
        <f>#REF!</f>
        <v>#REF!</v>
      </c>
      <c r="Q79" s="571" t="str">
        <f>AA11</f>
        <v>Fortalecer las capacidades de la población local para que conozcan el marco legal sobre los derechos sobre la tierra y los bosques</v>
      </c>
      <c r="R79" s="837" t="s">
        <v>525</v>
      </c>
      <c r="S79" s="844" t="s">
        <v>526</v>
      </c>
      <c r="T79" s="519" t="str">
        <f>Z11</f>
        <v>SBRN3</v>
      </c>
      <c r="U79" s="623" t="s">
        <v>493</v>
      </c>
      <c r="V79" s="478"/>
      <c r="W79" s="478"/>
      <c r="X79" s="273"/>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480"/>
      <c r="AY79" s="669" t="s">
        <v>522</v>
      </c>
      <c r="AZ79" s="836" t="s">
        <v>523</v>
      </c>
      <c r="BA79" s="605" t="s">
        <v>465</v>
      </c>
      <c r="BB79" s="825"/>
      <c r="BC79" s="825"/>
      <c r="BD79" s="825"/>
      <c r="BE79" s="825"/>
      <c r="BF79" s="825"/>
      <c r="BG79" s="825"/>
      <c r="BH79" s="825"/>
      <c r="BI79" s="825"/>
      <c r="BJ79" s="825"/>
      <c r="BK79" s="825"/>
      <c r="BL79" s="825"/>
      <c r="BM79" s="825"/>
      <c r="BN79" s="825"/>
      <c r="BO79" s="825"/>
      <c r="BP79" s="825"/>
      <c r="BQ79" s="825"/>
      <c r="BR79" s="825"/>
      <c r="BS79" s="825"/>
      <c r="BT79" s="825"/>
      <c r="BU79" s="825"/>
      <c r="BV79" s="825"/>
      <c r="BW79" s="825"/>
      <c r="BX79" s="825"/>
      <c r="BY79" s="825"/>
      <c r="BZ79" s="825"/>
      <c r="CA79" s="825"/>
      <c r="CB79" s="825"/>
      <c r="CC79" s="825"/>
    </row>
    <row r="80" spans="1:81" ht="64.55" customHeight="1" x14ac:dyDescent="0.25">
      <c r="A80" s="825"/>
      <c r="B80" s="672"/>
      <c r="C80" s="1572"/>
      <c r="D80" s="1565"/>
      <c r="E80" s="1565"/>
      <c r="F80" s="1572"/>
      <c r="G80" s="1572"/>
      <c r="H80" s="1572"/>
      <c r="I80" s="1572"/>
      <c r="J80" s="1572"/>
      <c r="K80" s="1572"/>
      <c r="L80" s="1572"/>
      <c r="M80" s="645" t="s">
        <v>489</v>
      </c>
      <c r="N80" s="724" t="str">
        <f>N10</f>
        <v>Superposición de áreas a ser tituladas individualmente con áreas solicitadas por pueblos indígenas</v>
      </c>
      <c r="O80" s="837" t="str">
        <f t="shared" si="2"/>
        <v>Derechos de los pueblos indígenas</v>
      </c>
      <c r="P80" s="837" t="str">
        <f>Z6</f>
        <v>DPI</v>
      </c>
      <c r="Q80" s="571" t="str">
        <f>AD9</f>
        <v>Evaluación de superposiciones de solicitudes de titulación de predios rurales con solicitudes de pueblos indígenas (como parte del proceso de titulación de un predio rural individual)</v>
      </c>
      <c r="R80" s="837" t="s">
        <v>840</v>
      </c>
      <c r="S80" s="844" t="s">
        <v>542</v>
      </c>
      <c r="T80" s="519" t="str">
        <f>AC9</f>
        <v>SDPI1</v>
      </c>
      <c r="U80" s="623" t="s">
        <v>493</v>
      </c>
      <c r="V80" s="478"/>
      <c r="W80" s="478"/>
      <c r="X80" s="273"/>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480"/>
      <c r="AY80" s="669" t="s">
        <v>538</v>
      </c>
      <c r="AZ80" s="836" t="s">
        <v>539</v>
      </c>
      <c r="BA80" s="605" t="s">
        <v>465</v>
      </c>
      <c r="BB80" s="825"/>
      <c r="BC80" s="825"/>
      <c r="BD80" s="825"/>
      <c r="BE80" s="825"/>
      <c r="BF80" s="825"/>
      <c r="BG80" s="825"/>
      <c r="BH80" s="825"/>
      <c r="BI80" s="825"/>
      <c r="BJ80" s="825"/>
      <c r="BK80" s="825"/>
      <c r="BL80" s="825"/>
      <c r="BM80" s="825"/>
      <c r="BN80" s="825"/>
      <c r="BO80" s="825"/>
      <c r="BP80" s="825"/>
      <c r="BQ80" s="825"/>
      <c r="BR80" s="825"/>
      <c r="BS80" s="825"/>
      <c r="BT80" s="825"/>
      <c r="BU80" s="825"/>
      <c r="BV80" s="825"/>
      <c r="BW80" s="825"/>
      <c r="BX80" s="825"/>
      <c r="BY80" s="825"/>
      <c r="BZ80" s="825"/>
      <c r="CA80" s="825"/>
      <c r="CB80" s="825"/>
      <c r="CC80" s="825"/>
    </row>
    <row r="81" spans="1:81" ht="48.1" customHeight="1" x14ac:dyDescent="0.25">
      <c r="A81" s="825"/>
      <c r="B81" s="672"/>
      <c r="C81" s="1572"/>
      <c r="D81" s="1565"/>
      <c r="E81" s="1565"/>
      <c r="F81" s="1572"/>
      <c r="G81" s="1572"/>
      <c r="H81" s="1572"/>
      <c r="I81" s="1572"/>
      <c r="J81" s="1572"/>
      <c r="K81" s="1572"/>
      <c r="L81" s="1572"/>
      <c r="M81" s="645" t="s">
        <v>489</v>
      </c>
      <c r="N81" s="724" t="str">
        <f>N10</f>
        <v>Superposición de áreas a ser tituladas individualmente con áreas solicitadas por pueblos indígenas</v>
      </c>
      <c r="O81" s="837" t="str">
        <f t="shared" si="2"/>
        <v>Derechos de los pueblos indígenas</v>
      </c>
      <c r="P81" s="837" t="str">
        <f>Z6</f>
        <v>DPI</v>
      </c>
      <c r="Q81" s="571" t="str">
        <f>AD10</f>
        <v xml:space="preserve">Análisis de demandas de titulación de tierras a favor de comunidades nativas a nivel departamental con organizaciones indígenas </v>
      </c>
      <c r="R81" s="837" t="s">
        <v>555</v>
      </c>
      <c r="S81" s="844" t="s">
        <v>507</v>
      </c>
      <c r="T81" s="519" t="str">
        <f>AC10</f>
        <v>SDPI2</v>
      </c>
      <c r="U81" s="623" t="s">
        <v>508</v>
      </c>
      <c r="V81" s="478"/>
      <c r="W81" s="478"/>
      <c r="X81" s="273"/>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480"/>
      <c r="AY81" s="669" t="s">
        <v>553</v>
      </c>
      <c r="AZ81" s="836" t="s">
        <v>554</v>
      </c>
      <c r="BA81" s="605" t="s">
        <v>465</v>
      </c>
      <c r="BB81" s="825"/>
      <c r="BC81" s="825"/>
      <c r="BD81" s="825"/>
      <c r="BE81" s="825"/>
      <c r="BF81" s="825"/>
      <c r="BG81" s="825"/>
      <c r="BH81" s="825"/>
      <c r="BI81" s="825"/>
      <c r="BJ81" s="825"/>
      <c r="BK81" s="825"/>
      <c r="BL81" s="825"/>
      <c r="BM81" s="825"/>
      <c r="BN81" s="825"/>
      <c r="BO81" s="825"/>
      <c r="BP81" s="825"/>
      <c r="BQ81" s="825"/>
      <c r="BR81" s="825"/>
      <c r="BS81" s="825"/>
      <c r="BT81" s="825"/>
      <c r="BU81" s="825"/>
      <c r="BV81" s="825"/>
      <c r="BW81" s="825"/>
      <c r="BX81" s="825"/>
      <c r="BY81" s="825"/>
      <c r="BZ81" s="825"/>
      <c r="CA81" s="825"/>
      <c r="CB81" s="825"/>
      <c r="CC81" s="825"/>
    </row>
    <row r="82" spans="1:81" ht="31.6" customHeight="1" x14ac:dyDescent="0.25">
      <c r="A82" s="825"/>
      <c r="B82" s="672"/>
      <c r="C82" s="1572"/>
      <c r="D82" s="1565"/>
      <c r="E82" s="1565"/>
      <c r="F82" s="1572"/>
      <c r="G82" s="1572"/>
      <c r="H82" s="1572"/>
      <c r="I82" s="1572"/>
      <c r="J82" s="1572"/>
      <c r="K82" s="1572"/>
      <c r="L82" s="1572"/>
      <c r="M82" s="645" t="s">
        <v>489</v>
      </c>
      <c r="N82" s="724" t="str">
        <f>N13</f>
        <v xml:space="preserve">Tráfico de títulos de propiedad y contratos de cesión en uso </v>
      </c>
      <c r="O82" s="837" t="str">
        <f t="shared" si="2"/>
        <v>Corrupción</v>
      </c>
      <c r="P82" s="837" t="e">
        <f>#REF!</f>
        <v>#REF!</v>
      </c>
      <c r="Q82" s="571" t="str">
        <f>AG9</f>
        <v xml:space="preserve">Transparencia en procesos de formalización de la propiedad rural y cesión en uso </v>
      </c>
      <c r="R82" s="837" t="s">
        <v>566</v>
      </c>
      <c r="S82" s="844" t="s">
        <v>526</v>
      </c>
      <c r="T82" s="519" t="str">
        <f>AF9</f>
        <v>SCR1</v>
      </c>
      <c r="U82" s="623" t="s">
        <v>508</v>
      </c>
      <c r="V82" s="478"/>
      <c r="W82" s="478"/>
      <c r="X82" s="273"/>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480"/>
      <c r="AY82" s="825"/>
      <c r="AZ82" s="825"/>
      <c r="BA82" s="825"/>
      <c r="BB82" s="825"/>
      <c r="BC82" s="825"/>
      <c r="BD82" s="825"/>
      <c r="BE82" s="825"/>
      <c r="BF82" s="825"/>
      <c r="BG82" s="825"/>
      <c r="BH82" s="825"/>
      <c r="BI82" s="825"/>
      <c r="BJ82" s="825"/>
      <c r="BK82" s="825"/>
      <c r="BL82" s="825"/>
      <c r="BM82" s="825"/>
      <c r="BN82" s="825"/>
      <c r="BO82" s="825"/>
      <c r="BP82" s="825"/>
      <c r="BQ82" s="825"/>
      <c r="BR82" s="825"/>
      <c r="BS82" s="825"/>
      <c r="BT82" s="825"/>
      <c r="BU82" s="825"/>
      <c r="BV82" s="825"/>
      <c r="BW82" s="825"/>
      <c r="BX82" s="825"/>
      <c r="BY82" s="825"/>
      <c r="BZ82" s="825"/>
      <c r="CA82" s="825"/>
      <c r="CB82" s="825"/>
      <c r="CC82" s="825"/>
    </row>
    <row r="83" spans="1:81" ht="32.950000000000003" customHeight="1" x14ac:dyDescent="0.25">
      <c r="A83" s="825"/>
      <c r="B83" s="672"/>
      <c r="C83" s="1572"/>
      <c r="D83" s="1565"/>
      <c r="E83" s="1565"/>
      <c r="F83" s="1572"/>
      <c r="G83" s="1572"/>
      <c r="H83" s="1572"/>
      <c r="I83" s="1572"/>
      <c r="J83" s="1572"/>
      <c r="K83" s="1572"/>
      <c r="L83" s="1572"/>
      <c r="M83" s="645" t="s">
        <v>489</v>
      </c>
      <c r="N83" s="724" t="str">
        <f>N14</f>
        <v>Exclusión de mujeres propietarias en títulos de propiedad o contratos de cesión en uso</v>
      </c>
      <c r="O83" s="837" t="str">
        <f t="shared" si="2"/>
        <v>Género</v>
      </c>
      <c r="P83" s="837" t="str">
        <f>AC6</f>
        <v>GN</v>
      </c>
      <c r="Q83" s="571" t="str">
        <f>AJ9</f>
        <v xml:space="preserve">Incorporación de cónyuges o convivientes en títulos de propiedad y contratos de cesión en uso </v>
      </c>
      <c r="R83" s="837" t="s">
        <v>576</v>
      </c>
      <c r="S83" s="844" t="s">
        <v>507</v>
      </c>
      <c r="T83" s="519" t="str">
        <f>AI9</f>
        <v>SGN1</v>
      </c>
      <c r="U83" s="624" t="s">
        <v>508</v>
      </c>
      <c r="V83" s="478"/>
      <c r="W83" s="478"/>
      <c r="X83" s="273"/>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480"/>
      <c r="AY83" s="825"/>
      <c r="AZ83" s="825"/>
      <c r="BA83" s="825"/>
      <c r="BB83" s="825"/>
      <c r="BC83" s="825"/>
      <c r="BD83" s="825"/>
      <c r="BE83" s="825"/>
      <c r="BF83" s="825"/>
      <c r="BG83" s="825"/>
      <c r="BH83" s="825"/>
      <c r="BI83" s="825"/>
      <c r="BJ83" s="825"/>
      <c r="BK83" s="825"/>
      <c r="BL83" s="825"/>
      <c r="BM83" s="825"/>
      <c r="BN83" s="825"/>
      <c r="BO83" s="825"/>
      <c r="BP83" s="825"/>
      <c r="BQ83" s="825"/>
      <c r="BR83" s="825"/>
      <c r="BS83" s="825"/>
      <c r="BT83" s="825"/>
      <c r="BU83" s="825"/>
      <c r="BV83" s="825"/>
      <c r="BW83" s="825"/>
      <c r="BX83" s="825"/>
      <c r="BY83" s="825"/>
      <c r="BZ83" s="825"/>
      <c r="CA83" s="825"/>
      <c r="CB83" s="825"/>
      <c r="CC83" s="825"/>
    </row>
    <row r="84" spans="1:81" ht="45" customHeight="1" x14ac:dyDescent="0.25">
      <c r="A84" s="825"/>
      <c r="B84" s="672"/>
      <c r="C84" s="1573"/>
      <c r="D84" s="1566"/>
      <c r="E84" s="1566"/>
      <c r="F84" s="1573"/>
      <c r="G84" s="1573"/>
      <c r="H84" s="1573"/>
      <c r="I84" s="1573"/>
      <c r="J84" s="1573"/>
      <c r="K84" s="1573"/>
      <c r="L84" s="1573"/>
      <c r="M84" s="645" t="s">
        <v>489</v>
      </c>
      <c r="N84" s="724" t="str">
        <f>N15</f>
        <v>Otorgamiento de derechos sobre la tierra / bosques en zonas con patrimonio cultural</v>
      </c>
      <c r="O84" s="837" t="str">
        <f t="shared" si="2"/>
        <v>Patrimonio cultural</v>
      </c>
      <c r="P84" s="837" t="str">
        <f>AI6</f>
        <v>PC</v>
      </c>
      <c r="Q84" s="571" t="str">
        <f>AV9</f>
        <v>Evaluación de superposición del área solicitada para titulación de predios rurales con áreas determinadas como patrimonio cultural</v>
      </c>
      <c r="R84" s="837" t="s">
        <v>586</v>
      </c>
      <c r="S84" s="844" t="s">
        <v>542</v>
      </c>
      <c r="T84" s="519" t="str">
        <f>AU9</f>
        <v>SPC1</v>
      </c>
      <c r="U84" s="623" t="s">
        <v>493</v>
      </c>
      <c r="V84" s="478"/>
      <c r="W84" s="478"/>
      <c r="X84" s="273"/>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480"/>
      <c r="AY84" s="825"/>
      <c r="AZ84" s="825"/>
      <c r="BA84" s="825"/>
      <c r="BB84" s="825"/>
      <c r="BC84" s="825"/>
      <c r="BD84" s="825"/>
      <c r="BE84" s="825"/>
      <c r="BF84" s="825"/>
      <c r="BG84" s="825"/>
      <c r="BH84" s="825"/>
      <c r="BI84" s="825"/>
      <c r="BJ84" s="825"/>
      <c r="BK84" s="825"/>
      <c r="BL84" s="825"/>
      <c r="BM84" s="825"/>
      <c r="BN84" s="825"/>
      <c r="BO84" s="825"/>
      <c r="BP84" s="825"/>
      <c r="BQ84" s="825"/>
      <c r="BR84" s="825"/>
      <c r="BS84" s="825"/>
      <c r="BT84" s="825"/>
      <c r="BU84" s="825"/>
      <c r="BV84" s="825"/>
      <c r="BW84" s="825"/>
      <c r="BX84" s="825"/>
      <c r="BY84" s="825"/>
      <c r="BZ84" s="825"/>
      <c r="CA84" s="825"/>
      <c r="CB84" s="825"/>
      <c r="CC84" s="825"/>
    </row>
    <row r="85" spans="1:81" ht="43.5" customHeight="1" x14ac:dyDescent="0.25">
      <c r="A85" s="825"/>
      <c r="B85" s="672" t="s">
        <v>488</v>
      </c>
      <c r="C85" s="1605" t="str">
        <f>'8. BASE  CONSOLIDADA'!E23</f>
        <v>1.2.2</v>
      </c>
      <c r="D85" s="1564" t="str">
        <f>'8. BASE  CONSOLIDADA'!F23</f>
        <v>Promoción y desarrollo de proveedores de semillas mejoradas</v>
      </c>
      <c r="E85" s="1564" t="str">
        <f>'8. BASE  CONSOLIDADA'!G23</f>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v>
      </c>
      <c r="F85" s="1538" t="str">
        <f>'8. BASE  CONSOLIDADA'!C23</f>
        <v xml:space="preserve">Predios privados dedicados a la producción comercial (arroz) </v>
      </c>
      <c r="G85" s="1538" t="str">
        <f>VLOOKUP($C85,'8. BASE  CONSOLIDADA'!$E$7:$AS$308,13,FALSE)</f>
        <v>Unidades semilleristas</v>
      </c>
      <c r="H85" s="1538">
        <f>VLOOKUP($C85,'8. BASE  CONSOLIDADA'!$E$7:$AS$308,15,FALSE)</f>
        <v>7.5</v>
      </c>
      <c r="I85" s="1538">
        <f>VLOOKUP(C85,'8. BASE  CONSOLIDADA'!$E$7:$AS$308,20,FALSE)</f>
        <v>112500</v>
      </c>
      <c r="J85" s="1538">
        <f>I85*$J$6</f>
        <v>76.5</v>
      </c>
      <c r="K85" s="1538"/>
      <c r="L85" s="1538"/>
      <c r="M85" s="645" t="s">
        <v>489</v>
      </c>
      <c r="N85" s="724" t="s">
        <v>841</v>
      </c>
      <c r="O85" s="837" t="str">
        <f t="shared" si="2"/>
        <v>Género</v>
      </c>
      <c r="P85" s="837" t="str">
        <f>AC6</f>
        <v>GN</v>
      </c>
      <c r="Q85" s="571" t="str">
        <f>AJ11</f>
        <v xml:space="preserve">Cuotas de género y medición de participación efectiva de mujeres rurales </v>
      </c>
      <c r="R85" s="837" t="s">
        <v>689</v>
      </c>
      <c r="S85" s="844" t="s">
        <v>507</v>
      </c>
      <c r="T85" s="519" t="str">
        <f>AI11</f>
        <v>SGN3</v>
      </c>
      <c r="U85" s="622"/>
      <c r="V85" s="478"/>
      <c r="W85" s="478"/>
      <c r="X85" s="273"/>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480"/>
      <c r="AY85" s="825"/>
      <c r="AZ85" s="825"/>
      <c r="BA85" s="825"/>
      <c r="BB85" s="825"/>
      <c r="BC85" s="825"/>
      <c r="BD85" s="825"/>
      <c r="BE85" s="825"/>
      <c r="BF85" s="825"/>
      <c r="BG85" s="825"/>
      <c r="BH85" s="825"/>
      <c r="BI85" s="825"/>
      <c r="BJ85" s="825"/>
      <c r="BK85" s="825"/>
      <c r="BL85" s="825"/>
      <c r="BM85" s="825"/>
      <c r="BN85" s="825"/>
      <c r="BO85" s="825"/>
      <c r="BP85" s="825"/>
      <c r="BQ85" s="825"/>
      <c r="BR85" s="825"/>
      <c r="BS85" s="825"/>
      <c r="BT85" s="825"/>
      <c r="BU85" s="825"/>
      <c r="BV85" s="825"/>
      <c r="BW85" s="825"/>
      <c r="BX85" s="825"/>
      <c r="BY85" s="825"/>
      <c r="BZ85" s="825"/>
      <c r="CA85" s="825"/>
      <c r="CB85" s="825"/>
      <c r="CC85" s="825"/>
    </row>
    <row r="86" spans="1:81" ht="28.55" customHeight="1" x14ac:dyDescent="0.25">
      <c r="A86" s="825"/>
      <c r="B86" s="672"/>
      <c r="C86" s="1607"/>
      <c r="D86" s="1566"/>
      <c r="E86" s="1566"/>
      <c r="F86" s="1560"/>
      <c r="G86" s="1560"/>
      <c r="H86" s="1560"/>
      <c r="I86" s="1560"/>
      <c r="J86" s="1560"/>
      <c r="K86" s="1560"/>
      <c r="L86" s="1560"/>
      <c r="M86" s="645" t="s">
        <v>489</v>
      </c>
      <c r="N86" s="724" t="str">
        <f>N85</f>
        <v>Exclusión de mujeres productoras del desarrollo de proveedores de semillas mejoradas</v>
      </c>
      <c r="O86" s="837" t="str">
        <f t="shared" si="2"/>
        <v>Género</v>
      </c>
      <c r="P86" s="837" t="str">
        <f>AC6</f>
        <v>GN</v>
      </c>
      <c r="Q86" s="571" t="str">
        <f>AJ13</f>
        <v>Programas de incentivos financieros y no financieros para el desarrollo rural para mujeres rurales</v>
      </c>
      <c r="R86" s="837" t="s">
        <v>842</v>
      </c>
      <c r="S86" s="844" t="s">
        <v>507</v>
      </c>
      <c r="T86" s="519" t="str">
        <f>AI13</f>
        <v>SGN5</v>
      </c>
      <c r="U86" s="622"/>
      <c r="V86" s="478"/>
      <c r="W86" s="478"/>
      <c r="X86" s="273"/>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480"/>
      <c r="AY86" s="825"/>
      <c r="AZ86" s="825"/>
      <c r="BA86" s="825"/>
      <c r="BB86" s="825"/>
      <c r="BC86" s="825"/>
      <c r="BD86" s="825"/>
      <c r="BE86" s="825"/>
      <c r="BF86" s="825"/>
      <c r="BG86" s="825"/>
      <c r="BH86" s="825"/>
      <c r="BI86" s="825"/>
      <c r="BJ86" s="825"/>
      <c r="BK86" s="825"/>
      <c r="BL86" s="825"/>
      <c r="BM86" s="825"/>
      <c r="BN86" s="825"/>
      <c r="BO86" s="825"/>
      <c r="BP86" s="825"/>
      <c r="BQ86" s="825"/>
      <c r="BR86" s="825"/>
      <c r="BS86" s="825"/>
      <c r="BT86" s="825"/>
      <c r="BU86" s="825"/>
      <c r="BV86" s="825"/>
      <c r="BW86" s="825"/>
      <c r="BX86" s="825"/>
      <c r="BY86" s="825"/>
      <c r="BZ86" s="825"/>
      <c r="CA86" s="825"/>
      <c r="CB86" s="825"/>
      <c r="CC86" s="825"/>
    </row>
    <row r="87" spans="1:81" ht="124.5" customHeight="1" x14ac:dyDescent="0.25">
      <c r="A87" s="825"/>
      <c r="B87" s="672" t="s">
        <v>488</v>
      </c>
      <c r="C87" s="1605" t="str">
        <f>'8. BASE  CONSOLIDADA'!E24</f>
        <v>1.2.3</v>
      </c>
      <c r="D87" s="1564" t="str">
        <f>'8. BASE  CONSOLIDADA'!F24</f>
        <v>Promoción de Sistemas de producción sostenibles</v>
      </c>
      <c r="E87" s="1564" t="str">
        <f>'8. BASE  CONSOLIDADA'!G24</f>
        <v xml:space="preserve">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v>
      </c>
      <c r="F87" s="1538" t="str">
        <f>'8. BASE  CONSOLIDADA'!C24</f>
        <v xml:space="preserve">Predios privados dedicados a la producción comercial (arroz) </v>
      </c>
      <c r="G87" s="1538" t="str">
        <f>VLOOKUP($C87,'8. BASE  CONSOLIDADA'!$E$7:$AS$308,13,FALSE)</f>
        <v>Productores asistidos</v>
      </c>
      <c r="H87" s="1538">
        <f>VLOOKUP($C87,'8. BASE  CONSOLIDADA'!$E$7:$AS$308,15,FALSE)</f>
        <v>2586.15</v>
      </c>
      <c r="I87" s="1538">
        <f>VLOOKUP(C87,'8. BASE  CONSOLIDADA'!$E$7:$AS$308,20,FALSE)</f>
        <v>1448244</v>
      </c>
      <c r="J87" s="1538">
        <f>I87*$J$6</f>
        <v>984.80592000000001</v>
      </c>
      <c r="K87" s="1020"/>
      <c r="L87" s="1027"/>
      <c r="M87" s="645" t="s">
        <v>489</v>
      </c>
      <c r="N87" s="724" t="str">
        <f>N16</f>
        <v>Exclusión de mujeres rurales en programas de asistencia técnica</v>
      </c>
      <c r="O87" s="837" t="str">
        <f t="shared" si="2"/>
        <v>Género</v>
      </c>
      <c r="P87" s="837" t="str">
        <f>AC6</f>
        <v>GN</v>
      </c>
      <c r="Q87" s="571" t="str">
        <f>AJ11</f>
        <v xml:space="preserve">Cuotas de género y medición de participación efectiva de mujeres rurales </v>
      </c>
      <c r="R87" s="837" t="s">
        <v>689</v>
      </c>
      <c r="S87" s="844" t="s">
        <v>507</v>
      </c>
      <c r="T87" s="519" t="str">
        <f>AI11</f>
        <v>SGN3</v>
      </c>
      <c r="U87" s="622"/>
      <c r="V87" s="478"/>
      <c r="W87" s="478"/>
      <c r="X87" s="273"/>
      <c r="Y87" s="825"/>
      <c r="Z87" s="825"/>
      <c r="AA87" s="825"/>
      <c r="AB87" s="825"/>
      <c r="AC87" s="825"/>
      <c r="AD87" s="825"/>
      <c r="AE87" s="825"/>
      <c r="AF87" s="825"/>
      <c r="AG87" s="825"/>
      <c r="AH87" s="825"/>
      <c r="AI87" s="825"/>
      <c r="AJ87" s="825"/>
      <c r="AK87" s="825"/>
      <c r="AL87" s="825"/>
      <c r="AM87" s="825"/>
      <c r="AN87" s="825"/>
      <c r="AO87" s="825"/>
      <c r="AP87" s="825"/>
      <c r="AQ87" s="825"/>
      <c r="AR87" s="825"/>
      <c r="AS87" s="825"/>
      <c r="AT87" s="825"/>
      <c r="AU87" s="825"/>
      <c r="AV87" s="825"/>
      <c r="AW87" s="825"/>
      <c r="AX87" s="480"/>
      <c r="BA87" s="825"/>
      <c r="BB87" s="825"/>
      <c r="BC87" s="825"/>
      <c r="BD87" s="825"/>
      <c r="BE87" s="825"/>
      <c r="BF87" s="825"/>
      <c r="BG87" s="825"/>
      <c r="BH87" s="825"/>
      <c r="BI87" s="825"/>
      <c r="BJ87" s="825"/>
      <c r="BK87" s="825"/>
      <c r="BL87" s="825"/>
      <c r="BM87" s="825"/>
      <c r="BN87" s="825"/>
      <c r="BO87" s="825"/>
      <c r="BP87" s="825"/>
      <c r="BQ87" s="825"/>
      <c r="BR87" s="825"/>
      <c r="BS87" s="825"/>
      <c r="BT87" s="825"/>
      <c r="BU87" s="825"/>
      <c r="BV87" s="825"/>
      <c r="BW87" s="825"/>
      <c r="BX87" s="825"/>
      <c r="BY87" s="825"/>
      <c r="BZ87" s="825"/>
      <c r="CA87" s="825"/>
      <c r="CB87" s="825"/>
      <c r="CC87" s="825"/>
    </row>
    <row r="88" spans="1:81" ht="63.7" customHeight="1" x14ac:dyDescent="0.25">
      <c r="A88" s="825"/>
      <c r="B88" s="672"/>
      <c r="C88" s="1607"/>
      <c r="D88" s="1566"/>
      <c r="E88" s="1566"/>
      <c r="F88" s="1560"/>
      <c r="G88" s="1560"/>
      <c r="H88" s="1560"/>
      <c r="I88" s="1560"/>
      <c r="J88" s="1560"/>
      <c r="K88" s="1028"/>
      <c r="L88" s="1027"/>
      <c r="M88" s="645" t="s">
        <v>489</v>
      </c>
      <c r="N88" s="724" t="str">
        <f>N16</f>
        <v>Exclusión de mujeres rurales en programas de asistencia técnica</v>
      </c>
      <c r="O88" s="837" t="str">
        <f t="shared" si="2"/>
        <v>Género</v>
      </c>
      <c r="P88" s="837" t="str">
        <f>AC6</f>
        <v>GN</v>
      </c>
      <c r="Q88" s="571" t="str">
        <f>AJ10</f>
        <v>Programas de asistencia técnica y proyectos específicos para mujeres rurales y mujeres indígenas</v>
      </c>
      <c r="R88" s="837" t="s">
        <v>596</v>
      </c>
      <c r="S88" s="844" t="s">
        <v>507</v>
      </c>
      <c r="T88" s="519" t="str">
        <f>AI10</f>
        <v>SGN2</v>
      </c>
      <c r="U88" s="622"/>
      <c r="V88" s="478"/>
      <c r="W88" s="478"/>
      <c r="X88" s="273"/>
      <c r="Y88" s="825"/>
      <c r="Z88" s="825"/>
      <c r="AA88" s="825"/>
      <c r="AB88" s="825"/>
      <c r="AC88" s="825"/>
      <c r="AD88" s="825"/>
      <c r="AE88" s="825"/>
      <c r="AF88" s="825"/>
      <c r="AG88" s="825"/>
      <c r="AH88" s="825"/>
      <c r="AI88" s="825"/>
      <c r="AJ88" s="825"/>
      <c r="AK88" s="825"/>
      <c r="AL88" s="825"/>
      <c r="AM88" s="825"/>
      <c r="AN88" s="825"/>
      <c r="AO88" s="825"/>
      <c r="AP88" s="825"/>
      <c r="AQ88" s="825"/>
      <c r="AR88" s="825"/>
      <c r="AS88" s="825"/>
      <c r="AT88" s="825"/>
      <c r="AU88" s="825"/>
      <c r="AV88" s="825"/>
      <c r="AW88" s="825"/>
      <c r="AX88" s="480"/>
      <c r="AY88" s="825"/>
      <c r="AZ88" s="825"/>
      <c r="BA88" s="825"/>
      <c r="BB88" s="825"/>
      <c r="BC88" s="825"/>
      <c r="BD88" s="825"/>
      <c r="BE88" s="825"/>
      <c r="BF88" s="825"/>
      <c r="BG88" s="825"/>
      <c r="BH88" s="825"/>
      <c r="BI88" s="825"/>
      <c r="BJ88" s="825"/>
      <c r="BK88" s="825"/>
      <c r="BL88" s="825"/>
      <c r="BM88" s="825"/>
      <c r="BN88" s="825"/>
      <c r="BO88" s="825"/>
      <c r="BP88" s="825"/>
      <c r="BQ88" s="825"/>
      <c r="BR88" s="825"/>
      <c r="BS88" s="825"/>
      <c r="BT88" s="825"/>
      <c r="BU88" s="825"/>
      <c r="BV88" s="825"/>
      <c r="BW88" s="825"/>
      <c r="BX88" s="825"/>
      <c r="BY88" s="825"/>
      <c r="BZ88" s="825"/>
      <c r="CA88" s="825"/>
      <c r="CB88" s="825"/>
      <c r="CC88" s="825"/>
    </row>
    <row r="89" spans="1:81" ht="44.35" customHeight="1" x14ac:dyDescent="0.25">
      <c r="A89" s="825"/>
      <c r="B89" s="672" t="s">
        <v>488</v>
      </c>
      <c r="C89" s="1605" t="str">
        <f>'8. BASE  CONSOLIDADA'!E25</f>
        <v>1.2.4</v>
      </c>
      <c r="D89" s="1613" t="str">
        <f>'8. BASE  CONSOLIDADA'!F25</f>
        <v xml:space="preserve">Reconversión y diversificación productiva </v>
      </c>
      <c r="E89" s="1564" t="str">
        <f>'8. BASE  CONSOLIDADA'!G25</f>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v>
      </c>
      <c r="F89" s="1535" t="str">
        <f>'8. BASE  CONSOLIDADA'!C25</f>
        <v xml:space="preserve">Predios privados dedicados a la producción comercial (arroz) </v>
      </c>
      <c r="G89" s="1535" t="str">
        <f>VLOOKUP($C89,'8. BASE  CONSOLIDADA'!$E$7:$AS$308,13,FALSE)</f>
        <v>Hectáreas reconvertidas</v>
      </c>
      <c r="H89" s="1535">
        <f>VLOOKUP($C89,'8. BASE  CONSOLIDADA'!$E$7:$AS$308,15,FALSE)</f>
        <v>584.4</v>
      </c>
      <c r="I89" s="1535">
        <f>VLOOKUP(C89,'8. BASE  CONSOLIDADA'!$E$7:$AS$308,20,FALSE)</f>
        <v>8766000</v>
      </c>
      <c r="J89" s="1615">
        <f>I89*$J$6</f>
        <v>5960.88</v>
      </c>
      <c r="K89" s="1130"/>
      <c r="L89" s="1130"/>
      <c r="M89" s="645" t="s">
        <v>489</v>
      </c>
      <c r="N89" s="724" t="str">
        <f>N17</f>
        <v>Especies exóticas o invasoras en bosques colindantes</v>
      </c>
      <c r="O89" s="837" t="str">
        <f t="shared" si="2"/>
        <v>Biodiversidad y recursos naturales</v>
      </c>
      <c r="P89" s="837" t="e">
        <f>#REF!</f>
        <v>#REF!</v>
      </c>
      <c r="Q89" s="571" t="str">
        <f>AA12</f>
        <v xml:space="preserve">Ordenamiento agroterritorial como estrategia para ordenar y promover el desarrollo agrario regional </v>
      </c>
      <c r="R89" s="837" t="s">
        <v>656</v>
      </c>
      <c r="S89" s="844" t="s">
        <v>492</v>
      </c>
      <c r="T89" s="519" t="str">
        <f>Z12</f>
        <v>SBRN4</v>
      </c>
      <c r="U89" s="622"/>
      <c r="V89" s="478"/>
      <c r="W89" s="478"/>
      <c r="X89" s="273"/>
      <c r="Y89" s="825"/>
      <c r="Z89" s="825"/>
      <c r="AA89" s="825"/>
      <c r="AB89" s="825"/>
      <c r="AC89" s="825"/>
      <c r="AD89" s="825"/>
      <c r="AE89" s="825"/>
      <c r="AF89" s="825"/>
      <c r="AG89" s="825"/>
      <c r="AH89" s="825"/>
      <c r="AI89" s="825"/>
      <c r="AJ89" s="825"/>
      <c r="AK89" s="825"/>
      <c r="AL89" s="825"/>
      <c r="AM89" s="825"/>
      <c r="AN89" s="825"/>
      <c r="AO89" s="825"/>
      <c r="AP89" s="825"/>
      <c r="AQ89" s="825"/>
      <c r="AR89" s="825"/>
      <c r="AS89" s="825"/>
      <c r="AT89" s="825"/>
      <c r="AU89" s="825"/>
      <c r="AV89" s="825"/>
      <c r="AW89" s="825"/>
      <c r="AX89" s="480"/>
      <c r="AY89" s="825"/>
      <c r="AZ89" s="825"/>
      <c r="BA89" s="825"/>
      <c r="BB89" s="825"/>
      <c r="BC89" s="825"/>
      <c r="BD89" s="825"/>
      <c r="BE89" s="825"/>
      <c r="BF89" s="825"/>
      <c r="BG89" s="825"/>
      <c r="BH89" s="825"/>
      <c r="BI89" s="825"/>
      <c r="BJ89" s="825"/>
      <c r="BK89" s="825"/>
      <c r="BL89" s="825"/>
      <c r="BM89" s="825"/>
      <c r="BN89" s="825"/>
      <c r="BO89" s="825"/>
      <c r="BP89" s="825"/>
      <c r="BQ89" s="825"/>
      <c r="BR89" s="825"/>
      <c r="BS89" s="825"/>
      <c r="BT89" s="825"/>
      <c r="BU89" s="825"/>
      <c r="BV89" s="825"/>
      <c r="BW89" s="825"/>
      <c r="BX89" s="825"/>
      <c r="BY89" s="825"/>
      <c r="BZ89" s="825"/>
      <c r="CA89" s="825"/>
      <c r="CB89" s="825"/>
      <c r="CC89" s="825"/>
    </row>
    <row r="90" spans="1:81" ht="48.1" customHeight="1" x14ac:dyDescent="0.25">
      <c r="A90" s="825"/>
      <c r="B90" s="672"/>
      <c r="C90" s="1606"/>
      <c r="D90" s="1614"/>
      <c r="E90" s="1565"/>
      <c r="F90" s="1536"/>
      <c r="G90" s="1536"/>
      <c r="H90" s="1536"/>
      <c r="I90" s="1536"/>
      <c r="J90" s="1616"/>
      <c r="K90" s="1131">
        <v>17</v>
      </c>
      <c r="L90" s="1143">
        <f>K90*H89</f>
        <v>9934.7999999999993</v>
      </c>
      <c r="M90" s="648" t="s">
        <v>843</v>
      </c>
      <c r="N90" s="724" t="str">
        <f>N17</f>
        <v>Especies exóticas o invasoras en bosques colindantes</v>
      </c>
      <c r="O90" s="837" t="str">
        <f t="shared" ref="O90:O107" si="3">VLOOKUP(T90,$AY$9:$BA$81,3,FALSE)</f>
        <v>Biodiversidad y recursos naturales</v>
      </c>
      <c r="P90" s="837" t="e">
        <f>#REF!</f>
        <v>#REF!</v>
      </c>
      <c r="Q90" s="571" t="str">
        <f>AA13</f>
        <v xml:space="preserve">Inclusión de cláusulas de monitoreo y control de especies exóticas e invasoras en proyectos de promoción agrarios  </v>
      </c>
      <c r="R90" s="837" t="s">
        <v>614</v>
      </c>
      <c r="S90" s="844" t="s">
        <v>492</v>
      </c>
      <c r="T90" s="519" t="str">
        <f>Z13</f>
        <v>SBRN5</v>
      </c>
      <c r="U90" s="622"/>
      <c r="V90" s="478"/>
      <c r="W90" s="478"/>
      <c r="X90" s="273"/>
      <c r="Y90" s="825"/>
      <c r="Z90" s="825"/>
      <c r="AA90" s="825"/>
      <c r="AB90" s="825"/>
      <c r="AC90" s="825"/>
      <c r="AD90" s="825"/>
      <c r="AE90" s="825"/>
      <c r="AF90" s="825"/>
      <c r="AG90" s="825"/>
      <c r="AH90" s="825"/>
      <c r="AI90" s="825"/>
      <c r="AJ90" s="825"/>
      <c r="AK90" s="825"/>
      <c r="AL90" s="825"/>
      <c r="AM90" s="825"/>
      <c r="AN90" s="825"/>
      <c r="AO90" s="825"/>
      <c r="AP90" s="825"/>
      <c r="AQ90" s="825"/>
      <c r="AR90" s="825"/>
      <c r="AS90" s="825"/>
      <c r="AT90" s="825"/>
      <c r="AU90" s="825"/>
      <c r="AV90" s="825"/>
      <c r="AW90" s="825"/>
      <c r="AX90" s="480"/>
      <c r="BA90" s="825"/>
      <c r="BB90" s="825"/>
      <c r="BC90" s="825"/>
      <c r="BD90" s="825"/>
      <c r="BE90" s="825"/>
      <c r="BF90" s="825"/>
      <c r="BG90" s="825"/>
      <c r="BH90" s="825"/>
      <c r="BI90" s="825"/>
      <c r="BJ90" s="825"/>
      <c r="BK90" s="825"/>
      <c r="BL90" s="825"/>
      <c r="BM90" s="825"/>
      <c r="BN90" s="825"/>
      <c r="BO90" s="825"/>
      <c r="BP90" s="825"/>
      <c r="BQ90" s="825"/>
      <c r="BR90" s="825"/>
      <c r="BS90" s="825"/>
      <c r="BT90" s="825"/>
      <c r="BU90" s="825"/>
      <c r="BV90" s="825"/>
      <c r="BW90" s="825"/>
      <c r="BX90" s="825"/>
      <c r="BY90" s="825"/>
      <c r="BZ90" s="825"/>
      <c r="CA90" s="825"/>
      <c r="CB90" s="825"/>
      <c r="CC90" s="825"/>
    </row>
    <row r="91" spans="1:81" ht="59.95" customHeight="1" x14ac:dyDescent="0.25">
      <c r="A91" s="825"/>
      <c r="B91" s="672"/>
      <c r="C91" s="1607"/>
      <c r="D91" s="1614"/>
      <c r="E91" s="1566"/>
      <c r="F91" s="1543"/>
      <c r="G91" s="1543"/>
      <c r="H91" s="1543"/>
      <c r="I91" s="1543"/>
      <c r="J91" s="1617"/>
      <c r="K91" s="1142"/>
      <c r="L91" s="1144"/>
      <c r="M91" s="645" t="s">
        <v>489</v>
      </c>
      <c r="N91" s="724" t="str">
        <f>N19</f>
        <v>Cultivos elegibles para reconversión no logran obtener los máximos beneficios en las zonas seleccionadas</v>
      </c>
      <c r="O91" s="837" t="str">
        <f t="shared" si="3"/>
        <v>Vulnerabilidad al cambio climático</v>
      </c>
      <c r="P91" s="837" t="e">
        <f>#REF!</f>
        <v>#REF!</v>
      </c>
      <c r="Q91" s="571" t="str">
        <f>AS9</f>
        <v xml:space="preserve">Los cultivos deben ser aptos para las zonas en los programas de reconversión productiva </v>
      </c>
      <c r="R91" s="837" t="s">
        <v>623</v>
      </c>
      <c r="S91" s="844" t="s">
        <v>507</v>
      </c>
      <c r="T91" s="519" t="str">
        <f>AR9</f>
        <v>SVCC1</v>
      </c>
      <c r="U91" s="622" t="s">
        <v>663</v>
      </c>
      <c r="V91" s="478"/>
      <c r="W91" s="478"/>
      <c r="X91" s="273"/>
      <c r="Y91" s="825"/>
      <c r="Z91" s="825"/>
      <c r="AA91" s="825"/>
      <c r="AB91" s="825"/>
      <c r="AC91" s="825"/>
      <c r="AD91" s="825"/>
      <c r="AE91" s="825"/>
      <c r="AF91" s="825"/>
      <c r="AG91" s="825"/>
      <c r="AH91" s="825"/>
      <c r="AI91" s="825"/>
      <c r="AJ91" s="825"/>
      <c r="AK91" s="825"/>
      <c r="AL91" s="825"/>
      <c r="AM91" s="825"/>
      <c r="AN91" s="825"/>
      <c r="AO91" s="825"/>
      <c r="AP91" s="825"/>
      <c r="AQ91" s="825"/>
      <c r="AR91" s="825"/>
      <c r="AS91" s="825"/>
      <c r="AT91" s="825"/>
      <c r="AU91" s="825"/>
      <c r="AV91" s="825"/>
      <c r="AW91" s="825"/>
      <c r="AX91" s="480"/>
      <c r="BA91" s="825"/>
      <c r="BB91" s="825"/>
      <c r="BC91" s="825"/>
      <c r="BD91" s="825"/>
      <c r="BE91" s="825"/>
      <c r="BF91" s="825"/>
      <c r="BG91" s="825"/>
      <c r="BH91" s="825"/>
      <c r="BI91" s="825"/>
      <c r="BJ91" s="825"/>
      <c r="BK91" s="825"/>
      <c r="BL91" s="825"/>
      <c r="BM91" s="825"/>
      <c r="BN91" s="825"/>
      <c r="BO91" s="825"/>
      <c r="BP91" s="825"/>
      <c r="BQ91" s="825"/>
      <c r="BR91" s="825"/>
      <c r="BS91" s="825"/>
      <c r="BT91" s="825"/>
      <c r="BU91" s="825"/>
      <c r="BV91" s="825"/>
      <c r="BW91" s="825"/>
      <c r="BX91" s="825"/>
      <c r="BY91" s="825"/>
      <c r="BZ91" s="825"/>
      <c r="CA91" s="825"/>
      <c r="CB91" s="825"/>
      <c r="CC91" s="825"/>
    </row>
    <row r="92" spans="1:81" ht="44.35" customHeight="1" x14ac:dyDescent="0.25">
      <c r="A92" s="825"/>
      <c r="B92" s="672" t="s">
        <v>488</v>
      </c>
      <c r="C92" s="1567" t="str">
        <f>'8. BASE  CONSOLIDADA'!E26</f>
        <v>1.2.5</v>
      </c>
      <c r="D92" s="1567" t="str">
        <f>'8. BASE  CONSOLIDADA'!F26</f>
        <v>Programa de acceso al financiamiento agropecuario condicionado</v>
      </c>
      <c r="E92" s="1567" t="s">
        <v>844</v>
      </c>
      <c r="F92" s="1567" t="str">
        <f>'8. BASE  CONSOLIDADA'!C26</f>
        <v xml:space="preserve">Predios privados dedicados a la producción comercial (arroz) </v>
      </c>
      <c r="G92" s="1567" t="str">
        <f>VLOOKUP($C92,'8. BASE  CONSOLIDADA'!$E$7:$AS$308,13,FALSE)</f>
        <v>Productores atendidos</v>
      </c>
      <c r="H92" s="1567">
        <f>VLOOKUP($C92,'8. BASE  CONSOLIDADA'!$E$7:$AS$308,15,FALSE)</f>
        <v>1724.1</v>
      </c>
      <c r="I92" s="1567">
        <f>VLOOKUP(C92,'8. BASE  CONSOLIDADA'!$E$7:$AS$308,20,FALSE)</f>
        <v>18534075</v>
      </c>
      <c r="J92" s="1567">
        <f>I92*$J$6</f>
        <v>12603.171</v>
      </c>
      <c r="K92" s="1138"/>
      <c r="L92" s="1139"/>
      <c r="M92" s="645" t="s">
        <v>489</v>
      </c>
      <c r="N92" s="724" t="str">
        <f>N25</f>
        <v>Deforestación de nuevas áreas para implementar créditos o incentivos otorgados</v>
      </c>
      <c r="O92" s="837" t="str">
        <f t="shared" si="3"/>
        <v>Biodiversidad y recursos naturales</v>
      </c>
      <c r="P92" s="837" t="e">
        <f>#REF!</f>
        <v>#REF!</v>
      </c>
      <c r="Q92" s="571" t="str">
        <f>AA12</f>
        <v xml:space="preserve">Ordenamiento agroterritorial como estrategia para ordenar y promover el desarrollo agrario regional </v>
      </c>
      <c r="R92" s="837" t="s">
        <v>656</v>
      </c>
      <c r="S92" s="844" t="s">
        <v>492</v>
      </c>
      <c r="T92" s="519" t="str">
        <f>Z12</f>
        <v>SBRN4</v>
      </c>
      <c r="U92" s="622"/>
      <c r="V92" s="478"/>
      <c r="W92" s="478"/>
      <c r="X92" s="273"/>
      <c r="Y92" s="825"/>
      <c r="Z92" s="825"/>
      <c r="AA92" s="825"/>
      <c r="AB92" s="825"/>
      <c r="AC92" s="825"/>
      <c r="AD92" s="825"/>
      <c r="AE92" s="825"/>
      <c r="AF92" s="825"/>
      <c r="AG92" s="825"/>
      <c r="AH92" s="825"/>
      <c r="AI92" s="825"/>
      <c r="AJ92" s="825"/>
      <c r="AK92" s="825"/>
      <c r="AL92" s="825"/>
      <c r="AM92" s="825"/>
      <c r="AN92" s="825"/>
      <c r="AO92" s="825"/>
      <c r="AP92" s="825"/>
      <c r="AQ92" s="825"/>
      <c r="AR92" s="825"/>
      <c r="AS92" s="825"/>
      <c r="AT92" s="825"/>
      <c r="AU92" s="825"/>
      <c r="AV92" s="825"/>
      <c r="AW92" s="825"/>
      <c r="AX92" s="480"/>
      <c r="BA92" s="825"/>
      <c r="BB92" s="825"/>
      <c r="BC92" s="825"/>
      <c r="BD92" s="825"/>
      <c r="BE92" s="825"/>
      <c r="BF92" s="825"/>
      <c r="BG92" s="825"/>
      <c r="BH92" s="825"/>
      <c r="BI92" s="825"/>
      <c r="BJ92" s="825"/>
      <c r="BK92" s="825"/>
      <c r="BL92" s="825"/>
      <c r="BM92" s="825"/>
      <c r="BN92" s="825"/>
      <c r="BO92" s="825"/>
      <c r="BP92" s="825"/>
      <c r="BQ92" s="825"/>
      <c r="BR92" s="825"/>
      <c r="BS92" s="825"/>
      <c r="BT92" s="825"/>
      <c r="BU92" s="825"/>
      <c r="BV92" s="825"/>
      <c r="BW92" s="825"/>
      <c r="BX92" s="825"/>
      <c r="BY92" s="825"/>
      <c r="BZ92" s="825"/>
      <c r="CA92" s="825"/>
      <c r="CB92" s="825"/>
      <c r="CC92" s="825"/>
    </row>
    <row r="93" spans="1:81" ht="49.6" customHeight="1" x14ac:dyDescent="0.25">
      <c r="A93" s="825"/>
      <c r="B93" s="672"/>
      <c r="C93" s="1568"/>
      <c r="D93" s="1568"/>
      <c r="E93" s="1568"/>
      <c r="F93" s="1568"/>
      <c r="G93" s="1568"/>
      <c r="H93" s="1568"/>
      <c r="I93" s="1568"/>
      <c r="J93" s="1568"/>
      <c r="K93" s="1131">
        <v>100</v>
      </c>
      <c r="L93" s="1131">
        <f>K93*H92</f>
        <v>172410</v>
      </c>
      <c r="M93" s="739" t="s">
        <v>672</v>
      </c>
      <c r="N93" s="724" t="str">
        <f>N25</f>
        <v>Deforestación de nuevas áreas para implementar créditos o incentivos otorgados</v>
      </c>
      <c r="O93" s="837" t="str">
        <f t="shared" si="3"/>
        <v>Biodiversidad y recursos naturales</v>
      </c>
      <c r="P93" s="837" t="e">
        <f>#REF!</f>
        <v>#REF!</v>
      </c>
      <c r="Q93" s="571" t="str">
        <f>AA14</f>
        <v>Desarrollo de incentivos financieros y no financieros condicionados con cláusulas de no deforestación</v>
      </c>
      <c r="R93" s="837" t="s">
        <v>673</v>
      </c>
      <c r="S93" s="844" t="s">
        <v>526</v>
      </c>
      <c r="T93" s="519" t="str">
        <f>Z14</f>
        <v>SBRN6</v>
      </c>
      <c r="U93" s="622"/>
      <c r="V93" s="478"/>
      <c r="W93" s="478"/>
      <c r="X93" s="273"/>
      <c r="Y93" s="825"/>
      <c r="Z93" s="825"/>
      <c r="AA93" s="825"/>
      <c r="AB93" s="825"/>
      <c r="AC93" s="825"/>
      <c r="AD93" s="825"/>
      <c r="AE93" s="825"/>
      <c r="AF93" s="825"/>
      <c r="AG93" s="825"/>
      <c r="AH93" s="825"/>
      <c r="AI93" s="825"/>
      <c r="AJ93" s="825"/>
      <c r="AK93" s="825"/>
      <c r="AL93" s="825"/>
      <c r="AM93" s="825"/>
      <c r="AN93" s="825"/>
      <c r="AO93" s="825"/>
      <c r="AP93" s="825"/>
      <c r="AQ93" s="825"/>
      <c r="AR93" s="825"/>
      <c r="AS93" s="825"/>
      <c r="AT93" s="825"/>
      <c r="AU93" s="825"/>
      <c r="AV93" s="825"/>
      <c r="AW93" s="825"/>
      <c r="AX93" s="480"/>
      <c r="BA93" s="825"/>
      <c r="BB93" s="825"/>
      <c r="BC93" s="825"/>
      <c r="BD93" s="825"/>
      <c r="BE93" s="825"/>
      <c r="BF93" s="825"/>
      <c r="BG93" s="825"/>
      <c r="BH93" s="825"/>
      <c r="BI93" s="825"/>
      <c r="BJ93" s="825"/>
      <c r="BK93" s="825"/>
      <c r="BL93" s="825"/>
      <c r="BM93" s="825"/>
      <c r="BN93" s="825"/>
      <c r="BO93" s="825"/>
      <c r="BP93" s="825"/>
      <c r="BQ93" s="825"/>
      <c r="BR93" s="825"/>
      <c r="BS93" s="825"/>
      <c r="BT93" s="825"/>
      <c r="BU93" s="825"/>
      <c r="BV93" s="825"/>
      <c r="BW93" s="825"/>
      <c r="BX93" s="825"/>
      <c r="BY93" s="825"/>
      <c r="BZ93" s="825"/>
      <c r="CA93" s="825"/>
      <c r="CB93" s="825"/>
      <c r="CC93" s="825"/>
    </row>
    <row r="94" spans="1:81" ht="36" customHeight="1" x14ac:dyDescent="0.25">
      <c r="A94" s="825"/>
      <c r="B94" s="672"/>
      <c r="C94" s="1568"/>
      <c r="D94" s="1568"/>
      <c r="E94" s="1568"/>
      <c r="F94" s="1568"/>
      <c r="G94" s="1568"/>
      <c r="H94" s="1568"/>
      <c r="I94" s="1568"/>
      <c r="J94" s="1568"/>
      <c r="K94" s="1131"/>
      <c r="L94" s="1140"/>
      <c r="M94" s="645" t="s">
        <v>489</v>
      </c>
      <c r="N94" s="724" t="str">
        <f>N17</f>
        <v>Especies exóticas o invasoras en bosques colindantes</v>
      </c>
      <c r="O94" s="837" t="str">
        <f t="shared" si="3"/>
        <v>Biodiversidad y recursos naturales</v>
      </c>
      <c r="P94" s="837" t="e">
        <f>#REF!</f>
        <v>#REF!</v>
      </c>
      <c r="Q94" s="571" t="str">
        <f>AA16</f>
        <v>Promoción del cultivo de especies nativas</v>
      </c>
      <c r="R94" s="837" t="s">
        <v>834</v>
      </c>
      <c r="S94" s="844" t="s">
        <v>492</v>
      </c>
      <c r="T94" s="519" t="str">
        <f>Z16</f>
        <v>SBRN8</v>
      </c>
      <c r="U94" s="620"/>
      <c r="V94" s="478"/>
      <c r="W94" s="478"/>
      <c r="X94" s="273"/>
      <c r="Y94" s="825"/>
      <c r="Z94" s="825"/>
      <c r="AA94" s="825"/>
      <c r="AB94" s="825"/>
      <c r="AC94" s="825"/>
      <c r="AD94" s="825"/>
      <c r="AE94" s="825"/>
      <c r="AF94" s="825"/>
      <c r="AG94" s="825"/>
      <c r="AH94" s="825"/>
      <c r="AI94" s="825"/>
      <c r="AJ94" s="825"/>
      <c r="AK94" s="825"/>
      <c r="AL94" s="825"/>
      <c r="AM94" s="825"/>
      <c r="AN94" s="825"/>
      <c r="AO94" s="825"/>
      <c r="AP94" s="825"/>
      <c r="AQ94" s="825"/>
      <c r="AR94" s="825"/>
      <c r="AS94" s="825"/>
      <c r="AT94" s="825"/>
      <c r="AU94" s="825"/>
      <c r="AV94" s="825"/>
      <c r="AW94" s="825"/>
      <c r="AX94" s="480"/>
      <c r="BA94" s="825"/>
      <c r="BB94" s="825"/>
      <c r="BC94" s="825"/>
      <c r="BD94" s="825"/>
      <c r="BE94" s="825"/>
      <c r="BF94" s="825"/>
      <c r="BG94" s="825"/>
      <c r="BH94" s="825"/>
      <c r="BI94" s="825"/>
      <c r="BJ94" s="825"/>
      <c r="BK94" s="825"/>
      <c r="BL94" s="825"/>
      <c r="BM94" s="825"/>
      <c r="BN94" s="825"/>
      <c r="BO94" s="825"/>
      <c r="BP94" s="825"/>
      <c r="BQ94" s="825"/>
      <c r="BR94" s="825"/>
      <c r="BS94" s="825"/>
      <c r="BT94" s="825"/>
      <c r="BU94" s="825"/>
      <c r="BV94" s="825"/>
      <c r="BW94" s="825"/>
      <c r="BX94" s="825"/>
      <c r="BY94" s="825"/>
      <c r="BZ94" s="825"/>
      <c r="CA94" s="825"/>
      <c r="CB94" s="825"/>
      <c r="CC94" s="825"/>
    </row>
    <row r="95" spans="1:81" ht="23.95" customHeight="1" x14ac:dyDescent="0.25">
      <c r="A95" s="825"/>
      <c r="B95" s="672"/>
      <c r="C95" s="1568"/>
      <c r="D95" s="1568"/>
      <c r="E95" s="1568"/>
      <c r="F95" s="1568"/>
      <c r="G95" s="1568"/>
      <c r="H95" s="1568"/>
      <c r="I95" s="1568"/>
      <c r="J95" s="1568"/>
      <c r="K95" s="1131"/>
      <c r="L95" s="1140"/>
      <c r="M95" s="645" t="s">
        <v>489</v>
      </c>
      <c r="N95" s="724" t="str">
        <f>N28</f>
        <v>Contaminación por residuos agropecuarios</v>
      </c>
      <c r="O95" s="837" t="str">
        <f t="shared" si="3"/>
        <v>Contaminación</v>
      </c>
      <c r="P95" s="837" t="e">
        <f>#REF!</f>
        <v>#REF!</v>
      </c>
      <c r="Q95" s="571" t="str">
        <f>AM10</f>
        <v>Control de residuos agropecuarios</v>
      </c>
      <c r="R95" s="837" t="s">
        <v>535</v>
      </c>
      <c r="S95" s="844" t="s">
        <v>492</v>
      </c>
      <c r="T95" s="519" t="str">
        <f>AL10</f>
        <v>SCT2</v>
      </c>
      <c r="U95" s="622" t="s">
        <v>648</v>
      </c>
      <c r="V95" s="478"/>
      <c r="W95" s="478"/>
      <c r="X95" s="273"/>
      <c r="Y95" s="825"/>
      <c r="Z95" s="825"/>
      <c r="AA95" s="825"/>
      <c r="AB95" s="825"/>
      <c r="AC95" s="825"/>
      <c r="AD95" s="825"/>
      <c r="AE95" s="825"/>
      <c r="AF95" s="825"/>
      <c r="AG95" s="825"/>
      <c r="AH95" s="825"/>
      <c r="AI95" s="825"/>
      <c r="AJ95" s="825"/>
      <c r="AK95" s="825"/>
      <c r="AL95" s="825"/>
      <c r="AM95" s="825"/>
      <c r="AN95" s="825"/>
      <c r="AO95" s="825"/>
      <c r="AP95" s="825"/>
      <c r="AQ95" s="825"/>
      <c r="AR95" s="825"/>
      <c r="AS95" s="825"/>
      <c r="AT95" s="825"/>
      <c r="AU95" s="825"/>
      <c r="AV95" s="825"/>
      <c r="AW95" s="825"/>
      <c r="AX95" s="480"/>
      <c r="BA95" s="825"/>
      <c r="BB95" s="825"/>
      <c r="BC95" s="825"/>
      <c r="BD95" s="825"/>
      <c r="BE95" s="825"/>
      <c r="BF95" s="825"/>
      <c r="BG95" s="825"/>
      <c r="BH95" s="825"/>
      <c r="BI95" s="825"/>
      <c r="BJ95" s="825"/>
      <c r="BK95" s="825"/>
      <c r="BL95" s="825"/>
      <c r="BM95" s="825"/>
      <c r="BN95" s="825"/>
      <c r="BO95" s="825"/>
      <c r="BP95" s="825"/>
      <c r="BQ95" s="825"/>
      <c r="BR95" s="825"/>
      <c r="BS95" s="825"/>
      <c r="BT95" s="825"/>
      <c r="BU95" s="825"/>
      <c r="BV95" s="825"/>
      <c r="BW95" s="825"/>
      <c r="BX95" s="825"/>
      <c r="BY95" s="825"/>
      <c r="BZ95" s="825"/>
      <c r="CA95" s="825"/>
      <c r="CB95" s="825"/>
      <c r="CC95" s="825"/>
    </row>
    <row r="96" spans="1:81" ht="39.75" customHeight="1" x14ac:dyDescent="0.25">
      <c r="A96" s="825"/>
      <c r="B96" s="672"/>
      <c r="C96" s="1568"/>
      <c r="D96" s="1568"/>
      <c r="E96" s="1568"/>
      <c r="F96" s="1568"/>
      <c r="G96" s="1568"/>
      <c r="H96" s="1568"/>
      <c r="I96" s="1568"/>
      <c r="J96" s="1568"/>
      <c r="K96" s="1131"/>
      <c r="L96" s="1140"/>
      <c r="M96" s="645" t="s">
        <v>489</v>
      </c>
      <c r="N96" s="724" t="str">
        <f>N29</f>
        <v xml:space="preserve">Otorgamiento inapropiado de incentivos </v>
      </c>
      <c r="O96" s="837" t="str">
        <f t="shared" si="3"/>
        <v>Corrupción</v>
      </c>
      <c r="P96" s="837" t="e">
        <f>#REF!</f>
        <v>#REF!</v>
      </c>
      <c r="Q96" s="571" t="str">
        <f>AG10</f>
        <v>Transparencia en incentivos financieros y obras públicas vinculadas a la ERDRBE</v>
      </c>
      <c r="R96" s="837" t="s">
        <v>687</v>
      </c>
      <c r="S96" s="844" t="s">
        <v>507</v>
      </c>
      <c r="T96" s="519" t="str">
        <f>AF10</f>
        <v>SCR2</v>
      </c>
      <c r="U96" s="622"/>
      <c r="V96" s="478"/>
      <c r="W96" s="478"/>
      <c r="X96" s="273"/>
      <c r="Y96" s="825"/>
      <c r="Z96" s="825"/>
      <c r="AA96" s="825"/>
      <c r="AB96" s="825"/>
      <c r="AC96" s="825"/>
      <c r="AD96" s="825"/>
      <c r="AE96" s="825"/>
      <c r="AF96" s="825"/>
      <c r="AG96" s="825"/>
      <c r="AH96" s="825"/>
      <c r="AI96" s="825"/>
      <c r="AJ96" s="825"/>
      <c r="AK96" s="825"/>
      <c r="AL96" s="825"/>
      <c r="AM96" s="825"/>
      <c r="AN96" s="825"/>
      <c r="AO96" s="825"/>
      <c r="AP96" s="825"/>
      <c r="AQ96" s="825"/>
      <c r="AR96" s="825"/>
      <c r="AS96" s="825"/>
      <c r="AT96" s="825"/>
      <c r="AU96" s="825"/>
      <c r="AV96" s="825"/>
      <c r="AW96" s="825"/>
      <c r="AX96" s="480"/>
      <c r="BA96" s="825"/>
      <c r="BB96" s="825"/>
      <c r="BC96" s="825"/>
      <c r="BD96" s="825"/>
      <c r="BE96" s="825"/>
      <c r="BF96" s="825"/>
      <c r="BG96" s="825"/>
      <c r="BH96" s="825"/>
      <c r="BI96" s="825"/>
      <c r="BJ96" s="825"/>
      <c r="BK96" s="825"/>
      <c r="BL96" s="825"/>
      <c r="BM96" s="825"/>
      <c r="BN96" s="825"/>
      <c r="BO96" s="825"/>
      <c r="BP96" s="825"/>
      <c r="BQ96" s="825"/>
      <c r="BR96" s="825"/>
      <c r="BS96" s="825"/>
      <c r="BT96" s="825"/>
      <c r="BU96" s="825"/>
      <c r="BV96" s="825"/>
      <c r="BW96" s="825"/>
      <c r="BX96" s="825"/>
      <c r="BY96" s="825"/>
      <c r="BZ96" s="825"/>
      <c r="CA96" s="825"/>
      <c r="CB96" s="825"/>
      <c r="CC96" s="825"/>
    </row>
    <row r="97" spans="1:81" ht="25.5" customHeight="1" x14ac:dyDescent="0.25">
      <c r="A97" s="825"/>
      <c r="B97" s="672"/>
      <c r="C97" s="1568"/>
      <c r="D97" s="1568"/>
      <c r="E97" s="1568"/>
      <c r="F97" s="1568"/>
      <c r="G97" s="1568"/>
      <c r="H97" s="1568"/>
      <c r="I97" s="1568"/>
      <c r="J97" s="1568"/>
      <c r="K97" s="1131"/>
      <c r="L97" s="1140"/>
      <c r="M97" s="645" t="s">
        <v>489</v>
      </c>
      <c r="N97" s="724" t="str">
        <f>N30</f>
        <v>Exclusión de productoras agrarias en sistemas de incentivos financieros</v>
      </c>
      <c r="O97" s="837" t="str">
        <f t="shared" si="3"/>
        <v>Género</v>
      </c>
      <c r="P97" s="837" t="str">
        <f>AC6</f>
        <v>GN</v>
      </c>
      <c r="Q97" s="571" t="str">
        <f>AJ11</f>
        <v xml:space="preserve">Cuotas de género y medición de participación efectiva de mujeres rurales </v>
      </c>
      <c r="R97" s="837" t="s">
        <v>689</v>
      </c>
      <c r="S97" s="844" t="s">
        <v>507</v>
      </c>
      <c r="T97" s="519" t="str">
        <f>AI11</f>
        <v>SGN3</v>
      </c>
      <c r="U97" s="622"/>
      <c r="V97" s="478"/>
      <c r="W97" s="478"/>
      <c r="X97" s="273"/>
      <c r="Y97" s="825"/>
      <c r="Z97" s="825"/>
      <c r="AA97" s="825"/>
      <c r="AB97" s="825"/>
      <c r="AC97" s="825"/>
      <c r="AD97" s="825"/>
      <c r="AE97" s="825"/>
      <c r="AF97" s="825"/>
      <c r="AG97" s="825"/>
      <c r="AH97" s="825"/>
      <c r="AI97" s="825"/>
      <c r="AJ97" s="825"/>
      <c r="AK97" s="825"/>
      <c r="AL97" s="825"/>
      <c r="AM97" s="825"/>
      <c r="AN97" s="825"/>
      <c r="AO97" s="825"/>
      <c r="AP97" s="825"/>
      <c r="AQ97" s="825"/>
      <c r="AR97" s="825"/>
      <c r="AS97" s="825"/>
      <c r="AT97" s="825"/>
      <c r="AU97" s="825"/>
      <c r="AV97" s="825"/>
      <c r="AW97" s="825"/>
      <c r="AX97" s="480"/>
      <c r="BA97" s="825"/>
      <c r="BB97" s="825"/>
      <c r="BC97" s="825"/>
      <c r="BD97" s="825"/>
      <c r="BE97" s="825"/>
      <c r="BF97" s="825"/>
      <c r="BG97" s="825"/>
      <c r="BH97" s="825"/>
      <c r="BI97" s="825"/>
      <c r="BJ97" s="825"/>
      <c r="BK97" s="825"/>
      <c r="BL97" s="825"/>
      <c r="BM97" s="825"/>
      <c r="BN97" s="825"/>
      <c r="BO97" s="825"/>
      <c r="BP97" s="825"/>
      <c r="BQ97" s="825"/>
      <c r="BR97" s="825"/>
      <c r="BS97" s="825"/>
      <c r="BT97" s="825"/>
      <c r="BU97" s="825"/>
      <c r="BV97" s="825"/>
      <c r="BW97" s="825"/>
      <c r="BX97" s="825"/>
      <c r="BY97" s="825"/>
      <c r="BZ97" s="825"/>
      <c r="CA97" s="825"/>
      <c r="CB97" s="825"/>
      <c r="CC97" s="825"/>
    </row>
    <row r="98" spans="1:81" ht="36" customHeight="1" x14ac:dyDescent="0.25">
      <c r="A98" s="825"/>
      <c r="B98" s="672"/>
      <c r="C98" s="1568"/>
      <c r="D98" s="1568"/>
      <c r="E98" s="1568"/>
      <c r="F98" s="1568"/>
      <c r="G98" s="1568"/>
      <c r="H98" s="1568"/>
      <c r="I98" s="1568"/>
      <c r="J98" s="1568"/>
      <c r="K98" s="1131"/>
      <c r="L98" s="1140"/>
      <c r="M98" s="645" t="s">
        <v>489</v>
      </c>
      <c r="N98" s="724" t="str">
        <f>N30</f>
        <v>Exclusión de productoras agrarias en sistemas de incentivos financieros</v>
      </c>
      <c r="O98" s="837" t="str">
        <f t="shared" si="3"/>
        <v>Género</v>
      </c>
      <c r="P98" s="837" t="str">
        <f>AC6</f>
        <v>GN</v>
      </c>
      <c r="Q98" s="571" t="str">
        <f>AJ12</f>
        <v>Criterios de evaluación de programas y proyectos con enfoque de género</v>
      </c>
      <c r="R98" s="837" t="s">
        <v>690</v>
      </c>
      <c r="S98" s="844" t="s">
        <v>507</v>
      </c>
      <c r="T98" s="519" t="str">
        <f>AI12</f>
        <v>SGN4</v>
      </c>
      <c r="U98" s="622"/>
      <c r="V98" s="478"/>
      <c r="W98" s="478"/>
      <c r="X98" s="273"/>
      <c r="Y98" s="825"/>
      <c r="Z98" s="825"/>
      <c r="AA98" s="825"/>
      <c r="AB98" s="825"/>
      <c r="AC98" s="825"/>
      <c r="AD98" s="825"/>
      <c r="AE98" s="825"/>
      <c r="AF98" s="825"/>
      <c r="AG98" s="825"/>
      <c r="AH98" s="825"/>
      <c r="AI98" s="825"/>
      <c r="AJ98" s="825"/>
      <c r="AK98" s="825"/>
      <c r="AL98" s="825"/>
      <c r="AM98" s="825"/>
      <c r="AN98" s="825"/>
      <c r="AO98" s="825"/>
      <c r="AP98" s="825"/>
      <c r="AQ98" s="825"/>
      <c r="AR98" s="825"/>
      <c r="AS98" s="825"/>
      <c r="AT98" s="825"/>
      <c r="AU98" s="825"/>
      <c r="AV98" s="825"/>
      <c r="AW98" s="825"/>
      <c r="AX98" s="480"/>
      <c r="BA98" s="825"/>
      <c r="BB98" s="825"/>
      <c r="BC98" s="825"/>
      <c r="BD98" s="825"/>
      <c r="BE98" s="825"/>
      <c r="BF98" s="825"/>
      <c r="BG98" s="825"/>
      <c r="BH98" s="825"/>
      <c r="BI98" s="825"/>
      <c r="BJ98" s="825"/>
      <c r="BK98" s="825"/>
      <c r="BL98" s="825"/>
      <c r="BM98" s="825"/>
      <c r="BN98" s="825"/>
      <c r="BO98" s="825"/>
      <c r="BP98" s="825"/>
      <c r="BQ98" s="825"/>
      <c r="BR98" s="825"/>
      <c r="BS98" s="825"/>
      <c r="BT98" s="825"/>
      <c r="BU98" s="825"/>
      <c r="BV98" s="825"/>
      <c r="BW98" s="825"/>
      <c r="BX98" s="825"/>
      <c r="BY98" s="825"/>
      <c r="BZ98" s="825"/>
      <c r="CA98" s="825"/>
      <c r="CB98" s="825"/>
      <c r="CC98" s="825"/>
    </row>
    <row r="99" spans="1:81" ht="21.75" customHeight="1" x14ac:dyDescent="0.25">
      <c r="A99" s="825"/>
      <c r="B99" s="672"/>
      <c r="C99" s="1568"/>
      <c r="D99" s="1568"/>
      <c r="E99" s="1568"/>
      <c r="F99" s="1568"/>
      <c r="G99" s="1568"/>
      <c r="H99" s="1568"/>
      <c r="I99" s="1568"/>
      <c r="J99" s="1568"/>
      <c r="K99" s="1131"/>
      <c r="L99" s="1140"/>
      <c r="M99" s="645" t="s">
        <v>489</v>
      </c>
      <c r="N99" s="724" t="str">
        <f>N30</f>
        <v>Exclusión de productoras agrarias en sistemas de incentivos financieros</v>
      </c>
      <c r="O99" s="837" t="str">
        <f t="shared" si="3"/>
        <v>Género</v>
      </c>
      <c r="P99" s="837" t="str">
        <f>AC6</f>
        <v>GN</v>
      </c>
      <c r="Q99" s="571" t="str">
        <f>AJ13</f>
        <v>Programas de incentivos financieros y no financieros para el desarrollo rural para mujeres rurales</v>
      </c>
      <c r="R99" s="837" t="s">
        <v>693</v>
      </c>
      <c r="S99" s="844" t="s">
        <v>492</v>
      </c>
      <c r="T99" s="519" t="str">
        <f>AI13</f>
        <v>SGN5</v>
      </c>
      <c r="U99" s="622"/>
      <c r="V99" s="478"/>
      <c r="W99" s="478"/>
      <c r="X99" s="273"/>
      <c r="Y99" s="825"/>
      <c r="Z99" s="825"/>
      <c r="AA99" s="825"/>
      <c r="AB99" s="825"/>
      <c r="AC99" s="825"/>
      <c r="AD99" s="825"/>
      <c r="AE99" s="825"/>
      <c r="AF99" s="825"/>
      <c r="AG99" s="825"/>
      <c r="AH99" s="825"/>
      <c r="AI99" s="825"/>
      <c r="AJ99" s="825"/>
      <c r="AK99" s="825"/>
      <c r="AL99" s="825"/>
      <c r="AM99" s="825"/>
      <c r="AN99" s="825"/>
      <c r="AO99" s="825"/>
      <c r="AP99" s="825"/>
      <c r="AQ99" s="825"/>
      <c r="AR99" s="825"/>
      <c r="AS99" s="825"/>
      <c r="AT99" s="825"/>
      <c r="AU99" s="825"/>
      <c r="AV99" s="825"/>
      <c r="AW99" s="825"/>
      <c r="AX99" s="480"/>
      <c r="BA99" s="825"/>
      <c r="BB99" s="825"/>
      <c r="BC99" s="825"/>
      <c r="BD99" s="825"/>
      <c r="BE99" s="825"/>
      <c r="BF99" s="825"/>
      <c r="BG99" s="825"/>
      <c r="BH99" s="825"/>
      <c r="BI99" s="825"/>
      <c r="BJ99" s="825"/>
      <c r="BK99" s="825"/>
      <c r="BL99" s="825"/>
      <c r="BM99" s="825"/>
      <c r="BN99" s="825"/>
      <c r="BO99" s="825"/>
      <c r="BP99" s="825"/>
      <c r="BQ99" s="825"/>
      <c r="BR99" s="825"/>
      <c r="BS99" s="825"/>
      <c r="BT99" s="825"/>
      <c r="BU99" s="825"/>
      <c r="BV99" s="825"/>
      <c r="BW99" s="825"/>
      <c r="BX99" s="825"/>
      <c r="BY99" s="825"/>
      <c r="BZ99" s="825"/>
      <c r="CA99" s="825"/>
      <c r="CB99" s="825"/>
      <c r="CC99" s="825"/>
    </row>
    <row r="100" spans="1:81" ht="41.95" customHeight="1" x14ac:dyDescent="0.25">
      <c r="A100" s="825"/>
      <c r="B100" s="672"/>
      <c r="C100" s="1568"/>
      <c r="D100" s="1568"/>
      <c r="E100" s="1568"/>
      <c r="F100" s="1568"/>
      <c r="G100" s="1568"/>
      <c r="H100" s="1568"/>
      <c r="I100" s="1568"/>
      <c r="J100" s="1568"/>
      <c r="K100" s="1133"/>
      <c r="L100" s="1141"/>
      <c r="M100" s="645" t="s">
        <v>489</v>
      </c>
      <c r="N100" s="724" t="str">
        <f>N33</f>
        <v>Actividad agropecuaria no se desarrolla de manera óptima debido a cambios en las condiciones agroecologicas por el cambio climático</v>
      </c>
      <c r="O100" s="837" t="str">
        <f t="shared" si="3"/>
        <v>Vulnerabilidad al cambio climático</v>
      </c>
      <c r="P100" s="837" t="e">
        <f>#REF!</f>
        <v>#REF!</v>
      </c>
      <c r="Q100" s="571" t="str">
        <f>AS11</f>
        <v>Análisis de rentabilidad de la actividad agropecuaria en los programas de reconversión productiva</v>
      </c>
      <c r="R100" s="837" t="s">
        <v>695</v>
      </c>
      <c r="S100" s="844" t="s">
        <v>507</v>
      </c>
      <c r="T100" s="519" t="str">
        <f>AR11</f>
        <v>SVCC3</v>
      </c>
      <c r="U100" s="622" t="s">
        <v>663</v>
      </c>
      <c r="V100" s="478"/>
      <c r="W100" s="478"/>
      <c r="X100" s="273"/>
      <c r="Y100" s="825"/>
      <c r="Z100" s="825"/>
      <c r="AA100" s="825"/>
      <c r="AB100" s="825"/>
      <c r="AC100" s="825"/>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480"/>
      <c r="BA100" s="825"/>
      <c r="BB100" s="825"/>
      <c r="BC100" s="825"/>
      <c r="BD100" s="825"/>
      <c r="BE100" s="825"/>
      <c r="BF100" s="825"/>
      <c r="BG100" s="825"/>
      <c r="BH100" s="825"/>
      <c r="BI100" s="825"/>
      <c r="BJ100" s="825"/>
      <c r="BK100" s="825"/>
      <c r="BL100" s="825"/>
      <c r="BM100" s="825"/>
      <c r="BN100" s="825"/>
      <c r="BO100" s="825"/>
      <c r="BP100" s="825"/>
      <c r="BQ100" s="825"/>
      <c r="BR100" s="825"/>
      <c r="BS100" s="825"/>
      <c r="BT100" s="825"/>
      <c r="BU100" s="825"/>
      <c r="BV100" s="825"/>
      <c r="BW100" s="825"/>
      <c r="BX100" s="825"/>
      <c r="BY100" s="825"/>
      <c r="BZ100" s="825"/>
      <c r="CA100" s="825"/>
      <c r="CB100" s="825"/>
      <c r="CC100" s="825"/>
    </row>
    <row r="101" spans="1:81" ht="162.69999999999999" customHeight="1" x14ac:dyDescent="0.25">
      <c r="A101" s="825"/>
      <c r="B101" s="672" t="s">
        <v>488</v>
      </c>
      <c r="C101" s="834" t="str">
        <f>'8. BASE  CONSOLIDADA'!E27</f>
        <v>1.2.6</v>
      </c>
      <c r="D101" s="1069" t="str">
        <f>'8. BASE  CONSOLIDADA'!F27</f>
        <v>Promoción de modelos asociativos sostenibles</v>
      </c>
      <c r="E101" s="1069" t="str">
        <f>'8. BASE  CONSOLIDADA'!G27</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v>
      </c>
      <c r="F101" s="836" t="str">
        <f>'8. BASE  CONSOLIDADA'!C27</f>
        <v xml:space="preserve">Predios privados dedicados a la producción comercial (arroz) </v>
      </c>
      <c r="G101" s="1019" t="str">
        <f>VLOOKUP($C101,'8. BASE  CONSOLIDADA'!$E$7:$AS$308,13,FALSE)</f>
        <v>Organizaciones formalizadas y fortalecidas</v>
      </c>
      <c r="H101" s="1109">
        <f>VLOOKUP($C101,'8. BASE  CONSOLIDADA'!$E$7:$AS$308,15,FALSE)</f>
        <v>3</v>
      </c>
      <c r="I101" s="1058">
        <f>VLOOKUP(C101,'8. BASE  CONSOLIDADA'!$E$7:$AS$308,20,FALSE)</f>
        <v>1800000</v>
      </c>
      <c r="J101" s="678">
        <f>I101*$J$6</f>
        <v>1224</v>
      </c>
      <c r="K101" s="1020"/>
      <c r="L101" s="1029"/>
      <c r="M101" s="645" t="s">
        <v>489</v>
      </c>
      <c r="N101" s="724" t="str">
        <f>N16</f>
        <v>Exclusión de mujeres rurales en programas de asistencia técnica</v>
      </c>
      <c r="O101" s="837" t="str">
        <f t="shared" si="3"/>
        <v>Género</v>
      </c>
      <c r="P101" s="837" t="str">
        <f>AC6</f>
        <v>GN</v>
      </c>
      <c r="Q101" s="571" t="str">
        <f>AJ10</f>
        <v>Programas de asistencia técnica y proyectos específicos para mujeres rurales y mujeres indígenas</v>
      </c>
      <c r="R101" s="837" t="s">
        <v>596</v>
      </c>
      <c r="S101" s="844" t="s">
        <v>507</v>
      </c>
      <c r="T101" s="519" t="str">
        <f>AI10</f>
        <v>SGN2</v>
      </c>
      <c r="U101" s="620"/>
      <c r="V101" s="478"/>
      <c r="W101" s="478"/>
      <c r="X101" s="273"/>
      <c r="Y101" s="825"/>
      <c r="Z101" s="825"/>
      <c r="AA101" s="825"/>
      <c r="AB101" s="825"/>
      <c r="AC101" s="825"/>
      <c r="AD101" s="825"/>
      <c r="AE101" s="825"/>
      <c r="AF101" s="825"/>
      <c r="AG101" s="825"/>
      <c r="AH101" s="825"/>
      <c r="AI101" s="825"/>
      <c r="AJ101" s="825"/>
      <c r="AK101" s="825"/>
      <c r="AL101" s="825"/>
      <c r="AM101" s="825"/>
      <c r="AN101" s="825"/>
      <c r="AO101" s="825"/>
      <c r="AP101" s="825"/>
      <c r="AQ101" s="825"/>
      <c r="AR101" s="825"/>
      <c r="AS101" s="825"/>
      <c r="AT101" s="825"/>
      <c r="AU101" s="825"/>
      <c r="AV101" s="825"/>
      <c r="AW101" s="825"/>
      <c r="AX101" s="480"/>
      <c r="BA101" s="825"/>
      <c r="BB101" s="825"/>
      <c r="BC101" s="825"/>
      <c r="BD101" s="825"/>
      <c r="BE101" s="825"/>
      <c r="BF101" s="825"/>
      <c r="BG101" s="825"/>
      <c r="BH101" s="825"/>
      <c r="BI101" s="825"/>
      <c r="BJ101" s="825"/>
      <c r="BK101" s="825"/>
      <c r="BL101" s="825"/>
      <c r="BM101" s="825"/>
      <c r="BN101" s="825"/>
      <c r="BO101" s="825"/>
      <c r="BP101" s="825"/>
      <c r="BQ101" s="825"/>
      <c r="BR101" s="825"/>
      <c r="BS101" s="825"/>
      <c r="BT101" s="825"/>
      <c r="BU101" s="825"/>
      <c r="BV101" s="825"/>
      <c r="BW101" s="825"/>
      <c r="BX101" s="825"/>
      <c r="BY101" s="825"/>
      <c r="BZ101" s="825"/>
      <c r="CA101" s="825"/>
      <c r="CB101" s="825"/>
      <c r="CC101" s="825"/>
    </row>
    <row r="102" spans="1:81" ht="32.950000000000003" customHeight="1" x14ac:dyDescent="0.25">
      <c r="A102" s="825"/>
      <c r="B102" s="672" t="s">
        <v>488</v>
      </c>
      <c r="C102" s="1605" t="str">
        <f>'8. BASE  CONSOLIDADA'!E28</f>
        <v>1.2.7</v>
      </c>
      <c r="D102" s="1564" t="str">
        <f>'8. BASE  CONSOLIDADA'!F28</f>
        <v>Implementación de infraestructura productiva baja en emisiones</v>
      </c>
      <c r="E102" s="1564" t="str">
        <f>'8. BASE  CONSOLIDADA'!G28</f>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v>
      </c>
      <c r="F102" s="1535" t="str">
        <f>'8. BASE  CONSOLIDADA'!C28</f>
        <v xml:space="preserve">Predios privados dedicados a la producción comercial (arroz) </v>
      </c>
      <c r="G102" s="1535" t="str">
        <f>VLOOKUP($C102,'8. BASE  CONSOLIDADA'!$E$7:$AS$308,13,FALSE)</f>
        <v>Planes de negocios ejecutados</v>
      </c>
      <c r="H102" s="1535">
        <f>VLOOKUP($C102,'8. BASE  CONSOLIDADA'!$E$7:$AS$308,15,FALSE)</f>
        <v>3</v>
      </c>
      <c r="I102" s="1535">
        <f>VLOOKUP(C102,'8. BASE  CONSOLIDADA'!$E$7:$AS$308,20,FALSE)</f>
        <v>225000</v>
      </c>
      <c r="J102" s="1535">
        <f>I102*$J$6</f>
        <v>153</v>
      </c>
      <c r="K102" s="1535"/>
      <c r="L102" s="1535"/>
      <c r="M102" s="645" t="s">
        <v>489</v>
      </c>
      <c r="N102" s="724" t="str">
        <f>N34</f>
        <v>Incremento de la deforestación por demanda de insumos e instalación de infraestructura y vias de comunicación</v>
      </c>
      <c r="O102" s="837" t="str">
        <f t="shared" si="3"/>
        <v>Biodiversidad y recursos naturales</v>
      </c>
      <c r="P102" s="837" t="e">
        <f>#REF!</f>
        <v>#REF!</v>
      </c>
      <c r="Q102" s="571" t="str">
        <f>AA14</f>
        <v>Desarrollo de incentivos financieros y no financieros condicionados con cláusulas de no deforestación</v>
      </c>
      <c r="R102" s="837" t="s">
        <v>673</v>
      </c>
      <c r="S102" s="844" t="s">
        <v>526</v>
      </c>
      <c r="T102" s="519" t="str">
        <f>Z14</f>
        <v>SBRN6</v>
      </c>
      <c r="U102" s="620" t="s">
        <v>701</v>
      </c>
      <c r="V102" s="478"/>
      <c r="W102" s="478"/>
      <c r="X102" s="273"/>
      <c r="Y102" s="825"/>
      <c r="Z102" s="825"/>
      <c r="AA102" s="825"/>
      <c r="AB102" s="825"/>
      <c r="AC102" s="825"/>
      <c r="AD102" s="825"/>
      <c r="AE102" s="825"/>
      <c r="AF102" s="825"/>
      <c r="AG102" s="825"/>
      <c r="AH102" s="825"/>
      <c r="AI102" s="825"/>
      <c r="AJ102" s="825"/>
      <c r="AK102" s="825"/>
      <c r="AL102" s="825"/>
      <c r="AM102" s="825"/>
      <c r="AN102" s="825"/>
      <c r="AO102" s="825"/>
      <c r="AP102" s="825"/>
      <c r="AQ102" s="825"/>
      <c r="AR102" s="825"/>
      <c r="AS102" s="825"/>
      <c r="AT102" s="825"/>
      <c r="AU102" s="825"/>
      <c r="AV102" s="825"/>
      <c r="AW102" s="825"/>
      <c r="AX102" s="480"/>
      <c r="BA102" s="825"/>
      <c r="BB102" s="825"/>
      <c r="BC102" s="825"/>
      <c r="BD102" s="825"/>
      <c r="BE102" s="825"/>
      <c r="BF102" s="825"/>
      <c r="BG102" s="825"/>
      <c r="BH102" s="825"/>
      <c r="BI102" s="825"/>
      <c r="BJ102" s="825"/>
      <c r="BK102" s="825"/>
      <c r="BL102" s="825"/>
      <c r="BM102" s="825"/>
      <c r="BN102" s="825"/>
      <c r="BO102" s="825"/>
      <c r="BP102" s="825"/>
      <c r="BQ102" s="825"/>
      <c r="BR102" s="825"/>
      <c r="BS102" s="825"/>
      <c r="BT102" s="825"/>
      <c r="BU102" s="825"/>
      <c r="BV102" s="825"/>
      <c r="BW102" s="825"/>
      <c r="BX102" s="825"/>
      <c r="BY102" s="825"/>
      <c r="BZ102" s="825"/>
      <c r="CA102" s="825"/>
      <c r="CB102" s="825"/>
      <c r="CC102" s="825"/>
    </row>
    <row r="103" spans="1:81" ht="30.1" customHeight="1" x14ac:dyDescent="0.25">
      <c r="A103" s="825"/>
      <c r="B103" s="672"/>
      <c r="C103" s="1606"/>
      <c r="D103" s="1565"/>
      <c r="E103" s="1565"/>
      <c r="F103" s="1536"/>
      <c r="G103" s="1536"/>
      <c r="H103" s="1536"/>
      <c r="I103" s="1536"/>
      <c r="J103" s="1536"/>
      <c r="K103" s="1536"/>
      <c r="L103" s="1536"/>
      <c r="M103" s="645" t="s">
        <v>489</v>
      </c>
      <c r="N103" s="724" t="str">
        <f>N28</f>
        <v>Contaminación por residuos agropecuarios</v>
      </c>
      <c r="O103" s="837" t="str">
        <f t="shared" si="3"/>
        <v>Contaminación</v>
      </c>
      <c r="P103" s="837" t="e">
        <f>#REF!</f>
        <v>#REF!</v>
      </c>
      <c r="Q103" s="571" t="str">
        <f>AM10</f>
        <v>Control de residuos agropecuarios</v>
      </c>
      <c r="R103" s="837" t="s">
        <v>535</v>
      </c>
      <c r="S103" s="844" t="s">
        <v>492</v>
      </c>
      <c r="T103" s="519" t="str">
        <f>AL10</f>
        <v>SCT2</v>
      </c>
      <c r="U103" s="620"/>
      <c r="V103" s="478"/>
      <c r="W103" s="478"/>
      <c r="X103" s="273"/>
      <c r="Y103" s="825"/>
      <c r="Z103" s="825"/>
      <c r="AA103" s="825"/>
      <c r="AB103" s="825"/>
      <c r="AC103" s="825"/>
      <c r="AD103" s="825"/>
      <c r="AE103" s="825"/>
      <c r="AF103" s="825"/>
      <c r="AG103" s="825"/>
      <c r="AH103" s="825"/>
      <c r="AI103" s="825"/>
      <c r="AJ103" s="825"/>
      <c r="AK103" s="825"/>
      <c r="AL103" s="825"/>
      <c r="AM103" s="825"/>
      <c r="AN103" s="825"/>
      <c r="AO103" s="825"/>
      <c r="AP103" s="825"/>
      <c r="AQ103" s="825"/>
      <c r="AR103" s="825"/>
      <c r="AS103" s="825"/>
      <c r="AT103" s="825"/>
      <c r="AU103" s="825"/>
      <c r="AV103" s="825"/>
      <c r="AW103" s="825"/>
      <c r="AX103" s="480"/>
      <c r="BA103" s="825"/>
      <c r="BB103" s="825"/>
      <c r="BC103" s="825"/>
      <c r="BD103" s="825"/>
      <c r="BE103" s="825"/>
      <c r="BF103" s="825"/>
      <c r="BG103" s="825"/>
      <c r="BH103" s="825"/>
      <c r="BI103" s="825"/>
      <c r="BJ103" s="825"/>
      <c r="BK103" s="825"/>
      <c r="BL103" s="825"/>
      <c r="BM103" s="825"/>
      <c r="BN103" s="825"/>
      <c r="BO103" s="825"/>
      <c r="BP103" s="825"/>
      <c r="BQ103" s="825"/>
      <c r="BR103" s="825"/>
      <c r="BS103" s="825"/>
      <c r="BT103" s="825"/>
      <c r="BU103" s="825"/>
      <c r="BV103" s="825"/>
      <c r="BW103" s="825"/>
      <c r="BX103" s="825"/>
      <c r="BY103" s="825"/>
      <c r="BZ103" s="825"/>
      <c r="CA103" s="825"/>
      <c r="CB103" s="825"/>
      <c r="CC103" s="825"/>
    </row>
    <row r="104" spans="1:81" ht="42.8" customHeight="1" x14ac:dyDescent="0.25">
      <c r="A104" s="825"/>
      <c r="B104" s="672"/>
      <c r="C104" s="1607"/>
      <c r="D104" s="1566"/>
      <c r="E104" s="1566"/>
      <c r="F104" s="1543"/>
      <c r="G104" s="1543"/>
      <c r="H104" s="1543"/>
      <c r="I104" s="1543"/>
      <c r="J104" s="1543"/>
      <c r="K104" s="1543"/>
      <c r="L104" s="1543"/>
      <c r="M104" s="645" t="s">
        <v>489</v>
      </c>
      <c r="N104" s="724" t="str">
        <f>N36</f>
        <v>Colución, Cohecho y negociación incompatible</v>
      </c>
      <c r="O104" s="837" t="str">
        <f t="shared" si="3"/>
        <v>Corrupción</v>
      </c>
      <c r="P104" s="837" t="e">
        <f>#REF!</f>
        <v>#REF!</v>
      </c>
      <c r="Q104" s="571" t="str">
        <f>AG10</f>
        <v>Transparencia en incentivos financieros y obras públicas vinculadas a la ERDRBE</v>
      </c>
      <c r="R104" s="837" t="s">
        <v>687</v>
      </c>
      <c r="S104" s="844" t="s">
        <v>507</v>
      </c>
      <c r="T104" s="519" t="str">
        <f>AF10</f>
        <v>SCR2</v>
      </c>
      <c r="U104" s="620" t="s">
        <v>845</v>
      </c>
      <c r="V104" s="478"/>
      <c r="W104" s="478"/>
      <c r="X104" s="273"/>
      <c r="Y104" s="825"/>
      <c r="Z104" s="825"/>
      <c r="AA104" s="825"/>
      <c r="AB104" s="825"/>
      <c r="AC104" s="825"/>
      <c r="AD104" s="825"/>
      <c r="AE104" s="825"/>
      <c r="AF104" s="825"/>
      <c r="AG104" s="825"/>
      <c r="AH104" s="825"/>
      <c r="AI104" s="825"/>
      <c r="AJ104" s="825"/>
      <c r="AK104" s="825"/>
      <c r="AL104" s="825"/>
      <c r="AM104" s="825"/>
      <c r="AN104" s="825"/>
      <c r="AO104" s="825"/>
      <c r="AP104" s="825"/>
      <c r="AQ104" s="825"/>
      <c r="AR104" s="825"/>
      <c r="AS104" s="825"/>
      <c r="AT104" s="825"/>
      <c r="AU104" s="825"/>
      <c r="AV104" s="825"/>
      <c r="AW104" s="825"/>
      <c r="AX104" s="480"/>
      <c r="BA104" s="825"/>
      <c r="BB104" s="825"/>
      <c r="BC104" s="825"/>
      <c r="BD104" s="825"/>
      <c r="BE104" s="825"/>
      <c r="BF104" s="825"/>
      <c r="BG104" s="825"/>
      <c r="BH104" s="825"/>
      <c r="BI104" s="825"/>
      <c r="BJ104" s="825"/>
      <c r="BK104" s="825"/>
      <c r="BL104" s="825"/>
      <c r="BM104" s="825"/>
      <c r="BN104" s="825"/>
      <c r="BO104" s="825"/>
      <c r="BP104" s="825"/>
      <c r="BQ104" s="825"/>
      <c r="BR104" s="825"/>
      <c r="BS104" s="825"/>
      <c r="BT104" s="825"/>
      <c r="BU104" s="825"/>
      <c r="BV104" s="825"/>
      <c r="BW104" s="825"/>
      <c r="BX104" s="825"/>
      <c r="BY104" s="825"/>
      <c r="BZ104" s="825"/>
      <c r="CA104" s="825"/>
      <c r="CB104" s="825"/>
      <c r="CC104" s="825"/>
    </row>
    <row r="105" spans="1:81" ht="59.3" customHeight="1" x14ac:dyDescent="0.25">
      <c r="A105" s="825"/>
      <c r="B105" s="672" t="s">
        <v>488</v>
      </c>
      <c r="C105" s="1571" t="str">
        <f>'8. BASE  CONSOLIDADA'!E30</f>
        <v>1.3.1</v>
      </c>
      <c r="D105" s="1564" t="str">
        <f>'8. BASE  CONSOLIDADA'!F30</f>
        <v>Otorgamiento de derechos sobre la tierra/bosques</v>
      </c>
      <c r="E105" s="1564" t="str">
        <f>'8. BASE  CONSOLIDADA'!G30</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105" s="1538" t="str">
        <f>'8. BASE  CONSOLIDADA'!C30</f>
        <v>Predios privados para ganadería de leche y carne</v>
      </c>
      <c r="G105" s="1538" t="str">
        <f>VLOOKUP($C105,'8. BASE  CONSOLIDADA'!$E$7:$AS$308,13,FALSE)</f>
        <v>N° Títulos/Contratos otorgados</v>
      </c>
      <c r="H105" s="1538">
        <f>VLOOKUP($C105,'8. BASE  CONSOLIDADA'!$E$7:$AS$308,15,FALSE)</f>
        <v>2930.1302662017852</v>
      </c>
      <c r="I105" s="1538">
        <f>VLOOKUP(C105,'8. BASE  CONSOLIDADA'!$E$7:$AS$308,20,FALSE)</f>
        <v>5860260.5324035706</v>
      </c>
      <c r="J105" s="1538">
        <f>I105*$J$6</f>
        <v>3984.9771620344281</v>
      </c>
      <c r="K105" s="1538"/>
      <c r="L105" s="1538"/>
      <c r="M105" s="645" t="s">
        <v>489</v>
      </c>
      <c r="N105" s="722" t="str">
        <f>N8</f>
        <v>Otorgamiento de titulos de propiedad en tierras de aptitud forestal o protección con cobertura de bosques</v>
      </c>
      <c r="O105" s="837" t="str">
        <f t="shared" si="3"/>
        <v>Biodiversidad y recursos naturales</v>
      </c>
      <c r="P105" s="836" t="e">
        <f>#REF!</f>
        <v>#REF!</v>
      </c>
      <c r="Q105" s="757" t="str">
        <f>AA9</f>
        <v>Realizar estudios de suelos para determinar la capacidad de uso mayor de los suelos como parte de los procesos de formalización de la propiedad rural</v>
      </c>
      <c r="R105" s="842" t="s">
        <v>491</v>
      </c>
      <c r="S105" s="842" t="s">
        <v>492</v>
      </c>
      <c r="T105" s="519" t="str">
        <f>Z9</f>
        <v>SBRN1</v>
      </c>
      <c r="U105" s="620"/>
      <c r="V105" s="478"/>
      <c r="W105" s="478"/>
      <c r="X105" s="273"/>
      <c r="Y105" s="825"/>
      <c r="Z105" s="825"/>
      <c r="AA105" s="825"/>
      <c r="AB105" s="825"/>
      <c r="AC105" s="825"/>
      <c r="AD105" s="825"/>
      <c r="AE105" s="825"/>
      <c r="AF105" s="825"/>
      <c r="AG105" s="825"/>
      <c r="AH105" s="825"/>
      <c r="AI105" s="825"/>
      <c r="AJ105" s="825"/>
      <c r="AK105" s="825"/>
      <c r="AL105" s="825"/>
      <c r="AM105" s="825"/>
      <c r="AN105" s="825"/>
      <c r="AO105" s="825"/>
      <c r="AP105" s="825"/>
      <c r="AQ105" s="825"/>
      <c r="AR105" s="825"/>
      <c r="AS105" s="825"/>
      <c r="AT105" s="825"/>
      <c r="AU105" s="825"/>
      <c r="AV105" s="825"/>
      <c r="AW105" s="825"/>
      <c r="AX105" s="480"/>
      <c r="BA105" s="825"/>
      <c r="BB105" s="825"/>
      <c r="BC105" s="825"/>
      <c r="BD105" s="825"/>
      <c r="BE105" s="825"/>
      <c r="BF105" s="825"/>
      <c r="BG105" s="825"/>
      <c r="BH105" s="825"/>
      <c r="BI105" s="825"/>
      <c r="BJ105" s="825"/>
      <c r="BK105" s="825"/>
      <c r="BL105" s="825"/>
      <c r="BM105" s="825"/>
      <c r="BN105" s="825"/>
      <c r="BO105" s="825"/>
      <c r="BP105" s="825"/>
      <c r="BQ105" s="825"/>
      <c r="BR105" s="825"/>
      <c r="BS105" s="825"/>
      <c r="BT105" s="825"/>
      <c r="BU105" s="825"/>
      <c r="BV105" s="825"/>
      <c r="BW105" s="825"/>
      <c r="BX105" s="825"/>
      <c r="BY105" s="825"/>
      <c r="BZ105" s="825"/>
      <c r="CA105" s="825"/>
      <c r="CB105" s="825"/>
      <c r="CC105" s="825"/>
    </row>
    <row r="106" spans="1:81" ht="32.950000000000003" customHeight="1" x14ac:dyDescent="0.25">
      <c r="A106" s="825"/>
      <c r="B106" s="672"/>
      <c r="C106" s="1572"/>
      <c r="D106" s="1565"/>
      <c r="E106" s="1565"/>
      <c r="F106" s="1539"/>
      <c r="G106" s="1539"/>
      <c r="H106" s="1539"/>
      <c r="I106" s="1539"/>
      <c r="J106" s="1539"/>
      <c r="K106" s="1539"/>
      <c r="L106" s="1539"/>
      <c r="M106" s="645" t="s">
        <v>489</v>
      </c>
      <c r="N106" s="722" t="str">
        <f>N9</f>
        <v>Otorgamiento de titulos de propiedad en tierras de aptitud  A y C con cobertura de bosques</v>
      </c>
      <c r="O106" s="837" t="str">
        <f t="shared" si="3"/>
        <v>Biodiversidad y recursos naturales</v>
      </c>
      <c r="P106" s="842" t="e">
        <f>#REF!</f>
        <v>#REF!</v>
      </c>
      <c r="Q106" s="757" t="str">
        <f>AA10</f>
        <v>Implementar el procedimiento de cambio de uso actual de tierras A y C con cobertura de bosques para formalización de propiedad rural considerado en la Ley Forestal y de Fauna Silvestre (Ley No 29736)</v>
      </c>
      <c r="R106" s="842" t="s">
        <v>506</v>
      </c>
      <c r="S106" s="842" t="s">
        <v>507</v>
      </c>
      <c r="T106" s="519" t="str">
        <f>Z10</f>
        <v>SBRN2</v>
      </c>
      <c r="U106" s="620"/>
      <c r="V106" s="478"/>
      <c r="W106" s="478"/>
      <c r="X106" s="273"/>
      <c r="Y106" s="825"/>
      <c r="Z106" s="825"/>
      <c r="AA106" s="825"/>
      <c r="AB106" s="825"/>
      <c r="AC106" s="825"/>
      <c r="AD106" s="825"/>
      <c r="AE106" s="825"/>
      <c r="AF106" s="825"/>
      <c r="AG106" s="825"/>
      <c r="AH106" s="825"/>
      <c r="AI106" s="825"/>
      <c r="AJ106" s="825"/>
      <c r="AK106" s="825"/>
      <c r="AL106" s="825"/>
      <c r="AM106" s="825"/>
      <c r="AN106" s="825"/>
      <c r="AO106" s="825"/>
      <c r="AP106" s="825"/>
      <c r="AQ106" s="825"/>
      <c r="AR106" s="825"/>
      <c r="AS106" s="825"/>
      <c r="AT106" s="825"/>
      <c r="AU106" s="825"/>
      <c r="AV106" s="825"/>
      <c r="AW106" s="825"/>
      <c r="AX106" s="480"/>
      <c r="BA106" s="825"/>
      <c r="BB106" s="825"/>
      <c r="BC106" s="825"/>
      <c r="BD106" s="825"/>
      <c r="BE106" s="825"/>
      <c r="BF106" s="825"/>
      <c r="BG106" s="825"/>
      <c r="BH106" s="825"/>
      <c r="BI106" s="825"/>
      <c r="BJ106" s="825"/>
      <c r="BK106" s="825"/>
      <c r="BL106" s="825"/>
      <c r="BM106" s="825"/>
      <c r="BN106" s="825"/>
      <c r="BO106" s="825"/>
      <c r="BP106" s="825"/>
      <c r="BQ106" s="825"/>
      <c r="BR106" s="825"/>
      <c r="BS106" s="825"/>
      <c r="BT106" s="825"/>
      <c r="BU106" s="825"/>
      <c r="BV106" s="825"/>
      <c r="BW106" s="825"/>
      <c r="BX106" s="825"/>
      <c r="BY106" s="825"/>
      <c r="BZ106" s="825"/>
      <c r="CA106" s="825"/>
      <c r="CB106" s="825"/>
      <c r="CC106" s="825"/>
    </row>
    <row r="107" spans="1:81" ht="32.950000000000003" customHeight="1" x14ac:dyDescent="0.25">
      <c r="A107" s="825"/>
      <c r="B107" s="672"/>
      <c r="C107" s="1572"/>
      <c r="D107" s="1565"/>
      <c r="E107" s="1565"/>
      <c r="F107" s="1539"/>
      <c r="G107" s="1539"/>
      <c r="H107" s="1539"/>
      <c r="I107" s="1539"/>
      <c r="J107" s="1539"/>
      <c r="K107" s="1539"/>
      <c r="L107" s="1539"/>
      <c r="M107" s="645" t="s">
        <v>489</v>
      </c>
      <c r="N107" s="722" t="str">
        <f>N9</f>
        <v>Otorgamiento de titulos de propiedad en tierras de aptitud  A y C con cobertura de bosques</v>
      </c>
      <c r="O107" s="837" t="str">
        <f t="shared" si="3"/>
        <v>Biodiversidad y recursos naturales</v>
      </c>
      <c r="P107" s="842" t="e">
        <f>#REF!</f>
        <v>#REF!</v>
      </c>
      <c r="Q107" s="757" t="str">
        <f>AA11</f>
        <v>Fortalecer las capacidades de la población local para que conozcan el marco legal sobre los derechos sobre la tierra y los bosques</v>
      </c>
      <c r="R107" s="842" t="s">
        <v>525</v>
      </c>
      <c r="S107" s="842" t="s">
        <v>526</v>
      </c>
      <c r="T107" s="519" t="str">
        <f>Z11</f>
        <v>SBRN3</v>
      </c>
      <c r="U107" s="620"/>
      <c r="V107" s="478"/>
      <c r="W107" s="478"/>
      <c r="X107" s="273"/>
      <c r="Y107" s="825"/>
      <c r="Z107" s="825"/>
      <c r="AA107" s="825"/>
      <c r="AB107" s="825"/>
      <c r="AC107" s="825"/>
      <c r="AD107" s="825"/>
      <c r="AE107" s="825"/>
      <c r="AF107" s="825"/>
      <c r="AG107" s="825"/>
      <c r="AH107" s="825"/>
      <c r="AI107" s="825"/>
      <c r="AJ107" s="825"/>
      <c r="AK107" s="825"/>
      <c r="AL107" s="825"/>
      <c r="AM107" s="825"/>
      <c r="AN107" s="825"/>
      <c r="AO107" s="825"/>
      <c r="AP107" s="825"/>
      <c r="AQ107" s="825"/>
      <c r="AR107" s="825"/>
      <c r="AS107" s="825"/>
      <c r="AT107" s="825"/>
      <c r="AU107" s="825"/>
      <c r="AV107" s="825"/>
      <c r="AW107" s="825"/>
      <c r="AX107" s="480"/>
      <c r="BA107" s="825"/>
      <c r="BB107" s="825"/>
      <c r="BC107" s="825"/>
      <c r="BD107" s="825"/>
      <c r="BE107" s="825"/>
      <c r="BF107" s="825"/>
      <c r="BG107" s="825"/>
      <c r="BH107" s="825"/>
      <c r="BI107" s="825"/>
      <c r="BJ107" s="825"/>
      <c r="BK107" s="825"/>
      <c r="BL107" s="825"/>
      <c r="BM107" s="825"/>
      <c r="BN107" s="825"/>
      <c r="BO107" s="825"/>
      <c r="BP107" s="825"/>
      <c r="BQ107" s="825"/>
      <c r="BR107" s="825"/>
      <c r="BS107" s="825"/>
      <c r="BT107" s="825"/>
      <c r="BU107" s="825"/>
      <c r="BV107" s="825"/>
      <c r="BW107" s="825"/>
      <c r="BX107" s="825"/>
      <c r="BY107" s="825"/>
      <c r="BZ107" s="825"/>
      <c r="CA107" s="825"/>
      <c r="CB107" s="825"/>
      <c r="CC107" s="825"/>
    </row>
    <row r="108" spans="1:81" ht="60.8" customHeight="1" x14ac:dyDescent="0.25">
      <c r="A108" s="825"/>
      <c r="B108" s="672"/>
      <c r="C108" s="1572"/>
      <c r="D108" s="1565"/>
      <c r="E108" s="1565"/>
      <c r="F108" s="1539"/>
      <c r="G108" s="1539"/>
      <c r="H108" s="1539"/>
      <c r="I108" s="1539"/>
      <c r="J108" s="1539"/>
      <c r="K108" s="1539"/>
      <c r="L108" s="1539"/>
      <c r="M108" s="645" t="s">
        <v>489</v>
      </c>
      <c r="N108" s="722" t="str">
        <f>N10</f>
        <v>Superposición de áreas a ser tituladas individualmente con áreas solicitadas por pueblos indígenas</v>
      </c>
      <c r="O108" s="842" t="str">
        <f>AA6</f>
        <v>Derechos de los pueblos indígenas</v>
      </c>
      <c r="P108" s="836" t="str">
        <f>Z6</f>
        <v>DPI</v>
      </c>
      <c r="Q108" s="757" t="str">
        <f>AD9</f>
        <v>Evaluación de superposiciones de solicitudes de titulación de predios rurales con solicitudes de pueblos indígenas (como parte del proceso de titulación de un predio rural individual)</v>
      </c>
      <c r="R108" s="842" t="s">
        <v>840</v>
      </c>
      <c r="S108" s="842" t="s">
        <v>542</v>
      </c>
      <c r="T108" s="519" t="str">
        <f>AC9</f>
        <v>SDPI1</v>
      </c>
      <c r="U108" s="620"/>
      <c r="V108" s="478"/>
      <c r="W108" s="478"/>
      <c r="X108" s="273"/>
      <c r="Y108" s="825"/>
      <c r="Z108" s="825"/>
      <c r="AA108" s="825"/>
      <c r="AB108" s="825"/>
      <c r="AC108" s="825"/>
      <c r="AD108" s="825"/>
      <c r="AE108" s="825"/>
      <c r="AF108" s="825"/>
      <c r="AG108" s="825"/>
      <c r="AH108" s="825"/>
      <c r="AI108" s="825"/>
      <c r="AJ108" s="825"/>
      <c r="AK108" s="825"/>
      <c r="AL108" s="825"/>
      <c r="AM108" s="825"/>
      <c r="AN108" s="825"/>
      <c r="AO108" s="825"/>
      <c r="AP108" s="825"/>
      <c r="AQ108" s="825"/>
      <c r="AR108" s="825"/>
      <c r="AS108" s="825"/>
      <c r="AT108" s="825"/>
      <c r="AU108" s="825"/>
      <c r="AV108" s="825"/>
      <c r="AW108" s="825"/>
      <c r="AX108" s="480"/>
      <c r="BA108" s="825"/>
      <c r="BB108" s="825"/>
      <c r="BC108" s="825"/>
      <c r="BD108" s="825"/>
      <c r="BE108" s="825"/>
      <c r="BF108" s="825"/>
      <c r="BG108" s="825"/>
      <c r="BH108" s="825"/>
      <c r="BI108" s="825"/>
      <c r="BJ108" s="825"/>
      <c r="BK108" s="825"/>
      <c r="BL108" s="825"/>
      <c r="BM108" s="825"/>
      <c r="BN108" s="825"/>
      <c r="BO108" s="825"/>
      <c r="BP108" s="825"/>
      <c r="BQ108" s="825"/>
      <c r="BR108" s="825"/>
      <c r="BS108" s="825"/>
      <c r="BT108" s="825"/>
      <c r="BU108" s="825"/>
      <c r="BV108" s="825"/>
      <c r="BW108" s="825"/>
      <c r="BX108" s="825"/>
      <c r="BY108" s="825"/>
      <c r="BZ108" s="825"/>
      <c r="CA108" s="825"/>
      <c r="CB108" s="825"/>
      <c r="CC108" s="825"/>
    </row>
    <row r="109" spans="1:81" ht="43.5" customHeight="1" x14ac:dyDescent="0.25">
      <c r="A109" s="825"/>
      <c r="B109" s="672"/>
      <c r="C109" s="1572"/>
      <c r="D109" s="1565"/>
      <c r="E109" s="1565"/>
      <c r="F109" s="1539"/>
      <c r="G109" s="1539"/>
      <c r="H109" s="1539"/>
      <c r="I109" s="1539"/>
      <c r="J109" s="1539"/>
      <c r="K109" s="1539"/>
      <c r="L109" s="1539"/>
      <c r="M109" s="645" t="s">
        <v>489</v>
      </c>
      <c r="N109" s="722" t="str">
        <f>N10</f>
        <v>Superposición de áreas a ser tituladas individualmente con áreas solicitadas por pueblos indígenas</v>
      </c>
      <c r="O109" s="837" t="str">
        <f t="shared" ref="O109:O172" si="4">VLOOKUP(T109,$AY$9:$BA$81,3,FALSE)</f>
        <v>Derechos de los pueblos indígenas</v>
      </c>
      <c r="P109" s="836" t="str">
        <f>Z6</f>
        <v>DPI</v>
      </c>
      <c r="Q109" s="757" t="str">
        <f>AD10</f>
        <v xml:space="preserve">Análisis de demandas de titulación de tierras a favor de comunidades nativas a nivel departamental con organizaciones indígenas </v>
      </c>
      <c r="R109" s="842" t="s">
        <v>555</v>
      </c>
      <c r="S109" s="842" t="s">
        <v>542</v>
      </c>
      <c r="T109" s="519" t="str">
        <f>AC10</f>
        <v>SDPI2</v>
      </c>
      <c r="U109" s="620"/>
      <c r="V109" s="478"/>
      <c r="W109" s="478"/>
      <c r="X109" s="273"/>
      <c r="Y109" s="825"/>
      <c r="Z109" s="825"/>
      <c r="AA109" s="825"/>
      <c r="AB109" s="825"/>
      <c r="AC109" s="825"/>
      <c r="AD109" s="825"/>
      <c r="AE109" s="825"/>
      <c r="AF109" s="825"/>
      <c r="AG109" s="825"/>
      <c r="AH109" s="825"/>
      <c r="AI109" s="825"/>
      <c r="AJ109" s="825"/>
      <c r="AK109" s="825"/>
      <c r="AL109" s="825"/>
      <c r="AM109" s="825"/>
      <c r="AN109" s="825"/>
      <c r="AO109" s="825"/>
      <c r="AP109" s="825"/>
      <c r="AQ109" s="825"/>
      <c r="AR109" s="825"/>
      <c r="AS109" s="825"/>
      <c r="AT109" s="825"/>
      <c r="AU109" s="825"/>
      <c r="AV109" s="825"/>
      <c r="AW109" s="825"/>
      <c r="AX109" s="480"/>
      <c r="BA109" s="825"/>
      <c r="BB109" s="825"/>
      <c r="BC109" s="825"/>
      <c r="BD109" s="825"/>
      <c r="BE109" s="825"/>
      <c r="BF109" s="825"/>
      <c r="BG109" s="825"/>
      <c r="BH109" s="825"/>
      <c r="BI109" s="825"/>
      <c r="BJ109" s="825"/>
      <c r="BK109" s="825"/>
      <c r="BL109" s="825"/>
      <c r="BM109" s="825"/>
      <c r="BN109" s="825"/>
      <c r="BO109" s="825"/>
      <c r="BP109" s="825"/>
      <c r="BQ109" s="825"/>
      <c r="BR109" s="825"/>
      <c r="BS109" s="825"/>
      <c r="BT109" s="825"/>
      <c r="BU109" s="825"/>
      <c r="BV109" s="825"/>
      <c r="BW109" s="825"/>
      <c r="BX109" s="825"/>
      <c r="BY109" s="825"/>
      <c r="BZ109" s="825"/>
      <c r="CA109" s="825"/>
      <c r="CB109" s="825"/>
      <c r="CC109" s="825"/>
    </row>
    <row r="110" spans="1:81" ht="28.55" customHeight="1" x14ac:dyDescent="0.25">
      <c r="A110" s="825"/>
      <c r="B110" s="672"/>
      <c r="C110" s="1572"/>
      <c r="D110" s="1565"/>
      <c r="E110" s="1565"/>
      <c r="F110" s="1539"/>
      <c r="G110" s="1539"/>
      <c r="H110" s="1539"/>
      <c r="I110" s="1539"/>
      <c r="J110" s="1539"/>
      <c r="K110" s="1539"/>
      <c r="L110" s="1539"/>
      <c r="M110" s="645" t="s">
        <v>489</v>
      </c>
      <c r="N110" s="723" t="str">
        <f>N13</f>
        <v xml:space="preserve">Tráfico de títulos de propiedad y contratos de cesión en uso </v>
      </c>
      <c r="O110" s="837" t="str">
        <f t="shared" si="4"/>
        <v>Corrupción</v>
      </c>
      <c r="P110" s="855" t="e">
        <f>#REF!</f>
        <v>#REF!</v>
      </c>
      <c r="Q110" s="757" t="str">
        <f>AG9</f>
        <v xml:space="preserve">Transparencia en procesos de formalización de la propiedad rural y cesión en uso </v>
      </c>
      <c r="R110" s="842" t="s">
        <v>566</v>
      </c>
      <c r="S110" s="836" t="s">
        <v>526</v>
      </c>
      <c r="T110" s="519" t="str">
        <f>AF9</f>
        <v>SCR1</v>
      </c>
      <c r="U110" s="620"/>
      <c r="V110" s="478"/>
      <c r="W110" s="478"/>
      <c r="X110" s="273"/>
      <c r="Y110" s="825"/>
      <c r="Z110" s="825"/>
      <c r="AA110" s="825"/>
      <c r="AB110" s="825"/>
      <c r="AC110" s="825"/>
      <c r="AD110" s="825"/>
      <c r="AE110" s="825"/>
      <c r="AF110" s="825"/>
      <c r="AG110" s="825"/>
      <c r="AH110" s="825"/>
      <c r="AI110" s="825"/>
      <c r="AJ110" s="825"/>
      <c r="AK110" s="825"/>
      <c r="AL110" s="825"/>
      <c r="AM110" s="825"/>
      <c r="AN110" s="825"/>
      <c r="AO110" s="825"/>
      <c r="AP110" s="825"/>
      <c r="AQ110" s="825"/>
      <c r="AR110" s="825"/>
      <c r="AS110" s="825"/>
      <c r="AT110" s="825"/>
      <c r="AU110" s="825"/>
      <c r="AV110" s="825"/>
      <c r="AW110" s="825"/>
      <c r="AX110" s="480"/>
      <c r="BA110" s="825"/>
      <c r="BB110" s="825"/>
      <c r="BC110" s="825"/>
      <c r="BD110" s="825"/>
      <c r="BE110" s="825"/>
      <c r="BF110" s="825"/>
      <c r="BG110" s="825"/>
      <c r="BH110" s="825"/>
      <c r="BI110" s="825"/>
      <c r="BJ110" s="825"/>
      <c r="BK110" s="825"/>
      <c r="BL110" s="825"/>
      <c r="BM110" s="825"/>
      <c r="BN110" s="825"/>
      <c r="BO110" s="825"/>
      <c r="BP110" s="825"/>
      <c r="BQ110" s="825"/>
      <c r="BR110" s="825"/>
      <c r="BS110" s="825"/>
      <c r="BT110" s="825"/>
      <c r="BU110" s="825"/>
      <c r="BV110" s="825"/>
      <c r="BW110" s="825"/>
      <c r="BX110" s="825"/>
      <c r="BY110" s="825"/>
      <c r="BZ110" s="825"/>
      <c r="CA110" s="825"/>
      <c r="CB110" s="825"/>
      <c r="CC110" s="825"/>
    </row>
    <row r="111" spans="1:81" ht="36" customHeight="1" x14ac:dyDescent="0.25">
      <c r="A111" s="825"/>
      <c r="B111" s="672"/>
      <c r="C111" s="1572"/>
      <c r="D111" s="1565"/>
      <c r="E111" s="1565"/>
      <c r="F111" s="1539"/>
      <c r="G111" s="1539"/>
      <c r="H111" s="1539"/>
      <c r="I111" s="1539"/>
      <c r="J111" s="1539"/>
      <c r="K111" s="1539"/>
      <c r="L111" s="1539"/>
      <c r="M111" s="645" t="s">
        <v>489</v>
      </c>
      <c r="N111" s="722" t="str">
        <f>N14</f>
        <v>Exclusión de mujeres propietarias en títulos de propiedad o contratos de cesión en uso</v>
      </c>
      <c r="O111" s="837" t="str">
        <f t="shared" si="4"/>
        <v>Género</v>
      </c>
      <c r="P111" s="855" t="str">
        <f>AC6</f>
        <v>GN</v>
      </c>
      <c r="Q111" s="757" t="str">
        <f>AJ9</f>
        <v xml:space="preserve">Incorporación de cónyuges o convivientes en títulos de propiedad y contratos de cesión en uso </v>
      </c>
      <c r="R111" s="842" t="s">
        <v>576</v>
      </c>
      <c r="S111" s="842" t="s">
        <v>507</v>
      </c>
      <c r="T111" s="519" t="str">
        <f>AI9</f>
        <v>SGN1</v>
      </c>
      <c r="U111" s="620"/>
      <c r="V111" s="478"/>
      <c r="W111" s="478"/>
      <c r="X111" s="273"/>
      <c r="Y111" s="825"/>
      <c r="Z111" s="825"/>
      <c r="AA111" s="825"/>
      <c r="AB111" s="825"/>
      <c r="AC111" s="825"/>
      <c r="AD111" s="825"/>
      <c r="AE111" s="825"/>
      <c r="AF111" s="825"/>
      <c r="AG111" s="825"/>
      <c r="AH111" s="825"/>
      <c r="AI111" s="825"/>
      <c r="AJ111" s="825"/>
      <c r="AK111" s="825"/>
      <c r="AL111" s="825"/>
      <c r="AM111" s="825"/>
      <c r="AN111" s="825"/>
      <c r="AO111" s="825"/>
      <c r="AP111" s="825"/>
      <c r="AQ111" s="825"/>
      <c r="AR111" s="825"/>
      <c r="AS111" s="825"/>
      <c r="AT111" s="825"/>
      <c r="AU111" s="825"/>
      <c r="AV111" s="825"/>
      <c r="AW111" s="825"/>
      <c r="AX111" s="480"/>
      <c r="BA111" s="825"/>
      <c r="BB111" s="825"/>
      <c r="BC111" s="825"/>
      <c r="BD111" s="825"/>
      <c r="BE111" s="825"/>
      <c r="BF111" s="825"/>
      <c r="BG111" s="825"/>
      <c r="BH111" s="825"/>
      <c r="BI111" s="825"/>
      <c r="BJ111" s="825"/>
      <c r="BK111" s="825"/>
      <c r="BL111" s="825"/>
      <c r="BM111" s="825"/>
      <c r="BN111" s="825"/>
      <c r="BO111" s="825"/>
      <c r="BP111" s="825"/>
      <c r="BQ111" s="825"/>
      <c r="BR111" s="825"/>
      <c r="BS111" s="825"/>
      <c r="BT111" s="825"/>
      <c r="BU111" s="825"/>
      <c r="BV111" s="825"/>
      <c r="BW111" s="825"/>
      <c r="BX111" s="825"/>
      <c r="BY111" s="825"/>
      <c r="BZ111" s="825"/>
      <c r="CA111" s="825"/>
      <c r="CB111" s="825"/>
      <c r="CC111" s="825"/>
    </row>
    <row r="112" spans="1:81" ht="44.35" customHeight="1" x14ac:dyDescent="0.25">
      <c r="A112" s="825"/>
      <c r="B112" s="672"/>
      <c r="C112" s="1573"/>
      <c r="D112" s="1566"/>
      <c r="E112" s="1566"/>
      <c r="F112" s="1560"/>
      <c r="G112" s="1560"/>
      <c r="H112" s="1560"/>
      <c r="I112" s="1560"/>
      <c r="J112" s="1560"/>
      <c r="K112" s="1560"/>
      <c r="L112" s="1560"/>
      <c r="M112" s="645" t="s">
        <v>489</v>
      </c>
      <c r="N112" s="722" t="str">
        <f>N15</f>
        <v>Otorgamiento de derechos sobre la tierra / bosques en zonas con patrimonio cultural</v>
      </c>
      <c r="O112" s="837" t="str">
        <f t="shared" si="4"/>
        <v>Patrimonio cultural</v>
      </c>
      <c r="P112" s="855" t="str">
        <f>AI6</f>
        <v>PC</v>
      </c>
      <c r="Q112" s="757" t="str">
        <f>AV9</f>
        <v>Evaluación de superposición del área solicitada para titulación de predios rurales con áreas determinadas como patrimonio cultural</v>
      </c>
      <c r="R112" s="842" t="s">
        <v>586</v>
      </c>
      <c r="S112" s="842" t="s">
        <v>542</v>
      </c>
      <c r="T112" s="519" t="str">
        <f>AU9</f>
        <v>SPC1</v>
      </c>
      <c r="U112" s="620"/>
      <c r="V112" s="478"/>
      <c r="W112" s="478"/>
      <c r="X112" s="273"/>
      <c r="Y112" s="825"/>
      <c r="Z112" s="825"/>
      <c r="AA112" s="825"/>
      <c r="AB112" s="825"/>
      <c r="AC112" s="825"/>
      <c r="AD112" s="825"/>
      <c r="AE112" s="825"/>
      <c r="AF112" s="825"/>
      <c r="AG112" s="825"/>
      <c r="AH112" s="825"/>
      <c r="AI112" s="825"/>
      <c r="AJ112" s="825"/>
      <c r="AK112" s="825"/>
      <c r="AL112" s="825"/>
      <c r="AM112" s="825"/>
      <c r="AN112" s="825"/>
      <c r="AO112" s="825"/>
      <c r="AP112" s="825"/>
      <c r="AQ112" s="825"/>
      <c r="AR112" s="825"/>
      <c r="AS112" s="825"/>
      <c r="AT112" s="825"/>
      <c r="AU112" s="825"/>
      <c r="AV112" s="825"/>
      <c r="AW112" s="825"/>
      <c r="AX112" s="480"/>
      <c r="BA112" s="825"/>
      <c r="BB112" s="825"/>
      <c r="BC112" s="825"/>
      <c r="BD112" s="825"/>
      <c r="BE112" s="825"/>
      <c r="BF112" s="825"/>
      <c r="BG112" s="825"/>
      <c r="BH112" s="825"/>
      <c r="BI112" s="825"/>
      <c r="BJ112" s="825"/>
      <c r="BK112" s="825"/>
      <c r="BL112" s="825"/>
      <c r="BM112" s="825"/>
      <c r="BN112" s="825"/>
      <c r="BO112" s="825"/>
      <c r="BP112" s="825"/>
      <c r="BQ112" s="825"/>
      <c r="BR112" s="825"/>
      <c r="BS112" s="825"/>
      <c r="BT112" s="825"/>
      <c r="BU112" s="825"/>
      <c r="BV112" s="825"/>
      <c r="BW112" s="825"/>
      <c r="BX112" s="825"/>
      <c r="BY112" s="825"/>
      <c r="BZ112" s="825"/>
      <c r="CA112" s="825"/>
      <c r="CB112" s="825"/>
      <c r="CC112" s="825"/>
    </row>
    <row r="113" spans="1:81" ht="91.55" customHeight="1" x14ac:dyDescent="0.25">
      <c r="A113" s="825"/>
      <c r="B113" s="672" t="s">
        <v>488</v>
      </c>
      <c r="C113" s="834" t="str">
        <f>'8. BASE  CONSOLIDADA'!E31</f>
        <v>1.3.2</v>
      </c>
      <c r="D113" s="1069" t="str">
        <f>'8. BASE  CONSOLIDADA'!F31</f>
        <v xml:space="preserve">Asistencia técnica para el mejoramiento de pastos y ganadería </v>
      </c>
      <c r="E113" s="1069" t="str">
        <f>'8. BASE  CONSOLIDADA'!G31</f>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F113" s="836" t="str">
        <f>'8. BASE  CONSOLIDADA'!C31</f>
        <v>Predios privados para ganadería de leche y carne</v>
      </c>
      <c r="G113" s="1019" t="str">
        <f>VLOOKUP($C113,'8. BASE  CONSOLIDADA'!$E$7:$AS$308,13,FALSE)</f>
        <v>Ganaderos asistidos</v>
      </c>
      <c r="H113" s="1109">
        <f>VLOOKUP($C113,'8. BASE  CONSOLIDADA'!$E$7:$AS$308,15,FALSE)</f>
        <v>1425</v>
      </c>
      <c r="I113" s="1058">
        <f>VLOOKUP(C113,'8. BASE  CONSOLIDADA'!$E$7:$AS$308,20,FALSE)</f>
        <v>798000</v>
      </c>
      <c r="J113" s="678">
        <f>I113*$J$6</f>
        <v>542.64</v>
      </c>
      <c r="K113" s="1020"/>
      <c r="L113" s="1029"/>
      <c r="M113" s="645" t="s">
        <v>489</v>
      </c>
      <c r="N113" s="722" t="str">
        <f>N16</f>
        <v>Exclusión de mujeres rurales en programas de asistencia técnica</v>
      </c>
      <c r="O113" s="837" t="str">
        <f t="shared" si="4"/>
        <v>Género</v>
      </c>
      <c r="P113" s="855" t="str">
        <f>AC6</f>
        <v>GN</v>
      </c>
      <c r="Q113" s="757" t="str">
        <f>AJ10</f>
        <v>Programas de asistencia técnica y proyectos específicos para mujeres rurales y mujeres indígenas</v>
      </c>
      <c r="R113" s="842" t="s">
        <v>596</v>
      </c>
      <c r="S113" s="842" t="s">
        <v>507</v>
      </c>
      <c r="T113" s="519" t="str">
        <f>AI10</f>
        <v>SGN2</v>
      </c>
      <c r="U113" s="620"/>
      <c r="V113" s="478"/>
      <c r="W113" s="478"/>
      <c r="X113" s="273"/>
      <c r="Y113" s="825"/>
      <c r="Z113" s="825"/>
      <c r="AA113" s="825"/>
      <c r="AB113" s="825"/>
      <c r="AC113" s="825"/>
      <c r="AD113" s="825"/>
      <c r="AE113" s="825"/>
      <c r="AF113" s="825"/>
      <c r="AG113" s="825"/>
      <c r="AH113" s="825"/>
      <c r="AI113" s="825"/>
      <c r="AJ113" s="825"/>
      <c r="AK113" s="825"/>
      <c r="AL113" s="825"/>
      <c r="AM113" s="825"/>
      <c r="AN113" s="825"/>
      <c r="AO113" s="825"/>
      <c r="AP113" s="825"/>
      <c r="AQ113" s="825"/>
      <c r="AR113" s="825"/>
      <c r="AS113" s="825"/>
      <c r="AT113" s="825"/>
      <c r="AU113" s="825"/>
      <c r="AV113" s="825"/>
      <c r="AW113" s="825"/>
      <c r="AX113" s="480"/>
      <c r="BA113" s="825"/>
      <c r="BB113" s="825"/>
      <c r="BC113" s="825"/>
      <c r="BD113" s="825"/>
      <c r="BE113" s="825"/>
      <c r="BF113" s="825"/>
      <c r="BG113" s="825"/>
      <c r="BH113" s="825"/>
      <c r="BI113" s="825"/>
      <c r="BJ113" s="825"/>
      <c r="BK113" s="825"/>
      <c r="BL113" s="825"/>
      <c r="BM113" s="825"/>
      <c r="BN113" s="825"/>
      <c r="BO113" s="825"/>
      <c r="BP113" s="825"/>
      <c r="BQ113" s="825"/>
      <c r="BR113" s="825"/>
      <c r="BS113" s="825"/>
      <c r="BT113" s="825"/>
      <c r="BU113" s="825"/>
      <c r="BV113" s="825"/>
      <c r="BW113" s="825"/>
      <c r="BX113" s="825"/>
      <c r="BY113" s="825"/>
      <c r="BZ113" s="825"/>
      <c r="CA113" s="825"/>
      <c r="CB113" s="825"/>
      <c r="CC113" s="825"/>
    </row>
    <row r="114" spans="1:81" ht="27" customHeight="1" x14ac:dyDescent="0.25">
      <c r="A114" s="825"/>
      <c r="B114" s="672" t="s">
        <v>488</v>
      </c>
      <c r="C114" s="1605" t="str">
        <f>'8. BASE  CONSOLIDADA'!E33</f>
        <v>1.3.4</v>
      </c>
      <c r="D114" s="1564" t="str">
        <f>'8. BASE  CONSOLIDADA'!F33</f>
        <v>Mejoramiento genético de ganado bovino</v>
      </c>
      <c r="E114" s="1564" t="str">
        <f>'8. BASE  CONSOLIDADA'!G33</f>
        <v xml:space="preserve"> Reactivación, implementación y gestión de las postas de inseminación artificial, material genético, capacitación y entrenamiento a inseminadores (certificar por competencia a través del SINEACE), transferencia de embriones a las granjas de los productores y asistencia técnica.</v>
      </c>
      <c r="F114" s="1535" t="str">
        <f>'8. BASE  CONSOLIDADA'!C33</f>
        <v>Predios privados para ganadería de leche y carne</v>
      </c>
      <c r="G114" s="1535" t="str">
        <f>VLOOKUP($C114,'8. BASE  CONSOLIDADA'!$E$7:$AS$308,13,FALSE)</f>
        <v>Postas activas y operativas</v>
      </c>
      <c r="H114" s="1535">
        <f>VLOOKUP($C114,'8. BASE  CONSOLIDADA'!$E$7:$AS$308,15,FALSE)</f>
        <v>21</v>
      </c>
      <c r="I114" s="1535">
        <f>VLOOKUP(C114,'8. BASE  CONSOLIDADA'!$E$7:$AS$308,20,FALSE)</f>
        <v>5754000</v>
      </c>
      <c r="J114" s="1535">
        <f>I114*$J$6</f>
        <v>3912.7200000000003</v>
      </c>
      <c r="K114" s="1535"/>
      <c r="L114" s="1535"/>
      <c r="M114" s="645" t="s">
        <v>489</v>
      </c>
      <c r="N114" s="722" t="str">
        <f>N16</f>
        <v>Exclusión de mujeres rurales en programas de asistencia técnica</v>
      </c>
      <c r="O114" s="837" t="str">
        <f t="shared" si="4"/>
        <v>Género</v>
      </c>
      <c r="P114" s="855" t="str">
        <f>AC6</f>
        <v>GN</v>
      </c>
      <c r="Q114" s="757" t="str">
        <f>AJ11</f>
        <v xml:space="preserve">Cuotas de género y medición de participación efectiva de mujeres rurales </v>
      </c>
      <c r="R114" s="842" t="s">
        <v>689</v>
      </c>
      <c r="S114" s="842" t="s">
        <v>507</v>
      </c>
      <c r="T114" s="519" t="str">
        <f>AI11</f>
        <v>SGN3</v>
      </c>
      <c r="U114" s="620"/>
      <c r="V114" s="478"/>
      <c r="W114" s="478"/>
      <c r="X114" s="273"/>
      <c r="Y114" s="825"/>
      <c r="Z114" s="825"/>
      <c r="AA114" s="825"/>
      <c r="AB114" s="825"/>
      <c r="AC114" s="825"/>
      <c r="AD114" s="825"/>
      <c r="AE114" s="825"/>
      <c r="AF114" s="825"/>
      <c r="AG114" s="825"/>
      <c r="AH114" s="825"/>
      <c r="AI114" s="825"/>
      <c r="AJ114" s="825"/>
      <c r="AK114" s="825"/>
      <c r="AL114" s="825"/>
      <c r="AM114" s="825"/>
      <c r="AN114" s="825"/>
      <c r="AO114" s="825"/>
      <c r="AP114" s="825"/>
      <c r="AQ114" s="825"/>
      <c r="AR114" s="825"/>
      <c r="AS114" s="825"/>
      <c r="AT114" s="825"/>
      <c r="AU114" s="825"/>
      <c r="AV114" s="825"/>
      <c r="AW114" s="825"/>
      <c r="AX114" s="480"/>
      <c r="BA114" s="825"/>
      <c r="BB114" s="825"/>
      <c r="BC114" s="825"/>
      <c r="BD114" s="825"/>
      <c r="BE114" s="825"/>
      <c r="BF114" s="825"/>
      <c r="BG114" s="825"/>
      <c r="BH114" s="825"/>
      <c r="BI114" s="825"/>
      <c r="BJ114" s="825"/>
      <c r="BK114" s="825"/>
      <c r="BL114" s="825"/>
      <c r="BM114" s="825"/>
      <c r="BN114" s="825"/>
      <c r="BO114" s="825"/>
      <c r="BP114" s="825"/>
      <c r="BQ114" s="825"/>
      <c r="BR114" s="825"/>
      <c r="BS114" s="825"/>
      <c r="BT114" s="825"/>
      <c r="BU114" s="825"/>
      <c r="BV114" s="825"/>
      <c r="BW114" s="825"/>
      <c r="BX114" s="825"/>
      <c r="BY114" s="825"/>
      <c r="BZ114" s="825"/>
      <c r="CA114" s="825"/>
      <c r="CB114" s="825"/>
      <c r="CC114" s="825"/>
    </row>
    <row r="115" spans="1:81" ht="44.35" customHeight="1" x14ac:dyDescent="0.25">
      <c r="A115" s="825"/>
      <c r="B115" s="672"/>
      <c r="C115" s="1607"/>
      <c r="D115" s="1566"/>
      <c r="E115" s="1566"/>
      <c r="F115" s="1543"/>
      <c r="G115" s="1543"/>
      <c r="H115" s="1543"/>
      <c r="I115" s="1543"/>
      <c r="J115" s="1543"/>
      <c r="K115" s="1543"/>
      <c r="L115" s="1543"/>
      <c r="M115" s="645" t="s">
        <v>489</v>
      </c>
      <c r="N115" s="722" t="str">
        <f>N16</f>
        <v>Exclusión de mujeres rurales en programas de asistencia técnica</v>
      </c>
      <c r="O115" s="837" t="str">
        <f t="shared" si="4"/>
        <v>Género</v>
      </c>
      <c r="P115" s="855" t="str">
        <f>AC6</f>
        <v>GN</v>
      </c>
      <c r="Q115" s="757" t="str">
        <f>AJ10</f>
        <v>Programas de asistencia técnica y proyectos específicos para mujeres rurales y mujeres indígenas</v>
      </c>
      <c r="R115" s="842" t="s">
        <v>596</v>
      </c>
      <c r="S115" s="842" t="s">
        <v>507</v>
      </c>
      <c r="T115" s="519" t="str">
        <f>AI10</f>
        <v>SGN2</v>
      </c>
      <c r="U115" s="620"/>
      <c r="V115" s="478"/>
      <c r="W115" s="478"/>
      <c r="X115" s="273"/>
      <c r="Y115" s="825"/>
      <c r="Z115" s="825"/>
      <c r="AA115" s="825"/>
      <c r="AB115" s="825"/>
      <c r="AC115" s="825"/>
      <c r="AD115" s="825"/>
      <c r="AE115" s="825"/>
      <c r="AF115" s="825"/>
      <c r="AG115" s="825"/>
      <c r="AH115" s="825"/>
      <c r="AI115" s="825"/>
      <c r="AJ115" s="825"/>
      <c r="AK115" s="825"/>
      <c r="AL115" s="825"/>
      <c r="AM115" s="825"/>
      <c r="AN115" s="825"/>
      <c r="AO115" s="825"/>
      <c r="AP115" s="825"/>
      <c r="AQ115" s="825"/>
      <c r="AR115" s="825"/>
      <c r="AS115" s="825"/>
      <c r="AT115" s="825"/>
      <c r="AU115" s="825"/>
      <c r="AV115" s="825"/>
      <c r="AW115" s="825"/>
      <c r="AX115" s="480"/>
      <c r="BA115" s="825"/>
      <c r="BB115" s="825"/>
      <c r="BC115" s="825"/>
      <c r="BD115" s="825"/>
      <c r="BE115" s="825"/>
      <c r="BF115" s="825"/>
      <c r="BG115" s="825"/>
      <c r="BH115" s="825"/>
      <c r="BI115" s="825"/>
      <c r="BJ115" s="825"/>
      <c r="BK115" s="825"/>
      <c r="BL115" s="825"/>
      <c r="BM115" s="825"/>
      <c r="BN115" s="825"/>
      <c r="BO115" s="825"/>
      <c r="BP115" s="825"/>
      <c r="BQ115" s="825"/>
      <c r="BR115" s="825"/>
      <c r="BS115" s="825"/>
      <c r="BT115" s="825"/>
      <c r="BU115" s="825"/>
      <c r="BV115" s="825"/>
      <c r="BW115" s="825"/>
      <c r="BX115" s="825"/>
      <c r="BY115" s="825"/>
      <c r="BZ115" s="825"/>
      <c r="CA115" s="825"/>
      <c r="CB115" s="825"/>
      <c r="CC115" s="825"/>
    </row>
    <row r="116" spans="1:81" ht="39.75" customHeight="1" x14ac:dyDescent="0.25">
      <c r="A116" s="825"/>
      <c r="B116" s="672" t="s">
        <v>488</v>
      </c>
      <c r="C116" s="1605" t="str">
        <f>'8. BASE  CONSOLIDADA'!E34</f>
        <v>1.3.5</v>
      </c>
      <c r="D116" s="1564" t="str">
        <f>'8. BASE  CONSOLIDADA'!F34</f>
        <v>Programa de acceso al financiamiento agropecuario condicionado</v>
      </c>
      <c r="E116" s="1564" t="str">
        <f>'8. BASE  CONSOLIDADA'!G34</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v>
      </c>
      <c r="F116" s="1554" t="str">
        <f>'8. BASE  CONSOLIDADA'!C34</f>
        <v>Predios privados para ganadería de leche y carne</v>
      </c>
      <c r="G116" s="1554" t="str">
        <f>VLOOKUP($C116,'8. BASE  CONSOLIDADA'!$E$7:$AS$308,13,FALSE)</f>
        <v>Ganaderos atendidos</v>
      </c>
      <c r="H116" s="1554">
        <f>VLOOKUP($C116,'8. BASE  CONSOLIDADA'!$E$7:$AS$308,15,FALSE)</f>
        <v>712.5</v>
      </c>
      <c r="I116" s="1554">
        <f>VLOOKUP(C116,'8. BASE  CONSOLIDADA'!$E$7:$AS$308,20,FALSE)</f>
        <v>7659375</v>
      </c>
      <c r="J116" s="1554">
        <f>I116*$J$6</f>
        <v>5208.375</v>
      </c>
      <c r="K116" s="1025"/>
      <c r="L116" s="1038"/>
      <c r="M116" s="645" t="s">
        <v>489</v>
      </c>
      <c r="N116" s="722" t="str">
        <f>N25</f>
        <v>Deforestación de nuevas áreas para implementar créditos o incentivos otorgados</v>
      </c>
      <c r="O116" s="837" t="str">
        <f t="shared" si="4"/>
        <v>Biodiversidad y recursos naturales</v>
      </c>
      <c r="P116" s="855" t="e">
        <f>#REF!</f>
        <v>#REF!</v>
      </c>
      <c r="Q116" s="757" t="str">
        <f>AA12</f>
        <v xml:space="preserve">Ordenamiento agroterritorial como estrategia para ordenar y promover el desarrollo agrario regional </v>
      </c>
      <c r="R116" s="842" t="s">
        <v>656</v>
      </c>
      <c r="S116" s="842" t="s">
        <v>492</v>
      </c>
      <c r="T116" s="519" t="str">
        <f>Z12</f>
        <v>SBRN4</v>
      </c>
      <c r="U116" s="620"/>
      <c r="V116" s="478"/>
      <c r="W116" s="478"/>
      <c r="X116" s="273"/>
      <c r="Y116" s="825"/>
      <c r="Z116" s="825"/>
      <c r="AA116" s="825"/>
      <c r="AB116" s="825"/>
      <c r="AC116" s="825"/>
      <c r="AD116" s="825"/>
      <c r="AE116" s="825"/>
      <c r="AF116" s="825"/>
      <c r="AG116" s="825"/>
      <c r="AH116" s="825"/>
      <c r="AI116" s="825"/>
      <c r="AJ116" s="825"/>
      <c r="AK116" s="825"/>
      <c r="AL116" s="825"/>
      <c r="AM116" s="825"/>
      <c r="AN116" s="825"/>
      <c r="AO116" s="825"/>
      <c r="AP116" s="825"/>
      <c r="AQ116" s="825"/>
      <c r="AR116" s="825"/>
      <c r="AS116" s="825"/>
      <c r="AT116" s="825"/>
      <c r="AU116" s="825"/>
      <c r="AV116" s="825"/>
      <c r="AW116" s="825"/>
      <c r="AX116" s="480"/>
      <c r="BA116" s="825"/>
      <c r="BB116" s="825"/>
      <c r="BC116" s="825"/>
      <c r="BD116" s="825"/>
      <c r="BE116" s="825"/>
      <c r="BF116" s="825"/>
      <c r="BG116" s="825"/>
      <c r="BH116" s="825"/>
      <c r="BI116" s="825"/>
      <c r="BJ116" s="825"/>
      <c r="BK116" s="825"/>
      <c r="BL116" s="825"/>
      <c r="BM116" s="825"/>
      <c r="BN116" s="825"/>
      <c r="BO116" s="825"/>
      <c r="BP116" s="825"/>
      <c r="BQ116" s="825"/>
      <c r="BR116" s="825"/>
      <c r="BS116" s="825"/>
      <c r="BT116" s="825"/>
      <c r="BU116" s="825"/>
      <c r="BV116" s="825"/>
      <c r="BW116" s="825"/>
      <c r="BX116" s="825"/>
      <c r="BY116" s="825"/>
      <c r="BZ116" s="825"/>
      <c r="CA116" s="825"/>
      <c r="CB116" s="825"/>
      <c r="CC116" s="825"/>
    </row>
    <row r="117" spans="1:81" ht="59.95" customHeight="1" x14ac:dyDescent="0.25">
      <c r="A117" s="825"/>
      <c r="B117" s="672"/>
      <c r="C117" s="1606"/>
      <c r="D117" s="1565"/>
      <c r="E117" s="1565"/>
      <c r="F117" s="1555"/>
      <c r="G117" s="1555"/>
      <c r="H117" s="1555"/>
      <c r="I117" s="1555"/>
      <c r="J117" s="1555"/>
      <c r="K117" s="1024">
        <v>100</v>
      </c>
      <c r="L117" s="1024">
        <f>K117*H116</f>
        <v>71250</v>
      </c>
      <c r="M117" s="739" t="s">
        <v>672</v>
      </c>
      <c r="N117" s="722" t="str">
        <f>N25</f>
        <v>Deforestación de nuevas áreas para implementar créditos o incentivos otorgados</v>
      </c>
      <c r="O117" s="837" t="str">
        <f t="shared" si="4"/>
        <v>Biodiversidad y recursos naturales</v>
      </c>
      <c r="P117" s="855" t="e">
        <f>#REF!</f>
        <v>#REF!</v>
      </c>
      <c r="Q117" s="757" t="str">
        <f>AA14</f>
        <v>Desarrollo de incentivos financieros y no financieros condicionados con cláusulas de no deforestación</v>
      </c>
      <c r="R117" s="842" t="s">
        <v>673</v>
      </c>
      <c r="S117" s="842" t="s">
        <v>526</v>
      </c>
      <c r="T117" s="519" t="str">
        <f>Z14</f>
        <v>SBRN6</v>
      </c>
      <c r="U117" s="620" t="s">
        <v>663</v>
      </c>
      <c r="V117" s="478"/>
      <c r="W117" s="478"/>
      <c r="X117" s="273"/>
      <c r="Y117" s="825"/>
      <c r="Z117" s="825"/>
      <c r="AA117" s="825"/>
      <c r="AB117" s="825"/>
      <c r="AC117" s="825"/>
      <c r="AD117" s="825"/>
      <c r="AE117" s="825"/>
      <c r="AF117" s="825"/>
      <c r="AG117" s="825"/>
      <c r="AH117" s="825"/>
      <c r="AI117" s="825"/>
      <c r="AJ117" s="825"/>
      <c r="AK117" s="825"/>
      <c r="AL117" s="825"/>
      <c r="AM117" s="825"/>
      <c r="AN117" s="825"/>
      <c r="AO117" s="825"/>
      <c r="AP117" s="825"/>
      <c r="AQ117" s="825"/>
      <c r="AR117" s="825"/>
      <c r="AS117" s="825"/>
      <c r="AT117" s="825"/>
      <c r="AU117" s="825"/>
      <c r="AV117" s="825"/>
      <c r="AW117" s="825"/>
      <c r="AX117" s="480"/>
      <c r="BA117" s="825"/>
      <c r="BB117" s="825"/>
      <c r="BC117" s="825"/>
      <c r="BD117" s="825"/>
      <c r="BE117" s="825"/>
      <c r="BF117" s="825"/>
      <c r="BG117" s="825"/>
      <c r="BH117" s="825"/>
      <c r="BI117" s="825"/>
      <c r="BJ117" s="825"/>
      <c r="BK117" s="825"/>
      <c r="BL117" s="825"/>
      <c r="BM117" s="825"/>
      <c r="BN117" s="825"/>
      <c r="BO117" s="825"/>
      <c r="BP117" s="825"/>
      <c r="BQ117" s="825"/>
      <c r="BR117" s="825"/>
      <c r="BS117" s="825"/>
      <c r="BT117" s="825"/>
      <c r="BU117" s="825"/>
      <c r="BV117" s="825"/>
      <c r="BW117" s="825"/>
      <c r="BX117" s="825"/>
      <c r="BY117" s="825"/>
      <c r="BZ117" s="825"/>
      <c r="CA117" s="825"/>
      <c r="CB117" s="825"/>
      <c r="CC117" s="825"/>
    </row>
    <row r="118" spans="1:81" ht="29.25" customHeight="1" x14ac:dyDescent="0.25">
      <c r="A118" s="825"/>
      <c r="B118" s="672"/>
      <c r="C118" s="1606"/>
      <c r="D118" s="1565"/>
      <c r="E118" s="1565"/>
      <c r="F118" s="1555"/>
      <c r="G118" s="1555"/>
      <c r="H118" s="1555"/>
      <c r="I118" s="1555"/>
      <c r="J118" s="1555"/>
      <c r="K118" s="1028"/>
      <c r="L118" s="1028"/>
      <c r="M118" s="645" t="s">
        <v>489</v>
      </c>
      <c r="N118" s="722" t="str">
        <f>N17</f>
        <v>Especies exóticas o invasoras en bosques colindantes</v>
      </c>
      <c r="O118" s="837" t="str">
        <f t="shared" si="4"/>
        <v>Biodiversidad y recursos naturales</v>
      </c>
      <c r="P118" s="855" t="e">
        <f>#REF!</f>
        <v>#REF!</v>
      </c>
      <c r="Q118" s="757" t="str">
        <f>AA16</f>
        <v>Promoción del cultivo de especies nativas</v>
      </c>
      <c r="R118" s="842" t="s">
        <v>834</v>
      </c>
      <c r="S118" s="842" t="s">
        <v>492</v>
      </c>
      <c r="T118" s="519" t="str">
        <f>Z16</f>
        <v>SBRN8</v>
      </c>
      <c r="U118" s="620"/>
      <c r="V118" s="478"/>
      <c r="W118" s="478"/>
      <c r="X118" s="273"/>
      <c r="Y118" s="825"/>
      <c r="Z118" s="825"/>
      <c r="AA118" s="825"/>
      <c r="AB118" s="825"/>
      <c r="AC118" s="825"/>
      <c r="AD118" s="825"/>
      <c r="AE118" s="825"/>
      <c r="AF118" s="825"/>
      <c r="AG118" s="825"/>
      <c r="AH118" s="825"/>
      <c r="AI118" s="825"/>
      <c r="AJ118" s="825"/>
      <c r="AK118" s="825"/>
      <c r="AL118" s="825"/>
      <c r="AM118" s="825"/>
      <c r="AN118" s="825"/>
      <c r="AO118" s="825"/>
      <c r="AP118" s="825"/>
      <c r="AQ118" s="825"/>
      <c r="AR118" s="825"/>
      <c r="AS118" s="825"/>
      <c r="AT118" s="825"/>
      <c r="AU118" s="825"/>
      <c r="AV118" s="825"/>
      <c r="AW118" s="825"/>
      <c r="AX118" s="480"/>
      <c r="BA118" s="825"/>
      <c r="BB118" s="825"/>
      <c r="BC118" s="825"/>
      <c r="BD118" s="825"/>
      <c r="BE118" s="825"/>
      <c r="BF118" s="825"/>
      <c r="BG118" s="825"/>
      <c r="BH118" s="825"/>
      <c r="BI118" s="825"/>
      <c r="BJ118" s="825"/>
      <c r="BK118" s="825"/>
      <c r="BL118" s="825"/>
      <c r="BM118" s="825"/>
      <c r="BN118" s="825"/>
      <c r="BO118" s="825"/>
      <c r="BP118" s="825"/>
      <c r="BQ118" s="825"/>
      <c r="BR118" s="825"/>
      <c r="BS118" s="825"/>
      <c r="BT118" s="825"/>
      <c r="BU118" s="825"/>
      <c r="BV118" s="825"/>
      <c r="BW118" s="825"/>
      <c r="BX118" s="825"/>
      <c r="BY118" s="825"/>
      <c r="BZ118" s="825"/>
      <c r="CA118" s="825"/>
      <c r="CB118" s="825"/>
      <c r="CC118" s="825"/>
    </row>
    <row r="119" spans="1:81" ht="19.55" customHeight="1" x14ac:dyDescent="0.25">
      <c r="A119" s="825"/>
      <c r="B119" s="672"/>
      <c r="C119" s="1606"/>
      <c r="D119" s="1565"/>
      <c r="E119" s="1565"/>
      <c r="F119" s="1555"/>
      <c r="G119" s="1555"/>
      <c r="H119" s="1555"/>
      <c r="I119" s="1555"/>
      <c r="J119" s="1555"/>
      <c r="K119" s="1028"/>
      <c r="L119" s="1028"/>
      <c r="M119" s="645" t="s">
        <v>489</v>
      </c>
      <c r="N119" s="722" t="str">
        <f>N28</f>
        <v>Contaminación por residuos agropecuarios</v>
      </c>
      <c r="O119" s="837" t="str">
        <f t="shared" si="4"/>
        <v>Contaminación</v>
      </c>
      <c r="P119" s="855" t="e">
        <f>#REF!</f>
        <v>#REF!</v>
      </c>
      <c r="Q119" s="757" t="str">
        <f>AM10</f>
        <v>Control de residuos agropecuarios</v>
      </c>
      <c r="R119" s="842" t="s">
        <v>535</v>
      </c>
      <c r="S119" s="842" t="s">
        <v>492</v>
      </c>
      <c r="T119" s="519" t="str">
        <f>AL10</f>
        <v>SCT2</v>
      </c>
      <c r="U119" s="620" t="s">
        <v>648</v>
      </c>
      <c r="V119" s="478"/>
      <c r="W119" s="478"/>
      <c r="X119" s="273"/>
      <c r="Y119" s="825"/>
      <c r="Z119" s="825"/>
      <c r="AA119" s="825"/>
      <c r="AB119" s="825"/>
      <c r="AC119" s="825"/>
      <c r="AD119" s="825"/>
      <c r="AE119" s="825"/>
      <c r="AF119" s="825"/>
      <c r="AG119" s="825"/>
      <c r="AH119" s="825"/>
      <c r="AI119" s="825"/>
      <c r="AJ119" s="825"/>
      <c r="AK119" s="825"/>
      <c r="AL119" s="825"/>
      <c r="AM119" s="825"/>
      <c r="AN119" s="825"/>
      <c r="AO119" s="825"/>
      <c r="AP119" s="825"/>
      <c r="AQ119" s="825"/>
      <c r="AR119" s="825"/>
      <c r="AS119" s="825"/>
      <c r="AT119" s="825"/>
      <c r="AU119" s="825"/>
      <c r="AV119" s="825"/>
      <c r="AW119" s="825"/>
      <c r="AX119" s="480"/>
      <c r="BA119" s="825"/>
      <c r="BB119" s="825"/>
      <c r="BC119" s="825"/>
      <c r="BD119" s="825"/>
      <c r="BE119" s="825"/>
      <c r="BF119" s="825"/>
      <c r="BG119" s="825"/>
      <c r="BH119" s="825"/>
      <c r="BI119" s="825"/>
      <c r="BJ119" s="825"/>
      <c r="BK119" s="825"/>
      <c r="BL119" s="825"/>
      <c r="BM119" s="825"/>
      <c r="BN119" s="825"/>
      <c r="BO119" s="825"/>
      <c r="BP119" s="825"/>
      <c r="BQ119" s="825"/>
      <c r="BR119" s="825"/>
      <c r="BS119" s="825"/>
      <c r="BT119" s="825"/>
      <c r="BU119" s="825"/>
      <c r="BV119" s="825"/>
      <c r="BW119" s="825"/>
      <c r="BX119" s="825"/>
      <c r="BY119" s="825"/>
      <c r="BZ119" s="825"/>
      <c r="CA119" s="825"/>
      <c r="CB119" s="825"/>
      <c r="CC119" s="825"/>
    </row>
    <row r="120" spans="1:81" ht="40.6" customHeight="1" x14ac:dyDescent="0.25">
      <c r="A120" s="825"/>
      <c r="B120" s="672"/>
      <c r="C120" s="1606"/>
      <c r="D120" s="1565"/>
      <c r="E120" s="1565"/>
      <c r="F120" s="1555"/>
      <c r="G120" s="1555"/>
      <c r="H120" s="1555"/>
      <c r="I120" s="1555"/>
      <c r="J120" s="1555"/>
      <c r="K120" s="1028"/>
      <c r="L120" s="1028"/>
      <c r="M120" s="645" t="s">
        <v>489</v>
      </c>
      <c r="N120" s="722" t="str">
        <f>N29</f>
        <v xml:space="preserve">Otorgamiento inapropiado de incentivos </v>
      </c>
      <c r="O120" s="837" t="str">
        <f t="shared" si="4"/>
        <v>Corrupción</v>
      </c>
      <c r="P120" s="855" t="e">
        <f>#REF!</f>
        <v>#REF!</v>
      </c>
      <c r="Q120" s="757" t="str">
        <f>AG10</f>
        <v>Transparencia en incentivos financieros y obras públicas vinculadas a la ERDRBE</v>
      </c>
      <c r="R120" s="842" t="s">
        <v>687</v>
      </c>
      <c r="S120" s="842" t="s">
        <v>507</v>
      </c>
      <c r="T120" s="519" t="str">
        <f>AF10</f>
        <v>SCR2</v>
      </c>
      <c r="U120" s="620"/>
      <c r="V120" s="478"/>
      <c r="W120" s="478"/>
      <c r="X120" s="273"/>
      <c r="Y120" s="825"/>
      <c r="Z120" s="825"/>
      <c r="AA120" s="825"/>
      <c r="AB120" s="825"/>
      <c r="AC120" s="825"/>
      <c r="AD120" s="825"/>
      <c r="AE120" s="825"/>
      <c r="AF120" s="825"/>
      <c r="AG120" s="825"/>
      <c r="AH120" s="825"/>
      <c r="AI120" s="825"/>
      <c r="AJ120" s="825"/>
      <c r="AK120" s="825"/>
      <c r="AL120" s="825"/>
      <c r="AM120" s="825"/>
      <c r="AN120" s="825"/>
      <c r="AO120" s="825"/>
      <c r="AP120" s="825"/>
      <c r="AQ120" s="825"/>
      <c r="AR120" s="825"/>
      <c r="AS120" s="825"/>
      <c r="AT120" s="825"/>
      <c r="AU120" s="825"/>
      <c r="AV120" s="825"/>
      <c r="AW120" s="825"/>
      <c r="AX120" s="480"/>
      <c r="BA120" s="825"/>
      <c r="BB120" s="825"/>
      <c r="BC120" s="825"/>
      <c r="BD120" s="825"/>
      <c r="BE120" s="825"/>
      <c r="BF120" s="825"/>
      <c r="BG120" s="825"/>
      <c r="BH120" s="825"/>
      <c r="BI120" s="825"/>
      <c r="BJ120" s="825"/>
      <c r="BK120" s="825"/>
      <c r="BL120" s="825"/>
      <c r="BM120" s="825"/>
      <c r="BN120" s="825"/>
      <c r="BO120" s="825"/>
      <c r="BP120" s="825"/>
      <c r="BQ120" s="825"/>
      <c r="BR120" s="825"/>
      <c r="BS120" s="825"/>
      <c r="BT120" s="825"/>
      <c r="BU120" s="825"/>
      <c r="BV120" s="825"/>
      <c r="BW120" s="825"/>
      <c r="BX120" s="825"/>
      <c r="BY120" s="825"/>
      <c r="BZ120" s="825"/>
      <c r="CA120" s="825"/>
      <c r="CB120" s="825"/>
      <c r="CC120" s="825"/>
    </row>
    <row r="121" spans="1:81" ht="23.95" customHeight="1" x14ac:dyDescent="0.25">
      <c r="A121" s="825"/>
      <c r="B121" s="672"/>
      <c r="C121" s="1606"/>
      <c r="D121" s="1565"/>
      <c r="E121" s="1565"/>
      <c r="F121" s="1555"/>
      <c r="G121" s="1555"/>
      <c r="H121" s="1555"/>
      <c r="I121" s="1555"/>
      <c r="J121" s="1555"/>
      <c r="K121" s="1028"/>
      <c r="L121" s="1028"/>
      <c r="M121" s="645" t="s">
        <v>489</v>
      </c>
      <c r="N121" s="722" t="str">
        <f>N30</f>
        <v>Exclusión de productoras agrarias en sistemas de incentivos financieros</v>
      </c>
      <c r="O121" s="837" t="str">
        <f t="shared" si="4"/>
        <v>Género</v>
      </c>
      <c r="P121" s="855" t="str">
        <f>AC6</f>
        <v>GN</v>
      </c>
      <c r="Q121" s="757" t="str">
        <f>AJ11</f>
        <v xml:space="preserve">Cuotas de género y medición de participación efectiva de mujeres rurales </v>
      </c>
      <c r="R121" s="842" t="s">
        <v>689</v>
      </c>
      <c r="S121" s="842" t="s">
        <v>507</v>
      </c>
      <c r="T121" s="519" t="str">
        <f>AI11</f>
        <v>SGN3</v>
      </c>
      <c r="U121" s="620"/>
      <c r="V121" s="478"/>
      <c r="W121" s="478"/>
      <c r="X121" s="273"/>
      <c r="Y121" s="825"/>
      <c r="Z121" s="825"/>
      <c r="AA121" s="825"/>
      <c r="AB121" s="825"/>
      <c r="AC121" s="825"/>
      <c r="AD121" s="825"/>
      <c r="AE121" s="825"/>
      <c r="AF121" s="825"/>
      <c r="AG121" s="825"/>
      <c r="AH121" s="825"/>
      <c r="AI121" s="825"/>
      <c r="AJ121" s="825"/>
      <c r="AK121" s="825"/>
      <c r="AL121" s="825"/>
      <c r="AM121" s="825"/>
      <c r="AN121" s="825"/>
      <c r="AO121" s="825"/>
      <c r="AP121" s="825"/>
      <c r="AQ121" s="825"/>
      <c r="AR121" s="825"/>
      <c r="AS121" s="825"/>
      <c r="AT121" s="825"/>
      <c r="AU121" s="825"/>
      <c r="AV121" s="825"/>
      <c r="AW121" s="825"/>
      <c r="AX121" s="480"/>
      <c r="BA121" s="825"/>
      <c r="BB121" s="825"/>
      <c r="BC121" s="825"/>
      <c r="BD121" s="825"/>
      <c r="BE121" s="825"/>
      <c r="BF121" s="825"/>
      <c r="BG121" s="825"/>
      <c r="BH121" s="825"/>
      <c r="BI121" s="825"/>
      <c r="BJ121" s="825"/>
      <c r="BK121" s="825"/>
      <c r="BL121" s="825"/>
      <c r="BM121" s="825"/>
      <c r="BN121" s="825"/>
      <c r="BO121" s="825"/>
      <c r="BP121" s="825"/>
      <c r="BQ121" s="825"/>
      <c r="BR121" s="825"/>
      <c r="BS121" s="825"/>
      <c r="BT121" s="825"/>
      <c r="BU121" s="825"/>
      <c r="BV121" s="825"/>
      <c r="BW121" s="825"/>
      <c r="BX121" s="825"/>
      <c r="BY121" s="825"/>
      <c r="BZ121" s="825"/>
      <c r="CA121" s="825"/>
      <c r="CB121" s="825"/>
      <c r="CC121" s="825"/>
    </row>
    <row r="122" spans="1:81" ht="35.35" customHeight="1" x14ac:dyDescent="0.25">
      <c r="A122" s="825"/>
      <c r="B122" s="672"/>
      <c r="C122" s="1606"/>
      <c r="D122" s="1565"/>
      <c r="E122" s="1565"/>
      <c r="F122" s="1555"/>
      <c r="G122" s="1555"/>
      <c r="H122" s="1555"/>
      <c r="I122" s="1555"/>
      <c r="J122" s="1555"/>
      <c r="K122" s="1028"/>
      <c r="L122" s="1028"/>
      <c r="M122" s="645" t="s">
        <v>489</v>
      </c>
      <c r="N122" s="722" t="str">
        <f>N30</f>
        <v>Exclusión de productoras agrarias en sistemas de incentivos financieros</v>
      </c>
      <c r="O122" s="837" t="str">
        <f t="shared" si="4"/>
        <v>Género</v>
      </c>
      <c r="P122" s="855" t="str">
        <f>AC6</f>
        <v>GN</v>
      </c>
      <c r="Q122" s="757" t="str">
        <f>AJ12</f>
        <v>Criterios de evaluación de programas y proyectos con enfoque de género</v>
      </c>
      <c r="R122" s="842" t="s">
        <v>690</v>
      </c>
      <c r="S122" s="842" t="s">
        <v>507</v>
      </c>
      <c r="T122" s="519" t="str">
        <f>AI12</f>
        <v>SGN4</v>
      </c>
      <c r="U122" s="620"/>
      <c r="V122" s="478"/>
      <c r="W122" s="478"/>
      <c r="X122" s="273"/>
      <c r="Y122" s="825"/>
      <c r="Z122" s="825"/>
      <c r="AA122" s="825"/>
      <c r="AB122" s="825"/>
      <c r="AC122" s="825"/>
      <c r="AD122" s="825"/>
      <c r="AE122" s="825"/>
      <c r="AF122" s="825"/>
      <c r="AG122" s="825"/>
      <c r="AH122" s="825"/>
      <c r="AI122" s="825"/>
      <c r="AJ122" s="825"/>
      <c r="AK122" s="825"/>
      <c r="AL122" s="825"/>
      <c r="AM122" s="825"/>
      <c r="AN122" s="825"/>
      <c r="AO122" s="825"/>
      <c r="AP122" s="825"/>
      <c r="AQ122" s="825"/>
      <c r="AR122" s="825"/>
      <c r="AS122" s="825"/>
      <c r="AT122" s="825"/>
      <c r="AU122" s="825"/>
      <c r="AV122" s="825"/>
      <c r="AW122" s="825"/>
      <c r="AX122" s="480"/>
      <c r="BA122" s="825"/>
      <c r="BB122" s="825"/>
      <c r="BC122" s="825"/>
      <c r="BD122" s="825"/>
      <c r="BE122" s="825"/>
      <c r="BF122" s="825"/>
      <c r="BG122" s="825"/>
      <c r="BH122" s="825"/>
      <c r="BI122" s="825"/>
      <c r="BJ122" s="825"/>
      <c r="BK122" s="825"/>
      <c r="BL122" s="825"/>
      <c r="BM122" s="825"/>
      <c r="BN122" s="825"/>
      <c r="BO122" s="825"/>
      <c r="BP122" s="825"/>
      <c r="BQ122" s="825"/>
      <c r="BR122" s="825"/>
      <c r="BS122" s="825"/>
      <c r="BT122" s="825"/>
      <c r="BU122" s="825"/>
      <c r="BV122" s="825"/>
      <c r="BW122" s="825"/>
      <c r="BX122" s="825"/>
      <c r="BY122" s="825"/>
      <c r="BZ122" s="825"/>
      <c r="CA122" s="825"/>
      <c r="CB122" s="825"/>
      <c r="CC122" s="825"/>
    </row>
    <row r="123" spans="1:81" ht="27.7" customHeight="1" x14ac:dyDescent="0.25">
      <c r="A123" s="825"/>
      <c r="B123" s="672"/>
      <c r="C123" s="1606"/>
      <c r="D123" s="1565"/>
      <c r="E123" s="1565"/>
      <c r="F123" s="1555"/>
      <c r="G123" s="1555"/>
      <c r="H123" s="1555"/>
      <c r="I123" s="1555"/>
      <c r="J123" s="1555"/>
      <c r="K123" s="1028"/>
      <c r="L123" s="1028"/>
      <c r="M123" s="645" t="s">
        <v>489</v>
      </c>
      <c r="N123" s="722" t="str">
        <f>N30</f>
        <v>Exclusión de productoras agrarias en sistemas de incentivos financieros</v>
      </c>
      <c r="O123" s="837" t="str">
        <f t="shared" si="4"/>
        <v>Género</v>
      </c>
      <c r="P123" s="855" t="str">
        <f>AC6</f>
        <v>GN</v>
      </c>
      <c r="Q123" s="757" t="str">
        <f>AJ13</f>
        <v>Programas de incentivos financieros y no financieros para el desarrollo rural para mujeres rurales</v>
      </c>
      <c r="R123" s="842" t="s">
        <v>693</v>
      </c>
      <c r="S123" s="842" t="s">
        <v>492</v>
      </c>
      <c r="T123" s="519" t="str">
        <f>AI13</f>
        <v>SGN5</v>
      </c>
      <c r="U123" s="620"/>
      <c r="V123" s="478"/>
      <c r="W123" s="478"/>
      <c r="X123" s="273"/>
      <c r="Y123" s="825"/>
      <c r="Z123" s="825"/>
      <c r="AA123" s="825"/>
      <c r="AB123" s="825"/>
      <c r="AC123" s="825"/>
      <c r="AD123" s="825"/>
      <c r="AE123" s="825"/>
      <c r="AF123" s="825"/>
      <c r="AG123" s="825"/>
      <c r="AH123" s="825"/>
      <c r="AI123" s="825"/>
      <c r="AJ123" s="825"/>
      <c r="AK123" s="825"/>
      <c r="AL123" s="825"/>
      <c r="AM123" s="825"/>
      <c r="AN123" s="825"/>
      <c r="AO123" s="825"/>
      <c r="AP123" s="825"/>
      <c r="AQ123" s="825"/>
      <c r="AR123" s="825"/>
      <c r="AS123" s="825"/>
      <c r="AT123" s="825"/>
      <c r="AU123" s="825"/>
      <c r="AV123" s="825"/>
      <c r="AW123" s="825"/>
      <c r="AX123" s="480"/>
      <c r="BA123" s="825"/>
      <c r="BB123" s="825"/>
      <c r="BC123" s="825"/>
      <c r="BD123" s="825"/>
      <c r="BE123" s="825"/>
      <c r="BF123" s="825"/>
      <c r="BG123" s="825"/>
      <c r="BH123" s="825"/>
      <c r="BI123" s="825"/>
      <c r="BJ123" s="825"/>
      <c r="BK123" s="825"/>
      <c r="BL123" s="825"/>
      <c r="BM123" s="825"/>
      <c r="BN123" s="825"/>
      <c r="BO123" s="825"/>
      <c r="BP123" s="825"/>
      <c r="BQ123" s="825"/>
      <c r="BR123" s="825"/>
      <c r="BS123" s="825"/>
      <c r="BT123" s="825"/>
      <c r="BU123" s="825"/>
      <c r="BV123" s="825"/>
      <c r="BW123" s="825"/>
      <c r="BX123" s="825"/>
      <c r="BY123" s="825"/>
      <c r="BZ123" s="825"/>
      <c r="CA123" s="825"/>
      <c r="CB123" s="825"/>
      <c r="CC123" s="825"/>
    </row>
    <row r="124" spans="1:81" ht="40.6" customHeight="1" x14ac:dyDescent="0.25">
      <c r="A124" s="825"/>
      <c r="B124" s="672"/>
      <c r="C124" s="1607"/>
      <c r="D124" s="1566"/>
      <c r="E124" s="1566"/>
      <c r="F124" s="1556"/>
      <c r="G124" s="1556"/>
      <c r="H124" s="1556"/>
      <c r="I124" s="1556"/>
      <c r="J124" s="1556"/>
      <c r="K124" s="1021"/>
      <c r="L124" s="1021"/>
      <c r="M124" s="645" t="s">
        <v>489</v>
      </c>
      <c r="N124" s="722" t="str">
        <f>N33</f>
        <v>Actividad agropecuaria no se desarrolla de manera óptima debido a cambios en las condiciones agroecologicas por el cambio climático</v>
      </c>
      <c r="O124" s="837" t="str">
        <f t="shared" si="4"/>
        <v>Vulnerabilidad al cambio climático</v>
      </c>
      <c r="P124" s="855" t="e">
        <f>#REF!</f>
        <v>#REF!</v>
      </c>
      <c r="Q124" s="757" t="str">
        <f>AS11</f>
        <v>Análisis de rentabilidad de la actividad agropecuaria en los programas de reconversión productiva</v>
      </c>
      <c r="R124" s="842" t="s">
        <v>695</v>
      </c>
      <c r="S124" s="842" t="s">
        <v>507</v>
      </c>
      <c r="T124" s="519" t="str">
        <f>AR11</f>
        <v>SVCC3</v>
      </c>
      <c r="U124" s="620" t="s">
        <v>846</v>
      </c>
      <c r="V124" s="478"/>
      <c r="W124" s="478"/>
      <c r="X124" s="273"/>
      <c r="Y124" s="825"/>
      <c r="Z124" s="825"/>
      <c r="AA124" s="825"/>
      <c r="AB124" s="825"/>
      <c r="AC124" s="825"/>
      <c r="AD124" s="825"/>
      <c r="AE124" s="825"/>
      <c r="AF124" s="825"/>
      <c r="AG124" s="825"/>
      <c r="AH124" s="825"/>
      <c r="AI124" s="825"/>
      <c r="AJ124" s="825"/>
      <c r="AK124" s="825"/>
      <c r="AL124" s="825"/>
      <c r="AM124" s="825"/>
      <c r="AN124" s="825"/>
      <c r="AO124" s="825"/>
      <c r="AP124" s="825"/>
      <c r="AQ124" s="825"/>
      <c r="AR124" s="825"/>
      <c r="AS124" s="825"/>
      <c r="AT124" s="825"/>
      <c r="AU124" s="825"/>
      <c r="AV124" s="825"/>
      <c r="AW124" s="825"/>
      <c r="AX124" s="480"/>
      <c r="BA124" s="825"/>
      <c r="BB124" s="825"/>
      <c r="BC124" s="825"/>
      <c r="BD124" s="825"/>
      <c r="BE124" s="825"/>
      <c r="BF124" s="825"/>
      <c r="BG124" s="825"/>
      <c r="BH124" s="825"/>
      <c r="BI124" s="825"/>
      <c r="BJ124" s="825"/>
      <c r="BK124" s="825"/>
      <c r="BL124" s="825"/>
      <c r="BM124" s="825"/>
      <c r="BN124" s="825"/>
      <c r="BO124" s="825"/>
      <c r="BP124" s="825"/>
      <c r="BQ124" s="825"/>
      <c r="BR124" s="825"/>
      <c r="BS124" s="825"/>
      <c r="BT124" s="825"/>
      <c r="BU124" s="825"/>
      <c r="BV124" s="825"/>
      <c r="BW124" s="825"/>
      <c r="BX124" s="825"/>
      <c r="BY124" s="825"/>
      <c r="BZ124" s="825"/>
      <c r="CA124" s="825"/>
      <c r="CB124" s="825"/>
      <c r="CC124" s="825"/>
    </row>
    <row r="125" spans="1:81" ht="144.69999999999999" customHeight="1" x14ac:dyDescent="0.25">
      <c r="A125" s="825"/>
      <c r="B125" s="672" t="s">
        <v>488</v>
      </c>
      <c r="C125" s="834" t="str">
        <f>'8. BASE  CONSOLIDADA'!E35</f>
        <v>1.3.6</v>
      </c>
      <c r="D125" s="1069" t="str">
        <f>'8. BASE  CONSOLIDADA'!F35</f>
        <v>Promoción de modelos asociativos sostenibles</v>
      </c>
      <c r="E125" s="1069" t="str">
        <f>'8. BASE  CONSOLIDADA'!G35</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125" s="836" t="str">
        <f>'8. BASE  CONSOLIDADA'!C35</f>
        <v>Predios privados para ganadería de leche y carne</v>
      </c>
      <c r="G125" s="1019" t="str">
        <f>VLOOKUP($C125,'8. BASE  CONSOLIDADA'!$E$7:$AS$308,13,FALSE)</f>
        <v>Organizaciones fortalecidas</v>
      </c>
      <c r="H125" s="1109">
        <f>VLOOKUP($C125,'8. BASE  CONSOLIDADA'!$E$7:$AS$308,15,FALSE)</f>
        <v>10.8</v>
      </c>
      <c r="I125" s="1058">
        <f>VLOOKUP(C125,'8. BASE  CONSOLIDADA'!$E$7:$AS$308,20,FALSE)</f>
        <v>6480000</v>
      </c>
      <c r="J125" s="678">
        <f>I125*$J$6</f>
        <v>4406.4000000000005</v>
      </c>
      <c r="K125" s="1020"/>
      <c r="L125" s="1029"/>
      <c r="M125" s="645" t="s">
        <v>489</v>
      </c>
      <c r="N125" s="722" t="str">
        <f>N16</f>
        <v>Exclusión de mujeres rurales en programas de asistencia técnica</v>
      </c>
      <c r="O125" s="837" t="str">
        <f t="shared" si="4"/>
        <v>Género</v>
      </c>
      <c r="P125" s="855" t="str">
        <f>AC6</f>
        <v>GN</v>
      </c>
      <c r="Q125" s="757" t="str">
        <f>AJ10</f>
        <v>Programas de asistencia técnica y proyectos específicos para mujeres rurales y mujeres indígenas</v>
      </c>
      <c r="R125" s="842" t="s">
        <v>596</v>
      </c>
      <c r="S125" s="842" t="s">
        <v>507</v>
      </c>
      <c r="T125" s="519" t="str">
        <f>AI10</f>
        <v>SGN2</v>
      </c>
      <c r="U125" s="620"/>
      <c r="V125" s="478"/>
      <c r="W125" s="478"/>
      <c r="X125" s="273"/>
      <c r="Y125" s="825"/>
      <c r="Z125" s="825"/>
      <c r="AA125" s="825"/>
      <c r="AB125" s="825"/>
      <c r="AC125" s="825"/>
      <c r="AD125" s="825"/>
      <c r="AE125" s="825"/>
      <c r="AF125" s="825"/>
      <c r="AG125" s="825"/>
      <c r="AH125" s="825"/>
      <c r="AI125" s="825"/>
      <c r="AJ125" s="825"/>
      <c r="AK125" s="825"/>
      <c r="AL125" s="825"/>
      <c r="AM125" s="825"/>
      <c r="AN125" s="825"/>
      <c r="AO125" s="825"/>
      <c r="AP125" s="825"/>
      <c r="AQ125" s="825"/>
      <c r="AR125" s="825"/>
      <c r="AS125" s="825"/>
      <c r="AT125" s="825"/>
      <c r="AU125" s="825"/>
      <c r="AV125" s="825"/>
      <c r="AW125" s="825"/>
      <c r="AX125" s="480"/>
      <c r="BA125" s="825"/>
      <c r="BB125" s="825"/>
      <c r="BC125" s="825"/>
      <c r="BD125" s="825"/>
      <c r="BE125" s="825"/>
      <c r="BF125" s="825"/>
      <c r="BG125" s="825"/>
      <c r="BH125" s="825"/>
      <c r="BI125" s="825"/>
      <c r="BJ125" s="825"/>
      <c r="BK125" s="825"/>
      <c r="BL125" s="825"/>
      <c r="BM125" s="825"/>
      <c r="BN125" s="825"/>
      <c r="BO125" s="825"/>
      <c r="BP125" s="825"/>
      <c r="BQ125" s="825"/>
      <c r="BR125" s="825"/>
      <c r="BS125" s="825"/>
      <c r="BT125" s="825"/>
      <c r="BU125" s="825"/>
      <c r="BV125" s="825"/>
      <c r="BW125" s="825"/>
      <c r="BX125" s="825"/>
      <c r="BY125" s="825"/>
      <c r="BZ125" s="825"/>
      <c r="CA125" s="825"/>
      <c r="CB125" s="825"/>
      <c r="CC125" s="825"/>
    </row>
    <row r="126" spans="1:81" ht="36.700000000000003" customHeight="1" x14ac:dyDescent="0.25">
      <c r="A126" s="825"/>
      <c r="B126" s="672" t="s">
        <v>488</v>
      </c>
      <c r="C126" s="1605" t="str">
        <f>'8. BASE  CONSOLIDADA'!E36</f>
        <v>1.3.7</v>
      </c>
      <c r="D126" s="1564" t="str">
        <f>'8. BASE  CONSOLIDADA'!F36</f>
        <v>Implementación de infraestructura productiva baja en emisiones</v>
      </c>
      <c r="E126" s="1564" t="str">
        <f>'8. BASE  CONSOLIDADA'!G36</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F126" s="1535" t="str">
        <f>'8. BASE  CONSOLIDADA'!C36</f>
        <v>Predios privados para ganadería de leche y carne</v>
      </c>
      <c r="G126" s="1535" t="str">
        <f>VLOOKUP($C126,'8. BASE  CONSOLIDADA'!$E$7:$AS$308,13,FALSE)</f>
        <v>Planes de negocios implementados</v>
      </c>
      <c r="H126" s="1535">
        <f>VLOOKUP($C126,'8. BASE  CONSOLIDADA'!$E$7:$AS$308,15,FALSE)</f>
        <v>20</v>
      </c>
      <c r="I126" s="1535">
        <f>VLOOKUP(C126,'8. BASE  CONSOLIDADA'!$E$7:$AS$308,20,FALSE)</f>
        <v>16000000</v>
      </c>
      <c r="J126" s="1535">
        <f>I126*$J$6</f>
        <v>10880</v>
      </c>
      <c r="K126" s="1535"/>
      <c r="L126" s="1535"/>
      <c r="M126" s="645" t="s">
        <v>489</v>
      </c>
      <c r="N126" s="722" t="str">
        <f>N34</f>
        <v>Incremento de la deforestación por demanda de insumos e instalación de infraestructura y vias de comunicación</v>
      </c>
      <c r="O126" s="837" t="str">
        <f t="shared" si="4"/>
        <v>Biodiversidad y recursos naturales</v>
      </c>
      <c r="P126" s="855" t="e">
        <f>#REF!</f>
        <v>#REF!</v>
      </c>
      <c r="Q126" s="757" t="str">
        <f>AA14</f>
        <v>Desarrollo de incentivos financieros y no financieros condicionados con cláusulas de no deforestación</v>
      </c>
      <c r="R126" s="842" t="s">
        <v>673</v>
      </c>
      <c r="S126" s="842" t="s">
        <v>526</v>
      </c>
      <c r="T126" s="519" t="str">
        <f>Z14</f>
        <v>SBRN6</v>
      </c>
      <c r="U126" s="622"/>
      <c r="V126" s="478"/>
      <c r="W126" s="478"/>
      <c r="X126" s="273"/>
      <c r="Y126" s="825"/>
      <c r="Z126" s="825"/>
      <c r="AA126" s="825"/>
      <c r="AB126" s="825"/>
      <c r="AC126" s="825"/>
      <c r="AD126" s="825"/>
      <c r="AE126" s="825"/>
      <c r="AF126" s="825"/>
      <c r="AG126" s="825"/>
      <c r="AH126" s="825"/>
      <c r="AI126" s="825"/>
      <c r="AJ126" s="825"/>
      <c r="AK126" s="825"/>
      <c r="AL126" s="825"/>
      <c r="AM126" s="825"/>
      <c r="AN126" s="825"/>
      <c r="AO126" s="825"/>
      <c r="AP126" s="825"/>
      <c r="AQ126" s="825"/>
      <c r="AR126" s="825"/>
      <c r="AS126" s="825"/>
      <c r="AT126" s="825"/>
      <c r="AU126" s="825"/>
      <c r="AV126" s="825"/>
      <c r="AW126" s="825"/>
      <c r="AX126" s="480"/>
      <c r="BA126" s="825"/>
      <c r="BB126" s="825"/>
      <c r="BC126" s="825"/>
      <c r="BD126" s="825"/>
      <c r="BE126" s="825"/>
      <c r="BF126" s="825"/>
      <c r="BG126" s="825"/>
      <c r="BH126" s="825"/>
      <c r="BI126" s="825"/>
      <c r="BJ126" s="825"/>
      <c r="BK126" s="825"/>
      <c r="BL126" s="825"/>
      <c r="BM126" s="825"/>
      <c r="BN126" s="825"/>
      <c r="BO126" s="825"/>
      <c r="BP126" s="825"/>
      <c r="BQ126" s="825"/>
      <c r="BR126" s="825"/>
      <c r="BS126" s="825"/>
      <c r="BT126" s="825"/>
      <c r="BU126" s="825"/>
      <c r="BV126" s="825"/>
      <c r="BW126" s="825"/>
      <c r="BX126" s="825"/>
      <c r="BY126" s="825"/>
      <c r="BZ126" s="825"/>
      <c r="CA126" s="825"/>
      <c r="CB126" s="825"/>
      <c r="CC126" s="825"/>
    </row>
    <row r="127" spans="1:81" ht="30.1" customHeight="1" x14ac:dyDescent="0.25">
      <c r="A127" s="825"/>
      <c r="B127" s="672"/>
      <c r="C127" s="1606"/>
      <c r="D127" s="1565"/>
      <c r="E127" s="1565"/>
      <c r="F127" s="1536"/>
      <c r="G127" s="1536"/>
      <c r="H127" s="1536"/>
      <c r="I127" s="1536"/>
      <c r="J127" s="1536"/>
      <c r="K127" s="1536"/>
      <c r="L127" s="1536"/>
      <c r="M127" s="645" t="s">
        <v>489</v>
      </c>
      <c r="N127" s="722" t="str">
        <f>N28</f>
        <v>Contaminación por residuos agropecuarios</v>
      </c>
      <c r="O127" s="837" t="str">
        <f t="shared" si="4"/>
        <v>Contaminación</v>
      </c>
      <c r="P127" s="855" t="e">
        <f>#REF!</f>
        <v>#REF!</v>
      </c>
      <c r="Q127" s="757" t="str">
        <f>AM10</f>
        <v>Control de residuos agropecuarios</v>
      </c>
      <c r="R127" s="842" t="s">
        <v>535</v>
      </c>
      <c r="S127" s="842" t="s">
        <v>492</v>
      </c>
      <c r="T127" s="519" t="str">
        <f>AL10</f>
        <v>SCT2</v>
      </c>
      <c r="U127" s="622"/>
      <c r="V127" s="478"/>
      <c r="W127" s="478"/>
      <c r="X127" s="273"/>
      <c r="Y127" s="825"/>
      <c r="Z127" s="825"/>
      <c r="AA127" s="825"/>
      <c r="AB127" s="825"/>
      <c r="AC127" s="825"/>
      <c r="AD127" s="825"/>
      <c r="AE127" s="825"/>
      <c r="AF127" s="825"/>
      <c r="AG127" s="825"/>
      <c r="AH127" s="825"/>
      <c r="AI127" s="825"/>
      <c r="AJ127" s="825"/>
      <c r="AK127" s="825"/>
      <c r="AL127" s="825"/>
      <c r="AM127" s="825"/>
      <c r="AN127" s="825"/>
      <c r="AO127" s="825"/>
      <c r="AP127" s="825"/>
      <c r="AQ127" s="825"/>
      <c r="AR127" s="825"/>
      <c r="AS127" s="825"/>
      <c r="AT127" s="825"/>
      <c r="AU127" s="825"/>
      <c r="AV127" s="825"/>
      <c r="AW127" s="825"/>
      <c r="AX127" s="480"/>
      <c r="BA127" s="825"/>
      <c r="BB127" s="825"/>
      <c r="BC127" s="825"/>
      <c r="BD127" s="825"/>
      <c r="BE127" s="825"/>
      <c r="BF127" s="825"/>
      <c r="BG127" s="825"/>
      <c r="BH127" s="825"/>
      <c r="BI127" s="825"/>
      <c r="BJ127" s="825"/>
      <c r="BK127" s="825"/>
      <c r="BL127" s="825"/>
      <c r="BM127" s="825"/>
      <c r="BN127" s="825"/>
      <c r="BO127" s="825"/>
      <c r="BP127" s="825"/>
      <c r="BQ127" s="825"/>
      <c r="BR127" s="825"/>
      <c r="BS127" s="825"/>
      <c r="BT127" s="825"/>
      <c r="BU127" s="825"/>
      <c r="BV127" s="825"/>
      <c r="BW127" s="825"/>
      <c r="BX127" s="825"/>
      <c r="BY127" s="825"/>
      <c r="BZ127" s="825"/>
      <c r="CA127" s="825"/>
      <c r="CB127" s="825"/>
      <c r="CC127" s="825"/>
    </row>
    <row r="128" spans="1:81" ht="46.55" customHeight="1" x14ac:dyDescent="0.25">
      <c r="A128" s="825"/>
      <c r="B128" s="672"/>
      <c r="C128" s="1607"/>
      <c r="D128" s="1566"/>
      <c r="E128" s="1566"/>
      <c r="F128" s="1543"/>
      <c r="G128" s="1543"/>
      <c r="H128" s="1543"/>
      <c r="I128" s="1543"/>
      <c r="J128" s="1543"/>
      <c r="K128" s="1543"/>
      <c r="L128" s="1543"/>
      <c r="M128" s="645" t="s">
        <v>489</v>
      </c>
      <c r="N128" s="722" t="str">
        <f>N36</f>
        <v>Colución, Cohecho y negociación incompatible</v>
      </c>
      <c r="O128" s="837" t="str">
        <f t="shared" si="4"/>
        <v>Corrupción</v>
      </c>
      <c r="P128" s="855" t="e">
        <f>#REF!</f>
        <v>#REF!</v>
      </c>
      <c r="Q128" s="757" t="str">
        <f>AG10</f>
        <v>Transparencia en incentivos financieros y obras públicas vinculadas a la ERDRBE</v>
      </c>
      <c r="R128" s="842" t="s">
        <v>687</v>
      </c>
      <c r="S128" s="842" t="s">
        <v>507</v>
      </c>
      <c r="T128" s="519" t="str">
        <f>AF10</f>
        <v>SCR2</v>
      </c>
      <c r="U128" s="622"/>
      <c r="V128" s="478"/>
      <c r="W128" s="478"/>
      <c r="X128" s="273"/>
      <c r="Y128" s="825"/>
      <c r="Z128" s="825"/>
      <c r="AA128" s="825"/>
      <c r="AB128" s="825"/>
      <c r="AC128" s="825"/>
      <c r="AD128" s="825"/>
      <c r="AE128" s="825"/>
      <c r="AF128" s="825"/>
      <c r="AG128" s="825"/>
      <c r="AH128" s="825"/>
      <c r="AI128" s="825"/>
      <c r="AJ128" s="825"/>
      <c r="AK128" s="825"/>
      <c r="AL128" s="825"/>
      <c r="AM128" s="825"/>
      <c r="AN128" s="825"/>
      <c r="AO128" s="825"/>
      <c r="AP128" s="825"/>
      <c r="AQ128" s="825"/>
      <c r="AR128" s="825"/>
      <c r="AS128" s="825"/>
      <c r="AT128" s="825"/>
      <c r="AU128" s="825"/>
      <c r="AV128" s="825"/>
      <c r="AW128" s="825"/>
      <c r="AX128" s="480"/>
      <c r="BA128" s="825"/>
      <c r="BB128" s="825"/>
      <c r="BC128" s="825"/>
      <c r="BD128" s="825"/>
      <c r="BE128" s="825"/>
      <c r="BF128" s="825"/>
      <c r="BG128" s="825"/>
      <c r="BH128" s="825"/>
      <c r="BI128" s="825"/>
      <c r="BJ128" s="825"/>
      <c r="BK128" s="825"/>
      <c r="BL128" s="825"/>
      <c r="BM128" s="825"/>
      <c r="BN128" s="825"/>
      <c r="BO128" s="825"/>
      <c r="BP128" s="825"/>
      <c r="BQ128" s="825"/>
      <c r="BR128" s="825"/>
      <c r="BS128" s="825"/>
      <c r="BT128" s="825"/>
      <c r="BU128" s="825"/>
      <c r="BV128" s="825"/>
      <c r="BW128" s="825"/>
      <c r="BX128" s="825"/>
      <c r="BY128" s="825"/>
      <c r="BZ128" s="825"/>
      <c r="CA128" s="825"/>
      <c r="CB128" s="825"/>
      <c r="CC128" s="825"/>
    </row>
    <row r="129" spans="1:81" ht="58.6" customHeight="1" x14ac:dyDescent="0.25">
      <c r="A129" s="825"/>
      <c r="B129" s="672" t="s">
        <v>488</v>
      </c>
      <c r="C129" s="1605" t="str">
        <f>'8. BASE  CONSOLIDADA'!E46</f>
        <v>1.5.1</v>
      </c>
      <c r="D129" s="1564" t="str">
        <f>'8. BASE  CONSOLIDADA'!F46</f>
        <v>Incentivos financieros para promoción del ecoturismo y turismo comunitario</v>
      </c>
      <c r="E129" s="1564" t="str">
        <f>'8. BASE  CONSOLIDADA'!G46</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129" s="1535" t="str">
        <f>'8. BASE  CONSOLIDADA'!C46</f>
        <v xml:space="preserve">Concesiones para conservación y ecoturismo </v>
      </c>
      <c r="G129" s="1019" t="str">
        <f>VLOOKUP($C129,'8. BASE  CONSOLIDADA'!$E$7:$AS$308,13,FALSE)</f>
        <v>Planes de negocio</v>
      </c>
      <c r="H129" s="1109">
        <f>VLOOKUP($C129,'8. BASE  CONSOLIDADA'!$E$7:$AS$308,15,FALSE)</f>
        <v>8.4</v>
      </c>
      <c r="I129" s="1058">
        <f>VLOOKUP(C129,'8. BASE  CONSOLIDADA'!$E$7:$AS$308,20,FALSE)</f>
        <v>1260000</v>
      </c>
      <c r="J129" s="678">
        <f>I129*$J$6</f>
        <v>856.80000000000007</v>
      </c>
      <c r="K129" s="1025"/>
      <c r="L129" s="1026"/>
      <c r="M129" s="645" t="s">
        <v>489</v>
      </c>
      <c r="N129" s="722" t="str">
        <f>N68</f>
        <v>Impacto negativo sobre la biodiversidad por infraestructura o visitantes</v>
      </c>
      <c r="O129" s="837" t="str">
        <f t="shared" si="4"/>
        <v>Biodiversidad y recursos naturales</v>
      </c>
      <c r="P129" s="855" t="e">
        <f>#REF!</f>
        <v>#REF!</v>
      </c>
      <c r="Q129" s="757" t="str">
        <f>AA15</f>
        <v>Evaluación de impacto de actividades turísticas e implementación de buenas prácticas para mitigar el impacto directo e indirecto de la actividad</v>
      </c>
      <c r="R129" s="842" t="s">
        <v>831</v>
      </c>
      <c r="S129" s="842" t="s">
        <v>526</v>
      </c>
      <c r="T129" s="519" t="str">
        <f>Z15</f>
        <v>SBRN7</v>
      </c>
      <c r="U129" s="622" t="s">
        <v>648</v>
      </c>
      <c r="V129" s="478"/>
      <c r="W129" s="478"/>
      <c r="X129" s="273"/>
      <c r="Y129" s="825"/>
      <c r="Z129" s="825"/>
      <c r="AA129" s="825"/>
      <c r="AB129" s="825"/>
      <c r="AC129" s="825"/>
      <c r="AD129" s="825"/>
      <c r="AE129" s="825"/>
      <c r="AF129" s="825"/>
      <c r="AG129" s="825"/>
      <c r="AH129" s="825"/>
      <c r="AI129" s="825"/>
      <c r="AJ129" s="825"/>
      <c r="AK129" s="825"/>
      <c r="AL129" s="825"/>
      <c r="AM129" s="825"/>
      <c r="AN129" s="825"/>
      <c r="AO129" s="825"/>
      <c r="AP129" s="825"/>
      <c r="AQ129" s="825"/>
      <c r="AR129" s="825"/>
      <c r="AS129" s="825"/>
      <c r="AT129" s="825"/>
      <c r="AU129" s="825"/>
      <c r="AV129" s="825"/>
      <c r="AW129" s="825"/>
      <c r="AX129" s="480"/>
      <c r="BA129" s="825"/>
      <c r="BB129" s="825"/>
      <c r="BC129" s="825"/>
      <c r="BD129" s="825"/>
      <c r="BE129" s="825"/>
      <c r="BF129" s="825"/>
      <c r="BG129" s="825"/>
      <c r="BH129" s="825"/>
      <c r="BI129" s="825"/>
      <c r="BJ129" s="825"/>
      <c r="BK129" s="825"/>
      <c r="BL129" s="825"/>
      <c r="BM129" s="825"/>
      <c r="BN129" s="825"/>
      <c r="BO129" s="825"/>
      <c r="BP129" s="825"/>
      <c r="BQ129" s="825"/>
      <c r="BR129" s="825"/>
      <c r="BS129" s="825"/>
      <c r="BT129" s="825"/>
      <c r="BU129" s="825"/>
      <c r="BV129" s="825"/>
      <c r="BW129" s="825"/>
      <c r="BX129" s="825"/>
      <c r="BY129" s="825"/>
      <c r="BZ129" s="825"/>
      <c r="CA129" s="825"/>
      <c r="CB129" s="825"/>
      <c r="CC129" s="825"/>
    </row>
    <row r="130" spans="1:81" ht="85.6" customHeight="1" x14ac:dyDescent="0.25">
      <c r="A130" s="825"/>
      <c r="B130" s="672"/>
      <c r="C130" s="1607"/>
      <c r="D130" s="1566"/>
      <c r="E130" s="1566"/>
      <c r="F130" s="1543"/>
      <c r="G130" s="1091"/>
      <c r="H130" s="1112"/>
      <c r="I130" s="1061"/>
      <c r="J130" s="720"/>
      <c r="K130" s="1036"/>
      <c r="L130" s="1037"/>
      <c r="M130" s="645" t="s">
        <v>489</v>
      </c>
      <c r="N130" s="722" t="s">
        <v>847</v>
      </c>
      <c r="O130" s="837" t="str">
        <f t="shared" si="4"/>
        <v>Género</v>
      </c>
      <c r="P130" s="855" t="str">
        <f>AC6</f>
        <v>GN</v>
      </c>
      <c r="Q130" s="757" t="str">
        <f>AJ23</f>
        <v>Inclusión de mujeres rurales en actividades de turismo comunitario en concesiones para conservación y ecoturismo</v>
      </c>
      <c r="R130" s="842" t="s">
        <v>827</v>
      </c>
      <c r="S130" s="842" t="s">
        <v>526</v>
      </c>
      <c r="T130" s="519" t="str">
        <f>AI23</f>
        <v>SGN15</v>
      </c>
      <c r="U130" s="622"/>
      <c r="V130" s="478"/>
      <c r="W130" s="478"/>
      <c r="X130" s="273"/>
      <c r="Y130" s="825"/>
      <c r="Z130" s="825"/>
      <c r="AA130" s="825"/>
      <c r="AB130" s="825"/>
      <c r="AC130" s="825"/>
      <c r="AD130" s="825"/>
      <c r="AE130" s="825"/>
      <c r="AF130" s="825"/>
      <c r="AG130" s="825"/>
      <c r="AH130" s="825"/>
      <c r="AI130" s="825"/>
      <c r="AJ130" s="825"/>
      <c r="AK130" s="825"/>
      <c r="AL130" s="825"/>
      <c r="AM130" s="825"/>
      <c r="AN130" s="825"/>
      <c r="AO130" s="825"/>
      <c r="AP130" s="825"/>
      <c r="AQ130" s="825"/>
      <c r="AR130" s="825"/>
      <c r="AS130" s="825"/>
      <c r="AT130" s="825"/>
      <c r="AU130" s="825"/>
      <c r="AV130" s="825"/>
      <c r="AW130" s="825"/>
      <c r="AX130" s="480"/>
      <c r="BA130" s="825"/>
      <c r="BB130" s="825"/>
      <c r="BC130" s="825"/>
      <c r="BD130" s="825"/>
      <c r="BE130" s="825"/>
      <c r="BF130" s="825"/>
      <c r="BG130" s="825"/>
      <c r="BH130" s="825"/>
      <c r="BI130" s="825"/>
      <c r="BJ130" s="825"/>
      <c r="BK130" s="825"/>
      <c r="BL130" s="825"/>
      <c r="BM130" s="825"/>
      <c r="BN130" s="825"/>
      <c r="BO130" s="825"/>
      <c r="BP130" s="825"/>
      <c r="BQ130" s="825"/>
      <c r="BR130" s="825"/>
      <c r="BS130" s="825"/>
      <c r="BT130" s="825"/>
      <c r="BU130" s="825"/>
      <c r="BV130" s="825"/>
      <c r="BW130" s="825"/>
      <c r="BX130" s="825"/>
      <c r="BY130" s="825"/>
      <c r="BZ130" s="825"/>
      <c r="CA130" s="825"/>
      <c r="CB130" s="825"/>
      <c r="CC130" s="825"/>
    </row>
    <row r="131" spans="1:81" ht="47.25" customHeight="1" x14ac:dyDescent="0.25">
      <c r="A131" s="825"/>
      <c r="B131" s="672" t="s">
        <v>488</v>
      </c>
      <c r="C131" s="1605" t="str">
        <f>'8. BASE  CONSOLIDADA'!E48</f>
        <v>1.5.3</v>
      </c>
      <c r="D131" s="1564" t="str">
        <f>'8. BASE  CONSOLIDADA'!F48</f>
        <v xml:space="preserve">Promoción de Bionegocios con productos forestales no maderables </v>
      </c>
      <c r="E131" s="1564" t="str">
        <f>'8. BASE  CONSOLIDADA'!G48</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131" s="1535" t="str">
        <f>'8. BASE  CONSOLIDADA'!C48</f>
        <v xml:space="preserve">Concesiones para conservación y ecoturismo </v>
      </c>
      <c r="G131" s="1535" t="str">
        <f>VLOOKUP($C131,'8. BASE  CONSOLIDADA'!$E$7:$AS$308,11,FALSE)</f>
        <v>INNOVACIÓN</v>
      </c>
      <c r="H131" s="1535" t="str">
        <f>VLOOKUP($C131,'8. BASE  CONSOLIDADA'!$E$7:$AS$308,13,FALSE)</f>
        <v>Planes de negocio</v>
      </c>
      <c r="I131" s="1535">
        <f>VLOOKUP($C131,'8. BASE  CONSOLIDADA'!$E$7:$AS$308,15,FALSE)</f>
        <v>7</v>
      </c>
      <c r="J131" s="1535">
        <f>I131*$J$6</f>
        <v>4.7600000000000003E-3</v>
      </c>
      <c r="K131" s="1535"/>
      <c r="L131" s="1535"/>
      <c r="M131" s="645" t="s">
        <v>489</v>
      </c>
      <c r="N131" s="722" t="str">
        <f>N68</f>
        <v>Impacto negativo sobre la biodiversidad por infraestructura o visitantes</v>
      </c>
      <c r="O131" s="837" t="str">
        <f t="shared" si="4"/>
        <v>Biodiversidad y recursos naturales</v>
      </c>
      <c r="P131" s="855" t="e">
        <f>#REF!</f>
        <v>#REF!</v>
      </c>
      <c r="Q131" s="757" t="str">
        <f>AA15</f>
        <v>Evaluación de impacto de actividades turísticas e implementación de buenas prácticas para mitigar el impacto directo e indirecto de la actividad</v>
      </c>
      <c r="R131" s="842" t="s">
        <v>831</v>
      </c>
      <c r="S131" s="842" t="s">
        <v>526</v>
      </c>
      <c r="T131" s="519" t="str">
        <f>Z15</f>
        <v>SBRN7</v>
      </c>
      <c r="U131" s="622" t="s">
        <v>648</v>
      </c>
      <c r="V131" s="478"/>
      <c r="W131" s="478"/>
      <c r="X131" s="273"/>
      <c r="Y131" s="825"/>
      <c r="Z131" s="825"/>
      <c r="AA131" s="825"/>
      <c r="AB131" s="825"/>
      <c r="AC131" s="825"/>
      <c r="AD131" s="825"/>
      <c r="AE131" s="825"/>
      <c r="AF131" s="825"/>
      <c r="AG131" s="825"/>
      <c r="AH131" s="825"/>
      <c r="AI131" s="825"/>
      <c r="AJ131" s="825"/>
      <c r="AK131" s="825"/>
      <c r="AL131" s="825"/>
      <c r="AM131" s="825"/>
      <c r="AN131" s="825"/>
      <c r="AO131" s="825"/>
      <c r="AP131" s="825"/>
      <c r="AQ131" s="825"/>
      <c r="AR131" s="825"/>
      <c r="AS131" s="825"/>
      <c r="AT131" s="825"/>
      <c r="AU131" s="825"/>
      <c r="AV131" s="825"/>
      <c r="AW131" s="825"/>
      <c r="AX131" s="480"/>
      <c r="BA131" s="825"/>
      <c r="BB131" s="825"/>
      <c r="BC131" s="825"/>
      <c r="BD131" s="825"/>
      <c r="BE131" s="825"/>
      <c r="BF131" s="825"/>
      <c r="BG131" s="825"/>
      <c r="BH131" s="825"/>
      <c r="BI131" s="825"/>
      <c r="BJ131" s="825"/>
      <c r="BK131" s="825"/>
      <c r="BL131" s="825"/>
      <c r="BM131" s="825"/>
      <c r="BN131" s="825"/>
      <c r="BO131" s="825"/>
      <c r="BP131" s="825"/>
      <c r="BQ131" s="825"/>
      <c r="BR131" s="825"/>
      <c r="BS131" s="825"/>
      <c r="BT131" s="825"/>
      <c r="BU131" s="825"/>
      <c r="BV131" s="825"/>
      <c r="BW131" s="825"/>
      <c r="BX131" s="825"/>
      <c r="BY131" s="825"/>
      <c r="BZ131" s="825"/>
      <c r="CA131" s="825"/>
      <c r="CB131" s="825"/>
      <c r="CC131" s="825"/>
    </row>
    <row r="132" spans="1:81" ht="74.25" customHeight="1" x14ac:dyDescent="0.25">
      <c r="A132" s="825"/>
      <c r="B132" s="672"/>
      <c r="C132" s="1607"/>
      <c r="D132" s="1566"/>
      <c r="E132" s="1566"/>
      <c r="F132" s="1543"/>
      <c r="G132" s="1543"/>
      <c r="H132" s="1543"/>
      <c r="I132" s="1543"/>
      <c r="J132" s="1543"/>
      <c r="K132" s="1543"/>
      <c r="L132" s="1543"/>
      <c r="M132" s="645" t="s">
        <v>489</v>
      </c>
      <c r="N132" s="722" t="str">
        <f>N69</f>
        <v>Exclusión de mujeres rurales en programas de turismo comunitario</v>
      </c>
      <c r="O132" s="837" t="str">
        <f t="shared" si="4"/>
        <v>Género</v>
      </c>
      <c r="P132" s="855" t="str">
        <f>AC6</f>
        <v>GN</v>
      </c>
      <c r="Q132" s="757" t="str">
        <f>AJ23</f>
        <v>Inclusión de mujeres rurales en actividades de turismo comunitario en concesiones para conservación y ecoturismo</v>
      </c>
      <c r="R132" s="842" t="s">
        <v>827</v>
      </c>
      <c r="S132" s="842" t="s">
        <v>526</v>
      </c>
      <c r="T132" s="519" t="str">
        <f>AI23</f>
        <v>SGN15</v>
      </c>
      <c r="U132" s="622"/>
      <c r="V132" s="478"/>
      <c r="W132" s="478"/>
      <c r="X132" s="273"/>
      <c r="Y132" s="825"/>
      <c r="Z132" s="825"/>
      <c r="AA132" s="825"/>
      <c r="AB132" s="825"/>
      <c r="AC132" s="825"/>
      <c r="AD132" s="825"/>
      <c r="AE132" s="825"/>
      <c r="AF132" s="825"/>
      <c r="AG132" s="825"/>
      <c r="AH132" s="825"/>
      <c r="AI132" s="825"/>
      <c r="AJ132" s="825"/>
      <c r="AK132" s="825"/>
      <c r="AL132" s="825"/>
      <c r="AM132" s="825"/>
      <c r="AN132" s="825"/>
      <c r="AO132" s="825"/>
      <c r="AP132" s="825"/>
      <c r="AQ132" s="825"/>
      <c r="AR132" s="825"/>
      <c r="AS132" s="825"/>
      <c r="AT132" s="825"/>
      <c r="AU132" s="825"/>
      <c r="AV132" s="825"/>
      <c r="AW132" s="825"/>
      <c r="AX132" s="480"/>
      <c r="BA132" s="825"/>
      <c r="BB132" s="825"/>
      <c r="BC132" s="825"/>
      <c r="BD132" s="825"/>
      <c r="BE132" s="825"/>
      <c r="BF132" s="825"/>
      <c r="BG132" s="825"/>
      <c r="BH132" s="825"/>
      <c r="BI132" s="825"/>
      <c r="BJ132" s="825"/>
      <c r="BK132" s="825"/>
      <c r="BL132" s="825"/>
      <c r="BM132" s="825"/>
      <c r="BN132" s="825"/>
      <c r="BO132" s="825"/>
      <c r="BP132" s="825"/>
      <c r="BQ132" s="825"/>
      <c r="BR132" s="825"/>
      <c r="BS132" s="825"/>
      <c r="BT132" s="825"/>
      <c r="BU132" s="825"/>
      <c r="BV132" s="825"/>
      <c r="BW132" s="825"/>
      <c r="BX132" s="825"/>
      <c r="BY132" s="825"/>
      <c r="BZ132" s="825"/>
      <c r="CA132" s="825"/>
      <c r="CB132" s="825"/>
      <c r="CC132" s="825"/>
    </row>
    <row r="133" spans="1:81" ht="50.95" customHeight="1" x14ac:dyDescent="0.25">
      <c r="A133" s="825"/>
      <c r="B133" s="672" t="s">
        <v>488</v>
      </c>
      <c r="C133" s="1605" t="str">
        <f>'8. BASE  CONSOLIDADA'!E51</f>
        <v>1.6.2</v>
      </c>
      <c r="D133" s="1564" t="str">
        <f>'8. BASE  CONSOLIDADA'!F51</f>
        <v>Incentivos financieros para manejo forestal sostenible</v>
      </c>
      <c r="E133" s="1564" t="str">
        <f>'8. BASE  CONSOLIDADA'!G51</f>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v>
      </c>
      <c r="F133" s="1535" t="str">
        <f>'8. BASE  CONSOLIDADA'!C51</f>
        <v xml:space="preserve">Concesiones Forestales Maderables </v>
      </c>
      <c r="G133" s="1535" t="str">
        <f>VLOOKUP($C133,'8. BASE  CONSOLIDADA'!$E$7:$AS$308,13,FALSE)</f>
        <v>Créditos otorgados</v>
      </c>
      <c r="H133" s="1535">
        <f>VLOOKUP($C133,'8. BASE  CONSOLIDADA'!$E$7:$AS$308,15,FALSE)</f>
        <v>5</v>
      </c>
      <c r="I133" s="1535">
        <f>VLOOKUP(C133,'8. BASE  CONSOLIDADA'!$E$7:$AS$308,20,FALSE)</f>
        <v>750000</v>
      </c>
      <c r="J133" s="1535">
        <f>I133*$J$6</f>
        <v>510.00000000000006</v>
      </c>
      <c r="K133" s="1535"/>
      <c r="L133" s="1535"/>
      <c r="M133" s="645" t="s">
        <v>489</v>
      </c>
      <c r="N133" s="722" t="str">
        <f>N69</f>
        <v>Exclusión de mujeres rurales en programas de turismo comunitario</v>
      </c>
      <c r="O133" s="837" t="str">
        <f t="shared" si="4"/>
        <v>Género</v>
      </c>
      <c r="P133" s="855" t="str">
        <f>AC6</f>
        <v>GN</v>
      </c>
      <c r="Q133" s="757" t="str">
        <f>AJ24</f>
        <v>Inclusión de mujeres rurales en actividades de turismo comunitario en concesiones forestales maderables</v>
      </c>
      <c r="R133" s="842" t="s">
        <v>827</v>
      </c>
      <c r="S133" s="842" t="s">
        <v>526</v>
      </c>
      <c r="T133" s="519" t="str">
        <f>AI24</f>
        <v>SGN16</v>
      </c>
      <c r="U133" s="620"/>
      <c r="V133" s="478"/>
      <c r="W133" s="478"/>
      <c r="X133" s="273"/>
      <c r="Y133" s="825"/>
      <c r="Z133" s="825"/>
      <c r="AA133" s="825"/>
      <c r="AB133" s="825"/>
      <c r="AC133" s="825"/>
      <c r="AD133" s="825"/>
      <c r="AE133" s="825"/>
      <c r="AF133" s="825"/>
      <c r="AG133" s="825"/>
      <c r="AH133" s="825"/>
      <c r="AI133" s="825"/>
      <c r="AJ133" s="825"/>
      <c r="AK133" s="825"/>
      <c r="AL133" s="825"/>
      <c r="AM133" s="825"/>
      <c r="AN133" s="825"/>
      <c r="AO133" s="825"/>
      <c r="AP133" s="825"/>
      <c r="AQ133" s="825"/>
      <c r="AR133" s="825"/>
      <c r="AS133" s="825"/>
      <c r="AT133" s="825"/>
      <c r="AU133" s="825"/>
      <c r="AV133" s="825"/>
      <c r="AW133" s="825"/>
      <c r="AX133" s="480"/>
      <c r="BA133" s="825"/>
      <c r="BB133" s="825"/>
      <c r="BC133" s="825"/>
      <c r="BD133" s="825"/>
      <c r="BE133" s="825"/>
      <c r="BF133" s="825"/>
      <c r="BG133" s="825"/>
      <c r="BH133" s="825"/>
      <c r="BI133" s="825"/>
      <c r="BJ133" s="825"/>
      <c r="BK133" s="825"/>
      <c r="BL133" s="825"/>
      <c r="BM133" s="825"/>
      <c r="BN133" s="825"/>
      <c r="BO133" s="825"/>
      <c r="BP133" s="825"/>
      <c r="BQ133" s="825"/>
      <c r="BR133" s="825"/>
      <c r="BS133" s="825"/>
      <c r="BT133" s="825"/>
      <c r="BU133" s="825"/>
      <c r="BV133" s="825"/>
      <c r="BW133" s="825"/>
      <c r="BX133" s="825"/>
      <c r="BY133" s="825"/>
      <c r="BZ133" s="825"/>
      <c r="CA133" s="825"/>
      <c r="CB133" s="825"/>
      <c r="CC133" s="825"/>
    </row>
    <row r="134" spans="1:81" ht="27" customHeight="1" x14ac:dyDescent="0.25">
      <c r="A134" s="825"/>
      <c r="B134" s="672"/>
      <c r="C134" s="1606"/>
      <c r="D134" s="1565"/>
      <c r="E134" s="1565"/>
      <c r="F134" s="1536"/>
      <c r="G134" s="1536"/>
      <c r="H134" s="1536"/>
      <c r="I134" s="1536"/>
      <c r="J134" s="1536"/>
      <c r="K134" s="1536"/>
      <c r="L134" s="1536"/>
      <c r="M134" s="645" t="s">
        <v>489</v>
      </c>
      <c r="N134" s="722" t="s">
        <v>848</v>
      </c>
      <c r="O134" s="837" t="str">
        <f t="shared" si="4"/>
        <v>Corrupción</v>
      </c>
      <c r="P134" s="855" t="e">
        <f>#REF!</f>
        <v>#REF!</v>
      </c>
      <c r="Q134" s="757" t="str">
        <f>AG9</f>
        <v xml:space="preserve">Transparencia en procesos de formalización de la propiedad rural y cesión en uso </v>
      </c>
      <c r="R134" s="842" t="s">
        <v>566</v>
      </c>
      <c r="S134" s="842" t="s">
        <v>526</v>
      </c>
      <c r="T134" s="519" t="str">
        <f>AF9</f>
        <v>SCR1</v>
      </c>
      <c r="U134" s="620"/>
      <c r="V134" s="478"/>
      <c r="W134" s="478"/>
      <c r="X134" s="273"/>
      <c r="Y134" s="825"/>
      <c r="Z134" s="825"/>
      <c r="AA134" s="825"/>
      <c r="AB134" s="825"/>
      <c r="AC134" s="825"/>
      <c r="AD134" s="825"/>
      <c r="AE134" s="825"/>
      <c r="AF134" s="825"/>
      <c r="AG134" s="825"/>
      <c r="AH134" s="825"/>
      <c r="AI134" s="825"/>
      <c r="AJ134" s="825"/>
      <c r="AK134" s="825"/>
      <c r="AL134" s="825"/>
      <c r="AM134" s="825"/>
      <c r="AN134" s="825"/>
      <c r="AO134" s="825"/>
      <c r="AP134" s="825"/>
      <c r="AQ134" s="825"/>
      <c r="AR134" s="825"/>
      <c r="AS134" s="825"/>
      <c r="AT134" s="825"/>
      <c r="AU134" s="825"/>
      <c r="AV134" s="825"/>
      <c r="AW134" s="825"/>
      <c r="AX134" s="480"/>
      <c r="BA134" s="825"/>
      <c r="BB134" s="825"/>
      <c r="BC134" s="825"/>
      <c r="BD134" s="825"/>
      <c r="BE134" s="825"/>
      <c r="BF134" s="825"/>
      <c r="BG134" s="825"/>
      <c r="BH134" s="825"/>
      <c r="BI134" s="825"/>
      <c r="BJ134" s="825"/>
      <c r="BK134" s="825"/>
      <c r="BL134" s="825"/>
      <c r="BM134" s="825"/>
      <c r="BN134" s="825"/>
      <c r="BO134" s="825"/>
      <c r="BP134" s="825"/>
      <c r="BQ134" s="825"/>
      <c r="BR134" s="825"/>
      <c r="BS134" s="825"/>
      <c r="BT134" s="825"/>
      <c r="BU134" s="825"/>
      <c r="BV134" s="825"/>
      <c r="BW134" s="825"/>
      <c r="BX134" s="825"/>
      <c r="BY134" s="825"/>
      <c r="BZ134" s="825"/>
      <c r="CA134" s="825"/>
      <c r="CB134" s="825"/>
      <c r="CC134" s="825"/>
    </row>
    <row r="135" spans="1:81" ht="32.299999999999997" customHeight="1" x14ac:dyDescent="0.25">
      <c r="A135" s="825"/>
      <c r="B135" s="672"/>
      <c r="C135" s="1607"/>
      <c r="D135" s="1566"/>
      <c r="E135" s="1566"/>
      <c r="F135" s="1543"/>
      <c r="G135" s="1543"/>
      <c r="H135" s="1543"/>
      <c r="I135" s="1543"/>
      <c r="J135" s="1543"/>
      <c r="K135" s="1543"/>
      <c r="L135" s="1543"/>
      <c r="M135" s="645" t="s">
        <v>489</v>
      </c>
      <c r="N135" s="722" t="s">
        <v>849</v>
      </c>
      <c r="O135" s="837" t="str">
        <f t="shared" si="4"/>
        <v>Corrupción</v>
      </c>
      <c r="P135" s="855" t="e">
        <f>#REF!</f>
        <v>#REF!</v>
      </c>
      <c r="Q135" s="757" t="str">
        <f>AG14</f>
        <v>Socialización con colindantes de la concesión los derechos y obligaciones de los titulares de las concesiones forestales maderables</v>
      </c>
      <c r="R135" s="842" t="s">
        <v>850</v>
      </c>
      <c r="S135" s="842" t="s">
        <v>526</v>
      </c>
      <c r="T135" s="519" t="str">
        <f>AF14</f>
        <v>SCR6</v>
      </c>
      <c r="U135" s="620"/>
      <c r="V135" s="478"/>
      <c r="W135" s="478"/>
      <c r="X135" s="273"/>
      <c r="Y135" s="825"/>
      <c r="Z135" s="825"/>
      <c r="AA135" s="825"/>
      <c r="AB135" s="825"/>
      <c r="AC135" s="825"/>
      <c r="AD135" s="825"/>
      <c r="AE135" s="825"/>
      <c r="AF135" s="825"/>
      <c r="AG135" s="825"/>
      <c r="AH135" s="825"/>
      <c r="AI135" s="825"/>
      <c r="AJ135" s="825"/>
      <c r="AK135" s="825"/>
      <c r="AL135" s="825"/>
      <c r="AM135" s="825"/>
      <c r="AN135" s="825"/>
      <c r="AO135" s="825"/>
      <c r="AP135" s="825"/>
      <c r="AQ135" s="825"/>
      <c r="AR135" s="825"/>
      <c r="AS135" s="825"/>
      <c r="AT135" s="825"/>
      <c r="AU135" s="825"/>
      <c r="AV135" s="825"/>
      <c r="AW135" s="825"/>
      <c r="AX135" s="480"/>
      <c r="BA135" s="825"/>
      <c r="BB135" s="825"/>
      <c r="BC135" s="825"/>
      <c r="BD135" s="825"/>
      <c r="BE135" s="825"/>
      <c r="BF135" s="825"/>
      <c r="BG135" s="825"/>
      <c r="BH135" s="825"/>
      <c r="BI135" s="825"/>
      <c r="BJ135" s="825"/>
      <c r="BK135" s="825"/>
      <c r="BL135" s="825"/>
      <c r="BM135" s="825"/>
      <c r="BN135" s="825"/>
      <c r="BO135" s="825"/>
      <c r="BP135" s="825"/>
      <c r="BQ135" s="825"/>
      <c r="BR135" s="825"/>
      <c r="BS135" s="825"/>
      <c r="BT135" s="825"/>
      <c r="BU135" s="825"/>
      <c r="BV135" s="825"/>
      <c r="BW135" s="825"/>
      <c r="BX135" s="825"/>
      <c r="BY135" s="825"/>
      <c r="BZ135" s="825"/>
      <c r="CA135" s="825"/>
      <c r="CB135" s="825"/>
      <c r="CC135" s="825"/>
    </row>
    <row r="136" spans="1:81" ht="34.5" customHeight="1" x14ac:dyDescent="0.25">
      <c r="A136" s="825"/>
      <c r="B136" s="672" t="s">
        <v>488</v>
      </c>
      <c r="C136" s="1605" t="str">
        <f>'8. BASE  CONSOLIDADA'!E61</f>
        <v>1.9.1</v>
      </c>
      <c r="D136" s="1564" t="str">
        <f>'8. BASE  CONSOLIDADA'!F61</f>
        <v>Adecuación de ZoCRE a unidad de ordenamiento forestal y/o titulo habilitante forestal y de fauna silvestre de acuerdo a LFFS (Ley No 29763)</v>
      </c>
      <c r="E136" s="1564" t="str">
        <f>'8. BASE  CONSOLIDADA'!G61</f>
        <v xml:space="preserve">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v>
      </c>
      <c r="F136" s="1535" t="str">
        <f>'8. BASE  CONSOLIDADA'!C61</f>
        <v>ZOCRES</v>
      </c>
      <c r="G136" s="1535" t="str">
        <f>VLOOKUP($C136,'8. BASE  CONSOLIDADA'!$E$7:$AS$308,13,FALSE)</f>
        <v>Ha. con categoría territorial asignada</v>
      </c>
      <c r="H136" s="1535">
        <f>VLOOKUP($C136,'8. BASE  CONSOLIDADA'!$E$7:$AS$308,15,FALSE)</f>
        <v>18538.030078107324</v>
      </c>
      <c r="I136" s="1535">
        <f>VLOOKUP(C136,'8. BASE  CONSOLIDADA'!$E$7:$AS$308,20,FALSE)</f>
        <v>278070.45117160986</v>
      </c>
      <c r="J136" s="1535">
        <f>I136*$J$6</f>
        <v>189.08790679669471</v>
      </c>
      <c r="K136" s="1535"/>
      <c r="L136" s="1535"/>
      <c r="M136" s="645" t="s">
        <v>489</v>
      </c>
      <c r="N136" s="722" t="s">
        <v>851</v>
      </c>
      <c r="O136" s="837" t="str">
        <f t="shared" si="4"/>
        <v>Corrupción</v>
      </c>
      <c r="P136" s="855" t="e">
        <f>#REF!</f>
        <v>#REF!</v>
      </c>
      <c r="Q136" s="757" t="str">
        <f>AG9</f>
        <v xml:space="preserve">Transparencia en procesos de formalización de la propiedad rural y cesión en uso </v>
      </c>
      <c r="R136" s="842" t="s">
        <v>852</v>
      </c>
      <c r="S136" s="842" t="s">
        <v>507</v>
      </c>
      <c r="T136" s="519" t="str">
        <f>AF9</f>
        <v>SCR1</v>
      </c>
      <c r="U136" s="620"/>
      <c r="V136" s="478"/>
      <c r="W136" s="478"/>
      <c r="X136" s="273"/>
      <c r="Y136" s="825"/>
      <c r="Z136" s="825"/>
      <c r="AA136" s="825"/>
      <c r="AB136" s="825"/>
      <c r="AC136" s="825"/>
      <c r="AD136" s="825"/>
      <c r="AE136" s="825"/>
      <c r="AF136" s="825"/>
      <c r="AG136" s="825"/>
      <c r="AH136" s="825"/>
      <c r="AI136" s="825"/>
      <c r="AJ136" s="825"/>
      <c r="AK136" s="825"/>
      <c r="AL136" s="825"/>
      <c r="AM136" s="825"/>
      <c r="AN136" s="825"/>
      <c r="AO136" s="825"/>
      <c r="AP136" s="825"/>
      <c r="AQ136" s="825"/>
      <c r="AR136" s="825"/>
      <c r="AS136" s="825"/>
      <c r="AT136" s="825"/>
      <c r="AU136" s="825"/>
      <c r="AV136" s="825"/>
      <c r="AW136" s="825"/>
      <c r="AX136" s="480"/>
      <c r="BA136" s="825"/>
      <c r="BB136" s="825"/>
      <c r="BC136" s="825"/>
      <c r="BD136" s="825"/>
      <c r="BE136" s="825"/>
      <c r="BF136" s="825"/>
      <c r="BG136" s="825"/>
      <c r="BH136" s="825"/>
      <c r="BI136" s="825"/>
      <c r="BJ136" s="825"/>
      <c r="BK136" s="825"/>
      <c r="BL136" s="825"/>
      <c r="BM136" s="825"/>
      <c r="BN136" s="825"/>
      <c r="BO136" s="825"/>
      <c r="BP136" s="825"/>
      <c r="BQ136" s="825"/>
      <c r="BR136" s="825"/>
      <c r="BS136" s="825"/>
      <c r="BT136" s="825"/>
      <c r="BU136" s="825"/>
      <c r="BV136" s="825"/>
      <c r="BW136" s="825"/>
      <c r="BX136" s="825"/>
      <c r="BY136" s="825"/>
      <c r="BZ136" s="825"/>
      <c r="CA136" s="825"/>
      <c r="CB136" s="825"/>
      <c r="CC136" s="825"/>
    </row>
    <row r="137" spans="1:81" s="585" customFormat="1" ht="36" customHeight="1" x14ac:dyDescent="0.25">
      <c r="A137" s="825"/>
      <c r="B137" s="672"/>
      <c r="C137" s="1606"/>
      <c r="D137" s="1565"/>
      <c r="E137" s="1565"/>
      <c r="F137" s="1536"/>
      <c r="G137" s="1536"/>
      <c r="H137" s="1536"/>
      <c r="I137" s="1536"/>
      <c r="J137" s="1536"/>
      <c r="K137" s="1536"/>
      <c r="L137" s="1536"/>
      <c r="M137" s="645" t="s">
        <v>489</v>
      </c>
      <c r="N137" s="722" t="str">
        <f>N136</f>
        <v>Superposición de las ZOCRES con otros derechos otorgados o que deben ser reconocidos</v>
      </c>
      <c r="O137" s="837" t="str">
        <f t="shared" si="4"/>
        <v>Corrupción</v>
      </c>
      <c r="P137" s="855" t="e">
        <f>#REF!</f>
        <v>#REF!</v>
      </c>
      <c r="Q137" s="757" t="str">
        <f>AG15</f>
        <v>Evaluación de superposición de las ZOCRES con derechos otorgados</v>
      </c>
      <c r="R137" s="842" t="s">
        <v>853</v>
      </c>
      <c r="S137" s="842" t="s">
        <v>854</v>
      </c>
      <c r="T137" s="519" t="str">
        <f>AF15</f>
        <v>SCR7</v>
      </c>
      <c r="U137" s="620" t="s">
        <v>855</v>
      </c>
      <c r="V137" s="478"/>
      <c r="W137" s="478"/>
      <c r="X137" s="273"/>
      <c r="Y137" s="825"/>
      <c r="Z137" s="825"/>
      <c r="AA137" s="825"/>
      <c r="AB137" s="825"/>
      <c r="AC137" s="825"/>
      <c r="AD137" s="825"/>
      <c r="AE137" s="825"/>
      <c r="AF137" s="825"/>
      <c r="AG137" s="825"/>
      <c r="AH137" s="825"/>
      <c r="AI137" s="825"/>
      <c r="AJ137" s="825"/>
      <c r="AK137" s="825"/>
      <c r="AL137" s="825"/>
      <c r="AM137" s="825"/>
      <c r="AN137" s="825"/>
      <c r="AO137" s="825"/>
      <c r="AP137" s="825"/>
      <c r="AQ137" s="825"/>
      <c r="AR137" s="825"/>
      <c r="AS137" s="825"/>
      <c r="AT137" s="825"/>
      <c r="AU137" s="825"/>
      <c r="AV137" s="825"/>
      <c r="AW137" s="825"/>
      <c r="AX137" s="480"/>
      <c r="AY137" s="273"/>
      <c r="AZ137" s="273"/>
      <c r="BA137" s="825"/>
      <c r="BB137" s="825"/>
      <c r="BC137" s="825"/>
      <c r="BD137" s="825"/>
      <c r="BE137" s="825"/>
      <c r="BF137" s="825"/>
      <c r="BG137" s="825"/>
      <c r="BH137" s="825"/>
      <c r="BI137" s="825"/>
      <c r="BJ137" s="825"/>
      <c r="BK137" s="825"/>
      <c r="BL137" s="825"/>
      <c r="BM137" s="825"/>
      <c r="BN137" s="825"/>
      <c r="BO137" s="825"/>
      <c r="BP137" s="825"/>
      <c r="BQ137" s="825"/>
      <c r="BR137" s="825"/>
      <c r="BS137" s="825"/>
      <c r="BT137" s="825"/>
      <c r="BU137" s="825"/>
      <c r="BV137" s="825"/>
      <c r="BW137" s="825"/>
      <c r="BX137" s="825"/>
      <c r="BY137" s="825"/>
      <c r="BZ137" s="825"/>
      <c r="CA137" s="825"/>
      <c r="CB137" s="825"/>
      <c r="CC137" s="825"/>
    </row>
    <row r="138" spans="1:81" s="592" customFormat="1" ht="50.95" customHeight="1" x14ac:dyDescent="0.2">
      <c r="B138" s="672"/>
      <c r="C138" s="1607"/>
      <c r="D138" s="1566"/>
      <c r="E138" s="1566"/>
      <c r="F138" s="1543"/>
      <c r="G138" s="1536"/>
      <c r="H138" s="1536"/>
      <c r="I138" s="1536"/>
      <c r="J138" s="1536"/>
      <c r="K138" s="1536"/>
      <c r="L138" s="1536"/>
      <c r="M138" s="645" t="s">
        <v>489</v>
      </c>
      <c r="N138" s="722" t="s">
        <v>856</v>
      </c>
      <c r="O138" s="837" t="str">
        <f t="shared" si="4"/>
        <v>Derechos de los pueblos indígenas</v>
      </c>
      <c r="P138" s="855" t="str">
        <f>Z6</f>
        <v>DPI</v>
      </c>
      <c r="Q138" s="757" t="str">
        <f>AD27</f>
        <v>Evaluación de superposición de futuras unidades de ordenamiento forestal con solicitudes de titulación de comunidades nativas</v>
      </c>
      <c r="R138" s="842" t="s">
        <v>857</v>
      </c>
      <c r="S138" s="842" t="s">
        <v>507</v>
      </c>
      <c r="T138" s="519" t="str">
        <f>AC27</f>
        <v>SDPI19</v>
      </c>
      <c r="U138" s="594"/>
      <c r="V138" s="593"/>
      <c r="W138" s="593"/>
      <c r="X138" s="595"/>
      <c r="AX138" s="480"/>
      <c r="AY138" s="595"/>
      <c r="AZ138" s="595"/>
    </row>
    <row r="139" spans="1:81" ht="55.55" customHeight="1" x14ac:dyDescent="0.25">
      <c r="A139" s="825"/>
      <c r="B139" s="672" t="s">
        <v>488</v>
      </c>
      <c r="C139" s="834" t="str">
        <f>'8. BASE  CONSOLIDADA'!E63</f>
        <v>1.9.3</v>
      </c>
      <c r="D139" s="1069" t="str">
        <f>'8. BASE  CONSOLIDADA'!F63</f>
        <v>Elaboración del plan/declaración de manejo de las nuevas categorías de ordenamiento forestal y títulos habilitantes forestales</v>
      </c>
      <c r="E139" s="1069" t="str">
        <f>'8. BASE  CONSOLIDADA'!G63</f>
        <v>Dependiendo de la categoría forestal a ser aplicada, se realizará un plan/declaración acorde la unidad, en el marco de la ley forestal y fauna silvestre N° 29763.</v>
      </c>
      <c r="F139" s="643" t="str">
        <f>'8. BASE  CONSOLIDADA'!C63</f>
        <v>ZOCRES</v>
      </c>
      <c r="G139" s="1145" t="str">
        <f>VLOOKUP($C139,'8. BASE  CONSOLIDADA'!$E$7:$AS$308,13,FALSE)</f>
        <v>N° Planes / Declaraciones elaborados</v>
      </c>
      <c r="H139" s="1146">
        <f>VLOOKUP($C139,'8. BASE  CONSOLIDADA'!$E$7:$AS$308,15,FALSE)</f>
        <v>5</v>
      </c>
      <c r="I139" s="1147">
        <f>VLOOKUP(C139,'8. BASE  CONSOLIDADA'!$E$7:$AS$308,20,FALSE)</f>
        <v>50000</v>
      </c>
      <c r="J139" s="1148">
        <f>I139*$J$6</f>
        <v>34</v>
      </c>
      <c r="K139" s="1134"/>
      <c r="L139" s="1149"/>
      <c r="M139" s="645" t="s">
        <v>489</v>
      </c>
      <c r="N139" s="722" t="str">
        <f>N136</f>
        <v>Superposición de las ZOCRES con otros derechos otorgados o que deben ser reconocidos</v>
      </c>
      <c r="O139" s="837" t="str">
        <f t="shared" si="4"/>
        <v>Corrupción</v>
      </c>
      <c r="P139" s="855" t="e">
        <f>#REF!</f>
        <v>#REF!</v>
      </c>
      <c r="Q139" s="757" t="str">
        <f>AG9</f>
        <v xml:space="preserve">Transparencia en procesos de formalización de la propiedad rural y cesión en uso </v>
      </c>
      <c r="R139" s="842" t="s">
        <v>852</v>
      </c>
      <c r="S139" s="842" t="s">
        <v>507</v>
      </c>
      <c r="T139" s="519" t="str">
        <f>AF9</f>
        <v>SCR1</v>
      </c>
      <c r="U139" s="620"/>
      <c r="V139" s="478"/>
      <c r="W139" s="478"/>
      <c r="X139" s="273"/>
      <c r="Y139" s="825"/>
      <c r="Z139" s="825"/>
      <c r="AA139" s="825"/>
      <c r="AB139" s="825"/>
      <c r="AC139" s="825"/>
      <c r="AD139" s="825"/>
      <c r="AE139" s="825"/>
      <c r="AF139" s="825"/>
      <c r="AG139" s="825"/>
      <c r="AH139" s="825"/>
      <c r="AI139" s="825"/>
      <c r="AJ139" s="825"/>
      <c r="AK139" s="825"/>
      <c r="AL139" s="825"/>
      <c r="AM139" s="825"/>
      <c r="AN139" s="825"/>
      <c r="AO139" s="825"/>
      <c r="AP139" s="825"/>
      <c r="AQ139" s="825"/>
      <c r="AR139" s="825"/>
      <c r="AS139" s="825"/>
      <c r="AT139" s="825"/>
      <c r="AU139" s="825"/>
      <c r="AV139" s="825"/>
      <c r="AW139" s="825"/>
      <c r="AX139" s="480"/>
      <c r="BA139" s="825"/>
      <c r="BB139" s="825"/>
      <c r="BC139" s="825"/>
      <c r="BD139" s="825"/>
      <c r="BE139" s="825"/>
      <c r="BF139" s="825"/>
      <c r="BG139" s="825"/>
      <c r="BH139" s="825"/>
      <c r="BI139" s="825"/>
      <c r="BJ139" s="825"/>
      <c r="BK139" s="825"/>
      <c r="BL139" s="825"/>
      <c r="BM139" s="825"/>
      <c r="BN139" s="825"/>
      <c r="BO139" s="825"/>
      <c r="BP139" s="825"/>
      <c r="BQ139" s="825"/>
      <c r="BR139" s="825"/>
      <c r="BS139" s="825"/>
      <c r="BT139" s="825"/>
      <c r="BU139" s="825"/>
      <c r="BV139" s="825"/>
      <c r="BW139" s="825"/>
      <c r="BX139" s="825"/>
      <c r="BY139" s="825"/>
      <c r="BZ139" s="825"/>
      <c r="CA139" s="825"/>
      <c r="CB139" s="825"/>
      <c r="CC139" s="825"/>
    </row>
    <row r="140" spans="1:81" ht="55.55" customHeight="1" x14ac:dyDescent="0.25">
      <c r="A140" s="825"/>
      <c r="B140" s="672" t="s">
        <v>488</v>
      </c>
      <c r="C140" s="834" t="str">
        <f>'8. BASE  CONSOLIDADA'!E64</f>
        <v>1.9.4</v>
      </c>
      <c r="D140" s="1069" t="str">
        <f>'8. BASE  CONSOLIDADA'!F64</f>
        <v>Inscripción en el catastro forestal y en registros públicos</v>
      </c>
      <c r="E140" s="1069" t="str">
        <f>'8. BASE  CONSOLIDADA'!G64</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140" s="643" t="str">
        <f>'8. BASE  CONSOLIDADA'!C64</f>
        <v>ZOCRES</v>
      </c>
      <c r="G140" s="1145" t="str">
        <f>VLOOKUP($C140,'8. BASE  CONSOLIDADA'!$E$7:$AS$308,13,FALSE)</f>
        <v>Ha. Inscritas</v>
      </c>
      <c r="H140" s="1146">
        <f>VLOOKUP($C140,'8. BASE  CONSOLIDADA'!$E$7:$AS$308,15,FALSE)</f>
        <v>18538.030078107324</v>
      </c>
      <c r="I140" s="1147">
        <f>VLOOKUP(C140,'8. BASE  CONSOLIDADA'!$E$7:$AS$308,20,FALSE)</f>
        <v>18538.030078107324</v>
      </c>
      <c r="J140" s="1148">
        <f>I140*$J$6</f>
        <v>12.605860453112982</v>
      </c>
      <c r="K140" s="1134"/>
      <c r="L140" s="1149"/>
      <c r="M140" s="645" t="s">
        <v>489</v>
      </c>
      <c r="N140" s="722" t="str">
        <f>N136</f>
        <v>Superposición de las ZOCRES con otros derechos otorgados o que deben ser reconocidos</v>
      </c>
      <c r="O140" s="837" t="str">
        <f t="shared" si="4"/>
        <v>Corrupción</v>
      </c>
      <c r="P140" s="855" t="e">
        <f>#REF!</f>
        <v>#REF!</v>
      </c>
      <c r="Q140" s="757" t="str">
        <f>AG9</f>
        <v xml:space="preserve">Transparencia en procesos de formalización de la propiedad rural y cesión en uso </v>
      </c>
      <c r="R140" s="842" t="s">
        <v>852</v>
      </c>
      <c r="S140" s="842" t="s">
        <v>507</v>
      </c>
      <c r="T140" s="519" t="str">
        <f>AF9</f>
        <v>SCR1</v>
      </c>
      <c r="U140" s="620"/>
      <c r="V140" s="478"/>
      <c r="W140" s="478"/>
      <c r="X140" s="273"/>
      <c r="Y140" s="825"/>
      <c r="Z140" s="825"/>
      <c r="AA140" s="825"/>
      <c r="AB140" s="825"/>
      <c r="AC140" s="825"/>
      <c r="AD140" s="825"/>
      <c r="AE140" s="825"/>
      <c r="AF140" s="825"/>
      <c r="AG140" s="825"/>
      <c r="AH140" s="825"/>
      <c r="AI140" s="825"/>
      <c r="AJ140" s="825"/>
      <c r="AK140" s="825"/>
      <c r="AL140" s="825"/>
      <c r="AM140" s="825"/>
      <c r="AN140" s="825"/>
      <c r="AO140" s="825"/>
      <c r="AP140" s="825"/>
      <c r="AQ140" s="825"/>
      <c r="AR140" s="825"/>
      <c r="AS140" s="825"/>
      <c r="AT140" s="825"/>
      <c r="AU140" s="825"/>
      <c r="AV140" s="825"/>
      <c r="AW140" s="825"/>
      <c r="AX140" s="480"/>
      <c r="BA140" s="825"/>
      <c r="BB140" s="825"/>
      <c r="BC140" s="825"/>
      <c r="BD140" s="825"/>
      <c r="BE140" s="825"/>
      <c r="BF140" s="825"/>
      <c r="BG140" s="825"/>
      <c r="BH140" s="825"/>
      <c r="BI140" s="825"/>
      <c r="BJ140" s="825"/>
      <c r="BK140" s="825"/>
      <c r="BL140" s="825"/>
      <c r="BM140" s="825"/>
      <c r="BN140" s="825"/>
      <c r="BO140" s="825"/>
      <c r="BP140" s="825"/>
      <c r="BQ140" s="825"/>
      <c r="BR140" s="825"/>
      <c r="BS140" s="825"/>
      <c r="BT140" s="825"/>
      <c r="BU140" s="825"/>
      <c r="BV140" s="825"/>
      <c r="BW140" s="825"/>
      <c r="BX140" s="825"/>
      <c r="BY140" s="825"/>
      <c r="BZ140" s="825"/>
      <c r="CA140" s="825"/>
      <c r="CB140" s="825"/>
      <c r="CC140" s="825"/>
    </row>
    <row r="141" spans="1:81" ht="79.5" customHeight="1" x14ac:dyDescent="0.25">
      <c r="A141" s="825"/>
      <c r="B141" s="672" t="s">
        <v>488</v>
      </c>
      <c r="C141" s="1605" t="str">
        <f>'8. BASE  CONSOLIDADA'!E65</f>
        <v>1.10.1</v>
      </c>
      <c r="D141" s="1564" t="str">
        <f>'8. BASE  CONSOLIDADA'!F65</f>
        <v>Creación y establecimiento de unidades de ordenamiento forestal, otorgamiento de títulos habilitantes forestales y tenencia de la tierra</v>
      </c>
      <c r="E141" s="1564" t="str">
        <f>'8. BASE  CONSOLIDADA'!G65</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F141" s="1535" t="str">
        <f>'8. BASE  CONSOLIDADA'!C65</f>
        <v>Tierras sin categoría territorial asignada</v>
      </c>
      <c r="G141" s="1535" t="str">
        <f>VLOOKUP($C141,'8. BASE  CONSOLIDADA'!$E$7:$AS$308,13,FALSE)</f>
        <v>Ha. con categoría territorial asignada</v>
      </c>
      <c r="H141" s="1535">
        <f>VLOOKUP($C141,'8. BASE  CONSOLIDADA'!$E$7:$AS$308,15,FALSE)</f>
        <v>118822.71972889001</v>
      </c>
      <c r="I141" s="1535">
        <f>VLOOKUP(C141,'8. BASE  CONSOLIDADA'!$E$7:$AS$308,20,FALSE)</f>
        <v>1782340.79593335</v>
      </c>
      <c r="J141" s="1535">
        <f>I141*$J$6</f>
        <v>1211.9917412346781</v>
      </c>
      <c r="K141" s="1535"/>
      <c r="L141" s="1535"/>
      <c r="M141" s="645" t="s">
        <v>489</v>
      </c>
      <c r="N141" s="722" t="s">
        <v>858</v>
      </c>
      <c r="O141" s="837" t="str">
        <f t="shared" si="4"/>
        <v>Corrupción</v>
      </c>
      <c r="P141" s="855" t="e">
        <f>#REF!</f>
        <v>#REF!</v>
      </c>
      <c r="Q141" s="757" t="str">
        <f>AG16</f>
        <v xml:space="preserve">Transparencia en los procesos de otorgamiento de derechos en las tierras sin categoría territorial asignada </v>
      </c>
      <c r="R141" s="842" t="s">
        <v>859</v>
      </c>
      <c r="S141" s="842" t="s">
        <v>507</v>
      </c>
      <c r="T141" s="519" t="str">
        <f>AF16</f>
        <v>SCR8</v>
      </c>
      <c r="U141" s="620"/>
      <c r="V141" s="478"/>
      <c r="W141" s="478"/>
      <c r="X141" s="273"/>
      <c r="Y141" s="825"/>
      <c r="Z141" s="825"/>
      <c r="AA141" s="825"/>
      <c r="AB141" s="825"/>
      <c r="AC141" s="825"/>
      <c r="AD141" s="825"/>
      <c r="AE141" s="825"/>
      <c r="AF141" s="825"/>
      <c r="AG141" s="825"/>
      <c r="AH141" s="825"/>
      <c r="AI141" s="825"/>
      <c r="AJ141" s="825"/>
      <c r="AK141" s="825"/>
      <c r="AL141" s="825"/>
      <c r="AM141" s="825"/>
      <c r="AN141" s="825"/>
      <c r="AO141" s="825"/>
      <c r="AP141" s="825"/>
      <c r="AQ141" s="825"/>
      <c r="AR141" s="825"/>
      <c r="AS141" s="825"/>
      <c r="AT141" s="825"/>
      <c r="AU141" s="825"/>
      <c r="AV141" s="825"/>
      <c r="AW141" s="825"/>
      <c r="AX141" s="480"/>
      <c r="BA141" s="825"/>
      <c r="BB141" s="825"/>
      <c r="BC141" s="825"/>
      <c r="BD141" s="825"/>
      <c r="BE141" s="825"/>
      <c r="BF141" s="825"/>
      <c r="BG141" s="825"/>
      <c r="BH141" s="825"/>
      <c r="BI141" s="825"/>
      <c r="BJ141" s="825"/>
      <c r="BK141" s="825"/>
      <c r="BL141" s="825"/>
      <c r="BM141" s="825"/>
      <c r="BN141" s="825"/>
      <c r="BO141" s="825"/>
      <c r="BP141" s="825"/>
      <c r="BQ141" s="825"/>
      <c r="BR141" s="825"/>
      <c r="BS141" s="825"/>
      <c r="BT141" s="825"/>
      <c r="BU141" s="825"/>
      <c r="BV141" s="825"/>
      <c r="BW141" s="825"/>
      <c r="BX141" s="825"/>
      <c r="BY141" s="825"/>
      <c r="BZ141" s="825"/>
      <c r="CA141" s="825"/>
      <c r="CB141" s="825"/>
      <c r="CC141" s="825"/>
    </row>
    <row r="142" spans="1:81" s="599" customFormat="1" ht="57.75" customHeight="1" x14ac:dyDescent="0.25">
      <c r="B142" s="673"/>
      <c r="C142" s="1606"/>
      <c r="D142" s="1565"/>
      <c r="E142" s="1565"/>
      <c r="F142" s="1536"/>
      <c r="G142" s="1536"/>
      <c r="H142" s="1536"/>
      <c r="I142" s="1536"/>
      <c r="J142" s="1536"/>
      <c r="K142" s="1536"/>
      <c r="L142" s="1536"/>
      <c r="M142" s="645" t="s">
        <v>489</v>
      </c>
      <c r="N142" s="722" t="str">
        <f>N138</f>
        <v xml:space="preserve">Superposición de futuras unidades de ordenamiento forestal con áreas solicitadas para la titulación de comunidades nativas </v>
      </c>
      <c r="O142" s="837" t="str">
        <f t="shared" si="4"/>
        <v>Derechos de los pueblos indígenas</v>
      </c>
      <c r="P142" s="855" t="str">
        <f>Z6</f>
        <v>DPI</v>
      </c>
      <c r="Q142" s="757" t="str">
        <f>AD27</f>
        <v>Evaluación de superposición de futuras unidades de ordenamiento forestal con solicitudes de titulación de comunidades nativas</v>
      </c>
      <c r="R142" s="842" t="s">
        <v>857</v>
      </c>
      <c r="S142" s="842" t="s">
        <v>507</v>
      </c>
      <c r="T142" s="519" t="str">
        <f>AC27</f>
        <v>SDPI19</v>
      </c>
      <c r="U142" s="625"/>
      <c r="V142" s="600"/>
      <c r="W142" s="600"/>
      <c r="X142" s="601"/>
      <c r="AX142" s="480"/>
      <c r="AY142" s="601"/>
      <c r="AZ142" s="601"/>
    </row>
    <row r="143" spans="1:81" ht="45" customHeight="1" x14ac:dyDescent="0.25">
      <c r="A143" s="825"/>
      <c r="B143" s="672"/>
      <c r="C143" s="1607"/>
      <c r="D143" s="1566"/>
      <c r="E143" s="1566"/>
      <c r="F143" s="1543"/>
      <c r="G143" s="1543"/>
      <c r="H143" s="1543"/>
      <c r="I143" s="1543"/>
      <c r="J143" s="1543"/>
      <c r="K143" s="1543"/>
      <c r="L143" s="1543"/>
      <c r="M143" s="645" t="s">
        <v>489</v>
      </c>
      <c r="N143" s="722" t="str">
        <f>N141</f>
        <v>Otorgamiento inadecuado de títulos habilitantes que generan tráfico de tierras</v>
      </c>
      <c r="O143" s="837" t="str">
        <f t="shared" si="4"/>
        <v>Patrimonio cultural</v>
      </c>
      <c r="P143" s="855" t="str">
        <f>AI6</f>
        <v>PC</v>
      </c>
      <c r="Q143" s="757" t="str">
        <f>AV9</f>
        <v>Evaluación de superposición del área solicitada para titulación de predios rurales con áreas determinadas como patrimonio cultural</v>
      </c>
      <c r="R143" s="842" t="s">
        <v>586</v>
      </c>
      <c r="S143" s="842" t="s">
        <v>507</v>
      </c>
      <c r="T143" s="519" t="str">
        <f>AU9</f>
        <v>SPC1</v>
      </c>
      <c r="U143" s="620"/>
      <c r="V143" s="478"/>
      <c r="W143" s="478"/>
      <c r="X143" s="273"/>
      <c r="Y143" s="825"/>
      <c r="Z143" s="825"/>
      <c r="AA143" s="825"/>
      <c r="AB143" s="825"/>
      <c r="AC143" s="825"/>
      <c r="AD143" s="825"/>
      <c r="AE143" s="825"/>
      <c r="AF143" s="825"/>
      <c r="AG143" s="825"/>
      <c r="AH143" s="825"/>
      <c r="AI143" s="825"/>
      <c r="AJ143" s="825"/>
      <c r="AK143" s="825"/>
      <c r="AL143" s="825"/>
      <c r="AM143" s="825"/>
      <c r="AN143" s="825"/>
      <c r="AO143" s="825"/>
      <c r="AP143" s="825"/>
      <c r="AQ143" s="825"/>
      <c r="AR143" s="825"/>
      <c r="AS143" s="825"/>
      <c r="AT143" s="825"/>
      <c r="AU143" s="825"/>
      <c r="AV143" s="825"/>
      <c r="AW143" s="825"/>
      <c r="AX143" s="825"/>
      <c r="BA143" s="825"/>
      <c r="BB143" s="825"/>
      <c r="BC143" s="825"/>
      <c r="BD143" s="825"/>
      <c r="BE143" s="825"/>
      <c r="BF143" s="825"/>
      <c r="BG143" s="825"/>
      <c r="BH143" s="825"/>
      <c r="BI143" s="825"/>
      <c r="BJ143" s="825"/>
      <c r="BK143" s="825"/>
      <c r="BL143" s="825"/>
      <c r="BM143" s="825"/>
      <c r="BN143" s="825"/>
      <c r="BO143" s="825"/>
      <c r="BP143" s="825"/>
      <c r="BQ143" s="825"/>
      <c r="BR143" s="825"/>
      <c r="BS143" s="825"/>
      <c r="BT143" s="825"/>
      <c r="BU143" s="825"/>
      <c r="BV143" s="825"/>
      <c r="BW143" s="825"/>
      <c r="BX143" s="825"/>
      <c r="BY143" s="825"/>
      <c r="BZ143" s="825"/>
      <c r="CA143" s="825"/>
      <c r="CB143" s="825"/>
      <c r="CC143" s="825"/>
    </row>
    <row r="144" spans="1:81" ht="57.75" customHeight="1" x14ac:dyDescent="0.25">
      <c r="A144" s="825"/>
      <c r="B144" s="672" t="s">
        <v>488</v>
      </c>
      <c r="C144" s="834" t="str">
        <f>'8. BASE  CONSOLIDADA'!E63</f>
        <v>1.9.3</v>
      </c>
      <c r="D144" s="1069" t="str">
        <f>'8. BASE  CONSOLIDADA'!F63</f>
        <v>Elaboración del plan/declaración de manejo de las nuevas categorías de ordenamiento forestal y títulos habilitantes forestales</v>
      </c>
      <c r="E144" s="1069" t="str">
        <f>'8. BASE  CONSOLIDADA'!G63</f>
        <v>Dependiendo de la categoría forestal a ser aplicada, se realizará un plan/declaración acorde la unidad, en el marco de la ley forestal y fauna silvestre N° 29763.</v>
      </c>
      <c r="F144" s="836" t="str">
        <f>'8. BASE  CONSOLIDADA'!C63</f>
        <v>ZOCRES</v>
      </c>
      <c r="G144" s="1019" t="str">
        <f>VLOOKUP($C144,'8. BASE  CONSOLIDADA'!$E$7:$AS$308,13,FALSE)</f>
        <v>N° Planes / Declaraciones elaborados</v>
      </c>
      <c r="H144" s="1109">
        <f>VLOOKUP($C144,'8. BASE  CONSOLIDADA'!$E$7:$AS$308,15,FALSE)</f>
        <v>5</v>
      </c>
      <c r="I144" s="1058">
        <f>VLOOKUP(C144,'8. BASE  CONSOLIDADA'!$E$7:$AS$308,20,FALSE)</f>
        <v>50000</v>
      </c>
      <c r="J144" s="678">
        <f>I144*$J$6</f>
        <v>34</v>
      </c>
      <c r="K144" s="1020"/>
      <c r="L144" s="1027"/>
      <c r="M144" s="645" t="s">
        <v>489</v>
      </c>
      <c r="N144" s="722" t="str">
        <f>N141</f>
        <v>Otorgamiento inadecuado de títulos habilitantes que generan tráfico de tierras</v>
      </c>
      <c r="O144" s="837" t="str">
        <f t="shared" si="4"/>
        <v>Corrupción</v>
      </c>
      <c r="P144" s="855" t="e">
        <f>#REF!</f>
        <v>#REF!</v>
      </c>
      <c r="Q144" s="757" t="str">
        <f>AG16</f>
        <v xml:space="preserve">Transparencia en los procesos de otorgamiento de derechos en las tierras sin categoría territorial asignada </v>
      </c>
      <c r="R144" s="842" t="s">
        <v>859</v>
      </c>
      <c r="S144" s="842" t="s">
        <v>507</v>
      </c>
      <c r="T144" s="519" t="str">
        <f>AF16</f>
        <v>SCR8</v>
      </c>
      <c r="U144" s="622"/>
      <c r="V144" s="478"/>
      <c r="W144" s="478"/>
      <c r="X144" s="273"/>
      <c r="Y144" s="825"/>
      <c r="Z144" s="825"/>
      <c r="AA144" s="825"/>
      <c r="AB144" s="825"/>
      <c r="AC144" s="825"/>
      <c r="AD144" s="825"/>
      <c r="AE144" s="825"/>
      <c r="AF144" s="825"/>
      <c r="AG144" s="825"/>
      <c r="AH144" s="825"/>
      <c r="AI144" s="825"/>
      <c r="AJ144" s="825"/>
      <c r="AK144" s="825"/>
      <c r="AL144" s="825"/>
      <c r="AM144" s="825"/>
      <c r="AN144" s="825"/>
      <c r="AO144" s="825"/>
      <c r="AP144" s="825"/>
      <c r="AQ144" s="825"/>
      <c r="AR144" s="825"/>
      <c r="AS144" s="825"/>
      <c r="AT144" s="825"/>
      <c r="AU144" s="825"/>
      <c r="AV144" s="825"/>
      <c r="AW144" s="825"/>
      <c r="AX144" s="825"/>
      <c r="BA144" s="825"/>
      <c r="BB144" s="825"/>
      <c r="BC144" s="825"/>
      <c r="BD144" s="825"/>
      <c r="BE144" s="825"/>
      <c r="BF144" s="825"/>
      <c r="BG144" s="825"/>
      <c r="BH144" s="825"/>
      <c r="BI144" s="825"/>
      <c r="BJ144" s="825"/>
      <c r="BK144" s="825"/>
      <c r="BL144" s="825"/>
      <c r="BM144" s="825"/>
      <c r="BN144" s="825"/>
      <c r="BO144" s="825"/>
      <c r="BP144" s="825"/>
      <c r="BQ144" s="825"/>
      <c r="BR144" s="825"/>
      <c r="BS144" s="825"/>
      <c r="BT144" s="825"/>
      <c r="BU144" s="825"/>
      <c r="BV144" s="825"/>
      <c r="BW144" s="825"/>
      <c r="BX144" s="825"/>
      <c r="BY144" s="825"/>
      <c r="BZ144" s="825"/>
      <c r="CA144" s="825"/>
      <c r="CB144" s="825"/>
      <c r="CC144" s="825"/>
    </row>
    <row r="145" spans="1:81" ht="54.7" customHeight="1" x14ac:dyDescent="0.25">
      <c r="A145" s="825"/>
      <c r="B145" s="672" t="s">
        <v>488</v>
      </c>
      <c r="C145" s="834" t="str">
        <f>'8. BASE  CONSOLIDADA'!E64</f>
        <v>1.9.4</v>
      </c>
      <c r="D145" s="1069" t="str">
        <f>'8. BASE  CONSOLIDADA'!F64</f>
        <v>Inscripción en el catastro forestal y en registros públicos</v>
      </c>
      <c r="E145" s="1069" t="str">
        <f>'8. BASE  CONSOLIDADA'!G64</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145" s="836" t="str">
        <f>'8. BASE  CONSOLIDADA'!C64</f>
        <v>ZOCRES</v>
      </c>
      <c r="G145" s="1019" t="str">
        <f>VLOOKUP($C145,'8. BASE  CONSOLIDADA'!$E$7:$AS$308,13,FALSE)</f>
        <v>Ha. Inscritas</v>
      </c>
      <c r="H145" s="1109">
        <f>VLOOKUP($C145,'8. BASE  CONSOLIDADA'!$E$7:$AS$308,15,FALSE)</f>
        <v>18538.030078107324</v>
      </c>
      <c r="I145" s="1058">
        <f>VLOOKUP(C145,'8. BASE  CONSOLIDADA'!$E$7:$AS$308,20,FALSE)</f>
        <v>18538.030078107324</v>
      </c>
      <c r="J145" s="678">
        <f>I145*$J$6</f>
        <v>12.605860453112982</v>
      </c>
      <c r="K145" s="1020"/>
      <c r="L145" s="1027"/>
      <c r="M145" s="645" t="s">
        <v>489</v>
      </c>
      <c r="N145" s="722" t="str">
        <f>N141</f>
        <v>Otorgamiento inadecuado de títulos habilitantes que generan tráfico de tierras</v>
      </c>
      <c r="O145" s="837" t="str">
        <f t="shared" si="4"/>
        <v>Corrupción</v>
      </c>
      <c r="P145" s="855" t="e">
        <f>#REF!</f>
        <v>#REF!</v>
      </c>
      <c r="Q145" s="757" t="str">
        <f>AG16</f>
        <v xml:space="preserve">Transparencia en los procesos de otorgamiento de derechos en las tierras sin categoría territorial asignada </v>
      </c>
      <c r="R145" s="842" t="s">
        <v>859</v>
      </c>
      <c r="S145" s="842" t="s">
        <v>507</v>
      </c>
      <c r="T145" s="519" t="str">
        <f>AF16</f>
        <v>SCR8</v>
      </c>
      <c r="U145" s="622"/>
      <c r="V145" s="478"/>
      <c r="W145" s="478"/>
      <c r="X145" s="273"/>
      <c r="Y145" s="825"/>
      <c r="Z145" s="825"/>
      <c r="AA145" s="825"/>
      <c r="AB145" s="825"/>
      <c r="AC145" s="825"/>
      <c r="AD145" s="825"/>
      <c r="AE145" s="825"/>
      <c r="AF145" s="825"/>
      <c r="AG145" s="825"/>
      <c r="AH145" s="825"/>
      <c r="AI145" s="825"/>
      <c r="AJ145" s="825"/>
      <c r="AK145" s="825"/>
      <c r="AL145" s="825"/>
      <c r="AM145" s="825"/>
      <c r="AN145" s="825"/>
      <c r="AO145" s="825"/>
      <c r="AP145" s="825"/>
      <c r="AQ145" s="825"/>
      <c r="AR145" s="825"/>
      <c r="AS145" s="825"/>
      <c r="AT145" s="825"/>
      <c r="AU145" s="825"/>
      <c r="AV145" s="825"/>
      <c r="AW145" s="825"/>
      <c r="AX145" s="825"/>
      <c r="BA145" s="825"/>
      <c r="BB145" s="825"/>
      <c r="BC145" s="825"/>
      <c r="BD145" s="825"/>
      <c r="BE145" s="825"/>
      <c r="BF145" s="825"/>
      <c r="BG145" s="825"/>
      <c r="BH145" s="825"/>
      <c r="BI145" s="825"/>
      <c r="BJ145" s="825"/>
      <c r="BK145" s="825"/>
      <c r="BL145" s="825"/>
      <c r="BM145" s="825"/>
      <c r="BN145" s="825"/>
      <c r="BO145" s="825"/>
      <c r="BP145" s="825"/>
      <c r="BQ145" s="825"/>
      <c r="BR145" s="825"/>
      <c r="BS145" s="825"/>
      <c r="BT145" s="825"/>
      <c r="BU145" s="825"/>
      <c r="BV145" s="825"/>
      <c r="BW145" s="825"/>
      <c r="BX145" s="825"/>
      <c r="BY145" s="825"/>
      <c r="BZ145" s="825"/>
      <c r="CA145" s="825"/>
      <c r="CB145" s="825"/>
      <c r="CC145" s="825"/>
    </row>
    <row r="146" spans="1:81" ht="57.75" customHeight="1" x14ac:dyDescent="0.25">
      <c r="A146" s="825"/>
      <c r="B146" s="672" t="s">
        <v>488</v>
      </c>
      <c r="C146" s="1605" t="str">
        <f>'8. BASE  CONSOLIDADA'!E70</f>
        <v>1.11.1</v>
      </c>
      <c r="D146" s="1564" t="str">
        <f>'8. BASE  CONSOLIDADA'!F70</f>
        <v>Acuerdos con rondas campesinas y rondas nativas para cumplimiento de compromisos de no deforestación y tráfico de tierras e invasiones</v>
      </c>
      <c r="E146" s="1564" t="str">
        <f>'8. BASE  CONSOLIDADA'!G70</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F146" s="1535" t="str">
        <f>'8. BASE  CONSOLIDADA'!C70</f>
        <v>Intervenciones Transversales x UDT</v>
      </c>
      <c r="G146" s="1535" t="str">
        <f>VLOOKUP($C146,'8. BASE  CONSOLIDADA'!$E$7:$AS$308,13,FALSE)</f>
        <v>Acuerdos con rondas campesinas</v>
      </c>
      <c r="H146" s="1535">
        <f>VLOOKUP($C146,'8. BASE  CONSOLIDADA'!$E$7:$AS$308,15,FALSE)</f>
        <v>25</v>
      </c>
      <c r="I146" s="1535">
        <f>VLOOKUP(C146,'8. BASE  CONSOLIDADA'!$E$7:$AS$308,20,FALSE)</f>
        <v>312500</v>
      </c>
      <c r="J146" s="1535">
        <f>I146*$J$6</f>
        <v>212.50000000000003</v>
      </c>
      <c r="K146" s="1535"/>
      <c r="L146" s="1535"/>
      <c r="M146" s="645" t="s">
        <v>489</v>
      </c>
      <c r="N146" s="722" t="s">
        <v>860</v>
      </c>
      <c r="O146" s="837" t="str">
        <f t="shared" si="4"/>
        <v>Género</v>
      </c>
      <c r="P146" s="855" t="str">
        <f>AC6</f>
        <v>GN</v>
      </c>
      <c r="Q146" s="757" t="str">
        <f>AJ11</f>
        <v xml:space="preserve">Cuotas de género y medición de participación efectiva de mujeres rurales </v>
      </c>
      <c r="R146" s="842" t="s">
        <v>689</v>
      </c>
      <c r="S146" s="842" t="s">
        <v>507</v>
      </c>
      <c r="T146" s="519" t="str">
        <f>AI11</f>
        <v>SGN3</v>
      </c>
      <c r="U146" s="620"/>
      <c r="V146" s="478"/>
      <c r="W146" s="478"/>
      <c r="X146" s="273"/>
      <c r="Y146" s="825"/>
      <c r="Z146" s="825"/>
      <c r="AA146" s="825"/>
      <c r="AB146" s="825"/>
      <c r="AC146" s="825"/>
      <c r="AD146" s="825"/>
      <c r="AE146" s="825"/>
      <c r="AF146" s="825"/>
      <c r="AG146" s="825"/>
      <c r="AH146" s="825"/>
      <c r="AI146" s="825"/>
      <c r="AJ146" s="825"/>
      <c r="AK146" s="825"/>
      <c r="AL146" s="825"/>
      <c r="AM146" s="825"/>
      <c r="AN146" s="825"/>
      <c r="AO146" s="825"/>
      <c r="AP146" s="825"/>
      <c r="AQ146" s="825"/>
      <c r="AR146" s="825"/>
      <c r="AS146" s="825"/>
      <c r="AT146" s="825"/>
      <c r="AU146" s="825"/>
      <c r="AV146" s="825"/>
      <c r="AW146" s="825"/>
      <c r="AX146" s="825"/>
      <c r="BA146" s="825"/>
      <c r="BB146" s="825"/>
      <c r="BC146" s="825"/>
      <c r="BD146" s="825"/>
      <c r="BE146" s="825"/>
      <c r="BF146" s="825"/>
      <c r="BG146" s="825"/>
      <c r="BH146" s="825"/>
      <c r="BI146" s="825"/>
      <c r="BJ146" s="825"/>
      <c r="BK146" s="825"/>
      <c r="BL146" s="825"/>
      <c r="BM146" s="825"/>
      <c r="BN146" s="825"/>
      <c r="BO146" s="825"/>
      <c r="BP146" s="825"/>
      <c r="BQ146" s="825"/>
      <c r="BR146" s="825"/>
      <c r="BS146" s="825"/>
      <c r="BT146" s="825"/>
      <c r="BU146" s="825"/>
      <c r="BV146" s="825"/>
      <c r="BW146" s="825"/>
      <c r="BX146" s="825"/>
      <c r="BY146" s="825"/>
      <c r="BZ146" s="825"/>
      <c r="CA146" s="825"/>
      <c r="CB146" s="825"/>
      <c r="CC146" s="825"/>
    </row>
    <row r="147" spans="1:81" ht="68.3" customHeight="1" x14ac:dyDescent="0.25">
      <c r="A147" s="825"/>
      <c r="B147" s="672"/>
      <c r="C147" s="1607"/>
      <c r="D147" s="1566"/>
      <c r="E147" s="1566"/>
      <c r="F147" s="1543"/>
      <c r="G147" s="1543"/>
      <c r="H147" s="1543"/>
      <c r="I147" s="1543"/>
      <c r="J147" s="1543"/>
      <c r="K147" s="1543"/>
      <c r="L147" s="1543"/>
      <c r="M147" s="645" t="s">
        <v>489</v>
      </c>
      <c r="N147" s="722" t="str">
        <f>N146</f>
        <v>Exclusión de mujeres para el cumplimiento de compromisos de no deforestación y tráfico de tierras e invasiones</v>
      </c>
      <c r="O147" s="837" t="str">
        <f t="shared" si="4"/>
        <v>Género</v>
      </c>
      <c r="P147" s="855" t="str">
        <f>AC6</f>
        <v>GN</v>
      </c>
      <c r="Q147" s="757" t="str">
        <f>AJ19</f>
        <v xml:space="preserve">Inclusión de mujeres rurales y sus organizaciones en iniciativas de control y vigilancia de la deforestación </v>
      </c>
      <c r="R147" s="842" t="s">
        <v>861</v>
      </c>
      <c r="S147" s="842" t="s">
        <v>526</v>
      </c>
      <c r="T147" s="519" t="str">
        <f>AI19</f>
        <v>SGN11</v>
      </c>
      <c r="U147" s="620"/>
      <c r="V147" s="478"/>
      <c r="W147" s="478"/>
      <c r="X147" s="273"/>
      <c r="Y147" s="825"/>
      <c r="Z147" s="825"/>
      <c r="AA147" s="825"/>
      <c r="AB147" s="825"/>
      <c r="AC147" s="825"/>
      <c r="AD147" s="825"/>
      <c r="AE147" s="825"/>
      <c r="AF147" s="825"/>
      <c r="AG147" s="825"/>
      <c r="AH147" s="825"/>
      <c r="AI147" s="825"/>
      <c r="AJ147" s="825"/>
      <c r="AK147" s="825"/>
      <c r="AL147" s="825"/>
      <c r="AM147" s="825"/>
      <c r="AN147" s="825"/>
      <c r="AO147" s="825"/>
      <c r="AP147" s="825"/>
      <c r="AQ147" s="825"/>
      <c r="AR147" s="825"/>
      <c r="AS147" s="825"/>
      <c r="AT147" s="825"/>
      <c r="AU147" s="825"/>
      <c r="AV147" s="825"/>
      <c r="AW147" s="825"/>
      <c r="AX147" s="825"/>
      <c r="BA147" s="825"/>
      <c r="BB147" s="825"/>
      <c r="BC147" s="825"/>
      <c r="BD147" s="825"/>
      <c r="BE147" s="825"/>
      <c r="BF147" s="825"/>
      <c r="BG147" s="825"/>
      <c r="BH147" s="825"/>
      <c r="BI147" s="825"/>
      <c r="BJ147" s="825"/>
      <c r="BK147" s="825"/>
      <c r="BL147" s="825"/>
      <c r="BM147" s="825"/>
      <c r="BN147" s="825"/>
      <c r="BO147" s="825"/>
      <c r="BP147" s="825"/>
      <c r="BQ147" s="825"/>
      <c r="BR147" s="825"/>
      <c r="BS147" s="825"/>
      <c r="BT147" s="825"/>
      <c r="BU147" s="825"/>
      <c r="BV147" s="825"/>
      <c r="BW147" s="825"/>
      <c r="BX147" s="825"/>
      <c r="BY147" s="825"/>
      <c r="BZ147" s="825"/>
      <c r="CA147" s="825"/>
      <c r="CB147" s="825"/>
      <c r="CC147" s="825"/>
    </row>
    <row r="148" spans="1:81" ht="135" customHeight="1" x14ac:dyDescent="0.25">
      <c r="A148" s="825"/>
      <c r="B148" s="672" t="s">
        <v>488</v>
      </c>
      <c r="C148" s="834" t="str">
        <f>'8. BASE  CONSOLIDADA'!E72</f>
        <v>1.11.3</v>
      </c>
      <c r="D148" s="1069" t="str">
        <f>'8. BASE  CONSOLIDADA'!F72</f>
        <v>Mejoramiento de vías de acceso</v>
      </c>
      <c r="E148" s="1069" t="str">
        <f>'8. BASE  CONSOLIDADA'!G72</f>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v>
      </c>
      <c r="F148" s="836" t="str">
        <f>'8. BASE  CONSOLIDADA'!C72</f>
        <v>Intervenciones Transversales x UDT</v>
      </c>
      <c r="G148" s="1019" t="str">
        <f>VLOOKUP($C148,'8. BASE  CONSOLIDADA'!$E$7:$AS$308,13,FALSE)</f>
        <v>Kilómetros mejorados</v>
      </c>
      <c r="H148" s="1109">
        <f>VLOOKUP($C148,'8. BASE  CONSOLIDADA'!$E$7:$AS$308,15,FALSE)</f>
        <v>286.40000000000003</v>
      </c>
      <c r="I148" s="1058">
        <f>VLOOKUP(C148,'8. BASE  CONSOLIDADA'!$E$7:$AS$308,20,FALSE)</f>
        <v>229120000.00000003</v>
      </c>
      <c r="J148" s="678">
        <f>I148*$J$6</f>
        <v>155801.60000000003</v>
      </c>
      <c r="K148" s="1020"/>
      <c r="L148" s="1029"/>
      <c r="M148" s="645" t="s">
        <v>489</v>
      </c>
      <c r="N148" s="722" t="s">
        <v>862</v>
      </c>
      <c r="O148" s="837" t="str">
        <f t="shared" si="4"/>
        <v>Biodiversidad y recursos naturales</v>
      </c>
      <c r="P148" s="855" t="e">
        <f>#REF!</f>
        <v>#REF!</v>
      </c>
      <c r="Q148" s="757" t="str">
        <f>AA17</f>
        <v>Elaboración, implementación y monitoreo de acuerdos de conservación</v>
      </c>
      <c r="R148" s="842" t="s">
        <v>863</v>
      </c>
      <c r="S148" s="842" t="s">
        <v>526</v>
      </c>
      <c r="T148" s="519" t="str">
        <f>Z17</f>
        <v>SBRN9</v>
      </c>
      <c r="U148" s="620" t="s">
        <v>845</v>
      </c>
      <c r="V148" s="478"/>
      <c r="W148" s="478"/>
      <c r="X148" s="273"/>
      <c r="Y148" s="825"/>
      <c r="Z148" s="825"/>
      <c r="AA148" s="825"/>
      <c r="AB148" s="825"/>
      <c r="AC148" s="825"/>
      <c r="AD148" s="825"/>
      <c r="AE148" s="825"/>
      <c r="AF148" s="825"/>
      <c r="AG148" s="825"/>
      <c r="AH148" s="825"/>
      <c r="AI148" s="825"/>
      <c r="AJ148" s="825"/>
      <c r="AK148" s="825"/>
      <c r="AL148" s="825"/>
      <c r="AM148" s="825"/>
      <c r="AN148" s="825"/>
      <c r="AO148" s="825"/>
      <c r="AP148" s="825"/>
      <c r="AQ148" s="825"/>
      <c r="AR148" s="825"/>
      <c r="AS148" s="825"/>
      <c r="AT148" s="825"/>
      <c r="AU148" s="825"/>
      <c r="AV148" s="825"/>
      <c r="AW148" s="825"/>
      <c r="AX148" s="825"/>
      <c r="BA148" s="825"/>
      <c r="BB148" s="825"/>
      <c r="BC148" s="825"/>
      <c r="BD148" s="825"/>
      <c r="BE148" s="825"/>
      <c r="BF148" s="825"/>
      <c r="BG148" s="825"/>
      <c r="BH148" s="825"/>
      <c r="BI148" s="825"/>
      <c r="BJ148" s="825"/>
      <c r="BK148" s="825"/>
      <c r="BL148" s="825"/>
      <c r="BM148" s="825"/>
      <c r="BN148" s="825"/>
      <c r="BO148" s="825"/>
      <c r="BP148" s="825"/>
      <c r="BQ148" s="825"/>
      <c r="BR148" s="825"/>
      <c r="BS148" s="825"/>
      <c r="BT148" s="825"/>
      <c r="BU148" s="825"/>
      <c r="BV148" s="825"/>
      <c r="BW148" s="825"/>
      <c r="BX148" s="825"/>
      <c r="BY148" s="825"/>
      <c r="BZ148" s="825"/>
      <c r="CA148" s="825"/>
      <c r="CB148" s="825"/>
      <c r="CC148" s="825"/>
    </row>
    <row r="149" spans="1:81" ht="162" customHeight="1" x14ac:dyDescent="0.25">
      <c r="A149" s="825"/>
      <c r="B149" s="672" t="s">
        <v>488</v>
      </c>
      <c r="C149" s="843" t="str">
        <f>'8. BASE  CONSOLIDADA'!E74</f>
        <v>1.11.5</v>
      </c>
      <c r="D149" s="1072" t="str">
        <f>'8. BASE  CONSOLIDADA'!F74</f>
        <v>Mejor cobertura y calidad de servicios de educación y salud</v>
      </c>
      <c r="E149" s="1072" t="str">
        <f>'8. BASE  CONSOLIDADA'!G74</f>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v>
      </c>
      <c r="F149" s="684" t="str">
        <f>'8. BASE  CONSOLIDADA'!C74</f>
        <v>Intervenciones Transversales x UDT</v>
      </c>
      <c r="G149" s="1019" t="str">
        <f>VLOOKUP($C149,'8. BASE  CONSOLIDADA'!$E$7:$AS$308,13,FALSE)</f>
        <v>Centros educativos y postas médicas  implementados</v>
      </c>
      <c r="H149" s="1109">
        <f>VLOOKUP($C149,'8. BASE  CONSOLIDADA'!$E$7:$AS$308,15,FALSE)</f>
        <v>10</v>
      </c>
      <c r="I149" s="1058">
        <f>VLOOKUP(C149,'8. BASE  CONSOLIDADA'!$E$7:$AS$308,20,FALSE)</f>
        <v>35000000</v>
      </c>
      <c r="J149" s="678">
        <f>I149*$J$6</f>
        <v>23800</v>
      </c>
      <c r="K149" s="1020"/>
      <c r="L149" s="1029"/>
      <c r="M149" s="645" t="s">
        <v>489</v>
      </c>
      <c r="N149" s="722" t="s">
        <v>864</v>
      </c>
      <c r="O149" s="837" t="str">
        <f t="shared" si="4"/>
        <v>Género</v>
      </c>
      <c r="P149" s="855" t="str">
        <f>AC6</f>
        <v>GN</v>
      </c>
      <c r="Q149" s="757" t="str">
        <f>AJ11</f>
        <v xml:space="preserve">Cuotas de género y medición de participación efectiva de mujeres rurales </v>
      </c>
      <c r="R149" s="842" t="s">
        <v>689</v>
      </c>
      <c r="S149" s="842" t="s">
        <v>507</v>
      </c>
      <c r="T149" s="519" t="str">
        <f>AI11</f>
        <v>SGN3</v>
      </c>
      <c r="U149" s="620"/>
      <c r="V149" s="478"/>
      <c r="W149" s="478"/>
      <c r="X149" s="273"/>
      <c r="Y149" s="825"/>
      <c r="Z149" s="825"/>
      <c r="AA149" s="825"/>
      <c r="AB149" s="825"/>
      <c r="AC149" s="825"/>
      <c r="AD149" s="825"/>
      <c r="AE149" s="825"/>
      <c r="AF149" s="825"/>
      <c r="AG149" s="825"/>
      <c r="AH149" s="825"/>
      <c r="AI149" s="825"/>
      <c r="AJ149" s="825"/>
      <c r="AK149" s="825"/>
      <c r="AL149" s="825"/>
      <c r="AM149" s="825"/>
      <c r="AN149" s="825"/>
      <c r="AO149" s="825"/>
      <c r="AP149" s="825"/>
      <c r="AQ149" s="825"/>
      <c r="AR149" s="825"/>
      <c r="AS149" s="825"/>
      <c r="AT149" s="825"/>
      <c r="AU149" s="825"/>
      <c r="AV149" s="825"/>
      <c r="AW149" s="825"/>
      <c r="AX149" s="825"/>
      <c r="BA149" s="825"/>
      <c r="BB149" s="825"/>
      <c r="BC149" s="825"/>
      <c r="BD149" s="825"/>
      <c r="BE149" s="825"/>
      <c r="BF149" s="825"/>
      <c r="BG149" s="825"/>
      <c r="BH149" s="825"/>
      <c r="BI149" s="825"/>
      <c r="BJ149" s="825"/>
      <c r="BK149" s="825"/>
      <c r="BL149" s="825"/>
      <c r="BM149" s="825"/>
      <c r="BN149" s="825"/>
      <c r="BO149" s="825"/>
      <c r="BP149" s="825"/>
      <c r="BQ149" s="825"/>
      <c r="BR149" s="825"/>
      <c r="BS149" s="825"/>
      <c r="BT149" s="825"/>
      <c r="BU149" s="825"/>
      <c r="BV149" s="825"/>
      <c r="BW149" s="825"/>
      <c r="BX149" s="825"/>
      <c r="BY149" s="825"/>
      <c r="BZ149" s="825"/>
      <c r="CA149" s="825"/>
      <c r="CB149" s="825"/>
      <c r="CC149" s="825"/>
    </row>
    <row r="150" spans="1:81" ht="111.1" customHeight="1" x14ac:dyDescent="0.25">
      <c r="A150" s="825"/>
      <c r="B150" s="672" t="s">
        <v>488</v>
      </c>
      <c r="C150" s="834" t="str">
        <f>'8. BASE  CONSOLIDADA'!E75</f>
        <v>1.11.6</v>
      </c>
      <c r="D150" s="1073" t="str">
        <f>'8. BASE  CONSOLIDADA'!F75</f>
        <v>Programa de servicios públicos móviles</v>
      </c>
      <c r="E150" s="1069" t="str">
        <f>'8. BASE  CONSOLIDADA'!G75</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v>
      </c>
      <c r="F150" s="598" t="str">
        <f>'8. BASE  CONSOLIDADA'!C75</f>
        <v>Intervenciones Transversales x UDT</v>
      </c>
      <c r="G150" s="1019" t="str">
        <f>VLOOKUP($C150,'8. BASE  CONSOLIDADA'!$E$7:$AS$308,13,FALSE)</f>
        <v>N° campañas</v>
      </c>
      <c r="H150" s="1109">
        <f>VLOOKUP($C150,'8. BASE  CONSOLIDADA'!$E$7:$AS$308,15,FALSE)</f>
        <v>140</v>
      </c>
      <c r="I150" s="1058">
        <f>VLOOKUP(C150,'8. BASE  CONSOLIDADA'!$E$7:$AS$308,20,FALSE)</f>
        <v>3500000</v>
      </c>
      <c r="J150" s="678">
        <f>I150*$J$6</f>
        <v>2380</v>
      </c>
      <c r="K150" s="1020"/>
      <c r="L150" s="1029"/>
      <c r="M150" s="645" t="s">
        <v>489</v>
      </c>
      <c r="N150" s="722" t="s">
        <v>865</v>
      </c>
      <c r="O150" s="837" t="str">
        <f t="shared" si="4"/>
        <v>Género</v>
      </c>
      <c r="P150" s="855" t="str">
        <f>AC6</f>
        <v>GN</v>
      </c>
      <c r="Q150" s="757" t="str">
        <f>AJ11</f>
        <v xml:space="preserve">Cuotas de género y medición de participación efectiva de mujeres rurales </v>
      </c>
      <c r="R150" s="842" t="s">
        <v>689</v>
      </c>
      <c r="S150" s="842" t="s">
        <v>507</v>
      </c>
      <c r="T150" s="519" t="str">
        <f>AI11</f>
        <v>SGN3</v>
      </c>
      <c r="U150" s="620"/>
      <c r="V150" s="478"/>
      <c r="W150" s="478"/>
      <c r="X150" s="273"/>
      <c r="Y150" s="825"/>
      <c r="Z150" s="825"/>
      <c r="AA150" s="825"/>
      <c r="AB150" s="825"/>
      <c r="AC150" s="825"/>
      <c r="AD150" s="825"/>
      <c r="AE150" s="825"/>
      <c r="AF150" s="825"/>
      <c r="AG150" s="825"/>
      <c r="AH150" s="825"/>
      <c r="AI150" s="825"/>
      <c r="AJ150" s="825"/>
      <c r="AK150" s="825"/>
      <c r="AL150" s="825"/>
      <c r="AM150" s="825"/>
      <c r="AN150" s="825"/>
      <c r="AO150" s="825"/>
      <c r="AP150" s="825"/>
      <c r="AQ150" s="825"/>
      <c r="AR150" s="825"/>
      <c r="AS150" s="825"/>
      <c r="AT150" s="825"/>
      <c r="AU150" s="825"/>
      <c r="AV150" s="825"/>
      <c r="AW150" s="825"/>
      <c r="AX150" s="825"/>
      <c r="BA150" s="825"/>
      <c r="BB150" s="825"/>
      <c r="BC150" s="825"/>
      <c r="BD150" s="825"/>
      <c r="BE150" s="825"/>
      <c r="BF150" s="825"/>
      <c r="BG150" s="825"/>
      <c r="BH150" s="825"/>
      <c r="BI150" s="825"/>
      <c r="BJ150" s="825"/>
      <c r="BK150" s="825"/>
      <c r="BL150" s="825"/>
      <c r="BM150" s="825"/>
      <c r="BN150" s="825"/>
      <c r="BO150" s="825"/>
      <c r="BP150" s="825"/>
      <c r="BQ150" s="825"/>
      <c r="BR150" s="825"/>
      <c r="BS150" s="825"/>
      <c r="BT150" s="825"/>
      <c r="BU150" s="825"/>
      <c r="BV150" s="825"/>
      <c r="BW150" s="825"/>
      <c r="BX150" s="825"/>
      <c r="BY150" s="825"/>
      <c r="BZ150" s="825"/>
      <c r="CA150" s="825"/>
      <c r="CB150" s="825"/>
      <c r="CC150" s="825"/>
    </row>
    <row r="151" spans="1:81" ht="59.3" customHeight="1" x14ac:dyDescent="0.25">
      <c r="A151" s="825"/>
      <c r="B151" s="672" t="s">
        <v>866</v>
      </c>
      <c r="C151" s="1605" t="str">
        <f>'8. BASE  CONSOLIDADA'!E77</f>
        <v>2.1.1</v>
      </c>
      <c r="D151" s="1612" t="str">
        <f>'8. BASE  CONSOLIDADA'!F77</f>
        <v>Otorgamiento de derechos sobre la tierra/bosques</v>
      </c>
      <c r="E151" s="1612" t="str">
        <f>'8. BASE  CONSOLIDADA'!G77</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151" s="1537" t="str">
        <f>'8. BASE  CONSOLIDADA'!C77</f>
        <v>Predios de agricultura familiar con producción destinada al autoconsumo y productos de exportación, con título o sin título de propiedad.</v>
      </c>
      <c r="G151" s="1537" t="str">
        <f>VLOOKUP($C151,'8. BASE  CONSOLIDADA'!$E$7:$AS$308,13,FALSE)</f>
        <v>N° Títulos/Contratos otorgados</v>
      </c>
      <c r="H151" s="1537">
        <f>VLOOKUP($C151,'8. BASE  CONSOLIDADA'!$E$7:$AS$308,15,FALSE)</f>
        <v>10205.319541312951</v>
      </c>
      <c r="I151" s="1537">
        <f>VLOOKUP(C151,'8. BASE  CONSOLIDADA'!$E$7:$AS$308,20,FALSE)</f>
        <v>20410639.082625899</v>
      </c>
      <c r="J151" s="1537">
        <f>I151*$J$6</f>
        <v>13879.234576185612</v>
      </c>
      <c r="K151" s="1537"/>
      <c r="L151" s="1537"/>
      <c r="M151" s="645" t="s">
        <v>489</v>
      </c>
      <c r="N151" s="722" t="str">
        <f>N8</f>
        <v>Otorgamiento de titulos de propiedad en tierras de aptitud forestal o protección con cobertura de bosques</v>
      </c>
      <c r="O151" s="837" t="str">
        <f t="shared" si="4"/>
        <v>Biodiversidad y recursos naturales</v>
      </c>
      <c r="P151" s="855" t="e">
        <f>#REF!</f>
        <v>#REF!</v>
      </c>
      <c r="Q151" s="757" t="str">
        <f>AA9</f>
        <v>Realizar estudios de suelos para determinar la capacidad de uso mayor de los suelos como parte de los procesos de formalización de la propiedad rural</v>
      </c>
      <c r="R151" s="842" t="s">
        <v>491</v>
      </c>
      <c r="S151" s="842" t="s">
        <v>492</v>
      </c>
      <c r="T151" s="519" t="str">
        <f>Z9</f>
        <v>SBRN1</v>
      </c>
      <c r="U151" s="627"/>
      <c r="V151" s="498"/>
      <c r="W151" s="498"/>
      <c r="X151" s="273"/>
      <c r="Y151" s="825"/>
      <c r="Z151" s="825"/>
      <c r="AA151" s="825"/>
      <c r="AB151" s="825"/>
      <c r="AC151" s="825"/>
      <c r="AD151" s="825"/>
      <c r="AE151" s="825"/>
      <c r="AF151" s="825"/>
      <c r="AG151" s="825"/>
      <c r="AH151" s="825"/>
      <c r="AI151" s="825"/>
      <c r="AJ151" s="825"/>
      <c r="AK151" s="825"/>
      <c r="AL151" s="825"/>
      <c r="AM151" s="825"/>
      <c r="AN151" s="825"/>
      <c r="AO151" s="825"/>
      <c r="AP151" s="825"/>
      <c r="AQ151" s="825"/>
      <c r="AR151" s="825"/>
      <c r="AS151" s="825"/>
      <c r="AT151" s="825"/>
      <c r="AU151" s="825"/>
      <c r="AV151" s="825"/>
      <c r="AW151" s="825"/>
      <c r="AX151" s="825"/>
      <c r="BA151" s="825"/>
      <c r="BB151" s="825"/>
      <c r="BC151" s="825"/>
      <c r="BD151" s="825"/>
      <c r="BE151" s="825"/>
      <c r="BF151" s="825"/>
      <c r="BG151" s="825"/>
      <c r="BH151" s="825"/>
      <c r="BI151" s="825"/>
      <c r="BJ151" s="825"/>
      <c r="BK151" s="825"/>
      <c r="BL151" s="825"/>
      <c r="BM151" s="825"/>
      <c r="BN151" s="825"/>
      <c r="BO151" s="825"/>
      <c r="BP151" s="825"/>
      <c r="BQ151" s="825"/>
      <c r="BR151" s="825"/>
      <c r="BS151" s="825"/>
      <c r="BT151" s="825"/>
      <c r="BU151" s="825"/>
      <c r="BV151" s="825"/>
      <c r="BW151" s="825"/>
      <c r="BX151" s="825"/>
      <c r="BY151" s="825"/>
      <c r="BZ151" s="825"/>
      <c r="CA151" s="825"/>
      <c r="CB151" s="825"/>
      <c r="CC151" s="825"/>
    </row>
    <row r="152" spans="1:81" ht="33.799999999999997" customHeight="1" x14ac:dyDescent="0.25">
      <c r="A152" s="825"/>
      <c r="B152" s="672"/>
      <c r="C152" s="1606"/>
      <c r="D152" s="1612"/>
      <c r="E152" s="1612"/>
      <c r="F152" s="1537"/>
      <c r="G152" s="1537"/>
      <c r="H152" s="1537"/>
      <c r="I152" s="1537"/>
      <c r="J152" s="1537"/>
      <c r="K152" s="1537"/>
      <c r="L152" s="1537"/>
      <c r="M152" s="645" t="s">
        <v>489</v>
      </c>
      <c r="N152" s="722" t="str">
        <f>N9</f>
        <v>Otorgamiento de titulos de propiedad en tierras de aptitud  A y C con cobertura de bosques</v>
      </c>
      <c r="O152" s="837" t="str">
        <f t="shared" si="4"/>
        <v>Biodiversidad y recursos naturales</v>
      </c>
      <c r="P152" s="855" t="e">
        <f>#REF!</f>
        <v>#REF!</v>
      </c>
      <c r="Q152" s="757" t="str">
        <f>AA10</f>
        <v>Implementar el procedimiento de cambio de uso actual de tierras A y C con cobertura de bosques para formalización de propiedad rural considerado en la Ley Forestal y de Fauna Silvestre (Ley No 29736)</v>
      </c>
      <c r="R152" s="842" t="s">
        <v>506</v>
      </c>
      <c r="S152" s="842" t="s">
        <v>507</v>
      </c>
      <c r="T152" s="519" t="str">
        <f>Z10</f>
        <v>SBRN2</v>
      </c>
      <c r="U152" s="627"/>
      <c r="V152" s="498"/>
      <c r="W152" s="498"/>
      <c r="X152" s="273"/>
      <c r="Y152" s="825"/>
      <c r="Z152" s="825"/>
      <c r="AA152" s="825"/>
      <c r="AB152" s="825"/>
      <c r="AC152" s="825"/>
      <c r="AD152" s="825"/>
      <c r="AE152" s="825"/>
      <c r="AF152" s="825"/>
      <c r="AG152" s="825"/>
      <c r="AH152" s="825"/>
      <c r="AI152" s="825"/>
      <c r="AJ152" s="825"/>
      <c r="AK152" s="825"/>
      <c r="AL152" s="825"/>
      <c r="AM152" s="825"/>
      <c r="AN152" s="825"/>
      <c r="AO152" s="825"/>
      <c r="AP152" s="825"/>
      <c r="AQ152" s="825"/>
      <c r="AR152" s="825"/>
      <c r="AS152" s="825"/>
      <c r="AT152" s="825"/>
      <c r="AU152" s="825"/>
      <c r="AV152" s="825"/>
      <c r="AW152" s="825"/>
      <c r="AX152" s="825"/>
      <c r="BA152" s="825"/>
      <c r="BB152" s="825"/>
      <c r="BC152" s="825"/>
      <c r="BD152" s="825"/>
      <c r="BE152" s="825"/>
      <c r="BF152" s="825"/>
      <c r="BG152" s="825"/>
      <c r="BH152" s="825"/>
      <c r="BI152" s="825"/>
      <c r="BJ152" s="825"/>
      <c r="BK152" s="825"/>
      <c r="BL152" s="825"/>
      <c r="BM152" s="825"/>
      <c r="BN152" s="825"/>
      <c r="BO152" s="825"/>
      <c r="BP152" s="825"/>
      <c r="BQ152" s="825"/>
      <c r="BR152" s="825"/>
      <c r="BS152" s="825"/>
      <c r="BT152" s="825"/>
      <c r="BU152" s="825"/>
      <c r="BV152" s="825"/>
      <c r="BW152" s="825"/>
      <c r="BX152" s="825"/>
      <c r="BY152" s="825"/>
      <c r="BZ152" s="825"/>
      <c r="CA152" s="825"/>
      <c r="CB152" s="825"/>
      <c r="CC152" s="825"/>
    </row>
    <row r="153" spans="1:81" ht="36" customHeight="1" x14ac:dyDescent="0.25">
      <c r="A153" s="825"/>
      <c r="B153" s="672"/>
      <c r="C153" s="1606"/>
      <c r="D153" s="1612"/>
      <c r="E153" s="1612"/>
      <c r="F153" s="1537"/>
      <c r="G153" s="1537"/>
      <c r="H153" s="1537"/>
      <c r="I153" s="1537"/>
      <c r="J153" s="1537"/>
      <c r="K153" s="1537"/>
      <c r="L153" s="1537"/>
      <c r="M153" s="645" t="s">
        <v>489</v>
      </c>
      <c r="N153" s="722" t="str">
        <f>N9</f>
        <v>Otorgamiento de titulos de propiedad en tierras de aptitud  A y C con cobertura de bosques</v>
      </c>
      <c r="O153" s="837" t="str">
        <f t="shared" si="4"/>
        <v>Biodiversidad y recursos naturales</v>
      </c>
      <c r="P153" s="855" t="str">
        <f>Z6</f>
        <v>DPI</v>
      </c>
      <c r="Q153" s="757" t="str">
        <f>AA11</f>
        <v>Fortalecer las capacidades de la población local para que conozcan el marco legal sobre los derechos sobre la tierra y los bosques</v>
      </c>
      <c r="R153" s="842" t="s">
        <v>525</v>
      </c>
      <c r="S153" s="842" t="s">
        <v>526</v>
      </c>
      <c r="T153" s="519" t="str">
        <f>Z11</f>
        <v>SBRN3</v>
      </c>
      <c r="U153" s="627"/>
      <c r="V153" s="498"/>
      <c r="W153" s="498"/>
      <c r="X153" s="273"/>
      <c r="Y153" s="825"/>
      <c r="Z153" s="825"/>
      <c r="AA153" s="825"/>
      <c r="AB153" s="825"/>
      <c r="AC153" s="825"/>
      <c r="AD153" s="825"/>
      <c r="AE153" s="825"/>
      <c r="AF153" s="825"/>
      <c r="AG153" s="825"/>
      <c r="AH153" s="825"/>
      <c r="AI153" s="825"/>
      <c r="AJ153" s="825"/>
      <c r="AK153" s="825"/>
      <c r="AL153" s="825"/>
      <c r="AM153" s="825"/>
      <c r="AN153" s="825"/>
      <c r="AO153" s="825"/>
      <c r="AP153" s="825"/>
      <c r="AQ153" s="825"/>
      <c r="AR153" s="825"/>
      <c r="AS153" s="825"/>
      <c r="AT153" s="825"/>
      <c r="AU153" s="825"/>
      <c r="AV153" s="825"/>
      <c r="AW153" s="825"/>
      <c r="AX153" s="825"/>
      <c r="BA153" s="825"/>
      <c r="BB153" s="825"/>
      <c r="BC153" s="825"/>
      <c r="BD153" s="825"/>
      <c r="BE153" s="825"/>
      <c r="BF153" s="825"/>
      <c r="BG153" s="825"/>
      <c r="BH153" s="825"/>
      <c r="BI153" s="825"/>
      <c r="BJ153" s="825"/>
      <c r="BK153" s="825"/>
      <c r="BL153" s="825"/>
      <c r="BM153" s="825"/>
      <c r="BN153" s="825"/>
      <c r="BO153" s="825"/>
      <c r="BP153" s="825"/>
      <c r="BQ153" s="825"/>
      <c r="BR153" s="825"/>
      <c r="BS153" s="825"/>
      <c r="BT153" s="825"/>
      <c r="BU153" s="825"/>
      <c r="BV153" s="825"/>
      <c r="BW153" s="825"/>
      <c r="BX153" s="825"/>
      <c r="BY153" s="825"/>
      <c r="BZ153" s="825"/>
      <c r="CA153" s="825"/>
      <c r="CB153" s="825"/>
      <c r="CC153" s="825"/>
    </row>
    <row r="154" spans="1:81" ht="58.6" customHeight="1" x14ac:dyDescent="0.25">
      <c r="A154" s="825"/>
      <c r="B154" s="672"/>
      <c r="C154" s="1606"/>
      <c r="D154" s="1612"/>
      <c r="E154" s="1612"/>
      <c r="F154" s="1537"/>
      <c r="G154" s="1537"/>
      <c r="H154" s="1537"/>
      <c r="I154" s="1537"/>
      <c r="J154" s="1537"/>
      <c r="K154" s="1537"/>
      <c r="L154" s="1537"/>
      <c r="M154" s="645" t="s">
        <v>489</v>
      </c>
      <c r="N154" s="722" t="str">
        <f>N10</f>
        <v>Superposición de áreas a ser tituladas individualmente con áreas solicitadas por pueblos indígenas</v>
      </c>
      <c r="O154" s="837" t="str">
        <f t="shared" si="4"/>
        <v>Derechos de los pueblos indígenas</v>
      </c>
      <c r="P154" s="855" t="str">
        <f>Z6</f>
        <v>DPI</v>
      </c>
      <c r="Q154" s="757" t="str">
        <f>AD9</f>
        <v>Evaluación de superposiciones de solicitudes de titulación de predios rurales con solicitudes de pueblos indígenas (como parte del proceso de titulación de un predio rural individual)</v>
      </c>
      <c r="R154" s="842" t="s">
        <v>541</v>
      </c>
      <c r="S154" s="842" t="s">
        <v>542</v>
      </c>
      <c r="T154" s="519" t="str">
        <f>AC9</f>
        <v>SDPI1</v>
      </c>
      <c r="U154" s="627"/>
      <c r="V154" s="498"/>
      <c r="W154" s="498"/>
      <c r="X154" s="273"/>
      <c r="Y154" s="825"/>
      <c r="Z154" s="825"/>
      <c r="AA154" s="825"/>
      <c r="AB154" s="825"/>
      <c r="AC154" s="825"/>
      <c r="AD154" s="825"/>
      <c r="AE154" s="825"/>
      <c r="AF154" s="825"/>
      <c r="AG154" s="825"/>
      <c r="AH154" s="825"/>
      <c r="AI154" s="825"/>
      <c r="AJ154" s="825"/>
      <c r="AK154" s="825"/>
      <c r="AL154" s="825"/>
      <c r="AM154" s="825"/>
      <c r="AN154" s="825"/>
      <c r="AO154" s="825"/>
      <c r="AP154" s="825"/>
      <c r="AQ154" s="825"/>
      <c r="AR154" s="825"/>
      <c r="AS154" s="825"/>
      <c r="AT154" s="825"/>
      <c r="AU154" s="825"/>
      <c r="AV154" s="825"/>
      <c r="AW154" s="825"/>
      <c r="AX154" s="825"/>
      <c r="BA154" s="825"/>
      <c r="BB154" s="825"/>
      <c r="BC154" s="825"/>
      <c r="BD154" s="825"/>
      <c r="BE154" s="825"/>
      <c r="BF154" s="825"/>
      <c r="BG154" s="825"/>
      <c r="BH154" s="825"/>
      <c r="BI154" s="825"/>
      <c r="BJ154" s="825"/>
      <c r="BK154" s="825"/>
      <c r="BL154" s="825"/>
      <c r="BM154" s="825"/>
      <c r="BN154" s="825"/>
      <c r="BO154" s="825"/>
      <c r="BP154" s="825"/>
      <c r="BQ154" s="825"/>
      <c r="BR154" s="825"/>
      <c r="BS154" s="825"/>
      <c r="BT154" s="825"/>
      <c r="BU154" s="825"/>
      <c r="BV154" s="825"/>
      <c r="BW154" s="825"/>
      <c r="BX154" s="825"/>
      <c r="BY154" s="825"/>
      <c r="BZ154" s="825"/>
      <c r="CA154" s="825"/>
      <c r="CB154" s="825"/>
      <c r="CC154" s="825"/>
    </row>
    <row r="155" spans="1:81" ht="41.3" customHeight="1" x14ac:dyDescent="0.25">
      <c r="A155" s="825"/>
      <c r="B155" s="672"/>
      <c r="C155" s="1606"/>
      <c r="D155" s="1612"/>
      <c r="E155" s="1612"/>
      <c r="F155" s="1537"/>
      <c r="G155" s="1537"/>
      <c r="H155" s="1537"/>
      <c r="I155" s="1537"/>
      <c r="J155" s="1537"/>
      <c r="K155" s="1537"/>
      <c r="L155" s="1537"/>
      <c r="M155" s="645" t="s">
        <v>489</v>
      </c>
      <c r="N155" s="722" t="str">
        <f>N10</f>
        <v>Superposición de áreas a ser tituladas individualmente con áreas solicitadas por pueblos indígenas</v>
      </c>
      <c r="O155" s="837" t="str">
        <f t="shared" si="4"/>
        <v>Derechos de los pueblos indígenas</v>
      </c>
      <c r="P155" s="855" t="str">
        <f>Z6</f>
        <v>DPI</v>
      </c>
      <c r="Q155" s="757" t="str">
        <f>AD10</f>
        <v xml:space="preserve">Análisis de demandas de titulación de tierras a favor de comunidades nativas a nivel departamental con organizaciones indígenas </v>
      </c>
      <c r="R155" s="842" t="s">
        <v>555</v>
      </c>
      <c r="S155" s="842" t="s">
        <v>507</v>
      </c>
      <c r="T155" s="519" t="str">
        <f>AC10</f>
        <v>SDPI2</v>
      </c>
      <c r="U155" s="627"/>
      <c r="V155" s="498"/>
      <c r="W155" s="498"/>
      <c r="X155" s="273"/>
      <c r="Y155" s="825"/>
      <c r="Z155" s="825"/>
      <c r="AA155" s="825"/>
      <c r="AB155" s="825"/>
      <c r="AC155" s="825"/>
      <c r="AD155" s="825"/>
      <c r="AE155" s="825"/>
      <c r="AF155" s="825"/>
      <c r="AG155" s="825"/>
      <c r="AH155" s="825"/>
      <c r="AI155" s="825"/>
      <c r="AJ155" s="825"/>
      <c r="AK155" s="825"/>
      <c r="AL155" s="825"/>
      <c r="AM155" s="825"/>
      <c r="AN155" s="825"/>
      <c r="AO155" s="825"/>
      <c r="AP155" s="825"/>
      <c r="AQ155" s="825"/>
      <c r="AR155" s="825"/>
      <c r="AS155" s="825"/>
      <c r="AT155" s="825"/>
      <c r="AU155" s="825"/>
      <c r="AV155" s="825"/>
      <c r="AW155" s="825"/>
      <c r="AX155" s="825"/>
      <c r="BA155" s="825"/>
      <c r="BB155" s="825"/>
      <c r="BC155" s="825"/>
      <c r="BD155" s="825"/>
      <c r="BE155" s="825"/>
      <c r="BF155" s="825"/>
      <c r="BG155" s="825"/>
      <c r="BH155" s="825"/>
      <c r="BI155" s="825"/>
      <c r="BJ155" s="825"/>
      <c r="BK155" s="825"/>
      <c r="BL155" s="825"/>
      <c r="BM155" s="825"/>
      <c r="BN155" s="825"/>
      <c r="BO155" s="825"/>
      <c r="BP155" s="825"/>
      <c r="BQ155" s="825"/>
      <c r="BR155" s="825"/>
      <c r="BS155" s="825"/>
      <c r="BT155" s="825"/>
      <c r="BU155" s="825"/>
      <c r="BV155" s="825"/>
      <c r="BW155" s="825"/>
      <c r="BX155" s="825"/>
      <c r="BY155" s="825"/>
      <c r="BZ155" s="825"/>
      <c r="CA155" s="825"/>
      <c r="CB155" s="825"/>
      <c r="CC155" s="825"/>
    </row>
    <row r="156" spans="1:81" ht="32.299999999999997" customHeight="1" x14ac:dyDescent="0.25">
      <c r="A156" s="825"/>
      <c r="B156" s="672"/>
      <c r="C156" s="1606"/>
      <c r="D156" s="1612"/>
      <c r="E156" s="1612"/>
      <c r="F156" s="1537"/>
      <c r="G156" s="1537"/>
      <c r="H156" s="1537"/>
      <c r="I156" s="1537"/>
      <c r="J156" s="1537"/>
      <c r="K156" s="1537"/>
      <c r="L156" s="1537"/>
      <c r="M156" s="645" t="s">
        <v>489</v>
      </c>
      <c r="N156" s="722" t="str">
        <f>N13</f>
        <v xml:space="preserve">Tráfico de títulos de propiedad y contratos de cesión en uso </v>
      </c>
      <c r="O156" s="837" t="str">
        <f t="shared" si="4"/>
        <v>Corrupción</v>
      </c>
      <c r="P156" s="855" t="e">
        <f>#REF!</f>
        <v>#REF!</v>
      </c>
      <c r="Q156" s="757" t="str">
        <f>AG9</f>
        <v xml:space="preserve">Transparencia en procesos de formalización de la propiedad rural y cesión en uso </v>
      </c>
      <c r="R156" s="842" t="s">
        <v>566</v>
      </c>
      <c r="S156" s="842" t="s">
        <v>526</v>
      </c>
      <c r="T156" s="519" t="str">
        <f>AF9</f>
        <v>SCR1</v>
      </c>
      <c r="U156" s="627"/>
      <c r="V156" s="498"/>
      <c r="W156" s="498"/>
      <c r="X156" s="273"/>
      <c r="Y156" s="825"/>
      <c r="Z156" s="825"/>
      <c r="AA156" s="825"/>
      <c r="AB156" s="825"/>
      <c r="AC156" s="825"/>
      <c r="AD156" s="825"/>
      <c r="AE156" s="825"/>
      <c r="AF156" s="825"/>
      <c r="AG156" s="825"/>
      <c r="AH156" s="825"/>
      <c r="AI156" s="825"/>
      <c r="AJ156" s="825"/>
      <c r="AK156" s="825"/>
      <c r="AL156" s="825"/>
      <c r="AM156" s="825"/>
      <c r="AN156" s="825"/>
      <c r="AO156" s="825"/>
      <c r="AP156" s="825"/>
      <c r="AQ156" s="825"/>
      <c r="AR156" s="825"/>
      <c r="AS156" s="825"/>
      <c r="AT156" s="825"/>
      <c r="AU156" s="825"/>
      <c r="AV156" s="825"/>
      <c r="AW156" s="825"/>
      <c r="AX156" s="825"/>
      <c r="BA156" s="825"/>
      <c r="BB156" s="825"/>
      <c r="BC156" s="825"/>
      <c r="BD156" s="825"/>
      <c r="BE156" s="825"/>
      <c r="BF156" s="825"/>
      <c r="BG156" s="825"/>
      <c r="BH156" s="825"/>
      <c r="BI156" s="825"/>
      <c r="BJ156" s="825"/>
      <c r="BK156" s="825"/>
      <c r="BL156" s="825"/>
      <c r="BM156" s="825"/>
      <c r="BN156" s="825"/>
      <c r="BO156" s="825"/>
      <c r="BP156" s="825"/>
      <c r="BQ156" s="825"/>
      <c r="BR156" s="825"/>
      <c r="BS156" s="825"/>
      <c r="BT156" s="825"/>
      <c r="BU156" s="825"/>
      <c r="BV156" s="825"/>
      <c r="BW156" s="825"/>
      <c r="BX156" s="825"/>
      <c r="BY156" s="825"/>
      <c r="BZ156" s="825"/>
      <c r="CA156" s="825"/>
      <c r="CB156" s="825"/>
      <c r="CC156" s="825"/>
    </row>
    <row r="157" spans="1:81" ht="32.299999999999997" customHeight="1" x14ac:dyDescent="0.25">
      <c r="A157" s="825"/>
      <c r="B157" s="672"/>
      <c r="C157" s="1606"/>
      <c r="D157" s="1612"/>
      <c r="E157" s="1612"/>
      <c r="F157" s="1537"/>
      <c r="G157" s="1537"/>
      <c r="H157" s="1537"/>
      <c r="I157" s="1537"/>
      <c r="J157" s="1537"/>
      <c r="K157" s="1537"/>
      <c r="L157" s="1537"/>
      <c r="M157" s="645" t="s">
        <v>489</v>
      </c>
      <c r="N157" s="722" t="str">
        <f>N14</f>
        <v>Exclusión de mujeres propietarias en títulos de propiedad o contratos de cesión en uso</v>
      </c>
      <c r="O157" s="837" t="str">
        <f t="shared" si="4"/>
        <v>Género</v>
      </c>
      <c r="P157" s="855" t="str">
        <f>AC6</f>
        <v>GN</v>
      </c>
      <c r="Q157" s="757" t="str">
        <f>AJ9</f>
        <v xml:space="preserve">Incorporación de cónyuges o convivientes en títulos de propiedad y contratos de cesión en uso </v>
      </c>
      <c r="R157" s="842" t="s">
        <v>576</v>
      </c>
      <c r="S157" s="842" t="s">
        <v>507</v>
      </c>
      <c r="T157" s="519" t="str">
        <f>AI9</f>
        <v>SGN1</v>
      </c>
      <c r="U157" s="627"/>
      <c r="V157" s="498"/>
      <c r="W157" s="498"/>
      <c r="X157" s="273"/>
      <c r="Y157" s="825"/>
      <c r="Z157" s="825"/>
      <c r="AA157" s="825"/>
      <c r="AB157" s="825"/>
      <c r="AC157" s="825"/>
      <c r="AD157" s="825"/>
      <c r="AE157" s="825"/>
      <c r="AF157" s="825"/>
      <c r="AG157" s="825"/>
      <c r="AH157" s="825"/>
      <c r="AI157" s="825"/>
      <c r="AJ157" s="825"/>
      <c r="AK157" s="825"/>
      <c r="AL157" s="825"/>
      <c r="AM157" s="825"/>
      <c r="AN157" s="825"/>
      <c r="AO157" s="825"/>
      <c r="AP157" s="825"/>
      <c r="AQ157" s="825"/>
      <c r="AR157" s="825"/>
      <c r="AS157" s="825"/>
      <c r="AT157" s="825"/>
      <c r="AU157" s="825"/>
      <c r="AV157" s="825"/>
      <c r="AW157" s="825"/>
      <c r="AX157" s="825"/>
      <c r="BA157" s="825"/>
      <c r="BB157" s="825"/>
      <c r="BC157" s="825"/>
      <c r="BD157" s="825"/>
      <c r="BE157" s="825"/>
      <c r="BF157" s="825"/>
      <c r="BG157" s="825"/>
      <c r="BH157" s="825"/>
      <c r="BI157" s="825"/>
      <c r="BJ157" s="825"/>
      <c r="BK157" s="825"/>
      <c r="BL157" s="825"/>
      <c r="BM157" s="825"/>
      <c r="BN157" s="825"/>
      <c r="BO157" s="825"/>
      <c r="BP157" s="825"/>
      <c r="BQ157" s="825"/>
      <c r="BR157" s="825"/>
      <c r="BS157" s="825"/>
      <c r="BT157" s="825"/>
      <c r="BU157" s="825"/>
      <c r="BV157" s="825"/>
      <c r="BW157" s="825"/>
      <c r="BX157" s="825"/>
      <c r="BY157" s="825"/>
      <c r="BZ157" s="825"/>
      <c r="CA157" s="825"/>
      <c r="CB157" s="825"/>
      <c r="CC157" s="825"/>
    </row>
    <row r="158" spans="1:81" ht="41.95" customHeight="1" x14ac:dyDescent="0.25">
      <c r="A158" s="825"/>
      <c r="B158" s="672"/>
      <c r="C158" s="1607"/>
      <c r="D158" s="1612"/>
      <c r="E158" s="1612"/>
      <c r="F158" s="1537"/>
      <c r="G158" s="1537"/>
      <c r="H158" s="1537"/>
      <c r="I158" s="1537"/>
      <c r="J158" s="1537"/>
      <c r="K158" s="1537"/>
      <c r="L158" s="1537"/>
      <c r="M158" s="645" t="s">
        <v>489</v>
      </c>
      <c r="N158" s="722" t="str">
        <f>N15</f>
        <v>Otorgamiento de derechos sobre la tierra / bosques en zonas con patrimonio cultural</v>
      </c>
      <c r="O158" s="837" t="str">
        <f t="shared" si="4"/>
        <v>Patrimonio cultural</v>
      </c>
      <c r="P158" s="855" t="str">
        <f>AI6</f>
        <v>PC</v>
      </c>
      <c r="Q158" s="757" t="str">
        <f>AV9</f>
        <v>Evaluación de superposición del área solicitada para titulación de predios rurales con áreas determinadas como patrimonio cultural</v>
      </c>
      <c r="R158" s="842" t="s">
        <v>586</v>
      </c>
      <c r="S158" s="842" t="s">
        <v>542</v>
      </c>
      <c r="T158" s="519" t="str">
        <f>AU9</f>
        <v>SPC1</v>
      </c>
      <c r="U158" s="627"/>
      <c r="V158" s="498"/>
      <c r="W158" s="498"/>
      <c r="X158" s="273"/>
      <c r="Y158" s="825"/>
      <c r="Z158" s="825"/>
      <c r="AA158" s="825"/>
      <c r="AB158" s="825"/>
      <c r="AC158" s="825"/>
      <c r="AD158" s="825"/>
      <c r="AE158" s="825"/>
      <c r="AF158" s="825"/>
      <c r="AG158" s="825"/>
      <c r="AH158" s="825"/>
      <c r="AI158" s="825"/>
      <c r="AJ158" s="825"/>
      <c r="AK158" s="825"/>
      <c r="AL158" s="825"/>
      <c r="AM158" s="825"/>
      <c r="AN158" s="825"/>
      <c r="AO158" s="825"/>
      <c r="AP158" s="825"/>
      <c r="AQ158" s="825"/>
      <c r="AR158" s="825"/>
      <c r="AS158" s="825"/>
      <c r="AT158" s="825"/>
      <c r="AU158" s="825"/>
      <c r="AV158" s="825"/>
      <c r="AW158" s="825"/>
      <c r="AX158" s="825"/>
      <c r="BA158" s="825"/>
      <c r="BB158" s="825"/>
      <c r="BC158" s="825"/>
      <c r="BD158" s="825"/>
      <c r="BE158" s="825"/>
      <c r="BF158" s="825"/>
      <c r="BG158" s="825"/>
      <c r="BH158" s="825"/>
      <c r="BI158" s="825"/>
      <c r="BJ158" s="825"/>
      <c r="BK158" s="825"/>
      <c r="BL158" s="825"/>
      <c r="BM158" s="825"/>
      <c r="BN158" s="825"/>
      <c r="BO158" s="825"/>
      <c r="BP158" s="825"/>
      <c r="BQ158" s="825"/>
      <c r="BR158" s="825"/>
      <c r="BS158" s="825"/>
      <c r="BT158" s="825"/>
      <c r="BU158" s="825"/>
      <c r="BV158" s="825"/>
      <c r="BW158" s="825"/>
      <c r="BX158" s="825"/>
      <c r="BY158" s="825"/>
      <c r="BZ158" s="825"/>
      <c r="CA158" s="825"/>
      <c r="CB158" s="825"/>
      <c r="CC158" s="825"/>
    </row>
    <row r="159" spans="1:81" ht="141.80000000000001" customHeight="1" x14ac:dyDescent="0.25">
      <c r="A159" s="825"/>
      <c r="B159" s="672" t="s">
        <v>866</v>
      </c>
      <c r="C159" s="842" t="str">
        <f>'8. BASE  CONSOLIDADA'!E78</f>
        <v>2.1.2</v>
      </c>
      <c r="D159" s="1069" t="str">
        <f>'8. BASE  CONSOLIDADA'!F78</f>
        <v>Asistencia técnica con enfoque bajo en emisiones</v>
      </c>
      <c r="E159" s="1069" t="str">
        <f>'8. BASE  CONSOLIDADA'!G78</f>
        <v xml:space="preserve">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v>
      </c>
      <c r="F159" s="836" t="str">
        <f>'8. BASE  CONSOLIDADA'!C78</f>
        <v>Predios de agricultura familiar con producción destinada al autoconsumo y productos de exportación, con título o sin título de propiedad.</v>
      </c>
      <c r="G159" s="1019" t="str">
        <f>VLOOKUP($C159,'8. BASE  CONSOLIDADA'!$E$7:$AS$308,13,FALSE)</f>
        <v>Productores asistidos</v>
      </c>
      <c r="H159" s="1109">
        <f>VLOOKUP($C159,'8. BASE  CONSOLIDADA'!$E$7:$AS$308,15,FALSE)</f>
        <v>17718.599999999999</v>
      </c>
      <c r="I159" s="1058">
        <f>VLOOKUP(C159,'8. BASE  CONSOLIDADA'!$E$7:$AS$308,20,FALSE)</f>
        <v>9922416</v>
      </c>
      <c r="J159" s="678">
        <f>I159*$J$6</f>
        <v>6747.2428800000007</v>
      </c>
      <c r="K159" s="1025"/>
      <c r="L159" s="1037"/>
      <c r="M159" s="645" t="s">
        <v>489</v>
      </c>
      <c r="N159" s="722" t="str">
        <f>N16</f>
        <v>Exclusión de mujeres rurales en programas de asistencia técnica</v>
      </c>
      <c r="O159" s="837" t="str">
        <f t="shared" si="4"/>
        <v>Género</v>
      </c>
      <c r="P159" s="855" t="str">
        <f>AC6</f>
        <v>GN</v>
      </c>
      <c r="Q159" s="757" t="str">
        <f>AJ10</f>
        <v>Programas de asistencia técnica y proyectos específicos para mujeres rurales y mujeres indígenas</v>
      </c>
      <c r="R159" s="842" t="s">
        <v>596</v>
      </c>
      <c r="S159" s="842" t="s">
        <v>507</v>
      </c>
      <c r="T159" s="519" t="str">
        <f>AI10</f>
        <v>SGN2</v>
      </c>
      <c r="U159" s="628"/>
      <c r="V159" s="478"/>
      <c r="W159" s="478"/>
      <c r="X159" s="273"/>
      <c r="Y159" s="825"/>
      <c r="Z159" s="825"/>
      <c r="AA159" s="825"/>
      <c r="AB159" s="825"/>
      <c r="AC159" s="825"/>
      <c r="AD159" s="825"/>
      <c r="AE159" s="825"/>
      <c r="AF159" s="825"/>
      <c r="AG159" s="825"/>
      <c r="AH159" s="825"/>
      <c r="AI159" s="825"/>
      <c r="AJ159" s="825"/>
      <c r="AK159" s="825"/>
      <c r="AL159" s="825"/>
      <c r="AM159" s="825"/>
      <c r="AN159" s="825"/>
      <c r="AO159" s="825"/>
      <c r="AP159" s="825"/>
      <c r="AQ159" s="825"/>
      <c r="AR159" s="825"/>
      <c r="AS159" s="825"/>
      <c r="AT159" s="825"/>
      <c r="AU159" s="825"/>
      <c r="AV159" s="825"/>
      <c r="AW159" s="825"/>
      <c r="AX159" s="825"/>
      <c r="BA159" s="825"/>
      <c r="BB159" s="825"/>
      <c r="BC159" s="825"/>
      <c r="BD159" s="825"/>
      <c r="BE159" s="825"/>
      <c r="BF159" s="825"/>
      <c r="BG159" s="825"/>
      <c r="BH159" s="825"/>
      <c r="BI159" s="825"/>
      <c r="BJ159" s="825"/>
      <c r="BK159" s="825"/>
      <c r="BL159" s="825"/>
      <c r="BM159" s="825"/>
      <c r="BN159" s="825"/>
      <c r="BO159" s="825"/>
      <c r="BP159" s="825"/>
      <c r="BQ159" s="825"/>
      <c r="BR159" s="825"/>
      <c r="BS159" s="825"/>
      <c r="BT159" s="825"/>
      <c r="BU159" s="825"/>
      <c r="BV159" s="825"/>
      <c r="BW159" s="825"/>
      <c r="BX159" s="825"/>
      <c r="BY159" s="825"/>
      <c r="BZ159" s="825"/>
      <c r="CA159" s="825"/>
      <c r="CB159" s="825"/>
      <c r="CC159" s="825"/>
    </row>
    <row r="160" spans="1:81" ht="46.55" customHeight="1" x14ac:dyDescent="0.25">
      <c r="A160" s="825"/>
      <c r="B160" s="672" t="s">
        <v>866</v>
      </c>
      <c r="C160" s="1571" t="str">
        <f>'8. BASE  CONSOLIDADA'!E82</f>
        <v>2.1.6</v>
      </c>
      <c r="D160" s="1564" t="str">
        <f>'8. BASE  CONSOLIDADA'!F82</f>
        <v xml:space="preserve">Reconversión y diversificación productiva </v>
      </c>
      <c r="E160" s="1564" t="str">
        <f>'8. BASE  CONSOLIDADA'!G82</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F160" s="1538" t="str">
        <f>'8. BASE  CONSOLIDADA'!C82</f>
        <v>Predios de agricultura familiar con producción destinada al autoconsumo y productos de exportación, con título o sin título de propiedad.</v>
      </c>
      <c r="G160" s="1538" t="str">
        <f>VLOOKUP($C160,'8. BASE  CONSOLIDADA'!$E$7:$AS$308,13,FALSE)</f>
        <v>Hectáreas reconvertidas/diversificadas</v>
      </c>
      <c r="H160" s="1538">
        <f>VLOOKUP($C160,'8. BASE  CONSOLIDADA'!$E$7:$AS$308,15,FALSE)</f>
        <v>1318.7</v>
      </c>
      <c r="I160" s="1538">
        <f>VLOOKUP(C160,'8. BASE  CONSOLIDADA'!$E$7:$AS$308,20,FALSE)</f>
        <v>19780500</v>
      </c>
      <c r="J160" s="1538">
        <f>I160*$J$6</f>
        <v>13450.740000000002</v>
      </c>
      <c r="K160" s="396"/>
      <c r="L160" s="396"/>
      <c r="M160" s="645" t="s">
        <v>489</v>
      </c>
      <c r="N160" s="724" t="str">
        <f>N17</f>
        <v>Especies exóticas o invasoras en bosques colindantes</v>
      </c>
      <c r="O160" s="837" t="str">
        <f t="shared" si="4"/>
        <v>Biodiversidad y recursos naturales</v>
      </c>
      <c r="P160" s="536" t="e">
        <f>#REF!</f>
        <v>#REF!</v>
      </c>
      <c r="Q160" s="534" t="str">
        <f>AA12</f>
        <v xml:space="preserve">Ordenamiento agroterritorial como estrategia para ordenar y promover el desarrollo agrario regional </v>
      </c>
      <c r="R160" s="538" t="s">
        <v>656</v>
      </c>
      <c r="S160" s="540" t="s">
        <v>492</v>
      </c>
      <c r="T160" s="519" t="str">
        <f>Z12</f>
        <v>SBRN4</v>
      </c>
      <c r="U160" s="628"/>
      <c r="V160" s="478"/>
      <c r="W160" s="478"/>
      <c r="X160" s="273"/>
      <c r="Y160" s="825"/>
      <c r="Z160" s="825"/>
      <c r="AA160" s="825"/>
      <c r="AB160" s="825"/>
      <c r="AC160" s="825"/>
      <c r="AD160" s="825"/>
      <c r="AE160" s="825"/>
      <c r="AF160" s="825"/>
      <c r="AG160" s="825"/>
      <c r="AH160" s="825"/>
      <c r="AI160" s="825"/>
      <c r="AJ160" s="825"/>
      <c r="AK160" s="825"/>
      <c r="AL160" s="825"/>
      <c r="AM160" s="825"/>
      <c r="AN160" s="825"/>
      <c r="AO160" s="825"/>
      <c r="AP160" s="825"/>
      <c r="AQ160" s="825"/>
      <c r="AR160" s="825"/>
      <c r="AS160" s="825"/>
      <c r="AT160" s="825"/>
      <c r="AU160" s="825"/>
      <c r="AV160" s="825"/>
      <c r="AW160" s="825"/>
      <c r="AX160" s="825"/>
      <c r="BA160" s="825"/>
      <c r="BB160" s="825"/>
      <c r="BC160" s="825"/>
      <c r="BD160" s="825"/>
      <c r="BE160" s="825"/>
      <c r="BF160" s="825"/>
      <c r="BG160" s="825"/>
      <c r="BH160" s="825"/>
      <c r="BI160" s="825"/>
      <c r="BJ160" s="825"/>
      <c r="BK160" s="825"/>
      <c r="BL160" s="825"/>
      <c r="BM160" s="825"/>
      <c r="BN160" s="825"/>
      <c r="BO160" s="825"/>
      <c r="BP160" s="825"/>
      <c r="BQ160" s="825"/>
      <c r="BR160" s="825"/>
      <c r="BS160" s="825"/>
      <c r="BT160" s="825"/>
      <c r="BU160" s="825"/>
      <c r="BV160" s="825"/>
      <c r="BW160" s="825"/>
      <c r="BX160" s="825"/>
      <c r="BY160" s="825"/>
      <c r="BZ160" s="825"/>
      <c r="CA160" s="825"/>
      <c r="CB160" s="825"/>
      <c r="CC160" s="825"/>
    </row>
    <row r="161" spans="1:81" s="531" customFormat="1" ht="45" customHeight="1" x14ac:dyDescent="0.25">
      <c r="A161" s="825"/>
      <c r="B161" s="672"/>
      <c r="C161" s="1572"/>
      <c r="D161" s="1565"/>
      <c r="E161" s="1565"/>
      <c r="F161" s="1539"/>
      <c r="G161" s="1539"/>
      <c r="H161" s="1539"/>
      <c r="I161" s="1539"/>
      <c r="J161" s="1539"/>
      <c r="K161" s="1039">
        <v>17</v>
      </c>
      <c r="L161" s="1039">
        <f>K161*H160</f>
        <v>22417.9</v>
      </c>
      <c r="M161" s="651" t="s">
        <v>867</v>
      </c>
      <c r="N161" s="724" t="str">
        <f>N17</f>
        <v>Especies exóticas o invasoras en bosques colindantes</v>
      </c>
      <c r="O161" s="837" t="str">
        <f t="shared" si="4"/>
        <v>Biodiversidad y recursos naturales</v>
      </c>
      <c r="P161" s="536" t="e">
        <f>#REF!</f>
        <v>#REF!</v>
      </c>
      <c r="Q161" s="534" t="str">
        <f>AA13</f>
        <v xml:space="preserve">Inclusión de cláusulas de monitoreo y control de especies exóticas e invasoras en proyectos de promoción agrarios  </v>
      </c>
      <c r="R161" s="538" t="s">
        <v>614</v>
      </c>
      <c r="S161" s="540" t="s">
        <v>492</v>
      </c>
      <c r="T161" s="519" t="str">
        <f>Z13</f>
        <v>SBRN5</v>
      </c>
      <c r="U161" s="628"/>
      <c r="V161" s="478"/>
      <c r="W161" s="478"/>
      <c r="X161" s="273"/>
      <c r="Y161" s="825"/>
      <c r="Z161" s="825"/>
      <c r="AA161" s="825"/>
      <c r="AB161" s="825"/>
      <c r="AC161" s="825"/>
      <c r="AD161" s="825"/>
      <c r="AE161" s="825"/>
      <c r="AF161" s="825"/>
      <c r="AG161" s="825"/>
      <c r="AH161" s="825"/>
      <c r="AI161" s="825"/>
      <c r="AJ161" s="825"/>
      <c r="AK161" s="825"/>
      <c r="AL161" s="825"/>
      <c r="AM161" s="825"/>
      <c r="AN161" s="825"/>
      <c r="AO161" s="825"/>
      <c r="AP161" s="825"/>
      <c r="AQ161" s="825"/>
      <c r="AR161" s="825"/>
      <c r="AS161" s="825"/>
      <c r="AT161" s="825"/>
      <c r="AU161" s="825"/>
      <c r="AV161" s="825"/>
      <c r="AW161" s="825"/>
      <c r="AX161" s="825"/>
      <c r="AY161" s="273"/>
      <c r="AZ161" s="273"/>
      <c r="BA161" s="825"/>
      <c r="BB161" s="825"/>
      <c r="BC161" s="825"/>
      <c r="BD161" s="825"/>
      <c r="BE161" s="825"/>
      <c r="BF161" s="825"/>
      <c r="BG161" s="825"/>
      <c r="BH161" s="825"/>
      <c r="BI161" s="825"/>
      <c r="BJ161" s="825"/>
      <c r="BK161" s="825"/>
      <c r="BL161" s="825"/>
      <c r="BM161" s="825"/>
      <c r="BN161" s="825"/>
      <c r="BO161" s="825"/>
      <c r="BP161" s="825"/>
      <c r="BQ161" s="825"/>
      <c r="BR161" s="825"/>
      <c r="BS161" s="825"/>
      <c r="BT161" s="825"/>
      <c r="BU161" s="825"/>
      <c r="BV161" s="825"/>
      <c r="BW161" s="825"/>
      <c r="BX161" s="825"/>
      <c r="BY161" s="825"/>
      <c r="BZ161" s="825"/>
      <c r="CA161" s="825"/>
      <c r="CB161" s="825"/>
      <c r="CC161" s="825"/>
    </row>
    <row r="162" spans="1:81" s="531" customFormat="1" ht="60.8" customHeight="1" x14ac:dyDescent="0.25">
      <c r="A162" s="825"/>
      <c r="B162" s="672"/>
      <c r="C162" s="1573"/>
      <c r="D162" s="1566"/>
      <c r="E162" s="1566"/>
      <c r="F162" s="1560"/>
      <c r="G162" s="1560"/>
      <c r="H162" s="1560"/>
      <c r="I162" s="1560"/>
      <c r="J162" s="1560"/>
      <c r="K162" s="1021"/>
      <c r="L162" s="1029"/>
      <c r="M162" s="645" t="s">
        <v>489</v>
      </c>
      <c r="N162" s="730" t="str">
        <f>N19</f>
        <v>Cultivos elegibles para reconversión no logran obtener los máximos beneficios en las zonas seleccionadas</v>
      </c>
      <c r="O162" s="837" t="str">
        <f t="shared" si="4"/>
        <v>Vulnerabilidad al cambio climático</v>
      </c>
      <c r="P162" s="536" t="e">
        <f>#REF!</f>
        <v>#REF!</v>
      </c>
      <c r="Q162" s="534" t="str">
        <f>AS9</f>
        <v xml:space="preserve">Los cultivos deben ser aptos para las zonas en los programas de reconversión productiva </v>
      </c>
      <c r="R162" s="538" t="s">
        <v>623</v>
      </c>
      <c r="S162" s="540" t="s">
        <v>507</v>
      </c>
      <c r="T162" s="519" t="str">
        <f>AR9</f>
        <v>SVCC1</v>
      </c>
      <c r="U162" s="628"/>
      <c r="V162" s="478"/>
      <c r="W162" s="478"/>
      <c r="X162" s="273"/>
      <c r="Y162" s="825"/>
      <c r="Z162" s="825"/>
      <c r="AA162" s="825"/>
      <c r="AB162" s="825"/>
      <c r="AC162" s="825"/>
      <c r="AD162" s="825"/>
      <c r="AE162" s="825"/>
      <c r="AF162" s="825"/>
      <c r="AG162" s="825"/>
      <c r="AH162" s="825"/>
      <c r="AI162" s="825"/>
      <c r="AJ162" s="825"/>
      <c r="AK162" s="825"/>
      <c r="AL162" s="825"/>
      <c r="AM162" s="825"/>
      <c r="AN162" s="825"/>
      <c r="AO162" s="825"/>
      <c r="AP162" s="825"/>
      <c r="AQ162" s="825"/>
      <c r="AR162" s="825"/>
      <c r="AS162" s="825"/>
      <c r="AT162" s="825"/>
      <c r="AU162" s="825"/>
      <c r="AV162" s="825"/>
      <c r="AW162" s="825"/>
      <c r="AX162" s="825"/>
      <c r="AY162" s="273"/>
      <c r="AZ162" s="273"/>
      <c r="BA162" s="825"/>
      <c r="BB162" s="825"/>
      <c r="BC162" s="825"/>
      <c r="BD162" s="825"/>
      <c r="BE162" s="825"/>
      <c r="BF162" s="825"/>
      <c r="BG162" s="825"/>
      <c r="BH162" s="825"/>
      <c r="BI162" s="825"/>
      <c r="BJ162" s="825"/>
      <c r="BK162" s="825"/>
      <c r="BL162" s="825"/>
      <c r="BM162" s="825"/>
      <c r="BN162" s="825"/>
      <c r="BO162" s="825"/>
      <c r="BP162" s="825"/>
      <c r="BQ162" s="825"/>
      <c r="BR162" s="825"/>
      <c r="BS162" s="825"/>
      <c r="BT162" s="825"/>
      <c r="BU162" s="825"/>
      <c r="BV162" s="825"/>
      <c r="BW162" s="825"/>
      <c r="BX162" s="825"/>
      <c r="BY162" s="825"/>
      <c r="BZ162" s="825"/>
      <c r="CA162" s="825"/>
      <c r="CB162" s="825"/>
      <c r="CC162" s="825"/>
    </row>
    <row r="163" spans="1:81" ht="143.35" customHeight="1" x14ac:dyDescent="0.25">
      <c r="A163" s="825"/>
      <c r="B163" s="672" t="s">
        <v>866</v>
      </c>
      <c r="C163" s="842" t="str">
        <f>'8. BASE  CONSOLIDADA'!E83</f>
        <v>2.1.7</v>
      </c>
      <c r="D163" s="1069" t="str">
        <f>'8. BASE  CONSOLIDADA'!F83</f>
        <v>Promoción de agricultura familiar con enfoque de mercado</v>
      </c>
      <c r="E163" s="1069" t="str">
        <f>'8. BASE  CONSOLIDADA'!G83</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F163" s="836" t="str">
        <f>'8. BASE  CONSOLIDADA'!C83</f>
        <v>Predios de agricultura familiar con producción destinada al autoconsumo y productos de exportación, con título o sin título de propiedad.</v>
      </c>
      <c r="G163" s="1019" t="str">
        <f>VLOOKUP($C163,'8. BASE  CONSOLIDADA'!$E$7:$AS$308,13,FALSE)</f>
        <v>Productores beneficiados</v>
      </c>
      <c r="H163" s="1109">
        <f>VLOOKUP($C163,'8. BASE  CONSOLIDADA'!$E$7:$AS$308,15,FALSE)</f>
        <v>2953.1000000000004</v>
      </c>
      <c r="I163" s="1058">
        <f>VLOOKUP(C163,'8. BASE  CONSOLIDADA'!$E$7:$AS$308,20,FALSE)</f>
        <v>38094990.000000007</v>
      </c>
      <c r="J163" s="678">
        <f>I163*$J$6</f>
        <v>25904.593200000007</v>
      </c>
      <c r="K163" s="1020"/>
      <c r="L163" s="1029"/>
      <c r="M163" s="645" t="s">
        <v>489</v>
      </c>
      <c r="N163" s="723" t="str">
        <f>N20</f>
        <v>Exclusión de mujeres rurales en programas de agricultura familiar</v>
      </c>
      <c r="O163" s="837" t="str">
        <f t="shared" si="4"/>
        <v>Género</v>
      </c>
      <c r="P163" s="536" t="str">
        <f>AC6</f>
        <v>GN</v>
      </c>
      <c r="Q163" s="534" t="str">
        <f>AJ10</f>
        <v>Programas de asistencia técnica y proyectos específicos para mujeres rurales y mujeres indígenas</v>
      </c>
      <c r="R163" s="538" t="s">
        <v>596</v>
      </c>
      <c r="S163" s="540" t="s">
        <v>507</v>
      </c>
      <c r="T163" s="519" t="str">
        <f>AI10</f>
        <v>SGN2</v>
      </c>
      <c r="U163" s="628"/>
      <c r="V163" s="478"/>
      <c r="W163" s="478"/>
      <c r="X163" s="273"/>
      <c r="Y163" s="825"/>
      <c r="Z163" s="825"/>
      <c r="AA163" s="825"/>
      <c r="AB163" s="825"/>
      <c r="AC163" s="825"/>
      <c r="AD163" s="825"/>
      <c r="AE163" s="825"/>
      <c r="AF163" s="825"/>
      <c r="AG163" s="825"/>
      <c r="AH163" s="825"/>
      <c r="AI163" s="825"/>
      <c r="AJ163" s="825"/>
      <c r="AK163" s="825"/>
      <c r="AL163" s="825"/>
      <c r="AM163" s="825"/>
      <c r="AN163" s="825"/>
      <c r="AO163" s="825"/>
      <c r="AP163" s="825"/>
      <c r="AQ163" s="825"/>
      <c r="AR163" s="825"/>
      <c r="AS163" s="825"/>
      <c r="AT163" s="825"/>
      <c r="AU163" s="825"/>
      <c r="AV163" s="825"/>
      <c r="AW163" s="825"/>
      <c r="AX163" s="825"/>
      <c r="BA163" s="825"/>
      <c r="BB163" s="825"/>
      <c r="BC163" s="825"/>
      <c r="BD163" s="825"/>
      <c r="BE163" s="825"/>
      <c r="BF163" s="825"/>
      <c r="BG163" s="825"/>
      <c r="BH163" s="825"/>
      <c r="BI163" s="825"/>
      <c r="BJ163" s="825"/>
      <c r="BK163" s="825"/>
      <c r="BL163" s="825"/>
      <c r="BM163" s="825"/>
      <c r="BN163" s="825"/>
      <c r="BO163" s="825"/>
      <c r="BP163" s="825"/>
      <c r="BQ163" s="825"/>
      <c r="BR163" s="825"/>
      <c r="BS163" s="825"/>
      <c r="BT163" s="825"/>
      <c r="BU163" s="825"/>
      <c r="BV163" s="825"/>
      <c r="BW163" s="825"/>
      <c r="BX163" s="825"/>
      <c r="BY163" s="825"/>
      <c r="BZ163" s="825"/>
      <c r="CA163" s="825"/>
      <c r="CB163" s="825"/>
      <c r="CC163" s="825"/>
    </row>
    <row r="164" spans="1:81" ht="45" customHeight="1" x14ac:dyDescent="0.25">
      <c r="A164" s="825"/>
      <c r="B164" s="672" t="s">
        <v>866</v>
      </c>
      <c r="C164" s="1571" t="str">
        <f>'8. BASE  CONSOLIDADA'!E84</f>
        <v>2.1.8</v>
      </c>
      <c r="D164" s="1564" t="str">
        <f>'8. BASE  CONSOLIDADA'!F84</f>
        <v>Asistencia técnica para el desarrollo de la acuicultura</v>
      </c>
      <c r="E164" s="1564" t="str">
        <f>'8. BASE  CONSOLIDADA'!G84</f>
        <v xml:space="preserve">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v>
      </c>
      <c r="F164" s="1538" t="str">
        <f>'8. BASE  CONSOLIDADA'!C84</f>
        <v>Predios de agricultura familiar con producción destinada al autoconsumo y productos de exportación, con título o sin título de propiedad.</v>
      </c>
      <c r="G164" s="1019" t="str">
        <f>VLOOKUP($C164,'8. BASE  CONSOLIDADA'!$E$7:$AS$308,13,FALSE)</f>
        <v>Acuicultores asistidos</v>
      </c>
      <c r="H164" s="1109">
        <f>VLOOKUP($C164,'8. BASE  CONSOLIDADA'!$E$7:$AS$308,15,FALSE)</f>
        <v>324</v>
      </c>
      <c r="I164" s="1058">
        <f>VLOOKUP(C164,'8. BASE  CONSOLIDADA'!$E$7:$AS$308,20,FALSE)</f>
        <v>181440</v>
      </c>
      <c r="J164" s="678">
        <f>I164*$J$6</f>
        <v>123.37920000000001</v>
      </c>
      <c r="K164" s="1020"/>
      <c r="L164" s="1030"/>
      <c r="M164" s="645" t="s">
        <v>489</v>
      </c>
      <c r="N164" s="740" t="str">
        <f>N23</f>
        <v>Deforestación para habilitación de áreas para proyectos de acuicultura</v>
      </c>
      <c r="O164" s="837" t="str">
        <f t="shared" si="4"/>
        <v>Biodiversidad y recursos naturales</v>
      </c>
      <c r="P164" s="536" t="e">
        <f>#REF!</f>
        <v>#REF!</v>
      </c>
      <c r="Q164" s="534" t="str">
        <f>AA12</f>
        <v xml:space="preserve">Ordenamiento agroterritorial como estrategia para ordenar y promover el desarrollo agrario regional </v>
      </c>
      <c r="R164" s="538" t="s">
        <v>656</v>
      </c>
      <c r="S164" s="540" t="s">
        <v>492</v>
      </c>
      <c r="T164" s="519" t="str">
        <f>Z12</f>
        <v>SBRN4</v>
      </c>
      <c r="U164" s="628"/>
      <c r="V164" s="478"/>
      <c r="W164" s="478"/>
      <c r="X164" s="273"/>
      <c r="Y164" s="825"/>
      <c r="Z164" s="825"/>
      <c r="AA164" s="825"/>
      <c r="AB164" s="825"/>
      <c r="AC164" s="825"/>
      <c r="AD164" s="825"/>
      <c r="AE164" s="825"/>
      <c r="AF164" s="825"/>
      <c r="AG164" s="825"/>
      <c r="AH164" s="825"/>
      <c r="AI164" s="825"/>
      <c r="AJ164" s="825"/>
      <c r="AK164" s="825"/>
      <c r="AL164" s="825"/>
      <c r="AM164" s="825"/>
      <c r="AN164" s="825"/>
      <c r="AO164" s="825"/>
      <c r="AP164" s="825"/>
      <c r="AQ164" s="825"/>
      <c r="AR164" s="825"/>
      <c r="AS164" s="825"/>
      <c r="AT164" s="825"/>
      <c r="AU164" s="825"/>
      <c r="AV164" s="825"/>
      <c r="AW164" s="825"/>
      <c r="AX164" s="825"/>
      <c r="BA164" s="825"/>
      <c r="BB164" s="825"/>
      <c r="BC164" s="825"/>
      <c r="BD164" s="825"/>
      <c r="BE164" s="825"/>
      <c r="BF164" s="825"/>
      <c r="BG164" s="825"/>
      <c r="BH164" s="825"/>
      <c r="BI164" s="825"/>
      <c r="BJ164" s="825"/>
      <c r="BK164" s="825"/>
      <c r="BL164" s="825"/>
      <c r="BM164" s="825"/>
      <c r="BN164" s="825"/>
      <c r="BO164" s="825"/>
      <c r="BP164" s="825"/>
      <c r="BQ164" s="825"/>
      <c r="BR164" s="825"/>
      <c r="BS164" s="825"/>
      <c r="BT164" s="825"/>
      <c r="BU164" s="825"/>
      <c r="BV164" s="825"/>
      <c r="BW164" s="825"/>
      <c r="BX164" s="825"/>
      <c r="BY164" s="825"/>
      <c r="BZ164" s="825"/>
      <c r="CA164" s="825"/>
      <c r="CB164" s="825"/>
      <c r="CC164" s="825"/>
    </row>
    <row r="165" spans="1:81" s="531" customFormat="1" ht="42.8" customHeight="1" x14ac:dyDescent="0.25">
      <c r="A165" s="825"/>
      <c r="B165" s="672"/>
      <c r="C165" s="1573"/>
      <c r="D165" s="1566"/>
      <c r="E165" s="1566"/>
      <c r="F165" s="1560"/>
      <c r="G165" s="1093"/>
      <c r="H165" s="1114"/>
      <c r="I165" s="1061"/>
      <c r="J165" s="679"/>
      <c r="K165" s="1028"/>
      <c r="L165" s="1027"/>
      <c r="M165" s="645" t="s">
        <v>489</v>
      </c>
      <c r="N165" s="751" t="str">
        <f>N24</f>
        <v>Actividad acuícola no se desarrolla de manera óptima</v>
      </c>
      <c r="O165" s="841" t="str">
        <f t="shared" si="4"/>
        <v>Vulnerabilidad al cambio climático</v>
      </c>
      <c r="P165" s="536" t="e">
        <f>#REF!</f>
        <v>#REF!</v>
      </c>
      <c r="Q165" s="534" t="str">
        <f>AS10</f>
        <v>Análisis de rentabilidad de la actividad acuícola en los programas de reconversión productiva</v>
      </c>
      <c r="R165" s="538" t="s">
        <v>662</v>
      </c>
      <c r="S165" s="540" t="s">
        <v>507</v>
      </c>
      <c r="T165" s="519" t="str">
        <f>AR10</f>
        <v>SVCC2</v>
      </c>
      <c r="U165" s="628"/>
      <c r="V165" s="478"/>
      <c r="W165" s="478"/>
      <c r="X165" s="273"/>
      <c r="Y165" s="825"/>
      <c r="Z165" s="825"/>
      <c r="AA165" s="825"/>
      <c r="AB165" s="825"/>
      <c r="AC165" s="825"/>
      <c r="AD165" s="825"/>
      <c r="AE165" s="825"/>
      <c r="AF165" s="825"/>
      <c r="AG165" s="825"/>
      <c r="AH165" s="825"/>
      <c r="AI165" s="825"/>
      <c r="AJ165" s="825"/>
      <c r="AK165" s="825"/>
      <c r="AL165" s="825"/>
      <c r="AM165" s="825"/>
      <c r="AN165" s="825"/>
      <c r="AO165" s="825"/>
      <c r="AP165" s="825"/>
      <c r="AQ165" s="825"/>
      <c r="AR165" s="825"/>
      <c r="AS165" s="825"/>
      <c r="AT165" s="825"/>
      <c r="AU165" s="825"/>
      <c r="AV165" s="825"/>
      <c r="AW165" s="825"/>
      <c r="AX165" s="825"/>
      <c r="AY165" s="273"/>
      <c r="AZ165" s="273"/>
      <c r="BA165" s="825"/>
      <c r="BB165" s="825"/>
      <c r="BC165" s="825"/>
      <c r="BD165" s="825"/>
      <c r="BE165" s="825"/>
      <c r="BF165" s="825"/>
      <c r="BG165" s="825"/>
      <c r="BH165" s="825"/>
      <c r="BI165" s="825"/>
      <c r="BJ165" s="825"/>
      <c r="BK165" s="825"/>
      <c r="BL165" s="825"/>
      <c r="BM165" s="825"/>
      <c r="BN165" s="825"/>
      <c r="BO165" s="825"/>
      <c r="BP165" s="825"/>
      <c r="BQ165" s="825"/>
      <c r="BR165" s="825"/>
      <c r="BS165" s="825"/>
      <c r="BT165" s="825"/>
      <c r="BU165" s="825"/>
      <c r="BV165" s="825"/>
      <c r="BW165" s="825"/>
      <c r="BX165" s="825"/>
      <c r="BY165" s="825"/>
      <c r="BZ165" s="825"/>
      <c r="CA165" s="825"/>
      <c r="CB165" s="825"/>
      <c r="CC165" s="825"/>
    </row>
    <row r="166" spans="1:81" ht="52.5" customHeight="1" x14ac:dyDescent="0.25">
      <c r="A166" s="825"/>
      <c r="B166" s="672" t="s">
        <v>866</v>
      </c>
      <c r="C166" s="1571" t="str">
        <f>'8. BASE  CONSOLIDADA'!E85</f>
        <v>2.1.9</v>
      </c>
      <c r="D166" s="1564" t="str">
        <f>'8. BASE  CONSOLIDADA'!F85</f>
        <v xml:space="preserve">Incentivos financieros para la acuicultura </v>
      </c>
      <c r="E166" s="1564" t="str">
        <f>'8. BASE  CONSOLIDADA'!G85</f>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F166" s="1535" t="str">
        <f>'8. BASE  CONSOLIDADA'!C85</f>
        <v>Predios de agricultura familiar con producción destinada al autoconsumo y productos de exportación, con título o sin título de propiedad.</v>
      </c>
      <c r="G166" s="1019" t="str">
        <f>VLOOKUP($C166,'8. BASE  CONSOLIDADA'!$E$7:$AS$308,13,FALSE)</f>
        <v>Créditos otorgados</v>
      </c>
      <c r="H166" s="1109">
        <f>VLOOKUP($C166,'8. BASE  CONSOLIDADA'!$E$7:$AS$308,15,FALSE)</f>
        <v>324</v>
      </c>
      <c r="I166" s="1058">
        <f>VLOOKUP(C166,'8. BASE  CONSOLIDADA'!$E$7:$AS$308,20,FALSE)</f>
        <v>4179600</v>
      </c>
      <c r="J166" s="678">
        <f>I166*$J$6</f>
        <v>2842.1280000000002</v>
      </c>
      <c r="K166" s="1040"/>
      <c r="L166" s="1032"/>
      <c r="M166" s="744" t="s">
        <v>489</v>
      </c>
      <c r="N166" s="652" t="str">
        <f>N23</f>
        <v>Deforestación para habilitación de áreas para proyectos de acuicultura</v>
      </c>
      <c r="O166" s="836" t="str">
        <f t="shared" si="4"/>
        <v>Biodiversidad y recursos naturales</v>
      </c>
      <c r="P166" s="536" t="e">
        <f>#REF!</f>
        <v>#REF!</v>
      </c>
      <c r="Q166" s="534" t="str">
        <f>AA12</f>
        <v xml:space="preserve">Ordenamiento agroterritorial como estrategia para ordenar y promover el desarrollo agrario regional </v>
      </c>
      <c r="R166" s="538" t="s">
        <v>656</v>
      </c>
      <c r="S166" s="540" t="s">
        <v>492</v>
      </c>
      <c r="T166" s="519" t="str">
        <f>Z12</f>
        <v>SBRN4</v>
      </c>
      <c r="U166" s="628"/>
      <c r="V166" s="478"/>
      <c r="W166" s="478"/>
      <c r="X166" s="273"/>
      <c r="Y166" s="825"/>
      <c r="Z166" s="825"/>
      <c r="AA166" s="825"/>
      <c r="AB166" s="825"/>
      <c r="AC166" s="825"/>
      <c r="AD166" s="825"/>
      <c r="AE166" s="825"/>
      <c r="AF166" s="825"/>
      <c r="AG166" s="825"/>
      <c r="AH166" s="825"/>
      <c r="AI166" s="825"/>
      <c r="AJ166" s="825"/>
      <c r="AK166" s="825"/>
      <c r="AL166" s="825"/>
      <c r="AM166" s="825"/>
      <c r="AN166" s="825"/>
      <c r="AO166" s="825"/>
      <c r="AP166" s="825"/>
      <c r="AQ166" s="825"/>
      <c r="AR166" s="825"/>
      <c r="AS166" s="825"/>
      <c r="AT166" s="825"/>
      <c r="AU166" s="825"/>
      <c r="AV166" s="825"/>
      <c r="AW166" s="825"/>
      <c r="AX166" s="825"/>
      <c r="BA166" s="825"/>
      <c r="BB166" s="825"/>
      <c r="BC166" s="825"/>
      <c r="BD166" s="825"/>
      <c r="BE166" s="825"/>
      <c r="BF166" s="825"/>
      <c r="BG166" s="825"/>
      <c r="BH166" s="825"/>
      <c r="BI166" s="825"/>
      <c r="BJ166" s="825"/>
      <c r="BK166" s="825"/>
      <c r="BL166" s="825"/>
      <c r="BM166" s="825"/>
      <c r="BN166" s="825"/>
      <c r="BO166" s="825"/>
      <c r="BP166" s="825"/>
      <c r="BQ166" s="825"/>
      <c r="BR166" s="825"/>
      <c r="BS166" s="825"/>
      <c r="BT166" s="825"/>
      <c r="BU166" s="825"/>
      <c r="BV166" s="825"/>
      <c r="BW166" s="825"/>
      <c r="BX166" s="825"/>
      <c r="BY166" s="825"/>
      <c r="BZ166" s="825"/>
      <c r="CA166" s="825"/>
      <c r="CB166" s="825"/>
      <c r="CC166" s="825"/>
    </row>
    <row r="167" spans="1:81" s="531" customFormat="1" ht="52.5" customHeight="1" x14ac:dyDescent="0.25">
      <c r="A167" s="825"/>
      <c r="B167" s="672"/>
      <c r="C167" s="1573"/>
      <c r="D167" s="1566"/>
      <c r="E167" s="1566"/>
      <c r="F167" s="1543"/>
      <c r="G167" s="1091"/>
      <c r="H167" s="1112"/>
      <c r="I167" s="1061"/>
      <c r="J167" s="720"/>
      <c r="K167" s="1031"/>
      <c r="L167" s="1032"/>
      <c r="M167" s="744" t="s">
        <v>489</v>
      </c>
      <c r="N167" s="747" t="str">
        <f>N24</f>
        <v>Actividad acuícola no se desarrolla de manera óptima</v>
      </c>
      <c r="O167" s="836" t="str">
        <f t="shared" si="4"/>
        <v>Vulnerabilidad al cambio climático</v>
      </c>
      <c r="P167" s="536" t="e">
        <f>#REF!</f>
        <v>#REF!</v>
      </c>
      <c r="Q167" s="534" t="str">
        <f>AS10</f>
        <v>Análisis de rentabilidad de la actividad acuícola en los programas de reconversión productiva</v>
      </c>
      <c r="R167" s="538" t="s">
        <v>662</v>
      </c>
      <c r="S167" s="540" t="s">
        <v>507</v>
      </c>
      <c r="T167" s="519" t="str">
        <f>AR10</f>
        <v>SVCC2</v>
      </c>
      <c r="U167" s="628"/>
      <c r="V167" s="478"/>
      <c r="W167" s="478"/>
      <c r="X167" s="273"/>
      <c r="Y167" s="825"/>
      <c r="Z167" s="825"/>
      <c r="AA167" s="825"/>
      <c r="AB167" s="825"/>
      <c r="AC167" s="825"/>
      <c r="AD167" s="825"/>
      <c r="AE167" s="825"/>
      <c r="AF167" s="825"/>
      <c r="AG167" s="825"/>
      <c r="AH167" s="825"/>
      <c r="AI167" s="825"/>
      <c r="AJ167" s="825"/>
      <c r="AK167" s="825"/>
      <c r="AL167" s="825"/>
      <c r="AM167" s="825"/>
      <c r="AN167" s="825"/>
      <c r="AO167" s="825"/>
      <c r="AP167" s="825"/>
      <c r="AQ167" s="825"/>
      <c r="AR167" s="825"/>
      <c r="AS167" s="825"/>
      <c r="AT167" s="825"/>
      <c r="AU167" s="825"/>
      <c r="AV167" s="825"/>
      <c r="AW167" s="825"/>
      <c r="AX167" s="825"/>
      <c r="AY167" s="273"/>
      <c r="AZ167" s="273"/>
      <c r="BA167" s="825"/>
      <c r="BB167" s="825"/>
      <c r="BC167" s="825"/>
      <c r="BD167" s="825"/>
      <c r="BE167" s="825"/>
      <c r="BF167" s="825"/>
      <c r="BG167" s="825"/>
      <c r="BH167" s="825"/>
      <c r="BI167" s="825"/>
      <c r="BJ167" s="825"/>
      <c r="BK167" s="825"/>
      <c r="BL167" s="825"/>
      <c r="BM167" s="825"/>
      <c r="BN167" s="825"/>
      <c r="BO167" s="825"/>
      <c r="BP167" s="825"/>
      <c r="BQ167" s="825"/>
      <c r="BR167" s="825"/>
      <c r="BS167" s="825"/>
      <c r="BT167" s="825"/>
      <c r="BU167" s="825"/>
      <c r="BV167" s="825"/>
      <c r="BW167" s="825"/>
      <c r="BX167" s="825"/>
      <c r="BY167" s="825"/>
      <c r="BZ167" s="825"/>
      <c r="CA167" s="825"/>
      <c r="CB167" s="825"/>
      <c r="CC167" s="825"/>
    </row>
    <row r="168" spans="1:81" ht="46.55" customHeight="1" x14ac:dyDescent="0.25">
      <c r="A168" s="825"/>
      <c r="B168" s="672" t="s">
        <v>866</v>
      </c>
      <c r="C168" s="1571" t="str">
        <f>'8. BASE  CONSOLIDADA'!E86</f>
        <v>2.1.10</v>
      </c>
      <c r="D168" s="1564" t="str">
        <f>'8. BASE  CONSOLIDADA'!F86</f>
        <v>Programa de acceso al financiamiento agropecuario condicionado</v>
      </c>
      <c r="E168" s="1564" t="str">
        <f>'8. BASE  CONSOLIDADA'!G86</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F168" s="1538" t="str">
        <f>'8. BASE  CONSOLIDADA'!C86</f>
        <v>Predios de agricultura familiar con producción destinada al autoconsumo y productos de exportación, con título o sin título de propiedad.</v>
      </c>
      <c r="G168" s="1538" t="str">
        <f>VLOOKUP($C168,'8. BASE  CONSOLIDADA'!$E$7:$AS$308,13,FALSE)</f>
        <v>Créditos otorgados</v>
      </c>
      <c r="H168" s="1538">
        <f>VLOOKUP($C168,'8. BASE  CONSOLIDADA'!$E$7:$AS$308,15,FALSE)</f>
        <v>8859.2999999999993</v>
      </c>
      <c r="I168" s="1538">
        <f>VLOOKUP(C168,'8. BASE  CONSOLIDADA'!$E$7:$AS$308,20,FALSE)</f>
        <v>95237474.999999985</v>
      </c>
      <c r="J168" s="1538">
        <f>I168*$J$6</f>
        <v>64761.482999999993</v>
      </c>
      <c r="K168" s="1041"/>
      <c r="L168" s="1041"/>
      <c r="M168" s="744" t="s">
        <v>489</v>
      </c>
      <c r="N168" s="652" t="str">
        <f>N25</f>
        <v>Deforestación de nuevas áreas para implementar créditos o incentivos otorgados</v>
      </c>
      <c r="O168" s="836" t="str">
        <f t="shared" si="4"/>
        <v>Biodiversidad y recursos naturales</v>
      </c>
      <c r="P168" s="536" t="e">
        <f>#REF!</f>
        <v>#REF!</v>
      </c>
      <c r="Q168" s="534" t="str">
        <f>AA12</f>
        <v xml:space="preserve">Ordenamiento agroterritorial como estrategia para ordenar y promover el desarrollo agrario regional </v>
      </c>
      <c r="R168" s="538" t="s">
        <v>656</v>
      </c>
      <c r="S168" s="540" t="s">
        <v>492</v>
      </c>
      <c r="T168" s="519" t="str">
        <f>Z12</f>
        <v>SBRN4</v>
      </c>
      <c r="U168" s="628"/>
      <c r="V168" s="478"/>
      <c r="W168" s="478"/>
      <c r="X168" s="273"/>
      <c r="Y168" s="825"/>
      <c r="Z168" s="825"/>
      <c r="AA168" s="825"/>
      <c r="AB168" s="825"/>
      <c r="AC168" s="825"/>
      <c r="AD168" s="825"/>
      <c r="AE168" s="825"/>
      <c r="AF168" s="825"/>
      <c r="AG168" s="825"/>
      <c r="AH168" s="825"/>
      <c r="AI168" s="825"/>
      <c r="AJ168" s="825"/>
      <c r="AK168" s="825"/>
      <c r="AL168" s="825"/>
      <c r="AM168" s="825"/>
      <c r="AN168" s="825"/>
      <c r="AO168" s="825"/>
      <c r="AP168" s="825"/>
      <c r="AQ168" s="825"/>
      <c r="AR168" s="825"/>
      <c r="AS168" s="825"/>
      <c r="AT168" s="825"/>
      <c r="AU168" s="825"/>
      <c r="AV168" s="825"/>
      <c r="AW168" s="825"/>
      <c r="AX168" s="825"/>
      <c r="BA168" s="825"/>
      <c r="BB168" s="825"/>
      <c r="BC168" s="825"/>
      <c r="BD168" s="825"/>
      <c r="BE168" s="825"/>
      <c r="BF168" s="825"/>
      <c r="BG168" s="825"/>
      <c r="BH168" s="825"/>
      <c r="BI168" s="825"/>
      <c r="BJ168" s="825"/>
      <c r="BK168" s="825"/>
      <c r="BL168" s="825"/>
      <c r="BM168" s="825"/>
      <c r="BN168" s="825"/>
      <c r="BO168" s="825"/>
      <c r="BP168" s="825"/>
      <c r="BQ168" s="825"/>
      <c r="BR168" s="825"/>
      <c r="BS168" s="825"/>
      <c r="BT168" s="825"/>
      <c r="BU168" s="825"/>
      <c r="BV168" s="825"/>
      <c r="BW168" s="825"/>
      <c r="BX168" s="825"/>
      <c r="BY168" s="825"/>
      <c r="BZ168" s="825"/>
      <c r="CA168" s="825"/>
      <c r="CB168" s="825"/>
      <c r="CC168" s="825"/>
    </row>
    <row r="169" spans="1:81" s="531" customFormat="1" ht="34.5" customHeight="1" x14ac:dyDescent="0.25">
      <c r="A169" s="825"/>
      <c r="B169" s="672"/>
      <c r="C169" s="1572"/>
      <c r="D169" s="1565"/>
      <c r="E169" s="1565"/>
      <c r="F169" s="1539"/>
      <c r="G169" s="1539"/>
      <c r="H169" s="1539"/>
      <c r="I169" s="1539"/>
      <c r="J169" s="1539"/>
      <c r="K169" s="1031">
        <v>100</v>
      </c>
      <c r="L169" s="1031">
        <f>K169*H168</f>
        <v>885929.99999999988</v>
      </c>
      <c r="M169" s="748" t="s">
        <v>672</v>
      </c>
      <c r="N169" s="652" t="str">
        <f>N25</f>
        <v>Deforestación de nuevas áreas para implementar créditos o incentivos otorgados</v>
      </c>
      <c r="O169" s="836" t="str">
        <f t="shared" si="4"/>
        <v>Biodiversidad y recursos naturales</v>
      </c>
      <c r="P169" s="536" t="e">
        <f>#REF!</f>
        <v>#REF!</v>
      </c>
      <c r="Q169" s="534" t="str">
        <f>AA14</f>
        <v>Desarrollo de incentivos financieros y no financieros condicionados con cláusulas de no deforestación</v>
      </c>
      <c r="R169" s="538" t="s">
        <v>673</v>
      </c>
      <c r="S169" s="540" t="s">
        <v>526</v>
      </c>
      <c r="T169" s="519" t="str">
        <f>Z14</f>
        <v>SBRN6</v>
      </c>
      <c r="U169" s="628"/>
      <c r="V169" s="478"/>
      <c r="W169" s="478"/>
      <c r="X169" s="273"/>
      <c r="Y169" s="825"/>
      <c r="Z169" s="825"/>
      <c r="AA169" s="825"/>
      <c r="AB169" s="825"/>
      <c r="AC169" s="825"/>
      <c r="AD169" s="825"/>
      <c r="AE169" s="825"/>
      <c r="AF169" s="825"/>
      <c r="AG169" s="825"/>
      <c r="AH169" s="825"/>
      <c r="AI169" s="825"/>
      <c r="AJ169" s="825"/>
      <c r="AK169" s="825"/>
      <c r="AL169" s="825"/>
      <c r="AM169" s="825"/>
      <c r="AN169" s="825"/>
      <c r="AO169" s="825"/>
      <c r="AP169" s="825"/>
      <c r="AQ169" s="825"/>
      <c r="AR169" s="825"/>
      <c r="AS169" s="825"/>
      <c r="AT169" s="825"/>
      <c r="AU169" s="825"/>
      <c r="AV169" s="825"/>
      <c r="AW169" s="825"/>
      <c r="AX169" s="825"/>
      <c r="AY169" s="273"/>
      <c r="AZ169" s="273"/>
      <c r="BA169" s="825"/>
      <c r="BB169" s="825"/>
      <c r="BC169" s="825"/>
      <c r="BD169" s="825"/>
      <c r="BE169" s="825"/>
      <c r="BF169" s="825"/>
      <c r="BG169" s="825"/>
      <c r="BH169" s="825"/>
      <c r="BI169" s="825"/>
      <c r="BJ169" s="825"/>
      <c r="BK169" s="825"/>
      <c r="BL169" s="825"/>
      <c r="BM169" s="825"/>
      <c r="BN169" s="825"/>
      <c r="BO169" s="825"/>
      <c r="BP169" s="825"/>
      <c r="BQ169" s="825"/>
      <c r="BR169" s="825"/>
      <c r="BS169" s="825"/>
      <c r="BT169" s="825"/>
      <c r="BU169" s="825"/>
      <c r="BV169" s="825"/>
      <c r="BW169" s="825"/>
      <c r="BX169" s="825"/>
      <c r="BY169" s="825"/>
      <c r="BZ169" s="825"/>
      <c r="CA169" s="825"/>
      <c r="CB169" s="825"/>
      <c r="CC169" s="825"/>
    </row>
    <row r="170" spans="1:81" s="531" customFormat="1" ht="41.3" customHeight="1" x14ac:dyDescent="0.25">
      <c r="A170" s="825"/>
      <c r="B170" s="672"/>
      <c r="C170" s="1572"/>
      <c r="D170" s="1565"/>
      <c r="E170" s="1565"/>
      <c r="F170" s="1539"/>
      <c r="G170" s="1539"/>
      <c r="H170" s="1539"/>
      <c r="I170" s="1539"/>
      <c r="J170" s="1539"/>
      <c r="K170" s="1031">
        <v>17</v>
      </c>
      <c r="L170" s="1031">
        <f>K170*H168</f>
        <v>150608.09999999998</v>
      </c>
      <c r="M170" s="749" t="s">
        <v>867</v>
      </c>
      <c r="N170" s="652" t="str">
        <f>N17</f>
        <v>Especies exóticas o invasoras en bosques colindantes</v>
      </c>
      <c r="O170" s="836" t="str">
        <f t="shared" si="4"/>
        <v>Biodiversidad y recursos naturales</v>
      </c>
      <c r="P170" s="536" t="e">
        <f>#REF!</f>
        <v>#REF!</v>
      </c>
      <c r="Q170" s="534" t="str">
        <f>AA13</f>
        <v xml:space="preserve">Inclusión de cláusulas de monitoreo y control de especies exóticas e invasoras en proyectos de promoción agrarios  </v>
      </c>
      <c r="R170" s="538" t="s">
        <v>614</v>
      </c>
      <c r="S170" s="540" t="s">
        <v>492</v>
      </c>
      <c r="T170" s="519" t="str">
        <f>Z13</f>
        <v>SBRN5</v>
      </c>
      <c r="U170" s="628"/>
      <c r="V170" s="478"/>
      <c r="W170" s="478"/>
      <c r="X170" s="273"/>
      <c r="Y170" s="825"/>
      <c r="Z170" s="825"/>
      <c r="AA170" s="825"/>
      <c r="AB170" s="825"/>
      <c r="AC170" s="825"/>
      <c r="AD170" s="825"/>
      <c r="AE170" s="825"/>
      <c r="AF170" s="825"/>
      <c r="AG170" s="825"/>
      <c r="AH170" s="825"/>
      <c r="AI170" s="825"/>
      <c r="AJ170" s="825"/>
      <c r="AK170" s="825"/>
      <c r="AL170" s="825"/>
      <c r="AM170" s="825"/>
      <c r="AN170" s="825"/>
      <c r="AO170" s="825"/>
      <c r="AP170" s="825"/>
      <c r="AQ170" s="825"/>
      <c r="AR170" s="825"/>
      <c r="AS170" s="825"/>
      <c r="AT170" s="825"/>
      <c r="AU170" s="825"/>
      <c r="AV170" s="825"/>
      <c r="AW170" s="825"/>
      <c r="AX170" s="825"/>
      <c r="AY170" s="273"/>
      <c r="AZ170" s="273"/>
      <c r="BA170" s="825"/>
      <c r="BB170" s="825"/>
      <c r="BC170" s="825"/>
      <c r="BD170" s="825"/>
      <c r="BE170" s="825"/>
      <c r="BF170" s="825"/>
      <c r="BG170" s="825"/>
      <c r="BH170" s="825"/>
      <c r="BI170" s="825"/>
      <c r="BJ170" s="825"/>
      <c r="BK170" s="825"/>
      <c r="BL170" s="825"/>
      <c r="BM170" s="825"/>
      <c r="BN170" s="825"/>
      <c r="BO170" s="825"/>
      <c r="BP170" s="825"/>
      <c r="BQ170" s="825"/>
      <c r="BR170" s="825"/>
      <c r="BS170" s="825"/>
      <c r="BT170" s="825"/>
      <c r="BU170" s="825"/>
      <c r="BV170" s="825"/>
      <c r="BW170" s="825"/>
      <c r="BX170" s="825"/>
      <c r="BY170" s="825"/>
      <c r="BZ170" s="825"/>
      <c r="CA170" s="825"/>
      <c r="CB170" s="825"/>
      <c r="CC170" s="825"/>
    </row>
    <row r="171" spans="1:81" s="531" customFormat="1" ht="19.55" customHeight="1" x14ac:dyDescent="0.25">
      <c r="A171" s="825"/>
      <c r="B171" s="672"/>
      <c r="C171" s="1572"/>
      <c r="D171" s="1565"/>
      <c r="E171" s="1565"/>
      <c r="F171" s="1539"/>
      <c r="G171" s="1539"/>
      <c r="H171" s="1539"/>
      <c r="I171" s="1539"/>
      <c r="J171" s="1539"/>
      <c r="K171" s="1031"/>
      <c r="L171" s="1032"/>
      <c r="M171" s="744" t="s">
        <v>489</v>
      </c>
      <c r="N171" s="750" t="str">
        <f>N28</f>
        <v>Contaminación por residuos agropecuarios</v>
      </c>
      <c r="O171" s="836" t="str">
        <f t="shared" si="4"/>
        <v>Contaminación</v>
      </c>
      <c r="P171" s="536" t="e">
        <f>#REF!</f>
        <v>#REF!</v>
      </c>
      <c r="Q171" s="534" t="str">
        <f>AM10</f>
        <v>Control de residuos agropecuarios</v>
      </c>
      <c r="R171" s="538" t="s">
        <v>535</v>
      </c>
      <c r="S171" s="540" t="s">
        <v>492</v>
      </c>
      <c r="T171" s="519" t="str">
        <f>AL10</f>
        <v>SCT2</v>
      </c>
      <c r="U171" s="628"/>
      <c r="V171" s="478"/>
      <c r="W171" s="478"/>
      <c r="X171" s="273"/>
      <c r="Y171" s="825"/>
      <c r="Z171" s="825"/>
      <c r="AA171" s="825"/>
      <c r="AB171" s="825"/>
      <c r="AC171" s="825"/>
      <c r="AD171" s="825"/>
      <c r="AE171" s="825"/>
      <c r="AF171" s="825"/>
      <c r="AG171" s="825"/>
      <c r="AH171" s="825"/>
      <c r="AI171" s="825"/>
      <c r="AJ171" s="825"/>
      <c r="AK171" s="825"/>
      <c r="AL171" s="825"/>
      <c r="AM171" s="825"/>
      <c r="AN171" s="825"/>
      <c r="AO171" s="825"/>
      <c r="AP171" s="825"/>
      <c r="AQ171" s="825"/>
      <c r="AR171" s="825"/>
      <c r="AS171" s="825"/>
      <c r="AT171" s="825"/>
      <c r="AU171" s="825"/>
      <c r="AV171" s="825"/>
      <c r="AW171" s="825"/>
      <c r="AX171" s="825"/>
      <c r="AY171" s="273"/>
      <c r="AZ171" s="273"/>
      <c r="BA171" s="825"/>
      <c r="BB171" s="825"/>
      <c r="BC171" s="825"/>
      <c r="BD171" s="825"/>
      <c r="BE171" s="825"/>
      <c r="BF171" s="825"/>
      <c r="BG171" s="825"/>
      <c r="BH171" s="825"/>
      <c r="BI171" s="825"/>
      <c r="BJ171" s="825"/>
      <c r="BK171" s="825"/>
      <c r="BL171" s="825"/>
      <c r="BM171" s="825"/>
      <c r="BN171" s="825"/>
      <c r="BO171" s="825"/>
      <c r="BP171" s="825"/>
      <c r="BQ171" s="825"/>
      <c r="BR171" s="825"/>
      <c r="BS171" s="825"/>
      <c r="BT171" s="825"/>
      <c r="BU171" s="825"/>
      <c r="BV171" s="825"/>
      <c r="BW171" s="825"/>
      <c r="BX171" s="825"/>
      <c r="BY171" s="825"/>
      <c r="BZ171" s="825"/>
      <c r="CA171" s="825"/>
      <c r="CB171" s="825"/>
      <c r="CC171" s="825"/>
    </row>
    <row r="172" spans="1:81" s="531" customFormat="1" ht="44.35" customHeight="1" x14ac:dyDescent="0.25">
      <c r="A172" s="825"/>
      <c r="B172" s="672"/>
      <c r="C172" s="1572"/>
      <c r="D172" s="1565"/>
      <c r="E172" s="1565"/>
      <c r="F172" s="1539"/>
      <c r="G172" s="1539"/>
      <c r="H172" s="1539"/>
      <c r="I172" s="1539"/>
      <c r="J172" s="1539"/>
      <c r="K172" s="1028"/>
      <c r="L172" s="1027"/>
      <c r="M172" s="650" t="s">
        <v>489</v>
      </c>
      <c r="N172" s="733" t="str">
        <f>N29</f>
        <v xml:space="preserve">Otorgamiento inapropiado de incentivos </v>
      </c>
      <c r="O172" s="837" t="str">
        <f t="shared" si="4"/>
        <v>Corrupción</v>
      </c>
      <c r="P172" s="536" t="e">
        <f>#REF!</f>
        <v>#REF!</v>
      </c>
      <c r="Q172" s="534" t="str">
        <f>AG10</f>
        <v>Transparencia en incentivos financieros y obras públicas vinculadas a la ERDRBE</v>
      </c>
      <c r="R172" s="538" t="s">
        <v>687</v>
      </c>
      <c r="S172" s="540" t="s">
        <v>507</v>
      </c>
      <c r="T172" s="519" t="str">
        <f>AF10</f>
        <v>SCR2</v>
      </c>
      <c r="U172" s="628"/>
      <c r="V172" s="478"/>
      <c r="W172" s="478"/>
      <c r="X172" s="273"/>
      <c r="Y172" s="825"/>
      <c r="Z172" s="825"/>
      <c r="AA172" s="825"/>
      <c r="AB172" s="825"/>
      <c r="AC172" s="825"/>
      <c r="AD172" s="825"/>
      <c r="AE172" s="825"/>
      <c r="AF172" s="825"/>
      <c r="AG172" s="825"/>
      <c r="AH172" s="825"/>
      <c r="AI172" s="825"/>
      <c r="AJ172" s="825"/>
      <c r="AK172" s="825"/>
      <c r="AL172" s="825"/>
      <c r="AM172" s="825"/>
      <c r="AN172" s="825"/>
      <c r="AO172" s="825"/>
      <c r="AP172" s="825"/>
      <c r="AQ172" s="825"/>
      <c r="AR172" s="825"/>
      <c r="AS172" s="825"/>
      <c r="AT172" s="825"/>
      <c r="AU172" s="825"/>
      <c r="AV172" s="825"/>
      <c r="AW172" s="825"/>
      <c r="AX172" s="825"/>
      <c r="AY172" s="273"/>
      <c r="AZ172" s="273"/>
      <c r="BA172" s="825"/>
      <c r="BB172" s="825"/>
      <c r="BC172" s="825"/>
      <c r="BD172" s="825"/>
      <c r="BE172" s="825"/>
      <c r="BF172" s="825"/>
      <c r="BG172" s="825"/>
      <c r="BH172" s="825"/>
      <c r="BI172" s="825"/>
      <c r="BJ172" s="825"/>
      <c r="BK172" s="825"/>
      <c r="BL172" s="825"/>
      <c r="BM172" s="825"/>
      <c r="BN172" s="825"/>
      <c r="BO172" s="825"/>
      <c r="BP172" s="825"/>
      <c r="BQ172" s="825"/>
      <c r="BR172" s="825"/>
      <c r="BS172" s="825"/>
      <c r="BT172" s="825"/>
      <c r="BU172" s="825"/>
      <c r="BV172" s="825"/>
      <c r="BW172" s="825"/>
      <c r="BX172" s="825"/>
      <c r="BY172" s="825"/>
      <c r="BZ172" s="825"/>
      <c r="CA172" s="825"/>
      <c r="CB172" s="825"/>
      <c r="CC172" s="825"/>
    </row>
    <row r="173" spans="1:81" s="531" customFormat="1" ht="23.3" customHeight="1" x14ac:dyDescent="0.25">
      <c r="A173" s="825"/>
      <c r="B173" s="672"/>
      <c r="C173" s="1572"/>
      <c r="D173" s="1565"/>
      <c r="E173" s="1565"/>
      <c r="F173" s="1539"/>
      <c r="G173" s="1539"/>
      <c r="H173" s="1539"/>
      <c r="I173" s="1539"/>
      <c r="J173" s="1539"/>
      <c r="K173" s="1028"/>
      <c r="L173" s="1027"/>
      <c r="M173" s="645" t="s">
        <v>489</v>
      </c>
      <c r="N173" s="730" t="str">
        <f>N30</f>
        <v>Exclusión de productoras agrarias en sistemas de incentivos financieros</v>
      </c>
      <c r="O173" s="837" t="str">
        <f t="shared" ref="O173:O236" si="5">VLOOKUP(T173,$AY$9:$BA$81,3,FALSE)</f>
        <v>Género</v>
      </c>
      <c r="P173" s="536" t="str">
        <f>AC6</f>
        <v>GN</v>
      </c>
      <c r="Q173" s="534" t="str">
        <f>AJ11</f>
        <v xml:space="preserve">Cuotas de género y medición de participación efectiva de mujeres rurales </v>
      </c>
      <c r="R173" s="538" t="s">
        <v>689</v>
      </c>
      <c r="S173" s="540" t="s">
        <v>507</v>
      </c>
      <c r="T173" s="519" t="str">
        <f>AI11</f>
        <v>SGN3</v>
      </c>
      <c r="U173" s="628"/>
      <c r="V173" s="478"/>
      <c r="W173" s="478"/>
      <c r="X173" s="273"/>
      <c r="Y173" s="825"/>
      <c r="Z173" s="825"/>
      <c r="AA173" s="825"/>
      <c r="AB173" s="825"/>
      <c r="AC173" s="825"/>
      <c r="AD173" s="825"/>
      <c r="AE173" s="825"/>
      <c r="AF173" s="825"/>
      <c r="AG173" s="825"/>
      <c r="AH173" s="825"/>
      <c r="AI173" s="825"/>
      <c r="AJ173" s="825"/>
      <c r="AK173" s="825"/>
      <c r="AL173" s="825"/>
      <c r="AM173" s="825"/>
      <c r="AN173" s="825"/>
      <c r="AO173" s="825"/>
      <c r="AP173" s="825"/>
      <c r="AQ173" s="825"/>
      <c r="AR173" s="825"/>
      <c r="AS173" s="825"/>
      <c r="AT173" s="825"/>
      <c r="AU173" s="825"/>
      <c r="AV173" s="825"/>
      <c r="AW173" s="825"/>
      <c r="AX173" s="825"/>
      <c r="AY173" s="273"/>
      <c r="AZ173" s="273"/>
      <c r="BA173" s="825"/>
      <c r="BB173" s="825"/>
      <c r="BC173" s="825"/>
      <c r="BD173" s="825"/>
      <c r="BE173" s="825"/>
      <c r="BF173" s="825"/>
      <c r="BG173" s="825"/>
      <c r="BH173" s="825"/>
      <c r="BI173" s="825"/>
      <c r="BJ173" s="825"/>
      <c r="BK173" s="825"/>
      <c r="BL173" s="825"/>
      <c r="BM173" s="825"/>
      <c r="BN173" s="825"/>
      <c r="BO173" s="825"/>
      <c r="BP173" s="825"/>
      <c r="BQ173" s="825"/>
      <c r="BR173" s="825"/>
      <c r="BS173" s="825"/>
      <c r="BT173" s="825"/>
      <c r="BU173" s="825"/>
      <c r="BV173" s="825"/>
      <c r="BW173" s="825"/>
      <c r="BX173" s="825"/>
      <c r="BY173" s="825"/>
      <c r="BZ173" s="825"/>
      <c r="CA173" s="825"/>
      <c r="CB173" s="825"/>
      <c r="CC173" s="825"/>
    </row>
    <row r="174" spans="1:81" s="531" customFormat="1" ht="34.5" customHeight="1" x14ac:dyDescent="0.25">
      <c r="A174" s="825"/>
      <c r="B174" s="672"/>
      <c r="C174" s="1572"/>
      <c r="D174" s="1565"/>
      <c r="E174" s="1565"/>
      <c r="F174" s="1539"/>
      <c r="G174" s="1539"/>
      <c r="H174" s="1539"/>
      <c r="I174" s="1539"/>
      <c r="J174" s="1539"/>
      <c r="K174" s="1028"/>
      <c r="L174" s="1027"/>
      <c r="M174" s="645" t="s">
        <v>489</v>
      </c>
      <c r="N174" s="730" t="str">
        <f>N30</f>
        <v>Exclusión de productoras agrarias en sistemas de incentivos financieros</v>
      </c>
      <c r="O174" s="837" t="str">
        <f t="shared" si="5"/>
        <v>Género</v>
      </c>
      <c r="P174" s="536" t="str">
        <f>AC6</f>
        <v>GN</v>
      </c>
      <c r="Q174" s="534" t="str">
        <f>AJ12</f>
        <v>Criterios de evaluación de programas y proyectos con enfoque de género</v>
      </c>
      <c r="R174" s="538" t="s">
        <v>690</v>
      </c>
      <c r="S174" s="540" t="s">
        <v>507</v>
      </c>
      <c r="T174" s="519" t="str">
        <f>AI12</f>
        <v>SGN4</v>
      </c>
      <c r="U174" s="628"/>
      <c r="V174" s="478"/>
      <c r="W174" s="478"/>
      <c r="X174" s="273"/>
      <c r="Y174" s="825"/>
      <c r="Z174" s="825"/>
      <c r="AA174" s="825"/>
      <c r="AB174" s="825"/>
      <c r="AC174" s="825"/>
      <c r="AD174" s="825"/>
      <c r="AE174" s="825"/>
      <c r="AF174" s="825"/>
      <c r="AG174" s="825"/>
      <c r="AH174" s="825"/>
      <c r="AI174" s="825"/>
      <c r="AJ174" s="825"/>
      <c r="AK174" s="825"/>
      <c r="AL174" s="825"/>
      <c r="AM174" s="825"/>
      <c r="AN174" s="825"/>
      <c r="AO174" s="825"/>
      <c r="AP174" s="825"/>
      <c r="AQ174" s="825"/>
      <c r="AR174" s="825"/>
      <c r="AS174" s="825"/>
      <c r="AT174" s="825"/>
      <c r="AU174" s="825"/>
      <c r="AV174" s="825"/>
      <c r="AW174" s="825"/>
      <c r="AX174" s="825"/>
      <c r="AY174" s="273"/>
      <c r="AZ174" s="273"/>
      <c r="BA174" s="825"/>
      <c r="BB174" s="825"/>
      <c r="BC174" s="825"/>
      <c r="BD174" s="825"/>
      <c r="BE174" s="825"/>
      <c r="BF174" s="825"/>
      <c r="BG174" s="825"/>
      <c r="BH174" s="825"/>
      <c r="BI174" s="825"/>
      <c r="BJ174" s="825"/>
      <c r="BK174" s="825"/>
      <c r="BL174" s="825"/>
      <c r="BM174" s="825"/>
      <c r="BN174" s="825"/>
      <c r="BO174" s="825"/>
      <c r="BP174" s="825"/>
      <c r="BQ174" s="825"/>
      <c r="BR174" s="825"/>
      <c r="BS174" s="825"/>
      <c r="BT174" s="825"/>
      <c r="BU174" s="825"/>
      <c r="BV174" s="825"/>
      <c r="BW174" s="825"/>
      <c r="BX174" s="825"/>
      <c r="BY174" s="825"/>
      <c r="BZ174" s="825"/>
      <c r="CA174" s="825"/>
      <c r="CB174" s="825"/>
      <c r="CC174" s="825"/>
    </row>
    <row r="175" spans="1:81" s="531" customFormat="1" ht="34.5" customHeight="1" x14ac:dyDescent="0.25">
      <c r="A175" s="825"/>
      <c r="B175" s="672"/>
      <c r="C175" s="1572"/>
      <c r="D175" s="1565"/>
      <c r="E175" s="1565"/>
      <c r="F175" s="1539"/>
      <c r="G175" s="1539"/>
      <c r="H175" s="1539"/>
      <c r="I175" s="1539"/>
      <c r="J175" s="1539"/>
      <c r="K175" s="1028"/>
      <c r="L175" s="1027"/>
      <c r="M175" s="645" t="s">
        <v>489</v>
      </c>
      <c r="N175" s="730" t="str">
        <f>N30</f>
        <v>Exclusión de productoras agrarias en sistemas de incentivos financieros</v>
      </c>
      <c r="O175" s="837" t="str">
        <f t="shared" si="5"/>
        <v>Género</v>
      </c>
      <c r="P175" s="536" t="str">
        <f>AC6</f>
        <v>GN</v>
      </c>
      <c r="Q175" s="534" t="str">
        <f>AJ13</f>
        <v>Programas de incentivos financieros y no financieros para el desarrollo rural para mujeres rurales</v>
      </c>
      <c r="R175" s="538" t="s">
        <v>693</v>
      </c>
      <c r="S175" s="540" t="s">
        <v>492</v>
      </c>
      <c r="T175" s="519" t="str">
        <f>AI13</f>
        <v>SGN5</v>
      </c>
      <c r="U175" s="628"/>
      <c r="V175" s="478"/>
      <c r="W175" s="478"/>
      <c r="X175" s="273"/>
      <c r="Y175" s="825"/>
      <c r="Z175" s="825"/>
      <c r="AA175" s="825"/>
      <c r="AB175" s="825"/>
      <c r="AC175" s="825"/>
      <c r="AD175" s="825"/>
      <c r="AE175" s="825"/>
      <c r="AF175" s="825"/>
      <c r="AG175" s="825"/>
      <c r="AH175" s="825"/>
      <c r="AI175" s="825"/>
      <c r="AJ175" s="825"/>
      <c r="AK175" s="825"/>
      <c r="AL175" s="825"/>
      <c r="AM175" s="825"/>
      <c r="AN175" s="825"/>
      <c r="AO175" s="825"/>
      <c r="AP175" s="825"/>
      <c r="AQ175" s="825"/>
      <c r="AR175" s="825"/>
      <c r="AS175" s="825"/>
      <c r="AT175" s="825"/>
      <c r="AU175" s="825"/>
      <c r="AV175" s="825"/>
      <c r="AW175" s="825"/>
      <c r="AX175" s="825"/>
      <c r="AY175" s="273"/>
      <c r="AZ175" s="273"/>
      <c r="BA175" s="825"/>
      <c r="BB175" s="825"/>
      <c r="BC175" s="825"/>
      <c r="BD175" s="825"/>
      <c r="BE175" s="825"/>
      <c r="BF175" s="825"/>
      <c r="BG175" s="825"/>
      <c r="BH175" s="825"/>
      <c r="BI175" s="825"/>
      <c r="BJ175" s="825"/>
      <c r="BK175" s="825"/>
      <c r="BL175" s="825"/>
      <c r="BM175" s="825"/>
      <c r="BN175" s="825"/>
      <c r="BO175" s="825"/>
      <c r="BP175" s="825"/>
      <c r="BQ175" s="825"/>
      <c r="BR175" s="825"/>
      <c r="BS175" s="825"/>
      <c r="BT175" s="825"/>
      <c r="BU175" s="825"/>
      <c r="BV175" s="825"/>
      <c r="BW175" s="825"/>
      <c r="BX175" s="825"/>
      <c r="BY175" s="825"/>
      <c r="BZ175" s="825"/>
      <c r="CA175" s="825"/>
      <c r="CB175" s="825"/>
      <c r="CC175" s="825"/>
    </row>
    <row r="176" spans="1:81" s="531" customFormat="1" ht="43.5" customHeight="1" x14ac:dyDescent="0.25">
      <c r="A176" s="825"/>
      <c r="B176" s="672"/>
      <c r="C176" s="1573"/>
      <c r="D176" s="1566"/>
      <c r="E176" s="1566"/>
      <c r="F176" s="1560"/>
      <c r="G176" s="1560"/>
      <c r="H176" s="1560"/>
      <c r="I176" s="1560"/>
      <c r="J176" s="1560"/>
      <c r="K176" s="1021"/>
      <c r="L176" s="1029"/>
      <c r="M176" s="645" t="s">
        <v>489</v>
      </c>
      <c r="N176" s="730" t="str">
        <f>N33</f>
        <v>Actividad agropecuaria no se desarrolla de manera óptima debido a cambios en las condiciones agroecologicas por el cambio climático</v>
      </c>
      <c r="O176" s="837" t="str">
        <f t="shared" si="5"/>
        <v>Vulnerabilidad al cambio climático</v>
      </c>
      <c r="P176" s="536" t="e">
        <f>#REF!</f>
        <v>#REF!</v>
      </c>
      <c r="Q176" s="534" t="str">
        <f>AS11</f>
        <v>Análisis de rentabilidad de la actividad agropecuaria en los programas de reconversión productiva</v>
      </c>
      <c r="R176" s="538" t="s">
        <v>695</v>
      </c>
      <c r="S176" s="540" t="s">
        <v>507</v>
      </c>
      <c r="T176" s="519" t="str">
        <f>AR11</f>
        <v>SVCC3</v>
      </c>
      <c r="U176" s="628"/>
      <c r="V176" s="478"/>
      <c r="W176" s="478"/>
      <c r="X176" s="273"/>
      <c r="Y176" s="825"/>
      <c r="Z176" s="825"/>
      <c r="AA176" s="825"/>
      <c r="AB176" s="825"/>
      <c r="AC176" s="825"/>
      <c r="AD176" s="825"/>
      <c r="AE176" s="825"/>
      <c r="AF176" s="825"/>
      <c r="AG176" s="825"/>
      <c r="AH176" s="825"/>
      <c r="AI176" s="825"/>
      <c r="AJ176" s="825"/>
      <c r="AK176" s="825"/>
      <c r="AL176" s="825"/>
      <c r="AM176" s="825"/>
      <c r="AN176" s="825"/>
      <c r="AO176" s="825"/>
      <c r="AP176" s="825"/>
      <c r="AQ176" s="825"/>
      <c r="AR176" s="825"/>
      <c r="AS176" s="825"/>
      <c r="AT176" s="825"/>
      <c r="AU176" s="825"/>
      <c r="AV176" s="825"/>
      <c r="AW176" s="825"/>
      <c r="AX176" s="825"/>
      <c r="AY176" s="273"/>
      <c r="AZ176" s="273"/>
      <c r="BA176" s="825"/>
      <c r="BB176" s="825"/>
      <c r="BC176" s="825"/>
      <c r="BD176" s="825"/>
      <c r="BE176" s="825"/>
      <c r="BF176" s="825"/>
      <c r="BG176" s="825"/>
      <c r="BH176" s="825"/>
      <c r="BI176" s="825"/>
      <c r="BJ176" s="825"/>
      <c r="BK176" s="825"/>
      <c r="BL176" s="825"/>
      <c r="BM176" s="825"/>
      <c r="BN176" s="825"/>
      <c r="BO176" s="825"/>
      <c r="BP176" s="825"/>
      <c r="BQ176" s="825"/>
      <c r="BR176" s="825"/>
      <c r="BS176" s="825"/>
      <c r="BT176" s="825"/>
      <c r="BU176" s="825"/>
      <c r="BV176" s="825"/>
      <c r="BW176" s="825"/>
      <c r="BX176" s="825"/>
      <c r="BY176" s="825"/>
      <c r="BZ176" s="825"/>
      <c r="CA176" s="825"/>
      <c r="CB176" s="825"/>
      <c r="CC176" s="825"/>
    </row>
    <row r="177" spans="1:81" ht="46.55" customHeight="1" x14ac:dyDescent="0.25">
      <c r="A177" s="825"/>
      <c r="B177" s="672" t="s">
        <v>866</v>
      </c>
      <c r="C177" s="1571" t="str">
        <f>'8. BASE  CONSOLIDADA'!E87</f>
        <v>2.1.11</v>
      </c>
      <c r="D177" s="1564" t="str">
        <f>'8. BASE  CONSOLIDADA'!F87</f>
        <v xml:space="preserve">Implementación de infraestructura productiva con énfasis a la agro exportación </v>
      </c>
      <c r="E177" s="1564" t="str">
        <f>'8. BASE  CONSOLIDADA'!G87</f>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F177" s="1538" t="str">
        <f>'8. BASE  CONSOLIDADA'!C87</f>
        <v>Predios de agricultura familiar con producción destinada al autoconsumo y productos de exportación, con título o sin título de propiedad.</v>
      </c>
      <c r="G177" s="1538" t="str">
        <f>VLOOKUP($C177,'8. BASE  CONSOLIDADA'!$E$7:$AS$308,13,FALSE)</f>
        <v>Planes de negocios/proyectos ejecutados</v>
      </c>
      <c r="H177" s="1538">
        <f>VLOOKUP($C177,'8. BASE  CONSOLIDADA'!$E$7:$AS$308,15,FALSE)</f>
        <v>18.8</v>
      </c>
      <c r="I177" s="1538">
        <f>VLOOKUP(C177,'8. BASE  CONSOLIDADA'!$E$7:$AS$308,20,FALSE)</f>
        <v>15040000</v>
      </c>
      <c r="J177" s="1538">
        <f>I177*$J$6</f>
        <v>10227.200000000001</v>
      </c>
      <c r="K177" s="1538"/>
      <c r="L177" s="1538"/>
      <c r="M177" s="645" t="s">
        <v>489</v>
      </c>
      <c r="N177" s="730" t="str">
        <f>N34</f>
        <v>Incremento de la deforestación por demanda de insumos e instalación de infraestructura y vias de comunicación</v>
      </c>
      <c r="O177" s="837" t="str">
        <f t="shared" si="5"/>
        <v>Biodiversidad y recursos naturales</v>
      </c>
      <c r="P177" s="536" t="e">
        <f>#REF!</f>
        <v>#REF!</v>
      </c>
      <c r="Q177" s="534" t="str">
        <f>AA14</f>
        <v>Desarrollo de incentivos financieros y no financieros condicionados con cláusulas de no deforestación</v>
      </c>
      <c r="R177" s="538" t="s">
        <v>673</v>
      </c>
      <c r="S177" s="540" t="s">
        <v>526</v>
      </c>
      <c r="T177" s="519" t="str">
        <f>Z14</f>
        <v>SBRN6</v>
      </c>
      <c r="U177" s="628"/>
      <c r="V177" s="478"/>
      <c r="W177" s="478"/>
      <c r="X177" s="273"/>
      <c r="Y177" s="825"/>
      <c r="Z177" s="825"/>
      <c r="AA177" s="825"/>
      <c r="AB177" s="825"/>
      <c r="AC177" s="825"/>
      <c r="AD177" s="825"/>
      <c r="AE177" s="825"/>
      <c r="AF177" s="825"/>
      <c r="AG177" s="825"/>
      <c r="AH177" s="825"/>
      <c r="AI177" s="825"/>
      <c r="AJ177" s="825"/>
      <c r="AK177" s="825"/>
      <c r="AL177" s="825"/>
      <c r="AM177" s="825"/>
      <c r="AN177" s="825"/>
      <c r="AO177" s="825"/>
      <c r="AP177" s="825"/>
      <c r="AQ177" s="825"/>
      <c r="AR177" s="825"/>
      <c r="AS177" s="825"/>
      <c r="AT177" s="825"/>
      <c r="AU177" s="825"/>
      <c r="AV177" s="825"/>
      <c r="AW177" s="825"/>
      <c r="AX177" s="825"/>
      <c r="BA177" s="825"/>
      <c r="BB177" s="825"/>
      <c r="BC177" s="825"/>
      <c r="BD177" s="825"/>
      <c r="BE177" s="825"/>
      <c r="BF177" s="825"/>
      <c r="BG177" s="825"/>
      <c r="BH177" s="825"/>
      <c r="BI177" s="825"/>
      <c r="BJ177" s="825"/>
      <c r="BK177" s="825"/>
      <c r="BL177" s="825"/>
      <c r="BM177" s="825"/>
      <c r="BN177" s="825"/>
      <c r="BO177" s="825"/>
      <c r="BP177" s="825"/>
      <c r="BQ177" s="825"/>
      <c r="BR177" s="825"/>
      <c r="BS177" s="825"/>
      <c r="BT177" s="825"/>
      <c r="BU177" s="825"/>
      <c r="BV177" s="825"/>
      <c r="BW177" s="825"/>
      <c r="BX177" s="825"/>
      <c r="BY177" s="825"/>
      <c r="BZ177" s="825"/>
      <c r="CA177" s="825"/>
      <c r="CB177" s="825"/>
      <c r="CC177" s="825"/>
    </row>
    <row r="178" spans="1:81" s="531" customFormat="1" ht="40.6" customHeight="1" x14ac:dyDescent="0.25">
      <c r="A178" s="825"/>
      <c r="B178" s="672"/>
      <c r="C178" s="1572"/>
      <c r="D178" s="1565"/>
      <c r="E178" s="1565"/>
      <c r="F178" s="1539"/>
      <c r="G178" s="1539"/>
      <c r="H178" s="1539"/>
      <c r="I178" s="1539"/>
      <c r="J178" s="1539"/>
      <c r="K178" s="1539"/>
      <c r="L178" s="1539"/>
      <c r="M178" s="645" t="s">
        <v>489</v>
      </c>
      <c r="N178" s="730" t="str">
        <f>N28</f>
        <v>Contaminación por residuos agropecuarios</v>
      </c>
      <c r="O178" s="837" t="str">
        <f t="shared" si="5"/>
        <v>Contaminación</v>
      </c>
      <c r="P178" s="536" t="e">
        <f>#REF!</f>
        <v>#REF!</v>
      </c>
      <c r="Q178" s="534" t="str">
        <f>AM10</f>
        <v>Control de residuos agropecuarios</v>
      </c>
      <c r="R178" s="538" t="s">
        <v>535</v>
      </c>
      <c r="S178" s="540" t="s">
        <v>492</v>
      </c>
      <c r="T178" s="519" t="str">
        <f>AL10</f>
        <v>SCT2</v>
      </c>
      <c r="U178" s="628"/>
      <c r="V178" s="478"/>
      <c r="W178" s="478"/>
      <c r="X178" s="273"/>
      <c r="Y178" s="825"/>
      <c r="Z178" s="825"/>
      <c r="AA178" s="825"/>
      <c r="AB178" s="825"/>
      <c r="AC178" s="825"/>
      <c r="AD178" s="825"/>
      <c r="AE178" s="825"/>
      <c r="AF178" s="825"/>
      <c r="AG178" s="825"/>
      <c r="AH178" s="825"/>
      <c r="AI178" s="825"/>
      <c r="AJ178" s="825"/>
      <c r="AK178" s="825"/>
      <c r="AL178" s="825"/>
      <c r="AM178" s="825"/>
      <c r="AN178" s="825"/>
      <c r="AO178" s="825"/>
      <c r="AP178" s="825"/>
      <c r="AQ178" s="825"/>
      <c r="AR178" s="825"/>
      <c r="AS178" s="825"/>
      <c r="AT178" s="825"/>
      <c r="AU178" s="825"/>
      <c r="AV178" s="825"/>
      <c r="AW178" s="825"/>
      <c r="AX178" s="825"/>
      <c r="AY178" s="273"/>
      <c r="AZ178" s="273"/>
      <c r="BA178" s="825"/>
      <c r="BB178" s="825"/>
      <c r="BC178" s="825"/>
      <c r="BD178" s="825"/>
      <c r="BE178" s="825"/>
      <c r="BF178" s="825"/>
      <c r="BG178" s="825"/>
      <c r="BH178" s="825"/>
      <c r="BI178" s="825"/>
      <c r="BJ178" s="825"/>
      <c r="BK178" s="825"/>
      <c r="BL178" s="825"/>
      <c r="BM178" s="825"/>
      <c r="BN178" s="825"/>
      <c r="BO178" s="825"/>
      <c r="BP178" s="825"/>
      <c r="BQ178" s="825"/>
      <c r="BR178" s="825"/>
      <c r="BS178" s="825"/>
      <c r="BT178" s="825"/>
      <c r="BU178" s="825"/>
      <c r="BV178" s="825"/>
      <c r="BW178" s="825"/>
      <c r="BX178" s="825"/>
      <c r="BY178" s="825"/>
      <c r="BZ178" s="825"/>
      <c r="CA178" s="825"/>
      <c r="CB178" s="825"/>
      <c r="CC178" s="825"/>
    </row>
    <row r="179" spans="1:81" s="531" customFormat="1" ht="66.75" customHeight="1" x14ac:dyDescent="0.25">
      <c r="A179" s="825"/>
      <c r="B179" s="672"/>
      <c r="C179" s="1573"/>
      <c r="D179" s="1566"/>
      <c r="E179" s="1566"/>
      <c r="F179" s="1560"/>
      <c r="G179" s="1560"/>
      <c r="H179" s="1560"/>
      <c r="I179" s="1560"/>
      <c r="J179" s="1560"/>
      <c r="K179" s="1560"/>
      <c r="L179" s="1560"/>
      <c r="M179" s="645" t="s">
        <v>489</v>
      </c>
      <c r="N179" s="730" t="str">
        <f>N36</f>
        <v>Colución, Cohecho y negociación incompatible</v>
      </c>
      <c r="O179" s="837" t="str">
        <f t="shared" si="5"/>
        <v>Corrupción</v>
      </c>
      <c r="P179" s="536" t="e">
        <f>#REF!</f>
        <v>#REF!</v>
      </c>
      <c r="Q179" s="534" t="str">
        <f>AG10</f>
        <v>Transparencia en incentivos financieros y obras públicas vinculadas a la ERDRBE</v>
      </c>
      <c r="R179" s="538" t="s">
        <v>687</v>
      </c>
      <c r="S179" s="540" t="s">
        <v>507</v>
      </c>
      <c r="T179" s="519" t="str">
        <f>AF10</f>
        <v>SCR2</v>
      </c>
      <c r="U179" s="628"/>
      <c r="V179" s="478"/>
      <c r="W179" s="478"/>
      <c r="X179" s="273"/>
      <c r="Y179" s="825"/>
      <c r="Z179" s="825"/>
      <c r="AA179" s="825"/>
      <c r="AB179" s="825"/>
      <c r="AC179" s="825"/>
      <c r="AD179" s="825"/>
      <c r="AE179" s="825"/>
      <c r="AF179" s="825"/>
      <c r="AG179" s="825"/>
      <c r="AH179" s="825"/>
      <c r="AI179" s="825"/>
      <c r="AJ179" s="825"/>
      <c r="AK179" s="825"/>
      <c r="AL179" s="825"/>
      <c r="AM179" s="825"/>
      <c r="AN179" s="825"/>
      <c r="AO179" s="825"/>
      <c r="AP179" s="825"/>
      <c r="AQ179" s="825"/>
      <c r="AR179" s="825"/>
      <c r="AS179" s="825"/>
      <c r="AT179" s="825"/>
      <c r="AU179" s="825"/>
      <c r="AV179" s="825"/>
      <c r="AW179" s="825"/>
      <c r="AX179" s="825"/>
      <c r="AY179" s="273"/>
      <c r="AZ179" s="273"/>
      <c r="BA179" s="825"/>
      <c r="BB179" s="825"/>
      <c r="BC179" s="825"/>
      <c r="BD179" s="825"/>
      <c r="BE179" s="825"/>
      <c r="BF179" s="825"/>
      <c r="BG179" s="825"/>
      <c r="BH179" s="825"/>
      <c r="BI179" s="825"/>
      <c r="BJ179" s="825"/>
      <c r="BK179" s="825"/>
      <c r="BL179" s="825"/>
      <c r="BM179" s="825"/>
      <c r="BN179" s="825"/>
      <c r="BO179" s="825"/>
      <c r="BP179" s="825"/>
      <c r="BQ179" s="825"/>
      <c r="BR179" s="825"/>
      <c r="BS179" s="825"/>
      <c r="BT179" s="825"/>
      <c r="BU179" s="825"/>
      <c r="BV179" s="825"/>
      <c r="BW179" s="825"/>
      <c r="BX179" s="825"/>
      <c r="BY179" s="825"/>
      <c r="BZ179" s="825"/>
      <c r="CA179" s="825"/>
      <c r="CB179" s="825"/>
      <c r="CC179" s="825"/>
    </row>
    <row r="180" spans="1:81" ht="50.3" customHeight="1" x14ac:dyDescent="0.25">
      <c r="A180" s="825"/>
      <c r="B180" s="672" t="s">
        <v>866</v>
      </c>
      <c r="C180" s="1571" t="str">
        <f>'8. BASE  CONSOLIDADA'!E108</f>
        <v>2.4.1</v>
      </c>
      <c r="D180" s="1564" t="str">
        <f>'8. BASE  CONSOLIDADA'!F108</f>
        <v>Solución de conflictos en las CCNN</v>
      </c>
      <c r="E180" s="1564" t="str">
        <f>'8. BASE  CONSOLIDADA'!G108</f>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
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v>
      </c>
      <c r="F180" s="1538" t="str">
        <f>'8. BASE  CONSOLIDADA'!C108</f>
        <v>Territorios de comunidades nativas</v>
      </c>
      <c r="G180" s="1538" t="str">
        <f>VLOOKUP($C180,'8. BASE  CONSOLIDADA'!$E$7:$AS$308,13,FALSE)</f>
        <v>Porcentaje de conflictos resueltos</v>
      </c>
      <c r="H180" s="1538">
        <f>VLOOKUP($C180,'8. BASE  CONSOLIDADA'!$E$7:$AS$308,15,FALSE)</f>
        <v>14</v>
      </c>
      <c r="I180" s="1538">
        <f>VLOOKUP(C180,'8. BASE  CONSOLIDADA'!$E$7:$AS$308,20,FALSE)</f>
        <v>2100000</v>
      </c>
      <c r="J180" s="1538">
        <f>I180*$J$6</f>
        <v>1428</v>
      </c>
      <c r="K180" s="1538"/>
      <c r="L180" s="1538"/>
      <c r="M180" s="645" t="s">
        <v>489</v>
      </c>
      <c r="N180" s="730" t="s">
        <v>868</v>
      </c>
      <c r="O180" s="837" t="str">
        <f t="shared" si="5"/>
        <v>Derechos de los pueblos indígenas</v>
      </c>
      <c r="P180" s="536" t="str">
        <f>Z6</f>
        <v>DPI</v>
      </c>
      <c r="Q180" s="534" t="str">
        <f>AD11</f>
        <v>Soporte para solución de conflictos entre pueblos indígenas y terceros</v>
      </c>
      <c r="R180" s="538" t="s">
        <v>711</v>
      </c>
      <c r="S180" s="540" t="s">
        <v>492</v>
      </c>
      <c r="T180" s="519" t="str">
        <f>AC11</f>
        <v>SDPI3</v>
      </c>
      <c r="U180" s="628"/>
      <c r="V180" s="478"/>
      <c r="W180" s="478"/>
      <c r="X180" s="273"/>
      <c r="Y180" s="825"/>
      <c r="Z180" s="825"/>
      <c r="AA180" s="825"/>
      <c r="AB180" s="825"/>
      <c r="AC180" s="825"/>
      <c r="AD180" s="825"/>
      <c r="AE180" s="825"/>
      <c r="AF180" s="825"/>
      <c r="AG180" s="825"/>
      <c r="AH180" s="825"/>
      <c r="AI180" s="825"/>
      <c r="AJ180" s="825"/>
      <c r="AK180" s="825"/>
      <c r="AL180" s="825"/>
      <c r="AM180" s="825"/>
      <c r="AN180" s="825"/>
      <c r="AO180" s="825"/>
      <c r="AP180" s="825"/>
      <c r="AQ180" s="825"/>
      <c r="AR180" s="825"/>
      <c r="AS180" s="825"/>
      <c r="AT180" s="825"/>
      <c r="AU180" s="825"/>
      <c r="AV180" s="825"/>
      <c r="AW180" s="825"/>
      <c r="AX180" s="825"/>
      <c r="BA180" s="825"/>
      <c r="BB180" s="825"/>
      <c r="BC180" s="825"/>
      <c r="BD180" s="825"/>
      <c r="BE180" s="825"/>
      <c r="BF180" s="825"/>
      <c r="BG180" s="825"/>
      <c r="BH180" s="825"/>
      <c r="BI180" s="825"/>
      <c r="BJ180" s="825"/>
      <c r="BK180" s="825"/>
      <c r="BL180" s="825"/>
      <c r="BM180" s="825"/>
      <c r="BN180" s="825"/>
      <c r="BO180" s="825"/>
      <c r="BP180" s="825"/>
      <c r="BQ180" s="825"/>
      <c r="BR180" s="825"/>
      <c r="BS180" s="825"/>
      <c r="BT180" s="825"/>
      <c r="BU180" s="825"/>
      <c r="BV180" s="825"/>
      <c r="BW180" s="825"/>
      <c r="BX180" s="825"/>
      <c r="BY180" s="825"/>
      <c r="BZ180" s="825"/>
      <c r="CA180" s="825"/>
      <c r="CB180" s="825"/>
      <c r="CC180" s="825"/>
    </row>
    <row r="181" spans="1:81" s="548" customFormat="1" ht="48.1" customHeight="1" x14ac:dyDescent="0.25">
      <c r="A181" s="825"/>
      <c r="B181" s="672"/>
      <c r="C181" s="1572"/>
      <c r="D181" s="1565"/>
      <c r="E181" s="1565"/>
      <c r="F181" s="1539"/>
      <c r="G181" s="1539"/>
      <c r="H181" s="1539"/>
      <c r="I181" s="1539"/>
      <c r="J181" s="1539"/>
      <c r="K181" s="1539"/>
      <c r="L181" s="1539"/>
      <c r="M181" s="645" t="s">
        <v>489</v>
      </c>
      <c r="N181" s="730" t="s">
        <v>869</v>
      </c>
      <c r="O181" s="837" t="str">
        <f t="shared" si="5"/>
        <v>Derechos de los pueblos indígenas</v>
      </c>
      <c r="P181" s="536" t="str">
        <f>Z6</f>
        <v>DPI</v>
      </c>
      <c r="Q181" s="534" t="str">
        <f>AD23</f>
        <v>Uso apropiado del lenguaje intercultural y respeto de usos y costumbres</v>
      </c>
      <c r="R181" s="538" t="s">
        <v>870</v>
      </c>
      <c r="S181" s="540" t="s">
        <v>492</v>
      </c>
      <c r="T181" s="519" t="str">
        <f>AC23</f>
        <v>SDPI15</v>
      </c>
      <c r="U181" s="628"/>
      <c r="V181" s="478"/>
      <c r="W181" s="478"/>
      <c r="X181" s="273"/>
      <c r="Y181" s="825"/>
      <c r="Z181" s="825"/>
      <c r="AA181" s="825"/>
      <c r="AB181" s="825"/>
      <c r="AC181" s="825"/>
      <c r="AD181" s="825"/>
      <c r="AE181" s="825"/>
      <c r="AF181" s="825"/>
      <c r="AG181" s="825"/>
      <c r="AH181" s="825"/>
      <c r="AI181" s="825"/>
      <c r="AJ181" s="825"/>
      <c r="AK181" s="825"/>
      <c r="AL181" s="825"/>
      <c r="AM181" s="825"/>
      <c r="AN181" s="825"/>
      <c r="AO181" s="825"/>
      <c r="AP181" s="825"/>
      <c r="AQ181" s="825"/>
      <c r="AR181" s="825"/>
      <c r="AS181" s="825"/>
      <c r="AT181" s="825"/>
      <c r="AU181" s="825"/>
      <c r="AV181" s="825"/>
      <c r="AW181" s="825"/>
      <c r="AX181" s="825"/>
      <c r="AY181" s="273"/>
      <c r="AZ181" s="273"/>
      <c r="BA181" s="825"/>
      <c r="BB181" s="825"/>
      <c r="BC181" s="825"/>
      <c r="BD181" s="825"/>
      <c r="BE181" s="825"/>
      <c r="BF181" s="825"/>
      <c r="BG181" s="825"/>
      <c r="BH181" s="825"/>
      <c r="BI181" s="825"/>
      <c r="BJ181" s="825"/>
      <c r="BK181" s="825"/>
      <c r="BL181" s="825"/>
      <c r="BM181" s="825"/>
      <c r="BN181" s="825"/>
      <c r="BO181" s="825"/>
      <c r="BP181" s="825"/>
      <c r="BQ181" s="825"/>
      <c r="BR181" s="825"/>
      <c r="BS181" s="825"/>
      <c r="BT181" s="825"/>
      <c r="BU181" s="825"/>
      <c r="BV181" s="825"/>
      <c r="BW181" s="825"/>
      <c r="BX181" s="825"/>
      <c r="BY181" s="825"/>
      <c r="BZ181" s="825"/>
      <c r="CA181" s="825"/>
      <c r="CB181" s="825"/>
      <c r="CC181" s="825"/>
    </row>
    <row r="182" spans="1:81" s="548" customFormat="1" ht="41.95" customHeight="1" x14ac:dyDescent="0.25">
      <c r="A182" s="825"/>
      <c r="B182" s="672"/>
      <c r="C182" s="1573"/>
      <c r="D182" s="1566"/>
      <c r="E182" s="1566"/>
      <c r="F182" s="1560"/>
      <c r="G182" s="1560"/>
      <c r="H182" s="1560"/>
      <c r="I182" s="1560"/>
      <c r="J182" s="1560"/>
      <c r="K182" s="1560"/>
      <c r="L182" s="1560"/>
      <c r="M182" s="645" t="s">
        <v>489</v>
      </c>
      <c r="N182" s="730" t="s">
        <v>871</v>
      </c>
      <c r="O182" s="837" t="str">
        <f t="shared" si="5"/>
        <v>Género</v>
      </c>
      <c r="P182" s="536" t="str">
        <f>AC6</f>
        <v>GN</v>
      </c>
      <c r="Q182" s="534" t="str">
        <f>AJ16</f>
        <v>Cuotas de género y medición de participación efectiva de mujeres indígenas</v>
      </c>
      <c r="R182" s="538" t="s">
        <v>872</v>
      </c>
      <c r="S182" s="540" t="s">
        <v>492</v>
      </c>
      <c r="T182" s="519" t="str">
        <f>AI16</f>
        <v>SGN8</v>
      </c>
      <c r="U182" s="628"/>
      <c r="V182" s="478"/>
      <c r="W182" s="478"/>
      <c r="X182" s="273"/>
      <c r="Y182" s="825"/>
      <c r="Z182" s="825"/>
      <c r="AA182" s="825"/>
      <c r="AB182" s="825"/>
      <c r="AC182" s="825"/>
      <c r="AD182" s="825"/>
      <c r="AE182" s="825"/>
      <c r="AF182" s="825"/>
      <c r="AG182" s="825"/>
      <c r="AH182" s="825"/>
      <c r="AI182" s="825"/>
      <c r="AJ182" s="825"/>
      <c r="AK182" s="825"/>
      <c r="AL182" s="825"/>
      <c r="AM182" s="825"/>
      <c r="AN182" s="825"/>
      <c r="AO182" s="825"/>
      <c r="AP182" s="825"/>
      <c r="AQ182" s="825"/>
      <c r="AR182" s="825"/>
      <c r="AS182" s="825"/>
      <c r="AT182" s="825"/>
      <c r="AU182" s="825"/>
      <c r="AV182" s="825"/>
      <c r="AW182" s="825"/>
      <c r="AX182" s="825"/>
      <c r="AY182" s="273"/>
      <c r="AZ182" s="273"/>
      <c r="BA182" s="825"/>
      <c r="BB182" s="825"/>
      <c r="BC182" s="825"/>
      <c r="BD182" s="825"/>
      <c r="BE182" s="825"/>
      <c r="BF182" s="825"/>
      <c r="BG182" s="825"/>
      <c r="BH182" s="825"/>
      <c r="BI182" s="825"/>
      <c r="BJ182" s="825"/>
      <c r="BK182" s="825"/>
      <c r="BL182" s="825"/>
      <c r="BM182" s="825"/>
      <c r="BN182" s="825"/>
      <c r="BO182" s="825"/>
      <c r="BP182" s="825"/>
      <c r="BQ182" s="825"/>
      <c r="BR182" s="825"/>
      <c r="BS182" s="825"/>
      <c r="BT182" s="825"/>
      <c r="BU182" s="825"/>
      <c r="BV182" s="825"/>
      <c r="BW182" s="825"/>
      <c r="BX182" s="825"/>
      <c r="BY182" s="825"/>
      <c r="BZ182" s="825"/>
      <c r="CA182" s="825"/>
      <c r="CB182" s="825"/>
      <c r="CC182" s="825"/>
    </row>
    <row r="183" spans="1:81" ht="68.3" customHeight="1" x14ac:dyDescent="0.25">
      <c r="A183" s="825"/>
      <c r="B183" s="672" t="s">
        <v>866</v>
      </c>
      <c r="C183" s="1571" t="str">
        <f>'8. BASE  CONSOLIDADA'!E109</f>
        <v>2.4.2</v>
      </c>
      <c r="D183" s="1564" t="str">
        <f>'8. BASE  CONSOLIDADA'!F109</f>
        <v xml:space="preserve">Asistencia técnica para el manejo agroforestal </v>
      </c>
      <c r="E183" s="1564" t="str">
        <f>'8. BASE  CONSOLIDADA'!G109</f>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v>
      </c>
      <c r="F183" s="1538" t="str">
        <f>'8. BASE  CONSOLIDADA'!C109</f>
        <v>Territorios de comunidades nativas</v>
      </c>
      <c r="G183" s="1538" t="str">
        <f>VLOOKUP($C183,'8. BASE  CONSOLIDADA'!$E$7:$AS$308,13,FALSE)</f>
        <v>Productor asistido</v>
      </c>
      <c r="H183" s="1538">
        <f>VLOOKUP($C183,'8. BASE  CONSOLIDADA'!$E$7:$AS$308,15,FALSE)</f>
        <v>900</v>
      </c>
      <c r="I183" s="1538">
        <f>VLOOKUP(C183,'8. BASE  CONSOLIDADA'!$E$7:$AS$308,20,FALSE)</f>
        <v>504000</v>
      </c>
      <c r="J183" s="1538">
        <f>I183*$J$6</f>
        <v>342.72</v>
      </c>
      <c r="K183" s="1538"/>
      <c r="L183" s="1538"/>
      <c r="M183" s="645" t="s">
        <v>489</v>
      </c>
      <c r="N183" s="730" t="str">
        <f t="shared" ref="N183:N188" si="6">N45</f>
        <v>Programas de asistencia técnica no recogen enfoque intercultural y metodologías apropiadas para pueblos indígenas</v>
      </c>
      <c r="O183" s="837" t="str">
        <f t="shared" si="5"/>
        <v>Derechos de los pueblos indígenas</v>
      </c>
      <c r="P183" s="536" t="str">
        <f>Z6</f>
        <v>DPI</v>
      </c>
      <c r="Q183" s="534" t="str">
        <f>AD17</f>
        <v>Programas de asistencia técnica y capacitación específicos para pueblos indígenas, con enfoque intercultural y metodologías apropiadas para pueblos indígenas</v>
      </c>
      <c r="R183" s="538" t="s">
        <v>755</v>
      </c>
      <c r="S183" s="540" t="s">
        <v>507</v>
      </c>
      <c r="T183" s="519" t="str">
        <f>AC17</f>
        <v>SDPI9</v>
      </c>
      <c r="U183" s="628"/>
      <c r="V183" s="478"/>
      <c r="W183" s="478"/>
      <c r="X183" s="273"/>
      <c r="Y183" s="825"/>
      <c r="Z183" s="825"/>
      <c r="AA183" s="825"/>
      <c r="AB183" s="825"/>
      <c r="AC183" s="825"/>
      <c r="AD183" s="825"/>
      <c r="AE183" s="825"/>
      <c r="AF183" s="825"/>
      <c r="AG183" s="825"/>
      <c r="AH183" s="825"/>
      <c r="AI183" s="825"/>
      <c r="AJ183" s="825"/>
      <c r="AK183" s="825"/>
      <c r="AL183" s="825"/>
      <c r="AM183" s="825"/>
      <c r="AN183" s="825"/>
      <c r="AO183" s="825"/>
      <c r="AP183" s="825"/>
      <c r="AQ183" s="825"/>
      <c r="AR183" s="825"/>
      <c r="AS183" s="825"/>
      <c r="AT183" s="825"/>
      <c r="AU183" s="825"/>
      <c r="AV183" s="825"/>
      <c r="AW183" s="825"/>
      <c r="AX183" s="825"/>
      <c r="BA183" s="825"/>
      <c r="BB183" s="825"/>
      <c r="BC183" s="825"/>
      <c r="BD183" s="825"/>
      <c r="BE183" s="825"/>
      <c r="BF183" s="825"/>
      <c r="BG183" s="825"/>
      <c r="BH183" s="825"/>
      <c r="BI183" s="825"/>
      <c r="BJ183" s="825"/>
      <c r="BK183" s="825"/>
      <c r="BL183" s="825"/>
      <c r="BM183" s="825"/>
      <c r="BN183" s="825"/>
      <c r="BO183" s="825"/>
      <c r="BP183" s="825"/>
      <c r="BQ183" s="825"/>
      <c r="BR183" s="825"/>
      <c r="BS183" s="825"/>
      <c r="BT183" s="825"/>
      <c r="BU183" s="825"/>
      <c r="BV183" s="825"/>
      <c r="BW183" s="825"/>
      <c r="BX183" s="825"/>
      <c r="BY183" s="825"/>
      <c r="BZ183" s="825"/>
      <c r="CA183" s="825"/>
      <c r="CB183" s="825"/>
      <c r="CC183" s="825"/>
    </row>
    <row r="184" spans="1:81" s="531" customFormat="1" ht="83.25" customHeight="1" x14ac:dyDescent="0.25">
      <c r="A184" s="825"/>
      <c r="B184" s="672"/>
      <c r="C184" s="1573"/>
      <c r="D184" s="1566"/>
      <c r="E184" s="1566"/>
      <c r="F184" s="1560"/>
      <c r="G184" s="1560"/>
      <c r="H184" s="1560"/>
      <c r="I184" s="1560"/>
      <c r="J184" s="1560"/>
      <c r="K184" s="1560"/>
      <c r="L184" s="1560"/>
      <c r="M184" s="645" t="s">
        <v>489</v>
      </c>
      <c r="N184" s="730" t="str">
        <f t="shared" si="6"/>
        <v>Exclusión de mujeres rurales indígenas en programas de asistencia técnica</v>
      </c>
      <c r="O184" s="837" t="str">
        <f t="shared" si="5"/>
        <v>Género</v>
      </c>
      <c r="P184" s="536" t="str">
        <f>AC6</f>
        <v>GN</v>
      </c>
      <c r="Q184" s="534" t="str">
        <f>AJ15</f>
        <v>Programas de asistencia técnica y capacitación específicos para mujeres rurales indígenas</v>
      </c>
      <c r="R184" s="538" t="s">
        <v>758</v>
      </c>
      <c r="S184" s="540" t="s">
        <v>507</v>
      </c>
      <c r="T184" s="519" t="str">
        <f>AI15</f>
        <v>SGN7</v>
      </c>
      <c r="U184" s="628"/>
      <c r="V184" s="478"/>
      <c r="W184" s="478"/>
      <c r="X184" s="273"/>
      <c r="Y184" s="825"/>
      <c r="Z184" s="825"/>
      <c r="AA184" s="825"/>
      <c r="AB184" s="825"/>
      <c r="AC184" s="825"/>
      <c r="AD184" s="825"/>
      <c r="AE184" s="825"/>
      <c r="AF184" s="825"/>
      <c r="AG184" s="825"/>
      <c r="AH184" s="825"/>
      <c r="AI184" s="825"/>
      <c r="AJ184" s="825"/>
      <c r="AK184" s="825"/>
      <c r="AL184" s="825"/>
      <c r="AM184" s="825"/>
      <c r="AN184" s="825"/>
      <c r="AO184" s="825"/>
      <c r="AP184" s="825"/>
      <c r="AQ184" s="825"/>
      <c r="AR184" s="825"/>
      <c r="AS184" s="825"/>
      <c r="AT184" s="825"/>
      <c r="AU184" s="825"/>
      <c r="AV184" s="825"/>
      <c r="AW184" s="825"/>
      <c r="AX184" s="825"/>
      <c r="AY184" s="273"/>
      <c r="AZ184" s="273"/>
      <c r="BA184" s="825"/>
      <c r="BB184" s="825"/>
      <c r="BC184" s="825"/>
      <c r="BD184" s="825"/>
      <c r="BE184" s="825"/>
      <c r="BF184" s="825"/>
      <c r="BG184" s="825"/>
      <c r="BH184" s="825"/>
      <c r="BI184" s="825"/>
      <c r="BJ184" s="825"/>
      <c r="BK184" s="825"/>
      <c r="BL184" s="825"/>
      <c r="BM184" s="825"/>
      <c r="BN184" s="825"/>
      <c r="BO184" s="825"/>
      <c r="BP184" s="825"/>
      <c r="BQ184" s="825"/>
      <c r="BR184" s="825"/>
      <c r="BS184" s="825"/>
      <c r="BT184" s="825"/>
      <c r="BU184" s="825"/>
      <c r="BV184" s="825"/>
      <c r="BW184" s="825"/>
      <c r="BX184" s="825"/>
      <c r="BY184" s="825"/>
      <c r="BZ184" s="825"/>
      <c r="CA184" s="825"/>
      <c r="CB184" s="825"/>
      <c r="CC184" s="825"/>
    </row>
    <row r="185" spans="1:81" ht="32.299999999999997" customHeight="1" x14ac:dyDescent="0.25">
      <c r="A185" s="825"/>
      <c r="B185" s="672" t="s">
        <v>866</v>
      </c>
      <c r="C185" s="1571" t="str">
        <f>'8. BASE  CONSOLIDADA'!E110</f>
        <v>2.4.3</v>
      </c>
      <c r="D185" s="1564" t="str">
        <f>'8. BASE  CONSOLIDADA'!F110</f>
        <v xml:space="preserve">Promoción de Bionegocios con productos forestales no maderables </v>
      </c>
      <c r="E185" s="1564" t="str">
        <f>'8. BASE  CONSOLIDADA'!G110</f>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v>
      </c>
      <c r="F185" s="1538" t="str">
        <f>'8. BASE  CONSOLIDADA'!C110</f>
        <v>Territorios de comunidades nativas</v>
      </c>
      <c r="G185" s="1538" t="str">
        <f>VLOOKUP($C185,'8. BASE  CONSOLIDADA'!$E$7:$AS$308,13,FALSE)</f>
        <v>Planes de negocio</v>
      </c>
      <c r="H185" s="1538">
        <f>VLOOKUP($C185,'8. BASE  CONSOLIDADA'!$E$7:$AS$308,15,FALSE)</f>
        <v>45</v>
      </c>
      <c r="I185" s="1538">
        <f>VLOOKUP(C185,'8. BASE  CONSOLIDADA'!$E$7:$AS$308,20,FALSE)</f>
        <v>675000</v>
      </c>
      <c r="J185" s="1538">
        <f>I185*$J$6</f>
        <v>459.00000000000006</v>
      </c>
      <c r="K185" s="1020"/>
      <c r="L185" s="1030"/>
      <c r="M185" s="645" t="s">
        <v>489</v>
      </c>
      <c r="N185" s="730" t="str">
        <f t="shared" si="6"/>
        <v>Biopiratería de recursos genéticos y recursos biológicos en tierras de comunidades nativas</v>
      </c>
      <c r="O185" s="837" t="str">
        <f t="shared" si="5"/>
        <v>Derechos de los pueblos indígenas</v>
      </c>
      <c r="P185" s="536" t="str">
        <f>Z6</f>
        <v>DPI</v>
      </c>
      <c r="Q185" s="534" t="str">
        <f>AD18</f>
        <v>Fortalecimiento a comunidades nativas en procesos de negociación de bionegocios</v>
      </c>
      <c r="R185" s="538" t="s">
        <v>762</v>
      </c>
      <c r="S185" s="540" t="s">
        <v>507</v>
      </c>
      <c r="T185" s="519" t="str">
        <f>AC18</f>
        <v>SDPI10</v>
      </c>
      <c r="U185" s="628"/>
      <c r="V185" s="478"/>
      <c r="W185" s="478"/>
      <c r="X185" s="273"/>
      <c r="Y185" s="825"/>
      <c r="Z185" s="825"/>
      <c r="AA185" s="825"/>
      <c r="AB185" s="825"/>
      <c r="AC185" s="825"/>
      <c r="AD185" s="825"/>
      <c r="AE185" s="825"/>
      <c r="AF185" s="825"/>
      <c r="AG185" s="825"/>
      <c r="AH185" s="825"/>
      <c r="AI185" s="825"/>
      <c r="AJ185" s="825"/>
      <c r="AK185" s="825"/>
      <c r="AL185" s="825"/>
      <c r="AM185" s="825"/>
      <c r="AN185" s="825"/>
      <c r="AO185" s="825"/>
      <c r="AP185" s="825"/>
      <c r="AQ185" s="825"/>
      <c r="AR185" s="825"/>
      <c r="AS185" s="825"/>
      <c r="AT185" s="825"/>
      <c r="AU185" s="825"/>
      <c r="AV185" s="825"/>
      <c r="AW185" s="825"/>
      <c r="AX185" s="825"/>
      <c r="BA185" s="825"/>
      <c r="BB185" s="825"/>
      <c r="BC185" s="825"/>
      <c r="BD185" s="825"/>
      <c r="BE185" s="825"/>
      <c r="BF185" s="825"/>
      <c r="BG185" s="825"/>
      <c r="BH185" s="825"/>
      <c r="BI185" s="825"/>
      <c r="BJ185" s="825"/>
      <c r="BK185" s="825"/>
      <c r="BL185" s="825"/>
      <c r="BM185" s="825"/>
      <c r="BN185" s="825"/>
      <c r="BO185" s="825"/>
      <c r="BP185" s="825"/>
      <c r="BQ185" s="825"/>
      <c r="BR185" s="825"/>
      <c r="BS185" s="825"/>
      <c r="BT185" s="825"/>
      <c r="BU185" s="825"/>
      <c r="BV185" s="825"/>
      <c r="BW185" s="825"/>
      <c r="BX185" s="825"/>
      <c r="BY185" s="825"/>
      <c r="BZ185" s="825"/>
      <c r="CA185" s="825"/>
      <c r="CB185" s="825"/>
      <c r="CC185" s="825"/>
    </row>
    <row r="186" spans="1:81" s="531" customFormat="1" ht="41.3" customHeight="1" x14ac:dyDescent="0.25">
      <c r="A186" s="825"/>
      <c r="B186" s="672"/>
      <c r="C186" s="1572"/>
      <c r="D186" s="1565"/>
      <c r="E186" s="1565"/>
      <c r="F186" s="1539"/>
      <c r="G186" s="1539"/>
      <c r="H186" s="1539"/>
      <c r="I186" s="1539"/>
      <c r="J186" s="1539"/>
      <c r="K186" s="1028">
        <v>150</v>
      </c>
      <c r="L186" s="1028">
        <f>K186*H185</f>
        <v>6750</v>
      </c>
      <c r="M186" s="745" t="s">
        <v>766</v>
      </c>
      <c r="N186" s="730" t="str">
        <f t="shared" si="6"/>
        <v>Demora en trámites administrativos no contemplan condiciones vinculadas a los pueblos indígenas</v>
      </c>
      <c r="O186" s="837" t="str">
        <f t="shared" si="5"/>
        <v>Derechos de los pueblos indígenas</v>
      </c>
      <c r="P186" s="536" t="str">
        <f>Z6</f>
        <v>DPI</v>
      </c>
      <c r="Q186" s="534" t="str">
        <f>AD19</f>
        <v>Simplificación administrativa con enfoque intercultural</v>
      </c>
      <c r="R186" s="538" t="s">
        <v>768</v>
      </c>
      <c r="S186" s="540" t="s">
        <v>507</v>
      </c>
      <c r="T186" s="519" t="str">
        <f>AC19</f>
        <v>SDPI11</v>
      </c>
      <c r="U186" s="628"/>
      <c r="V186" s="478"/>
      <c r="W186" s="478"/>
      <c r="X186" s="273"/>
      <c r="Y186" s="825"/>
      <c r="Z186" s="825"/>
      <c r="AA186" s="825"/>
      <c r="AB186" s="825"/>
      <c r="AC186" s="825"/>
      <c r="AD186" s="825"/>
      <c r="AE186" s="825"/>
      <c r="AF186" s="825"/>
      <c r="AG186" s="825"/>
      <c r="AH186" s="825"/>
      <c r="AI186" s="825"/>
      <c r="AJ186" s="825"/>
      <c r="AK186" s="825"/>
      <c r="AL186" s="825"/>
      <c r="AM186" s="825"/>
      <c r="AN186" s="825"/>
      <c r="AO186" s="825"/>
      <c r="AP186" s="825"/>
      <c r="AQ186" s="825"/>
      <c r="AR186" s="825"/>
      <c r="AS186" s="825"/>
      <c r="AT186" s="825"/>
      <c r="AU186" s="825"/>
      <c r="AV186" s="825"/>
      <c r="AW186" s="825"/>
      <c r="AX186" s="825"/>
      <c r="AY186" s="273"/>
      <c r="AZ186" s="273"/>
      <c r="BA186" s="825"/>
      <c r="BB186" s="825"/>
      <c r="BC186" s="825"/>
      <c r="BD186" s="825"/>
      <c r="BE186" s="825"/>
      <c r="BF186" s="825"/>
      <c r="BG186" s="825"/>
      <c r="BH186" s="825"/>
      <c r="BI186" s="825"/>
      <c r="BJ186" s="825"/>
      <c r="BK186" s="825"/>
      <c r="BL186" s="825"/>
      <c r="BM186" s="825"/>
      <c r="BN186" s="825"/>
      <c r="BO186" s="825"/>
      <c r="BP186" s="825"/>
      <c r="BQ186" s="825"/>
      <c r="BR186" s="825"/>
      <c r="BS186" s="825"/>
      <c r="BT186" s="825"/>
      <c r="BU186" s="825"/>
      <c r="BV186" s="825"/>
      <c r="BW186" s="825"/>
      <c r="BX186" s="825"/>
      <c r="BY186" s="825"/>
      <c r="BZ186" s="825"/>
      <c r="CA186" s="825"/>
      <c r="CB186" s="825"/>
      <c r="CC186" s="825"/>
    </row>
    <row r="187" spans="1:81" s="531" customFormat="1" ht="27.7" customHeight="1" x14ac:dyDescent="0.25">
      <c r="A187" s="825"/>
      <c r="B187" s="672"/>
      <c r="C187" s="1572"/>
      <c r="D187" s="1565"/>
      <c r="E187" s="1565"/>
      <c r="F187" s="1539"/>
      <c r="G187" s="1539"/>
      <c r="H187" s="1539"/>
      <c r="I187" s="1539"/>
      <c r="J187" s="1539"/>
      <c r="K187" s="1028"/>
      <c r="L187" s="1027"/>
      <c r="M187" s="645" t="s">
        <v>489</v>
      </c>
      <c r="N187" s="730" t="str">
        <f t="shared" si="6"/>
        <v>Apropiación ilícita de conocimientos tradicionales</v>
      </c>
      <c r="O187" s="837" t="str">
        <f t="shared" si="5"/>
        <v>Derechos de los pueblos indígenas</v>
      </c>
      <c r="P187" s="536" t="str">
        <f>Z6</f>
        <v>DPI</v>
      </c>
      <c r="Q187" s="534" t="str">
        <f>AD20</f>
        <v>Registro de conocimientos tradicionales en INDECOPI</v>
      </c>
      <c r="R187" s="538" t="s">
        <v>774</v>
      </c>
      <c r="S187" s="540" t="s">
        <v>526</v>
      </c>
      <c r="T187" s="519" t="str">
        <f>AC20</f>
        <v>SDPI12</v>
      </c>
      <c r="U187" s="628"/>
      <c r="V187" s="478"/>
      <c r="W187" s="478"/>
      <c r="X187" s="273"/>
      <c r="Y187" s="825"/>
      <c r="Z187" s="825"/>
      <c r="AA187" s="825"/>
      <c r="AB187" s="825"/>
      <c r="AC187" s="825"/>
      <c r="AD187" s="825"/>
      <c r="AE187" s="825"/>
      <c r="AF187" s="825"/>
      <c r="AG187" s="825"/>
      <c r="AH187" s="825"/>
      <c r="AI187" s="825"/>
      <c r="AJ187" s="825"/>
      <c r="AK187" s="825"/>
      <c r="AL187" s="825"/>
      <c r="AM187" s="825"/>
      <c r="AN187" s="825"/>
      <c r="AO187" s="825"/>
      <c r="AP187" s="825"/>
      <c r="AQ187" s="825"/>
      <c r="AR187" s="825"/>
      <c r="AS187" s="825"/>
      <c r="AT187" s="825"/>
      <c r="AU187" s="825"/>
      <c r="AV187" s="825"/>
      <c r="AW187" s="825"/>
      <c r="AX187" s="825"/>
      <c r="AY187" s="273"/>
      <c r="AZ187" s="273"/>
      <c r="BA187" s="825"/>
      <c r="BB187" s="825"/>
      <c r="BC187" s="825"/>
      <c r="BD187" s="825"/>
      <c r="BE187" s="825"/>
      <c r="BF187" s="825"/>
      <c r="BG187" s="825"/>
      <c r="BH187" s="825"/>
      <c r="BI187" s="825"/>
      <c r="BJ187" s="825"/>
      <c r="BK187" s="825"/>
      <c r="BL187" s="825"/>
      <c r="BM187" s="825"/>
      <c r="BN187" s="825"/>
      <c r="BO187" s="825"/>
      <c r="BP187" s="825"/>
      <c r="BQ187" s="825"/>
      <c r="BR187" s="825"/>
      <c r="BS187" s="825"/>
      <c r="BT187" s="825"/>
      <c r="BU187" s="825"/>
      <c r="BV187" s="825"/>
      <c r="BW187" s="825"/>
      <c r="BX187" s="825"/>
      <c r="BY187" s="825"/>
      <c r="BZ187" s="825"/>
      <c r="CA187" s="825"/>
      <c r="CB187" s="825"/>
      <c r="CC187" s="825"/>
    </row>
    <row r="188" spans="1:81" s="531" customFormat="1" ht="27.7" customHeight="1" x14ac:dyDescent="0.25">
      <c r="A188" s="825"/>
      <c r="B188" s="672"/>
      <c r="C188" s="1572"/>
      <c r="D188" s="1565"/>
      <c r="E188" s="1565"/>
      <c r="F188" s="1539"/>
      <c r="G188" s="1539"/>
      <c r="H188" s="1539"/>
      <c r="I188" s="1539"/>
      <c r="J188" s="1539"/>
      <c r="K188" s="1028"/>
      <c r="L188" s="1027"/>
      <c r="M188" s="645" t="s">
        <v>489</v>
      </c>
      <c r="N188" s="730" t="str">
        <f t="shared" si="6"/>
        <v>Exclusión de mujeres indígenas en programa de biocomercio</v>
      </c>
      <c r="O188" s="837" t="str">
        <f t="shared" si="5"/>
        <v>Género</v>
      </c>
      <c r="P188" s="536" t="str">
        <f>AC6</f>
        <v>GN</v>
      </c>
      <c r="Q188" s="534" t="str">
        <f>AJ16</f>
        <v>Cuotas de género y medición de participación efectiva de mujeres indígenas</v>
      </c>
      <c r="R188" s="538" t="s">
        <v>689</v>
      </c>
      <c r="S188" s="540" t="s">
        <v>507</v>
      </c>
      <c r="T188" s="519" t="str">
        <f>AI16</f>
        <v>SGN8</v>
      </c>
      <c r="U188" s="628"/>
      <c r="V188" s="478"/>
      <c r="W188" s="478"/>
      <c r="X188" s="273"/>
      <c r="Y188" s="825"/>
      <c r="Z188" s="825"/>
      <c r="AA188" s="825"/>
      <c r="AB188" s="825"/>
      <c r="AC188" s="825"/>
      <c r="AD188" s="825"/>
      <c r="AE188" s="825"/>
      <c r="AF188" s="825"/>
      <c r="AG188" s="825"/>
      <c r="AH188" s="825"/>
      <c r="AI188" s="825"/>
      <c r="AJ188" s="825"/>
      <c r="AK188" s="825"/>
      <c r="AL188" s="825"/>
      <c r="AM188" s="825"/>
      <c r="AN188" s="825"/>
      <c r="AO188" s="825"/>
      <c r="AP188" s="825"/>
      <c r="AQ188" s="825"/>
      <c r="AR188" s="825"/>
      <c r="AS188" s="825"/>
      <c r="AT188" s="825"/>
      <c r="AU188" s="825"/>
      <c r="AV188" s="825"/>
      <c r="AW188" s="825"/>
      <c r="AX188" s="825"/>
      <c r="AY188" s="273"/>
      <c r="AZ188" s="273"/>
      <c r="BA188" s="825"/>
      <c r="BB188" s="825"/>
      <c r="BC188" s="825"/>
      <c r="BD188" s="825"/>
      <c r="BE188" s="825"/>
      <c r="BF188" s="825"/>
      <c r="BG188" s="825"/>
      <c r="BH188" s="825"/>
      <c r="BI188" s="825"/>
      <c r="BJ188" s="825"/>
      <c r="BK188" s="825"/>
      <c r="BL188" s="825"/>
      <c r="BM188" s="825"/>
      <c r="BN188" s="825"/>
      <c r="BO188" s="825"/>
      <c r="BP188" s="825"/>
      <c r="BQ188" s="825"/>
      <c r="BR188" s="825"/>
      <c r="BS188" s="825"/>
      <c r="BT188" s="825"/>
      <c r="BU188" s="825"/>
      <c r="BV188" s="825"/>
      <c r="BW188" s="825"/>
      <c r="BX188" s="825"/>
      <c r="BY188" s="825"/>
      <c r="BZ188" s="825"/>
      <c r="CA188" s="825"/>
      <c r="CB188" s="825"/>
      <c r="CC188" s="825"/>
    </row>
    <row r="189" spans="1:81" s="531" customFormat="1" ht="37.549999999999997" customHeight="1" x14ac:dyDescent="0.25">
      <c r="A189" s="825"/>
      <c r="B189" s="672"/>
      <c r="C189" s="1573"/>
      <c r="D189" s="1566"/>
      <c r="E189" s="1566"/>
      <c r="F189" s="1560"/>
      <c r="G189" s="1560"/>
      <c r="H189" s="1560"/>
      <c r="I189" s="1560"/>
      <c r="J189" s="1560"/>
      <c r="K189" s="1021"/>
      <c r="L189" s="1029"/>
      <c r="M189" s="645" t="s">
        <v>489</v>
      </c>
      <c r="N189" s="730" t="str">
        <f>N50</f>
        <v>Exclusión de mujeres indígenas en programa de biocomercio</v>
      </c>
      <c r="O189" s="837" t="str">
        <f t="shared" si="5"/>
        <v>Género</v>
      </c>
      <c r="P189" s="536" t="str">
        <f>AC6</f>
        <v>GN</v>
      </c>
      <c r="Q189" s="534" t="str">
        <f>AJ17</f>
        <v>Programas de biocomercio diseñados especialmente para mujeres indígenas</v>
      </c>
      <c r="R189" s="538" t="s">
        <v>782</v>
      </c>
      <c r="S189" s="540" t="s">
        <v>526</v>
      </c>
      <c r="T189" s="519" t="str">
        <f>AI17</f>
        <v>SGN9</v>
      </c>
      <c r="U189" s="628"/>
      <c r="V189" s="478"/>
      <c r="W189" s="478"/>
      <c r="X189" s="273"/>
      <c r="Y189" s="825"/>
      <c r="Z189" s="825"/>
      <c r="AA189" s="825"/>
      <c r="AB189" s="825"/>
      <c r="AC189" s="825"/>
      <c r="AD189" s="825"/>
      <c r="AE189" s="825"/>
      <c r="AF189" s="825"/>
      <c r="AG189" s="825"/>
      <c r="AH189" s="825"/>
      <c r="AI189" s="825"/>
      <c r="AJ189" s="825"/>
      <c r="AK189" s="825"/>
      <c r="AL189" s="825"/>
      <c r="AM189" s="825"/>
      <c r="AN189" s="825"/>
      <c r="AO189" s="825"/>
      <c r="AP189" s="825"/>
      <c r="AQ189" s="825"/>
      <c r="AR189" s="825"/>
      <c r="AS189" s="825"/>
      <c r="AT189" s="825"/>
      <c r="AU189" s="825"/>
      <c r="AV189" s="825"/>
      <c r="AW189" s="825"/>
      <c r="AX189" s="825"/>
      <c r="AY189" s="273"/>
      <c r="AZ189" s="273"/>
      <c r="BA189" s="825"/>
      <c r="BB189" s="825"/>
      <c r="BC189" s="825"/>
      <c r="BD189" s="825"/>
      <c r="BE189" s="825"/>
      <c r="BF189" s="825"/>
      <c r="BG189" s="825"/>
      <c r="BH189" s="825"/>
      <c r="BI189" s="825"/>
      <c r="BJ189" s="825"/>
      <c r="BK189" s="825"/>
      <c r="BL189" s="825"/>
      <c r="BM189" s="825"/>
      <c r="BN189" s="825"/>
      <c r="BO189" s="825"/>
      <c r="BP189" s="825"/>
      <c r="BQ189" s="825"/>
      <c r="BR189" s="825"/>
      <c r="BS189" s="825"/>
      <c r="BT189" s="825"/>
      <c r="BU189" s="825"/>
      <c r="BV189" s="825"/>
      <c r="BW189" s="825"/>
      <c r="BX189" s="825"/>
      <c r="BY189" s="825"/>
      <c r="BZ189" s="825"/>
      <c r="CA189" s="825"/>
      <c r="CB189" s="825"/>
      <c r="CC189" s="825"/>
    </row>
    <row r="190" spans="1:81" ht="45" customHeight="1" x14ac:dyDescent="0.25">
      <c r="A190" s="825"/>
      <c r="B190" s="672" t="s">
        <v>866</v>
      </c>
      <c r="C190" s="1571" t="str">
        <f>'8. BASE  CONSOLIDADA'!E111</f>
        <v>2.4.4</v>
      </c>
      <c r="D190" s="1564" t="str">
        <f>'8. BASE  CONSOLIDADA'!F111</f>
        <v>Fortalecimiento de capacidades</v>
      </c>
      <c r="E190" s="1564" t="str">
        <f>'8. BASE  CONSOLIDADA'!G111</f>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v>
      </c>
      <c r="F190" s="1535" t="str">
        <f>'8. BASE  CONSOLIDADA'!C111</f>
        <v>Territorios de comunidades nativas</v>
      </c>
      <c r="G190" s="1535" t="str">
        <f>VLOOKUP($C190,'8. BASE  CONSOLIDADA'!$E$7:$AS$308,13,FALSE)</f>
        <v>Comunidades fortalecidas</v>
      </c>
      <c r="H190" s="1535">
        <f>VLOOKUP($C190,'8. BASE  CONSOLIDADA'!$E$7:$AS$308,15,FALSE)</f>
        <v>15</v>
      </c>
      <c r="I190" s="1535">
        <f>VLOOKUP(C190,'8. BASE  CONSOLIDADA'!$E$7:$AS$308,20,FALSE)</f>
        <v>10800000</v>
      </c>
      <c r="J190" s="1535">
        <f>I190*$J$6</f>
        <v>7344.0000000000009</v>
      </c>
      <c r="K190" s="1535"/>
      <c r="L190" s="1535"/>
      <c r="M190" s="645" t="s">
        <v>489</v>
      </c>
      <c r="N190" s="730" t="str">
        <f>N45</f>
        <v>Programas de asistencia técnica no recogen enfoque intercultural y metodologías apropiadas para pueblos indígenas</v>
      </c>
      <c r="O190" s="837" t="str">
        <f t="shared" si="5"/>
        <v>Derechos de los pueblos indígenas</v>
      </c>
      <c r="P190" s="536" t="str">
        <f>Z6</f>
        <v>DPI</v>
      </c>
      <c r="Q190" s="534" t="str">
        <f>AD17</f>
        <v>Programas de asistencia técnica y capacitación específicos para pueblos indígenas, con enfoque intercultural y metodologías apropiadas para pueblos indígenas</v>
      </c>
      <c r="R190" s="538" t="s">
        <v>755</v>
      </c>
      <c r="S190" s="540" t="s">
        <v>507</v>
      </c>
      <c r="T190" s="519" t="str">
        <f>AC17</f>
        <v>SDPI9</v>
      </c>
      <c r="U190" s="628"/>
      <c r="V190" s="478"/>
      <c r="W190" s="478"/>
      <c r="X190" s="273"/>
      <c r="Y190" s="825"/>
      <c r="Z190" s="825"/>
      <c r="AA190" s="825"/>
      <c r="AB190" s="825"/>
      <c r="AC190" s="825"/>
      <c r="AD190" s="825"/>
      <c r="AE190" s="825"/>
      <c r="AF190" s="825"/>
      <c r="AG190" s="825"/>
      <c r="AH190" s="825"/>
      <c r="AI190" s="825"/>
      <c r="AJ190" s="825"/>
      <c r="AK190" s="825"/>
      <c r="AL190" s="825"/>
      <c r="AM190" s="825"/>
      <c r="AN190" s="825"/>
      <c r="AO190" s="825"/>
      <c r="AP190" s="825"/>
      <c r="AQ190" s="825"/>
      <c r="AR190" s="825"/>
      <c r="AS190" s="825"/>
      <c r="AT190" s="825"/>
      <c r="AU190" s="825"/>
      <c r="AV190" s="825"/>
      <c r="AW190" s="825"/>
      <c r="AX190" s="825"/>
      <c r="BA190" s="825"/>
      <c r="BB190" s="825"/>
      <c r="BC190" s="825"/>
      <c r="BD190" s="825"/>
      <c r="BE190" s="825"/>
      <c r="BF190" s="825"/>
      <c r="BG190" s="825"/>
      <c r="BH190" s="825"/>
      <c r="BI190" s="825"/>
      <c r="BJ190" s="825"/>
      <c r="BK190" s="825"/>
      <c r="BL190" s="825"/>
      <c r="BM190" s="825"/>
      <c r="BN190" s="825"/>
      <c r="BO190" s="825"/>
      <c r="BP190" s="825"/>
      <c r="BQ190" s="825"/>
      <c r="BR190" s="825"/>
      <c r="BS190" s="825"/>
      <c r="BT190" s="825"/>
      <c r="BU190" s="825"/>
      <c r="BV190" s="825"/>
      <c r="BW190" s="825"/>
      <c r="BX190" s="825"/>
      <c r="BY190" s="825"/>
      <c r="BZ190" s="825"/>
      <c r="CA190" s="825"/>
      <c r="CB190" s="825"/>
      <c r="CC190" s="825"/>
    </row>
    <row r="191" spans="1:81" s="548" customFormat="1" ht="45" customHeight="1" x14ac:dyDescent="0.25">
      <c r="A191" s="825"/>
      <c r="B191" s="672"/>
      <c r="C191" s="1573"/>
      <c r="D191" s="1566"/>
      <c r="E191" s="1566"/>
      <c r="F191" s="1543"/>
      <c r="G191" s="1543"/>
      <c r="H191" s="1543"/>
      <c r="I191" s="1543"/>
      <c r="J191" s="1543"/>
      <c r="K191" s="1543"/>
      <c r="L191" s="1543"/>
      <c r="M191" s="645" t="s">
        <v>489</v>
      </c>
      <c r="N191" s="730" t="str">
        <f>N53</f>
        <v>Exclusión de mujeres rurales indígenas en programas de capacitación</v>
      </c>
      <c r="O191" s="837" t="str">
        <f t="shared" si="5"/>
        <v>Género</v>
      </c>
      <c r="P191" s="536" t="str">
        <f>AC6</f>
        <v>GN</v>
      </c>
      <c r="Q191" s="534" t="str">
        <f>AJ15</f>
        <v>Programas de asistencia técnica y capacitación específicos para mujeres rurales indígenas</v>
      </c>
      <c r="R191" s="538" t="s">
        <v>758</v>
      </c>
      <c r="S191" s="540" t="s">
        <v>507</v>
      </c>
      <c r="T191" s="519" t="str">
        <f>AI15</f>
        <v>SGN7</v>
      </c>
      <c r="U191" s="628"/>
      <c r="V191" s="478"/>
      <c r="W191" s="478"/>
      <c r="X191" s="273"/>
      <c r="Y191" s="825"/>
      <c r="Z191" s="825"/>
      <c r="AA191" s="825"/>
      <c r="AB191" s="825"/>
      <c r="AC191" s="825"/>
      <c r="AD191" s="825"/>
      <c r="AE191" s="825"/>
      <c r="AF191" s="825"/>
      <c r="AG191" s="825"/>
      <c r="AH191" s="825"/>
      <c r="AI191" s="825"/>
      <c r="AJ191" s="825"/>
      <c r="AK191" s="825"/>
      <c r="AL191" s="825"/>
      <c r="AM191" s="825"/>
      <c r="AN191" s="825"/>
      <c r="AO191" s="825"/>
      <c r="AP191" s="825"/>
      <c r="AQ191" s="825"/>
      <c r="AR191" s="825"/>
      <c r="AS191" s="825"/>
      <c r="AT191" s="825"/>
      <c r="AU191" s="825"/>
      <c r="AV191" s="825"/>
      <c r="AW191" s="825"/>
      <c r="AX191" s="825"/>
      <c r="AY191" s="273"/>
      <c r="AZ191" s="273"/>
      <c r="BA191" s="825"/>
      <c r="BB191" s="825"/>
      <c r="BC191" s="825"/>
      <c r="BD191" s="825"/>
      <c r="BE191" s="825"/>
      <c r="BF191" s="825"/>
      <c r="BG191" s="825"/>
      <c r="BH191" s="825"/>
      <c r="BI191" s="825"/>
      <c r="BJ191" s="825"/>
      <c r="BK191" s="825"/>
      <c r="BL191" s="825"/>
      <c r="BM191" s="825"/>
      <c r="BN191" s="825"/>
      <c r="BO191" s="825"/>
      <c r="BP191" s="825"/>
      <c r="BQ191" s="825"/>
      <c r="BR191" s="825"/>
      <c r="BS191" s="825"/>
      <c r="BT191" s="825"/>
      <c r="BU191" s="825"/>
      <c r="BV191" s="825"/>
      <c r="BW191" s="825"/>
      <c r="BX191" s="825"/>
      <c r="BY191" s="825"/>
      <c r="BZ191" s="825"/>
      <c r="CA191" s="825"/>
      <c r="CB191" s="825"/>
      <c r="CC191" s="825"/>
    </row>
    <row r="192" spans="1:81" ht="36" customHeight="1" x14ac:dyDescent="0.25">
      <c r="A192" s="825"/>
      <c r="B192" s="672" t="s">
        <v>866</v>
      </c>
      <c r="C192" s="1571" t="str">
        <f>'8. BASE  CONSOLIDADA'!E112</f>
        <v>2.4.5</v>
      </c>
      <c r="D192" s="1564" t="str">
        <f>'8. BASE  CONSOLIDADA'!F112</f>
        <v>Identificación y apertura de mercado para productos del bosque.</v>
      </c>
      <c r="E192" s="1564" t="str">
        <f>'8. BASE  CONSOLIDADA'!G112</f>
        <v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v>
      </c>
      <c r="F192" s="1535" t="str">
        <f>'8. BASE  CONSOLIDADA'!C112</f>
        <v>Territorios de comunidades nativas</v>
      </c>
      <c r="G192" s="1535" t="str">
        <f>VLOOKUP($C192,'8. BASE  CONSOLIDADA'!$E$7:$AS$308,13,FALSE)</f>
        <v>Especialistas</v>
      </c>
      <c r="H192" s="1535">
        <f>VLOOKUP($C192,'8. BASE  CONSOLIDADA'!$E$7:$AS$308,15,FALSE)</f>
        <v>2</v>
      </c>
      <c r="I192" s="1535">
        <f>VLOOKUP(C192,'8. BASE  CONSOLIDADA'!$E$7:$AS$308,20,FALSE)</f>
        <v>420000</v>
      </c>
      <c r="J192" s="1535">
        <f>I192*$J$6</f>
        <v>285.60000000000002</v>
      </c>
      <c r="K192" s="1535"/>
      <c r="L192" s="1535"/>
      <c r="M192" s="645" t="s">
        <v>489</v>
      </c>
      <c r="N192" s="730" t="str">
        <f>N47</f>
        <v>Biopiratería de recursos genéticos y recursos biológicos en tierras de comunidades nativas</v>
      </c>
      <c r="O192" s="837" t="str">
        <f t="shared" si="5"/>
        <v>Derechos de los pueblos indígenas</v>
      </c>
      <c r="P192" s="536" t="str">
        <f>Z6</f>
        <v>DPI</v>
      </c>
      <c r="Q192" s="534" t="str">
        <f>AD18</f>
        <v>Fortalecimiento a comunidades nativas en procesos de negociación de bionegocios</v>
      </c>
      <c r="R192" s="538" t="s">
        <v>762</v>
      </c>
      <c r="S192" s="540" t="s">
        <v>507</v>
      </c>
      <c r="T192" s="519" t="str">
        <f>AC18</f>
        <v>SDPI10</v>
      </c>
      <c r="U192" s="628"/>
      <c r="V192" s="478"/>
      <c r="W192" s="478"/>
      <c r="X192" s="273"/>
      <c r="Y192" s="825"/>
      <c r="Z192" s="825"/>
      <c r="AA192" s="825"/>
      <c r="AB192" s="825"/>
      <c r="AC192" s="825"/>
      <c r="AD192" s="825"/>
      <c r="AE192" s="825"/>
      <c r="AF192" s="825"/>
      <c r="AG192" s="825"/>
      <c r="AH192" s="825"/>
      <c r="AI192" s="825"/>
      <c r="AJ192" s="825"/>
      <c r="AK192" s="825"/>
      <c r="AL192" s="825"/>
      <c r="AM192" s="825"/>
      <c r="AN192" s="825"/>
      <c r="AO192" s="825"/>
      <c r="AP192" s="825"/>
      <c r="AQ192" s="825"/>
      <c r="AR192" s="825"/>
      <c r="AS192" s="825"/>
      <c r="AT192" s="825"/>
      <c r="AU192" s="825"/>
      <c r="AV192" s="825"/>
      <c r="AW192" s="825"/>
      <c r="AX192" s="825"/>
      <c r="BA192" s="825"/>
      <c r="BB192" s="825"/>
      <c r="BC192" s="825"/>
      <c r="BD192" s="825"/>
      <c r="BE192" s="825"/>
      <c r="BF192" s="825"/>
      <c r="BG192" s="825"/>
      <c r="BH192" s="825"/>
      <c r="BI192" s="825"/>
      <c r="BJ192" s="825"/>
      <c r="BK192" s="825"/>
      <c r="BL192" s="825"/>
      <c r="BM192" s="825"/>
      <c r="BN192" s="825"/>
      <c r="BO192" s="825"/>
      <c r="BP192" s="825"/>
      <c r="BQ192" s="825"/>
      <c r="BR192" s="825"/>
      <c r="BS192" s="825"/>
      <c r="BT192" s="825"/>
      <c r="BU192" s="825"/>
      <c r="BV192" s="825"/>
      <c r="BW192" s="825"/>
      <c r="BX192" s="825"/>
      <c r="BY192" s="825"/>
      <c r="BZ192" s="825"/>
      <c r="CA192" s="825"/>
      <c r="CB192" s="825"/>
      <c r="CC192" s="825"/>
    </row>
    <row r="193" spans="1:81" s="548" customFormat="1" ht="36" customHeight="1" x14ac:dyDescent="0.25">
      <c r="A193" s="825"/>
      <c r="B193" s="672"/>
      <c r="C193" s="1573"/>
      <c r="D193" s="1566"/>
      <c r="E193" s="1566"/>
      <c r="F193" s="1543"/>
      <c r="G193" s="1543"/>
      <c r="H193" s="1543"/>
      <c r="I193" s="1543"/>
      <c r="J193" s="1543"/>
      <c r="K193" s="1543"/>
      <c r="L193" s="1543"/>
      <c r="M193" s="645" t="s">
        <v>489</v>
      </c>
      <c r="N193" s="730" t="str">
        <f>N49</f>
        <v>Apropiación ilícita de conocimientos tradicionales</v>
      </c>
      <c r="O193" s="837" t="str">
        <f t="shared" si="5"/>
        <v>Derechos de los pueblos indígenas</v>
      </c>
      <c r="P193" s="536" t="str">
        <f>Z6</f>
        <v>DPI</v>
      </c>
      <c r="Q193" s="534" t="str">
        <f>AD20</f>
        <v>Registro de conocimientos tradicionales en INDECOPI</v>
      </c>
      <c r="R193" s="538" t="s">
        <v>774</v>
      </c>
      <c r="S193" s="540" t="s">
        <v>526</v>
      </c>
      <c r="T193" s="519" t="str">
        <f>AC20</f>
        <v>SDPI12</v>
      </c>
      <c r="U193" s="628"/>
      <c r="V193" s="478"/>
      <c r="W193" s="478"/>
      <c r="X193" s="273"/>
      <c r="Y193" s="825"/>
      <c r="Z193" s="825"/>
      <c r="AA193" s="825"/>
      <c r="AB193" s="825"/>
      <c r="AC193" s="825"/>
      <c r="AD193" s="825"/>
      <c r="AE193" s="825"/>
      <c r="AF193" s="825"/>
      <c r="AG193" s="825"/>
      <c r="AH193" s="825"/>
      <c r="AI193" s="825"/>
      <c r="AJ193" s="825"/>
      <c r="AK193" s="825"/>
      <c r="AL193" s="825"/>
      <c r="AM193" s="825"/>
      <c r="AN193" s="825"/>
      <c r="AO193" s="825"/>
      <c r="AP193" s="825"/>
      <c r="AQ193" s="825"/>
      <c r="AR193" s="825"/>
      <c r="AS193" s="825"/>
      <c r="AT193" s="825"/>
      <c r="AU193" s="825"/>
      <c r="AV193" s="825"/>
      <c r="AW193" s="825"/>
      <c r="AX193" s="825"/>
      <c r="AY193" s="273"/>
      <c r="AZ193" s="273"/>
      <c r="BA193" s="825"/>
      <c r="BB193" s="825"/>
      <c r="BC193" s="825"/>
      <c r="BD193" s="825"/>
      <c r="BE193" s="825"/>
      <c r="BF193" s="825"/>
      <c r="BG193" s="825"/>
      <c r="BH193" s="825"/>
      <c r="BI193" s="825"/>
      <c r="BJ193" s="825"/>
      <c r="BK193" s="825"/>
      <c r="BL193" s="825"/>
      <c r="BM193" s="825"/>
      <c r="BN193" s="825"/>
      <c r="BO193" s="825"/>
      <c r="BP193" s="825"/>
      <c r="BQ193" s="825"/>
      <c r="BR193" s="825"/>
      <c r="BS193" s="825"/>
      <c r="BT193" s="825"/>
      <c r="BU193" s="825"/>
      <c r="BV193" s="825"/>
      <c r="BW193" s="825"/>
      <c r="BX193" s="825"/>
      <c r="BY193" s="825"/>
      <c r="BZ193" s="825"/>
      <c r="CA193" s="825"/>
      <c r="CB193" s="825"/>
      <c r="CC193" s="825"/>
    </row>
    <row r="194" spans="1:81" ht="41.95" customHeight="1" x14ac:dyDescent="0.25">
      <c r="A194" s="825"/>
      <c r="B194" s="672" t="s">
        <v>866</v>
      </c>
      <c r="C194" s="1571" t="str">
        <f>'8. BASE  CONSOLIDADA'!E113</f>
        <v>2.4.6</v>
      </c>
      <c r="D194" s="1564" t="str">
        <f>'8. BASE  CONSOLIDADA'!F113</f>
        <v>Transferencias de incentivos por conservación de bosques</v>
      </c>
      <c r="E194" s="1564" t="str">
        <f>'8. BASE  CONSOLIDADA'!G113</f>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v>
      </c>
      <c r="F194" s="1535" t="str">
        <f>'8. BASE  CONSOLIDADA'!C113</f>
        <v>Territorios de comunidades nativas</v>
      </c>
      <c r="G194" s="1535" t="str">
        <f>VLOOKUP($C194,'8. BASE  CONSOLIDADA'!$E$7:$AS$308,13,FALSE)</f>
        <v>Comunidades atendidas</v>
      </c>
      <c r="H194" s="1535">
        <f>VLOOKUP($C194,'8. BASE  CONSOLIDADA'!$E$7:$AS$308,15,FALSE)</f>
        <v>9</v>
      </c>
      <c r="I194" s="1535">
        <f>VLOOKUP(C194,'8. BASE  CONSOLIDADA'!$E$7:$AS$308,20,FALSE)</f>
        <v>225000</v>
      </c>
      <c r="J194" s="1535">
        <f>I194*$J$6</f>
        <v>153</v>
      </c>
      <c r="K194" s="1535"/>
      <c r="L194" s="1535"/>
      <c r="M194" s="645" t="s">
        <v>489</v>
      </c>
      <c r="N194" s="730" t="str">
        <f>N45</f>
        <v>Programas de asistencia técnica no recogen enfoque intercultural y metodologías apropiadas para pueblos indígenas</v>
      </c>
      <c r="O194" s="837" t="str">
        <f t="shared" si="5"/>
        <v>Derechos de los pueblos indígenas</v>
      </c>
      <c r="P194" s="536" t="str">
        <f>Z6</f>
        <v>DPI</v>
      </c>
      <c r="Q194" s="534" t="str">
        <f>AD17</f>
        <v>Programas de asistencia técnica y capacitación específicos para pueblos indígenas, con enfoque intercultural y metodologías apropiadas para pueblos indígenas</v>
      </c>
      <c r="R194" s="538" t="s">
        <v>755</v>
      </c>
      <c r="S194" s="540" t="s">
        <v>507</v>
      </c>
      <c r="T194" s="519" t="str">
        <f>AC17</f>
        <v>SDPI9</v>
      </c>
      <c r="U194" s="628"/>
      <c r="V194" s="478"/>
      <c r="W194" s="478"/>
      <c r="X194" s="273"/>
      <c r="Y194" s="825"/>
      <c r="Z194" s="825"/>
      <c r="AA194" s="825"/>
      <c r="AB194" s="825"/>
      <c r="AC194" s="825"/>
      <c r="AD194" s="825"/>
      <c r="AE194" s="825"/>
      <c r="AF194" s="825"/>
      <c r="AG194" s="825"/>
      <c r="AH194" s="825"/>
      <c r="AI194" s="825"/>
      <c r="AJ194" s="825"/>
      <c r="AK194" s="825"/>
      <c r="AL194" s="825"/>
      <c r="AM194" s="825"/>
      <c r="AN194" s="825"/>
      <c r="AO194" s="825"/>
      <c r="AP194" s="825"/>
      <c r="AQ194" s="825"/>
      <c r="AR194" s="825"/>
      <c r="AS194" s="825"/>
      <c r="AT194" s="825"/>
      <c r="AU194" s="825"/>
      <c r="AV194" s="825"/>
      <c r="AW194" s="825"/>
      <c r="AX194" s="825"/>
      <c r="BA194" s="825"/>
      <c r="BB194" s="825"/>
      <c r="BC194" s="825"/>
      <c r="BD194" s="825"/>
      <c r="BE194" s="825"/>
      <c r="BF194" s="825"/>
      <c r="BG194" s="825"/>
      <c r="BH194" s="825"/>
      <c r="BI194" s="825"/>
      <c r="BJ194" s="825"/>
      <c r="BK194" s="825"/>
      <c r="BL194" s="825"/>
      <c r="BM194" s="825"/>
      <c r="BN194" s="825"/>
      <c r="BO194" s="825"/>
      <c r="BP194" s="825"/>
      <c r="BQ194" s="825"/>
      <c r="BR194" s="825"/>
      <c r="BS194" s="825"/>
      <c r="BT194" s="825"/>
      <c r="BU194" s="825"/>
      <c r="BV194" s="825"/>
      <c r="BW194" s="825"/>
      <c r="BX194" s="825"/>
      <c r="BY194" s="825"/>
      <c r="BZ194" s="825"/>
      <c r="CA194" s="825"/>
      <c r="CB194" s="825"/>
      <c r="CC194" s="825"/>
    </row>
    <row r="195" spans="1:81" s="548" customFormat="1" ht="56.25" customHeight="1" x14ac:dyDescent="0.25">
      <c r="A195" s="825"/>
      <c r="B195" s="672"/>
      <c r="C195" s="1572"/>
      <c r="D195" s="1565"/>
      <c r="E195" s="1565"/>
      <c r="F195" s="1536"/>
      <c r="G195" s="1536"/>
      <c r="H195" s="1536"/>
      <c r="I195" s="1536"/>
      <c r="J195" s="1536"/>
      <c r="K195" s="1536"/>
      <c r="L195" s="1536"/>
      <c r="M195" s="645" t="s">
        <v>489</v>
      </c>
      <c r="N195" s="730" t="str">
        <f>N57</f>
        <v>Apropiación ilícita de los recursos de las transferencias directas condicionadas y adquisiciones inadecuadas</v>
      </c>
      <c r="O195" s="837" t="str">
        <f t="shared" si="5"/>
        <v>Derechos de los pueblos indígenas</v>
      </c>
      <c r="P195" s="536" t="str">
        <f>Z6</f>
        <v>DPI</v>
      </c>
      <c r="Q195" s="534" t="str">
        <f>AD22</f>
        <v>Fortalecimiento de organizaciones indígenas</v>
      </c>
      <c r="R195" s="538" t="s">
        <v>802</v>
      </c>
      <c r="S195" s="540" t="s">
        <v>526</v>
      </c>
      <c r="T195" s="519" t="str">
        <f>AC22</f>
        <v>SDPI14</v>
      </c>
      <c r="U195" s="628"/>
      <c r="V195" s="478"/>
      <c r="W195" s="478"/>
      <c r="X195" s="273"/>
      <c r="Y195" s="825"/>
      <c r="Z195" s="825"/>
      <c r="AA195" s="825"/>
      <c r="AB195" s="825"/>
      <c r="AC195" s="825"/>
      <c r="AD195" s="825"/>
      <c r="AE195" s="825"/>
      <c r="AF195" s="825"/>
      <c r="AG195" s="825"/>
      <c r="AH195" s="825"/>
      <c r="AI195" s="825"/>
      <c r="AJ195" s="825"/>
      <c r="AK195" s="825"/>
      <c r="AL195" s="825"/>
      <c r="AM195" s="825"/>
      <c r="AN195" s="825"/>
      <c r="AO195" s="825"/>
      <c r="AP195" s="825"/>
      <c r="AQ195" s="825"/>
      <c r="AR195" s="825"/>
      <c r="AS195" s="825"/>
      <c r="AT195" s="825"/>
      <c r="AU195" s="825"/>
      <c r="AV195" s="825"/>
      <c r="AW195" s="825"/>
      <c r="AX195" s="825"/>
      <c r="AY195" s="273"/>
      <c r="AZ195" s="273"/>
      <c r="BA195" s="825"/>
      <c r="BB195" s="825"/>
      <c r="BC195" s="825"/>
      <c r="BD195" s="825"/>
      <c r="BE195" s="825"/>
      <c r="BF195" s="825"/>
      <c r="BG195" s="825"/>
      <c r="BH195" s="825"/>
      <c r="BI195" s="825"/>
      <c r="BJ195" s="825"/>
      <c r="BK195" s="825"/>
      <c r="BL195" s="825"/>
      <c r="BM195" s="825"/>
      <c r="BN195" s="825"/>
      <c r="BO195" s="825"/>
      <c r="BP195" s="825"/>
      <c r="BQ195" s="825"/>
      <c r="BR195" s="825"/>
      <c r="BS195" s="825"/>
      <c r="BT195" s="825"/>
      <c r="BU195" s="825"/>
      <c r="BV195" s="825"/>
      <c r="BW195" s="825"/>
      <c r="BX195" s="825"/>
      <c r="BY195" s="825"/>
      <c r="BZ195" s="825"/>
      <c r="CA195" s="825"/>
      <c r="CB195" s="825"/>
      <c r="CC195" s="825"/>
    </row>
    <row r="196" spans="1:81" s="548" customFormat="1" ht="36" customHeight="1" x14ac:dyDescent="0.25">
      <c r="A196" s="825"/>
      <c r="B196" s="672"/>
      <c r="C196" s="1573"/>
      <c r="D196" s="1566"/>
      <c r="E196" s="1566"/>
      <c r="F196" s="1543"/>
      <c r="G196" s="1543"/>
      <c r="H196" s="1543"/>
      <c r="I196" s="1543"/>
      <c r="J196" s="1543"/>
      <c r="K196" s="1543"/>
      <c r="L196" s="1543"/>
      <c r="M196" s="645" t="s">
        <v>489</v>
      </c>
      <c r="N196" s="730" t="str">
        <f>N57</f>
        <v>Apropiación ilícita de los recursos de las transferencias directas condicionadas y adquisiciones inadecuadas</v>
      </c>
      <c r="O196" s="837" t="str">
        <f t="shared" si="5"/>
        <v>Corrupción</v>
      </c>
      <c r="P196" s="536" t="e">
        <f>#REF!</f>
        <v>#REF!</v>
      </c>
      <c r="Q196" s="534" t="str">
        <f>AG11</f>
        <v>Transparencia en las adquisiciones vinculadas a la ERDRBE</v>
      </c>
      <c r="R196" s="538" t="s">
        <v>805</v>
      </c>
      <c r="S196" s="540" t="s">
        <v>526</v>
      </c>
      <c r="T196" s="519" t="str">
        <f>AF11</f>
        <v>SCR3</v>
      </c>
      <c r="U196" s="628"/>
      <c r="V196" s="478"/>
      <c r="W196" s="478"/>
      <c r="X196" s="273"/>
      <c r="Y196" s="825"/>
      <c r="Z196" s="825"/>
      <c r="AA196" s="825"/>
      <c r="AB196" s="825"/>
      <c r="AC196" s="825"/>
      <c r="AD196" s="825"/>
      <c r="AE196" s="825"/>
      <c r="AF196" s="825"/>
      <c r="AG196" s="825"/>
      <c r="AH196" s="825"/>
      <c r="AI196" s="825"/>
      <c r="AJ196" s="825"/>
      <c r="AK196" s="825"/>
      <c r="AL196" s="825"/>
      <c r="AM196" s="825"/>
      <c r="AN196" s="825"/>
      <c r="AO196" s="825"/>
      <c r="AP196" s="825"/>
      <c r="AQ196" s="825"/>
      <c r="AR196" s="825"/>
      <c r="AS196" s="825"/>
      <c r="AT196" s="825"/>
      <c r="AU196" s="825"/>
      <c r="AV196" s="825"/>
      <c r="AW196" s="825"/>
      <c r="AX196" s="825"/>
      <c r="AY196" s="273"/>
      <c r="AZ196" s="273"/>
      <c r="BA196" s="825"/>
      <c r="BB196" s="825"/>
      <c r="BC196" s="825"/>
      <c r="BD196" s="825"/>
      <c r="BE196" s="825"/>
      <c r="BF196" s="825"/>
      <c r="BG196" s="825"/>
      <c r="BH196" s="825"/>
      <c r="BI196" s="825"/>
      <c r="BJ196" s="825"/>
      <c r="BK196" s="825"/>
      <c r="BL196" s="825"/>
      <c r="BM196" s="825"/>
      <c r="BN196" s="825"/>
      <c r="BO196" s="825"/>
      <c r="BP196" s="825"/>
      <c r="BQ196" s="825"/>
      <c r="BR196" s="825"/>
      <c r="BS196" s="825"/>
      <c r="BT196" s="825"/>
      <c r="BU196" s="825"/>
      <c r="BV196" s="825"/>
      <c r="BW196" s="825"/>
      <c r="BX196" s="825"/>
      <c r="BY196" s="825"/>
      <c r="BZ196" s="825"/>
      <c r="CA196" s="825"/>
      <c r="CB196" s="825"/>
      <c r="CC196" s="825"/>
    </row>
    <row r="197" spans="1:81" ht="45.7" customHeight="1" x14ac:dyDescent="0.25">
      <c r="A197" s="825"/>
      <c r="B197" s="672" t="s">
        <v>866</v>
      </c>
      <c r="C197" s="1571" t="str">
        <f>'8. BASE  CONSOLIDADA'!E115</f>
        <v>2.4.8</v>
      </c>
      <c r="D197" s="1564" t="str">
        <f>'8. BASE  CONSOLIDADA'!F115</f>
        <v>Servicios básicos de calidad</v>
      </c>
      <c r="E197" s="1564" t="str">
        <f>'8. BASE  CONSOLIDADA'!G115</f>
        <v xml:space="preserve">Implementación de proyectos enfocados a mejorar los servicios básicos de las comunidades nativas, dichos servicios deberán contar con profesionales bilingües, para asegurar y garantizar la adecuada transferencia de dichos servicios.  </v>
      </c>
      <c r="F197" s="1535" t="str">
        <f>'8. BASE  CONSOLIDADA'!C115</f>
        <v>Territorios de comunidades nativas</v>
      </c>
      <c r="G197" s="1535" t="str">
        <f>VLOOKUP($C197,'8. BASE  CONSOLIDADA'!$E$7:$AS$308,13,FALSE)</f>
        <v>Escuelas y postas médicas implementadas</v>
      </c>
      <c r="H197" s="1535">
        <f>VLOOKUP($C197,'8. BASE  CONSOLIDADA'!$E$7:$AS$308,15,FALSE)</f>
        <v>8</v>
      </c>
      <c r="I197" s="1535">
        <f>VLOOKUP(C197,'8. BASE  CONSOLIDADA'!$E$7:$AS$308,20,FALSE)</f>
        <v>2000000</v>
      </c>
      <c r="J197" s="1535">
        <f>I197*$J$6</f>
        <v>1360</v>
      </c>
      <c r="K197" s="1535"/>
      <c r="L197" s="1535"/>
      <c r="M197" s="645" t="s">
        <v>489</v>
      </c>
      <c r="N197" s="730" t="str">
        <f>N59</f>
        <v>Programas de servicios básicos de salud y educación diseñados sin enfoque intercultural</v>
      </c>
      <c r="O197" s="837" t="str">
        <f t="shared" si="5"/>
        <v>Derechos de los pueblos indígenas</v>
      </c>
      <c r="P197" s="536" t="str">
        <f>Z6</f>
        <v>DPI</v>
      </c>
      <c r="Q197" s="534" t="str">
        <f>AD16</f>
        <v>Diseño de servicios básicos con enfoque intercultural</v>
      </c>
      <c r="R197" s="538" t="s">
        <v>809</v>
      </c>
      <c r="S197" s="540" t="s">
        <v>507</v>
      </c>
      <c r="T197" s="519" t="str">
        <f>AC16</f>
        <v>SDPI8</v>
      </c>
      <c r="U197" s="628"/>
      <c r="V197" s="478"/>
      <c r="W197" s="478"/>
      <c r="X197" s="273"/>
      <c r="Y197" s="825"/>
      <c r="Z197" s="825"/>
      <c r="AA197" s="825"/>
      <c r="AB197" s="825"/>
      <c r="AC197" s="825"/>
      <c r="AD197" s="825"/>
      <c r="AE197" s="825"/>
      <c r="AF197" s="825"/>
      <c r="AG197" s="825"/>
      <c r="AH197" s="825"/>
      <c r="AI197" s="825"/>
      <c r="AJ197" s="825"/>
      <c r="AK197" s="825"/>
      <c r="AL197" s="825"/>
      <c r="AM197" s="825"/>
      <c r="AN197" s="825"/>
      <c r="AO197" s="825"/>
      <c r="AP197" s="825"/>
      <c r="AQ197" s="825"/>
      <c r="AR197" s="825"/>
      <c r="AS197" s="825"/>
      <c r="AT197" s="825"/>
      <c r="AU197" s="825"/>
      <c r="AV197" s="825"/>
      <c r="AW197" s="825"/>
      <c r="AX197" s="825"/>
      <c r="BA197" s="825"/>
      <c r="BB197" s="825"/>
      <c r="BC197" s="825"/>
      <c r="BD197" s="825"/>
      <c r="BE197" s="825"/>
      <c r="BF197" s="825"/>
      <c r="BG197" s="825"/>
      <c r="BH197" s="825"/>
      <c r="BI197" s="825"/>
      <c r="BJ197" s="825"/>
      <c r="BK197" s="825"/>
      <c r="BL197" s="825"/>
      <c r="BM197" s="825"/>
      <c r="BN197" s="825"/>
      <c r="BO197" s="825"/>
      <c r="BP197" s="825"/>
      <c r="BQ197" s="825"/>
      <c r="BR197" s="825"/>
      <c r="BS197" s="825"/>
      <c r="BT197" s="825"/>
      <c r="BU197" s="825"/>
      <c r="BV197" s="825"/>
      <c r="BW197" s="825"/>
      <c r="BX197" s="825"/>
      <c r="BY197" s="825"/>
      <c r="BZ197" s="825"/>
      <c r="CA197" s="825"/>
      <c r="CB197" s="825"/>
      <c r="CC197" s="825"/>
    </row>
    <row r="198" spans="1:81" s="548" customFormat="1" ht="55.55" customHeight="1" x14ac:dyDescent="0.25">
      <c r="A198" s="825"/>
      <c r="B198" s="672"/>
      <c r="C198" s="1572"/>
      <c r="D198" s="1565"/>
      <c r="E198" s="1565"/>
      <c r="F198" s="1536"/>
      <c r="G198" s="1536"/>
      <c r="H198" s="1536"/>
      <c r="I198" s="1536"/>
      <c r="J198" s="1536"/>
      <c r="K198" s="1536"/>
      <c r="L198" s="1536"/>
      <c r="M198" s="645" t="s">
        <v>489</v>
      </c>
      <c r="N198" s="730" t="str">
        <f>N60</f>
        <v>Exclusión de servicios básicos a mujeres indígenas</v>
      </c>
      <c r="O198" s="837" t="str">
        <f t="shared" si="5"/>
        <v>Género</v>
      </c>
      <c r="P198" s="536" t="str">
        <f>AC6</f>
        <v>GN</v>
      </c>
      <c r="Q198" s="534" t="str">
        <f>AJ18</f>
        <v>Diseño de servicios básicos de educación y salud adaptados a las necesidades de las mujeres indígenas</v>
      </c>
      <c r="R198" s="538" t="s">
        <v>811</v>
      </c>
      <c r="S198" s="540" t="s">
        <v>507</v>
      </c>
      <c r="T198" s="519" t="str">
        <f>AI18</f>
        <v>SGN10</v>
      </c>
      <c r="U198" s="628"/>
      <c r="V198" s="478"/>
      <c r="W198" s="478"/>
      <c r="X198" s="273"/>
      <c r="Y198" s="825"/>
      <c r="Z198" s="825"/>
      <c r="AA198" s="825"/>
      <c r="AB198" s="825"/>
      <c r="AC198" s="825"/>
      <c r="AD198" s="825"/>
      <c r="AE198" s="825"/>
      <c r="AF198" s="825"/>
      <c r="AG198" s="825"/>
      <c r="AH198" s="825"/>
      <c r="AI198" s="825"/>
      <c r="AJ198" s="825"/>
      <c r="AK198" s="825"/>
      <c r="AL198" s="825"/>
      <c r="AM198" s="825"/>
      <c r="AN198" s="825"/>
      <c r="AO198" s="825"/>
      <c r="AP198" s="825"/>
      <c r="AQ198" s="825"/>
      <c r="AR198" s="825"/>
      <c r="AS198" s="825"/>
      <c r="AT198" s="825"/>
      <c r="AU198" s="825"/>
      <c r="AV198" s="825"/>
      <c r="AW198" s="825"/>
      <c r="AX198" s="825"/>
      <c r="AY198" s="273"/>
      <c r="AZ198" s="273"/>
      <c r="BA198" s="825"/>
      <c r="BB198" s="825"/>
      <c r="BC198" s="825"/>
      <c r="BD198" s="825"/>
      <c r="BE198" s="825"/>
      <c r="BF198" s="825"/>
      <c r="BG198" s="825"/>
      <c r="BH198" s="825"/>
      <c r="BI198" s="825"/>
      <c r="BJ198" s="825"/>
      <c r="BK198" s="825"/>
      <c r="BL198" s="825"/>
      <c r="BM198" s="825"/>
      <c r="BN198" s="825"/>
      <c r="BO198" s="825"/>
      <c r="BP198" s="825"/>
      <c r="BQ198" s="825"/>
      <c r="BR198" s="825"/>
      <c r="BS198" s="825"/>
      <c r="BT198" s="825"/>
      <c r="BU198" s="825"/>
      <c r="BV198" s="825"/>
      <c r="BW198" s="825"/>
      <c r="BX198" s="825"/>
      <c r="BY198" s="825"/>
      <c r="BZ198" s="825"/>
      <c r="CA198" s="825"/>
      <c r="CB198" s="825"/>
      <c r="CC198" s="825"/>
    </row>
    <row r="199" spans="1:81" s="548" customFormat="1" ht="36.700000000000003" customHeight="1" x14ac:dyDescent="0.25">
      <c r="A199" s="825"/>
      <c r="B199" s="672"/>
      <c r="C199" s="1573"/>
      <c r="D199" s="1566"/>
      <c r="E199" s="1566"/>
      <c r="F199" s="1543"/>
      <c r="G199" s="1543"/>
      <c r="H199" s="1543"/>
      <c r="I199" s="1543"/>
      <c r="J199" s="1543"/>
      <c r="K199" s="1543"/>
      <c r="L199" s="1543"/>
      <c r="M199" s="649" t="s">
        <v>489</v>
      </c>
      <c r="N199" s="730" t="str">
        <f>N61</f>
        <v>Restricción de disponibilidad y acceso a servicios básicos</v>
      </c>
      <c r="O199" s="837" t="str">
        <f t="shared" si="5"/>
        <v>Derechos humanos</v>
      </c>
      <c r="P199" s="536" t="str">
        <f>AF6</f>
        <v>DH</v>
      </c>
      <c r="Q199" s="534" t="str">
        <f>AP9</f>
        <v xml:space="preserve">Adecuado acceso a servicios básicos de salud y educación </v>
      </c>
      <c r="R199" s="538" t="s">
        <v>813</v>
      </c>
      <c r="S199" s="540" t="s">
        <v>526</v>
      </c>
      <c r="T199" s="519" t="str">
        <f>AO9</f>
        <v>SDH1</v>
      </c>
      <c r="U199" s="628"/>
      <c r="V199" s="478"/>
      <c r="W199" s="478"/>
      <c r="X199" s="273"/>
      <c r="Y199" s="825"/>
      <c r="Z199" s="825"/>
      <c r="AA199" s="825"/>
      <c r="AB199" s="825"/>
      <c r="AC199" s="825"/>
      <c r="AD199" s="825"/>
      <c r="AE199" s="825"/>
      <c r="AF199" s="825"/>
      <c r="AG199" s="825"/>
      <c r="AH199" s="825"/>
      <c r="AI199" s="825"/>
      <c r="AJ199" s="825"/>
      <c r="AK199" s="825"/>
      <c r="AL199" s="825"/>
      <c r="AM199" s="825"/>
      <c r="AN199" s="825"/>
      <c r="AO199" s="825"/>
      <c r="AP199" s="825"/>
      <c r="AQ199" s="825"/>
      <c r="AR199" s="825"/>
      <c r="AS199" s="825"/>
      <c r="AT199" s="825"/>
      <c r="AU199" s="825"/>
      <c r="AV199" s="825"/>
      <c r="AW199" s="825"/>
      <c r="AX199" s="825"/>
      <c r="AY199" s="273"/>
      <c r="AZ199" s="273"/>
      <c r="BA199" s="825"/>
      <c r="BB199" s="825"/>
      <c r="BC199" s="825"/>
      <c r="BD199" s="825"/>
      <c r="BE199" s="825"/>
      <c r="BF199" s="825"/>
      <c r="BG199" s="825"/>
      <c r="BH199" s="825"/>
      <c r="BI199" s="825"/>
      <c r="BJ199" s="825"/>
      <c r="BK199" s="825"/>
      <c r="BL199" s="825"/>
      <c r="BM199" s="825"/>
      <c r="BN199" s="825"/>
      <c r="BO199" s="825"/>
      <c r="BP199" s="825"/>
      <c r="BQ199" s="825"/>
      <c r="BR199" s="825"/>
      <c r="BS199" s="825"/>
      <c r="BT199" s="825"/>
      <c r="BU199" s="825"/>
      <c r="BV199" s="825"/>
      <c r="BW199" s="825"/>
      <c r="BX199" s="825"/>
      <c r="BY199" s="825"/>
      <c r="BZ199" s="825"/>
      <c r="CA199" s="825"/>
      <c r="CB199" s="825"/>
      <c r="CC199" s="825"/>
    </row>
    <row r="200" spans="1:81" ht="54" customHeight="1" x14ac:dyDescent="0.25">
      <c r="A200" s="825"/>
      <c r="B200" s="672" t="s">
        <v>866</v>
      </c>
      <c r="C200" s="1571" t="str">
        <f>'8. BASE  CONSOLIDADA'!E120</f>
        <v>2.6.1</v>
      </c>
      <c r="D200" s="1564" t="str">
        <f>'8. BASE  CONSOLIDADA'!F120</f>
        <v>Fortalecer el control y vigilancia</v>
      </c>
      <c r="E200" s="1564" t="str">
        <f>'8. BASE  CONSOLIDADA'!G120</f>
        <v>Implementar con recursos necesarios al ente que administra el área, con la finalidad de aumentar el número de personas (guardaparques) que contribuyan a realizar acciones de control y vigilancia.</v>
      </c>
      <c r="F200" s="1564" t="str">
        <f>'8. BASE  CONSOLIDADA'!C120</f>
        <v>Bosque de Protección Alto Mayo</v>
      </c>
      <c r="G200" s="1564" t="str">
        <f>VLOOKUP($C200,'8. BASE  CONSOLIDADA'!$E$7:$AS$308,13,FALSE)</f>
        <v>Número de guardaparques</v>
      </c>
      <c r="H200" s="1564">
        <f>VLOOKUP($C200,'8. BASE  CONSOLIDADA'!$E$7:$AS$308,15,FALSE)</f>
        <v>10</v>
      </c>
      <c r="I200" s="1564">
        <f>VLOOKUP(C200,'8. BASE  CONSOLIDADA'!$E$7:$AS$308,20,FALSE)</f>
        <v>1200000</v>
      </c>
      <c r="J200" s="1564">
        <f>I200*$J$6</f>
        <v>816.00000000000011</v>
      </c>
      <c r="K200" s="1564"/>
      <c r="L200" s="1564"/>
      <c r="M200" s="649" t="s">
        <v>489</v>
      </c>
      <c r="N200" s="730" t="str">
        <f>N62</f>
        <v>Cohecho en el control y vigilancia de recursos naturales</v>
      </c>
      <c r="O200" s="837" t="str">
        <f t="shared" si="5"/>
        <v>Corrupción</v>
      </c>
      <c r="P200" s="536" t="e">
        <f>#REF!</f>
        <v>#REF!</v>
      </c>
      <c r="Q200" s="534" t="str">
        <f>AG12</f>
        <v>Implementación de sistema anticorrupción en coordinación con el Ministerio Público</v>
      </c>
      <c r="R200" s="538" t="s">
        <v>778</v>
      </c>
      <c r="S200" s="540" t="s">
        <v>526</v>
      </c>
      <c r="T200" s="519" t="str">
        <f>AF12</f>
        <v>SCR4</v>
      </c>
      <c r="U200" s="628"/>
      <c r="V200" s="478"/>
      <c r="W200" s="478"/>
      <c r="X200" s="273"/>
      <c r="Y200" s="825"/>
      <c r="Z200" s="825"/>
      <c r="AA200" s="825"/>
      <c r="AB200" s="825"/>
      <c r="AC200" s="825"/>
      <c r="AD200" s="825"/>
      <c r="AE200" s="825"/>
      <c r="AF200" s="825"/>
      <c r="AG200" s="825"/>
      <c r="AH200" s="825"/>
      <c r="AI200" s="825"/>
      <c r="AJ200" s="825"/>
      <c r="AK200" s="825"/>
      <c r="AL200" s="825"/>
      <c r="AM200" s="825"/>
      <c r="AN200" s="825"/>
      <c r="AO200" s="825"/>
      <c r="AP200" s="825"/>
      <c r="AQ200" s="825"/>
      <c r="AR200" s="825"/>
      <c r="AS200" s="825"/>
      <c r="AT200" s="825"/>
      <c r="AU200" s="825"/>
      <c r="AV200" s="825"/>
      <c r="AW200" s="825"/>
      <c r="AX200" s="825"/>
      <c r="BA200" s="825"/>
      <c r="BB200" s="825"/>
      <c r="BC200" s="825"/>
      <c r="BD200" s="825"/>
      <c r="BE200" s="825"/>
      <c r="BF200" s="825"/>
      <c r="BG200" s="825"/>
      <c r="BH200" s="825"/>
      <c r="BI200" s="825"/>
      <c r="BJ200" s="825"/>
      <c r="BK200" s="825"/>
      <c r="BL200" s="825"/>
      <c r="BM200" s="825"/>
      <c r="BN200" s="825"/>
      <c r="BO200" s="825"/>
      <c r="BP200" s="825"/>
      <c r="BQ200" s="825"/>
      <c r="BR200" s="825"/>
      <c r="BS200" s="825"/>
      <c r="BT200" s="825"/>
      <c r="BU200" s="825"/>
      <c r="BV200" s="825"/>
      <c r="BW200" s="825"/>
      <c r="BX200" s="825"/>
      <c r="BY200" s="825"/>
      <c r="BZ200" s="825"/>
      <c r="CA200" s="825"/>
      <c r="CB200" s="825"/>
      <c r="CC200" s="825"/>
    </row>
    <row r="201" spans="1:81" s="548" customFormat="1" ht="36" customHeight="1" x14ac:dyDescent="0.25">
      <c r="A201" s="825"/>
      <c r="B201" s="672"/>
      <c r="C201" s="1572"/>
      <c r="D201" s="1565"/>
      <c r="E201" s="1565"/>
      <c r="F201" s="1565"/>
      <c r="G201" s="1565"/>
      <c r="H201" s="1565"/>
      <c r="I201" s="1565"/>
      <c r="J201" s="1565"/>
      <c r="K201" s="1565"/>
      <c r="L201" s="1565"/>
      <c r="M201" s="649" t="s">
        <v>489</v>
      </c>
      <c r="N201" s="730" t="str">
        <f>N62</f>
        <v>Cohecho en el control y vigilancia de recursos naturales</v>
      </c>
      <c r="O201" s="837" t="str">
        <f t="shared" si="5"/>
        <v>Corrupción</v>
      </c>
      <c r="P201" s="536" t="e">
        <f>#REF!</f>
        <v>#REF!</v>
      </c>
      <c r="Q201" s="534" t="str">
        <f>AG13</f>
        <v xml:space="preserve">Inclusión de población local y rondas en sistemas de control y vigilancia para reducir la deforestación </v>
      </c>
      <c r="R201" s="538" t="s">
        <v>816</v>
      </c>
      <c r="S201" s="540" t="s">
        <v>526</v>
      </c>
      <c r="T201" s="519" t="str">
        <f>AF13</f>
        <v>SCR5</v>
      </c>
      <c r="U201" s="628"/>
      <c r="V201" s="478"/>
      <c r="W201" s="478"/>
      <c r="X201" s="273"/>
      <c r="Y201" s="825"/>
      <c r="Z201" s="825"/>
      <c r="AA201" s="825"/>
      <c r="AB201" s="825"/>
      <c r="AC201" s="825"/>
      <c r="AD201" s="825"/>
      <c r="AE201" s="825"/>
      <c r="AF201" s="825"/>
      <c r="AG201" s="825"/>
      <c r="AH201" s="825"/>
      <c r="AI201" s="825"/>
      <c r="AJ201" s="825"/>
      <c r="AK201" s="825"/>
      <c r="AL201" s="825"/>
      <c r="AM201" s="825"/>
      <c r="AN201" s="825"/>
      <c r="AO201" s="825"/>
      <c r="AP201" s="825"/>
      <c r="AQ201" s="825"/>
      <c r="AR201" s="825"/>
      <c r="AS201" s="825"/>
      <c r="AT201" s="825"/>
      <c r="AU201" s="825"/>
      <c r="AV201" s="825"/>
      <c r="AW201" s="825"/>
      <c r="AX201" s="825"/>
      <c r="AY201" s="273"/>
      <c r="AZ201" s="273"/>
      <c r="BA201" s="825"/>
      <c r="BB201" s="825"/>
      <c r="BC201" s="825"/>
      <c r="BD201" s="825"/>
      <c r="BE201" s="825"/>
      <c r="BF201" s="825"/>
      <c r="BG201" s="825"/>
      <c r="BH201" s="825"/>
      <c r="BI201" s="825"/>
      <c r="BJ201" s="825"/>
      <c r="BK201" s="825"/>
      <c r="BL201" s="825"/>
      <c r="BM201" s="825"/>
      <c r="BN201" s="825"/>
      <c r="BO201" s="825"/>
      <c r="BP201" s="825"/>
      <c r="BQ201" s="825"/>
      <c r="BR201" s="825"/>
      <c r="BS201" s="825"/>
      <c r="BT201" s="825"/>
      <c r="BU201" s="825"/>
      <c r="BV201" s="825"/>
      <c r="BW201" s="825"/>
      <c r="BX201" s="825"/>
      <c r="BY201" s="825"/>
      <c r="BZ201" s="825"/>
      <c r="CA201" s="825"/>
      <c r="CB201" s="825"/>
      <c r="CC201" s="825"/>
    </row>
    <row r="202" spans="1:81" s="548" customFormat="1" ht="36" customHeight="1" x14ac:dyDescent="0.25">
      <c r="A202" s="825"/>
      <c r="B202" s="672"/>
      <c r="C202" s="1572"/>
      <c r="D202" s="1565"/>
      <c r="E202" s="1565"/>
      <c r="F202" s="1565"/>
      <c r="G202" s="1565"/>
      <c r="H202" s="1565"/>
      <c r="I202" s="1565"/>
      <c r="J202" s="1565"/>
      <c r="K202" s="1565"/>
      <c r="L202" s="1565"/>
      <c r="M202" s="833" t="s">
        <v>489</v>
      </c>
      <c r="N202" s="730" t="str">
        <f>N64</f>
        <v>Adquisición inadecuada de recursos para el control y vigilancia</v>
      </c>
      <c r="O202" s="837" t="str">
        <f t="shared" si="5"/>
        <v>Corrupción</v>
      </c>
      <c r="P202" s="536" t="e">
        <f>#REF!</f>
        <v>#REF!</v>
      </c>
      <c r="Q202" s="534" t="str">
        <f>AG11</f>
        <v>Transparencia en las adquisiciones vinculadas a la ERDRBE</v>
      </c>
      <c r="R202" s="538" t="s">
        <v>805</v>
      </c>
      <c r="S202" s="540" t="s">
        <v>526</v>
      </c>
      <c r="T202" s="519" t="str">
        <f>AF11</f>
        <v>SCR3</v>
      </c>
      <c r="U202" s="628"/>
      <c r="V202" s="478"/>
      <c r="W202" s="478"/>
      <c r="X202" s="273"/>
      <c r="Y202" s="825"/>
      <c r="Z202" s="825"/>
      <c r="AA202" s="825"/>
      <c r="AB202" s="825"/>
      <c r="AC202" s="825"/>
      <c r="AD202" s="825"/>
      <c r="AE202" s="825"/>
      <c r="AF202" s="825"/>
      <c r="AG202" s="825"/>
      <c r="AH202" s="825"/>
      <c r="AI202" s="825"/>
      <c r="AJ202" s="825"/>
      <c r="AK202" s="825"/>
      <c r="AL202" s="825"/>
      <c r="AM202" s="825"/>
      <c r="AN202" s="825"/>
      <c r="AO202" s="825"/>
      <c r="AP202" s="825"/>
      <c r="AQ202" s="825"/>
      <c r="AR202" s="825"/>
      <c r="AS202" s="825"/>
      <c r="AT202" s="825"/>
      <c r="AU202" s="825"/>
      <c r="AV202" s="825"/>
      <c r="AW202" s="825"/>
      <c r="AX202" s="825"/>
      <c r="AY202" s="273"/>
      <c r="AZ202" s="273"/>
      <c r="BA202" s="825"/>
      <c r="BB202" s="825"/>
      <c r="BC202" s="825"/>
      <c r="BD202" s="825"/>
      <c r="BE202" s="825"/>
      <c r="BF202" s="825"/>
      <c r="BG202" s="825"/>
      <c r="BH202" s="825"/>
      <c r="BI202" s="825"/>
      <c r="BJ202" s="825"/>
      <c r="BK202" s="825"/>
      <c r="BL202" s="825"/>
      <c r="BM202" s="825"/>
      <c r="BN202" s="825"/>
      <c r="BO202" s="825"/>
      <c r="BP202" s="825"/>
      <c r="BQ202" s="825"/>
      <c r="BR202" s="825"/>
      <c r="BS202" s="825"/>
      <c r="BT202" s="825"/>
      <c r="BU202" s="825"/>
      <c r="BV202" s="825"/>
      <c r="BW202" s="825"/>
      <c r="BX202" s="825"/>
      <c r="BY202" s="825"/>
      <c r="BZ202" s="825"/>
      <c r="CA202" s="825"/>
      <c r="CB202" s="825"/>
      <c r="CC202" s="825"/>
    </row>
    <row r="203" spans="1:81" s="548" customFormat="1" ht="36" customHeight="1" x14ac:dyDescent="0.25">
      <c r="A203" s="825"/>
      <c r="B203" s="672"/>
      <c r="C203" s="1573"/>
      <c r="D203" s="1566"/>
      <c r="E203" s="1566"/>
      <c r="F203" s="1566"/>
      <c r="G203" s="1566"/>
      <c r="H203" s="1566"/>
      <c r="I203" s="1566"/>
      <c r="J203" s="1566"/>
      <c r="K203" s="1566"/>
      <c r="L203" s="1566"/>
      <c r="M203" s="649" t="s">
        <v>489</v>
      </c>
      <c r="N203" s="730" t="str">
        <f>N65</f>
        <v>Exclusión de mujeres rurales en iniciativas de control y vigilancia</v>
      </c>
      <c r="O203" s="837" t="str">
        <f t="shared" si="5"/>
        <v>Género</v>
      </c>
      <c r="P203" s="536" t="str">
        <f>AC6</f>
        <v>GN</v>
      </c>
      <c r="Q203" s="534" t="str">
        <f>AJ19</f>
        <v xml:space="preserve">Inclusión de mujeres rurales y sus organizaciones en iniciativas de control y vigilancia de la deforestación </v>
      </c>
      <c r="R203" s="538" t="s">
        <v>820</v>
      </c>
      <c r="S203" s="540" t="s">
        <v>507</v>
      </c>
      <c r="T203" s="519" t="str">
        <f>AI19</f>
        <v>SGN11</v>
      </c>
      <c r="U203" s="628"/>
      <c r="V203" s="478"/>
      <c r="W203" s="478"/>
      <c r="X203" s="273"/>
      <c r="Y203" s="825"/>
      <c r="Z203" s="825"/>
      <c r="AA203" s="825"/>
      <c r="AB203" s="825"/>
      <c r="AC203" s="825"/>
      <c r="AD203" s="825"/>
      <c r="AE203" s="825"/>
      <c r="AF203" s="825"/>
      <c r="AG203" s="825"/>
      <c r="AH203" s="825"/>
      <c r="AI203" s="825"/>
      <c r="AJ203" s="825"/>
      <c r="AK203" s="825"/>
      <c r="AL203" s="825"/>
      <c r="AM203" s="825"/>
      <c r="AN203" s="825"/>
      <c r="AO203" s="825"/>
      <c r="AP203" s="825"/>
      <c r="AQ203" s="825"/>
      <c r="AR203" s="825"/>
      <c r="AS203" s="825"/>
      <c r="AT203" s="825"/>
      <c r="AU203" s="825"/>
      <c r="AV203" s="825"/>
      <c r="AW203" s="825"/>
      <c r="AX203" s="825"/>
      <c r="AY203" s="273"/>
      <c r="AZ203" s="273"/>
      <c r="BA203" s="825"/>
      <c r="BB203" s="825"/>
      <c r="BC203" s="825"/>
      <c r="BD203" s="825"/>
      <c r="BE203" s="825"/>
      <c r="BF203" s="825"/>
      <c r="BG203" s="825"/>
      <c r="BH203" s="825"/>
      <c r="BI203" s="825"/>
      <c r="BJ203" s="825"/>
      <c r="BK203" s="825"/>
      <c r="BL203" s="825"/>
      <c r="BM203" s="825"/>
      <c r="BN203" s="825"/>
      <c r="BO203" s="825"/>
      <c r="BP203" s="825"/>
      <c r="BQ203" s="825"/>
      <c r="BR203" s="825"/>
      <c r="BS203" s="825"/>
      <c r="BT203" s="825"/>
      <c r="BU203" s="825"/>
      <c r="BV203" s="825"/>
      <c r="BW203" s="825"/>
      <c r="BX203" s="825"/>
      <c r="BY203" s="825"/>
      <c r="BZ203" s="825"/>
      <c r="CA203" s="825"/>
      <c r="CB203" s="825"/>
      <c r="CC203" s="825"/>
    </row>
    <row r="204" spans="1:81" ht="54.7" customHeight="1" x14ac:dyDescent="0.25">
      <c r="A204" s="825"/>
      <c r="B204" s="672" t="s">
        <v>866</v>
      </c>
      <c r="C204" s="1571" t="str">
        <f>'8. BASE  CONSOLIDADA'!E122</f>
        <v>2.6.3</v>
      </c>
      <c r="D204" s="1564" t="str">
        <f>'8. BASE  CONSOLIDADA'!F122</f>
        <v>Promover acuerdos de conservación con cadena de valor para aquellos productos sostenibles con el ANP</v>
      </c>
      <c r="E204" s="1564" t="str">
        <f>'8. BASE  CONSOLIDADA'!G122</f>
        <v>Promover la planificación comunal en centros poblados del interior en base a la zonificación y zona de amortiguamiento teniendo como base al Plan Maestro (incluye acuerdos de conservación)</v>
      </c>
      <c r="F204" s="1535" t="str">
        <f>'8. BASE  CONSOLIDADA'!C122</f>
        <v>Bosque de Protección Alto Mayo</v>
      </c>
      <c r="G204" s="1535" t="str">
        <f>VLOOKUP($C204,'8. BASE  CONSOLIDADA'!$E$7:$AS$308,13,FALSE)</f>
        <v>Planes de gestión comunal</v>
      </c>
      <c r="H204" s="1535">
        <f>VLOOKUP($C204,'8. BASE  CONSOLIDADA'!$E$7:$AS$308,15,FALSE)</f>
        <v>24</v>
      </c>
      <c r="I204" s="1535">
        <f>VLOOKUP(C204,'8. BASE  CONSOLIDADA'!$E$7:$AS$308,20,FALSE)</f>
        <v>240000</v>
      </c>
      <c r="J204" s="1535">
        <f>I204*$J$6</f>
        <v>163.20000000000002</v>
      </c>
      <c r="K204" s="1535"/>
      <c r="L204" s="1535"/>
      <c r="M204" s="645" t="s">
        <v>489</v>
      </c>
      <c r="N204" s="730" t="str">
        <f>N66</f>
        <v>No se considera la opinión de las mujeres rurales en proceso de planificación comunal de centros poblados y desarrollo de acuerdos de conservación en ANP y su zona de amortiguamiento</v>
      </c>
      <c r="O204" s="837" t="str">
        <f t="shared" si="5"/>
        <v>Género</v>
      </c>
      <c r="P204" s="536" t="str">
        <f>AC6</f>
        <v>GN</v>
      </c>
      <c r="Q204" s="534" t="str">
        <f>AJ18</f>
        <v>Diseño de servicios básicos de educación y salud adaptados a las necesidades de las mujeres indígenas</v>
      </c>
      <c r="R204" s="538" t="s">
        <v>811</v>
      </c>
      <c r="S204" s="540" t="s">
        <v>507</v>
      </c>
      <c r="T204" s="519" t="str">
        <f>AI18</f>
        <v>SGN10</v>
      </c>
      <c r="U204" s="628"/>
      <c r="V204" s="478"/>
      <c r="W204" s="478"/>
      <c r="X204" s="273"/>
      <c r="Y204" s="825"/>
      <c r="Z204" s="825"/>
      <c r="AA204" s="825"/>
      <c r="AB204" s="825"/>
      <c r="AC204" s="825"/>
      <c r="AD204" s="825"/>
      <c r="AE204" s="825"/>
      <c r="AF204" s="825"/>
      <c r="AG204" s="825"/>
      <c r="AH204" s="825"/>
      <c r="AI204" s="825"/>
      <c r="AJ204" s="825"/>
      <c r="AK204" s="825"/>
      <c r="AL204" s="825"/>
      <c r="AM204" s="825"/>
      <c r="AN204" s="825"/>
      <c r="AO204" s="825"/>
      <c r="AP204" s="825"/>
      <c r="AQ204" s="825"/>
      <c r="AR204" s="825"/>
      <c r="AS204" s="825"/>
      <c r="AT204" s="825"/>
      <c r="AU204" s="825"/>
      <c r="AV204" s="825"/>
      <c r="AW204" s="825"/>
      <c r="AX204" s="825"/>
      <c r="BA204" s="825"/>
      <c r="BB204" s="825"/>
      <c r="BC204" s="825"/>
      <c r="BD204" s="825"/>
      <c r="BE204" s="825"/>
      <c r="BF204" s="825"/>
      <c r="BG204" s="825"/>
      <c r="BH204" s="825"/>
      <c r="BI204" s="825"/>
      <c r="BJ204" s="825"/>
      <c r="BK204" s="825"/>
      <c r="BL204" s="825"/>
      <c r="BM204" s="825"/>
      <c r="BN204" s="825"/>
      <c r="BO204" s="825"/>
      <c r="BP204" s="825"/>
      <c r="BQ204" s="825"/>
      <c r="BR204" s="825"/>
      <c r="BS204" s="825"/>
      <c r="BT204" s="825"/>
      <c r="BU204" s="825"/>
      <c r="BV204" s="825"/>
      <c r="BW204" s="825"/>
      <c r="BX204" s="825"/>
      <c r="BY204" s="825"/>
      <c r="BZ204" s="825"/>
      <c r="CA204" s="825"/>
      <c r="CB204" s="825"/>
      <c r="CC204" s="825"/>
    </row>
    <row r="205" spans="1:81" s="548" customFormat="1" ht="54.7" customHeight="1" x14ac:dyDescent="0.25">
      <c r="A205" s="825"/>
      <c r="B205" s="672"/>
      <c r="C205" s="1573"/>
      <c r="D205" s="1566"/>
      <c r="E205" s="1566"/>
      <c r="F205" s="1543"/>
      <c r="G205" s="1543"/>
      <c r="H205" s="1543"/>
      <c r="I205" s="1543"/>
      <c r="J205" s="1543"/>
      <c r="K205" s="1543"/>
      <c r="L205" s="1543"/>
      <c r="M205" s="645" t="s">
        <v>489</v>
      </c>
      <c r="N205" s="730" t="str">
        <f>N66</f>
        <v>No se considera la opinión de las mujeres rurales en proceso de planificación comunal de centros poblados y desarrollo de acuerdos de conservación en ANP y su zona de amortiguamiento</v>
      </c>
      <c r="O205" s="837" t="str">
        <f t="shared" si="5"/>
        <v>Género</v>
      </c>
      <c r="P205" s="536" t="str">
        <f>AC6</f>
        <v>GN</v>
      </c>
      <c r="Q205" s="534" t="str">
        <f>AJ20</f>
        <v>Diseño de mecanismos de participación apropiados para mujeres rurales</v>
      </c>
      <c r="R205" s="538" t="s">
        <v>823</v>
      </c>
      <c r="S205" s="540" t="s">
        <v>507</v>
      </c>
      <c r="T205" s="519" t="str">
        <f>AI20</f>
        <v>SGN12</v>
      </c>
      <c r="U205" s="628"/>
      <c r="V205" s="478"/>
      <c r="W205" s="478"/>
      <c r="X205" s="273"/>
      <c r="Y205" s="825"/>
      <c r="Z205" s="825"/>
      <c r="AA205" s="825"/>
      <c r="AB205" s="825"/>
      <c r="AC205" s="825"/>
      <c r="AD205" s="825"/>
      <c r="AE205" s="825"/>
      <c r="AF205" s="825"/>
      <c r="AG205" s="825"/>
      <c r="AH205" s="825"/>
      <c r="AI205" s="825"/>
      <c r="AJ205" s="825"/>
      <c r="AK205" s="825"/>
      <c r="AL205" s="825"/>
      <c r="AM205" s="825"/>
      <c r="AN205" s="825"/>
      <c r="AO205" s="825"/>
      <c r="AP205" s="825"/>
      <c r="AQ205" s="825"/>
      <c r="AR205" s="825"/>
      <c r="AS205" s="825"/>
      <c r="AT205" s="825"/>
      <c r="AU205" s="825"/>
      <c r="AV205" s="825"/>
      <c r="AW205" s="825"/>
      <c r="AX205" s="825"/>
      <c r="AY205" s="273"/>
      <c r="AZ205" s="273"/>
      <c r="BA205" s="825"/>
      <c r="BB205" s="825"/>
      <c r="BC205" s="825"/>
      <c r="BD205" s="825"/>
      <c r="BE205" s="825"/>
      <c r="BF205" s="825"/>
      <c r="BG205" s="825"/>
      <c r="BH205" s="825"/>
      <c r="BI205" s="825"/>
      <c r="BJ205" s="825"/>
      <c r="BK205" s="825"/>
      <c r="BL205" s="825"/>
      <c r="BM205" s="825"/>
      <c r="BN205" s="825"/>
      <c r="BO205" s="825"/>
      <c r="BP205" s="825"/>
      <c r="BQ205" s="825"/>
      <c r="BR205" s="825"/>
      <c r="BS205" s="825"/>
      <c r="BT205" s="825"/>
      <c r="BU205" s="825"/>
      <c r="BV205" s="825"/>
      <c r="BW205" s="825"/>
      <c r="BX205" s="825"/>
      <c r="BY205" s="825"/>
      <c r="BZ205" s="825"/>
      <c r="CA205" s="825"/>
      <c r="CB205" s="825"/>
      <c r="CC205" s="825"/>
    </row>
    <row r="206" spans="1:81" ht="63.7" customHeight="1" x14ac:dyDescent="0.25">
      <c r="A206" s="825"/>
      <c r="B206" s="672" t="s">
        <v>866</v>
      </c>
      <c r="C206" s="1571" t="str">
        <f>'8. BASE  CONSOLIDADA'!E123</f>
        <v>2.6.4</v>
      </c>
      <c r="D206" s="1564" t="str">
        <f>'8. BASE  CONSOLIDADA'!F123</f>
        <v>Promoción del turismo comunitario en zona de amortiguamiento y al interior del ANP</v>
      </c>
      <c r="E206" s="1564" t="str">
        <f>'8. BASE  CONSOLIDADA'!G123</f>
        <v>Campañas de promoción y difusión en el ámbito regional y nacional de los circuitos turísticos que existen en la zona de amortiguamiento. acorde al plan maestro del BPAM.  https://es.scribd.com/document/74386745/PLAN-DE-USO-TURISTICO-BPAM</v>
      </c>
      <c r="F206" s="1535" t="str">
        <f>'8. BASE  CONSOLIDADA'!C123</f>
        <v>Bosque de Protección Alto Mayo</v>
      </c>
      <c r="G206" s="1535" t="str">
        <f>VLOOKUP($C206,'8. BASE  CONSOLIDADA'!$E$7:$AS$308,13,FALSE)</f>
        <v>Campañas de promoción</v>
      </c>
      <c r="H206" s="1535">
        <f>VLOOKUP($C206,'8. BASE  CONSOLIDADA'!$E$7:$AS$308,15,FALSE)</f>
        <v>20</v>
      </c>
      <c r="I206" s="1535">
        <f>VLOOKUP(C206,'8. BASE  CONSOLIDADA'!$E$7:$AS$308,20,FALSE)</f>
        <v>400000</v>
      </c>
      <c r="J206" s="1535">
        <f>I206*$J$6</f>
        <v>272</v>
      </c>
      <c r="K206" s="1535"/>
      <c r="L206" s="1535"/>
      <c r="M206" s="645" t="s">
        <v>489</v>
      </c>
      <c r="N206" s="730" t="str">
        <f>N68</f>
        <v>Impacto negativo sobre la biodiversidad por infraestructura o visitantes</v>
      </c>
      <c r="O206" s="837" t="str">
        <f t="shared" si="5"/>
        <v>Biodiversidad y recursos naturales</v>
      </c>
      <c r="P206" s="536" t="e">
        <f>#REF!</f>
        <v>#REF!</v>
      </c>
      <c r="Q206" s="534" t="str">
        <f>AA15</f>
        <v>Evaluación de impacto de actividades turísticas e implementación de buenas prácticas para mitigar el impacto directo e indirecto de la actividad</v>
      </c>
      <c r="R206" s="538" t="s">
        <v>825</v>
      </c>
      <c r="S206" s="540" t="s">
        <v>526</v>
      </c>
      <c r="T206" s="519" t="str">
        <f>Z15</f>
        <v>SBRN7</v>
      </c>
      <c r="U206" s="628"/>
      <c r="V206" s="478"/>
      <c r="W206" s="478"/>
      <c r="X206" s="273"/>
      <c r="Y206" s="825"/>
      <c r="Z206" s="825"/>
      <c r="AA206" s="825"/>
      <c r="AB206" s="825"/>
      <c r="AC206" s="825"/>
      <c r="AD206" s="825"/>
      <c r="AE206" s="825"/>
      <c r="AF206" s="825"/>
      <c r="AG206" s="825"/>
      <c r="AH206" s="825"/>
      <c r="AI206" s="825"/>
      <c r="AJ206" s="825"/>
      <c r="AK206" s="825"/>
      <c r="AL206" s="825"/>
      <c r="AM206" s="825"/>
      <c r="AN206" s="825"/>
      <c r="AO206" s="825"/>
      <c r="AP206" s="825"/>
      <c r="AQ206" s="825"/>
      <c r="AR206" s="825"/>
      <c r="AS206" s="825"/>
      <c r="AT206" s="825"/>
      <c r="AU206" s="825"/>
      <c r="AV206" s="825"/>
      <c r="AW206" s="825"/>
      <c r="AX206" s="825"/>
      <c r="BA206" s="825"/>
      <c r="BB206" s="825"/>
      <c r="BC206" s="825"/>
      <c r="BD206" s="825"/>
      <c r="BE206" s="825"/>
      <c r="BF206" s="825"/>
      <c r="BG206" s="825"/>
      <c r="BH206" s="825"/>
      <c r="BI206" s="825"/>
      <c r="BJ206" s="825"/>
      <c r="BK206" s="825"/>
      <c r="BL206" s="825"/>
      <c r="BM206" s="825"/>
      <c r="BN206" s="825"/>
      <c r="BO206" s="825"/>
      <c r="BP206" s="825"/>
      <c r="BQ206" s="825"/>
      <c r="BR206" s="825"/>
      <c r="BS206" s="825"/>
      <c r="BT206" s="825"/>
      <c r="BU206" s="825"/>
      <c r="BV206" s="825"/>
      <c r="BW206" s="825"/>
      <c r="BX206" s="825"/>
      <c r="BY206" s="825"/>
      <c r="BZ206" s="825"/>
      <c r="CA206" s="825"/>
      <c r="CB206" s="825"/>
      <c r="CC206" s="825"/>
    </row>
    <row r="207" spans="1:81" s="548" customFormat="1" ht="41.3" customHeight="1" x14ac:dyDescent="0.25">
      <c r="A207" s="825"/>
      <c r="B207" s="672"/>
      <c r="C207" s="1573"/>
      <c r="D207" s="1566"/>
      <c r="E207" s="1566"/>
      <c r="F207" s="1543"/>
      <c r="G207" s="1543"/>
      <c r="H207" s="1543"/>
      <c r="I207" s="1543"/>
      <c r="J207" s="1543"/>
      <c r="K207" s="1543"/>
      <c r="L207" s="1543"/>
      <c r="M207" s="645" t="s">
        <v>489</v>
      </c>
      <c r="N207" s="730" t="str">
        <f>N69</f>
        <v>Exclusión de mujeres rurales en programas de turismo comunitario</v>
      </c>
      <c r="O207" s="837" t="str">
        <f t="shared" si="5"/>
        <v>Género</v>
      </c>
      <c r="P207" s="536" t="str">
        <f>AC6</f>
        <v>GN</v>
      </c>
      <c r="Q207" s="534" t="str">
        <f>AJ21</f>
        <v>Inclusión de mujeres rurales en actividades de turismo comunitario en ANPs y sus zonas de amortiguamiento</v>
      </c>
      <c r="R207" s="538" t="s">
        <v>827</v>
      </c>
      <c r="S207" s="540" t="s">
        <v>526</v>
      </c>
      <c r="T207" s="519" t="str">
        <f>AI21</f>
        <v>SGN13</v>
      </c>
      <c r="U207" s="628"/>
      <c r="V207" s="478"/>
      <c r="W207" s="478"/>
      <c r="X207" s="273"/>
      <c r="Y207" s="825"/>
      <c r="Z207" s="825"/>
      <c r="AA207" s="825"/>
      <c r="AB207" s="825"/>
      <c r="AC207" s="825"/>
      <c r="AD207" s="825"/>
      <c r="AE207" s="825"/>
      <c r="AF207" s="825"/>
      <c r="AG207" s="825"/>
      <c r="AH207" s="825"/>
      <c r="AI207" s="825"/>
      <c r="AJ207" s="825"/>
      <c r="AK207" s="825"/>
      <c r="AL207" s="825"/>
      <c r="AM207" s="825"/>
      <c r="AN207" s="825"/>
      <c r="AO207" s="825"/>
      <c r="AP207" s="825"/>
      <c r="AQ207" s="825"/>
      <c r="AR207" s="825"/>
      <c r="AS207" s="825"/>
      <c r="AT207" s="825"/>
      <c r="AU207" s="825"/>
      <c r="AV207" s="825"/>
      <c r="AW207" s="825"/>
      <c r="AX207" s="825"/>
      <c r="AY207" s="273"/>
      <c r="AZ207" s="273"/>
      <c r="BA207" s="825"/>
      <c r="BB207" s="825"/>
      <c r="BC207" s="825"/>
      <c r="BD207" s="825"/>
      <c r="BE207" s="825"/>
      <c r="BF207" s="825"/>
      <c r="BG207" s="825"/>
      <c r="BH207" s="825"/>
      <c r="BI207" s="825"/>
      <c r="BJ207" s="825"/>
      <c r="BK207" s="825"/>
      <c r="BL207" s="825"/>
      <c r="BM207" s="825"/>
      <c r="BN207" s="825"/>
      <c r="BO207" s="825"/>
      <c r="BP207" s="825"/>
      <c r="BQ207" s="825"/>
      <c r="BR207" s="825"/>
      <c r="BS207" s="825"/>
      <c r="BT207" s="825"/>
      <c r="BU207" s="825"/>
      <c r="BV207" s="825"/>
      <c r="BW207" s="825"/>
      <c r="BX207" s="825"/>
      <c r="BY207" s="825"/>
      <c r="BZ207" s="825"/>
      <c r="CA207" s="825"/>
      <c r="CB207" s="825"/>
      <c r="CC207" s="825"/>
    </row>
    <row r="208" spans="1:81" ht="76.099999999999994" x14ac:dyDescent="0.25">
      <c r="A208" s="825"/>
      <c r="B208" s="672" t="s">
        <v>866</v>
      </c>
      <c r="C208" s="842" t="str">
        <f>'8. BASE  CONSOLIDADA'!E124</f>
        <v>2.6.5</v>
      </c>
      <c r="D208" s="1069" t="str">
        <f>'8. BASE  CONSOLIDADA'!F124</f>
        <v>Promoción de agroforestería sostenible en zona de amortiguamiento y al interior del BPAM</v>
      </c>
      <c r="E208" s="1069" t="str">
        <f>'8. BASE  CONSOLIDADA'!G124</f>
        <v>Realizar pasantías focalizadas en aquellos sectores claves que se necesita intervenir para disminuir la presión al ANP.</v>
      </c>
      <c r="F208" s="836" t="str">
        <f>'8. BASE  CONSOLIDADA'!C124</f>
        <v>Bosque de Protección Alto Mayo</v>
      </c>
      <c r="G208" s="1019" t="str">
        <f>VLOOKUP($C208,'8. BASE  CONSOLIDADA'!$E$7:$AS$308,13,FALSE)</f>
        <v>Pasantías</v>
      </c>
      <c r="H208" s="1109">
        <f>VLOOKUP($C208,'8. BASE  CONSOLIDADA'!$E$7:$AS$308,15,FALSE)</f>
        <v>16</v>
      </c>
      <c r="I208" s="1058">
        <f>VLOOKUP(C208,'8. BASE  CONSOLIDADA'!$E$7:$AS$308,20,FALSE)</f>
        <v>200000</v>
      </c>
      <c r="J208" s="678">
        <f>I208*$J$6</f>
        <v>136</v>
      </c>
      <c r="K208" s="1020"/>
      <c r="L208" s="1029"/>
      <c r="M208" s="645" t="s">
        <v>489</v>
      </c>
      <c r="N208" s="730" t="str">
        <f>N70</f>
        <v xml:space="preserve">Exclusión de mujeres en las pasantías </v>
      </c>
      <c r="O208" s="837" t="str">
        <f t="shared" si="5"/>
        <v>Género</v>
      </c>
      <c r="P208" s="536" t="str">
        <f>AC6</f>
        <v>GN</v>
      </c>
      <c r="Q208" s="534" t="str">
        <f>AJ11</f>
        <v xml:space="preserve">Cuotas de género y medición de participación efectiva de mujeres rurales </v>
      </c>
      <c r="R208" s="538" t="s">
        <v>689</v>
      </c>
      <c r="S208" s="540" t="s">
        <v>507</v>
      </c>
      <c r="T208" s="519" t="str">
        <f>AI11</f>
        <v>SGN3</v>
      </c>
      <c r="U208" s="628"/>
      <c r="V208" s="478"/>
      <c r="W208" s="478"/>
      <c r="X208" s="273"/>
      <c r="Y208" s="825"/>
      <c r="Z208" s="825"/>
      <c r="AA208" s="825"/>
      <c r="AB208" s="825"/>
      <c r="AC208" s="825"/>
      <c r="AD208" s="825"/>
      <c r="AE208" s="825"/>
      <c r="AF208" s="825"/>
      <c r="AG208" s="825"/>
      <c r="AH208" s="825"/>
      <c r="AI208" s="825"/>
      <c r="AJ208" s="825"/>
      <c r="AK208" s="825"/>
      <c r="AL208" s="825"/>
      <c r="AM208" s="825"/>
      <c r="AN208" s="825"/>
      <c r="AO208" s="825"/>
      <c r="AP208" s="825"/>
      <c r="AQ208" s="825"/>
      <c r="AR208" s="825"/>
      <c r="AS208" s="825"/>
      <c r="AT208" s="825"/>
      <c r="AU208" s="825"/>
      <c r="AV208" s="825"/>
      <c r="AW208" s="825"/>
      <c r="AX208" s="825"/>
      <c r="BA208" s="825"/>
      <c r="BB208" s="825"/>
      <c r="BC208" s="825"/>
      <c r="BD208" s="825"/>
      <c r="BE208" s="825"/>
      <c r="BF208" s="825"/>
      <c r="BG208" s="825"/>
      <c r="BH208" s="825"/>
      <c r="BI208" s="825"/>
      <c r="BJ208" s="825"/>
      <c r="BK208" s="825"/>
      <c r="BL208" s="825"/>
      <c r="BM208" s="825"/>
      <c r="BN208" s="825"/>
      <c r="BO208" s="825"/>
      <c r="BP208" s="825"/>
      <c r="BQ208" s="825"/>
      <c r="BR208" s="825"/>
      <c r="BS208" s="825"/>
      <c r="BT208" s="825"/>
      <c r="BU208" s="825"/>
      <c r="BV208" s="825"/>
      <c r="BW208" s="825"/>
      <c r="BX208" s="825"/>
      <c r="BY208" s="825"/>
      <c r="BZ208" s="825"/>
      <c r="CA208" s="825"/>
      <c r="CB208" s="825"/>
      <c r="CC208" s="825"/>
    </row>
    <row r="209" spans="1:81" ht="49.6" customHeight="1" x14ac:dyDescent="0.25">
      <c r="A209" s="825"/>
      <c r="B209" s="672" t="s">
        <v>866</v>
      </c>
      <c r="C209" s="1571" t="str">
        <f>'8. BASE  CONSOLIDADA'!E125</f>
        <v>2.6.6</v>
      </c>
      <c r="D209" s="1564" t="str">
        <f>'8. BASE  CONSOLIDADA'!F125</f>
        <v>Asistencia técnica para el desarrollo agroforestal diseñados e implementados junto a SERNANP</v>
      </c>
      <c r="E209" s="1564" t="str">
        <f>'8. BASE  CONSOLIDADA'!G125</f>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v>
      </c>
      <c r="F209" s="1538" t="str">
        <f>'8. BASE  CONSOLIDADA'!C125</f>
        <v>Bosque de Protección Alto Mayo</v>
      </c>
      <c r="G209" s="1538" t="str">
        <f>VLOOKUP($C209,'8. BASE  CONSOLIDADA'!$E$7:$AS$308,13,FALSE)</f>
        <v>Especialistas</v>
      </c>
      <c r="H209" s="1538">
        <f>VLOOKUP($C209,'8. BASE  CONSOLIDADA'!$E$7:$AS$308,15,FALSE)</f>
        <v>3</v>
      </c>
      <c r="I209" s="1538">
        <f>VLOOKUP(C209,'8. BASE  CONSOLIDADA'!$E$7:$AS$308,20,FALSE)</f>
        <v>630000</v>
      </c>
      <c r="J209" s="1538">
        <f>I209*$J$6</f>
        <v>428.40000000000003</v>
      </c>
      <c r="K209" s="1538"/>
      <c r="L209" s="1538"/>
      <c r="M209" s="649" t="s">
        <v>489</v>
      </c>
      <c r="N209" s="730" t="str">
        <f>N45</f>
        <v>Programas de asistencia técnica no recogen enfoque intercultural y metodologías apropiadas para pueblos indígenas</v>
      </c>
      <c r="O209" s="837" t="str">
        <f t="shared" si="5"/>
        <v>Derechos de los pueblos indígenas</v>
      </c>
      <c r="P209" s="536" t="str">
        <f>Z6</f>
        <v>DPI</v>
      </c>
      <c r="Q209" s="534" t="str">
        <f>AD17</f>
        <v>Programas de asistencia técnica y capacitación específicos para pueblos indígenas, con enfoque intercultural y metodologías apropiadas para pueblos indígenas</v>
      </c>
      <c r="R209" s="538" t="s">
        <v>755</v>
      </c>
      <c r="S209" s="540" t="s">
        <v>507</v>
      </c>
      <c r="T209" s="519" t="str">
        <f>AC17</f>
        <v>SDPI9</v>
      </c>
      <c r="U209" s="628"/>
      <c r="V209" s="478"/>
      <c r="W209" s="478"/>
      <c r="X209" s="273"/>
      <c r="Y209" s="825"/>
      <c r="Z209" s="825"/>
      <c r="AA209" s="825"/>
      <c r="AB209" s="825"/>
      <c r="AC209" s="825"/>
      <c r="AD209" s="825"/>
      <c r="AE209" s="825"/>
      <c r="AF209" s="825"/>
      <c r="AG209" s="825"/>
      <c r="AH209" s="825"/>
      <c r="AI209" s="825"/>
      <c r="AJ209" s="825"/>
      <c r="AK209" s="825"/>
      <c r="AL209" s="825"/>
      <c r="AM209" s="825"/>
      <c r="AN209" s="825"/>
      <c r="AO209" s="825"/>
      <c r="AP209" s="825"/>
      <c r="AQ209" s="825"/>
      <c r="AR209" s="825"/>
      <c r="AS209" s="825"/>
      <c r="AT209" s="825"/>
      <c r="AU209" s="825"/>
      <c r="AV209" s="825"/>
      <c r="AW209" s="825"/>
      <c r="AX209" s="825"/>
      <c r="BA209" s="825"/>
      <c r="BB209" s="825"/>
      <c r="BC209" s="825"/>
      <c r="BD209" s="825"/>
      <c r="BE209" s="825"/>
      <c r="BF209" s="825"/>
      <c r="BG209" s="825"/>
      <c r="BH209" s="825"/>
      <c r="BI209" s="825"/>
      <c r="BJ209" s="825"/>
      <c r="BK209" s="825"/>
      <c r="BL209" s="825"/>
      <c r="BM209" s="825"/>
      <c r="BN209" s="825"/>
      <c r="BO209" s="825"/>
      <c r="BP209" s="825"/>
      <c r="BQ209" s="825"/>
      <c r="BR209" s="825"/>
      <c r="BS209" s="825"/>
      <c r="BT209" s="825"/>
      <c r="BU209" s="825"/>
      <c r="BV209" s="825"/>
      <c r="BW209" s="825"/>
      <c r="BX209" s="825"/>
      <c r="BY209" s="825"/>
      <c r="BZ209" s="825"/>
      <c r="CA209" s="825"/>
      <c r="CB209" s="825"/>
      <c r="CC209" s="825"/>
    </row>
    <row r="210" spans="1:81" s="548" customFormat="1" ht="47.25" customHeight="1" x14ac:dyDescent="0.25">
      <c r="A210" s="825"/>
      <c r="B210" s="672"/>
      <c r="C210" s="1572"/>
      <c r="D210" s="1565"/>
      <c r="E210" s="1565"/>
      <c r="F210" s="1539"/>
      <c r="G210" s="1539"/>
      <c r="H210" s="1539"/>
      <c r="I210" s="1539"/>
      <c r="J210" s="1539"/>
      <c r="K210" s="1539"/>
      <c r="L210" s="1539"/>
      <c r="M210" s="645" t="s">
        <v>489</v>
      </c>
      <c r="N210" s="730" t="str">
        <f>N46</f>
        <v>Exclusión de mujeres rurales indígenas en programas de asistencia técnica</v>
      </c>
      <c r="O210" s="837" t="str">
        <f t="shared" si="5"/>
        <v>Género</v>
      </c>
      <c r="P210" s="536" t="str">
        <f>AC6</f>
        <v>GN</v>
      </c>
      <c r="Q210" s="534" t="str">
        <f>AJ15</f>
        <v>Programas de asistencia técnica y capacitación específicos para mujeres rurales indígenas</v>
      </c>
      <c r="R210" s="538" t="s">
        <v>758</v>
      </c>
      <c r="S210" s="540" t="s">
        <v>507</v>
      </c>
      <c r="T210" s="519" t="str">
        <f>AI15</f>
        <v>SGN7</v>
      </c>
      <c r="U210" s="628"/>
      <c r="V210" s="478"/>
      <c r="W210" s="478"/>
      <c r="X210" s="273"/>
      <c r="Y210" s="825"/>
      <c r="Z210" s="825"/>
      <c r="AA210" s="825"/>
      <c r="AB210" s="825"/>
      <c r="AC210" s="825"/>
      <c r="AD210" s="825"/>
      <c r="AE210" s="825"/>
      <c r="AF210" s="825"/>
      <c r="AG210" s="825"/>
      <c r="AH210" s="825"/>
      <c r="AI210" s="825"/>
      <c r="AJ210" s="825"/>
      <c r="AK210" s="825"/>
      <c r="AL210" s="825"/>
      <c r="AM210" s="825"/>
      <c r="AN210" s="825"/>
      <c r="AO210" s="825"/>
      <c r="AP210" s="825"/>
      <c r="AQ210" s="825"/>
      <c r="AR210" s="825"/>
      <c r="AS210" s="825"/>
      <c r="AT210" s="825"/>
      <c r="AU210" s="825"/>
      <c r="AV210" s="825"/>
      <c r="AW210" s="825"/>
      <c r="AX210" s="825"/>
      <c r="AY210" s="273"/>
      <c r="AZ210" s="273"/>
      <c r="BA210" s="825"/>
      <c r="BB210" s="825"/>
      <c r="BC210" s="825"/>
      <c r="BD210" s="825"/>
      <c r="BE210" s="825"/>
      <c r="BF210" s="825"/>
      <c r="BG210" s="825"/>
      <c r="BH210" s="825"/>
      <c r="BI210" s="825"/>
      <c r="BJ210" s="825"/>
      <c r="BK210" s="825"/>
      <c r="BL210" s="825"/>
      <c r="BM210" s="825"/>
      <c r="BN210" s="825"/>
      <c r="BO210" s="825"/>
      <c r="BP210" s="825"/>
      <c r="BQ210" s="825"/>
      <c r="BR210" s="825"/>
      <c r="BS210" s="825"/>
      <c r="BT210" s="825"/>
      <c r="BU210" s="825"/>
      <c r="BV210" s="825"/>
      <c r="BW210" s="825"/>
      <c r="BX210" s="825"/>
      <c r="BY210" s="825"/>
      <c r="BZ210" s="825"/>
      <c r="CA210" s="825"/>
      <c r="CB210" s="825"/>
      <c r="CC210" s="825"/>
    </row>
    <row r="211" spans="1:81" s="548" customFormat="1" ht="23.3" customHeight="1" x14ac:dyDescent="0.25">
      <c r="A211" s="825"/>
      <c r="B211" s="672"/>
      <c r="C211" s="1573"/>
      <c r="D211" s="1566"/>
      <c r="E211" s="1566"/>
      <c r="F211" s="1560"/>
      <c r="G211" s="1560"/>
      <c r="H211" s="1560"/>
      <c r="I211" s="1560"/>
      <c r="J211" s="1560"/>
      <c r="K211" s="1560"/>
      <c r="L211" s="1560"/>
      <c r="M211" s="645" t="s">
        <v>489</v>
      </c>
      <c r="N211" s="730" t="str">
        <f>N50</f>
        <v>Exclusión de mujeres indígenas en programa de biocomercio</v>
      </c>
      <c r="O211" s="837" t="str">
        <f t="shared" si="5"/>
        <v>Género</v>
      </c>
      <c r="P211" s="536" t="str">
        <f>AC6</f>
        <v>GN</v>
      </c>
      <c r="Q211" s="534" t="s">
        <v>386</v>
      </c>
      <c r="R211" s="538" t="s">
        <v>689</v>
      </c>
      <c r="S211" s="540" t="s">
        <v>507</v>
      </c>
      <c r="T211" s="519" t="str">
        <f>AI16</f>
        <v>SGN8</v>
      </c>
      <c r="U211" s="628"/>
      <c r="V211" s="478"/>
      <c r="W211" s="478"/>
      <c r="X211" s="273"/>
      <c r="Y211" s="825"/>
      <c r="Z211" s="825"/>
      <c r="AA211" s="825"/>
      <c r="AB211" s="825"/>
      <c r="AC211" s="825"/>
      <c r="AD211" s="825"/>
      <c r="AE211" s="825"/>
      <c r="AF211" s="825"/>
      <c r="AG211" s="825"/>
      <c r="AH211" s="825"/>
      <c r="AI211" s="825"/>
      <c r="AJ211" s="825"/>
      <c r="AK211" s="825"/>
      <c r="AL211" s="825"/>
      <c r="AM211" s="825"/>
      <c r="AN211" s="825"/>
      <c r="AO211" s="825"/>
      <c r="AP211" s="825"/>
      <c r="AQ211" s="825"/>
      <c r="AR211" s="825"/>
      <c r="AS211" s="825"/>
      <c r="AT211" s="825"/>
      <c r="AU211" s="825"/>
      <c r="AV211" s="825"/>
      <c r="AW211" s="825"/>
      <c r="AX211" s="825"/>
      <c r="AY211" s="273"/>
      <c r="AZ211" s="273"/>
      <c r="BA211" s="825"/>
      <c r="BB211" s="825"/>
      <c r="BC211" s="825"/>
      <c r="BD211" s="825"/>
      <c r="BE211" s="825"/>
      <c r="BF211" s="825"/>
      <c r="BG211" s="825"/>
      <c r="BH211" s="825"/>
      <c r="BI211" s="825"/>
      <c r="BJ211" s="825"/>
      <c r="BK211" s="825"/>
      <c r="BL211" s="825"/>
      <c r="BM211" s="825"/>
      <c r="BN211" s="825"/>
      <c r="BO211" s="825"/>
      <c r="BP211" s="825"/>
      <c r="BQ211" s="825"/>
      <c r="BR211" s="825"/>
      <c r="BS211" s="825"/>
      <c r="BT211" s="825"/>
      <c r="BU211" s="825"/>
      <c r="BV211" s="825"/>
      <c r="BW211" s="825"/>
      <c r="BX211" s="825"/>
      <c r="BY211" s="825"/>
      <c r="BZ211" s="825"/>
      <c r="CA211" s="825"/>
      <c r="CB211" s="825"/>
      <c r="CC211" s="825"/>
    </row>
    <row r="212" spans="1:81" ht="66.75" customHeight="1" x14ac:dyDescent="0.25">
      <c r="A212" s="825"/>
      <c r="B212" s="672" t="s">
        <v>866</v>
      </c>
      <c r="C212" s="1637" t="str">
        <f>'8. BASE  CONSOLIDADA'!E126</f>
        <v>2.6.7</v>
      </c>
      <c r="D212" s="1602" t="str">
        <f>'8. BASE  CONSOLIDADA'!F126</f>
        <v>Incentivos financieros para promoción del ecoturismo y turismo comunitario</v>
      </c>
      <c r="E212" s="1602" t="str">
        <f>'8. BASE  CONSOLIDADA'!G126</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212" s="1540" t="str">
        <f>'8. BASE  CONSOLIDADA'!C126</f>
        <v>Bosque de Protección Alto Mayo</v>
      </c>
      <c r="G212" s="1540" t="str">
        <f>VLOOKUP($C212,'8. BASE  CONSOLIDADA'!$E$7:$AS$308,13,FALSE)</f>
        <v>Planes de negocios</v>
      </c>
      <c r="H212" s="1540">
        <f>VLOOKUP($C212,'8. BASE  CONSOLIDADA'!$E$7:$AS$308,15,FALSE)</f>
        <v>50</v>
      </c>
      <c r="I212" s="1540">
        <f>VLOOKUP(C212,'8. BASE  CONSOLIDADA'!$E$7:$AS$308,20,FALSE)</f>
        <v>5000000</v>
      </c>
      <c r="J212" s="1540">
        <f>I212*$J$6</f>
        <v>3400.0000000000005</v>
      </c>
      <c r="K212" s="1540"/>
      <c r="L212" s="1540"/>
      <c r="M212" s="645" t="s">
        <v>489</v>
      </c>
      <c r="N212" s="730" t="str">
        <f>N68</f>
        <v>Impacto negativo sobre la biodiversidad por infraestructura o visitantes</v>
      </c>
      <c r="O212" s="837" t="str">
        <f t="shared" si="5"/>
        <v>Biodiversidad y recursos naturales</v>
      </c>
      <c r="P212" s="536" t="e">
        <f>#REF!</f>
        <v>#REF!</v>
      </c>
      <c r="Q212" s="534" t="str">
        <f>AA15</f>
        <v>Evaluación de impacto de actividades turísticas e implementación de buenas prácticas para mitigar el impacto directo e indirecto de la actividad</v>
      </c>
      <c r="R212" s="538" t="s">
        <v>831</v>
      </c>
      <c r="S212" s="540" t="s">
        <v>526</v>
      </c>
      <c r="T212" s="519" t="str">
        <f>Z15</f>
        <v>SBRN7</v>
      </c>
      <c r="U212" s="628"/>
      <c r="V212" s="478"/>
      <c r="W212" s="478"/>
      <c r="X212" s="273"/>
      <c r="Y212" s="825"/>
      <c r="Z212" s="825"/>
      <c r="AA212" s="825"/>
      <c r="AB212" s="825"/>
      <c r="AC212" s="825"/>
      <c r="AD212" s="825"/>
      <c r="AE212" s="825"/>
      <c r="AF212" s="825"/>
      <c r="AG212" s="825"/>
      <c r="AH212" s="825"/>
      <c r="AI212" s="825"/>
      <c r="AJ212" s="825"/>
      <c r="AK212" s="825"/>
      <c r="AL212" s="825"/>
      <c r="AM212" s="825"/>
      <c r="AN212" s="825"/>
      <c r="AO212" s="825"/>
      <c r="AP212" s="825"/>
      <c r="AQ212" s="825"/>
      <c r="AR212" s="825"/>
      <c r="AS212" s="825"/>
      <c r="AT212" s="825"/>
      <c r="AU212" s="825"/>
      <c r="AV212" s="825"/>
      <c r="AW212" s="825"/>
      <c r="AX212" s="825"/>
      <c r="BA212" s="825"/>
      <c r="BB212" s="825"/>
      <c r="BC212" s="825"/>
      <c r="BD212" s="825"/>
      <c r="BE212" s="825"/>
      <c r="BF212" s="825"/>
      <c r="BG212" s="825"/>
      <c r="BH212" s="825"/>
      <c r="BI212" s="825"/>
      <c r="BJ212" s="825"/>
      <c r="BK212" s="825"/>
      <c r="BL212" s="825"/>
      <c r="BM212" s="825"/>
      <c r="BN212" s="825"/>
      <c r="BO212" s="825"/>
      <c r="BP212" s="825"/>
      <c r="BQ212" s="825"/>
      <c r="BR212" s="825"/>
      <c r="BS212" s="825"/>
      <c r="BT212" s="825"/>
      <c r="BU212" s="825"/>
      <c r="BV212" s="825"/>
      <c r="BW212" s="825"/>
      <c r="BX212" s="825"/>
      <c r="BY212" s="825"/>
      <c r="BZ212" s="825"/>
      <c r="CA212" s="825"/>
      <c r="CB212" s="825"/>
      <c r="CC212" s="825"/>
    </row>
    <row r="213" spans="1:81" s="548" customFormat="1" ht="77.3" customHeight="1" x14ac:dyDescent="0.25">
      <c r="A213" s="825"/>
      <c r="B213" s="672"/>
      <c r="C213" s="1638"/>
      <c r="D213" s="1604"/>
      <c r="E213" s="1604"/>
      <c r="F213" s="1542"/>
      <c r="G213" s="1542"/>
      <c r="H213" s="1542"/>
      <c r="I213" s="1542"/>
      <c r="J213" s="1542"/>
      <c r="K213" s="1542"/>
      <c r="L213" s="1542"/>
      <c r="M213" s="645" t="s">
        <v>489</v>
      </c>
      <c r="N213" s="730" t="str">
        <f>N130</f>
        <v xml:space="preserve">Exclusión de mujeres rurales en los incentivos financieros </v>
      </c>
      <c r="O213" s="837" t="str">
        <f t="shared" si="5"/>
        <v>Género</v>
      </c>
      <c r="P213" s="536" t="str">
        <f>AC6</f>
        <v>GN</v>
      </c>
      <c r="Q213" s="534" t="str">
        <f>AJ21</f>
        <v>Inclusión de mujeres rurales en actividades de turismo comunitario en ANPs y sus zonas de amortiguamiento</v>
      </c>
      <c r="R213" s="538" t="s">
        <v>827</v>
      </c>
      <c r="S213" s="540" t="s">
        <v>526</v>
      </c>
      <c r="T213" s="519" t="str">
        <f>AI21</f>
        <v>SGN13</v>
      </c>
      <c r="U213" s="628"/>
      <c r="V213" s="478"/>
      <c r="W213" s="478"/>
      <c r="X213" s="273"/>
      <c r="Y213" s="825"/>
      <c r="Z213" s="825"/>
      <c r="AA213" s="825"/>
      <c r="AB213" s="825"/>
      <c r="AC213" s="825"/>
      <c r="AD213" s="825"/>
      <c r="AE213" s="825"/>
      <c r="AF213" s="825"/>
      <c r="AG213" s="825"/>
      <c r="AH213" s="825"/>
      <c r="AI213" s="825"/>
      <c r="AJ213" s="825"/>
      <c r="AK213" s="825"/>
      <c r="AL213" s="825"/>
      <c r="AM213" s="825"/>
      <c r="AN213" s="825"/>
      <c r="AO213" s="825"/>
      <c r="AP213" s="825"/>
      <c r="AQ213" s="825"/>
      <c r="AR213" s="825"/>
      <c r="AS213" s="825"/>
      <c r="AT213" s="825"/>
      <c r="AU213" s="825"/>
      <c r="AV213" s="825"/>
      <c r="AW213" s="825"/>
      <c r="AX213" s="825"/>
      <c r="AY213" s="273"/>
      <c r="AZ213" s="273"/>
      <c r="BA213" s="825"/>
      <c r="BB213" s="825"/>
      <c r="BC213" s="825"/>
      <c r="BD213" s="825"/>
      <c r="BE213" s="825"/>
      <c r="BF213" s="825"/>
      <c r="BG213" s="825"/>
      <c r="BH213" s="825"/>
      <c r="BI213" s="825"/>
      <c r="BJ213" s="825"/>
      <c r="BK213" s="825"/>
      <c r="BL213" s="825"/>
      <c r="BM213" s="825"/>
      <c r="BN213" s="825"/>
      <c r="BO213" s="825"/>
      <c r="BP213" s="825"/>
      <c r="BQ213" s="825"/>
      <c r="BR213" s="825"/>
      <c r="BS213" s="825"/>
      <c r="BT213" s="825"/>
      <c r="BU213" s="825"/>
      <c r="BV213" s="825"/>
      <c r="BW213" s="825"/>
      <c r="BX213" s="825"/>
      <c r="BY213" s="825"/>
      <c r="BZ213" s="825"/>
      <c r="CA213" s="825"/>
      <c r="CB213" s="825"/>
      <c r="CC213" s="825"/>
    </row>
    <row r="214" spans="1:81" ht="61.5" customHeight="1" x14ac:dyDescent="0.25">
      <c r="A214" s="825"/>
      <c r="B214" s="672" t="s">
        <v>866</v>
      </c>
      <c r="C214" s="1571" t="str">
        <f>'8. BASE  CONSOLIDADA'!E92</f>
        <v>2.2.1</v>
      </c>
      <c r="D214" s="1564" t="str">
        <f>'8. BASE  CONSOLIDADA'!F92</f>
        <v>Otorgamiento de derechos sobre la tierra/bosques</v>
      </c>
      <c r="E214" s="1564" t="str">
        <f>'8. BASE  CONSOLIDADA'!G92</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214" s="1538" t="str">
        <f>'8. BASE  CONSOLIDADA'!C92</f>
        <v xml:space="preserve">Predios privados dedicados a la producción comercial (arroz) </v>
      </c>
      <c r="G214" s="1538" t="str">
        <f>VLOOKUP($C214,'8. BASE  CONSOLIDADA'!$E$7:$AS$308,13,FALSE)</f>
        <v>N° Títulos/Contratos otorgados</v>
      </c>
      <c r="H214" s="1538">
        <f>VLOOKUP($C214,'8. BASE  CONSOLIDADA'!$E$7:$AS$308,15,FALSE)</f>
        <v>632.90668077586997</v>
      </c>
      <c r="I214" s="1538">
        <f>VLOOKUP(C214,'8. BASE  CONSOLIDADA'!$E$7:$AS$308,20,FALSE)</f>
        <v>1265813.36155174</v>
      </c>
      <c r="J214" s="1538">
        <f>I214*$J$6</f>
        <v>860.75308585518326</v>
      </c>
      <c r="K214" s="1538"/>
      <c r="L214" s="1538"/>
      <c r="M214" s="645" t="s">
        <v>489</v>
      </c>
      <c r="N214" s="730" t="str">
        <f>N8</f>
        <v>Otorgamiento de titulos de propiedad en tierras de aptitud forestal o protección con cobertura de bosques</v>
      </c>
      <c r="O214" s="837" t="str">
        <f t="shared" si="5"/>
        <v>Biodiversidad y recursos naturales</v>
      </c>
      <c r="P214" s="536" t="e">
        <f>#REF!</f>
        <v>#REF!</v>
      </c>
      <c r="Q214" s="534" t="str">
        <f>AA9</f>
        <v>Realizar estudios de suelos para determinar la capacidad de uso mayor de los suelos como parte de los procesos de formalización de la propiedad rural</v>
      </c>
      <c r="R214" s="538" t="s">
        <v>491</v>
      </c>
      <c r="S214" s="540" t="s">
        <v>492</v>
      </c>
      <c r="T214" s="519" t="str">
        <f>Z9</f>
        <v>SBRN1</v>
      </c>
      <c r="U214" s="628"/>
      <c r="V214" s="478"/>
      <c r="W214" s="478"/>
      <c r="X214" s="273"/>
      <c r="Y214" s="825"/>
      <c r="Z214" s="825"/>
      <c r="AA214" s="825"/>
      <c r="AB214" s="825"/>
      <c r="AC214" s="825"/>
      <c r="AD214" s="825"/>
      <c r="AE214" s="825"/>
      <c r="AF214" s="825"/>
      <c r="AG214" s="825"/>
      <c r="AH214" s="825"/>
      <c r="AI214" s="825"/>
      <c r="AJ214" s="825"/>
      <c r="AK214" s="825"/>
      <c r="AL214" s="825"/>
      <c r="AM214" s="825"/>
      <c r="AN214" s="825"/>
      <c r="AO214" s="825"/>
      <c r="AP214" s="825"/>
      <c r="AQ214" s="825"/>
      <c r="AR214" s="825"/>
      <c r="AS214" s="825"/>
      <c r="AT214" s="825"/>
      <c r="AU214" s="825"/>
      <c r="AV214" s="825"/>
      <c r="AW214" s="825"/>
      <c r="AX214" s="825"/>
      <c r="BA214" s="825"/>
      <c r="BB214" s="825"/>
      <c r="BC214" s="825"/>
      <c r="BD214" s="825"/>
      <c r="BE214" s="825"/>
      <c r="BF214" s="825"/>
      <c r="BG214" s="825"/>
      <c r="BH214" s="825"/>
      <c r="BI214" s="825"/>
      <c r="BJ214" s="825"/>
      <c r="BK214" s="825"/>
      <c r="BL214" s="825"/>
      <c r="BM214" s="825"/>
      <c r="BN214" s="825"/>
      <c r="BO214" s="825"/>
      <c r="BP214" s="825"/>
      <c r="BQ214" s="825"/>
      <c r="BR214" s="825"/>
      <c r="BS214" s="825"/>
      <c r="BT214" s="825"/>
      <c r="BU214" s="825"/>
      <c r="BV214" s="825"/>
      <c r="BW214" s="825"/>
      <c r="BX214" s="825"/>
      <c r="BY214" s="825"/>
      <c r="BZ214" s="825"/>
      <c r="CA214" s="825"/>
      <c r="CB214" s="825"/>
      <c r="CC214" s="825"/>
    </row>
    <row r="215" spans="1:81" s="548" customFormat="1" ht="31.6" customHeight="1" x14ac:dyDescent="0.25">
      <c r="A215" s="825"/>
      <c r="B215" s="672"/>
      <c r="C215" s="1572"/>
      <c r="D215" s="1565"/>
      <c r="E215" s="1565"/>
      <c r="F215" s="1539"/>
      <c r="G215" s="1539"/>
      <c r="H215" s="1539"/>
      <c r="I215" s="1539"/>
      <c r="J215" s="1539"/>
      <c r="K215" s="1539"/>
      <c r="L215" s="1539"/>
      <c r="M215" s="645" t="s">
        <v>489</v>
      </c>
      <c r="N215" s="730" t="str">
        <f>N9</f>
        <v>Otorgamiento de titulos de propiedad en tierras de aptitud  A y C con cobertura de bosques</v>
      </c>
      <c r="O215" s="837" t="str">
        <f t="shared" si="5"/>
        <v>Biodiversidad y recursos naturales</v>
      </c>
      <c r="P215" s="536" t="e">
        <f>#REF!</f>
        <v>#REF!</v>
      </c>
      <c r="Q215" s="534" t="str">
        <f>AA10</f>
        <v>Implementar el procedimiento de cambio de uso actual de tierras A y C con cobertura de bosques para formalización de propiedad rural considerado en la Ley Forestal y de Fauna Silvestre (Ley No 29736)</v>
      </c>
      <c r="R215" s="538" t="s">
        <v>506</v>
      </c>
      <c r="S215" s="540" t="s">
        <v>507</v>
      </c>
      <c r="T215" s="519" t="str">
        <f>Z10</f>
        <v>SBRN2</v>
      </c>
      <c r="U215" s="628"/>
      <c r="V215" s="478"/>
      <c r="W215" s="478"/>
      <c r="X215" s="273"/>
      <c r="Y215" s="825"/>
      <c r="Z215" s="825"/>
      <c r="AA215" s="825"/>
      <c r="AB215" s="825"/>
      <c r="AC215" s="825"/>
      <c r="AD215" s="825"/>
      <c r="AE215" s="825"/>
      <c r="AF215" s="825"/>
      <c r="AG215" s="825"/>
      <c r="AH215" s="825"/>
      <c r="AI215" s="825"/>
      <c r="AJ215" s="825"/>
      <c r="AK215" s="825"/>
      <c r="AL215" s="825"/>
      <c r="AM215" s="825"/>
      <c r="AN215" s="825"/>
      <c r="AO215" s="825"/>
      <c r="AP215" s="825"/>
      <c r="AQ215" s="825"/>
      <c r="AR215" s="825"/>
      <c r="AS215" s="825"/>
      <c r="AT215" s="825"/>
      <c r="AU215" s="825"/>
      <c r="AV215" s="825"/>
      <c r="AW215" s="825"/>
      <c r="AX215" s="825"/>
      <c r="AY215" s="273"/>
      <c r="AZ215" s="273"/>
      <c r="BA215" s="825"/>
      <c r="BB215" s="825"/>
      <c r="BC215" s="825"/>
      <c r="BD215" s="825"/>
      <c r="BE215" s="825"/>
      <c r="BF215" s="825"/>
      <c r="BG215" s="825"/>
      <c r="BH215" s="825"/>
      <c r="BI215" s="825"/>
      <c r="BJ215" s="825"/>
      <c r="BK215" s="825"/>
      <c r="BL215" s="825"/>
      <c r="BM215" s="825"/>
      <c r="BN215" s="825"/>
      <c r="BO215" s="825"/>
      <c r="BP215" s="825"/>
      <c r="BQ215" s="825"/>
      <c r="BR215" s="825"/>
      <c r="BS215" s="825"/>
      <c r="BT215" s="825"/>
      <c r="BU215" s="825"/>
      <c r="BV215" s="825"/>
      <c r="BW215" s="825"/>
      <c r="BX215" s="825"/>
      <c r="BY215" s="825"/>
      <c r="BZ215" s="825"/>
      <c r="CA215" s="825"/>
      <c r="CB215" s="825"/>
      <c r="CC215" s="825"/>
    </row>
    <row r="216" spans="1:81" s="548" customFormat="1" ht="42.8" customHeight="1" x14ac:dyDescent="0.25">
      <c r="A216" s="825"/>
      <c r="B216" s="672"/>
      <c r="C216" s="1572"/>
      <c r="D216" s="1565"/>
      <c r="E216" s="1565"/>
      <c r="F216" s="1539"/>
      <c r="G216" s="1539"/>
      <c r="H216" s="1539"/>
      <c r="I216" s="1539"/>
      <c r="J216" s="1539"/>
      <c r="K216" s="1539"/>
      <c r="L216" s="1539"/>
      <c r="M216" s="645" t="s">
        <v>489</v>
      </c>
      <c r="N216" s="730" t="str">
        <f>N9</f>
        <v>Otorgamiento de titulos de propiedad en tierras de aptitud  A y C con cobertura de bosques</v>
      </c>
      <c r="O216" s="837" t="str">
        <f t="shared" si="5"/>
        <v>Biodiversidad y recursos naturales</v>
      </c>
      <c r="P216" s="536" t="e">
        <f>#REF!</f>
        <v>#REF!</v>
      </c>
      <c r="Q216" s="534" t="str">
        <f>AA11</f>
        <v>Fortalecer las capacidades de la población local para que conozcan el marco legal sobre los derechos sobre la tierra y los bosques</v>
      </c>
      <c r="R216" s="538" t="s">
        <v>525</v>
      </c>
      <c r="S216" s="540" t="s">
        <v>526</v>
      </c>
      <c r="T216" s="519" t="str">
        <f>Z11</f>
        <v>SBRN3</v>
      </c>
      <c r="U216" s="628"/>
      <c r="V216" s="478"/>
      <c r="W216" s="478"/>
      <c r="X216" s="273"/>
      <c r="Y216" s="825"/>
      <c r="Z216" s="825"/>
      <c r="AA216" s="825"/>
      <c r="AB216" s="825"/>
      <c r="AC216" s="825"/>
      <c r="AD216" s="825"/>
      <c r="AE216" s="825"/>
      <c r="AF216" s="825"/>
      <c r="AG216" s="825"/>
      <c r="AH216" s="825"/>
      <c r="AI216" s="825"/>
      <c r="AJ216" s="825"/>
      <c r="AK216" s="825"/>
      <c r="AL216" s="825"/>
      <c r="AM216" s="825"/>
      <c r="AN216" s="825"/>
      <c r="AO216" s="825"/>
      <c r="AP216" s="825"/>
      <c r="AQ216" s="825"/>
      <c r="AR216" s="825"/>
      <c r="AS216" s="825"/>
      <c r="AT216" s="825"/>
      <c r="AU216" s="825"/>
      <c r="AV216" s="825"/>
      <c r="AW216" s="825"/>
      <c r="AX216" s="825"/>
      <c r="AY216" s="273"/>
      <c r="AZ216" s="273"/>
      <c r="BA216" s="825"/>
      <c r="BB216" s="825"/>
      <c r="BC216" s="825"/>
      <c r="BD216" s="825"/>
      <c r="BE216" s="825"/>
      <c r="BF216" s="825"/>
      <c r="BG216" s="825"/>
      <c r="BH216" s="825"/>
      <c r="BI216" s="825"/>
      <c r="BJ216" s="825"/>
      <c r="BK216" s="825"/>
      <c r="BL216" s="825"/>
      <c r="BM216" s="825"/>
      <c r="BN216" s="825"/>
      <c r="BO216" s="825"/>
      <c r="BP216" s="825"/>
      <c r="BQ216" s="825"/>
      <c r="BR216" s="825"/>
      <c r="BS216" s="825"/>
      <c r="BT216" s="825"/>
      <c r="BU216" s="825"/>
      <c r="BV216" s="825"/>
      <c r="BW216" s="825"/>
      <c r="BX216" s="825"/>
      <c r="BY216" s="825"/>
      <c r="BZ216" s="825"/>
      <c r="CA216" s="825"/>
      <c r="CB216" s="825"/>
      <c r="CC216" s="825"/>
    </row>
    <row r="217" spans="1:81" s="548" customFormat="1" ht="60.8" customHeight="1" x14ac:dyDescent="0.25">
      <c r="A217" s="825"/>
      <c r="B217" s="672"/>
      <c r="C217" s="1572"/>
      <c r="D217" s="1565"/>
      <c r="E217" s="1565"/>
      <c r="F217" s="1539"/>
      <c r="G217" s="1539"/>
      <c r="H217" s="1539"/>
      <c r="I217" s="1539"/>
      <c r="J217" s="1539"/>
      <c r="K217" s="1539"/>
      <c r="L217" s="1539"/>
      <c r="M217" s="645" t="s">
        <v>489</v>
      </c>
      <c r="N217" s="730" t="str">
        <f>N10</f>
        <v>Superposición de áreas a ser tituladas individualmente con áreas solicitadas por pueblos indígenas</v>
      </c>
      <c r="O217" s="837" t="str">
        <f t="shared" si="5"/>
        <v>Derechos de los pueblos indígenas</v>
      </c>
      <c r="P217" s="536" t="str">
        <f>Z6</f>
        <v>DPI</v>
      </c>
      <c r="Q217" s="534" t="str">
        <f>AD9</f>
        <v>Evaluación de superposiciones de solicitudes de titulación de predios rurales con solicitudes de pueblos indígenas (como parte del proceso de titulación de un predio rural individual)</v>
      </c>
      <c r="R217" s="538" t="s">
        <v>840</v>
      </c>
      <c r="S217" s="540" t="s">
        <v>542</v>
      </c>
      <c r="T217" s="519" t="str">
        <f>AC9</f>
        <v>SDPI1</v>
      </c>
      <c r="U217" s="628"/>
      <c r="V217" s="478"/>
      <c r="W217" s="478"/>
      <c r="X217" s="273"/>
      <c r="Y217" s="825"/>
      <c r="Z217" s="825"/>
      <c r="AA217" s="825"/>
      <c r="AB217" s="825"/>
      <c r="AC217" s="825"/>
      <c r="AD217" s="825"/>
      <c r="AE217" s="825"/>
      <c r="AF217" s="825"/>
      <c r="AG217" s="825"/>
      <c r="AH217" s="825"/>
      <c r="AI217" s="825"/>
      <c r="AJ217" s="825"/>
      <c r="AK217" s="825"/>
      <c r="AL217" s="825"/>
      <c r="AM217" s="825"/>
      <c r="AN217" s="825"/>
      <c r="AO217" s="825"/>
      <c r="AP217" s="825"/>
      <c r="AQ217" s="825"/>
      <c r="AR217" s="825"/>
      <c r="AS217" s="825"/>
      <c r="AT217" s="825"/>
      <c r="AU217" s="825"/>
      <c r="AV217" s="825"/>
      <c r="AW217" s="825"/>
      <c r="AX217" s="825"/>
      <c r="AY217" s="273"/>
      <c r="AZ217" s="273"/>
      <c r="BA217" s="825"/>
      <c r="BB217" s="825"/>
      <c r="BC217" s="825"/>
      <c r="BD217" s="825"/>
      <c r="BE217" s="825"/>
      <c r="BF217" s="825"/>
      <c r="BG217" s="825"/>
      <c r="BH217" s="825"/>
      <c r="BI217" s="825"/>
      <c r="BJ217" s="825"/>
      <c r="BK217" s="825"/>
      <c r="BL217" s="825"/>
      <c r="BM217" s="825"/>
      <c r="BN217" s="825"/>
      <c r="BO217" s="825"/>
      <c r="BP217" s="825"/>
      <c r="BQ217" s="825"/>
      <c r="BR217" s="825"/>
      <c r="BS217" s="825"/>
      <c r="BT217" s="825"/>
      <c r="BU217" s="825"/>
      <c r="BV217" s="825"/>
      <c r="BW217" s="825"/>
      <c r="BX217" s="825"/>
      <c r="BY217" s="825"/>
      <c r="BZ217" s="825"/>
      <c r="CA217" s="825"/>
      <c r="CB217" s="825"/>
      <c r="CC217" s="825"/>
    </row>
    <row r="218" spans="1:81" s="548" customFormat="1" ht="41.95" customHeight="1" x14ac:dyDescent="0.25">
      <c r="A218" s="825"/>
      <c r="B218" s="672"/>
      <c r="C218" s="1572"/>
      <c r="D218" s="1565"/>
      <c r="E218" s="1565"/>
      <c r="F218" s="1539"/>
      <c r="G218" s="1539"/>
      <c r="H218" s="1539"/>
      <c r="I218" s="1539"/>
      <c r="J218" s="1539"/>
      <c r="K218" s="1539"/>
      <c r="L218" s="1539"/>
      <c r="M218" s="645" t="s">
        <v>489</v>
      </c>
      <c r="N218" s="730" t="str">
        <f>N10</f>
        <v>Superposición de áreas a ser tituladas individualmente con áreas solicitadas por pueblos indígenas</v>
      </c>
      <c r="O218" s="837" t="str">
        <f t="shared" si="5"/>
        <v>Derechos de los pueblos indígenas</v>
      </c>
      <c r="P218" s="536" t="str">
        <f>Z6</f>
        <v>DPI</v>
      </c>
      <c r="Q218" s="534" t="str">
        <f>AD10</f>
        <v xml:space="preserve">Análisis de demandas de titulación de tierras a favor de comunidades nativas a nivel departamental con organizaciones indígenas </v>
      </c>
      <c r="R218" s="538" t="s">
        <v>555</v>
      </c>
      <c r="S218" s="540" t="s">
        <v>507</v>
      </c>
      <c r="T218" s="519" t="str">
        <f>AC10</f>
        <v>SDPI2</v>
      </c>
      <c r="U218" s="628"/>
      <c r="V218" s="478"/>
      <c r="W218" s="478"/>
      <c r="X218" s="273"/>
      <c r="Y218" s="825"/>
      <c r="Z218" s="825"/>
      <c r="AA218" s="825"/>
      <c r="AB218" s="825"/>
      <c r="AC218" s="825"/>
      <c r="AD218" s="825"/>
      <c r="AE218" s="825"/>
      <c r="AF218" s="825"/>
      <c r="AG218" s="825"/>
      <c r="AH218" s="825"/>
      <c r="AI218" s="825"/>
      <c r="AJ218" s="825"/>
      <c r="AK218" s="825"/>
      <c r="AL218" s="825"/>
      <c r="AM218" s="825"/>
      <c r="AN218" s="825"/>
      <c r="AO218" s="825"/>
      <c r="AP218" s="825"/>
      <c r="AQ218" s="825"/>
      <c r="AR218" s="825"/>
      <c r="AS218" s="825"/>
      <c r="AT218" s="825"/>
      <c r="AU218" s="825"/>
      <c r="AV218" s="825"/>
      <c r="AW218" s="825"/>
      <c r="AX218" s="825"/>
      <c r="AY218" s="273"/>
      <c r="AZ218" s="273"/>
      <c r="BA218" s="825"/>
      <c r="BB218" s="825"/>
      <c r="BC218" s="825"/>
      <c r="BD218" s="825"/>
      <c r="BE218" s="825"/>
      <c r="BF218" s="825"/>
      <c r="BG218" s="825"/>
      <c r="BH218" s="825"/>
      <c r="BI218" s="825"/>
      <c r="BJ218" s="825"/>
      <c r="BK218" s="825"/>
      <c r="BL218" s="825"/>
      <c r="BM218" s="825"/>
      <c r="BN218" s="825"/>
      <c r="BO218" s="825"/>
      <c r="BP218" s="825"/>
      <c r="BQ218" s="825"/>
      <c r="BR218" s="825"/>
      <c r="BS218" s="825"/>
      <c r="BT218" s="825"/>
      <c r="BU218" s="825"/>
      <c r="BV218" s="825"/>
      <c r="BW218" s="825"/>
      <c r="BX218" s="825"/>
      <c r="BY218" s="825"/>
      <c r="BZ218" s="825"/>
      <c r="CA218" s="825"/>
      <c r="CB218" s="825"/>
      <c r="CC218" s="825"/>
    </row>
    <row r="219" spans="1:81" s="548" customFormat="1" ht="27" customHeight="1" x14ac:dyDescent="0.25">
      <c r="A219" s="825"/>
      <c r="B219" s="672"/>
      <c r="C219" s="1572"/>
      <c r="D219" s="1565"/>
      <c r="E219" s="1565"/>
      <c r="F219" s="1539"/>
      <c r="G219" s="1539"/>
      <c r="H219" s="1539"/>
      <c r="I219" s="1539"/>
      <c r="J219" s="1539"/>
      <c r="K219" s="1539"/>
      <c r="L219" s="1539"/>
      <c r="M219" s="645" t="s">
        <v>489</v>
      </c>
      <c r="N219" s="730" t="str">
        <f>N13</f>
        <v xml:space="preserve">Tráfico de títulos de propiedad y contratos de cesión en uso </v>
      </c>
      <c r="O219" s="837" t="str">
        <f t="shared" si="5"/>
        <v>Corrupción</v>
      </c>
      <c r="P219" s="536" t="e">
        <f>#REF!</f>
        <v>#REF!</v>
      </c>
      <c r="Q219" s="534" t="str">
        <f>AG9</f>
        <v xml:space="preserve">Transparencia en procesos de formalización de la propiedad rural y cesión en uso </v>
      </c>
      <c r="R219" s="538" t="s">
        <v>566</v>
      </c>
      <c r="S219" s="540" t="s">
        <v>526</v>
      </c>
      <c r="T219" s="519" t="str">
        <f>AF9</f>
        <v>SCR1</v>
      </c>
      <c r="U219" s="628"/>
      <c r="V219" s="478"/>
      <c r="W219" s="478"/>
      <c r="X219" s="273"/>
      <c r="Y219" s="825"/>
      <c r="Z219" s="825"/>
      <c r="AA219" s="825"/>
      <c r="AB219" s="825"/>
      <c r="AC219" s="825"/>
      <c r="AD219" s="825"/>
      <c r="AE219" s="825"/>
      <c r="AF219" s="825"/>
      <c r="AG219" s="825"/>
      <c r="AH219" s="825"/>
      <c r="AI219" s="825"/>
      <c r="AJ219" s="825"/>
      <c r="AK219" s="825"/>
      <c r="AL219" s="825"/>
      <c r="AM219" s="825"/>
      <c r="AN219" s="825"/>
      <c r="AO219" s="825"/>
      <c r="AP219" s="825"/>
      <c r="AQ219" s="825"/>
      <c r="AR219" s="825"/>
      <c r="AS219" s="825"/>
      <c r="AT219" s="825"/>
      <c r="AU219" s="825"/>
      <c r="AV219" s="825"/>
      <c r="AW219" s="825"/>
      <c r="AX219" s="825"/>
      <c r="AY219" s="273"/>
      <c r="AZ219" s="273"/>
      <c r="BA219" s="825"/>
      <c r="BB219" s="825"/>
      <c r="BC219" s="825"/>
      <c r="BD219" s="825"/>
      <c r="BE219" s="825"/>
      <c r="BF219" s="825"/>
      <c r="BG219" s="825"/>
      <c r="BH219" s="825"/>
      <c r="BI219" s="825"/>
      <c r="BJ219" s="825"/>
      <c r="BK219" s="825"/>
      <c r="BL219" s="825"/>
      <c r="BM219" s="825"/>
      <c r="BN219" s="825"/>
      <c r="BO219" s="825"/>
      <c r="BP219" s="825"/>
      <c r="BQ219" s="825"/>
      <c r="BR219" s="825"/>
      <c r="BS219" s="825"/>
      <c r="BT219" s="825"/>
      <c r="BU219" s="825"/>
      <c r="BV219" s="825"/>
      <c r="BW219" s="825"/>
      <c r="BX219" s="825"/>
      <c r="BY219" s="825"/>
      <c r="BZ219" s="825"/>
      <c r="CA219" s="825"/>
      <c r="CB219" s="825"/>
      <c r="CC219" s="825"/>
    </row>
    <row r="220" spans="1:81" s="548" customFormat="1" ht="34.5" customHeight="1" x14ac:dyDescent="0.25">
      <c r="A220" s="825"/>
      <c r="B220" s="672"/>
      <c r="C220" s="1572"/>
      <c r="D220" s="1565"/>
      <c r="E220" s="1565"/>
      <c r="F220" s="1539"/>
      <c r="G220" s="1539"/>
      <c r="H220" s="1539"/>
      <c r="I220" s="1539"/>
      <c r="J220" s="1539"/>
      <c r="K220" s="1539"/>
      <c r="L220" s="1539"/>
      <c r="M220" s="645" t="s">
        <v>489</v>
      </c>
      <c r="N220" s="730" t="str">
        <f>N14</f>
        <v>Exclusión de mujeres propietarias en títulos de propiedad o contratos de cesión en uso</v>
      </c>
      <c r="O220" s="837" t="str">
        <f t="shared" si="5"/>
        <v>Género</v>
      </c>
      <c r="P220" s="536" t="str">
        <f>AC6</f>
        <v>GN</v>
      </c>
      <c r="Q220" s="534" t="str">
        <f>AJ9</f>
        <v xml:space="preserve">Incorporación de cónyuges o convivientes en títulos de propiedad y contratos de cesión en uso </v>
      </c>
      <c r="R220" s="538" t="s">
        <v>576</v>
      </c>
      <c r="S220" s="540" t="s">
        <v>507</v>
      </c>
      <c r="T220" s="519" t="str">
        <f>AI9</f>
        <v>SGN1</v>
      </c>
      <c r="U220" s="628"/>
      <c r="V220" s="478"/>
      <c r="W220" s="478"/>
      <c r="X220" s="273"/>
      <c r="Y220" s="825"/>
      <c r="Z220" s="825"/>
      <c r="AA220" s="825"/>
      <c r="AB220" s="825"/>
      <c r="AC220" s="825"/>
      <c r="AD220" s="825"/>
      <c r="AE220" s="825"/>
      <c r="AF220" s="825"/>
      <c r="AG220" s="825"/>
      <c r="AH220" s="825"/>
      <c r="AI220" s="825"/>
      <c r="AJ220" s="825"/>
      <c r="AK220" s="825"/>
      <c r="AL220" s="825"/>
      <c r="AM220" s="825"/>
      <c r="AN220" s="825"/>
      <c r="AO220" s="825"/>
      <c r="AP220" s="825"/>
      <c r="AQ220" s="825"/>
      <c r="AR220" s="825"/>
      <c r="AS220" s="825"/>
      <c r="AT220" s="825"/>
      <c r="AU220" s="825"/>
      <c r="AV220" s="825"/>
      <c r="AW220" s="825"/>
      <c r="AX220" s="825"/>
      <c r="AY220" s="273"/>
      <c r="AZ220" s="273"/>
      <c r="BA220" s="825"/>
      <c r="BB220" s="825"/>
      <c r="BC220" s="825"/>
      <c r="BD220" s="825"/>
      <c r="BE220" s="825"/>
      <c r="BF220" s="825"/>
      <c r="BG220" s="825"/>
      <c r="BH220" s="825"/>
      <c r="BI220" s="825"/>
      <c r="BJ220" s="825"/>
      <c r="BK220" s="825"/>
      <c r="BL220" s="825"/>
      <c r="BM220" s="825"/>
      <c r="BN220" s="825"/>
      <c r="BO220" s="825"/>
      <c r="BP220" s="825"/>
      <c r="BQ220" s="825"/>
      <c r="BR220" s="825"/>
      <c r="BS220" s="825"/>
      <c r="BT220" s="825"/>
      <c r="BU220" s="825"/>
      <c r="BV220" s="825"/>
      <c r="BW220" s="825"/>
      <c r="BX220" s="825"/>
      <c r="BY220" s="825"/>
      <c r="BZ220" s="825"/>
      <c r="CA220" s="825"/>
      <c r="CB220" s="825"/>
      <c r="CC220" s="825"/>
    </row>
    <row r="221" spans="1:81" s="548" customFormat="1" ht="41.95" customHeight="1" x14ac:dyDescent="0.25">
      <c r="A221" s="825"/>
      <c r="B221" s="672"/>
      <c r="C221" s="1573"/>
      <c r="D221" s="1566"/>
      <c r="E221" s="1566"/>
      <c r="F221" s="1560"/>
      <c r="G221" s="1560"/>
      <c r="H221" s="1560"/>
      <c r="I221" s="1560"/>
      <c r="J221" s="1560"/>
      <c r="K221" s="1560"/>
      <c r="L221" s="1560"/>
      <c r="M221" s="645" t="s">
        <v>489</v>
      </c>
      <c r="N221" s="730" t="str">
        <f>N15</f>
        <v>Otorgamiento de derechos sobre la tierra / bosques en zonas con patrimonio cultural</v>
      </c>
      <c r="O221" s="837" t="str">
        <f t="shared" si="5"/>
        <v>Patrimonio cultural</v>
      </c>
      <c r="P221" s="536" t="str">
        <f>AI6</f>
        <v>PC</v>
      </c>
      <c r="Q221" s="534" t="str">
        <f>AV9</f>
        <v>Evaluación de superposición del área solicitada para titulación de predios rurales con áreas determinadas como patrimonio cultural</v>
      </c>
      <c r="R221" s="538" t="s">
        <v>586</v>
      </c>
      <c r="S221" s="540" t="s">
        <v>542</v>
      </c>
      <c r="T221" s="519" t="str">
        <f>AU9</f>
        <v>SPC1</v>
      </c>
      <c r="U221" s="628"/>
      <c r="V221" s="478"/>
      <c r="W221" s="478"/>
      <c r="X221" s="273"/>
      <c r="Y221" s="825"/>
      <c r="Z221" s="825"/>
      <c r="AA221" s="825"/>
      <c r="AB221" s="825"/>
      <c r="AC221" s="825"/>
      <c r="AD221" s="825"/>
      <c r="AE221" s="825"/>
      <c r="AF221" s="825"/>
      <c r="AG221" s="825"/>
      <c r="AH221" s="825"/>
      <c r="AI221" s="825"/>
      <c r="AJ221" s="825"/>
      <c r="AK221" s="825"/>
      <c r="AL221" s="825"/>
      <c r="AM221" s="825"/>
      <c r="AN221" s="825"/>
      <c r="AO221" s="825"/>
      <c r="AP221" s="825"/>
      <c r="AQ221" s="825"/>
      <c r="AR221" s="825"/>
      <c r="AS221" s="825"/>
      <c r="AT221" s="825"/>
      <c r="AU221" s="825"/>
      <c r="AV221" s="825"/>
      <c r="AW221" s="825"/>
      <c r="AX221" s="825"/>
      <c r="AY221" s="273"/>
      <c r="AZ221" s="273"/>
      <c r="BA221" s="825"/>
      <c r="BB221" s="825"/>
      <c r="BC221" s="825"/>
      <c r="BD221" s="825"/>
      <c r="BE221" s="825"/>
      <c r="BF221" s="825"/>
      <c r="BG221" s="825"/>
      <c r="BH221" s="825"/>
      <c r="BI221" s="825"/>
      <c r="BJ221" s="825"/>
      <c r="BK221" s="825"/>
      <c r="BL221" s="825"/>
      <c r="BM221" s="825"/>
      <c r="BN221" s="825"/>
      <c r="BO221" s="825"/>
      <c r="BP221" s="825"/>
      <c r="BQ221" s="825"/>
      <c r="BR221" s="825"/>
      <c r="BS221" s="825"/>
      <c r="BT221" s="825"/>
      <c r="BU221" s="825"/>
      <c r="BV221" s="825"/>
      <c r="BW221" s="825"/>
      <c r="BX221" s="825"/>
      <c r="BY221" s="825"/>
      <c r="BZ221" s="825"/>
      <c r="CA221" s="825"/>
      <c r="CB221" s="825"/>
      <c r="CC221" s="825"/>
    </row>
    <row r="222" spans="1:81" ht="35.35" customHeight="1" x14ac:dyDescent="0.25">
      <c r="A222" s="825"/>
      <c r="B222" s="672" t="s">
        <v>866</v>
      </c>
      <c r="C222" s="1571" t="str">
        <f>'8. BASE  CONSOLIDADA'!E93</f>
        <v>2.2.2</v>
      </c>
      <c r="D222" s="1564" t="str">
        <f>'8. BASE  CONSOLIDADA'!F93</f>
        <v>Promoción y desarrollo de proveedores de semillas mejoradas</v>
      </c>
      <c r="E222" s="1564" t="str">
        <f>'8. BASE  CONSOLIDADA'!G93</f>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v>
      </c>
      <c r="F222" s="1538" t="str">
        <f>'8. BASE  CONSOLIDADA'!C93</f>
        <v xml:space="preserve">Predios privados dedicados a la producción comercial (arroz) </v>
      </c>
      <c r="G222" s="1538" t="str">
        <f>VLOOKUP($C222,'8. BASE  CONSOLIDADA'!$E$7:$AS$308,13,FALSE)</f>
        <v>Unidades semilleristas</v>
      </c>
      <c r="H222" s="1538">
        <f>VLOOKUP($C222,'8. BASE  CONSOLIDADA'!$E$7:$AS$308,15,FALSE)</f>
        <v>5</v>
      </c>
      <c r="I222" s="1538">
        <f>VLOOKUP(C222,'8. BASE  CONSOLIDADA'!$E$7:$AS$308,20,FALSE)</f>
        <v>75000</v>
      </c>
      <c r="J222" s="1538">
        <f>I222*$J$6</f>
        <v>51.000000000000007</v>
      </c>
      <c r="K222" s="1538"/>
      <c r="L222" s="1538"/>
      <c r="M222" s="645" t="s">
        <v>489</v>
      </c>
      <c r="N222" s="730" t="str">
        <f>N85</f>
        <v>Exclusión de mujeres productoras del desarrollo de proveedores de semillas mejoradas</v>
      </c>
      <c r="O222" s="837" t="str">
        <f t="shared" si="5"/>
        <v>Género</v>
      </c>
      <c r="P222" s="536" t="str">
        <f>AC6</f>
        <v>GN</v>
      </c>
      <c r="Q222" s="534" t="str">
        <f>AJ11</f>
        <v xml:space="preserve">Cuotas de género y medición de participación efectiva de mujeres rurales </v>
      </c>
      <c r="R222" s="538" t="s">
        <v>689</v>
      </c>
      <c r="S222" s="540" t="s">
        <v>507</v>
      </c>
      <c r="T222" s="519" t="str">
        <f>AI11</f>
        <v>SGN3</v>
      </c>
      <c r="U222" s="628"/>
      <c r="V222" s="478"/>
      <c r="W222" s="478"/>
      <c r="X222" s="273"/>
      <c r="Y222" s="825"/>
      <c r="Z222" s="825"/>
      <c r="AA222" s="825"/>
      <c r="AB222" s="825"/>
      <c r="AC222" s="825"/>
      <c r="AD222" s="825"/>
      <c r="AE222" s="825"/>
      <c r="AF222" s="825"/>
      <c r="AG222" s="825"/>
      <c r="AH222" s="825"/>
      <c r="AI222" s="825"/>
      <c r="AJ222" s="825"/>
      <c r="AK222" s="825"/>
      <c r="AL222" s="825"/>
      <c r="AM222" s="825"/>
      <c r="AN222" s="825"/>
      <c r="AO222" s="825"/>
      <c r="AP222" s="825"/>
      <c r="AQ222" s="825"/>
      <c r="AR222" s="825"/>
      <c r="AS222" s="825"/>
      <c r="AT222" s="825"/>
      <c r="AU222" s="825"/>
      <c r="AV222" s="825"/>
      <c r="AW222" s="825"/>
      <c r="AX222" s="825"/>
      <c r="BA222" s="825"/>
      <c r="BB222" s="825"/>
      <c r="BC222" s="825"/>
      <c r="BD222" s="825"/>
      <c r="BE222" s="825"/>
      <c r="BF222" s="825"/>
      <c r="BG222" s="825"/>
      <c r="BH222" s="825"/>
      <c r="BI222" s="825"/>
      <c r="BJ222" s="825"/>
      <c r="BK222" s="825"/>
      <c r="BL222" s="825"/>
      <c r="BM222" s="825"/>
      <c r="BN222" s="825"/>
      <c r="BO222" s="825"/>
      <c r="BP222" s="825"/>
      <c r="BQ222" s="825"/>
      <c r="BR222" s="825"/>
      <c r="BS222" s="825"/>
      <c r="BT222" s="825"/>
      <c r="BU222" s="825"/>
      <c r="BV222" s="825"/>
      <c r="BW222" s="825"/>
      <c r="BX222" s="825"/>
      <c r="BY222" s="825"/>
      <c r="BZ222" s="825"/>
      <c r="CA222" s="825"/>
      <c r="CB222" s="825"/>
      <c r="CC222" s="825"/>
    </row>
    <row r="223" spans="1:81" s="548" customFormat="1" ht="35.35" customHeight="1" x14ac:dyDescent="0.25">
      <c r="A223" s="825"/>
      <c r="B223" s="672"/>
      <c r="C223" s="1573"/>
      <c r="D223" s="1566"/>
      <c r="E223" s="1566"/>
      <c r="F223" s="1560"/>
      <c r="G223" s="1560"/>
      <c r="H223" s="1560"/>
      <c r="I223" s="1560"/>
      <c r="J223" s="1560"/>
      <c r="K223" s="1560"/>
      <c r="L223" s="1560"/>
      <c r="M223" s="645" t="s">
        <v>489</v>
      </c>
      <c r="N223" s="730" t="str">
        <f>N85</f>
        <v>Exclusión de mujeres productoras del desarrollo de proveedores de semillas mejoradas</v>
      </c>
      <c r="O223" s="837" t="str">
        <f t="shared" si="5"/>
        <v>Género</v>
      </c>
      <c r="P223" s="536" t="str">
        <f>AC6</f>
        <v>GN</v>
      </c>
      <c r="Q223" s="534" t="str">
        <f>AJ13</f>
        <v>Programas de incentivos financieros y no financieros para el desarrollo rural para mujeres rurales</v>
      </c>
      <c r="R223" s="538" t="s">
        <v>842</v>
      </c>
      <c r="S223" s="540" t="s">
        <v>507</v>
      </c>
      <c r="T223" s="519" t="str">
        <f>AI13</f>
        <v>SGN5</v>
      </c>
      <c r="U223" s="628"/>
      <c r="V223" s="478"/>
      <c r="W223" s="478"/>
      <c r="X223" s="273"/>
      <c r="Y223" s="825"/>
      <c r="Z223" s="825"/>
      <c r="AA223" s="825"/>
      <c r="AB223" s="825"/>
      <c r="AC223" s="825"/>
      <c r="AD223" s="825"/>
      <c r="AE223" s="825"/>
      <c r="AF223" s="825"/>
      <c r="AG223" s="825"/>
      <c r="AH223" s="825"/>
      <c r="AI223" s="825"/>
      <c r="AJ223" s="825"/>
      <c r="AK223" s="825"/>
      <c r="AL223" s="825"/>
      <c r="AM223" s="825"/>
      <c r="AN223" s="825"/>
      <c r="AO223" s="825"/>
      <c r="AP223" s="825"/>
      <c r="AQ223" s="825"/>
      <c r="AR223" s="825"/>
      <c r="AS223" s="825"/>
      <c r="AT223" s="825"/>
      <c r="AU223" s="825"/>
      <c r="AV223" s="825"/>
      <c r="AW223" s="825"/>
      <c r="AX223" s="825"/>
      <c r="AY223" s="273"/>
      <c r="AZ223" s="273"/>
      <c r="BA223" s="825"/>
      <c r="BB223" s="825"/>
      <c r="BC223" s="825"/>
      <c r="BD223" s="825"/>
      <c r="BE223" s="825"/>
      <c r="BF223" s="825"/>
      <c r="BG223" s="825"/>
      <c r="BH223" s="825"/>
      <c r="BI223" s="825"/>
      <c r="BJ223" s="825"/>
      <c r="BK223" s="825"/>
      <c r="BL223" s="825"/>
      <c r="BM223" s="825"/>
      <c r="BN223" s="825"/>
      <c r="BO223" s="825"/>
      <c r="BP223" s="825"/>
      <c r="BQ223" s="825"/>
      <c r="BR223" s="825"/>
      <c r="BS223" s="825"/>
      <c r="BT223" s="825"/>
      <c r="BU223" s="825"/>
      <c r="BV223" s="825"/>
      <c r="BW223" s="825"/>
      <c r="BX223" s="825"/>
      <c r="BY223" s="825"/>
      <c r="BZ223" s="825"/>
      <c r="CA223" s="825"/>
      <c r="CB223" s="825"/>
      <c r="CC223" s="825"/>
    </row>
    <row r="224" spans="1:81" ht="51.8" customHeight="1" x14ac:dyDescent="0.25">
      <c r="A224" s="825"/>
      <c r="B224" s="672" t="s">
        <v>866</v>
      </c>
      <c r="C224" s="1571" t="str">
        <f>'8. BASE  CONSOLIDADA'!E94</f>
        <v>2.2.3</v>
      </c>
      <c r="D224" s="1564" t="str">
        <f>'8. BASE  CONSOLIDADA'!F94</f>
        <v>Promoción de Sistemas de producción sostenibles</v>
      </c>
      <c r="E224" s="1564" t="str">
        <f>'8. BASE  CONSOLIDADA'!G94</f>
        <v xml:space="preserve">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v>
      </c>
      <c r="F224" s="1538" t="str">
        <f>'8. BASE  CONSOLIDADA'!C94</f>
        <v xml:space="preserve">Predios privados dedicados a la producción comercial (arroz) </v>
      </c>
      <c r="G224" s="1538" t="str">
        <f>VLOOKUP($C224,'8. BASE  CONSOLIDADA'!$E$7:$AS$308,13,FALSE)</f>
        <v>Productores asistidos</v>
      </c>
      <c r="H224" s="1538">
        <f>VLOOKUP($C224,'8. BASE  CONSOLIDADA'!$E$7:$AS$308,15,FALSE)</f>
        <v>1870.5</v>
      </c>
      <c r="I224" s="1538">
        <f>VLOOKUP(C224,'8. BASE  CONSOLIDADA'!$E$7:$AS$308,20,FALSE)</f>
        <v>1047480</v>
      </c>
      <c r="J224" s="1538">
        <f>I224*$J$6</f>
        <v>712.28640000000007</v>
      </c>
      <c r="K224" s="1538"/>
      <c r="L224" s="1538"/>
      <c r="M224" s="645" t="s">
        <v>489</v>
      </c>
      <c r="N224" s="730" t="str">
        <f>N16</f>
        <v>Exclusión de mujeres rurales en programas de asistencia técnica</v>
      </c>
      <c r="O224" s="837" t="str">
        <f t="shared" si="5"/>
        <v>Género</v>
      </c>
      <c r="P224" s="536" t="str">
        <f>AC6</f>
        <v>GN</v>
      </c>
      <c r="Q224" s="534" t="str">
        <f>AJ11</f>
        <v xml:space="preserve">Cuotas de género y medición de participación efectiva de mujeres rurales </v>
      </c>
      <c r="R224" s="538" t="s">
        <v>689</v>
      </c>
      <c r="S224" s="540" t="s">
        <v>507</v>
      </c>
      <c r="T224" s="519" t="str">
        <f>AI11</f>
        <v>SGN3</v>
      </c>
      <c r="U224" s="628"/>
      <c r="V224" s="478"/>
      <c r="W224" s="478"/>
      <c r="X224" s="273"/>
      <c r="Y224" s="825"/>
      <c r="Z224" s="825"/>
      <c r="AA224" s="825"/>
      <c r="AB224" s="825"/>
      <c r="AC224" s="825"/>
      <c r="AD224" s="825"/>
      <c r="AE224" s="825"/>
      <c r="AF224" s="825"/>
      <c r="AG224" s="825"/>
      <c r="AH224" s="825"/>
      <c r="AI224" s="825"/>
      <c r="AJ224" s="825"/>
      <c r="AK224" s="825"/>
      <c r="AL224" s="825"/>
      <c r="AM224" s="825"/>
      <c r="AN224" s="825"/>
      <c r="AO224" s="825"/>
      <c r="AP224" s="825"/>
      <c r="AQ224" s="825"/>
      <c r="AR224" s="825"/>
      <c r="AS224" s="825"/>
      <c r="AT224" s="825"/>
      <c r="AU224" s="825"/>
      <c r="AV224" s="825"/>
      <c r="AW224" s="825"/>
      <c r="AX224" s="825"/>
      <c r="BA224" s="825"/>
      <c r="BB224" s="825"/>
      <c r="BC224" s="825"/>
      <c r="BD224" s="825"/>
      <c r="BE224" s="825"/>
      <c r="BF224" s="825"/>
      <c r="BG224" s="825"/>
      <c r="BH224" s="825"/>
      <c r="BI224" s="825"/>
      <c r="BJ224" s="825"/>
      <c r="BK224" s="825"/>
      <c r="BL224" s="825"/>
      <c r="BM224" s="825"/>
      <c r="BN224" s="825"/>
      <c r="BO224" s="825"/>
      <c r="BP224" s="825"/>
      <c r="BQ224" s="825"/>
      <c r="BR224" s="825"/>
      <c r="BS224" s="825"/>
      <c r="BT224" s="825"/>
      <c r="BU224" s="825"/>
      <c r="BV224" s="825"/>
      <c r="BW224" s="825"/>
      <c r="BX224" s="825"/>
      <c r="BY224" s="825"/>
      <c r="BZ224" s="825"/>
      <c r="CA224" s="825"/>
      <c r="CB224" s="825"/>
      <c r="CC224" s="825"/>
    </row>
    <row r="225" spans="1:81" s="548" customFormat="1" ht="51.8" customHeight="1" x14ac:dyDescent="0.25">
      <c r="A225" s="825"/>
      <c r="B225" s="672"/>
      <c r="C225" s="1573"/>
      <c r="D225" s="1566"/>
      <c r="E225" s="1566"/>
      <c r="F225" s="1560"/>
      <c r="G225" s="1560"/>
      <c r="H225" s="1560"/>
      <c r="I225" s="1560"/>
      <c r="J225" s="1560"/>
      <c r="K225" s="1560"/>
      <c r="L225" s="1560"/>
      <c r="M225" s="645" t="s">
        <v>489</v>
      </c>
      <c r="N225" s="736" t="str">
        <f>N16</f>
        <v>Exclusión de mujeres rurales en programas de asistencia técnica</v>
      </c>
      <c r="O225" s="837" t="str">
        <f t="shared" si="5"/>
        <v>Género</v>
      </c>
      <c r="P225" s="536" t="str">
        <f>AC6</f>
        <v>GN</v>
      </c>
      <c r="Q225" s="534" t="str">
        <f>AJ10</f>
        <v>Programas de asistencia técnica y proyectos específicos para mujeres rurales y mujeres indígenas</v>
      </c>
      <c r="R225" s="538" t="s">
        <v>596</v>
      </c>
      <c r="S225" s="540" t="s">
        <v>507</v>
      </c>
      <c r="T225" s="519" t="str">
        <f>AI10</f>
        <v>SGN2</v>
      </c>
      <c r="U225" s="628"/>
      <c r="V225" s="478"/>
      <c r="W225" s="478"/>
      <c r="X225" s="273"/>
      <c r="Y225" s="825"/>
      <c r="Z225" s="825"/>
      <c r="AA225" s="825"/>
      <c r="AB225" s="825"/>
      <c r="AC225" s="825"/>
      <c r="AD225" s="825"/>
      <c r="AE225" s="825"/>
      <c r="AF225" s="825"/>
      <c r="AG225" s="825"/>
      <c r="AH225" s="825"/>
      <c r="AI225" s="825"/>
      <c r="AJ225" s="825"/>
      <c r="AK225" s="825"/>
      <c r="AL225" s="825"/>
      <c r="AM225" s="825"/>
      <c r="AN225" s="825"/>
      <c r="AO225" s="825"/>
      <c r="AP225" s="825"/>
      <c r="AQ225" s="825"/>
      <c r="AR225" s="825"/>
      <c r="AS225" s="825"/>
      <c r="AT225" s="825"/>
      <c r="AU225" s="825"/>
      <c r="AV225" s="825"/>
      <c r="AW225" s="825"/>
      <c r="AX225" s="825"/>
      <c r="AY225" s="273"/>
      <c r="AZ225" s="273"/>
      <c r="BA225" s="825"/>
      <c r="BB225" s="825"/>
      <c r="BC225" s="825"/>
      <c r="BD225" s="825"/>
      <c r="BE225" s="825"/>
      <c r="BF225" s="825"/>
      <c r="BG225" s="825"/>
      <c r="BH225" s="825"/>
      <c r="BI225" s="825"/>
      <c r="BJ225" s="825"/>
      <c r="BK225" s="825"/>
      <c r="BL225" s="825"/>
      <c r="BM225" s="825"/>
      <c r="BN225" s="825"/>
      <c r="BO225" s="825"/>
      <c r="BP225" s="825"/>
      <c r="BQ225" s="825"/>
      <c r="BR225" s="825"/>
      <c r="BS225" s="825"/>
      <c r="BT225" s="825"/>
      <c r="BU225" s="825"/>
      <c r="BV225" s="825"/>
      <c r="BW225" s="825"/>
      <c r="BX225" s="825"/>
      <c r="BY225" s="825"/>
      <c r="BZ225" s="825"/>
      <c r="CA225" s="825"/>
      <c r="CB225" s="825"/>
      <c r="CC225" s="825"/>
    </row>
    <row r="226" spans="1:81" ht="45" customHeight="1" x14ac:dyDescent="0.25">
      <c r="A226" s="825"/>
      <c r="B226" s="672" t="s">
        <v>866</v>
      </c>
      <c r="C226" s="1571" t="str">
        <f>'8. BASE  CONSOLIDADA'!E95</f>
        <v>2.2.4</v>
      </c>
      <c r="D226" s="1564" t="str">
        <f>'8. BASE  CONSOLIDADA'!F95</f>
        <v xml:space="preserve">Reconversión y diversificación productiva </v>
      </c>
      <c r="E226" s="1564" t="str">
        <f>'8. BASE  CONSOLIDADA'!G95</f>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v>
      </c>
      <c r="F226" s="1538" t="str">
        <f>'8. BASE  CONSOLIDADA'!C95</f>
        <v xml:space="preserve">Predios privados dedicados a la producción comercial (arroz) </v>
      </c>
      <c r="G226" s="1538" t="str">
        <f>VLOOKUP($C226,'8. BASE  CONSOLIDADA'!$E$7:$AS$308,13,FALSE)</f>
        <v>Hectáreas reconvertidas</v>
      </c>
      <c r="H226" s="1538">
        <f>VLOOKUP($C226,'8. BASE  CONSOLIDADA'!$E$7:$AS$308,15,FALSE)</f>
        <v>380.42000000000007</v>
      </c>
      <c r="I226" s="1538">
        <f>VLOOKUP(C226,'8. BASE  CONSOLIDADA'!$E$7:$AS$308,20,FALSE)</f>
        <v>5706300.0000000009</v>
      </c>
      <c r="J226" s="1538">
        <f>I226*$J$6</f>
        <v>3880.284000000001</v>
      </c>
      <c r="K226" s="1538">
        <v>17</v>
      </c>
      <c r="L226" s="1538">
        <f>K226*H226</f>
        <v>6467.1400000000012</v>
      </c>
      <c r="M226" s="744" t="s">
        <v>867</v>
      </c>
      <c r="N226" s="652" t="str">
        <f>N17</f>
        <v>Especies exóticas o invasoras en bosques colindantes</v>
      </c>
      <c r="O226" s="573" t="str">
        <f t="shared" si="5"/>
        <v>Biodiversidad y recursos naturales</v>
      </c>
      <c r="P226" s="536" t="e">
        <f>#REF!</f>
        <v>#REF!</v>
      </c>
      <c r="Q226" s="534" t="str">
        <f>AA12</f>
        <v xml:space="preserve">Ordenamiento agroterritorial como estrategia para ordenar y promover el desarrollo agrario regional </v>
      </c>
      <c r="R226" s="538" t="s">
        <v>656</v>
      </c>
      <c r="S226" s="540" t="s">
        <v>492</v>
      </c>
      <c r="T226" s="519" t="str">
        <f>Z12</f>
        <v>SBRN4</v>
      </c>
      <c r="U226" s="628"/>
      <c r="V226" s="478"/>
      <c r="W226" s="478"/>
      <c r="X226" s="273"/>
      <c r="Y226" s="825"/>
      <c r="Z226" s="825"/>
      <c r="AA226" s="825"/>
      <c r="AB226" s="825"/>
      <c r="AC226" s="825"/>
      <c r="AD226" s="825"/>
      <c r="AE226" s="825"/>
      <c r="AF226" s="825"/>
      <c r="AG226" s="825"/>
      <c r="AH226" s="825"/>
      <c r="AI226" s="825"/>
      <c r="AJ226" s="825"/>
      <c r="AK226" s="825"/>
      <c r="AL226" s="825"/>
      <c r="AM226" s="825"/>
      <c r="AN226" s="825"/>
      <c r="AO226" s="825"/>
      <c r="AP226" s="825"/>
      <c r="AQ226" s="825"/>
      <c r="AR226" s="825"/>
      <c r="AS226" s="825"/>
      <c r="AT226" s="825"/>
      <c r="AU226" s="825"/>
      <c r="AV226" s="825"/>
      <c r="AW226" s="825"/>
      <c r="AX226" s="825"/>
      <c r="BA226" s="825"/>
      <c r="BB226" s="825"/>
      <c r="BC226" s="825"/>
      <c r="BD226" s="825"/>
      <c r="BE226" s="825"/>
      <c r="BF226" s="825"/>
      <c r="BG226" s="825"/>
      <c r="BH226" s="825"/>
      <c r="BI226" s="825"/>
      <c r="BJ226" s="825"/>
      <c r="BK226" s="825"/>
      <c r="BL226" s="825"/>
      <c r="BM226" s="825"/>
      <c r="BN226" s="825"/>
      <c r="BO226" s="825"/>
      <c r="BP226" s="825"/>
      <c r="BQ226" s="825"/>
      <c r="BR226" s="825"/>
      <c r="BS226" s="825"/>
      <c r="BT226" s="825"/>
      <c r="BU226" s="825"/>
      <c r="BV226" s="825"/>
      <c r="BW226" s="825"/>
      <c r="BX226" s="825"/>
      <c r="BY226" s="825"/>
      <c r="BZ226" s="825"/>
      <c r="CA226" s="825"/>
      <c r="CB226" s="825"/>
      <c r="CC226" s="825"/>
    </row>
    <row r="227" spans="1:81" s="548" customFormat="1" ht="44.35" customHeight="1" x14ac:dyDescent="0.25">
      <c r="A227" s="825"/>
      <c r="B227" s="672"/>
      <c r="C227" s="1572"/>
      <c r="D227" s="1565"/>
      <c r="E227" s="1565"/>
      <c r="F227" s="1539"/>
      <c r="G227" s="1539"/>
      <c r="H227" s="1539"/>
      <c r="I227" s="1539"/>
      <c r="J227" s="1539"/>
      <c r="K227" s="1539"/>
      <c r="L227" s="1539"/>
      <c r="M227" s="650" t="s">
        <v>489</v>
      </c>
      <c r="N227" s="752" t="str">
        <f>N17</f>
        <v>Especies exóticas o invasoras en bosques colindantes</v>
      </c>
      <c r="O227" s="837" t="str">
        <f t="shared" si="5"/>
        <v>Biodiversidad y recursos naturales</v>
      </c>
      <c r="P227" s="536" t="e">
        <f>#REF!</f>
        <v>#REF!</v>
      </c>
      <c r="Q227" s="534" t="str">
        <f>AA13</f>
        <v xml:space="preserve">Inclusión de cláusulas de monitoreo y control de especies exóticas e invasoras en proyectos de promoción agrarios  </v>
      </c>
      <c r="R227" s="538" t="s">
        <v>614</v>
      </c>
      <c r="S227" s="540" t="s">
        <v>492</v>
      </c>
      <c r="T227" s="519" t="str">
        <f>Z13</f>
        <v>SBRN5</v>
      </c>
      <c r="U227" s="628"/>
      <c r="V227" s="478"/>
      <c r="W227" s="478"/>
      <c r="X227" s="273"/>
      <c r="Y227" s="825"/>
      <c r="Z227" s="825"/>
      <c r="AA227" s="825"/>
      <c r="AB227" s="825"/>
      <c r="AC227" s="825"/>
      <c r="AD227" s="825"/>
      <c r="AE227" s="825"/>
      <c r="AF227" s="825"/>
      <c r="AG227" s="825"/>
      <c r="AH227" s="825"/>
      <c r="AI227" s="825"/>
      <c r="AJ227" s="825"/>
      <c r="AK227" s="825"/>
      <c r="AL227" s="825"/>
      <c r="AM227" s="825"/>
      <c r="AN227" s="825"/>
      <c r="AO227" s="825"/>
      <c r="AP227" s="825"/>
      <c r="AQ227" s="825"/>
      <c r="AR227" s="825"/>
      <c r="AS227" s="825"/>
      <c r="AT227" s="825"/>
      <c r="AU227" s="825"/>
      <c r="AV227" s="825"/>
      <c r="AW227" s="825"/>
      <c r="AX227" s="825"/>
      <c r="AY227" s="273"/>
      <c r="AZ227" s="273"/>
      <c r="BA227" s="825"/>
      <c r="BB227" s="825"/>
      <c r="BC227" s="825"/>
      <c r="BD227" s="825"/>
      <c r="BE227" s="825"/>
      <c r="BF227" s="825"/>
      <c r="BG227" s="825"/>
      <c r="BH227" s="825"/>
      <c r="BI227" s="825"/>
      <c r="BJ227" s="825"/>
      <c r="BK227" s="825"/>
      <c r="BL227" s="825"/>
      <c r="BM227" s="825"/>
      <c r="BN227" s="825"/>
      <c r="BO227" s="825"/>
      <c r="BP227" s="825"/>
      <c r="BQ227" s="825"/>
      <c r="BR227" s="825"/>
      <c r="BS227" s="825"/>
      <c r="BT227" s="825"/>
      <c r="BU227" s="825"/>
      <c r="BV227" s="825"/>
      <c r="BW227" s="825"/>
      <c r="BX227" s="825"/>
      <c r="BY227" s="825"/>
      <c r="BZ227" s="825"/>
      <c r="CA227" s="825"/>
      <c r="CB227" s="825"/>
      <c r="CC227" s="825"/>
    </row>
    <row r="228" spans="1:81" s="548" customFormat="1" ht="62.35" customHeight="1" x14ac:dyDescent="0.25">
      <c r="A228" s="825"/>
      <c r="B228" s="672"/>
      <c r="C228" s="1573"/>
      <c r="D228" s="1566"/>
      <c r="E228" s="1566"/>
      <c r="F228" s="1560"/>
      <c r="G228" s="1560"/>
      <c r="H228" s="1560"/>
      <c r="I228" s="1560"/>
      <c r="J228" s="1560"/>
      <c r="K228" s="1560"/>
      <c r="L228" s="1560"/>
      <c r="M228" s="645" t="s">
        <v>489</v>
      </c>
      <c r="N228" s="730" t="str">
        <f>N19</f>
        <v>Cultivos elegibles para reconversión no logran obtener los máximos beneficios en las zonas seleccionadas</v>
      </c>
      <c r="O228" s="837" t="str">
        <f t="shared" si="5"/>
        <v>Vulnerabilidad al cambio climático</v>
      </c>
      <c r="P228" s="536" t="e">
        <f>#REF!</f>
        <v>#REF!</v>
      </c>
      <c r="Q228" s="534" t="str">
        <f>AS9</f>
        <v xml:space="preserve">Los cultivos deben ser aptos para las zonas en los programas de reconversión productiva </v>
      </c>
      <c r="R228" s="538" t="s">
        <v>623</v>
      </c>
      <c r="S228" s="540" t="s">
        <v>507</v>
      </c>
      <c r="T228" s="519" t="str">
        <f>AR9</f>
        <v>SVCC1</v>
      </c>
      <c r="U228" s="628"/>
      <c r="V228" s="478"/>
      <c r="W228" s="478"/>
      <c r="X228" s="273"/>
      <c r="Y228" s="825"/>
      <c r="Z228" s="825"/>
      <c r="AA228" s="825"/>
      <c r="AB228" s="825"/>
      <c r="AC228" s="825"/>
      <c r="AD228" s="825"/>
      <c r="AE228" s="825"/>
      <c r="AF228" s="825"/>
      <c r="AG228" s="825"/>
      <c r="AH228" s="825"/>
      <c r="AI228" s="825"/>
      <c r="AJ228" s="825"/>
      <c r="AK228" s="825"/>
      <c r="AL228" s="825"/>
      <c r="AM228" s="825"/>
      <c r="AN228" s="825"/>
      <c r="AO228" s="825"/>
      <c r="AP228" s="825"/>
      <c r="AQ228" s="825"/>
      <c r="AR228" s="825"/>
      <c r="AS228" s="825"/>
      <c r="AT228" s="825"/>
      <c r="AU228" s="825"/>
      <c r="AV228" s="825"/>
      <c r="AW228" s="825"/>
      <c r="AX228" s="825"/>
      <c r="AY228" s="273"/>
      <c r="AZ228" s="273"/>
      <c r="BA228" s="825"/>
      <c r="BB228" s="825"/>
      <c r="BC228" s="825"/>
      <c r="BD228" s="825"/>
      <c r="BE228" s="825"/>
      <c r="BF228" s="825"/>
      <c r="BG228" s="825"/>
      <c r="BH228" s="825"/>
      <c r="BI228" s="825"/>
      <c r="BJ228" s="825"/>
      <c r="BK228" s="825"/>
      <c r="BL228" s="825"/>
      <c r="BM228" s="825"/>
      <c r="BN228" s="825"/>
      <c r="BO228" s="825"/>
      <c r="BP228" s="825"/>
      <c r="BQ228" s="825"/>
      <c r="BR228" s="825"/>
      <c r="BS228" s="825"/>
      <c r="BT228" s="825"/>
      <c r="BU228" s="825"/>
      <c r="BV228" s="825"/>
      <c r="BW228" s="825"/>
      <c r="BX228" s="825"/>
      <c r="BY228" s="825"/>
      <c r="BZ228" s="825"/>
      <c r="CA228" s="825"/>
      <c r="CB228" s="825"/>
      <c r="CC228" s="825"/>
    </row>
    <row r="229" spans="1:81" ht="41.3" customHeight="1" x14ac:dyDescent="0.25">
      <c r="A229" s="825"/>
      <c r="B229" s="672" t="s">
        <v>866</v>
      </c>
      <c r="C229" s="1571" t="str">
        <f>'8. BASE  CONSOLIDADA'!E96</f>
        <v>2.2.5</v>
      </c>
      <c r="D229" s="1564" t="str">
        <f>'8. BASE  CONSOLIDADA'!F96</f>
        <v>Programa de acceso al financiamiento agropecuario condicionado</v>
      </c>
      <c r="E229" s="1564" t="str">
        <f>'8. BASE  CONSOLIDADA'!G96</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v>
      </c>
      <c r="F229" s="1538" t="str">
        <f>'8. BASE  CONSOLIDADA'!C96</f>
        <v xml:space="preserve">Predios privados dedicados a la producción comercial (arroz) </v>
      </c>
      <c r="G229" s="1538" t="str">
        <f>VLOOKUP($C229,'8. BASE  CONSOLIDADA'!$E$7:$AS$308,13,FALSE)</f>
        <v>Productores atendidos</v>
      </c>
      <c r="H229" s="1538">
        <f>VLOOKUP($C229,'8. BASE  CONSOLIDADA'!$E$7:$AS$308,15,FALSE)</f>
        <v>1122.3</v>
      </c>
      <c r="I229" s="1538">
        <f>VLOOKUP(C229,'8. BASE  CONSOLIDADA'!$E$7:$AS$308,20,FALSE)</f>
        <v>12064725</v>
      </c>
      <c r="J229" s="1538">
        <f>I229*$J$6</f>
        <v>8204.0130000000008</v>
      </c>
      <c r="K229" s="1040"/>
      <c r="L229" s="1032"/>
      <c r="M229" s="744" t="s">
        <v>489</v>
      </c>
      <c r="N229" s="740" t="str">
        <f>N25</f>
        <v>Deforestación de nuevas áreas para implementar créditos o incentivos otorgados</v>
      </c>
      <c r="O229" s="837" t="str">
        <f t="shared" si="5"/>
        <v>Biodiversidad y recursos naturales</v>
      </c>
      <c r="P229" s="536" t="e">
        <f>#REF!</f>
        <v>#REF!</v>
      </c>
      <c r="Q229" s="534" t="str">
        <f>AA12</f>
        <v xml:space="preserve">Ordenamiento agroterritorial como estrategia para ordenar y promover el desarrollo agrario regional </v>
      </c>
      <c r="R229" s="538" t="s">
        <v>656</v>
      </c>
      <c r="S229" s="540" t="s">
        <v>492</v>
      </c>
      <c r="T229" s="519" t="str">
        <f>Z12</f>
        <v>SBRN4</v>
      </c>
      <c r="U229" s="628"/>
      <c r="V229" s="478"/>
      <c r="W229" s="478"/>
      <c r="X229" s="273"/>
      <c r="Y229" s="825"/>
      <c r="Z229" s="825"/>
      <c r="AA229" s="825"/>
      <c r="AB229" s="825"/>
      <c r="AC229" s="825"/>
      <c r="AD229" s="825"/>
      <c r="AE229" s="825"/>
      <c r="AF229" s="825"/>
      <c r="AG229" s="825"/>
      <c r="AH229" s="825"/>
      <c r="AI229" s="825"/>
      <c r="AJ229" s="825"/>
      <c r="AK229" s="825"/>
      <c r="AL229" s="825"/>
      <c r="AM229" s="825"/>
      <c r="AN229" s="825"/>
      <c r="AO229" s="825"/>
      <c r="AP229" s="825"/>
      <c r="AQ229" s="825"/>
      <c r="AR229" s="825"/>
      <c r="AS229" s="825"/>
      <c r="AT229" s="825"/>
      <c r="AU229" s="825"/>
      <c r="AV229" s="825"/>
      <c r="AW229" s="825"/>
      <c r="AX229" s="825"/>
      <c r="BA229" s="825"/>
      <c r="BB229" s="825"/>
      <c r="BC229" s="825"/>
      <c r="BD229" s="825"/>
      <c r="BE229" s="825"/>
      <c r="BF229" s="825"/>
      <c r="BG229" s="825"/>
      <c r="BH229" s="825"/>
      <c r="BI229" s="825"/>
      <c r="BJ229" s="825"/>
      <c r="BK229" s="825"/>
      <c r="BL229" s="825"/>
      <c r="BM229" s="825"/>
      <c r="BN229" s="825"/>
      <c r="BO229" s="825"/>
      <c r="BP229" s="825"/>
      <c r="BQ229" s="825"/>
      <c r="BR229" s="825"/>
      <c r="BS229" s="825"/>
      <c r="BT229" s="825"/>
      <c r="BU229" s="825"/>
      <c r="BV229" s="825"/>
      <c r="BW229" s="825"/>
      <c r="BX229" s="825"/>
      <c r="BY229" s="825"/>
      <c r="BZ229" s="825"/>
      <c r="CA229" s="825"/>
      <c r="CB229" s="825"/>
      <c r="CC229" s="825"/>
    </row>
    <row r="230" spans="1:81" s="548" customFormat="1" ht="33.799999999999997" customHeight="1" x14ac:dyDescent="0.25">
      <c r="A230" s="825"/>
      <c r="B230" s="672"/>
      <c r="C230" s="1572"/>
      <c r="D230" s="1565"/>
      <c r="E230" s="1565"/>
      <c r="F230" s="1539"/>
      <c r="G230" s="1539"/>
      <c r="H230" s="1539"/>
      <c r="I230" s="1539"/>
      <c r="J230" s="1539"/>
      <c r="K230" s="1031">
        <v>100</v>
      </c>
      <c r="L230" s="1031">
        <f>K230*H229</f>
        <v>112230</v>
      </c>
      <c r="M230" s="748" t="s">
        <v>672</v>
      </c>
      <c r="N230" s="740" t="str">
        <f>N25</f>
        <v>Deforestación de nuevas áreas para implementar créditos o incentivos otorgados</v>
      </c>
      <c r="O230" s="837" t="str">
        <f t="shared" si="5"/>
        <v>Biodiversidad y recursos naturales</v>
      </c>
      <c r="P230" s="536" t="e">
        <f>#REF!</f>
        <v>#REF!</v>
      </c>
      <c r="Q230" s="534" t="str">
        <f>AA14</f>
        <v>Desarrollo de incentivos financieros y no financieros condicionados con cláusulas de no deforestación</v>
      </c>
      <c r="R230" s="538" t="s">
        <v>673</v>
      </c>
      <c r="S230" s="540" t="s">
        <v>526</v>
      </c>
      <c r="T230" s="519" t="str">
        <f>Z14</f>
        <v>SBRN6</v>
      </c>
      <c r="U230" s="628"/>
      <c r="V230" s="478"/>
      <c r="W230" s="478"/>
      <c r="X230" s="273"/>
      <c r="Y230" s="825"/>
      <c r="Z230" s="825"/>
      <c r="AA230" s="825"/>
      <c r="AB230" s="825"/>
      <c r="AC230" s="825"/>
      <c r="AD230" s="825"/>
      <c r="AE230" s="825"/>
      <c r="AF230" s="825"/>
      <c r="AG230" s="825"/>
      <c r="AH230" s="825"/>
      <c r="AI230" s="825"/>
      <c r="AJ230" s="825"/>
      <c r="AK230" s="825"/>
      <c r="AL230" s="825"/>
      <c r="AM230" s="825"/>
      <c r="AN230" s="825"/>
      <c r="AO230" s="825"/>
      <c r="AP230" s="825"/>
      <c r="AQ230" s="825"/>
      <c r="AR230" s="825"/>
      <c r="AS230" s="825"/>
      <c r="AT230" s="825"/>
      <c r="AU230" s="825"/>
      <c r="AV230" s="825"/>
      <c r="AW230" s="825"/>
      <c r="AX230" s="825"/>
      <c r="AY230" s="273"/>
      <c r="AZ230" s="273"/>
      <c r="BA230" s="825"/>
      <c r="BB230" s="825"/>
      <c r="BC230" s="825"/>
      <c r="BD230" s="825"/>
      <c r="BE230" s="825"/>
      <c r="BF230" s="825"/>
      <c r="BG230" s="825"/>
      <c r="BH230" s="825"/>
      <c r="BI230" s="825"/>
      <c r="BJ230" s="825"/>
      <c r="BK230" s="825"/>
      <c r="BL230" s="825"/>
      <c r="BM230" s="825"/>
      <c r="BN230" s="825"/>
      <c r="BO230" s="825"/>
      <c r="BP230" s="825"/>
      <c r="BQ230" s="825"/>
      <c r="BR230" s="825"/>
      <c r="BS230" s="825"/>
      <c r="BT230" s="825"/>
      <c r="BU230" s="825"/>
      <c r="BV230" s="825"/>
      <c r="BW230" s="825"/>
      <c r="BX230" s="825"/>
      <c r="BY230" s="825"/>
      <c r="BZ230" s="825"/>
      <c r="CA230" s="825"/>
      <c r="CB230" s="825"/>
      <c r="CC230" s="825"/>
    </row>
    <row r="231" spans="1:81" s="548" customFormat="1" ht="30.75" customHeight="1" x14ac:dyDescent="0.25">
      <c r="A231" s="825"/>
      <c r="B231" s="672"/>
      <c r="C231" s="1572"/>
      <c r="D231" s="1565"/>
      <c r="E231" s="1565"/>
      <c r="F231" s="1539"/>
      <c r="G231" s="1539"/>
      <c r="H231" s="1539"/>
      <c r="I231" s="1539"/>
      <c r="J231" s="1539"/>
      <c r="K231" s="1042"/>
      <c r="L231" s="1042"/>
      <c r="M231" s="650" t="s">
        <v>489</v>
      </c>
      <c r="N231" s="724" t="str">
        <f>N17</f>
        <v>Especies exóticas o invasoras en bosques colindantes</v>
      </c>
      <c r="O231" s="837" t="str">
        <f t="shared" si="5"/>
        <v>Biodiversidad y recursos naturales</v>
      </c>
      <c r="P231" s="536" t="e">
        <f>#REF!</f>
        <v>#REF!</v>
      </c>
      <c r="Q231" s="534" t="str">
        <f>AA16</f>
        <v>Promoción del cultivo de especies nativas</v>
      </c>
      <c r="R231" s="538" t="s">
        <v>834</v>
      </c>
      <c r="S231" s="540" t="s">
        <v>492</v>
      </c>
      <c r="T231" s="519" t="str">
        <f>Z16</f>
        <v>SBRN8</v>
      </c>
      <c r="U231" s="628"/>
      <c r="V231" s="478"/>
      <c r="W231" s="478"/>
      <c r="X231" s="273"/>
      <c r="Y231" s="825"/>
      <c r="Z231" s="825"/>
      <c r="AA231" s="825"/>
      <c r="AB231" s="825"/>
      <c r="AC231" s="825"/>
      <c r="AD231" s="825"/>
      <c r="AE231" s="825"/>
      <c r="AF231" s="825"/>
      <c r="AG231" s="825"/>
      <c r="AH231" s="825"/>
      <c r="AI231" s="825"/>
      <c r="AJ231" s="825"/>
      <c r="AK231" s="825"/>
      <c r="AL231" s="825"/>
      <c r="AM231" s="825"/>
      <c r="AN231" s="825"/>
      <c r="AO231" s="825"/>
      <c r="AP231" s="825"/>
      <c r="AQ231" s="825"/>
      <c r="AR231" s="825"/>
      <c r="AS231" s="825"/>
      <c r="AT231" s="825"/>
      <c r="AU231" s="825"/>
      <c r="AV231" s="825"/>
      <c r="AW231" s="825"/>
      <c r="AX231" s="825"/>
      <c r="AY231" s="273"/>
      <c r="AZ231" s="273"/>
      <c r="BA231" s="825"/>
      <c r="BB231" s="825"/>
      <c r="BC231" s="825"/>
      <c r="BD231" s="825"/>
      <c r="BE231" s="825"/>
      <c r="BF231" s="825"/>
      <c r="BG231" s="825"/>
      <c r="BH231" s="825"/>
      <c r="BI231" s="825"/>
      <c r="BJ231" s="825"/>
      <c r="BK231" s="825"/>
      <c r="BL231" s="825"/>
      <c r="BM231" s="825"/>
      <c r="BN231" s="825"/>
      <c r="BO231" s="825"/>
      <c r="BP231" s="825"/>
      <c r="BQ231" s="825"/>
      <c r="BR231" s="825"/>
      <c r="BS231" s="825"/>
      <c r="BT231" s="825"/>
      <c r="BU231" s="825"/>
      <c r="BV231" s="825"/>
      <c r="BW231" s="825"/>
      <c r="BX231" s="825"/>
      <c r="BY231" s="825"/>
      <c r="BZ231" s="825"/>
      <c r="CA231" s="825"/>
      <c r="CB231" s="825"/>
      <c r="CC231" s="825"/>
    </row>
    <row r="232" spans="1:81" s="548" customFormat="1" ht="21.75" customHeight="1" x14ac:dyDescent="0.25">
      <c r="A232" s="825"/>
      <c r="B232" s="672"/>
      <c r="C232" s="1572"/>
      <c r="D232" s="1565"/>
      <c r="E232" s="1565"/>
      <c r="F232" s="1539"/>
      <c r="G232" s="1539"/>
      <c r="H232" s="1539"/>
      <c r="I232" s="1539"/>
      <c r="J232" s="1539"/>
      <c r="K232" s="1042"/>
      <c r="L232" s="1042"/>
      <c r="M232" s="645" t="s">
        <v>489</v>
      </c>
      <c r="N232" s="730" t="str">
        <f>N28</f>
        <v>Contaminación por residuos agropecuarios</v>
      </c>
      <c r="O232" s="837" t="str">
        <f t="shared" si="5"/>
        <v>Contaminación</v>
      </c>
      <c r="P232" s="536" t="e">
        <f>#REF!</f>
        <v>#REF!</v>
      </c>
      <c r="Q232" s="534" t="str">
        <f>AM10</f>
        <v>Control de residuos agropecuarios</v>
      </c>
      <c r="R232" s="538" t="s">
        <v>535</v>
      </c>
      <c r="S232" s="540" t="s">
        <v>492</v>
      </c>
      <c r="T232" s="519" t="str">
        <f>AL10</f>
        <v>SCT2</v>
      </c>
      <c r="U232" s="628"/>
      <c r="V232" s="478"/>
      <c r="W232" s="478"/>
      <c r="X232" s="273"/>
      <c r="Y232" s="825"/>
      <c r="Z232" s="825"/>
      <c r="AA232" s="825"/>
      <c r="AB232" s="825"/>
      <c r="AC232" s="825"/>
      <c r="AD232" s="825"/>
      <c r="AE232" s="825"/>
      <c r="AF232" s="825"/>
      <c r="AG232" s="825"/>
      <c r="AH232" s="825"/>
      <c r="AI232" s="825"/>
      <c r="AJ232" s="825"/>
      <c r="AK232" s="825"/>
      <c r="AL232" s="825"/>
      <c r="AM232" s="825"/>
      <c r="AN232" s="825"/>
      <c r="AO232" s="825"/>
      <c r="AP232" s="825"/>
      <c r="AQ232" s="825"/>
      <c r="AR232" s="825"/>
      <c r="AS232" s="825"/>
      <c r="AT232" s="825"/>
      <c r="AU232" s="825"/>
      <c r="AV232" s="825"/>
      <c r="AW232" s="825"/>
      <c r="AX232" s="825"/>
      <c r="AY232" s="273"/>
      <c r="AZ232" s="273"/>
      <c r="BA232" s="825"/>
      <c r="BB232" s="825"/>
      <c r="BC232" s="825"/>
      <c r="BD232" s="825"/>
      <c r="BE232" s="825"/>
      <c r="BF232" s="825"/>
      <c r="BG232" s="825"/>
      <c r="BH232" s="825"/>
      <c r="BI232" s="825"/>
      <c r="BJ232" s="825"/>
      <c r="BK232" s="825"/>
      <c r="BL232" s="825"/>
      <c r="BM232" s="825"/>
      <c r="BN232" s="825"/>
      <c r="BO232" s="825"/>
      <c r="BP232" s="825"/>
      <c r="BQ232" s="825"/>
      <c r="BR232" s="825"/>
      <c r="BS232" s="825"/>
      <c r="BT232" s="825"/>
      <c r="BU232" s="825"/>
      <c r="BV232" s="825"/>
      <c r="BW232" s="825"/>
      <c r="BX232" s="825"/>
      <c r="BY232" s="825"/>
      <c r="BZ232" s="825"/>
      <c r="CA232" s="825"/>
      <c r="CB232" s="825"/>
      <c r="CC232" s="825"/>
    </row>
    <row r="233" spans="1:81" s="548" customFormat="1" ht="40.6" customHeight="1" x14ac:dyDescent="0.25">
      <c r="A233" s="825"/>
      <c r="B233" s="672"/>
      <c r="C233" s="1572"/>
      <c r="D233" s="1565"/>
      <c r="E233" s="1565"/>
      <c r="F233" s="1539"/>
      <c r="G233" s="1539"/>
      <c r="H233" s="1539"/>
      <c r="I233" s="1539"/>
      <c r="J233" s="1539"/>
      <c r="K233" s="1042"/>
      <c r="L233" s="1042"/>
      <c r="M233" s="645" t="s">
        <v>489</v>
      </c>
      <c r="N233" s="730" t="str">
        <f>N29</f>
        <v xml:space="preserve">Otorgamiento inapropiado de incentivos </v>
      </c>
      <c r="O233" s="837" t="str">
        <f t="shared" si="5"/>
        <v>Corrupción</v>
      </c>
      <c r="P233" s="536" t="e">
        <f>#REF!</f>
        <v>#REF!</v>
      </c>
      <c r="Q233" s="534" t="str">
        <f>AG10</f>
        <v>Transparencia en incentivos financieros y obras públicas vinculadas a la ERDRBE</v>
      </c>
      <c r="R233" s="538" t="s">
        <v>687</v>
      </c>
      <c r="S233" s="540" t="s">
        <v>507</v>
      </c>
      <c r="T233" s="519" t="str">
        <f>AF10</f>
        <v>SCR2</v>
      </c>
      <c r="U233" s="628"/>
      <c r="V233" s="478"/>
      <c r="W233" s="478"/>
      <c r="X233" s="273"/>
      <c r="Y233" s="825"/>
      <c r="Z233" s="825"/>
      <c r="AA233" s="825"/>
      <c r="AB233" s="825"/>
      <c r="AC233" s="825"/>
      <c r="AD233" s="825"/>
      <c r="AE233" s="825"/>
      <c r="AF233" s="825"/>
      <c r="AG233" s="825"/>
      <c r="AH233" s="825"/>
      <c r="AI233" s="825"/>
      <c r="AJ233" s="825"/>
      <c r="AK233" s="825"/>
      <c r="AL233" s="825"/>
      <c r="AM233" s="825"/>
      <c r="AN233" s="825"/>
      <c r="AO233" s="825"/>
      <c r="AP233" s="825"/>
      <c r="AQ233" s="825"/>
      <c r="AR233" s="825"/>
      <c r="AS233" s="825"/>
      <c r="AT233" s="825"/>
      <c r="AU233" s="825"/>
      <c r="AV233" s="825"/>
      <c r="AW233" s="825"/>
      <c r="AX233" s="825"/>
      <c r="AY233" s="273"/>
      <c r="AZ233" s="273"/>
      <c r="BA233" s="825"/>
      <c r="BB233" s="825"/>
      <c r="BC233" s="825"/>
      <c r="BD233" s="825"/>
      <c r="BE233" s="825"/>
      <c r="BF233" s="825"/>
      <c r="BG233" s="825"/>
      <c r="BH233" s="825"/>
      <c r="BI233" s="825"/>
      <c r="BJ233" s="825"/>
      <c r="BK233" s="825"/>
      <c r="BL233" s="825"/>
      <c r="BM233" s="825"/>
      <c r="BN233" s="825"/>
      <c r="BO233" s="825"/>
      <c r="BP233" s="825"/>
      <c r="BQ233" s="825"/>
      <c r="BR233" s="825"/>
      <c r="BS233" s="825"/>
      <c r="BT233" s="825"/>
      <c r="BU233" s="825"/>
      <c r="BV233" s="825"/>
      <c r="BW233" s="825"/>
      <c r="BX233" s="825"/>
      <c r="BY233" s="825"/>
      <c r="BZ233" s="825"/>
      <c r="CA233" s="825"/>
      <c r="CB233" s="825"/>
      <c r="CC233" s="825"/>
    </row>
    <row r="234" spans="1:81" s="548" customFormat="1" ht="27.7" customHeight="1" x14ac:dyDescent="0.25">
      <c r="A234" s="825"/>
      <c r="B234" s="672"/>
      <c r="C234" s="1572"/>
      <c r="D234" s="1565"/>
      <c r="E234" s="1565"/>
      <c r="F234" s="1539"/>
      <c r="G234" s="1539"/>
      <c r="H234" s="1539"/>
      <c r="I234" s="1539"/>
      <c r="J234" s="1539"/>
      <c r="K234" s="1042"/>
      <c r="L234" s="1042"/>
      <c r="M234" s="645" t="s">
        <v>489</v>
      </c>
      <c r="N234" s="730" t="str">
        <f>N30</f>
        <v>Exclusión de productoras agrarias en sistemas de incentivos financieros</v>
      </c>
      <c r="O234" s="837" t="str">
        <f t="shared" si="5"/>
        <v>Género</v>
      </c>
      <c r="P234" s="536" t="str">
        <f>AC6</f>
        <v>GN</v>
      </c>
      <c r="Q234" s="534" t="str">
        <f>AJ11</f>
        <v xml:space="preserve">Cuotas de género y medición de participación efectiva de mujeres rurales </v>
      </c>
      <c r="R234" s="538" t="s">
        <v>689</v>
      </c>
      <c r="S234" s="540" t="s">
        <v>507</v>
      </c>
      <c r="T234" s="519" t="str">
        <f>AI11</f>
        <v>SGN3</v>
      </c>
      <c r="U234" s="628"/>
      <c r="V234" s="478"/>
      <c r="W234" s="478"/>
      <c r="X234" s="273"/>
      <c r="Y234" s="825"/>
      <c r="Z234" s="825"/>
      <c r="AA234" s="825"/>
      <c r="AB234" s="825"/>
      <c r="AC234" s="825"/>
      <c r="AD234" s="825"/>
      <c r="AE234" s="825"/>
      <c r="AF234" s="825"/>
      <c r="AG234" s="825"/>
      <c r="AH234" s="825"/>
      <c r="AI234" s="825"/>
      <c r="AJ234" s="825"/>
      <c r="AK234" s="825"/>
      <c r="AL234" s="825"/>
      <c r="AM234" s="825"/>
      <c r="AN234" s="825"/>
      <c r="AO234" s="825"/>
      <c r="AP234" s="825"/>
      <c r="AQ234" s="825"/>
      <c r="AR234" s="825"/>
      <c r="AS234" s="825"/>
      <c r="AT234" s="825"/>
      <c r="AU234" s="825"/>
      <c r="AV234" s="825"/>
      <c r="AW234" s="825"/>
      <c r="AX234" s="825"/>
      <c r="AY234" s="273"/>
      <c r="AZ234" s="273"/>
      <c r="BA234" s="825"/>
      <c r="BB234" s="825"/>
      <c r="BC234" s="825"/>
      <c r="BD234" s="825"/>
      <c r="BE234" s="825"/>
      <c r="BF234" s="825"/>
      <c r="BG234" s="825"/>
      <c r="BH234" s="825"/>
      <c r="BI234" s="825"/>
      <c r="BJ234" s="825"/>
      <c r="BK234" s="825"/>
      <c r="BL234" s="825"/>
      <c r="BM234" s="825"/>
      <c r="BN234" s="825"/>
      <c r="BO234" s="825"/>
      <c r="BP234" s="825"/>
      <c r="BQ234" s="825"/>
      <c r="BR234" s="825"/>
      <c r="BS234" s="825"/>
      <c r="BT234" s="825"/>
      <c r="BU234" s="825"/>
      <c r="BV234" s="825"/>
      <c r="BW234" s="825"/>
      <c r="BX234" s="825"/>
      <c r="BY234" s="825"/>
      <c r="BZ234" s="825"/>
      <c r="CA234" s="825"/>
      <c r="CB234" s="825"/>
      <c r="CC234" s="825"/>
    </row>
    <row r="235" spans="1:81" s="548" customFormat="1" ht="32.950000000000003" customHeight="1" x14ac:dyDescent="0.25">
      <c r="A235" s="825"/>
      <c r="B235" s="672"/>
      <c r="C235" s="1572"/>
      <c r="D235" s="1565"/>
      <c r="E235" s="1565"/>
      <c r="F235" s="1539"/>
      <c r="G235" s="1539"/>
      <c r="H235" s="1539"/>
      <c r="I235" s="1539"/>
      <c r="J235" s="1539"/>
      <c r="K235" s="1042"/>
      <c r="L235" s="1042"/>
      <c r="M235" s="645" t="s">
        <v>489</v>
      </c>
      <c r="N235" s="730" t="str">
        <f>N30</f>
        <v>Exclusión de productoras agrarias en sistemas de incentivos financieros</v>
      </c>
      <c r="O235" s="837" t="str">
        <f t="shared" si="5"/>
        <v>Género</v>
      </c>
      <c r="P235" s="536" t="str">
        <f>AC6</f>
        <v>GN</v>
      </c>
      <c r="Q235" s="534" t="str">
        <f>AJ12</f>
        <v>Criterios de evaluación de programas y proyectos con enfoque de género</v>
      </c>
      <c r="R235" s="538" t="s">
        <v>690</v>
      </c>
      <c r="S235" s="540" t="s">
        <v>507</v>
      </c>
      <c r="T235" s="519" t="str">
        <f>AI12</f>
        <v>SGN4</v>
      </c>
      <c r="U235" s="628"/>
      <c r="V235" s="478"/>
      <c r="W235" s="478"/>
      <c r="X235" s="273"/>
      <c r="Y235" s="825"/>
      <c r="Z235" s="825"/>
      <c r="AA235" s="825"/>
      <c r="AB235" s="825"/>
      <c r="AC235" s="825"/>
      <c r="AD235" s="825"/>
      <c r="AE235" s="825"/>
      <c r="AF235" s="825"/>
      <c r="AG235" s="825"/>
      <c r="AH235" s="825"/>
      <c r="AI235" s="825"/>
      <c r="AJ235" s="825"/>
      <c r="AK235" s="825"/>
      <c r="AL235" s="825"/>
      <c r="AM235" s="825"/>
      <c r="AN235" s="825"/>
      <c r="AO235" s="825"/>
      <c r="AP235" s="825"/>
      <c r="AQ235" s="825"/>
      <c r="AR235" s="825"/>
      <c r="AS235" s="825"/>
      <c r="AT235" s="825"/>
      <c r="AU235" s="825"/>
      <c r="AV235" s="825"/>
      <c r="AW235" s="825"/>
      <c r="AX235" s="825"/>
      <c r="AY235" s="273"/>
      <c r="AZ235" s="273"/>
      <c r="BA235" s="825"/>
      <c r="BB235" s="825"/>
      <c r="BC235" s="825"/>
      <c r="BD235" s="825"/>
      <c r="BE235" s="825"/>
      <c r="BF235" s="825"/>
      <c r="BG235" s="825"/>
      <c r="BH235" s="825"/>
      <c r="BI235" s="825"/>
      <c r="BJ235" s="825"/>
      <c r="BK235" s="825"/>
      <c r="BL235" s="825"/>
      <c r="BM235" s="825"/>
      <c r="BN235" s="825"/>
      <c r="BO235" s="825"/>
      <c r="BP235" s="825"/>
      <c r="BQ235" s="825"/>
      <c r="BR235" s="825"/>
      <c r="BS235" s="825"/>
      <c r="BT235" s="825"/>
      <c r="BU235" s="825"/>
      <c r="BV235" s="825"/>
      <c r="BW235" s="825"/>
      <c r="BX235" s="825"/>
      <c r="BY235" s="825"/>
      <c r="BZ235" s="825"/>
      <c r="CA235" s="825"/>
      <c r="CB235" s="825"/>
      <c r="CC235" s="825"/>
    </row>
    <row r="236" spans="1:81" s="548" customFormat="1" ht="23.3" customHeight="1" x14ac:dyDescent="0.25">
      <c r="A236" s="825"/>
      <c r="B236" s="672"/>
      <c r="C236" s="1572"/>
      <c r="D236" s="1565"/>
      <c r="E236" s="1565"/>
      <c r="F236" s="1539"/>
      <c r="G236" s="1539"/>
      <c r="H236" s="1539"/>
      <c r="I236" s="1539"/>
      <c r="J236" s="1539"/>
      <c r="K236" s="1042"/>
      <c r="L236" s="1042"/>
      <c r="M236" s="645" t="s">
        <v>489</v>
      </c>
      <c r="N236" s="730" t="str">
        <f>N30</f>
        <v>Exclusión de productoras agrarias en sistemas de incentivos financieros</v>
      </c>
      <c r="O236" s="837" t="str">
        <f t="shared" si="5"/>
        <v>Género</v>
      </c>
      <c r="P236" s="536" t="str">
        <f>AC6</f>
        <v>GN</v>
      </c>
      <c r="Q236" s="534" t="str">
        <f>AJ13</f>
        <v>Programas de incentivos financieros y no financieros para el desarrollo rural para mujeres rurales</v>
      </c>
      <c r="R236" s="538" t="s">
        <v>693</v>
      </c>
      <c r="S236" s="540" t="s">
        <v>492</v>
      </c>
      <c r="T236" s="519" t="str">
        <f>AI13</f>
        <v>SGN5</v>
      </c>
      <c r="U236" s="628"/>
      <c r="V236" s="478"/>
      <c r="W236" s="478"/>
      <c r="X236" s="273"/>
      <c r="Y236" s="825"/>
      <c r="Z236" s="825"/>
      <c r="AA236" s="825"/>
      <c r="AB236" s="825"/>
      <c r="AC236" s="825"/>
      <c r="AD236" s="825"/>
      <c r="AE236" s="825"/>
      <c r="AF236" s="825"/>
      <c r="AG236" s="825"/>
      <c r="AH236" s="825"/>
      <c r="AI236" s="825"/>
      <c r="AJ236" s="825"/>
      <c r="AK236" s="825"/>
      <c r="AL236" s="825"/>
      <c r="AM236" s="825"/>
      <c r="AN236" s="825"/>
      <c r="AO236" s="825"/>
      <c r="AP236" s="825"/>
      <c r="AQ236" s="825"/>
      <c r="AR236" s="825"/>
      <c r="AS236" s="825"/>
      <c r="AT236" s="825"/>
      <c r="AU236" s="825"/>
      <c r="AV236" s="825"/>
      <c r="AW236" s="825"/>
      <c r="AX236" s="825"/>
      <c r="AY236" s="273"/>
      <c r="AZ236" s="273"/>
      <c r="BA236" s="825"/>
      <c r="BB236" s="825"/>
      <c r="BC236" s="825"/>
      <c r="BD236" s="825"/>
      <c r="BE236" s="825"/>
      <c r="BF236" s="825"/>
      <c r="BG236" s="825"/>
      <c r="BH236" s="825"/>
      <c r="BI236" s="825"/>
      <c r="BJ236" s="825"/>
      <c r="BK236" s="825"/>
      <c r="BL236" s="825"/>
      <c r="BM236" s="825"/>
      <c r="BN236" s="825"/>
      <c r="BO236" s="825"/>
      <c r="BP236" s="825"/>
      <c r="BQ236" s="825"/>
      <c r="BR236" s="825"/>
      <c r="BS236" s="825"/>
      <c r="BT236" s="825"/>
      <c r="BU236" s="825"/>
      <c r="BV236" s="825"/>
      <c r="BW236" s="825"/>
      <c r="BX236" s="825"/>
      <c r="BY236" s="825"/>
      <c r="BZ236" s="825"/>
      <c r="CA236" s="825"/>
      <c r="CB236" s="825"/>
      <c r="CC236" s="825"/>
    </row>
    <row r="237" spans="1:81" s="548" customFormat="1" ht="44.35" customHeight="1" x14ac:dyDescent="0.25">
      <c r="A237" s="825"/>
      <c r="B237" s="672"/>
      <c r="C237" s="1573"/>
      <c r="D237" s="1566"/>
      <c r="E237" s="1566"/>
      <c r="F237" s="1560"/>
      <c r="G237" s="1560"/>
      <c r="H237" s="1560"/>
      <c r="I237" s="1560"/>
      <c r="J237" s="1560"/>
      <c r="K237" s="1034"/>
      <c r="L237" s="1034"/>
      <c r="M237" s="645" t="s">
        <v>489</v>
      </c>
      <c r="N237" s="730" t="str">
        <f>N33</f>
        <v>Actividad agropecuaria no se desarrolla de manera óptima debido a cambios en las condiciones agroecologicas por el cambio climático</v>
      </c>
      <c r="O237" s="837" t="str">
        <f t="shared" ref="O237:O300" si="7">VLOOKUP(T237,$AY$9:$BA$81,3,FALSE)</f>
        <v>Vulnerabilidad al cambio climático</v>
      </c>
      <c r="P237" s="536" t="e">
        <f>#REF!</f>
        <v>#REF!</v>
      </c>
      <c r="Q237" s="534" t="str">
        <f>AS11</f>
        <v>Análisis de rentabilidad de la actividad agropecuaria en los programas de reconversión productiva</v>
      </c>
      <c r="R237" s="538" t="s">
        <v>695</v>
      </c>
      <c r="S237" s="540" t="s">
        <v>507</v>
      </c>
      <c r="T237" s="519" t="str">
        <f>AR11</f>
        <v>SVCC3</v>
      </c>
      <c r="U237" s="628"/>
      <c r="V237" s="478"/>
      <c r="W237" s="478"/>
      <c r="X237" s="273"/>
      <c r="Y237" s="825"/>
      <c r="Z237" s="825"/>
      <c r="AA237" s="825"/>
      <c r="AB237" s="825"/>
      <c r="AC237" s="825"/>
      <c r="AD237" s="825"/>
      <c r="AE237" s="825"/>
      <c r="AF237" s="825"/>
      <c r="AG237" s="825"/>
      <c r="AH237" s="825"/>
      <c r="AI237" s="825"/>
      <c r="AJ237" s="825"/>
      <c r="AK237" s="825"/>
      <c r="AL237" s="825"/>
      <c r="AM237" s="825"/>
      <c r="AN237" s="825"/>
      <c r="AO237" s="825"/>
      <c r="AP237" s="825"/>
      <c r="AQ237" s="825"/>
      <c r="AR237" s="825"/>
      <c r="AS237" s="825"/>
      <c r="AT237" s="825"/>
      <c r="AU237" s="825"/>
      <c r="AV237" s="825"/>
      <c r="AW237" s="825"/>
      <c r="AX237" s="825"/>
      <c r="AY237" s="273"/>
      <c r="AZ237" s="273"/>
      <c r="BA237" s="825"/>
      <c r="BB237" s="825"/>
      <c r="BC237" s="825"/>
      <c r="BD237" s="825"/>
      <c r="BE237" s="825"/>
      <c r="BF237" s="825"/>
      <c r="BG237" s="825"/>
      <c r="BH237" s="825"/>
      <c r="BI237" s="825"/>
      <c r="BJ237" s="825"/>
      <c r="BK237" s="825"/>
      <c r="BL237" s="825"/>
      <c r="BM237" s="825"/>
      <c r="BN237" s="825"/>
      <c r="BO237" s="825"/>
      <c r="BP237" s="825"/>
      <c r="BQ237" s="825"/>
      <c r="BR237" s="825"/>
      <c r="BS237" s="825"/>
      <c r="BT237" s="825"/>
      <c r="BU237" s="825"/>
      <c r="BV237" s="825"/>
      <c r="BW237" s="825"/>
      <c r="BX237" s="825"/>
      <c r="BY237" s="825"/>
      <c r="BZ237" s="825"/>
      <c r="CA237" s="825"/>
      <c r="CB237" s="825"/>
      <c r="CC237" s="825"/>
    </row>
    <row r="238" spans="1:81" ht="143.35" customHeight="1" x14ac:dyDescent="0.25">
      <c r="A238" s="825"/>
      <c r="B238" s="672" t="s">
        <v>866</v>
      </c>
      <c r="C238" s="842" t="str">
        <f>'8. BASE  CONSOLIDADA'!E97</f>
        <v>2.2.6</v>
      </c>
      <c r="D238" s="1069" t="str">
        <f>'8. BASE  CONSOLIDADA'!F97</f>
        <v>Promoción de modelos asociativos sostenibles</v>
      </c>
      <c r="E238" s="1069" t="str">
        <f>'8. BASE  CONSOLIDADA'!G97</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238" s="836" t="str">
        <f>'8. BASE  CONSOLIDADA'!C97</f>
        <v xml:space="preserve">Predios privados dedicados a la producción comercial (arroz) </v>
      </c>
      <c r="G238" s="1019" t="str">
        <f>VLOOKUP($C238,'8. BASE  CONSOLIDADA'!$E$7:$AS$308,13,FALSE)</f>
        <v>Organizaciones formalizadas y fortalecidas</v>
      </c>
      <c r="H238" s="1109">
        <f>VLOOKUP($C238,'8. BASE  CONSOLIDADA'!$E$7:$AS$308,15,FALSE)</f>
        <v>5</v>
      </c>
      <c r="I238" s="1058">
        <f>VLOOKUP(C238,'8. BASE  CONSOLIDADA'!$E$7:$AS$308,20,FALSE)</f>
        <v>3000000</v>
      </c>
      <c r="J238" s="678">
        <f>I238*$J$6</f>
        <v>2040.0000000000002</v>
      </c>
      <c r="K238" s="1020"/>
      <c r="L238" s="1029"/>
      <c r="M238" s="645" t="s">
        <v>489</v>
      </c>
      <c r="N238" s="730" t="str">
        <f>N16</f>
        <v>Exclusión de mujeres rurales en programas de asistencia técnica</v>
      </c>
      <c r="O238" s="837" t="str">
        <f t="shared" si="7"/>
        <v>Género</v>
      </c>
      <c r="P238" s="536" t="str">
        <f>AC6</f>
        <v>GN</v>
      </c>
      <c r="Q238" s="534" t="str">
        <f>AJ10</f>
        <v>Programas de asistencia técnica y proyectos específicos para mujeres rurales y mujeres indígenas</v>
      </c>
      <c r="R238" s="538" t="s">
        <v>596</v>
      </c>
      <c r="S238" s="540" t="s">
        <v>507</v>
      </c>
      <c r="T238" s="519" t="str">
        <f>AI10</f>
        <v>SGN2</v>
      </c>
      <c r="U238" s="628"/>
      <c r="V238" s="478"/>
      <c r="W238" s="478"/>
      <c r="X238" s="273"/>
      <c r="Y238" s="825"/>
      <c r="Z238" s="825"/>
      <c r="AA238" s="825"/>
      <c r="AB238" s="825"/>
      <c r="AC238" s="825"/>
      <c r="AD238" s="825"/>
      <c r="AE238" s="825"/>
      <c r="AF238" s="825"/>
      <c r="AG238" s="825"/>
      <c r="AH238" s="825"/>
      <c r="AI238" s="825"/>
      <c r="AJ238" s="825"/>
      <c r="AK238" s="825"/>
      <c r="AL238" s="825"/>
      <c r="AM238" s="825"/>
      <c r="AN238" s="825"/>
      <c r="AO238" s="825"/>
      <c r="AP238" s="825"/>
      <c r="AQ238" s="825"/>
      <c r="AR238" s="825"/>
      <c r="AS238" s="825"/>
      <c r="AT238" s="825"/>
      <c r="AU238" s="825"/>
      <c r="AV238" s="825"/>
      <c r="AW238" s="825"/>
      <c r="AX238" s="825"/>
      <c r="BA238" s="825"/>
      <c r="BB238" s="825"/>
      <c r="BC238" s="825"/>
      <c r="BD238" s="825"/>
      <c r="BE238" s="825"/>
      <c r="BF238" s="825"/>
      <c r="BG238" s="825"/>
      <c r="BH238" s="825"/>
      <c r="BI238" s="825"/>
      <c r="BJ238" s="825"/>
      <c r="BK238" s="825"/>
      <c r="BL238" s="825"/>
      <c r="BM238" s="825"/>
      <c r="BN238" s="825"/>
      <c r="BO238" s="825"/>
      <c r="BP238" s="825"/>
      <c r="BQ238" s="825"/>
      <c r="BR238" s="825"/>
      <c r="BS238" s="825"/>
      <c r="BT238" s="825"/>
      <c r="BU238" s="825"/>
      <c r="BV238" s="825"/>
      <c r="BW238" s="825"/>
      <c r="BX238" s="825"/>
      <c r="BY238" s="825"/>
      <c r="BZ238" s="825"/>
      <c r="CA238" s="825"/>
      <c r="CB238" s="825"/>
      <c r="CC238" s="825"/>
    </row>
    <row r="239" spans="1:81" ht="32.950000000000003" customHeight="1" x14ac:dyDescent="0.25">
      <c r="A239" s="825"/>
      <c r="B239" s="672" t="s">
        <v>866</v>
      </c>
      <c r="C239" s="1571" t="str">
        <f>'8. BASE  CONSOLIDADA'!E98</f>
        <v>2.2.7</v>
      </c>
      <c r="D239" s="1564" t="str">
        <f>'8. BASE  CONSOLIDADA'!F98</f>
        <v>Implementación de infraestructura productiva baja en emisiones</v>
      </c>
      <c r="E239" s="1564" t="str">
        <f>'8. BASE  CONSOLIDADA'!G98</f>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v>
      </c>
      <c r="F239" s="1538" t="str">
        <f>'8. BASE  CONSOLIDADA'!C98</f>
        <v xml:space="preserve">Predios privados dedicados a la producción comercial (arroz) </v>
      </c>
      <c r="G239" s="1538" t="str">
        <f>VLOOKUP($C239,'8. BASE  CONSOLIDADA'!$E$7:$AS$308,13,FALSE)</f>
        <v>Planes de negocios ejecutados</v>
      </c>
      <c r="H239" s="1538">
        <f>VLOOKUP($C239,'8. BASE  CONSOLIDADA'!$E$7:$AS$308,15,FALSE)</f>
        <v>5</v>
      </c>
      <c r="I239" s="1538">
        <f>VLOOKUP(C239,'8. BASE  CONSOLIDADA'!$E$7:$AS$308,20,FALSE)</f>
        <v>375000</v>
      </c>
      <c r="J239" s="1538">
        <f>I239*$J$6</f>
        <v>255.00000000000003</v>
      </c>
      <c r="K239" s="1538"/>
      <c r="L239" s="1538"/>
      <c r="M239" s="645" t="s">
        <v>489</v>
      </c>
      <c r="N239" s="730" t="str">
        <f>N34</f>
        <v>Incremento de la deforestación por demanda de insumos e instalación de infraestructura y vias de comunicación</v>
      </c>
      <c r="O239" s="837" t="str">
        <f t="shared" si="7"/>
        <v>Biodiversidad y recursos naturales</v>
      </c>
      <c r="P239" s="536" t="e">
        <f>#REF!</f>
        <v>#REF!</v>
      </c>
      <c r="Q239" s="534" t="str">
        <f>AA14</f>
        <v>Desarrollo de incentivos financieros y no financieros condicionados con cláusulas de no deforestación</v>
      </c>
      <c r="R239" s="538" t="s">
        <v>673</v>
      </c>
      <c r="S239" s="540" t="s">
        <v>526</v>
      </c>
      <c r="T239" s="519" t="str">
        <f>Z14</f>
        <v>SBRN6</v>
      </c>
      <c r="U239" s="628"/>
      <c r="V239" s="478"/>
      <c r="W239" s="478"/>
      <c r="X239" s="273"/>
      <c r="Y239" s="825"/>
      <c r="Z239" s="825"/>
      <c r="AA239" s="825"/>
      <c r="AB239" s="825"/>
      <c r="AC239" s="825"/>
      <c r="AD239" s="825"/>
      <c r="AE239" s="825"/>
      <c r="AF239" s="825"/>
      <c r="AG239" s="825"/>
      <c r="AH239" s="825"/>
      <c r="AI239" s="825"/>
      <c r="AJ239" s="825"/>
      <c r="AK239" s="825"/>
      <c r="AL239" s="825"/>
      <c r="AM239" s="825"/>
      <c r="AN239" s="825"/>
      <c r="AO239" s="825"/>
      <c r="AP239" s="825"/>
      <c r="AQ239" s="825"/>
      <c r="AR239" s="825"/>
      <c r="AS239" s="825"/>
      <c r="AT239" s="825"/>
      <c r="AU239" s="825"/>
      <c r="AV239" s="825"/>
      <c r="AW239" s="825"/>
      <c r="AX239" s="825"/>
      <c r="BA239" s="825"/>
      <c r="BB239" s="825"/>
      <c r="BC239" s="825"/>
      <c r="BD239" s="825"/>
      <c r="BE239" s="825"/>
      <c r="BF239" s="825"/>
      <c r="BG239" s="825"/>
      <c r="BH239" s="825"/>
      <c r="BI239" s="825"/>
      <c r="BJ239" s="825"/>
      <c r="BK239" s="825"/>
      <c r="BL239" s="825"/>
      <c r="BM239" s="825"/>
      <c r="BN239" s="825"/>
      <c r="BO239" s="825"/>
      <c r="BP239" s="825"/>
      <c r="BQ239" s="825"/>
      <c r="BR239" s="825"/>
      <c r="BS239" s="825"/>
      <c r="BT239" s="825"/>
      <c r="BU239" s="825"/>
      <c r="BV239" s="825"/>
      <c r="BW239" s="825"/>
      <c r="BX239" s="825"/>
      <c r="BY239" s="825"/>
      <c r="BZ239" s="825"/>
      <c r="CA239" s="825"/>
      <c r="CB239" s="825"/>
      <c r="CC239" s="825"/>
    </row>
    <row r="240" spans="1:81" s="548" customFormat="1" ht="19.55" customHeight="1" x14ac:dyDescent="0.25">
      <c r="A240" s="825"/>
      <c r="B240" s="672"/>
      <c r="C240" s="1572"/>
      <c r="D240" s="1565"/>
      <c r="E240" s="1565"/>
      <c r="F240" s="1539"/>
      <c r="G240" s="1539"/>
      <c r="H240" s="1539"/>
      <c r="I240" s="1539"/>
      <c r="J240" s="1539"/>
      <c r="K240" s="1539"/>
      <c r="L240" s="1539"/>
      <c r="M240" s="645" t="s">
        <v>489</v>
      </c>
      <c r="N240" s="730" t="str">
        <f>N28</f>
        <v>Contaminación por residuos agropecuarios</v>
      </c>
      <c r="O240" s="837" t="str">
        <f t="shared" si="7"/>
        <v>Contaminación</v>
      </c>
      <c r="P240" s="536" t="e">
        <f>#REF!</f>
        <v>#REF!</v>
      </c>
      <c r="Q240" s="534" t="str">
        <f>AM10</f>
        <v>Control de residuos agropecuarios</v>
      </c>
      <c r="R240" s="538" t="s">
        <v>535</v>
      </c>
      <c r="S240" s="540" t="s">
        <v>492</v>
      </c>
      <c r="T240" s="519" t="str">
        <f>AL10</f>
        <v>SCT2</v>
      </c>
      <c r="U240" s="628"/>
      <c r="V240" s="478"/>
      <c r="W240" s="478"/>
      <c r="X240" s="273"/>
      <c r="Y240" s="825"/>
      <c r="Z240" s="825"/>
      <c r="AA240" s="825"/>
      <c r="AB240" s="825"/>
      <c r="AC240" s="825"/>
      <c r="AD240" s="825"/>
      <c r="AE240" s="825"/>
      <c r="AF240" s="825"/>
      <c r="AG240" s="825"/>
      <c r="AH240" s="825"/>
      <c r="AI240" s="825"/>
      <c r="AJ240" s="825"/>
      <c r="AK240" s="825"/>
      <c r="AL240" s="825"/>
      <c r="AM240" s="825"/>
      <c r="AN240" s="825"/>
      <c r="AO240" s="825"/>
      <c r="AP240" s="825"/>
      <c r="AQ240" s="825"/>
      <c r="AR240" s="825"/>
      <c r="AS240" s="825"/>
      <c r="AT240" s="825"/>
      <c r="AU240" s="825"/>
      <c r="AV240" s="825"/>
      <c r="AW240" s="825"/>
      <c r="AX240" s="825"/>
      <c r="AY240" s="273"/>
      <c r="AZ240" s="273"/>
      <c r="BA240" s="825"/>
      <c r="BB240" s="825"/>
      <c r="BC240" s="825"/>
      <c r="BD240" s="825"/>
      <c r="BE240" s="825"/>
      <c r="BF240" s="825"/>
      <c r="BG240" s="825"/>
      <c r="BH240" s="825"/>
      <c r="BI240" s="825"/>
      <c r="BJ240" s="825"/>
      <c r="BK240" s="825"/>
      <c r="BL240" s="825"/>
      <c r="BM240" s="825"/>
      <c r="BN240" s="825"/>
      <c r="BO240" s="825"/>
      <c r="BP240" s="825"/>
      <c r="BQ240" s="825"/>
      <c r="BR240" s="825"/>
      <c r="BS240" s="825"/>
      <c r="BT240" s="825"/>
      <c r="BU240" s="825"/>
      <c r="BV240" s="825"/>
      <c r="BW240" s="825"/>
      <c r="BX240" s="825"/>
      <c r="BY240" s="825"/>
      <c r="BZ240" s="825"/>
      <c r="CA240" s="825"/>
      <c r="CB240" s="825"/>
      <c r="CC240" s="825"/>
    </row>
    <row r="241" spans="1:81" s="548" customFormat="1" ht="41.95" customHeight="1" x14ac:dyDescent="0.25">
      <c r="A241" s="825"/>
      <c r="B241" s="672"/>
      <c r="C241" s="1573"/>
      <c r="D241" s="1566"/>
      <c r="E241" s="1566"/>
      <c r="F241" s="1560"/>
      <c r="G241" s="1560"/>
      <c r="H241" s="1560"/>
      <c r="I241" s="1560"/>
      <c r="J241" s="1560"/>
      <c r="K241" s="1560"/>
      <c r="L241" s="1560"/>
      <c r="M241" s="645" t="s">
        <v>489</v>
      </c>
      <c r="N241" s="730" t="str">
        <f>N36</f>
        <v>Colución, Cohecho y negociación incompatible</v>
      </c>
      <c r="O241" s="837" t="str">
        <f t="shared" si="7"/>
        <v>Corrupción</v>
      </c>
      <c r="P241" s="536" t="e">
        <f>#REF!</f>
        <v>#REF!</v>
      </c>
      <c r="Q241" s="534" t="str">
        <f>AG10</f>
        <v>Transparencia en incentivos financieros y obras públicas vinculadas a la ERDRBE</v>
      </c>
      <c r="R241" s="538" t="s">
        <v>687</v>
      </c>
      <c r="S241" s="540" t="s">
        <v>507</v>
      </c>
      <c r="T241" s="519" t="str">
        <f>AF10</f>
        <v>SCR2</v>
      </c>
      <c r="U241" s="628"/>
      <c r="V241" s="478"/>
      <c r="W241" s="478"/>
      <c r="X241" s="273"/>
      <c r="Y241" s="825"/>
      <c r="Z241" s="825"/>
      <c r="AA241" s="825"/>
      <c r="AB241" s="825"/>
      <c r="AC241" s="825"/>
      <c r="AD241" s="825"/>
      <c r="AE241" s="825"/>
      <c r="AF241" s="825"/>
      <c r="AG241" s="825"/>
      <c r="AH241" s="825"/>
      <c r="AI241" s="825"/>
      <c r="AJ241" s="825"/>
      <c r="AK241" s="825"/>
      <c r="AL241" s="825"/>
      <c r="AM241" s="825"/>
      <c r="AN241" s="825"/>
      <c r="AO241" s="825"/>
      <c r="AP241" s="825"/>
      <c r="AQ241" s="825"/>
      <c r="AR241" s="825"/>
      <c r="AS241" s="825"/>
      <c r="AT241" s="825"/>
      <c r="AU241" s="825"/>
      <c r="AV241" s="825"/>
      <c r="AW241" s="825"/>
      <c r="AX241" s="825"/>
      <c r="AY241" s="273"/>
      <c r="AZ241" s="273"/>
      <c r="BA241" s="825"/>
      <c r="BB241" s="825"/>
      <c r="BC241" s="825"/>
      <c r="BD241" s="825"/>
      <c r="BE241" s="825"/>
      <c r="BF241" s="825"/>
      <c r="BG241" s="825"/>
      <c r="BH241" s="825"/>
      <c r="BI241" s="825"/>
      <c r="BJ241" s="825"/>
      <c r="BK241" s="825"/>
      <c r="BL241" s="825"/>
      <c r="BM241" s="825"/>
      <c r="BN241" s="825"/>
      <c r="BO241" s="825"/>
      <c r="BP241" s="825"/>
      <c r="BQ241" s="825"/>
      <c r="BR241" s="825"/>
      <c r="BS241" s="825"/>
      <c r="BT241" s="825"/>
      <c r="BU241" s="825"/>
      <c r="BV241" s="825"/>
      <c r="BW241" s="825"/>
      <c r="BX241" s="825"/>
      <c r="BY241" s="825"/>
      <c r="BZ241" s="825"/>
      <c r="CA241" s="825"/>
      <c r="CB241" s="825"/>
      <c r="CC241" s="825"/>
    </row>
    <row r="242" spans="1:81" ht="61.5" customHeight="1" x14ac:dyDescent="0.25">
      <c r="A242" s="825"/>
      <c r="B242" s="672" t="s">
        <v>866</v>
      </c>
      <c r="C242" s="1571" t="str">
        <f>'8. BASE  CONSOLIDADA'!E100</f>
        <v>2.3.1</v>
      </c>
      <c r="D242" s="1564" t="str">
        <f>'8. BASE  CONSOLIDADA'!F100</f>
        <v>Otorgamiento de derechos sobre la tierra/bosques</v>
      </c>
      <c r="E242" s="1564" t="str">
        <f>'8. BASE  CONSOLIDADA'!G100</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242" s="1538" t="str">
        <f>'8. BASE  CONSOLIDADA'!C100</f>
        <v>Predios privados para ganadería de leche y carne</v>
      </c>
      <c r="G242" s="1538" t="str">
        <f>VLOOKUP($C242,'8. BASE  CONSOLIDADA'!$E$7:$AS$308,13,FALSE)</f>
        <v>N° Títulos/Contratos otorgados</v>
      </c>
      <c r="H242" s="1538">
        <f>VLOOKUP($C242,'8. BASE  CONSOLIDADA'!$E$7:$AS$308,15,FALSE)</f>
        <v>438.92429634718349</v>
      </c>
      <c r="I242" s="1538">
        <f>VLOOKUP(C242,'8. BASE  CONSOLIDADA'!$E$7:$AS$308,20,FALSE)</f>
        <v>877848.59269436693</v>
      </c>
      <c r="J242" s="1538">
        <f>I242*$J$6</f>
        <v>596.93704303216953</v>
      </c>
      <c r="K242" s="1538"/>
      <c r="L242" s="1538"/>
      <c r="M242" s="645" t="s">
        <v>489</v>
      </c>
      <c r="N242" s="730" t="str">
        <f>N8</f>
        <v>Otorgamiento de titulos de propiedad en tierras de aptitud forestal o protección con cobertura de bosques</v>
      </c>
      <c r="O242" s="837" t="str">
        <f t="shared" si="7"/>
        <v>Biodiversidad y recursos naturales</v>
      </c>
      <c r="P242" s="536" t="e">
        <f>#REF!</f>
        <v>#REF!</v>
      </c>
      <c r="Q242" s="534" t="str">
        <f>AA9</f>
        <v>Realizar estudios de suelos para determinar la capacidad de uso mayor de los suelos como parte de los procesos de formalización de la propiedad rural</v>
      </c>
      <c r="R242" s="538" t="s">
        <v>491</v>
      </c>
      <c r="S242" s="540" t="s">
        <v>492</v>
      </c>
      <c r="T242" s="519" t="str">
        <f>Z9</f>
        <v>SBRN1</v>
      </c>
      <c r="U242" s="628"/>
      <c r="V242" s="478"/>
      <c r="W242" s="478"/>
      <c r="X242" s="273"/>
      <c r="Y242" s="825"/>
      <c r="Z242" s="825"/>
      <c r="AA242" s="825"/>
      <c r="AB242" s="825"/>
      <c r="AC242" s="825"/>
      <c r="AD242" s="825"/>
      <c r="AE242" s="825"/>
      <c r="AF242" s="825"/>
      <c r="AG242" s="825"/>
      <c r="AH242" s="825"/>
      <c r="AI242" s="825"/>
      <c r="AJ242" s="825"/>
      <c r="AK242" s="825"/>
      <c r="AL242" s="825"/>
      <c r="AM242" s="825"/>
      <c r="AN242" s="825"/>
      <c r="AO242" s="825"/>
      <c r="AP242" s="825"/>
      <c r="AQ242" s="825"/>
      <c r="AR242" s="825"/>
      <c r="AS242" s="825"/>
      <c r="AT242" s="825"/>
      <c r="AU242" s="825"/>
      <c r="AV242" s="825"/>
      <c r="AW242" s="825"/>
      <c r="AX242" s="825"/>
      <c r="BA242" s="825"/>
      <c r="BB242" s="825"/>
      <c r="BC242" s="825"/>
      <c r="BD242" s="825"/>
      <c r="BE242" s="825"/>
      <c r="BF242" s="825"/>
      <c r="BG242" s="825"/>
      <c r="BH242" s="825"/>
      <c r="BI242" s="825"/>
      <c r="BJ242" s="825"/>
      <c r="BK242" s="825"/>
      <c r="BL242" s="825"/>
      <c r="BM242" s="825"/>
      <c r="BN242" s="825"/>
      <c r="BO242" s="825"/>
      <c r="BP242" s="825"/>
      <c r="BQ242" s="825"/>
      <c r="BR242" s="825"/>
      <c r="BS242" s="825"/>
      <c r="BT242" s="825"/>
      <c r="BU242" s="825"/>
      <c r="BV242" s="825"/>
      <c r="BW242" s="825"/>
      <c r="BX242" s="825"/>
      <c r="BY242" s="825"/>
      <c r="BZ242" s="825"/>
      <c r="CA242" s="825"/>
      <c r="CB242" s="825"/>
      <c r="CC242" s="825"/>
    </row>
    <row r="243" spans="1:81" s="548" customFormat="1" ht="32.950000000000003" customHeight="1" x14ac:dyDescent="0.25">
      <c r="A243" s="825"/>
      <c r="B243" s="672"/>
      <c r="C243" s="1572"/>
      <c r="D243" s="1565"/>
      <c r="E243" s="1565"/>
      <c r="F243" s="1539"/>
      <c r="G243" s="1539"/>
      <c r="H243" s="1539"/>
      <c r="I243" s="1539"/>
      <c r="J243" s="1539"/>
      <c r="K243" s="1539"/>
      <c r="L243" s="1539"/>
      <c r="M243" s="645" t="s">
        <v>489</v>
      </c>
      <c r="N243" s="730" t="str">
        <f>N9</f>
        <v>Otorgamiento de titulos de propiedad en tierras de aptitud  A y C con cobertura de bosques</v>
      </c>
      <c r="O243" s="837" t="str">
        <f t="shared" si="7"/>
        <v>Biodiversidad y recursos naturales</v>
      </c>
      <c r="P243" s="536" t="e">
        <f>#REF!</f>
        <v>#REF!</v>
      </c>
      <c r="Q243" s="534" t="str">
        <f>AA10</f>
        <v>Implementar el procedimiento de cambio de uso actual de tierras A y C con cobertura de bosques para formalización de propiedad rural considerado en la Ley Forestal y de Fauna Silvestre (Ley No 29736)</v>
      </c>
      <c r="R243" s="538" t="s">
        <v>506</v>
      </c>
      <c r="S243" s="540" t="s">
        <v>507</v>
      </c>
      <c r="T243" s="519" t="str">
        <f>Z10</f>
        <v>SBRN2</v>
      </c>
      <c r="U243" s="628"/>
      <c r="V243" s="478"/>
      <c r="W243" s="478"/>
      <c r="X243" s="273"/>
      <c r="Y243" s="825"/>
      <c r="Z243" s="825"/>
      <c r="AA243" s="825"/>
      <c r="AB243" s="825"/>
      <c r="AC243" s="825"/>
      <c r="AD243" s="825"/>
      <c r="AE243" s="825"/>
      <c r="AF243" s="825"/>
      <c r="AG243" s="825"/>
      <c r="AH243" s="825"/>
      <c r="AI243" s="825"/>
      <c r="AJ243" s="825"/>
      <c r="AK243" s="825"/>
      <c r="AL243" s="825"/>
      <c r="AM243" s="825"/>
      <c r="AN243" s="825"/>
      <c r="AO243" s="825"/>
      <c r="AP243" s="825"/>
      <c r="AQ243" s="825"/>
      <c r="AR243" s="825"/>
      <c r="AS243" s="825"/>
      <c r="AT243" s="825"/>
      <c r="AU243" s="825"/>
      <c r="AV243" s="825"/>
      <c r="AW243" s="825"/>
      <c r="AX243" s="825"/>
      <c r="AY243" s="273"/>
      <c r="AZ243" s="273"/>
      <c r="BA243" s="825"/>
      <c r="BB243" s="825"/>
      <c r="BC243" s="825"/>
      <c r="BD243" s="825"/>
      <c r="BE243" s="825"/>
      <c r="BF243" s="825"/>
      <c r="BG243" s="825"/>
      <c r="BH243" s="825"/>
      <c r="BI243" s="825"/>
      <c r="BJ243" s="825"/>
      <c r="BK243" s="825"/>
      <c r="BL243" s="825"/>
      <c r="BM243" s="825"/>
      <c r="BN243" s="825"/>
      <c r="BO243" s="825"/>
      <c r="BP243" s="825"/>
      <c r="BQ243" s="825"/>
      <c r="BR243" s="825"/>
      <c r="BS243" s="825"/>
      <c r="BT243" s="825"/>
      <c r="BU243" s="825"/>
      <c r="BV243" s="825"/>
      <c r="BW243" s="825"/>
      <c r="BX243" s="825"/>
      <c r="BY243" s="825"/>
      <c r="BZ243" s="825"/>
      <c r="CA243" s="825"/>
      <c r="CB243" s="825"/>
      <c r="CC243" s="825"/>
    </row>
    <row r="244" spans="1:81" s="548" customFormat="1" ht="40.6" customHeight="1" x14ac:dyDescent="0.25">
      <c r="A244" s="825"/>
      <c r="B244" s="672"/>
      <c r="C244" s="1572"/>
      <c r="D244" s="1565"/>
      <c r="E244" s="1565"/>
      <c r="F244" s="1539"/>
      <c r="G244" s="1539"/>
      <c r="H244" s="1539"/>
      <c r="I244" s="1539"/>
      <c r="J244" s="1539"/>
      <c r="K244" s="1539"/>
      <c r="L244" s="1539"/>
      <c r="M244" s="645" t="s">
        <v>489</v>
      </c>
      <c r="N244" s="730" t="str">
        <f>N9</f>
        <v>Otorgamiento de titulos de propiedad en tierras de aptitud  A y C con cobertura de bosques</v>
      </c>
      <c r="O244" s="837" t="str">
        <f t="shared" si="7"/>
        <v>Biodiversidad y recursos naturales</v>
      </c>
      <c r="P244" s="536" t="e">
        <f>#REF!</f>
        <v>#REF!</v>
      </c>
      <c r="Q244" s="534" t="str">
        <f>AA11</f>
        <v>Fortalecer las capacidades de la población local para que conozcan el marco legal sobre los derechos sobre la tierra y los bosques</v>
      </c>
      <c r="R244" s="538" t="s">
        <v>525</v>
      </c>
      <c r="S244" s="540" t="s">
        <v>526</v>
      </c>
      <c r="T244" s="519" t="str">
        <f>Z11</f>
        <v>SBRN3</v>
      </c>
      <c r="U244" s="628"/>
      <c r="V244" s="478"/>
      <c r="W244" s="478"/>
      <c r="X244" s="273"/>
      <c r="Y244" s="825"/>
      <c r="Z244" s="825"/>
      <c r="AA244" s="825"/>
      <c r="AB244" s="825"/>
      <c r="AC244" s="825"/>
      <c r="AD244" s="825"/>
      <c r="AE244" s="825"/>
      <c r="AF244" s="825"/>
      <c r="AG244" s="825"/>
      <c r="AH244" s="825"/>
      <c r="AI244" s="825"/>
      <c r="AJ244" s="825"/>
      <c r="AK244" s="825"/>
      <c r="AL244" s="825"/>
      <c r="AM244" s="825"/>
      <c r="AN244" s="825"/>
      <c r="AO244" s="825"/>
      <c r="AP244" s="825"/>
      <c r="AQ244" s="825"/>
      <c r="AR244" s="825"/>
      <c r="AS244" s="825"/>
      <c r="AT244" s="825"/>
      <c r="AU244" s="825"/>
      <c r="AV244" s="825"/>
      <c r="AW244" s="825"/>
      <c r="AX244" s="825"/>
      <c r="AY244" s="273"/>
      <c r="AZ244" s="273"/>
      <c r="BA244" s="825"/>
      <c r="BB244" s="825"/>
      <c r="BC244" s="825"/>
      <c r="BD244" s="825"/>
      <c r="BE244" s="825"/>
      <c r="BF244" s="825"/>
      <c r="BG244" s="825"/>
      <c r="BH244" s="825"/>
      <c r="BI244" s="825"/>
      <c r="BJ244" s="825"/>
      <c r="BK244" s="825"/>
      <c r="BL244" s="825"/>
      <c r="BM244" s="825"/>
      <c r="BN244" s="825"/>
      <c r="BO244" s="825"/>
      <c r="BP244" s="825"/>
      <c r="BQ244" s="825"/>
      <c r="BR244" s="825"/>
      <c r="BS244" s="825"/>
      <c r="BT244" s="825"/>
      <c r="BU244" s="825"/>
      <c r="BV244" s="825"/>
      <c r="BW244" s="825"/>
      <c r="BX244" s="825"/>
      <c r="BY244" s="825"/>
      <c r="BZ244" s="825"/>
      <c r="CA244" s="825"/>
      <c r="CB244" s="825"/>
      <c r="CC244" s="825"/>
    </row>
    <row r="245" spans="1:81" s="548" customFormat="1" ht="60.8" customHeight="1" x14ac:dyDescent="0.25">
      <c r="A245" s="825"/>
      <c r="B245" s="672"/>
      <c r="C245" s="1572"/>
      <c r="D245" s="1565"/>
      <c r="E245" s="1565"/>
      <c r="F245" s="1539"/>
      <c r="G245" s="1539"/>
      <c r="H245" s="1539"/>
      <c r="I245" s="1539"/>
      <c r="J245" s="1539"/>
      <c r="K245" s="1539"/>
      <c r="L245" s="1539"/>
      <c r="M245" s="645" t="s">
        <v>489</v>
      </c>
      <c r="N245" s="730" t="str">
        <f>N10</f>
        <v>Superposición de áreas a ser tituladas individualmente con áreas solicitadas por pueblos indígenas</v>
      </c>
      <c r="O245" s="837" t="str">
        <f t="shared" si="7"/>
        <v>Derechos de los pueblos indígenas</v>
      </c>
      <c r="P245" s="536" t="str">
        <f>Z6</f>
        <v>DPI</v>
      </c>
      <c r="Q245" s="534" t="str">
        <f>AD9</f>
        <v>Evaluación de superposiciones de solicitudes de titulación de predios rurales con solicitudes de pueblos indígenas (como parte del proceso de titulación de un predio rural individual)</v>
      </c>
      <c r="R245" s="538" t="s">
        <v>840</v>
      </c>
      <c r="S245" s="540" t="s">
        <v>542</v>
      </c>
      <c r="T245" s="519" t="str">
        <f>AC9</f>
        <v>SDPI1</v>
      </c>
      <c r="U245" s="628"/>
      <c r="V245" s="478"/>
      <c r="W245" s="478"/>
      <c r="X245" s="273"/>
      <c r="Y245" s="825"/>
      <c r="Z245" s="825"/>
      <c r="AA245" s="825"/>
      <c r="AB245" s="825"/>
      <c r="AC245" s="825"/>
      <c r="AD245" s="825"/>
      <c r="AE245" s="825"/>
      <c r="AF245" s="825"/>
      <c r="AG245" s="825"/>
      <c r="AH245" s="825"/>
      <c r="AI245" s="825"/>
      <c r="AJ245" s="825"/>
      <c r="AK245" s="825"/>
      <c r="AL245" s="825"/>
      <c r="AM245" s="825"/>
      <c r="AN245" s="825"/>
      <c r="AO245" s="825"/>
      <c r="AP245" s="825"/>
      <c r="AQ245" s="825"/>
      <c r="AR245" s="825"/>
      <c r="AS245" s="825"/>
      <c r="AT245" s="825"/>
      <c r="AU245" s="825"/>
      <c r="AV245" s="825"/>
      <c r="AW245" s="825"/>
      <c r="AX245" s="825"/>
      <c r="AY245" s="273"/>
      <c r="AZ245" s="273"/>
      <c r="BA245" s="825"/>
      <c r="BB245" s="825"/>
      <c r="BC245" s="825"/>
      <c r="BD245" s="825"/>
      <c r="BE245" s="825"/>
      <c r="BF245" s="825"/>
      <c r="BG245" s="825"/>
      <c r="BH245" s="825"/>
      <c r="BI245" s="825"/>
      <c r="BJ245" s="825"/>
      <c r="BK245" s="825"/>
      <c r="BL245" s="825"/>
      <c r="BM245" s="825"/>
      <c r="BN245" s="825"/>
      <c r="BO245" s="825"/>
      <c r="BP245" s="825"/>
      <c r="BQ245" s="825"/>
      <c r="BR245" s="825"/>
      <c r="BS245" s="825"/>
      <c r="BT245" s="825"/>
      <c r="BU245" s="825"/>
      <c r="BV245" s="825"/>
      <c r="BW245" s="825"/>
      <c r="BX245" s="825"/>
      <c r="BY245" s="825"/>
      <c r="BZ245" s="825"/>
      <c r="CA245" s="825"/>
      <c r="CB245" s="825"/>
      <c r="CC245" s="825"/>
    </row>
    <row r="246" spans="1:81" s="548" customFormat="1" ht="40.6" customHeight="1" x14ac:dyDescent="0.25">
      <c r="A246" s="825"/>
      <c r="B246" s="672"/>
      <c r="C246" s="1572"/>
      <c r="D246" s="1565"/>
      <c r="E246" s="1565"/>
      <c r="F246" s="1539"/>
      <c r="G246" s="1539"/>
      <c r="H246" s="1539"/>
      <c r="I246" s="1539"/>
      <c r="J246" s="1539"/>
      <c r="K246" s="1539"/>
      <c r="L246" s="1539"/>
      <c r="M246" s="645" t="s">
        <v>489</v>
      </c>
      <c r="N246" s="730" t="str">
        <f>N10</f>
        <v>Superposición de áreas a ser tituladas individualmente con áreas solicitadas por pueblos indígenas</v>
      </c>
      <c r="O246" s="837" t="str">
        <f t="shared" si="7"/>
        <v>Derechos de los pueblos indígenas</v>
      </c>
      <c r="P246" s="536" t="str">
        <f>Z6</f>
        <v>DPI</v>
      </c>
      <c r="Q246" s="534" t="str">
        <f>AD10</f>
        <v xml:space="preserve">Análisis de demandas de titulación de tierras a favor de comunidades nativas a nivel departamental con organizaciones indígenas </v>
      </c>
      <c r="R246" s="538" t="s">
        <v>555</v>
      </c>
      <c r="S246" s="540" t="s">
        <v>542</v>
      </c>
      <c r="T246" s="519" t="str">
        <f>AC10</f>
        <v>SDPI2</v>
      </c>
      <c r="U246" s="628"/>
      <c r="V246" s="478"/>
      <c r="W246" s="478"/>
      <c r="X246" s="273"/>
      <c r="Y246" s="825"/>
      <c r="Z246" s="825"/>
      <c r="AA246" s="825"/>
      <c r="AB246" s="825"/>
      <c r="AC246" s="825"/>
      <c r="AD246" s="825"/>
      <c r="AE246" s="825"/>
      <c r="AF246" s="825"/>
      <c r="AG246" s="825"/>
      <c r="AH246" s="825"/>
      <c r="AI246" s="825"/>
      <c r="AJ246" s="825"/>
      <c r="AK246" s="825"/>
      <c r="AL246" s="825"/>
      <c r="AM246" s="825"/>
      <c r="AN246" s="825"/>
      <c r="AO246" s="825"/>
      <c r="AP246" s="825"/>
      <c r="AQ246" s="825"/>
      <c r="AR246" s="825"/>
      <c r="AS246" s="825"/>
      <c r="AT246" s="825"/>
      <c r="AU246" s="825"/>
      <c r="AV246" s="825"/>
      <c r="AW246" s="825"/>
      <c r="AX246" s="825"/>
      <c r="AY246" s="273"/>
      <c r="AZ246" s="273"/>
      <c r="BA246" s="825"/>
      <c r="BB246" s="825"/>
      <c r="BC246" s="825"/>
      <c r="BD246" s="825"/>
      <c r="BE246" s="825"/>
      <c r="BF246" s="825"/>
      <c r="BG246" s="825"/>
      <c r="BH246" s="825"/>
      <c r="BI246" s="825"/>
      <c r="BJ246" s="825"/>
      <c r="BK246" s="825"/>
      <c r="BL246" s="825"/>
      <c r="BM246" s="825"/>
      <c r="BN246" s="825"/>
      <c r="BO246" s="825"/>
      <c r="BP246" s="825"/>
      <c r="BQ246" s="825"/>
      <c r="BR246" s="825"/>
      <c r="BS246" s="825"/>
      <c r="BT246" s="825"/>
      <c r="BU246" s="825"/>
      <c r="BV246" s="825"/>
      <c r="BW246" s="825"/>
      <c r="BX246" s="825"/>
      <c r="BY246" s="825"/>
      <c r="BZ246" s="825"/>
      <c r="CA246" s="825"/>
      <c r="CB246" s="825"/>
      <c r="CC246" s="825"/>
    </row>
    <row r="247" spans="1:81" s="548" customFormat="1" ht="29.25" customHeight="1" x14ac:dyDescent="0.25">
      <c r="A247" s="825"/>
      <c r="B247" s="672"/>
      <c r="C247" s="1572"/>
      <c r="D247" s="1565"/>
      <c r="E247" s="1565"/>
      <c r="F247" s="1539"/>
      <c r="G247" s="1539"/>
      <c r="H247" s="1539"/>
      <c r="I247" s="1539"/>
      <c r="J247" s="1539"/>
      <c r="K247" s="1539"/>
      <c r="L247" s="1539"/>
      <c r="M247" s="645" t="s">
        <v>489</v>
      </c>
      <c r="N247" s="730" t="str">
        <f>N13</f>
        <v xml:space="preserve">Tráfico de títulos de propiedad y contratos de cesión en uso </v>
      </c>
      <c r="O247" s="837" t="str">
        <f t="shared" si="7"/>
        <v>Corrupción</v>
      </c>
      <c r="P247" s="536" t="e">
        <f>#REF!</f>
        <v>#REF!</v>
      </c>
      <c r="Q247" s="534" t="str">
        <f>AG9</f>
        <v xml:space="preserve">Transparencia en procesos de formalización de la propiedad rural y cesión en uso </v>
      </c>
      <c r="R247" s="538" t="s">
        <v>566</v>
      </c>
      <c r="S247" s="540" t="s">
        <v>526</v>
      </c>
      <c r="T247" s="519" t="str">
        <f>AF9</f>
        <v>SCR1</v>
      </c>
      <c r="U247" s="628"/>
      <c r="V247" s="478"/>
      <c r="W247" s="478"/>
      <c r="X247" s="273"/>
      <c r="Y247" s="825"/>
      <c r="Z247" s="825"/>
      <c r="AA247" s="825"/>
      <c r="AB247" s="825"/>
      <c r="AC247" s="825"/>
      <c r="AD247" s="825"/>
      <c r="AE247" s="825"/>
      <c r="AF247" s="825"/>
      <c r="AG247" s="825"/>
      <c r="AH247" s="825"/>
      <c r="AI247" s="825"/>
      <c r="AJ247" s="825"/>
      <c r="AK247" s="825"/>
      <c r="AL247" s="825"/>
      <c r="AM247" s="825"/>
      <c r="AN247" s="825"/>
      <c r="AO247" s="825"/>
      <c r="AP247" s="825"/>
      <c r="AQ247" s="825"/>
      <c r="AR247" s="825"/>
      <c r="AS247" s="825"/>
      <c r="AT247" s="825"/>
      <c r="AU247" s="825"/>
      <c r="AV247" s="825"/>
      <c r="AW247" s="825"/>
      <c r="AX247" s="825"/>
      <c r="AY247" s="273"/>
      <c r="AZ247" s="273"/>
      <c r="BA247" s="825"/>
      <c r="BB247" s="825"/>
      <c r="BC247" s="825"/>
      <c r="BD247" s="825"/>
      <c r="BE247" s="825"/>
      <c r="BF247" s="825"/>
      <c r="BG247" s="825"/>
      <c r="BH247" s="825"/>
      <c r="BI247" s="825"/>
      <c r="BJ247" s="825"/>
      <c r="BK247" s="825"/>
      <c r="BL247" s="825"/>
      <c r="BM247" s="825"/>
      <c r="BN247" s="825"/>
      <c r="BO247" s="825"/>
      <c r="BP247" s="825"/>
      <c r="BQ247" s="825"/>
      <c r="BR247" s="825"/>
      <c r="BS247" s="825"/>
      <c r="BT247" s="825"/>
      <c r="BU247" s="825"/>
      <c r="BV247" s="825"/>
      <c r="BW247" s="825"/>
      <c r="BX247" s="825"/>
      <c r="BY247" s="825"/>
      <c r="BZ247" s="825"/>
      <c r="CA247" s="825"/>
      <c r="CB247" s="825"/>
      <c r="CC247" s="825"/>
    </row>
    <row r="248" spans="1:81" s="548" customFormat="1" ht="32.950000000000003" customHeight="1" x14ac:dyDescent="0.25">
      <c r="A248" s="825"/>
      <c r="B248" s="672"/>
      <c r="C248" s="1572"/>
      <c r="D248" s="1565"/>
      <c r="E248" s="1565"/>
      <c r="F248" s="1539"/>
      <c r="G248" s="1539"/>
      <c r="H248" s="1539"/>
      <c r="I248" s="1539"/>
      <c r="J248" s="1539"/>
      <c r="K248" s="1539"/>
      <c r="L248" s="1539"/>
      <c r="M248" s="645" t="s">
        <v>489</v>
      </c>
      <c r="N248" s="730" t="str">
        <f>N14</f>
        <v>Exclusión de mujeres propietarias en títulos de propiedad o contratos de cesión en uso</v>
      </c>
      <c r="O248" s="837" t="str">
        <f t="shared" si="7"/>
        <v>Género</v>
      </c>
      <c r="P248" s="536" t="str">
        <f>AC6</f>
        <v>GN</v>
      </c>
      <c r="Q248" s="534" t="str">
        <f>AJ9</f>
        <v xml:space="preserve">Incorporación de cónyuges o convivientes en títulos de propiedad y contratos de cesión en uso </v>
      </c>
      <c r="R248" s="538" t="s">
        <v>576</v>
      </c>
      <c r="S248" s="540" t="s">
        <v>507</v>
      </c>
      <c r="T248" s="519" t="str">
        <f>AI9</f>
        <v>SGN1</v>
      </c>
      <c r="U248" s="628"/>
      <c r="V248" s="478"/>
      <c r="W248" s="478"/>
      <c r="X248" s="273"/>
      <c r="Y248" s="825"/>
      <c r="Z248" s="825"/>
      <c r="AA248" s="825"/>
      <c r="AB248" s="825"/>
      <c r="AC248" s="825"/>
      <c r="AD248" s="825"/>
      <c r="AE248" s="825"/>
      <c r="AF248" s="825"/>
      <c r="AG248" s="825"/>
      <c r="AH248" s="825"/>
      <c r="AI248" s="825"/>
      <c r="AJ248" s="825"/>
      <c r="AK248" s="825"/>
      <c r="AL248" s="825"/>
      <c r="AM248" s="825"/>
      <c r="AN248" s="825"/>
      <c r="AO248" s="825"/>
      <c r="AP248" s="825"/>
      <c r="AQ248" s="825"/>
      <c r="AR248" s="825"/>
      <c r="AS248" s="825"/>
      <c r="AT248" s="825"/>
      <c r="AU248" s="825"/>
      <c r="AV248" s="825"/>
      <c r="AW248" s="825"/>
      <c r="AX248" s="825"/>
      <c r="AY248" s="273"/>
      <c r="AZ248" s="273"/>
      <c r="BA248" s="825"/>
      <c r="BB248" s="825"/>
      <c r="BC248" s="825"/>
      <c r="BD248" s="825"/>
      <c r="BE248" s="825"/>
      <c r="BF248" s="825"/>
      <c r="BG248" s="825"/>
      <c r="BH248" s="825"/>
      <c r="BI248" s="825"/>
      <c r="BJ248" s="825"/>
      <c r="BK248" s="825"/>
      <c r="BL248" s="825"/>
      <c r="BM248" s="825"/>
      <c r="BN248" s="825"/>
      <c r="BO248" s="825"/>
      <c r="BP248" s="825"/>
      <c r="BQ248" s="825"/>
      <c r="BR248" s="825"/>
      <c r="BS248" s="825"/>
      <c r="BT248" s="825"/>
      <c r="BU248" s="825"/>
      <c r="BV248" s="825"/>
      <c r="BW248" s="825"/>
      <c r="BX248" s="825"/>
      <c r="BY248" s="825"/>
      <c r="BZ248" s="825"/>
      <c r="CA248" s="825"/>
      <c r="CB248" s="825"/>
      <c r="CC248" s="825"/>
    </row>
    <row r="249" spans="1:81" s="548" customFormat="1" ht="43.5" customHeight="1" x14ac:dyDescent="0.25">
      <c r="A249" s="825"/>
      <c r="B249" s="672"/>
      <c r="C249" s="1573"/>
      <c r="D249" s="1566"/>
      <c r="E249" s="1566"/>
      <c r="F249" s="1560"/>
      <c r="G249" s="1560"/>
      <c r="H249" s="1560"/>
      <c r="I249" s="1560"/>
      <c r="J249" s="1560"/>
      <c r="K249" s="1560"/>
      <c r="L249" s="1560"/>
      <c r="M249" s="645" t="s">
        <v>489</v>
      </c>
      <c r="N249" s="736" t="str">
        <f>N15</f>
        <v>Otorgamiento de derechos sobre la tierra / bosques en zonas con patrimonio cultural</v>
      </c>
      <c r="O249" s="837" t="str">
        <f t="shared" si="7"/>
        <v>Patrimonio cultural</v>
      </c>
      <c r="P249" s="539" t="str">
        <f>AI6</f>
        <v>PC</v>
      </c>
      <c r="Q249" s="549" t="str">
        <f>AV9</f>
        <v>Evaluación de superposición del área solicitada para titulación de predios rurales con áreas determinadas como patrimonio cultural</v>
      </c>
      <c r="R249" s="553" t="s">
        <v>586</v>
      </c>
      <c r="S249" s="557" t="s">
        <v>542</v>
      </c>
      <c r="T249" s="519" t="str">
        <f>AU9</f>
        <v>SPC1</v>
      </c>
      <c r="U249" s="628"/>
      <c r="V249" s="478"/>
      <c r="W249" s="478"/>
      <c r="X249" s="273"/>
      <c r="Y249" s="825"/>
      <c r="Z249" s="825"/>
      <c r="AA249" s="825"/>
      <c r="AB249" s="825"/>
      <c r="AC249" s="825"/>
      <c r="AD249" s="825"/>
      <c r="AE249" s="825"/>
      <c r="AF249" s="825"/>
      <c r="AG249" s="825"/>
      <c r="AH249" s="825"/>
      <c r="AI249" s="825"/>
      <c r="AJ249" s="825"/>
      <c r="AK249" s="825"/>
      <c r="AL249" s="825"/>
      <c r="AM249" s="825"/>
      <c r="AN249" s="825"/>
      <c r="AO249" s="825"/>
      <c r="AP249" s="825"/>
      <c r="AQ249" s="825"/>
      <c r="AR249" s="825"/>
      <c r="AS249" s="825"/>
      <c r="AT249" s="825"/>
      <c r="AU249" s="825"/>
      <c r="AV249" s="825"/>
      <c r="AW249" s="825"/>
      <c r="AX249" s="825"/>
      <c r="AY249" s="273"/>
      <c r="AZ249" s="273"/>
      <c r="BA249" s="825"/>
      <c r="BB249" s="825"/>
      <c r="BC249" s="825"/>
      <c r="BD249" s="825"/>
      <c r="BE249" s="825"/>
      <c r="BF249" s="825"/>
      <c r="BG249" s="825"/>
      <c r="BH249" s="825"/>
      <c r="BI249" s="825"/>
      <c r="BJ249" s="825"/>
      <c r="BK249" s="825"/>
      <c r="BL249" s="825"/>
      <c r="BM249" s="825"/>
      <c r="BN249" s="825"/>
      <c r="BO249" s="825"/>
      <c r="BP249" s="825"/>
      <c r="BQ249" s="825"/>
      <c r="BR249" s="825"/>
      <c r="BS249" s="825"/>
      <c r="BT249" s="825"/>
      <c r="BU249" s="825"/>
      <c r="BV249" s="825"/>
      <c r="BW249" s="825"/>
      <c r="BX249" s="825"/>
      <c r="BY249" s="825"/>
      <c r="BZ249" s="825"/>
      <c r="CA249" s="825"/>
      <c r="CB249" s="825"/>
      <c r="CC249" s="825"/>
    </row>
    <row r="250" spans="1:81" ht="92.25" customHeight="1" x14ac:dyDescent="0.25">
      <c r="A250" s="825"/>
      <c r="B250" s="672" t="s">
        <v>866</v>
      </c>
      <c r="C250" s="842" t="str">
        <f>'8. BASE  CONSOLIDADA'!E101</f>
        <v>2.3.2</v>
      </c>
      <c r="D250" s="1069" t="str">
        <f>'8. BASE  CONSOLIDADA'!F101</f>
        <v xml:space="preserve">Asistencia técnica para el mejoramiento de pastos y ganadería </v>
      </c>
      <c r="E250" s="1069" t="str">
        <f>'8. BASE  CONSOLIDADA'!G101</f>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F250" s="836" t="str">
        <f>'8. BASE  CONSOLIDADA'!C101</f>
        <v>Predios privados para ganadería de leche y carne</v>
      </c>
      <c r="G250" s="1019" t="str">
        <f>VLOOKUP($C250,'8. BASE  CONSOLIDADA'!$E$7:$AS$308,13,FALSE)</f>
        <v>Ganaderos asistidos</v>
      </c>
      <c r="H250" s="1109">
        <f>VLOOKUP($C250,'8. BASE  CONSOLIDADA'!$E$7:$AS$308,15,FALSE)</f>
        <v>1424</v>
      </c>
      <c r="I250" s="1058">
        <f>VLOOKUP(C250,'8. BASE  CONSOLIDADA'!$E$7:$AS$308,20,FALSE)</f>
        <v>797440</v>
      </c>
      <c r="J250" s="678">
        <f>I250*$J$6</f>
        <v>542.25920000000008</v>
      </c>
      <c r="K250" s="1020"/>
      <c r="L250" s="1029"/>
      <c r="M250" s="645" t="s">
        <v>489</v>
      </c>
      <c r="N250" s="730" t="str">
        <f>N16</f>
        <v>Exclusión de mujeres rurales en programas de asistencia técnica</v>
      </c>
      <c r="O250" s="837" t="str">
        <f t="shared" si="7"/>
        <v>Género</v>
      </c>
      <c r="P250" s="534" t="str">
        <f>AC6</f>
        <v>GN</v>
      </c>
      <c r="Q250" s="534" t="str">
        <f>AJ10</f>
        <v>Programas de asistencia técnica y proyectos específicos para mujeres rurales y mujeres indígenas</v>
      </c>
      <c r="R250" s="534" t="s">
        <v>596</v>
      </c>
      <c r="S250" s="540" t="s">
        <v>507</v>
      </c>
      <c r="T250" s="519" t="str">
        <f>AI10</f>
        <v>SGN2</v>
      </c>
      <c r="U250" s="618"/>
      <c r="V250" s="478"/>
      <c r="W250" s="478"/>
      <c r="X250" s="273"/>
      <c r="Y250" s="825"/>
      <c r="Z250" s="825"/>
      <c r="AA250" s="825"/>
      <c r="AB250" s="825"/>
      <c r="AC250" s="825"/>
      <c r="AD250" s="825"/>
      <c r="AE250" s="825"/>
      <c r="AF250" s="825"/>
      <c r="AG250" s="825"/>
      <c r="AH250" s="825"/>
      <c r="AI250" s="825"/>
      <c r="AJ250" s="825"/>
      <c r="AK250" s="825"/>
      <c r="AL250" s="825"/>
      <c r="AM250" s="825"/>
      <c r="AN250" s="825"/>
      <c r="AO250" s="825"/>
      <c r="AP250" s="825"/>
      <c r="AQ250" s="825"/>
      <c r="AR250" s="825"/>
      <c r="AS250" s="825"/>
      <c r="AT250" s="825"/>
      <c r="AU250" s="825"/>
      <c r="AV250" s="825"/>
      <c r="AW250" s="825"/>
      <c r="AX250" s="825"/>
      <c r="BA250" s="825"/>
      <c r="BB250" s="825"/>
      <c r="BC250" s="825"/>
      <c r="BD250" s="825"/>
      <c r="BE250" s="825"/>
      <c r="BF250" s="825"/>
      <c r="BG250" s="825"/>
      <c r="BH250" s="825"/>
      <c r="BI250" s="825"/>
      <c r="BJ250" s="825"/>
      <c r="BK250" s="825"/>
      <c r="BL250" s="825"/>
      <c r="BM250" s="825"/>
      <c r="BN250" s="825"/>
      <c r="BO250" s="825"/>
      <c r="BP250" s="825"/>
      <c r="BQ250" s="825"/>
      <c r="BR250" s="825"/>
      <c r="BS250" s="825"/>
      <c r="BT250" s="825"/>
      <c r="BU250" s="825"/>
      <c r="BV250" s="825"/>
      <c r="BW250" s="825"/>
      <c r="BX250" s="825"/>
      <c r="BY250" s="825"/>
      <c r="BZ250" s="825"/>
      <c r="CA250" s="825"/>
      <c r="CB250" s="825"/>
      <c r="CC250" s="825"/>
    </row>
    <row r="251" spans="1:81" ht="23.3" customHeight="1" x14ac:dyDescent="0.25">
      <c r="A251" s="825"/>
      <c r="B251" s="672" t="s">
        <v>866</v>
      </c>
      <c r="C251" s="1571" t="str">
        <f>'8. BASE  CONSOLIDADA'!E103</f>
        <v>2.3.4</v>
      </c>
      <c r="D251" s="1564" t="str">
        <f>'8. BASE  CONSOLIDADA'!F103</f>
        <v>Mejoramiento genético de ganado bovino</v>
      </c>
      <c r="E251" s="1564" t="str">
        <f>'8. BASE  CONSOLIDADA'!G103</f>
        <v>Reactivación, implementación y gestión de las postas de inseminación artificial, importación de material genético (pajillas de semen), capacitación y entrenamiento a inseminadores, transferencia de embriones a las granjas de los productores y asistencia técnica.</v>
      </c>
      <c r="F251" s="1535" t="str">
        <f>'8. BASE  CONSOLIDADA'!C103</f>
        <v>Predios privados para ganadería de leche y carne</v>
      </c>
      <c r="G251" s="1535" t="str">
        <f>VLOOKUP($C251,'8. BASE  CONSOLIDADA'!$E$7:$AS$308,13,FALSE)</f>
        <v>Postas activas y operativas</v>
      </c>
      <c r="H251" s="1535">
        <f>VLOOKUP($C251,'8. BASE  CONSOLIDADA'!$E$7:$AS$308,15,FALSE)</f>
        <v>5</v>
      </c>
      <c r="I251" s="1535">
        <f>VLOOKUP(C251,'8. BASE  CONSOLIDADA'!$E$7:$AS$308,20,FALSE)</f>
        <v>1370000</v>
      </c>
      <c r="J251" s="1535">
        <f>I251*$J$6</f>
        <v>931.6</v>
      </c>
      <c r="K251" s="1535"/>
      <c r="L251" s="1535"/>
      <c r="M251" s="645" t="s">
        <v>489</v>
      </c>
      <c r="N251" s="730" t="str">
        <f>N16</f>
        <v>Exclusión de mujeres rurales en programas de asistencia técnica</v>
      </c>
      <c r="O251" s="837" t="str">
        <f t="shared" si="7"/>
        <v>Género</v>
      </c>
      <c r="P251" s="534" t="str">
        <f>AC6</f>
        <v>GN</v>
      </c>
      <c r="Q251" s="534" t="str">
        <f>AJ11</f>
        <v xml:space="preserve">Cuotas de género y medición de participación efectiva de mujeres rurales </v>
      </c>
      <c r="R251" s="534" t="s">
        <v>689</v>
      </c>
      <c r="S251" s="540" t="s">
        <v>507</v>
      </c>
      <c r="T251" s="519" t="str">
        <f>AI11</f>
        <v>SGN3</v>
      </c>
      <c r="U251" s="618"/>
      <c r="V251" s="478"/>
      <c r="W251" s="478"/>
      <c r="X251" s="273"/>
      <c r="Y251" s="825"/>
      <c r="Z251" s="825"/>
      <c r="AA251" s="825"/>
      <c r="AB251" s="825"/>
      <c r="AC251" s="825"/>
      <c r="AD251" s="825"/>
      <c r="AE251" s="825"/>
      <c r="AF251" s="825"/>
      <c r="AG251" s="825"/>
      <c r="AH251" s="825"/>
      <c r="AI251" s="825"/>
      <c r="AJ251" s="825"/>
      <c r="AK251" s="825"/>
      <c r="AL251" s="825"/>
      <c r="AM251" s="825"/>
      <c r="AN251" s="825"/>
      <c r="AO251" s="825"/>
      <c r="AP251" s="825"/>
      <c r="AQ251" s="825"/>
      <c r="AR251" s="825"/>
      <c r="AS251" s="825"/>
      <c r="AT251" s="825"/>
      <c r="AU251" s="825"/>
      <c r="AV251" s="825"/>
      <c r="AW251" s="825"/>
      <c r="AX251" s="825"/>
      <c r="BA251" s="825"/>
      <c r="BB251" s="825"/>
      <c r="BC251" s="825"/>
      <c r="BD251" s="825"/>
      <c r="BE251" s="825"/>
      <c r="BF251" s="825"/>
      <c r="BG251" s="825"/>
      <c r="BH251" s="825"/>
      <c r="BI251" s="825"/>
      <c r="BJ251" s="825"/>
      <c r="BK251" s="825"/>
      <c r="BL251" s="825"/>
      <c r="BM251" s="825"/>
      <c r="BN251" s="825"/>
      <c r="BO251" s="825"/>
      <c r="BP251" s="825"/>
      <c r="BQ251" s="825"/>
      <c r="BR251" s="825"/>
      <c r="BS251" s="825"/>
      <c r="BT251" s="825"/>
      <c r="BU251" s="825"/>
      <c r="BV251" s="825"/>
      <c r="BW251" s="825"/>
      <c r="BX251" s="825"/>
      <c r="BY251" s="825"/>
      <c r="BZ251" s="825"/>
      <c r="CA251" s="825"/>
      <c r="CB251" s="825"/>
      <c r="CC251" s="825"/>
    </row>
    <row r="252" spans="1:81" s="548" customFormat="1" ht="41.95" customHeight="1" x14ac:dyDescent="0.25">
      <c r="A252" s="825"/>
      <c r="B252" s="672"/>
      <c r="C252" s="1573"/>
      <c r="D252" s="1565"/>
      <c r="E252" s="1566"/>
      <c r="F252" s="1543"/>
      <c r="G252" s="1543"/>
      <c r="H252" s="1543"/>
      <c r="I252" s="1543"/>
      <c r="J252" s="1543"/>
      <c r="K252" s="1543"/>
      <c r="L252" s="1543"/>
      <c r="M252" s="645" t="s">
        <v>489</v>
      </c>
      <c r="N252" s="730" t="str">
        <f>N16</f>
        <v>Exclusión de mujeres rurales en programas de asistencia técnica</v>
      </c>
      <c r="O252" s="837" t="str">
        <f t="shared" si="7"/>
        <v>Género</v>
      </c>
      <c r="P252" s="534" t="str">
        <f>AC6</f>
        <v>GN</v>
      </c>
      <c r="Q252" s="534" t="str">
        <f>AJ10</f>
        <v>Programas de asistencia técnica y proyectos específicos para mujeres rurales y mujeres indígenas</v>
      </c>
      <c r="R252" s="534" t="s">
        <v>596</v>
      </c>
      <c r="S252" s="540" t="s">
        <v>507</v>
      </c>
      <c r="T252" s="519" t="str">
        <f>AI10</f>
        <v>SGN2</v>
      </c>
      <c r="U252" s="618"/>
      <c r="V252" s="478"/>
      <c r="W252" s="478"/>
      <c r="X252" s="273"/>
      <c r="Y252" s="825"/>
      <c r="Z252" s="825"/>
      <c r="AA252" s="825"/>
      <c r="AB252" s="825"/>
      <c r="AC252" s="825"/>
      <c r="AD252" s="825"/>
      <c r="AE252" s="825"/>
      <c r="AF252" s="825"/>
      <c r="AG252" s="825"/>
      <c r="AH252" s="825"/>
      <c r="AI252" s="825"/>
      <c r="AJ252" s="825"/>
      <c r="AK252" s="825"/>
      <c r="AL252" s="825"/>
      <c r="AM252" s="825"/>
      <c r="AN252" s="825"/>
      <c r="AO252" s="825"/>
      <c r="AP252" s="825"/>
      <c r="AQ252" s="825"/>
      <c r="AR252" s="825"/>
      <c r="AS252" s="825"/>
      <c r="AT252" s="825"/>
      <c r="AU252" s="825"/>
      <c r="AV252" s="825"/>
      <c r="AW252" s="825"/>
      <c r="AX252" s="825"/>
      <c r="AY252" s="273"/>
      <c r="AZ252" s="273"/>
      <c r="BA252" s="825"/>
      <c r="BB252" s="825"/>
      <c r="BC252" s="825"/>
      <c r="BD252" s="825"/>
      <c r="BE252" s="825"/>
      <c r="BF252" s="825"/>
      <c r="BG252" s="825"/>
      <c r="BH252" s="825"/>
      <c r="BI252" s="825"/>
      <c r="BJ252" s="825"/>
      <c r="BK252" s="825"/>
      <c r="BL252" s="825"/>
      <c r="BM252" s="825"/>
      <c r="BN252" s="825"/>
      <c r="BO252" s="825"/>
      <c r="BP252" s="825"/>
      <c r="BQ252" s="825"/>
      <c r="BR252" s="825"/>
      <c r="BS252" s="825"/>
      <c r="BT252" s="825"/>
      <c r="BU252" s="825"/>
      <c r="BV252" s="825"/>
      <c r="BW252" s="825"/>
      <c r="BX252" s="825"/>
      <c r="BY252" s="825"/>
      <c r="BZ252" s="825"/>
      <c r="CA252" s="825"/>
      <c r="CB252" s="825"/>
      <c r="CC252" s="825"/>
    </row>
    <row r="253" spans="1:81" ht="45.7" customHeight="1" x14ac:dyDescent="0.25">
      <c r="A253" s="825"/>
      <c r="B253" s="672" t="s">
        <v>866</v>
      </c>
      <c r="C253" s="1648" t="str">
        <f>'8. BASE  CONSOLIDADA'!E104</f>
        <v>2.3.5</v>
      </c>
      <c r="D253" s="1599" t="str">
        <f>'8. BASE  CONSOLIDADA'!F104</f>
        <v>Programa de acceso al financiamiento agropecuario condicionado</v>
      </c>
      <c r="E253" s="1599" t="str">
        <f>'8. BASE  CONSOLIDADA'!G104</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v>
      </c>
      <c r="F253" s="1579" t="str">
        <f>'8. BASE  CONSOLIDADA'!C104</f>
        <v>Predios privados para ganadería de leche y carne</v>
      </c>
      <c r="G253" s="1579" t="str">
        <f>VLOOKUP($C253,'8. BASE  CONSOLIDADA'!$E$7:$AS$308,13,FALSE)</f>
        <v>Ganaderos atendidos</v>
      </c>
      <c r="H253" s="1579">
        <f>VLOOKUP($C253,'8. BASE  CONSOLIDADA'!$E$7:$AS$308,15,FALSE)</f>
        <v>427.2</v>
      </c>
      <c r="I253" s="1579">
        <f>VLOOKUP(C253,'8. BASE  CONSOLIDADA'!$E$7:$AS$308,20,FALSE)</f>
        <v>4592400</v>
      </c>
      <c r="J253" s="1579">
        <f>I253*$J$6</f>
        <v>3122.8320000000003</v>
      </c>
      <c r="K253" s="1025"/>
      <c r="L253" s="1043"/>
      <c r="M253" s="645" t="s">
        <v>489</v>
      </c>
      <c r="N253" s="740" t="str">
        <f>N25</f>
        <v>Deforestación de nuevas áreas para implementar créditos o incentivos otorgados</v>
      </c>
      <c r="O253" s="837" t="str">
        <f t="shared" si="7"/>
        <v>Biodiversidad y recursos naturales</v>
      </c>
      <c r="P253" s="536" t="e">
        <f>#REF!</f>
        <v>#REF!</v>
      </c>
      <c r="Q253" s="535" t="str">
        <f>AA12</f>
        <v xml:space="preserve">Ordenamiento agroterritorial como estrategia para ordenar y promover el desarrollo agrario regional </v>
      </c>
      <c r="R253" s="536" t="s">
        <v>656</v>
      </c>
      <c r="S253" s="541" t="s">
        <v>492</v>
      </c>
      <c r="T253" s="519" t="str">
        <f>Z12</f>
        <v>SBRN4</v>
      </c>
      <c r="U253" s="628"/>
      <c r="V253" s="478"/>
      <c r="W253" s="478"/>
      <c r="X253" s="273"/>
      <c r="Y253" s="825"/>
      <c r="Z253" s="825"/>
      <c r="AA253" s="825"/>
      <c r="AB253" s="825"/>
      <c r="AC253" s="825"/>
      <c r="AD253" s="825"/>
      <c r="AE253" s="825"/>
      <c r="AF253" s="825"/>
      <c r="AG253" s="825"/>
      <c r="AH253" s="825"/>
      <c r="AI253" s="825"/>
      <c r="AJ253" s="825"/>
      <c r="AK253" s="825"/>
      <c r="AL253" s="825"/>
      <c r="AM253" s="825"/>
      <c r="AN253" s="825"/>
      <c r="AO253" s="825"/>
      <c r="AP253" s="825"/>
      <c r="AQ253" s="825"/>
      <c r="AR253" s="825"/>
      <c r="AS253" s="825"/>
      <c r="AT253" s="825"/>
      <c r="AU253" s="825"/>
      <c r="AV253" s="825"/>
      <c r="AW253" s="825"/>
      <c r="AX253" s="825"/>
      <c r="BA253" s="825"/>
      <c r="BB253" s="825"/>
      <c r="BC253" s="825"/>
      <c r="BD253" s="825"/>
      <c r="BE253" s="825"/>
      <c r="BF253" s="825"/>
      <c r="BG253" s="825"/>
      <c r="BH253" s="825"/>
      <c r="BI253" s="825"/>
      <c r="BJ253" s="825"/>
      <c r="BK253" s="825"/>
      <c r="BL253" s="825"/>
      <c r="BM253" s="825"/>
      <c r="BN253" s="825"/>
      <c r="BO253" s="825"/>
      <c r="BP253" s="825"/>
      <c r="BQ253" s="825"/>
      <c r="BR253" s="825"/>
      <c r="BS253" s="825"/>
      <c r="BT253" s="825"/>
      <c r="BU253" s="825"/>
      <c r="BV253" s="825"/>
      <c r="BW253" s="825"/>
      <c r="BX253" s="825"/>
      <c r="BY253" s="825"/>
      <c r="BZ253" s="825"/>
      <c r="CA253" s="825"/>
      <c r="CB253" s="825"/>
      <c r="CC253" s="825"/>
    </row>
    <row r="254" spans="1:81" s="548" customFormat="1" ht="36.700000000000003" customHeight="1" x14ac:dyDescent="0.25">
      <c r="A254" s="825"/>
      <c r="B254" s="672"/>
      <c r="C254" s="1649"/>
      <c r="D254" s="1600"/>
      <c r="E254" s="1600"/>
      <c r="F254" s="1580"/>
      <c r="G254" s="1580"/>
      <c r="H254" s="1580"/>
      <c r="I254" s="1580"/>
      <c r="J254" s="1580"/>
      <c r="K254" s="1024">
        <v>100</v>
      </c>
      <c r="L254" s="1024">
        <f>K254*H253</f>
        <v>42720</v>
      </c>
      <c r="M254" s="739" t="s">
        <v>672</v>
      </c>
      <c r="N254" s="740" t="str">
        <f>N25</f>
        <v>Deforestación de nuevas áreas para implementar créditos o incentivos otorgados</v>
      </c>
      <c r="O254" s="837" t="str">
        <f t="shared" si="7"/>
        <v>Biodiversidad y recursos naturales</v>
      </c>
      <c r="P254" s="536" t="e">
        <f>#REF!</f>
        <v>#REF!</v>
      </c>
      <c r="Q254" s="534" t="str">
        <f>AA14</f>
        <v>Desarrollo de incentivos financieros y no financieros condicionados con cláusulas de no deforestación</v>
      </c>
      <c r="R254" s="538" t="s">
        <v>673</v>
      </c>
      <c r="S254" s="540" t="s">
        <v>526</v>
      </c>
      <c r="T254" s="519" t="str">
        <f>Z14</f>
        <v>SBRN6</v>
      </c>
      <c r="U254" s="628"/>
      <c r="V254" s="478"/>
      <c r="W254" s="478"/>
      <c r="X254" s="273"/>
      <c r="Y254" s="825"/>
      <c r="Z254" s="825"/>
      <c r="AA254" s="825"/>
      <c r="AB254" s="825"/>
      <c r="AC254" s="825"/>
      <c r="AD254" s="825"/>
      <c r="AE254" s="825"/>
      <c r="AF254" s="825"/>
      <c r="AG254" s="825"/>
      <c r="AH254" s="825"/>
      <c r="AI254" s="825"/>
      <c r="AJ254" s="825"/>
      <c r="AK254" s="825"/>
      <c r="AL254" s="825"/>
      <c r="AM254" s="825"/>
      <c r="AN254" s="825"/>
      <c r="AO254" s="825"/>
      <c r="AP254" s="825"/>
      <c r="AQ254" s="825"/>
      <c r="AR254" s="825"/>
      <c r="AS254" s="825"/>
      <c r="AT254" s="825"/>
      <c r="AU254" s="825"/>
      <c r="AV254" s="825"/>
      <c r="AW254" s="825"/>
      <c r="AX254" s="825"/>
      <c r="AY254" s="273"/>
      <c r="AZ254" s="273"/>
      <c r="BA254" s="825"/>
      <c r="BB254" s="825"/>
      <c r="BC254" s="825"/>
      <c r="BD254" s="825"/>
      <c r="BE254" s="825"/>
      <c r="BF254" s="825"/>
      <c r="BG254" s="825"/>
      <c r="BH254" s="825"/>
      <c r="BI254" s="825"/>
      <c r="BJ254" s="825"/>
      <c r="BK254" s="825"/>
      <c r="BL254" s="825"/>
      <c r="BM254" s="825"/>
      <c r="BN254" s="825"/>
      <c r="BO254" s="825"/>
      <c r="BP254" s="825"/>
      <c r="BQ254" s="825"/>
      <c r="BR254" s="825"/>
      <c r="BS254" s="825"/>
      <c r="BT254" s="825"/>
      <c r="BU254" s="825"/>
      <c r="BV254" s="825"/>
      <c r="BW254" s="825"/>
      <c r="BX254" s="825"/>
      <c r="BY254" s="825"/>
      <c r="BZ254" s="825"/>
      <c r="CA254" s="825"/>
      <c r="CB254" s="825"/>
      <c r="CC254" s="825"/>
    </row>
    <row r="255" spans="1:81" s="548" customFormat="1" ht="33.799999999999997" customHeight="1" x14ac:dyDescent="0.25">
      <c r="A255" s="825"/>
      <c r="B255" s="672"/>
      <c r="C255" s="1649"/>
      <c r="D255" s="1600"/>
      <c r="E255" s="1600"/>
      <c r="F255" s="1580"/>
      <c r="G255" s="1580"/>
      <c r="H255" s="1580"/>
      <c r="I255" s="1580"/>
      <c r="J255" s="1580"/>
      <c r="K255" s="1043"/>
      <c r="L255" s="1043"/>
      <c r="M255" s="645" t="s">
        <v>489</v>
      </c>
      <c r="N255" s="724" t="str">
        <f>N17</f>
        <v>Especies exóticas o invasoras en bosques colindantes</v>
      </c>
      <c r="O255" s="837" t="str">
        <f t="shared" si="7"/>
        <v>Biodiversidad y recursos naturales</v>
      </c>
      <c r="P255" s="536" t="e">
        <f>#REF!</f>
        <v>#REF!</v>
      </c>
      <c r="Q255" s="534" t="str">
        <f>AA16</f>
        <v>Promoción del cultivo de especies nativas</v>
      </c>
      <c r="R255" s="538" t="s">
        <v>834</v>
      </c>
      <c r="S255" s="540" t="s">
        <v>492</v>
      </c>
      <c r="T255" s="519" t="str">
        <f>Z16</f>
        <v>SBRN8</v>
      </c>
      <c r="U255" s="628"/>
      <c r="V255" s="478"/>
      <c r="W255" s="478"/>
      <c r="X255" s="273"/>
      <c r="Y255" s="825"/>
      <c r="Z255" s="825"/>
      <c r="AA255" s="825"/>
      <c r="AB255" s="825"/>
      <c r="AC255" s="825"/>
      <c r="AD255" s="825"/>
      <c r="AE255" s="825"/>
      <c r="AF255" s="825"/>
      <c r="AG255" s="825"/>
      <c r="AH255" s="825"/>
      <c r="AI255" s="825"/>
      <c r="AJ255" s="825"/>
      <c r="AK255" s="825"/>
      <c r="AL255" s="825"/>
      <c r="AM255" s="825"/>
      <c r="AN255" s="825"/>
      <c r="AO255" s="825"/>
      <c r="AP255" s="825"/>
      <c r="AQ255" s="825"/>
      <c r="AR255" s="825"/>
      <c r="AS255" s="825"/>
      <c r="AT255" s="825"/>
      <c r="AU255" s="825"/>
      <c r="AV255" s="825"/>
      <c r="AW255" s="825"/>
      <c r="AX255" s="825"/>
      <c r="AY255" s="273"/>
      <c r="AZ255" s="273"/>
      <c r="BA255" s="825"/>
      <c r="BB255" s="825"/>
      <c r="BC255" s="825"/>
      <c r="BD255" s="825"/>
      <c r="BE255" s="825"/>
      <c r="BF255" s="825"/>
      <c r="BG255" s="825"/>
      <c r="BH255" s="825"/>
      <c r="BI255" s="825"/>
      <c r="BJ255" s="825"/>
      <c r="BK255" s="825"/>
      <c r="BL255" s="825"/>
      <c r="BM255" s="825"/>
      <c r="BN255" s="825"/>
      <c r="BO255" s="825"/>
      <c r="BP255" s="825"/>
      <c r="BQ255" s="825"/>
      <c r="BR255" s="825"/>
      <c r="BS255" s="825"/>
      <c r="BT255" s="825"/>
      <c r="BU255" s="825"/>
      <c r="BV255" s="825"/>
      <c r="BW255" s="825"/>
      <c r="BX255" s="825"/>
      <c r="BY255" s="825"/>
      <c r="BZ255" s="825"/>
      <c r="CA255" s="825"/>
      <c r="CB255" s="825"/>
      <c r="CC255" s="825"/>
    </row>
    <row r="256" spans="1:81" s="548" customFormat="1" ht="19.55" customHeight="1" x14ac:dyDescent="0.25">
      <c r="A256" s="825"/>
      <c r="B256" s="672"/>
      <c r="C256" s="1649"/>
      <c r="D256" s="1600"/>
      <c r="E256" s="1600"/>
      <c r="F256" s="1580"/>
      <c r="G256" s="1580"/>
      <c r="H256" s="1580"/>
      <c r="I256" s="1580"/>
      <c r="J256" s="1580"/>
      <c r="K256" s="1043"/>
      <c r="L256" s="1043"/>
      <c r="M256" s="645" t="s">
        <v>489</v>
      </c>
      <c r="N256" s="730" t="str">
        <f>N28</f>
        <v>Contaminación por residuos agropecuarios</v>
      </c>
      <c r="O256" s="837" t="str">
        <f t="shared" si="7"/>
        <v>Contaminación</v>
      </c>
      <c r="P256" s="536" t="e">
        <f>#REF!</f>
        <v>#REF!</v>
      </c>
      <c r="Q256" s="534" t="str">
        <f>AM10</f>
        <v>Control de residuos agropecuarios</v>
      </c>
      <c r="R256" s="538" t="s">
        <v>535</v>
      </c>
      <c r="S256" s="540" t="s">
        <v>492</v>
      </c>
      <c r="T256" s="519" t="str">
        <f>AL10</f>
        <v>SCT2</v>
      </c>
      <c r="U256" s="628"/>
      <c r="V256" s="478"/>
      <c r="W256" s="478"/>
      <c r="X256" s="273"/>
      <c r="Y256" s="825"/>
      <c r="Z256" s="825"/>
      <c r="AA256" s="825"/>
      <c r="AB256" s="825"/>
      <c r="AC256" s="825"/>
      <c r="AD256" s="825"/>
      <c r="AE256" s="825"/>
      <c r="AF256" s="825"/>
      <c r="AG256" s="825"/>
      <c r="AH256" s="825"/>
      <c r="AI256" s="825"/>
      <c r="AJ256" s="825"/>
      <c r="AK256" s="825"/>
      <c r="AL256" s="825"/>
      <c r="AM256" s="825"/>
      <c r="AN256" s="825"/>
      <c r="AO256" s="825"/>
      <c r="AP256" s="825"/>
      <c r="AQ256" s="825"/>
      <c r="AR256" s="825"/>
      <c r="AS256" s="825"/>
      <c r="AT256" s="825"/>
      <c r="AU256" s="825"/>
      <c r="AV256" s="825"/>
      <c r="AW256" s="825"/>
      <c r="AX256" s="825"/>
      <c r="AY256" s="273"/>
      <c r="AZ256" s="273"/>
      <c r="BA256" s="825"/>
      <c r="BB256" s="825"/>
      <c r="BC256" s="825"/>
      <c r="BD256" s="825"/>
      <c r="BE256" s="825"/>
      <c r="BF256" s="825"/>
      <c r="BG256" s="825"/>
      <c r="BH256" s="825"/>
      <c r="BI256" s="825"/>
      <c r="BJ256" s="825"/>
      <c r="BK256" s="825"/>
      <c r="BL256" s="825"/>
      <c r="BM256" s="825"/>
      <c r="BN256" s="825"/>
      <c r="BO256" s="825"/>
      <c r="BP256" s="825"/>
      <c r="BQ256" s="825"/>
      <c r="BR256" s="825"/>
      <c r="BS256" s="825"/>
      <c r="BT256" s="825"/>
      <c r="BU256" s="825"/>
      <c r="BV256" s="825"/>
      <c r="BW256" s="825"/>
      <c r="BX256" s="825"/>
      <c r="BY256" s="825"/>
      <c r="BZ256" s="825"/>
      <c r="CA256" s="825"/>
      <c r="CB256" s="825"/>
      <c r="CC256" s="825"/>
    </row>
    <row r="257" spans="1:81" s="548" customFormat="1" ht="44.35" customHeight="1" x14ac:dyDescent="0.25">
      <c r="A257" s="825"/>
      <c r="B257" s="672"/>
      <c r="C257" s="1649"/>
      <c r="D257" s="1600"/>
      <c r="E257" s="1600"/>
      <c r="F257" s="1580"/>
      <c r="G257" s="1580"/>
      <c r="H257" s="1580"/>
      <c r="I257" s="1580"/>
      <c r="J257" s="1580"/>
      <c r="K257" s="1043"/>
      <c r="L257" s="1043"/>
      <c r="M257" s="645" t="s">
        <v>489</v>
      </c>
      <c r="N257" s="730" t="str">
        <f>N29</f>
        <v xml:space="preserve">Otorgamiento inapropiado de incentivos </v>
      </c>
      <c r="O257" s="837" t="str">
        <f t="shared" si="7"/>
        <v>Corrupción</v>
      </c>
      <c r="P257" s="536" t="e">
        <f>#REF!</f>
        <v>#REF!</v>
      </c>
      <c r="Q257" s="534" t="str">
        <f>AG10</f>
        <v>Transparencia en incentivos financieros y obras públicas vinculadas a la ERDRBE</v>
      </c>
      <c r="R257" s="538" t="s">
        <v>687</v>
      </c>
      <c r="S257" s="540" t="s">
        <v>507</v>
      </c>
      <c r="T257" s="519" t="str">
        <f>AF10</f>
        <v>SCR2</v>
      </c>
      <c r="U257" s="628"/>
      <c r="V257" s="478"/>
      <c r="W257" s="478"/>
      <c r="X257" s="273"/>
      <c r="Y257" s="825"/>
      <c r="Z257" s="825"/>
      <c r="AA257" s="825"/>
      <c r="AB257" s="825"/>
      <c r="AC257" s="825"/>
      <c r="AD257" s="825"/>
      <c r="AE257" s="825"/>
      <c r="AF257" s="825"/>
      <c r="AG257" s="825"/>
      <c r="AH257" s="825"/>
      <c r="AI257" s="825"/>
      <c r="AJ257" s="825"/>
      <c r="AK257" s="825"/>
      <c r="AL257" s="825"/>
      <c r="AM257" s="825"/>
      <c r="AN257" s="825"/>
      <c r="AO257" s="825"/>
      <c r="AP257" s="825"/>
      <c r="AQ257" s="825"/>
      <c r="AR257" s="825"/>
      <c r="AS257" s="825"/>
      <c r="AT257" s="825"/>
      <c r="AU257" s="825"/>
      <c r="AV257" s="825"/>
      <c r="AW257" s="825"/>
      <c r="AX257" s="825"/>
      <c r="AY257" s="273"/>
      <c r="AZ257" s="273"/>
      <c r="BA257" s="825"/>
      <c r="BB257" s="825"/>
      <c r="BC257" s="825"/>
      <c r="BD257" s="825"/>
      <c r="BE257" s="825"/>
      <c r="BF257" s="825"/>
      <c r="BG257" s="825"/>
      <c r="BH257" s="825"/>
      <c r="BI257" s="825"/>
      <c r="BJ257" s="825"/>
      <c r="BK257" s="825"/>
      <c r="BL257" s="825"/>
      <c r="BM257" s="825"/>
      <c r="BN257" s="825"/>
      <c r="BO257" s="825"/>
      <c r="BP257" s="825"/>
      <c r="BQ257" s="825"/>
      <c r="BR257" s="825"/>
      <c r="BS257" s="825"/>
      <c r="BT257" s="825"/>
      <c r="BU257" s="825"/>
      <c r="BV257" s="825"/>
      <c r="BW257" s="825"/>
      <c r="BX257" s="825"/>
      <c r="BY257" s="825"/>
      <c r="BZ257" s="825"/>
      <c r="CA257" s="825"/>
      <c r="CB257" s="825"/>
      <c r="CC257" s="825"/>
    </row>
    <row r="258" spans="1:81" s="548" customFormat="1" ht="26.35" customHeight="1" x14ac:dyDescent="0.25">
      <c r="A258" s="825"/>
      <c r="B258" s="672"/>
      <c r="C258" s="1649"/>
      <c r="D258" s="1600"/>
      <c r="E258" s="1600"/>
      <c r="F258" s="1580"/>
      <c r="G258" s="1580"/>
      <c r="H258" s="1580"/>
      <c r="I258" s="1580"/>
      <c r="J258" s="1580"/>
      <c r="K258" s="1043"/>
      <c r="L258" s="1043"/>
      <c r="M258" s="645" t="s">
        <v>489</v>
      </c>
      <c r="N258" s="730" t="str">
        <f>N30</f>
        <v>Exclusión de productoras agrarias en sistemas de incentivos financieros</v>
      </c>
      <c r="O258" s="837" t="str">
        <f t="shared" si="7"/>
        <v>Género</v>
      </c>
      <c r="P258" s="536" t="str">
        <f>AC6</f>
        <v>GN</v>
      </c>
      <c r="Q258" s="534" t="str">
        <f>AJ11</f>
        <v xml:space="preserve">Cuotas de género y medición de participación efectiva de mujeres rurales </v>
      </c>
      <c r="R258" s="538" t="s">
        <v>689</v>
      </c>
      <c r="S258" s="540" t="s">
        <v>507</v>
      </c>
      <c r="T258" s="519" t="str">
        <f>AI11</f>
        <v>SGN3</v>
      </c>
      <c r="U258" s="628"/>
      <c r="V258" s="478"/>
      <c r="W258" s="478"/>
      <c r="X258" s="273"/>
      <c r="Y258" s="825"/>
      <c r="Z258" s="825"/>
      <c r="AA258" s="825"/>
      <c r="AB258" s="825"/>
      <c r="AC258" s="825"/>
      <c r="AD258" s="825"/>
      <c r="AE258" s="825"/>
      <c r="AF258" s="825"/>
      <c r="AG258" s="825"/>
      <c r="AH258" s="825"/>
      <c r="AI258" s="825"/>
      <c r="AJ258" s="825"/>
      <c r="AK258" s="825"/>
      <c r="AL258" s="825"/>
      <c r="AM258" s="825"/>
      <c r="AN258" s="825"/>
      <c r="AO258" s="825"/>
      <c r="AP258" s="825"/>
      <c r="AQ258" s="825"/>
      <c r="AR258" s="825"/>
      <c r="AS258" s="825"/>
      <c r="AT258" s="825"/>
      <c r="AU258" s="825"/>
      <c r="AV258" s="825"/>
      <c r="AW258" s="825"/>
      <c r="AX258" s="825"/>
      <c r="AY258" s="273"/>
      <c r="AZ258" s="273"/>
      <c r="BA258" s="825"/>
      <c r="BB258" s="825"/>
      <c r="BC258" s="825"/>
      <c r="BD258" s="825"/>
      <c r="BE258" s="825"/>
      <c r="BF258" s="825"/>
      <c r="BG258" s="825"/>
      <c r="BH258" s="825"/>
      <c r="BI258" s="825"/>
      <c r="BJ258" s="825"/>
      <c r="BK258" s="825"/>
      <c r="BL258" s="825"/>
      <c r="BM258" s="825"/>
      <c r="BN258" s="825"/>
      <c r="BO258" s="825"/>
      <c r="BP258" s="825"/>
      <c r="BQ258" s="825"/>
      <c r="BR258" s="825"/>
      <c r="BS258" s="825"/>
      <c r="BT258" s="825"/>
      <c r="BU258" s="825"/>
      <c r="BV258" s="825"/>
      <c r="BW258" s="825"/>
      <c r="BX258" s="825"/>
      <c r="BY258" s="825"/>
      <c r="BZ258" s="825"/>
      <c r="CA258" s="825"/>
      <c r="CB258" s="825"/>
      <c r="CC258" s="825"/>
    </row>
    <row r="259" spans="1:81" s="548" customFormat="1" ht="33.799999999999997" customHeight="1" x14ac:dyDescent="0.25">
      <c r="A259" s="825"/>
      <c r="B259" s="672"/>
      <c r="C259" s="1649"/>
      <c r="D259" s="1600"/>
      <c r="E259" s="1600"/>
      <c r="F259" s="1580"/>
      <c r="G259" s="1580"/>
      <c r="H259" s="1580"/>
      <c r="I259" s="1580"/>
      <c r="J259" s="1580"/>
      <c r="K259" s="1043"/>
      <c r="L259" s="1043"/>
      <c r="M259" s="645" t="s">
        <v>489</v>
      </c>
      <c r="N259" s="730" t="str">
        <f>N30</f>
        <v>Exclusión de productoras agrarias en sistemas de incentivos financieros</v>
      </c>
      <c r="O259" s="837" t="str">
        <f t="shared" si="7"/>
        <v>Género</v>
      </c>
      <c r="P259" s="536" t="str">
        <f>AC6</f>
        <v>GN</v>
      </c>
      <c r="Q259" s="534" t="str">
        <f>AJ12</f>
        <v>Criterios de evaluación de programas y proyectos con enfoque de género</v>
      </c>
      <c r="R259" s="538" t="s">
        <v>690</v>
      </c>
      <c r="S259" s="540" t="s">
        <v>507</v>
      </c>
      <c r="T259" s="519" t="str">
        <f>AI12</f>
        <v>SGN4</v>
      </c>
      <c r="U259" s="628"/>
      <c r="V259" s="478"/>
      <c r="W259" s="478"/>
      <c r="X259" s="273"/>
      <c r="Y259" s="825"/>
      <c r="Z259" s="825"/>
      <c r="AA259" s="825"/>
      <c r="AB259" s="825"/>
      <c r="AC259" s="825"/>
      <c r="AD259" s="825"/>
      <c r="AE259" s="825"/>
      <c r="AF259" s="825"/>
      <c r="AG259" s="825"/>
      <c r="AH259" s="825"/>
      <c r="AI259" s="825"/>
      <c r="AJ259" s="825"/>
      <c r="AK259" s="825"/>
      <c r="AL259" s="825"/>
      <c r="AM259" s="825"/>
      <c r="AN259" s="825"/>
      <c r="AO259" s="825"/>
      <c r="AP259" s="825"/>
      <c r="AQ259" s="825"/>
      <c r="AR259" s="825"/>
      <c r="AS259" s="825"/>
      <c r="AT259" s="825"/>
      <c r="AU259" s="825"/>
      <c r="AV259" s="825"/>
      <c r="AW259" s="825"/>
      <c r="AX259" s="825"/>
      <c r="AY259" s="273"/>
      <c r="AZ259" s="273"/>
      <c r="BA259" s="825"/>
      <c r="BB259" s="825"/>
      <c r="BC259" s="825"/>
      <c r="BD259" s="825"/>
      <c r="BE259" s="825"/>
      <c r="BF259" s="825"/>
      <c r="BG259" s="825"/>
      <c r="BH259" s="825"/>
      <c r="BI259" s="825"/>
      <c r="BJ259" s="825"/>
      <c r="BK259" s="825"/>
      <c r="BL259" s="825"/>
      <c r="BM259" s="825"/>
      <c r="BN259" s="825"/>
      <c r="BO259" s="825"/>
      <c r="BP259" s="825"/>
      <c r="BQ259" s="825"/>
      <c r="BR259" s="825"/>
      <c r="BS259" s="825"/>
      <c r="BT259" s="825"/>
      <c r="BU259" s="825"/>
      <c r="BV259" s="825"/>
      <c r="BW259" s="825"/>
      <c r="BX259" s="825"/>
      <c r="BY259" s="825"/>
      <c r="BZ259" s="825"/>
      <c r="CA259" s="825"/>
      <c r="CB259" s="825"/>
      <c r="CC259" s="825"/>
    </row>
    <row r="260" spans="1:81" s="548" customFormat="1" ht="25.5" customHeight="1" x14ac:dyDescent="0.25">
      <c r="A260" s="825"/>
      <c r="B260" s="672"/>
      <c r="C260" s="1649"/>
      <c r="D260" s="1600"/>
      <c r="E260" s="1600"/>
      <c r="F260" s="1580"/>
      <c r="G260" s="1580"/>
      <c r="H260" s="1580"/>
      <c r="I260" s="1580"/>
      <c r="J260" s="1580"/>
      <c r="K260" s="1043"/>
      <c r="L260" s="1043"/>
      <c r="M260" s="645" t="s">
        <v>489</v>
      </c>
      <c r="N260" s="730" t="str">
        <f>N30</f>
        <v>Exclusión de productoras agrarias en sistemas de incentivos financieros</v>
      </c>
      <c r="O260" s="837" t="str">
        <f t="shared" si="7"/>
        <v>Género</v>
      </c>
      <c r="P260" s="536" t="str">
        <f>AC6</f>
        <v>GN</v>
      </c>
      <c r="Q260" s="534" t="str">
        <f>AJ13</f>
        <v>Programas de incentivos financieros y no financieros para el desarrollo rural para mujeres rurales</v>
      </c>
      <c r="R260" s="538" t="s">
        <v>693</v>
      </c>
      <c r="S260" s="540" t="s">
        <v>492</v>
      </c>
      <c r="T260" s="519" t="str">
        <f>AI13</f>
        <v>SGN5</v>
      </c>
      <c r="U260" s="628"/>
      <c r="V260" s="478"/>
      <c r="W260" s="478"/>
      <c r="X260" s="273"/>
      <c r="Y260" s="825"/>
      <c r="Z260" s="825"/>
      <c r="AA260" s="825"/>
      <c r="AB260" s="825"/>
      <c r="AC260" s="825"/>
      <c r="AD260" s="825"/>
      <c r="AE260" s="825"/>
      <c r="AF260" s="825"/>
      <c r="AG260" s="825"/>
      <c r="AH260" s="825"/>
      <c r="AI260" s="825"/>
      <c r="AJ260" s="825"/>
      <c r="AK260" s="825"/>
      <c r="AL260" s="825"/>
      <c r="AM260" s="825"/>
      <c r="AN260" s="825"/>
      <c r="AO260" s="825"/>
      <c r="AP260" s="825"/>
      <c r="AQ260" s="825"/>
      <c r="AR260" s="825"/>
      <c r="AS260" s="825"/>
      <c r="AT260" s="825"/>
      <c r="AU260" s="825"/>
      <c r="AV260" s="825"/>
      <c r="AW260" s="825"/>
      <c r="AX260" s="825"/>
      <c r="AY260" s="273"/>
      <c r="AZ260" s="273"/>
      <c r="BA260" s="825"/>
      <c r="BB260" s="825"/>
      <c r="BC260" s="825"/>
      <c r="BD260" s="825"/>
      <c r="BE260" s="825"/>
      <c r="BF260" s="825"/>
      <c r="BG260" s="825"/>
      <c r="BH260" s="825"/>
      <c r="BI260" s="825"/>
      <c r="BJ260" s="825"/>
      <c r="BK260" s="825"/>
      <c r="BL260" s="825"/>
      <c r="BM260" s="825"/>
      <c r="BN260" s="825"/>
      <c r="BO260" s="825"/>
      <c r="BP260" s="825"/>
      <c r="BQ260" s="825"/>
      <c r="BR260" s="825"/>
      <c r="BS260" s="825"/>
      <c r="BT260" s="825"/>
      <c r="BU260" s="825"/>
      <c r="BV260" s="825"/>
      <c r="BW260" s="825"/>
      <c r="BX260" s="825"/>
      <c r="BY260" s="825"/>
      <c r="BZ260" s="825"/>
      <c r="CA260" s="825"/>
      <c r="CB260" s="825"/>
      <c r="CC260" s="825"/>
    </row>
    <row r="261" spans="1:81" s="548" customFormat="1" ht="44.35" customHeight="1" x14ac:dyDescent="0.25">
      <c r="A261" s="825"/>
      <c r="B261" s="672"/>
      <c r="C261" s="1650"/>
      <c r="D261" s="1601"/>
      <c r="E261" s="1601"/>
      <c r="F261" s="1581"/>
      <c r="G261" s="1581"/>
      <c r="H261" s="1581"/>
      <c r="I261" s="1581"/>
      <c r="J261" s="1581"/>
      <c r="K261" s="1035"/>
      <c r="L261" s="1035"/>
      <c r="M261" s="645" t="s">
        <v>489</v>
      </c>
      <c r="N261" s="730" t="str">
        <f>N33</f>
        <v>Actividad agropecuaria no se desarrolla de manera óptima debido a cambios en las condiciones agroecologicas por el cambio climático</v>
      </c>
      <c r="O261" s="837" t="str">
        <f t="shared" si="7"/>
        <v>Vulnerabilidad al cambio climático</v>
      </c>
      <c r="P261" s="536" t="e">
        <f>#REF!</f>
        <v>#REF!</v>
      </c>
      <c r="Q261" s="534" t="str">
        <f>AS11</f>
        <v>Análisis de rentabilidad de la actividad agropecuaria en los programas de reconversión productiva</v>
      </c>
      <c r="R261" s="538" t="s">
        <v>695</v>
      </c>
      <c r="S261" s="540" t="s">
        <v>507</v>
      </c>
      <c r="T261" s="519" t="str">
        <f>AR11</f>
        <v>SVCC3</v>
      </c>
      <c r="U261" s="628"/>
      <c r="V261" s="478"/>
      <c r="W261" s="478"/>
      <c r="X261" s="273"/>
      <c r="Y261" s="825"/>
      <c r="Z261" s="825"/>
      <c r="AA261" s="825"/>
      <c r="AB261" s="825"/>
      <c r="AC261" s="825"/>
      <c r="AD261" s="825"/>
      <c r="AE261" s="825"/>
      <c r="AF261" s="825"/>
      <c r="AG261" s="825"/>
      <c r="AH261" s="825"/>
      <c r="AI261" s="825"/>
      <c r="AJ261" s="825"/>
      <c r="AK261" s="825"/>
      <c r="AL261" s="825"/>
      <c r="AM261" s="825"/>
      <c r="AN261" s="825"/>
      <c r="AO261" s="825"/>
      <c r="AP261" s="825"/>
      <c r="AQ261" s="825"/>
      <c r="AR261" s="825"/>
      <c r="AS261" s="825"/>
      <c r="AT261" s="825"/>
      <c r="AU261" s="825"/>
      <c r="AV261" s="825"/>
      <c r="AW261" s="825"/>
      <c r="AX261" s="825"/>
      <c r="AY261" s="273"/>
      <c r="AZ261" s="273"/>
      <c r="BA261" s="825"/>
      <c r="BB261" s="825"/>
      <c r="BC261" s="825"/>
      <c r="BD261" s="825"/>
      <c r="BE261" s="825"/>
      <c r="BF261" s="825"/>
      <c r="BG261" s="825"/>
      <c r="BH261" s="825"/>
      <c r="BI261" s="825"/>
      <c r="BJ261" s="825"/>
      <c r="BK261" s="825"/>
      <c r="BL261" s="825"/>
      <c r="BM261" s="825"/>
      <c r="BN261" s="825"/>
      <c r="BO261" s="825"/>
      <c r="BP261" s="825"/>
      <c r="BQ261" s="825"/>
      <c r="BR261" s="825"/>
      <c r="BS261" s="825"/>
      <c r="BT261" s="825"/>
      <c r="BU261" s="825"/>
      <c r="BV261" s="825"/>
      <c r="BW261" s="825"/>
      <c r="BX261" s="825"/>
      <c r="BY261" s="825"/>
      <c r="BZ261" s="825"/>
      <c r="CA261" s="825"/>
      <c r="CB261" s="825"/>
      <c r="CC261" s="825"/>
    </row>
    <row r="262" spans="1:81" ht="140.94999999999999" customHeight="1" x14ac:dyDescent="0.25">
      <c r="A262" s="825"/>
      <c r="B262" s="672" t="s">
        <v>866</v>
      </c>
      <c r="C262" s="481" t="str">
        <f>'8. BASE  CONSOLIDADA'!E105</f>
        <v>2.3.6</v>
      </c>
      <c r="D262" s="1069" t="str">
        <f>'8. BASE  CONSOLIDADA'!F105</f>
        <v>Promoción de modelos asociativos sostenibles</v>
      </c>
      <c r="E262" s="1074" t="str">
        <f>'8. BASE  CONSOLIDADA'!G105</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262" s="836" t="str">
        <f>'8. BASE  CONSOLIDADA'!C105</f>
        <v>Predios privados para ganadería de leche y carne</v>
      </c>
      <c r="G262" s="1019" t="str">
        <f>VLOOKUP($C262,'8. BASE  CONSOLIDADA'!$E$7:$AS$308,13,FALSE)</f>
        <v>Organizaciones fortalecidas</v>
      </c>
      <c r="H262" s="1109">
        <f>VLOOKUP($C262,'8. BASE  CONSOLIDADA'!$E$7:$AS$308,15,FALSE)</f>
        <v>12</v>
      </c>
      <c r="I262" s="1058">
        <f>VLOOKUP(C262,'8. BASE  CONSOLIDADA'!$E$7:$AS$308,20,FALSE)</f>
        <v>7200000</v>
      </c>
      <c r="J262" s="678">
        <f>I262*$J$6</f>
        <v>4896</v>
      </c>
      <c r="K262" s="1020"/>
      <c r="L262" s="1029"/>
      <c r="M262" s="645" t="s">
        <v>489</v>
      </c>
      <c r="N262" s="730" t="str">
        <f>N16</f>
        <v>Exclusión de mujeres rurales en programas de asistencia técnica</v>
      </c>
      <c r="O262" s="837" t="str">
        <f t="shared" si="7"/>
        <v>Género</v>
      </c>
      <c r="P262" s="536" t="str">
        <f>AC6</f>
        <v>GN</v>
      </c>
      <c r="Q262" s="534" t="str">
        <f>AJ10</f>
        <v>Programas de asistencia técnica y proyectos específicos para mujeres rurales y mujeres indígenas</v>
      </c>
      <c r="R262" s="538" t="s">
        <v>596</v>
      </c>
      <c r="S262" s="540" t="s">
        <v>507</v>
      </c>
      <c r="T262" s="519" t="str">
        <f>AI10</f>
        <v>SGN2</v>
      </c>
      <c r="U262" s="628"/>
      <c r="V262" s="478"/>
      <c r="W262" s="478"/>
      <c r="X262" s="273"/>
      <c r="Y262" s="825"/>
      <c r="Z262" s="825"/>
      <c r="AA262" s="825"/>
      <c r="AB262" s="825"/>
      <c r="AC262" s="825"/>
      <c r="AD262" s="825"/>
      <c r="AE262" s="825"/>
      <c r="AF262" s="825"/>
      <c r="AG262" s="825"/>
      <c r="AH262" s="825"/>
      <c r="AI262" s="825"/>
      <c r="AJ262" s="825"/>
      <c r="AK262" s="825"/>
      <c r="AL262" s="825"/>
      <c r="AM262" s="825"/>
      <c r="AN262" s="825"/>
      <c r="AO262" s="825"/>
      <c r="AP262" s="825"/>
      <c r="AQ262" s="825"/>
      <c r="AR262" s="825"/>
      <c r="AS262" s="825"/>
      <c r="AT262" s="825"/>
      <c r="AU262" s="825"/>
      <c r="AV262" s="825"/>
      <c r="AW262" s="825"/>
      <c r="AX262" s="825"/>
      <c r="BA262" s="825"/>
      <c r="BB262" s="825"/>
      <c r="BC262" s="825"/>
      <c r="BD262" s="825"/>
      <c r="BE262" s="825"/>
      <c r="BF262" s="825"/>
      <c r="BG262" s="825"/>
      <c r="BH262" s="825"/>
      <c r="BI262" s="825"/>
      <c r="BJ262" s="825"/>
      <c r="BK262" s="825"/>
      <c r="BL262" s="825"/>
      <c r="BM262" s="825"/>
      <c r="BN262" s="825"/>
      <c r="BO262" s="825"/>
      <c r="BP262" s="825"/>
      <c r="BQ262" s="825"/>
      <c r="BR262" s="825"/>
      <c r="BS262" s="825"/>
      <c r="BT262" s="825"/>
      <c r="BU262" s="825"/>
      <c r="BV262" s="825"/>
      <c r="BW262" s="825"/>
      <c r="BX262" s="825"/>
      <c r="BY262" s="825"/>
      <c r="BZ262" s="825"/>
      <c r="CA262" s="825"/>
      <c r="CB262" s="825"/>
      <c r="CC262" s="825"/>
    </row>
    <row r="263" spans="1:81" ht="33.799999999999997" customHeight="1" x14ac:dyDescent="0.25">
      <c r="A263" s="825"/>
      <c r="B263" s="672" t="s">
        <v>866</v>
      </c>
      <c r="C263" s="1571" t="str">
        <f>'8. BASE  CONSOLIDADA'!E106</f>
        <v>2.3.7</v>
      </c>
      <c r="D263" s="1564" t="str">
        <f>'8. BASE  CONSOLIDADA'!F106</f>
        <v>Implementación de infraestructura productiva baja en emisiones</v>
      </c>
      <c r="E263" s="1564" t="str">
        <f>'8. BASE  CONSOLIDADA'!G106</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F263" s="1535" t="str">
        <f>'8. BASE  CONSOLIDADA'!C106</f>
        <v>Predios privados para ganadería de leche y carne</v>
      </c>
      <c r="G263" s="1535" t="str">
        <f>VLOOKUP($C263,'8. BASE  CONSOLIDADA'!$E$7:$AS$308,13,FALSE)</f>
        <v>Planes de negocios implementados</v>
      </c>
      <c r="H263" s="1535">
        <f>VLOOKUP($C263,'8. BASE  CONSOLIDADA'!$E$7:$AS$308,15,FALSE)</f>
        <v>15</v>
      </c>
      <c r="I263" s="1535">
        <f>VLOOKUP(C263,'8. BASE  CONSOLIDADA'!$E$7:$AS$308,20,FALSE)</f>
        <v>12000000</v>
      </c>
      <c r="J263" s="1535">
        <f>I263*$J$6</f>
        <v>8160.0000000000009</v>
      </c>
      <c r="K263" s="1535"/>
      <c r="L263" s="1535"/>
      <c r="M263" s="645" t="s">
        <v>489</v>
      </c>
      <c r="N263" s="730" t="str">
        <f>N34</f>
        <v>Incremento de la deforestación por demanda de insumos e instalación de infraestructura y vias de comunicación</v>
      </c>
      <c r="O263" s="837" t="str">
        <f t="shared" si="7"/>
        <v>Biodiversidad y recursos naturales</v>
      </c>
      <c r="P263" s="536" t="e">
        <f>#REF!</f>
        <v>#REF!</v>
      </c>
      <c r="Q263" s="534" t="str">
        <f>AA14</f>
        <v>Desarrollo de incentivos financieros y no financieros condicionados con cláusulas de no deforestación</v>
      </c>
      <c r="R263" s="538" t="s">
        <v>673</v>
      </c>
      <c r="S263" s="540" t="s">
        <v>526</v>
      </c>
      <c r="T263" s="519" t="str">
        <f>Z14</f>
        <v>SBRN6</v>
      </c>
      <c r="U263" s="628"/>
      <c r="V263" s="478"/>
      <c r="W263" s="478"/>
      <c r="X263" s="273"/>
      <c r="Y263" s="825"/>
      <c r="Z263" s="825"/>
      <c r="AA263" s="825"/>
      <c r="AB263" s="825"/>
      <c r="AC263" s="825"/>
      <c r="AD263" s="825"/>
      <c r="AE263" s="825"/>
      <c r="AF263" s="825"/>
      <c r="AG263" s="825"/>
      <c r="AH263" s="825"/>
      <c r="AI263" s="825"/>
      <c r="AJ263" s="825"/>
      <c r="AK263" s="825"/>
      <c r="AL263" s="825"/>
      <c r="AM263" s="825"/>
      <c r="AN263" s="825"/>
      <c r="AO263" s="825"/>
      <c r="AP263" s="825"/>
      <c r="AQ263" s="825"/>
      <c r="AR263" s="825"/>
      <c r="AS263" s="825"/>
      <c r="AT263" s="825"/>
      <c r="AU263" s="825"/>
      <c r="AV263" s="825"/>
      <c r="AW263" s="825"/>
      <c r="AX263" s="825"/>
      <c r="BA263" s="825"/>
      <c r="BB263" s="825"/>
      <c r="BC263" s="825"/>
      <c r="BD263" s="825"/>
      <c r="BE263" s="825"/>
      <c r="BF263" s="825"/>
      <c r="BG263" s="825"/>
      <c r="BH263" s="825"/>
      <c r="BI263" s="825"/>
      <c r="BJ263" s="825"/>
      <c r="BK263" s="825"/>
      <c r="BL263" s="825"/>
      <c r="BM263" s="825"/>
      <c r="BN263" s="825"/>
      <c r="BO263" s="825"/>
      <c r="BP263" s="825"/>
      <c r="BQ263" s="825"/>
      <c r="BR263" s="825"/>
      <c r="BS263" s="825"/>
      <c r="BT263" s="825"/>
      <c r="BU263" s="825"/>
      <c r="BV263" s="825"/>
      <c r="BW263" s="825"/>
      <c r="BX263" s="825"/>
      <c r="BY263" s="825"/>
      <c r="BZ263" s="825"/>
      <c r="CA263" s="825"/>
      <c r="CB263" s="825"/>
      <c r="CC263" s="825"/>
    </row>
    <row r="264" spans="1:81" s="548" customFormat="1" ht="19.55" customHeight="1" x14ac:dyDescent="0.25">
      <c r="A264" s="825"/>
      <c r="B264" s="672"/>
      <c r="C264" s="1572"/>
      <c r="D264" s="1565"/>
      <c r="E264" s="1565"/>
      <c r="F264" s="1536"/>
      <c r="G264" s="1536"/>
      <c r="H264" s="1536"/>
      <c r="I264" s="1536"/>
      <c r="J264" s="1536"/>
      <c r="K264" s="1536"/>
      <c r="L264" s="1536"/>
      <c r="M264" s="645" t="s">
        <v>489</v>
      </c>
      <c r="N264" s="730" t="str">
        <f>N28</f>
        <v>Contaminación por residuos agropecuarios</v>
      </c>
      <c r="O264" s="837" t="str">
        <f t="shared" si="7"/>
        <v>Contaminación</v>
      </c>
      <c r="P264" s="536" t="e">
        <f>#REF!</f>
        <v>#REF!</v>
      </c>
      <c r="Q264" s="534" t="str">
        <f>AM10</f>
        <v>Control de residuos agropecuarios</v>
      </c>
      <c r="R264" s="538" t="s">
        <v>535</v>
      </c>
      <c r="S264" s="540" t="s">
        <v>492</v>
      </c>
      <c r="T264" s="519" t="str">
        <f>AL10</f>
        <v>SCT2</v>
      </c>
      <c r="U264" s="628"/>
      <c r="V264" s="478"/>
      <c r="W264" s="478"/>
      <c r="X264" s="273"/>
      <c r="Y264" s="825"/>
      <c r="Z264" s="825"/>
      <c r="AA264" s="825"/>
      <c r="AB264" s="825"/>
      <c r="AC264" s="825"/>
      <c r="AD264" s="825"/>
      <c r="AE264" s="825"/>
      <c r="AF264" s="825"/>
      <c r="AG264" s="825"/>
      <c r="AH264" s="825"/>
      <c r="AI264" s="825"/>
      <c r="AJ264" s="825"/>
      <c r="AK264" s="825"/>
      <c r="AL264" s="825"/>
      <c r="AM264" s="825"/>
      <c r="AN264" s="825"/>
      <c r="AO264" s="825"/>
      <c r="AP264" s="825"/>
      <c r="AQ264" s="825"/>
      <c r="AR264" s="825"/>
      <c r="AS264" s="825"/>
      <c r="AT264" s="825"/>
      <c r="AU264" s="825"/>
      <c r="AV264" s="825"/>
      <c r="AW264" s="825"/>
      <c r="AX264" s="825"/>
      <c r="AY264" s="273"/>
      <c r="AZ264" s="273"/>
      <c r="BA264" s="825"/>
      <c r="BB264" s="825"/>
      <c r="BC264" s="825"/>
      <c r="BD264" s="825"/>
      <c r="BE264" s="825"/>
      <c r="BF264" s="825"/>
      <c r="BG264" s="825"/>
      <c r="BH264" s="825"/>
      <c r="BI264" s="825"/>
      <c r="BJ264" s="825"/>
      <c r="BK264" s="825"/>
      <c r="BL264" s="825"/>
      <c r="BM264" s="825"/>
      <c r="BN264" s="825"/>
      <c r="BO264" s="825"/>
      <c r="BP264" s="825"/>
      <c r="BQ264" s="825"/>
      <c r="BR264" s="825"/>
      <c r="BS264" s="825"/>
      <c r="BT264" s="825"/>
      <c r="BU264" s="825"/>
      <c r="BV264" s="825"/>
      <c r="BW264" s="825"/>
      <c r="BX264" s="825"/>
      <c r="BY264" s="825"/>
      <c r="BZ264" s="825"/>
      <c r="CA264" s="825"/>
      <c r="CB264" s="825"/>
      <c r="CC264" s="825"/>
    </row>
    <row r="265" spans="1:81" s="548" customFormat="1" ht="44.35" customHeight="1" x14ac:dyDescent="0.25">
      <c r="A265" s="825"/>
      <c r="B265" s="672"/>
      <c r="C265" s="1573"/>
      <c r="D265" s="1566"/>
      <c r="E265" s="1566"/>
      <c r="F265" s="1543"/>
      <c r="G265" s="1543"/>
      <c r="H265" s="1543"/>
      <c r="I265" s="1543"/>
      <c r="J265" s="1543"/>
      <c r="K265" s="1543"/>
      <c r="L265" s="1543"/>
      <c r="M265" s="645" t="s">
        <v>489</v>
      </c>
      <c r="N265" s="730" t="str">
        <f>N36</f>
        <v>Colución, Cohecho y negociación incompatible</v>
      </c>
      <c r="O265" s="837" t="str">
        <f t="shared" si="7"/>
        <v>Corrupción</v>
      </c>
      <c r="P265" s="536" t="e">
        <f>#REF!</f>
        <v>#REF!</v>
      </c>
      <c r="Q265" s="534" t="str">
        <f>AG10</f>
        <v>Transparencia en incentivos financieros y obras públicas vinculadas a la ERDRBE</v>
      </c>
      <c r="R265" s="538" t="s">
        <v>687</v>
      </c>
      <c r="S265" s="540" t="s">
        <v>507</v>
      </c>
      <c r="T265" s="519" t="str">
        <f>AF10</f>
        <v>SCR2</v>
      </c>
      <c r="U265" s="628"/>
      <c r="V265" s="478"/>
      <c r="W265" s="478"/>
      <c r="X265" s="273"/>
      <c r="Y265" s="825"/>
      <c r="Z265" s="825"/>
      <c r="AA265" s="825"/>
      <c r="AB265" s="825"/>
      <c r="AC265" s="825"/>
      <c r="AD265" s="825"/>
      <c r="AE265" s="825"/>
      <c r="AF265" s="825"/>
      <c r="AG265" s="825"/>
      <c r="AH265" s="825"/>
      <c r="AI265" s="825"/>
      <c r="AJ265" s="825"/>
      <c r="AK265" s="825"/>
      <c r="AL265" s="825"/>
      <c r="AM265" s="825"/>
      <c r="AN265" s="825"/>
      <c r="AO265" s="825"/>
      <c r="AP265" s="825"/>
      <c r="AQ265" s="825"/>
      <c r="AR265" s="825"/>
      <c r="AS265" s="825"/>
      <c r="AT265" s="825"/>
      <c r="AU265" s="825"/>
      <c r="AV265" s="825"/>
      <c r="AW265" s="825"/>
      <c r="AX265" s="825"/>
      <c r="AY265" s="273"/>
      <c r="AZ265" s="273"/>
      <c r="BA265" s="825"/>
      <c r="BB265" s="825"/>
      <c r="BC265" s="825"/>
      <c r="BD265" s="825"/>
      <c r="BE265" s="825"/>
      <c r="BF265" s="825"/>
      <c r="BG265" s="825"/>
      <c r="BH265" s="825"/>
      <c r="BI265" s="825"/>
      <c r="BJ265" s="825"/>
      <c r="BK265" s="825"/>
      <c r="BL265" s="825"/>
      <c r="BM265" s="825"/>
      <c r="BN265" s="825"/>
      <c r="BO265" s="825"/>
      <c r="BP265" s="825"/>
      <c r="BQ265" s="825"/>
      <c r="BR265" s="825"/>
      <c r="BS265" s="825"/>
      <c r="BT265" s="825"/>
      <c r="BU265" s="825"/>
      <c r="BV265" s="825"/>
      <c r="BW265" s="825"/>
      <c r="BX265" s="825"/>
      <c r="BY265" s="825"/>
      <c r="BZ265" s="825"/>
      <c r="CA265" s="825"/>
      <c r="CB265" s="825"/>
      <c r="CC265" s="825"/>
    </row>
    <row r="266" spans="1:81" ht="65.25" customHeight="1" x14ac:dyDescent="0.25">
      <c r="A266" s="825"/>
      <c r="B266" s="672" t="s">
        <v>866</v>
      </c>
      <c r="C266" s="1571" t="str">
        <f>'8. BASE  CONSOLIDADA'!E116</f>
        <v>2.5.1</v>
      </c>
      <c r="D266" s="1564" t="str">
        <f>'8. BASE  CONSOLIDADA'!F116</f>
        <v>Incentivos financieros para la promoción del ecoturismo y turismo comunitario</v>
      </c>
      <c r="E266" s="1564" t="str">
        <f>'8. BASE  CONSOLIDADA'!G116</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266" s="1535" t="str">
        <f>'8. BASE  CONSOLIDADA'!C116</f>
        <v xml:space="preserve">Concesiones para conservación y ecoturismo </v>
      </c>
      <c r="G266" s="1019" t="str">
        <f>VLOOKUP($C266,'8. BASE  CONSOLIDADA'!$E$7:$AS$308,13,FALSE)</f>
        <v>Planes de negocio</v>
      </c>
      <c r="H266" s="1109">
        <f>VLOOKUP($C266,'8. BASE  CONSOLIDADA'!$E$7:$AS$308,15,FALSE)</f>
        <v>4</v>
      </c>
      <c r="I266" s="1058">
        <f>VLOOKUP(C266,'8. BASE  CONSOLIDADA'!$E$7:$AS$308,20,FALSE)</f>
        <v>600000</v>
      </c>
      <c r="J266" s="678">
        <f>I266*$J$6</f>
        <v>408.00000000000006</v>
      </c>
      <c r="K266" s="1020"/>
      <c r="L266" s="1030"/>
      <c r="M266" s="645" t="s">
        <v>489</v>
      </c>
      <c r="N266" s="730" t="str">
        <f>N68</f>
        <v>Impacto negativo sobre la biodiversidad por infraestructura o visitantes</v>
      </c>
      <c r="O266" s="837" t="str">
        <f t="shared" si="7"/>
        <v>Biodiversidad y recursos naturales</v>
      </c>
      <c r="P266" s="536" t="e">
        <f>#REF!</f>
        <v>#REF!</v>
      </c>
      <c r="Q266" s="534" t="str">
        <f>AA15</f>
        <v>Evaluación de impacto de actividades turísticas e implementación de buenas prácticas para mitigar el impacto directo e indirecto de la actividad</v>
      </c>
      <c r="R266" s="538" t="s">
        <v>831</v>
      </c>
      <c r="S266" s="540" t="s">
        <v>526</v>
      </c>
      <c r="T266" s="519" t="str">
        <f>Z15</f>
        <v>SBRN7</v>
      </c>
      <c r="U266" s="628"/>
      <c r="V266" s="478"/>
      <c r="W266" s="478"/>
      <c r="X266" s="273"/>
      <c r="Y266" s="825"/>
      <c r="Z266" s="825"/>
      <c r="AA266" s="825"/>
      <c r="AB266" s="825"/>
      <c r="AC266" s="825"/>
      <c r="AD266" s="825"/>
      <c r="AE266" s="825"/>
      <c r="AF266" s="825"/>
      <c r="AG266" s="825"/>
      <c r="AH266" s="825"/>
      <c r="AI266" s="825"/>
      <c r="AJ266" s="825"/>
      <c r="AK266" s="825"/>
      <c r="AL266" s="825"/>
      <c r="AM266" s="825"/>
      <c r="AN266" s="825"/>
      <c r="AO266" s="825"/>
      <c r="AP266" s="825"/>
      <c r="AQ266" s="825"/>
      <c r="AR266" s="825"/>
      <c r="AS266" s="825"/>
      <c r="AT266" s="825"/>
      <c r="AU266" s="825"/>
      <c r="AV266" s="825"/>
      <c r="AW266" s="825"/>
      <c r="AX266" s="825"/>
      <c r="BA266" s="825"/>
      <c r="BB266" s="825"/>
      <c r="BC266" s="825"/>
      <c r="BD266" s="825"/>
      <c r="BE266" s="825"/>
      <c r="BF266" s="825"/>
      <c r="BG266" s="825"/>
      <c r="BH266" s="825"/>
      <c r="BI266" s="825"/>
      <c r="BJ266" s="825"/>
      <c r="BK266" s="825"/>
      <c r="BL266" s="825"/>
      <c r="BM266" s="825"/>
      <c r="BN266" s="825"/>
      <c r="BO266" s="825"/>
      <c r="BP266" s="825"/>
      <c r="BQ266" s="825"/>
      <c r="BR266" s="825"/>
      <c r="BS266" s="825"/>
      <c r="BT266" s="825"/>
      <c r="BU266" s="825"/>
      <c r="BV266" s="825"/>
      <c r="BW266" s="825"/>
      <c r="BX266" s="825"/>
      <c r="BY266" s="825"/>
      <c r="BZ266" s="825"/>
      <c r="CA266" s="825"/>
      <c r="CB266" s="825"/>
      <c r="CC266" s="825"/>
    </row>
    <row r="267" spans="1:81" s="548" customFormat="1" ht="75.75" customHeight="1" x14ac:dyDescent="0.25">
      <c r="A267" s="825"/>
      <c r="B267" s="672"/>
      <c r="C267" s="1573"/>
      <c r="D267" s="1566"/>
      <c r="E267" s="1566"/>
      <c r="F267" s="1543"/>
      <c r="G267" s="1091"/>
      <c r="H267" s="1112"/>
      <c r="I267" s="1061"/>
      <c r="J267" s="679"/>
      <c r="K267" s="1021"/>
      <c r="L267" s="1029"/>
      <c r="M267" s="645" t="s">
        <v>489</v>
      </c>
      <c r="N267" s="730" t="str">
        <f>N130</f>
        <v xml:space="preserve">Exclusión de mujeres rurales en los incentivos financieros </v>
      </c>
      <c r="O267" s="837" t="str">
        <f t="shared" si="7"/>
        <v>Género</v>
      </c>
      <c r="P267" s="536" t="str">
        <f>AC6</f>
        <v>GN</v>
      </c>
      <c r="Q267" s="534" t="str">
        <f>AJ23</f>
        <v>Inclusión de mujeres rurales en actividades de turismo comunitario en concesiones para conservación y ecoturismo</v>
      </c>
      <c r="R267" s="538" t="s">
        <v>827</v>
      </c>
      <c r="S267" s="540" t="s">
        <v>526</v>
      </c>
      <c r="T267" s="519" t="str">
        <f>AI23</f>
        <v>SGN15</v>
      </c>
      <c r="U267" s="628"/>
      <c r="V267" s="478"/>
      <c r="W267" s="478"/>
      <c r="X267" s="273"/>
      <c r="Y267" s="825"/>
      <c r="Z267" s="825"/>
      <c r="AA267" s="825"/>
      <c r="AB267" s="825"/>
      <c r="AC267" s="825"/>
      <c r="AD267" s="825"/>
      <c r="AE267" s="825"/>
      <c r="AF267" s="825"/>
      <c r="AG267" s="825"/>
      <c r="AH267" s="825"/>
      <c r="AI267" s="825"/>
      <c r="AJ267" s="825"/>
      <c r="AK267" s="825"/>
      <c r="AL267" s="825"/>
      <c r="AM267" s="825"/>
      <c r="AN267" s="825"/>
      <c r="AO267" s="825"/>
      <c r="AP267" s="825"/>
      <c r="AQ267" s="825"/>
      <c r="AR267" s="825"/>
      <c r="AS267" s="825"/>
      <c r="AT267" s="825"/>
      <c r="AU267" s="825"/>
      <c r="AV267" s="825"/>
      <c r="AW267" s="825"/>
      <c r="AX267" s="825"/>
      <c r="AY267" s="273"/>
      <c r="AZ267" s="273"/>
      <c r="BA267" s="825"/>
      <c r="BB267" s="825"/>
      <c r="BC267" s="825"/>
      <c r="BD267" s="825"/>
      <c r="BE267" s="825"/>
      <c r="BF267" s="825"/>
      <c r="BG267" s="825"/>
      <c r="BH267" s="825"/>
      <c r="BI267" s="825"/>
      <c r="BJ267" s="825"/>
      <c r="BK267" s="825"/>
      <c r="BL267" s="825"/>
      <c r="BM267" s="825"/>
      <c r="BN267" s="825"/>
      <c r="BO267" s="825"/>
      <c r="BP267" s="825"/>
      <c r="BQ267" s="825"/>
      <c r="BR267" s="825"/>
      <c r="BS267" s="825"/>
      <c r="BT267" s="825"/>
      <c r="BU267" s="825"/>
      <c r="BV267" s="825"/>
      <c r="BW267" s="825"/>
      <c r="BX267" s="825"/>
      <c r="BY267" s="825"/>
      <c r="BZ267" s="825"/>
      <c r="CA267" s="825"/>
      <c r="CB267" s="825"/>
      <c r="CC267" s="825"/>
    </row>
    <row r="268" spans="1:81" ht="55.55" customHeight="1" x14ac:dyDescent="0.25">
      <c r="A268" s="825"/>
      <c r="B268" s="672" t="s">
        <v>866</v>
      </c>
      <c r="C268" s="1571" t="str">
        <f>'8. BASE  CONSOLIDADA'!E118</f>
        <v>2.5.3</v>
      </c>
      <c r="D268" s="1564" t="str">
        <f>'8. BASE  CONSOLIDADA'!F118</f>
        <v xml:space="preserve">Promoción de Bionegocios con productos forestales no maderables </v>
      </c>
      <c r="E268" s="1564" t="str">
        <f>'8. BASE  CONSOLIDADA'!G118</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268" s="1535" t="str">
        <f>'8. BASE  CONSOLIDADA'!C118</f>
        <v xml:space="preserve">Concesiones para conservación y ecoturismo </v>
      </c>
      <c r="G268" s="1535" t="str">
        <f>VLOOKUP($C268,'8. BASE  CONSOLIDADA'!$E$7:$AS$308,13,FALSE)</f>
        <v>Planes de negocio</v>
      </c>
      <c r="H268" s="1535">
        <f>VLOOKUP($C268,'8. BASE  CONSOLIDADA'!$E$7:$AS$308,15,FALSE)</f>
        <v>4</v>
      </c>
      <c r="I268" s="1058">
        <f>VLOOKUP(C268,'8. BASE  CONSOLIDADA'!$E$7:$AS$308,20,FALSE)</f>
        <v>600000</v>
      </c>
      <c r="J268" s="678">
        <f>I268*$J$6</f>
        <v>408.00000000000006</v>
      </c>
      <c r="K268" s="1020"/>
      <c r="L268" s="1030"/>
      <c r="M268" s="645" t="s">
        <v>489</v>
      </c>
      <c r="N268" s="730" t="str">
        <f>N68</f>
        <v>Impacto negativo sobre la biodiversidad por infraestructura o visitantes</v>
      </c>
      <c r="O268" s="837" t="str">
        <f t="shared" si="7"/>
        <v>Biodiversidad y recursos naturales</v>
      </c>
      <c r="P268" s="536" t="e">
        <f>#REF!</f>
        <v>#REF!</v>
      </c>
      <c r="Q268" s="534" t="str">
        <f>AA15</f>
        <v>Evaluación de impacto de actividades turísticas e implementación de buenas prácticas para mitigar el impacto directo e indirecto de la actividad</v>
      </c>
      <c r="R268" s="538" t="s">
        <v>831</v>
      </c>
      <c r="S268" s="540" t="s">
        <v>526</v>
      </c>
      <c r="T268" s="519" t="str">
        <f>Z15</f>
        <v>SBRN7</v>
      </c>
      <c r="U268" s="628"/>
      <c r="V268" s="478"/>
      <c r="W268" s="478"/>
      <c r="X268" s="273"/>
      <c r="Y268" s="825"/>
      <c r="Z268" s="825"/>
      <c r="AA268" s="825"/>
      <c r="AB268" s="825"/>
      <c r="AC268" s="825"/>
      <c r="AD268" s="825"/>
      <c r="AE268" s="825"/>
      <c r="AF268" s="825"/>
      <c r="AG268" s="825"/>
      <c r="AH268" s="825"/>
      <c r="AI268" s="825"/>
      <c r="AJ268" s="825"/>
      <c r="AK268" s="825"/>
      <c r="AL268" s="825"/>
      <c r="AM268" s="825"/>
      <c r="AN268" s="825"/>
      <c r="AO268" s="825"/>
      <c r="AP268" s="825"/>
      <c r="AQ268" s="825"/>
      <c r="AR268" s="825"/>
      <c r="AS268" s="825"/>
      <c r="AT268" s="825"/>
      <c r="AU268" s="825"/>
      <c r="AV268" s="825"/>
      <c r="AW268" s="825"/>
      <c r="AX268" s="825"/>
      <c r="BA268" s="825"/>
      <c r="BB268" s="825"/>
      <c r="BC268" s="825"/>
      <c r="BD268" s="825"/>
      <c r="BE268" s="825"/>
      <c r="BF268" s="825"/>
      <c r="BG268" s="825"/>
      <c r="BH268" s="825"/>
      <c r="BI268" s="825"/>
      <c r="BJ268" s="825"/>
      <c r="BK268" s="825"/>
      <c r="BL268" s="825"/>
      <c r="BM268" s="825"/>
      <c r="BN268" s="825"/>
      <c r="BO268" s="825"/>
      <c r="BP268" s="825"/>
      <c r="BQ268" s="825"/>
      <c r="BR268" s="825"/>
      <c r="BS268" s="825"/>
      <c r="BT268" s="825"/>
      <c r="BU268" s="825"/>
      <c r="BV268" s="825"/>
      <c r="BW268" s="825"/>
      <c r="BX268" s="825"/>
      <c r="BY268" s="825"/>
      <c r="BZ268" s="825"/>
      <c r="CA268" s="825"/>
      <c r="CB268" s="825"/>
      <c r="CC268" s="825"/>
    </row>
    <row r="269" spans="1:81" s="548" customFormat="1" ht="68.95" customHeight="1" x14ac:dyDescent="0.25">
      <c r="A269" s="825"/>
      <c r="B269" s="672"/>
      <c r="C269" s="1573"/>
      <c r="D269" s="1566"/>
      <c r="E269" s="1566"/>
      <c r="F269" s="1543"/>
      <c r="G269" s="1543"/>
      <c r="H269" s="1543"/>
      <c r="I269" s="1061"/>
      <c r="J269" s="679"/>
      <c r="K269" s="1021"/>
      <c r="L269" s="1029"/>
      <c r="M269" s="645" t="s">
        <v>489</v>
      </c>
      <c r="N269" s="730" t="str">
        <f>N69</f>
        <v>Exclusión de mujeres rurales en programas de turismo comunitario</v>
      </c>
      <c r="O269" s="837" t="str">
        <f t="shared" si="7"/>
        <v>Género</v>
      </c>
      <c r="P269" s="536" t="str">
        <f>AC6</f>
        <v>GN</v>
      </c>
      <c r="Q269" s="534" t="str">
        <f>AJ23</f>
        <v>Inclusión de mujeres rurales en actividades de turismo comunitario en concesiones para conservación y ecoturismo</v>
      </c>
      <c r="R269" s="538" t="s">
        <v>827</v>
      </c>
      <c r="S269" s="540" t="s">
        <v>526</v>
      </c>
      <c r="T269" s="519" t="str">
        <f>AI23</f>
        <v>SGN15</v>
      </c>
      <c r="U269" s="628"/>
      <c r="V269" s="478"/>
      <c r="W269" s="478"/>
      <c r="X269" s="273"/>
      <c r="Y269" s="825"/>
      <c r="Z269" s="825"/>
      <c r="AA269" s="825"/>
      <c r="AB269" s="825"/>
      <c r="AC269" s="825"/>
      <c r="AD269" s="825"/>
      <c r="AE269" s="825"/>
      <c r="AF269" s="825"/>
      <c r="AG269" s="825"/>
      <c r="AH269" s="825"/>
      <c r="AI269" s="825"/>
      <c r="AJ269" s="825"/>
      <c r="AK269" s="825"/>
      <c r="AL269" s="825"/>
      <c r="AM269" s="825"/>
      <c r="AN269" s="825"/>
      <c r="AO269" s="825"/>
      <c r="AP269" s="825"/>
      <c r="AQ269" s="825"/>
      <c r="AR269" s="825"/>
      <c r="AS269" s="825"/>
      <c r="AT269" s="825"/>
      <c r="AU269" s="825"/>
      <c r="AV269" s="825"/>
      <c r="AW269" s="825"/>
      <c r="AX269" s="825"/>
      <c r="AY269" s="273"/>
      <c r="AZ269" s="273"/>
      <c r="BA269" s="825"/>
      <c r="BB269" s="825"/>
      <c r="BC269" s="825"/>
      <c r="BD269" s="825"/>
      <c r="BE269" s="825"/>
      <c r="BF269" s="825"/>
      <c r="BG269" s="825"/>
      <c r="BH269" s="825"/>
      <c r="BI269" s="825"/>
      <c r="BJ269" s="825"/>
      <c r="BK269" s="825"/>
      <c r="BL269" s="825"/>
      <c r="BM269" s="825"/>
      <c r="BN269" s="825"/>
      <c r="BO269" s="825"/>
      <c r="BP269" s="825"/>
      <c r="BQ269" s="825"/>
      <c r="BR269" s="825"/>
      <c r="BS269" s="825"/>
      <c r="BT269" s="825"/>
      <c r="BU269" s="825"/>
      <c r="BV269" s="825"/>
      <c r="BW269" s="825"/>
      <c r="BX269" s="825"/>
      <c r="BY269" s="825"/>
      <c r="BZ269" s="825"/>
      <c r="CA269" s="825"/>
      <c r="CB269" s="825"/>
      <c r="CC269" s="825"/>
    </row>
    <row r="270" spans="1:81" ht="50.95" customHeight="1" x14ac:dyDescent="0.25">
      <c r="A270" s="825"/>
      <c r="B270" s="672" t="s">
        <v>866</v>
      </c>
      <c r="C270" s="1571" t="str">
        <f>'8. BASE  CONSOLIDADA'!E127</f>
        <v>2.7.1</v>
      </c>
      <c r="D270" s="1564" t="str">
        <f>'8. BASE  CONSOLIDADA'!F127</f>
        <v>Adecuación de ZoCRE a unidad de ordenamiento forestal y/o titulo habilitante forestal y de fauna silvestre de acuerdo a LFFS (Ley No 29763)</v>
      </c>
      <c r="E270" s="1564" t="str">
        <f>'8. BASE  CONSOLIDADA'!G127</f>
        <v xml:space="preserve">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v>
      </c>
      <c r="F270" s="1535" t="str">
        <f>'8. BASE  CONSOLIDADA'!C127</f>
        <v>ZOCRES</v>
      </c>
      <c r="G270" s="1019" t="str">
        <f>VLOOKUP($C270,'8. BASE  CONSOLIDADA'!$E$7:$AS$308,13,FALSE)</f>
        <v>Ha. con categoría territorial asignada</v>
      </c>
      <c r="H270" s="1109">
        <f>VLOOKUP($C270,'8. BASE  CONSOLIDADA'!$E$7:$AS$308,15,FALSE)</f>
        <v>70460.445804198112</v>
      </c>
      <c r="I270" s="1058">
        <f>VLOOKUP(C270,'8. BASE  CONSOLIDADA'!$E$7:$AS$308,20,FALSE)</f>
        <v>1056906.6870629718</v>
      </c>
      <c r="J270" s="678">
        <f>I270*$J$6</f>
        <v>718.69654720282085</v>
      </c>
      <c r="K270" s="1020"/>
      <c r="L270" s="1030"/>
      <c r="M270" s="645" t="s">
        <v>489</v>
      </c>
      <c r="N270" s="730" t="str">
        <f>N136</f>
        <v>Superposición de las ZOCRES con otros derechos otorgados o que deben ser reconocidos</v>
      </c>
      <c r="O270" s="837" t="str">
        <f t="shared" si="7"/>
        <v>Corrupción</v>
      </c>
      <c r="P270" s="536" t="e">
        <f>#REF!</f>
        <v>#REF!</v>
      </c>
      <c r="Q270" s="534" t="str">
        <f>AG9</f>
        <v xml:space="preserve">Transparencia en procesos de formalización de la propiedad rural y cesión en uso </v>
      </c>
      <c r="R270" s="538" t="s">
        <v>852</v>
      </c>
      <c r="S270" s="540" t="s">
        <v>507</v>
      </c>
      <c r="T270" s="519" t="str">
        <f>AF9</f>
        <v>SCR1</v>
      </c>
      <c r="U270" s="628"/>
      <c r="V270" s="478"/>
      <c r="W270" s="478"/>
      <c r="X270" s="273"/>
      <c r="Y270" s="825"/>
      <c r="Z270" s="825"/>
      <c r="AA270" s="825"/>
      <c r="AB270" s="825"/>
      <c r="AC270" s="825"/>
      <c r="AD270" s="825"/>
      <c r="AE270" s="825"/>
      <c r="AF270" s="825"/>
      <c r="AG270" s="825"/>
      <c r="AH270" s="825"/>
      <c r="AI270" s="825"/>
      <c r="AJ270" s="825"/>
      <c r="AK270" s="825"/>
      <c r="AL270" s="825"/>
      <c r="AM270" s="825"/>
      <c r="AN270" s="825"/>
      <c r="AO270" s="825"/>
      <c r="AP270" s="825"/>
      <c r="AQ270" s="825"/>
      <c r="AR270" s="825"/>
      <c r="AS270" s="825"/>
      <c r="AT270" s="825"/>
      <c r="AU270" s="825"/>
      <c r="AV270" s="825"/>
      <c r="AW270" s="825"/>
      <c r="AX270" s="825"/>
      <c r="BA270" s="825"/>
      <c r="BB270" s="825"/>
      <c r="BC270" s="825"/>
      <c r="BD270" s="825"/>
      <c r="BE270" s="825"/>
      <c r="BF270" s="825"/>
      <c r="BG270" s="825"/>
      <c r="BH270" s="825"/>
      <c r="BI270" s="825"/>
      <c r="BJ270" s="825"/>
      <c r="BK270" s="825"/>
      <c r="BL270" s="825"/>
      <c r="BM270" s="825"/>
      <c r="BN270" s="825"/>
      <c r="BO270" s="825"/>
      <c r="BP270" s="825"/>
      <c r="BQ270" s="825"/>
      <c r="BR270" s="825"/>
      <c r="BS270" s="825"/>
      <c r="BT270" s="825"/>
      <c r="BU270" s="825"/>
      <c r="BV270" s="825"/>
      <c r="BW270" s="825"/>
      <c r="BX270" s="825"/>
      <c r="BY270" s="825"/>
      <c r="BZ270" s="825"/>
      <c r="CA270" s="825"/>
      <c r="CB270" s="825"/>
      <c r="CC270" s="825"/>
    </row>
    <row r="271" spans="1:81" s="548" customFormat="1" ht="62.35" customHeight="1" x14ac:dyDescent="0.25">
      <c r="A271" s="825"/>
      <c r="B271" s="672"/>
      <c r="C271" s="1573"/>
      <c r="D271" s="1566"/>
      <c r="E271" s="1566"/>
      <c r="F271" s="1543"/>
      <c r="G271" s="1091"/>
      <c r="H271" s="1112"/>
      <c r="I271" s="1061"/>
      <c r="J271" s="679"/>
      <c r="K271" s="1021"/>
      <c r="L271" s="1029"/>
      <c r="M271" s="645" t="s">
        <v>489</v>
      </c>
      <c r="N271" s="730" t="str">
        <f>N136</f>
        <v>Superposición de las ZOCRES con otros derechos otorgados o que deben ser reconocidos</v>
      </c>
      <c r="O271" s="837" t="str">
        <f t="shared" si="7"/>
        <v>Corrupción</v>
      </c>
      <c r="P271" s="536" t="e">
        <f>#REF!</f>
        <v>#REF!</v>
      </c>
      <c r="Q271" s="534" t="str">
        <f>AG15</f>
        <v>Evaluación de superposición de las ZOCRES con derechos otorgados</v>
      </c>
      <c r="R271" s="538" t="s">
        <v>853</v>
      </c>
      <c r="S271" s="540" t="s">
        <v>854</v>
      </c>
      <c r="T271" s="519" t="str">
        <f>AF15</f>
        <v>SCR7</v>
      </c>
      <c r="U271" s="628"/>
      <c r="V271" s="478"/>
      <c r="W271" s="478"/>
      <c r="X271" s="273"/>
      <c r="Y271" s="825"/>
      <c r="Z271" s="825"/>
      <c r="AA271" s="825"/>
      <c r="AB271" s="825"/>
      <c r="AC271" s="825"/>
      <c r="AD271" s="825"/>
      <c r="AE271" s="825"/>
      <c r="AF271" s="825"/>
      <c r="AG271" s="825"/>
      <c r="AH271" s="825"/>
      <c r="AI271" s="825"/>
      <c r="AJ271" s="825"/>
      <c r="AK271" s="825"/>
      <c r="AL271" s="825"/>
      <c r="AM271" s="825"/>
      <c r="AN271" s="825"/>
      <c r="AO271" s="825"/>
      <c r="AP271" s="825"/>
      <c r="AQ271" s="825"/>
      <c r="AR271" s="825"/>
      <c r="AS271" s="825"/>
      <c r="AT271" s="825"/>
      <c r="AU271" s="825"/>
      <c r="AV271" s="825"/>
      <c r="AW271" s="825"/>
      <c r="AX271" s="825"/>
      <c r="AY271" s="273"/>
      <c r="AZ271" s="273"/>
      <c r="BA271" s="825"/>
      <c r="BB271" s="825"/>
      <c r="BC271" s="825"/>
      <c r="BD271" s="825"/>
      <c r="BE271" s="825"/>
      <c r="BF271" s="825"/>
      <c r="BG271" s="825"/>
      <c r="BH271" s="825"/>
      <c r="BI271" s="825"/>
      <c r="BJ271" s="825"/>
      <c r="BK271" s="825"/>
      <c r="BL271" s="825"/>
      <c r="BM271" s="825"/>
      <c r="BN271" s="825"/>
      <c r="BO271" s="825"/>
      <c r="BP271" s="825"/>
      <c r="BQ271" s="825"/>
      <c r="BR271" s="825"/>
      <c r="BS271" s="825"/>
      <c r="BT271" s="825"/>
      <c r="BU271" s="825"/>
      <c r="BV271" s="825"/>
      <c r="BW271" s="825"/>
      <c r="BX271" s="825"/>
      <c r="BY271" s="825"/>
      <c r="BZ271" s="825"/>
      <c r="CA271" s="825"/>
      <c r="CB271" s="825"/>
      <c r="CC271" s="825"/>
    </row>
    <row r="272" spans="1:81" ht="40.6" customHeight="1" x14ac:dyDescent="0.25">
      <c r="A272" s="825"/>
      <c r="B272" s="672" t="s">
        <v>866</v>
      </c>
      <c r="C272" s="842" t="str">
        <f>'8. BASE  CONSOLIDADA'!E129</f>
        <v>2.7.3</v>
      </c>
      <c r="D272" s="1069" t="str">
        <f>'8. BASE  CONSOLIDADA'!F129</f>
        <v>Elaboración del plan/declaración de manejo de las nuevas categorías de ordenamiento forestal y títulos habilitantes forestales</v>
      </c>
      <c r="E272" s="1069" t="str">
        <f>'8. BASE  CONSOLIDADA'!G129</f>
        <v>Dependiendo de la categoría forestal a ser aplicada, se realizará un plan/declaración acorde la unidad, en el marco de la ley forestal y fauna silvestre N° 29763.</v>
      </c>
      <c r="F272" s="836" t="str">
        <f>'8. BASE  CONSOLIDADA'!C129</f>
        <v>ZOCRES</v>
      </c>
      <c r="G272" s="1019" t="str">
        <f>VLOOKUP($C272,'8. BASE  CONSOLIDADA'!$E$7:$AS$308,13,FALSE)</f>
        <v>N° Planes / Declaraciones elaborados</v>
      </c>
      <c r="H272" s="1109">
        <f>VLOOKUP($C272,'8. BASE  CONSOLIDADA'!$E$7:$AS$308,15,FALSE)</f>
        <v>15</v>
      </c>
      <c r="I272" s="1058">
        <f>VLOOKUP(C272,'8. BASE  CONSOLIDADA'!$E$7:$AS$308,20,FALSE)</f>
        <v>150000</v>
      </c>
      <c r="J272" s="678">
        <f>I272*$J$6</f>
        <v>102.00000000000001</v>
      </c>
      <c r="K272" s="1020"/>
      <c r="L272" s="1029"/>
      <c r="M272" s="645" t="s">
        <v>489</v>
      </c>
      <c r="N272" s="730" t="str">
        <f>N136</f>
        <v>Superposición de las ZOCRES con otros derechos otorgados o que deben ser reconocidos</v>
      </c>
      <c r="O272" s="837" t="str">
        <f t="shared" si="7"/>
        <v>Corrupción</v>
      </c>
      <c r="P272" s="536" t="e">
        <f>#REF!</f>
        <v>#REF!</v>
      </c>
      <c r="Q272" s="534" t="str">
        <f>AG9</f>
        <v xml:space="preserve">Transparencia en procesos de formalización de la propiedad rural y cesión en uso </v>
      </c>
      <c r="R272" s="538" t="s">
        <v>852</v>
      </c>
      <c r="S272" s="540" t="s">
        <v>507</v>
      </c>
      <c r="T272" s="519" t="str">
        <f>AF9</f>
        <v>SCR1</v>
      </c>
      <c r="U272" s="628"/>
      <c r="V272" s="478"/>
      <c r="W272" s="478"/>
      <c r="X272" s="273"/>
      <c r="Y272" s="825"/>
      <c r="Z272" s="825"/>
      <c r="AA272" s="825"/>
      <c r="AB272" s="825"/>
      <c r="AC272" s="825"/>
      <c r="AD272" s="825"/>
      <c r="AE272" s="825"/>
      <c r="AF272" s="825"/>
      <c r="AG272" s="825"/>
      <c r="AH272" s="825"/>
      <c r="AI272" s="825"/>
      <c r="AJ272" s="825"/>
      <c r="AK272" s="825"/>
      <c r="AL272" s="825"/>
      <c r="AM272" s="825"/>
      <c r="AN272" s="825"/>
      <c r="AO272" s="825"/>
      <c r="AP272" s="825"/>
      <c r="AQ272" s="825"/>
      <c r="AR272" s="825"/>
      <c r="AS272" s="825"/>
      <c r="AT272" s="825"/>
      <c r="AU272" s="825"/>
      <c r="AV272" s="825"/>
      <c r="AW272" s="825"/>
      <c r="AX272" s="825"/>
      <c r="BA272" s="825"/>
      <c r="BB272" s="825"/>
      <c r="BC272" s="825"/>
      <c r="BD272" s="825"/>
      <c r="BE272" s="825"/>
      <c r="BF272" s="825"/>
      <c r="BG272" s="825"/>
      <c r="BH272" s="825"/>
      <c r="BI272" s="825"/>
      <c r="BJ272" s="825"/>
      <c r="BK272" s="825"/>
      <c r="BL272" s="825"/>
      <c r="BM272" s="825"/>
      <c r="BN272" s="825"/>
      <c r="BO272" s="825"/>
      <c r="BP272" s="825"/>
      <c r="BQ272" s="825"/>
      <c r="BR272" s="825"/>
      <c r="BS272" s="825"/>
      <c r="BT272" s="825"/>
      <c r="BU272" s="825"/>
      <c r="BV272" s="825"/>
      <c r="BW272" s="825"/>
      <c r="BX272" s="825"/>
      <c r="BY272" s="825"/>
      <c r="BZ272" s="825"/>
      <c r="CA272" s="825"/>
      <c r="CB272" s="825"/>
      <c r="CC272" s="825"/>
    </row>
    <row r="273" spans="1:81" ht="56.25" customHeight="1" x14ac:dyDescent="0.25">
      <c r="A273" s="825"/>
      <c r="B273" s="672" t="s">
        <v>866</v>
      </c>
      <c r="C273" s="842" t="str">
        <f>'8. BASE  CONSOLIDADA'!E130</f>
        <v>2.7.4</v>
      </c>
      <c r="D273" s="1069" t="str">
        <f>'8. BASE  CONSOLIDADA'!F130</f>
        <v>Inscripción en el catastro forestal y en registros públicos</v>
      </c>
      <c r="E273" s="1069" t="str">
        <f>'8. BASE  CONSOLIDADA'!G130</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273" s="836" t="str">
        <f>'8. BASE  CONSOLIDADA'!C130</f>
        <v>ZOCRES</v>
      </c>
      <c r="G273" s="1019" t="str">
        <f>VLOOKUP($C273,'8. BASE  CONSOLIDADA'!$E$7:$AS$308,13,FALSE)</f>
        <v>Ha. Inscritas</v>
      </c>
      <c r="H273" s="1109">
        <f>VLOOKUP($C273,'8. BASE  CONSOLIDADA'!$E$7:$AS$308,15,FALSE)</f>
        <v>70460.445804198112</v>
      </c>
      <c r="I273" s="1058">
        <f>VLOOKUP(C273,'8. BASE  CONSOLIDADA'!$E$7:$AS$308,20,FALSE)</f>
        <v>70460.445804198112</v>
      </c>
      <c r="J273" s="678">
        <f>I273*$J$6</f>
        <v>47.913103146854716</v>
      </c>
      <c r="K273" s="1020"/>
      <c r="L273" s="1029"/>
      <c r="M273" s="645" t="s">
        <v>489</v>
      </c>
      <c r="N273" s="730" t="str">
        <f>N136</f>
        <v>Superposición de las ZOCRES con otros derechos otorgados o que deben ser reconocidos</v>
      </c>
      <c r="O273" s="837" t="str">
        <f t="shared" si="7"/>
        <v>Corrupción</v>
      </c>
      <c r="P273" s="536" t="e">
        <f>#REF!</f>
        <v>#REF!</v>
      </c>
      <c r="Q273" s="534" t="str">
        <f>AG9</f>
        <v xml:space="preserve">Transparencia en procesos de formalización de la propiedad rural y cesión en uso </v>
      </c>
      <c r="R273" s="538" t="s">
        <v>852</v>
      </c>
      <c r="S273" s="540" t="s">
        <v>507</v>
      </c>
      <c r="T273" s="519" t="str">
        <f>AF9</f>
        <v>SCR1</v>
      </c>
      <c r="U273" s="628"/>
      <c r="V273" s="478"/>
      <c r="W273" s="478"/>
      <c r="X273" s="273"/>
      <c r="Y273" s="825"/>
      <c r="Z273" s="825"/>
      <c r="AA273" s="825"/>
      <c r="AB273" s="825"/>
      <c r="AC273" s="825"/>
      <c r="AD273" s="825"/>
      <c r="AE273" s="825"/>
      <c r="AF273" s="825"/>
      <c r="AG273" s="825"/>
      <c r="AH273" s="825"/>
      <c r="AI273" s="825"/>
      <c r="AJ273" s="825"/>
      <c r="AK273" s="825"/>
      <c r="AL273" s="825"/>
      <c r="AM273" s="825"/>
      <c r="AN273" s="825"/>
      <c r="AO273" s="825"/>
      <c r="AP273" s="825"/>
      <c r="AQ273" s="825"/>
      <c r="AR273" s="825"/>
      <c r="AS273" s="825"/>
      <c r="AT273" s="825"/>
      <c r="AU273" s="825"/>
      <c r="AV273" s="825"/>
      <c r="AW273" s="825"/>
      <c r="AX273" s="825"/>
      <c r="BA273" s="825"/>
      <c r="BB273" s="825"/>
      <c r="BC273" s="825"/>
      <c r="BD273" s="825"/>
      <c r="BE273" s="825"/>
      <c r="BF273" s="825"/>
      <c r="BG273" s="825"/>
      <c r="BH273" s="825"/>
      <c r="BI273" s="825"/>
      <c r="BJ273" s="825"/>
      <c r="BK273" s="825"/>
      <c r="BL273" s="825"/>
      <c r="BM273" s="825"/>
      <c r="BN273" s="825"/>
      <c r="BO273" s="825"/>
      <c r="BP273" s="825"/>
      <c r="BQ273" s="825"/>
      <c r="BR273" s="825"/>
      <c r="BS273" s="825"/>
      <c r="BT273" s="825"/>
      <c r="BU273" s="825"/>
      <c r="BV273" s="825"/>
      <c r="BW273" s="825"/>
      <c r="BX273" s="825"/>
      <c r="BY273" s="825"/>
      <c r="BZ273" s="825"/>
      <c r="CA273" s="825"/>
      <c r="CB273" s="825"/>
      <c r="CC273" s="825"/>
    </row>
    <row r="274" spans="1:81" ht="50.95" customHeight="1" x14ac:dyDescent="0.25">
      <c r="A274" s="825"/>
      <c r="B274" s="672" t="s">
        <v>866</v>
      </c>
      <c r="C274" s="1571" t="str">
        <f>'8. BASE  CONSOLIDADA'!E131</f>
        <v>2.8.1</v>
      </c>
      <c r="D274" s="1564" t="str">
        <f>'8. BASE  CONSOLIDADA'!F131</f>
        <v>Creación y establecimiento de unidades de ordenamiento forestal, otorgamiento de títulos habilitantes forestales y tenencia de la tierra</v>
      </c>
      <c r="E274" s="1564" t="str">
        <f>'8. BASE  CONSOLIDADA'!G131</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F274" s="1535" t="str">
        <f>'8. BASE  CONSOLIDADA'!C131</f>
        <v>Tierras sin categoría territorial asignada</v>
      </c>
      <c r="G274" s="1535" t="str">
        <f>VLOOKUP($C274,'8. BASE  CONSOLIDADA'!$E$7:$AS$308,13,FALSE)</f>
        <v>Ha. con categoría territorial asignada</v>
      </c>
      <c r="H274" s="1535">
        <f>VLOOKUP($C274,'8. BASE  CONSOLIDADA'!$E$7:$AS$308,15,FALSE)</f>
        <v>12452.5934004313</v>
      </c>
      <c r="I274" s="1535">
        <f>VLOOKUP(C274,'8. BASE  CONSOLIDADA'!$E$7:$AS$308,20,FALSE)</f>
        <v>186788.9010064695</v>
      </c>
      <c r="J274" s="1535">
        <f>I274*$J$6</f>
        <v>127.01645268439927</v>
      </c>
      <c r="K274" s="1535"/>
      <c r="L274" s="1535"/>
      <c r="M274" s="645" t="s">
        <v>489</v>
      </c>
      <c r="N274" s="730" t="str">
        <f>N141</f>
        <v>Otorgamiento inadecuado de títulos habilitantes que generan tráfico de tierras</v>
      </c>
      <c r="O274" s="837" t="str">
        <f t="shared" si="7"/>
        <v>Corrupción</v>
      </c>
      <c r="P274" s="536" t="e">
        <f>#REF!</f>
        <v>#REF!</v>
      </c>
      <c r="Q274" s="534" t="str">
        <f>AG16</f>
        <v xml:space="preserve">Transparencia en los procesos de otorgamiento de derechos en las tierras sin categoría territorial asignada </v>
      </c>
      <c r="R274" s="538" t="s">
        <v>859</v>
      </c>
      <c r="S274" s="540" t="s">
        <v>507</v>
      </c>
      <c r="T274" s="519" t="str">
        <f>AF16</f>
        <v>SCR8</v>
      </c>
      <c r="U274" s="628"/>
      <c r="V274" s="478"/>
      <c r="W274" s="478"/>
      <c r="X274" s="273"/>
      <c r="Y274" s="825"/>
      <c r="Z274" s="825"/>
      <c r="AA274" s="825"/>
      <c r="AB274" s="825"/>
      <c r="AC274" s="825"/>
      <c r="AD274" s="825"/>
      <c r="AE274" s="825"/>
      <c r="AF274" s="825"/>
      <c r="AG274" s="825"/>
      <c r="AH274" s="825"/>
      <c r="AI274" s="825"/>
      <c r="AJ274" s="825"/>
      <c r="AK274" s="825"/>
      <c r="AL274" s="825"/>
      <c r="AM274" s="825"/>
      <c r="AN274" s="825"/>
      <c r="AO274" s="825"/>
      <c r="AP274" s="825"/>
      <c r="AQ274" s="825"/>
      <c r="AR274" s="825"/>
      <c r="AS274" s="825"/>
      <c r="AT274" s="825"/>
      <c r="AU274" s="825"/>
      <c r="AV274" s="825"/>
      <c r="AW274" s="825"/>
      <c r="AX274" s="825"/>
      <c r="BA274" s="825"/>
      <c r="BB274" s="825"/>
      <c r="BC274" s="825"/>
      <c r="BD274" s="825"/>
      <c r="BE274" s="825"/>
      <c r="BF274" s="825"/>
      <c r="BG274" s="825"/>
      <c r="BH274" s="825"/>
      <c r="BI274" s="825"/>
      <c r="BJ274" s="825"/>
      <c r="BK274" s="825"/>
      <c r="BL274" s="825"/>
      <c r="BM274" s="825"/>
      <c r="BN274" s="825"/>
      <c r="BO274" s="825"/>
      <c r="BP274" s="825"/>
      <c r="BQ274" s="825"/>
      <c r="BR274" s="825"/>
      <c r="BS274" s="825"/>
      <c r="BT274" s="825"/>
      <c r="BU274" s="825"/>
      <c r="BV274" s="825"/>
      <c r="BW274" s="825"/>
      <c r="BX274" s="825"/>
      <c r="BY274" s="825"/>
      <c r="BZ274" s="825"/>
      <c r="CA274" s="825"/>
      <c r="CB274" s="825"/>
      <c r="CC274" s="825"/>
    </row>
    <row r="275" spans="1:81" s="548" customFormat="1" ht="41.95" customHeight="1" x14ac:dyDescent="0.25">
      <c r="A275" s="825"/>
      <c r="B275" s="672"/>
      <c r="C275" s="1573"/>
      <c r="D275" s="1566"/>
      <c r="E275" s="1566"/>
      <c r="F275" s="1543"/>
      <c r="G275" s="1543"/>
      <c r="H275" s="1543"/>
      <c r="I275" s="1543"/>
      <c r="J275" s="1543"/>
      <c r="K275" s="1543"/>
      <c r="L275" s="1543"/>
      <c r="M275" s="645" t="s">
        <v>489</v>
      </c>
      <c r="N275" s="730" t="str">
        <f>N141</f>
        <v>Otorgamiento inadecuado de títulos habilitantes que generan tráfico de tierras</v>
      </c>
      <c r="O275" s="837" t="str">
        <f t="shared" si="7"/>
        <v>Patrimonio cultural</v>
      </c>
      <c r="P275" s="536" t="str">
        <f>AI6</f>
        <v>PC</v>
      </c>
      <c r="Q275" s="534" t="str">
        <f>AV9</f>
        <v>Evaluación de superposición del área solicitada para titulación de predios rurales con áreas determinadas como patrimonio cultural</v>
      </c>
      <c r="R275" s="538" t="s">
        <v>586</v>
      </c>
      <c r="S275" s="540" t="s">
        <v>507</v>
      </c>
      <c r="T275" s="519" t="str">
        <f>AU9</f>
        <v>SPC1</v>
      </c>
      <c r="U275" s="628"/>
      <c r="V275" s="478"/>
      <c r="W275" s="478"/>
      <c r="X275" s="273"/>
      <c r="Y275" s="825"/>
      <c r="Z275" s="825"/>
      <c r="AA275" s="825"/>
      <c r="AB275" s="825"/>
      <c r="AC275" s="825"/>
      <c r="AD275" s="825"/>
      <c r="AE275" s="825"/>
      <c r="AF275" s="825"/>
      <c r="AG275" s="825"/>
      <c r="AH275" s="825"/>
      <c r="AI275" s="825"/>
      <c r="AJ275" s="825"/>
      <c r="AK275" s="825"/>
      <c r="AL275" s="825"/>
      <c r="AM275" s="825"/>
      <c r="AN275" s="825"/>
      <c r="AO275" s="825"/>
      <c r="AP275" s="825"/>
      <c r="AQ275" s="825"/>
      <c r="AR275" s="825"/>
      <c r="AS275" s="825"/>
      <c r="AT275" s="825"/>
      <c r="AU275" s="825"/>
      <c r="AV275" s="825"/>
      <c r="AW275" s="825"/>
      <c r="AX275" s="825"/>
      <c r="AY275" s="273"/>
      <c r="AZ275" s="273"/>
      <c r="BA275" s="825"/>
      <c r="BB275" s="825"/>
      <c r="BC275" s="825"/>
      <c r="BD275" s="825"/>
      <c r="BE275" s="825"/>
      <c r="BF275" s="825"/>
      <c r="BG275" s="825"/>
      <c r="BH275" s="825"/>
      <c r="BI275" s="825"/>
      <c r="BJ275" s="825"/>
      <c r="BK275" s="825"/>
      <c r="BL275" s="825"/>
      <c r="BM275" s="825"/>
      <c r="BN275" s="825"/>
      <c r="BO275" s="825"/>
      <c r="BP275" s="825"/>
      <c r="BQ275" s="825"/>
      <c r="BR275" s="825"/>
      <c r="BS275" s="825"/>
      <c r="BT275" s="825"/>
      <c r="BU275" s="825"/>
      <c r="BV275" s="825"/>
      <c r="BW275" s="825"/>
      <c r="BX275" s="825"/>
      <c r="BY275" s="825"/>
      <c r="BZ275" s="825"/>
      <c r="CA275" s="825"/>
      <c r="CB275" s="825"/>
      <c r="CC275" s="825"/>
    </row>
    <row r="276" spans="1:81" ht="97.85" x14ac:dyDescent="0.25">
      <c r="A276" s="825"/>
      <c r="B276" s="672" t="s">
        <v>866</v>
      </c>
      <c r="C276" s="842" t="str">
        <f>'8. BASE  CONSOLIDADA'!E133</f>
        <v>2.8.3</v>
      </c>
      <c r="D276" s="1069" t="str">
        <f>'8. BASE  CONSOLIDADA'!F133</f>
        <v>Elaboración del plan/declaración de manejo de las nuevas categorías de ordenamiento forestal y títulos habilitantes forestales</v>
      </c>
      <c r="E276" s="1069" t="str">
        <f>'8. BASE  CONSOLIDADA'!G133</f>
        <v>Dependiendo de la categoría forestal a ser aplicada, se realizará un plan/declaración acorde a la unidad, en el marco de la ley forestal y fauna silvestre N° 29763.</v>
      </c>
      <c r="F276" s="836" t="str">
        <f>'8. BASE  CONSOLIDADA'!C133</f>
        <v>Tierras sin categoría territorial asignada</v>
      </c>
      <c r="G276" s="1019" t="str">
        <f>VLOOKUP($C276,'8. BASE  CONSOLIDADA'!$E$7:$AS$308,13,FALSE)</f>
        <v>N° Planes / Declaraciones elaborados</v>
      </c>
      <c r="H276" s="1109">
        <f>VLOOKUP($C276,'8. BASE  CONSOLIDADA'!$E$7:$AS$308,15,FALSE)</f>
        <v>5</v>
      </c>
      <c r="I276" s="1058">
        <f>VLOOKUP(C276,'8. BASE  CONSOLIDADA'!$E$7:$AS$308,20,FALSE)</f>
        <v>50000</v>
      </c>
      <c r="J276" s="678">
        <f>I276*$J$6</f>
        <v>34</v>
      </c>
      <c r="K276" s="1020"/>
      <c r="L276" s="1029"/>
      <c r="M276" s="645" t="s">
        <v>489</v>
      </c>
      <c r="N276" s="730" t="str">
        <f>N141</f>
        <v>Otorgamiento inadecuado de títulos habilitantes que generan tráfico de tierras</v>
      </c>
      <c r="O276" s="837" t="str">
        <f t="shared" si="7"/>
        <v>Corrupción</v>
      </c>
      <c r="P276" s="536" t="e">
        <f>#REF!</f>
        <v>#REF!</v>
      </c>
      <c r="Q276" s="534" t="str">
        <f>AG16</f>
        <v xml:space="preserve">Transparencia en los procesos de otorgamiento de derechos en las tierras sin categoría territorial asignada </v>
      </c>
      <c r="R276" s="538" t="s">
        <v>859</v>
      </c>
      <c r="S276" s="540" t="s">
        <v>507</v>
      </c>
      <c r="T276" s="519" t="str">
        <f>AF16</f>
        <v>SCR8</v>
      </c>
      <c r="U276" s="628"/>
      <c r="V276" s="478"/>
      <c r="W276" s="478"/>
      <c r="X276" s="273"/>
      <c r="Y276" s="825"/>
      <c r="Z276" s="825"/>
      <c r="AA276" s="825"/>
      <c r="AB276" s="825"/>
      <c r="AC276" s="825"/>
      <c r="AD276" s="825"/>
      <c r="AE276" s="825"/>
      <c r="AF276" s="825"/>
      <c r="AG276" s="825"/>
      <c r="AH276" s="825"/>
      <c r="AI276" s="825"/>
      <c r="AJ276" s="825"/>
      <c r="AK276" s="825"/>
      <c r="AL276" s="825"/>
      <c r="AM276" s="825"/>
      <c r="AN276" s="825"/>
      <c r="AO276" s="825"/>
      <c r="AP276" s="825"/>
      <c r="AQ276" s="825"/>
      <c r="AR276" s="825"/>
      <c r="AS276" s="825"/>
      <c r="AT276" s="825"/>
      <c r="AU276" s="825"/>
      <c r="AV276" s="825"/>
      <c r="AW276" s="825"/>
      <c r="AX276" s="825"/>
      <c r="BA276" s="825"/>
      <c r="BB276" s="825"/>
      <c r="BC276" s="825"/>
      <c r="BD276" s="825"/>
      <c r="BE276" s="825"/>
      <c r="BF276" s="825"/>
      <c r="BG276" s="825"/>
      <c r="BH276" s="825"/>
      <c r="BI276" s="825"/>
      <c r="BJ276" s="825"/>
      <c r="BK276" s="825"/>
      <c r="BL276" s="825"/>
      <c r="BM276" s="825"/>
      <c r="BN276" s="825"/>
      <c r="BO276" s="825"/>
      <c r="BP276" s="825"/>
      <c r="BQ276" s="825"/>
      <c r="BR276" s="825"/>
      <c r="BS276" s="825"/>
      <c r="BT276" s="825"/>
      <c r="BU276" s="825"/>
      <c r="BV276" s="825"/>
      <c r="BW276" s="825"/>
      <c r="BX276" s="825"/>
      <c r="BY276" s="825"/>
      <c r="BZ276" s="825"/>
      <c r="CA276" s="825"/>
      <c r="CB276" s="825"/>
      <c r="CC276" s="825"/>
    </row>
    <row r="277" spans="1:81" ht="54.7" customHeight="1" x14ac:dyDescent="0.25">
      <c r="A277" s="825"/>
      <c r="B277" s="672" t="s">
        <v>866</v>
      </c>
      <c r="C277" s="842" t="str">
        <f>'8. BASE  CONSOLIDADA'!E134</f>
        <v>2.8.4</v>
      </c>
      <c r="D277" s="1069" t="str">
        <f>'8. BASE  CONSOLIDADA'!F134</f>
        <v>Inscripción en el catastro forestal y en registros públicos</v>
      </c>
      <c r="E277" s="1069" t="str">
        <f>'8. BASE  CONSOLIDADA'!G134</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277" s="836" t="str">
        <f>'8. BASE  CONSOLIDADA'!C134</f>
        <v>Tierras sin categoría territorial asignada</v>
      </c>
      <c r="G277" s="1019" t="str">
        <f>VLOOKUP($C277,'8. BASE  CONSOLIDADA'!$E$7:$AS$308,13,FALSE)</f>
        <v>Ha. Inscritas</v>
      </c>
      <c r="H277" s="1109">
        <f>VLOOKUP($C277,'8. BASE  CONSOLIDADA'!$E$7:$AS$308,15,FALSE)</f>
        <v>12452.5934004313</v>
      </c>
      <c r="I277" s="1058">
        <f>VLOOKUP(C277,'8. BASE  CONSOLIDADA'!$E$7:$AS$308,20,FALSE)</f>
        <v>12452.5934004313</v>
      </c>
      <c r="J277" s="678">
        <f>I277*$J$6</f>
        <v>8.4677635122932848</v>
      </c>
      <c r="K277" s="1020"/>
      <c r="L277" s="1029"/>
      <c r="M277" s="645" t="s">
        <v>489</v>
      </c>
      <c r="N277" s="730" t="str">
        <f>N141</f>
        <v>Otorgamiento inadecuado de títulos habilitantes que generan tráfico de tierras</v>
      </c>
      <c r="O277" s="837" t="str">
        <f t="shared" si="7"/>
        <v>Corrupción</v>
      </c>
      <c r="P277" s="536" t="e">
        <f>#REF!</f>
        <v>#REF!</v>
      </c>
      <c r="Q277" s="534" t="str">
        <f>AG16</f>
        <v xml:space="preserve">Transparencia en los procesos de otorgamiento de derechos en las tierras sin categoría territorial asignada </v>
      </c>
      <c r="R277" s="538" t="s">
        <v>859</v>
      </c>
      <c r="S277" s="540" t="s">
        <v>507</v>
      </c>
      <c r="T277" s="519" t="str">
        <f>AF16</f>
        <v>SCR8</v>
      </c>
      <c r="U277" s="628"/>
      <c r="V277" s="478"/>
      <c r="W277" s="478"/>
      <c r="X277" s="273"/>
      <c r="Y277" s="825"/>
      <c r="Z277" s="825"/>
      <c r="AA277" s="825"/>
      <c r="AB277" s="825"/>
      <c r="AC277" s="825"/>
      <c r="AD277" s="825"/>
      <c r="AE277" s="825"/>
      <c r="AF277" s="825"/>
      <c r="AG277" s="825"/>
      <c r="AH277" s="825"/>
      <c r="AI277" s="825"/>
      <c r="AJ277" s="825"/>
      <c r="AK277" s="825"/>
      <c r="AL277" s="825"/>
      <c r="AM277" s="825"/>
      <c r="AN277" s="825"/>
      <c r="AO277" s="825"/>
      <c r="AP277" s="825"/>
      <c r="AQ277" s="825"/>
      <c r="AR277" s="825"/>
      <c r="AS277" s="825"/>
      <c r="AT277" s="825"/>
      <c r="AU277" s="825"/>
      <c r="AV277" s="825"/>
      <c r="AW277" s="825"/>
      <c r="AX277" s="825"/>
      <c r="BA277" s="825"/>
      <c r="BB277" s="825"/>
      <c r="BC277" s="825"/>
      <c r="BD277" s="825"/>
      <c r="BE277" s="825"/>
      <c r="BF277" s="825"/>
      <c r="BG277" s="825"/>
      <c r="BH277" s="825"/>
      <c r="BI277" s="825"/>
      <c r="BJ277" s="825"/>
      <c r="BK277" s="825"/>
      <c r="BL277" s="825"/>
      <c r="BM277" s="825"/>
      <c r="BN277" s="825"/>
      <c r="BO277" s="825"/>
      <c r="BP277" s="825"/>
      <c r="BQ277" s="825"/>
      <c r="BR277" s="825"/>
      <c r="BS277" s="825"/>
      <c r="BT277" s="825"/>
      <c r="BU277" s="825"/>
      <c r="BV277" s="825"/>
      <c r="BW277" s="825"/>
      <c r="BX277" s="825"/>
      <c r="BY277" s="825"/>
      <c r="BZ277" s="825"/>
      <c r="CA277" s="825"/>
      <c r="CB277" s="825"/>
      <c r="CC277" s="825"/>
    </row>
    <row r="278" spans="1:81" ht="56.25" customHeight="1" x14ac:dyDescent="0.25">
      <c r="A278" s="825"/>
      <c r="B278" s="672" t="s">
        <v>866</v>
      </c>
      <c r="C278" s="1571" t="str">
        <f>'8. BASE  CONSOLIDADA'!E136</f>
        <v>2.9.1</v>
      </c>
      <c r="D278" s="1564" t="str">
        <f>'8. BASE  CONSOLIDADA'!F136</f>
        <v>Acuerdos con rondas campesinas y rondas nativas para cumplimiento de compromisos de no deforestación y tráfico de tierras e invasiones</v>
      </c>
      <c r="E278" s="1564" t="str">
        <f>'8. BASE  CONSOLIDADA'!G136</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F278" s="1535" t="str">
        <f>'8. BASE  CONSOLIDADA'!C136</f>
        <v>Intervenciones Transversales X UDT</v>
      </c>
      <c r="G278" s="1019" t="str">
        <f>VLOOKUP($C278,'8. BASE  CONSOLIDADA'!$E$7:$AS$308,13,FALSE)</f>
        <v>Acuerdos con rondas campesinas</v>
      </c>
      <c r="H278" s="1109">
        <f>VLOOKUP($C278,'8. BASE  CONSOLIDADA'!$E$7:$AS$308,15,FALSE)</f>
        <v>19</v>
      </c>
      <c r="I278" s="1058">
        <f>VLOOKUP(C278,'8. BASE  CONSOLIDADA'!$E$7:$AS$308,20,FALSE)</f>
        <v>237500</v>
      </c>
      <c r="J278" s="678">
        <f>I278*$J$6</f>
        <v>161.5</v>
      </c>
      <c r="K278" s="1020"/>
      <c r="L278" s="1030"/>
      <c r="M278" s="645" t="s">
        <v>489</v>
      </c>
      <c r="N278" s="730" t="str">
        <f>N146</f>
        <v>Exclusión de mujeres para el cumplimiento de compromisos de no deforestación y tráfico de tierras e invasiones</v>
      </c>
      <c r="O278" s="837" t="str">
        <f t="shared" si="7"/>
        <v>Género</v>
      </c>
      <c r="P278" s="536" t="str">
        <f>AC6</f>
        <v>GN</v>
      </c>
      <c r="Q278" s="534" t="str">
        <f>AJ11</f>
        <v xml:space="preserve">Cuotas de género y medición de participación efectiva de mujeres rurales </v>
      </c>
      <c r="R278" s="538" t="s">
        <v>689</v>
      </c>
      <c r="S278" s="540" t="s">
        <v>507</v>
      </c>
      <c r="T278" s="519" t="str">
        <f>AI11</f>
        <v>SGN3</v>
      </c>
      <c r="U278" s="628"/>
      <c r="V278" s="478"/>
      <c r="W278" s="478"/>
      <c r="X278" s="273"/>
      <c r="Y278" s="825"/>
      <c r="Z278" s="825"/>
      <c r="AA278" s="825"/>
      <c r="AB278" s="825"/>
      <c r="AC278" s="825"/>
      <c r="AD278" s="825"/>
      <c r="AE278" s="825"/>
      <c r="AF278" s="825"/>
      <c r="AG278" s="825"/>
      <c r="AH278" s="825"/>
      <c r="AI278" s="825"/>
      <c r="AJ278" s="825"/>
      <c r="AK278" s="825"/>
      <c r="AL278" s="825"/>
      <c r="AM278" s="825"/>
      <c r="AN278" s="825"/>
      <c r="AO278" s="825"/>
      <c r="AP278" s="825"/>
      <c r="AQ278" s="825"/>
      <c r="AR278" s="825"/>
      <c r="AS278" s="825"/>
      <c r="AT278" s="825"/>
      <c r="AU278" s="825"/>
      <c r="AV278" s="825"/>
      <c r="AW278" s="825"/>
      <c r="AX278" s="825"/>
      <c r="BA278" s="825"/>
      <c r="BB278" s="825"/>
      <c r="BC278" s="825"/>
      <c r="BD278" s="825"/>
      <c r="BE278" s="825"/>
      <c r="BF278" s="825"/>
      <c r="BG278" s="825"/>
      <c r="BH278" s="825"/>
      <c r="BI278" s="825"/>
      <c r="BJ278" s="825"/>
      <c r="BK278" s="825"/>
      <c r="BL278" s="825"/>
      <c r="BM278" s="825"/>
      <c r="BN278" s="825"/>
      <c r="BO278" s="825"/>
      <c r="BP278" s="825"/>
      <c r="BQ278" s="825"/>
      <c r="BR278" s="825"/>
      <c r="BS278" s="825"/>
      <c r="BT278" s="825"/>
      <c r="BU278" s="825"/>
      <c r="BV278" s="825"/>
      <c r="BW278" s="825"/>
      <c r="BX278" s="825"/>
      <c r="BY278" s="825"/>
      <c r="BZ278" s="825"/>
      <c r="CA278" s="825"/>
      <c r="CB278" s="825"/>
      <c r="CC278" s="825"/>
    </row>
    <row r="279" spans="1:81" s="548" customFormat="1" ht="68.3" customHeight="1" x14ac:dyDescent="0.25">
      <c r="A279" s="825"/>
      <c r="B279" s="672"/>
      <c r="C279" s="1573"/>
      <c r="D279" s="1566"/>
      <c r="E279" s="1566"/>
      <c r="F279" s="1543"/>
      <c r="G279" s="1091"/>
      <c r="H279" s="1112"/>
      <c r="I279" s="1061"/>
      <c r="J279" s="679"/>
      <c r="K279" s="1021"/>
      <c r="L279" s="1029"/>
      <c r="M279" s="645" t="s">
        <v>489</v>
      </c>
      <c r="N279" s="730" t="str">
        <f>N146</f>
        <v>Exclusión de mujeres para el cumplimiento de compromisos de no deforestación y tráfico de tierras e invasiones</v>
      </c>
      <c r="O279" s="837" t="str">
        <f t="shared" si="7"/>
        <v>Género</v>
      </c>
      <c r="P279" s="536" t="str">
        <f>AC6</f>
        <v>GN</v>
      </c>
      <c r="Q279" s="534" t="str">
        <f>AJ19</f>
        <v xml:space="preserve">Inclusión de mujeres rurales y sus organizaciones en iniciativas de control y vigilancia de la deforestación </v>
      </c>
      <c r="R279" s="538" t="s">
        <v>861</v>
      </c>
      <c r="S279" s="540" t="s">
        <v>526</v>
      </c>
      <c r="T279" s="519" t="str">
        <f>AI19</f>
        <v>SGN11</v>
      </c>
      <c r="U279" s="628"/>
      <c r="V279" s="478"/>
      <c r="W279" s="478"/>
      <c r="X279" s="273"/>
      <c r="Y279" s="825"/>
      <c r="Z279" s="825"/>
      <c r="AA279" s="825"/>
      <c r="AB279" s="825"/>
      <c r="AC279" s="825"/>
      <c r="AD279" s="825"/>
      <c r="AE279" s="825"/>
      <c r="AF279" s="825"/>
      <c r="AG279" s="825"/>
      <c r="AH279" s="825"/>
      <c r="AI279" s="825"/>
      <c r="AJ279" s="825"/>
      <c r="AK279" s="825"/>
      <c r="AL279" s="825"/>
      <c r="AM279" s="825"/>
      <c r="AN279" s="825"/>
      <c r="AO279" s="825"/>
      <c r="AP279" s="825"/>
      <c r="AQ279" s="825"/>
      <c r="AR279" s="825"/>
      <c r="AS279" s="825"/>
      <c r="AT279" s="825"/>
      <c r="AU279" s="825"/>
      <c r="AV279" s="825"/>
      <c r="AW279" s="825"/>
      <c r="AX279" s="825"/>
      <c r="AY279" s="273"/>
      <c r="AZ279" s="273"/>
      <c r="BA279" s="825"/>
      <c r="BB279" s="825"/>
      <c r="BC279" s="825"/>
      <c r="BD279" s="825"/>
      <c r="BE279" s="825"/>
      <c r="BF279" s="825"/>
      <c r="BG279" s="825"/>
      <c r="BH279" s="825"/>
      <c r="BI279" s="825"/>
      <c r="BJ279" s="825"/>
      <c r="BK279" s="825"/>
      <c r="BL279" s="825"/>
      <c r="BM279" s="825"/>
      <c r="BN279" s="825"/>
      <c r="BO279" s="825"/>
      <c r="BP279" s="825"/>
      <c r="BQ279" s="825"/>
      <c r="BR279" s="825"/>
      <c r="BS279" s="825"/>
      <c r="BT279" s="825"/>
      <c r="BU279" s="825"/>
      <c r="BV279" s="825"/>
      <c r="BW279" s="825"/>
      <c r="BX279" s="825"/>
      <c r="BY279" s="825"/>
      <c r="BZ279" s="825"/>
      <c r="CA279" s="825"/>
      <c r="CB279" s="825"/>
      <c r="CC279" s="825"/>
    </row>
    <row r="280" spans="1:81" ht="95.95" customHeight="1" x14ac:dyDescent="0.25">
      <c r="A280" s="825"/>
      <c r="B280" s="672" t="s">
        <v>866</v>
      </c>
      <c r="C280" s="842" t="str">
        <f>'8. BASE  CONSOLIDADA'!E138</f>
        <v>2.9.3</v>
      </c>
      <c r="D280" s="1069" t="str">
        <f>'8. BASE  CONSOLIDADA'!F138</f>
        <v>Mejoramiento de vías de acceso</v>
      </c>
      <c r="E280" s="1069" t="str">
        <f>'8. BASE  CONSOLIDADA'!G138</f>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v>
      </c>
      <c r="F280" s="836" t="str">
        <f>'8. BASE  CONSOLIDADA'!C138</f>
        <v>Intervenciones Transversales X UDT</v>
      </c>
      <c r="G280" s="1019" t="str">
        <f>VLOOKUP($C280,'8. BASE  CONSOLIDADA'!$E$7:$AS$308,13,FALSE)</f>
        <v>Kilómetros mejorados</v>
      </c>
      <c r="H280" s="1109">
        <f>VLOOKUP($C280,'8. BASE  CONSOLIDADA'!$E$7:$AS$308,15,FALSE)</f>
        <v>170.60000000000002</v>
      </c>
      <c r="I280" s="1058">
        <f>VLOOKUP(C280,'8. BASE  CONSOLIDADA'!$E$7:$AS$308,20,FALSE)</f>
        <v>136480000.00000003</v>
      </c>
      <c r="J280" s="678">
        <f>I280*$J$6</f>
        <v>92806.400000000023</v>
      </c>
      <c r="K280" s="1020"/>
      <c r="L280" s="1029"/>
      <c r="M280" s="645" t="s">
        <v>489</v>
      </c>
      <c r="N280" s="730" t="str">
        <f>N148</f>
        <v>Deforestación de nuevas áreas por el mejoramiento de vías de acceso, sobre áreas adyacentes</v>
      </c>
      <c r="O280" s="837" t="str">
        <f t="shared" si="7"/>
        <v>Biodiversidad y recursos naturales</v>
      </c>
      <c r="P280" s="536" t="e">
        <f>#REF!</f>
        <v>#REF!</v>
      </c>
      <c r="Q280" s="534" t="str">
        <f>AA17</f>
        <v>Elaboración, implementación y monitoreo de acuerdos de conservación</v>
      </c>
      <c r="R280" s="538" t="s">
        <v>863</v>
      </c>
      <c r="S280" s="540" t="s">
        <v>526</v>
      </c>
      <c r="T280" s="519" t="str">
        <f>Z17</f>
        <v>SBRN9</v>
      </c>
      <c r="U280" s="628"/>
      <c r="V280" s="478"/>
      <c r="W280" s="478"/>
      <c r="X280" s="273"/>
      <c r="Y280" s="825"/>
      <c r="Z280" s="825"/>
      <c r="AA280" s="825"/>
      <c r="AB280" s="825"/>
      <c r="AC280" s="825"/>
      <c r="AD280" s="825"/>
      <c r="AE280" s="825"/>
      <c r="AF280" s="825"/>
      <c r="AG280" s="825"/>
      <c r="AH280" s="825"/>
      <c r="AI280" s="825"/>
      <c r="AJ280" s="825"/>
      <c r="AK280" s="825"/>
      <c r="AL280" s="825"/>
      <c r="AM280" s="825"/>
      <c r="AN280" s="825"/>
      <c r="AO280" s="825"/>
      <c r="AP280" s="825"/>
      <c r="AQ280" s="825"/>
      <c r="AR280" s="825"/>
      <c r="AS280" s="825"/>
      <c r="AT280" s="825"/>
      <c r="AU280" s="825"/>
      <c r="AV280" s="825"/>
      <c r="AW280" s="825"/>
      <c r="AX280" s="825"/>
      <c r="BA280" s="825"/>
      <c r="BB280" s="825"/>
      <c r="BC280" s="825"/>
      <c r="BD280" s="825"/>
      <c r="BE280" s="825"/>
      <c r="BF280" s="825"/>
      <c r="BG280" s="825"/>
      <c r="BH280" s="825"/>
      <c r="BI280" s="825"/>
      <c r="BJ280" s="825"/>
      <c r="BK280" s="825"/>
      <c r="BL280" s="825"/>
      <c r="BM280" s="825"/>
      <c r="BN280" s="825"/>
      <c r="BO280" s="825"/>
      <c r="BP280" s="825"/>
      <c r="BQ280" s="825"/>
      <c r="BR280" s="825"/>
      <c r="BS280" s="825"/>
      <c r="BT280" s="825"/>
      <c r="BU280" s="825"/>
      <c r="BV280" s="825"/>
      <c r="BW280" s="825"/>
      <c r="BX280" s="825"/>
      <c r="BY280" s="825"/>
      <c r="BZ280" s="825"/>
      <c r="CA280" s="825"/>
      <c r="CB280" s="825"/>
      <c r="CC280" s="825"/>
    </row>
    <row r="281" spans="1:81" ht="103.6" customHeight="1" x14ac:dyDescent="0.25">
      <c r="A281" s="825"/>
      <c r="B281" s="672" t="s">
        <v>866</v>
      </c>
      <c r="C281" s="842" t="str">
        <f>'8. BASE  CONSOLIDADA'!E140</f>
        <v>2.9.5</v>
      </c>
      <c r="D281" s="1069" t="str">
        <f>'8. BASE  CONSOLIDADA'!F140</f>
        <v>Mejor cobertura y calidad de servicios de educación y salud</v>
      </c>
      <c r="E281" s="1069" t="str">
        <f>'8. BASE  CONSOLIDADA'!G140</f>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v>
      </c>
      <c r="F281" s="836" t="str">
        <f>'8. BASE  CONSOLIDADA'!C140</f>
        <v>Intervenciones Transversales X UDT</v>
      </c>
      <c r="G281" s="1019" t="str">
        <f>VLOOKUP($C281,'8. BASE  CONSOLIDADA'!$E$7:$AS$308,13,FALSE)</f>
        <v>Centros educativos y postas médicas implementados</v>
      </c>
      <c r="H281" s="1109">
        <f>VLOOKUP($C281,'8. BASE  CONSOLIDADA'!$E$7:$AS$308,15,FALSE)</f>
        <v>5</v>
      </c>
      <c r="I281" s="1058">
        <f>VLOOKUP(C281,'8. BASE  CONSOLIDADA'!$E$7:$AS$308,20,FALSE)</f>
        <v>17500000</v>
      </c>
      <c r="J281" s="678">
        <f>I281*$J$6</f>
        <v>11900</v>
      </c>
      <c r="K281" s="1020"/>
      <c r="L281" s="1029"/>
      <c r="M281" s="645" t="s">
        <v>489</v>
      </c>
      <c r="N281" s="730" t="str">
        <f>N149</f>
        <v>Exclusión de mujeres en el otorgamiento de servicios de educación y salud</v>
      </c>
      <c r="O281" s="837" t="str">
        <f t="shared" si="7"/>
        <v>Género</v>
      </c>
      <c r="P281" s="536" t="str">
        <f>AC6</f>
        <v>GN</v>
      </c>
      <c r="Q281" s="534" t="str">
        <f>AJ11</f>
        <v xml:space="preserve">Cuotas de género y medición de participación efectiva de mujeres rurales </v>
      </c>
      <c r="R281" s="538" t="s">
        <v>689</v>
      </c>
      <c r="S281" s="540" t="s">
        <v>507</v>
      </c>
      <c r="T281" s="519" t="str">
        <f>AI11</f>
        <v>SGN3</v>
      </c>
      <c r="U281" s="628"/>
      <c r="V281" s="478"/>
      <c r="W281" s="478"/>
      <c r="X281" s="273"/>
      <c r="Y281" s="825"/>
      <c r="Z281" s="825"/>
      <c r="AA281" s="825"/>
      <c r="AB281" s="825"/>
      <c r="AC281" s="825"/>
      <c r="AD281" s="825"/>
      <c r="AE281" s="825"/>
      <c r="AF281" s="825"/>
      <c r="AG281" s="825"/>
      <c r="AH281" s="825"/>
      <c r="AI281" s="825"/>
      <c r="AJ281" s="825"/>
      <c r="AK281" s="825"/>
      <c r="AL281" s="825"/>
      <c r="AM281" s="825"/>
      <c r="AN281" s="825"/>
      <c r="AO281" s="825"/>
      <c r="AP281" s="825"/>
      <c r="AQ281" s="825"/>
      <c r="AR281" s="825"/>
      <c r="AS281" s="825"/>
      <c r="AT281" s="825"/>
      <c r="AU281" s="825"/>
      <c r="AV281" s="825"/>
      <c r="AW281" s="825"/>
      <c r="AX281" s="825"/>
      <c r="BA281" s="825"/>
      <c r="BB281" s="825"/>
      <c r="BC281" s="825"/>
      <c r="BD281" s="825"/>
      <c r="BE281" s="825"/>
      <c r="BF281" s="825"/>
      <c r="BG281" s="825"/>
      <c r="BH281" s="825"/>
      <c r="BI281" s="825"/>
      <c r="BJ281" s="825"/>
      <c r="BK281" s="825"/>
      <c r="BL281" s="825"/>
      <c r="BM281" s="825"/>
      <c r="BN281" s="825"/>
      <c r="BO281" s="825"/>
      <c r="BP281" s="825"/>
      <c r="BQ281" s="825"/>
      <c r="BR281" s="825"/>
      <c r="BS281" s="825"/>
      <c r="BT281" s="825"/>
      <c r="BU281" s="825"/>
      <c r="BV281" s="825"/>
      <c r="BW281" s="825"/>
      <c r="BX281" s="825"/>
      <c r="BY281" s="825"/>
      <c r="BZ281" s="825"/>
      <c r="CA281" s="825"/>
      <c r="CB281" s="825"/>
      <c r="CC281" s="825"/>
    </row>
    <row r="282" spans="1:81" ht="94.6" customHeight="1" x14ac:dyDescent="0.25">
      <c r="A282" s="825"/>
      <c r="B282" s="672" t="s">
        <v>866</v>
      </c>
      <c r="C282" s="842" t="str">
        <f>'8. BASE  CONSOLIDADA'!E141</f>
        <v>2.9.6</v>
      </c>
      <c r="D282" s="1069" t="str">
        <f>'8. BASE  CONSOLIDADA'!F141</f>
        <v>Programa de servicios públicos móviles</v>
      </c>
      <c r="E282" s="1069" t="str">
        <f>'8. BASE  CONSOLIDADA'!G141</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v>
      </c>
      <c r="F282" s="836" t="str">
        <f>'8. BASE  CONSOLIDADA'!C141</f>
        <v>Intervenciones Transversales X UDT</v>
      </c>
      <c r="G282" s="1019" t="str">
        <f>VLOOKUP($C282,'8. BASE  CONSOLIDADA'!$E$7:$AS$308,13,FALSE)</f>
        <v>N° campañas</v>
      </c>
      <c r="H282" s="1109">
        <f>VLOOKUP($C282,'8. BASE  CONSOLIDADA'!$E$7:$AS$308,15,FALSE)</f>
        <v>166.25</v>
      </c>
      <c r="I282" s="1058">
        <f>VLOOKUP(C282,'8. BASE  CONSOLIDADA'!$E$7:$AS$308,20,FALSE)</f>
        <v>4156250</v>
      </c>
      <c r="J282" s="678">
        <f>I282*$J$6</f>
        <v>2826.25</v>
      </c>
      <c r="K282" s="1020"/>
      <c r="L282" s="1029"/>
      <c r="M282" s="645" t="s">
        <v>489</v>
      </c>
      <c r="N282" s="730" t="str">
        <f>N150</f>
        <v>Exclusión de mujeres en el otorgamiento de servicios móviles</v>
      </c>
      <c r="O282" s="837" t="str">
        <f t="shared" si="7"/>
        <v>Género</v>
      </c>
      <c r="P282" s="536" t="str">
        <f>AC6</f>
        <v>GN</v>
      </c>
      <c r="Q282" s="534" t="str">
        <f>AJ11</f>
        <v xml:space="preserve">Cuotas de género y medición de participación efectiva de mujeres rurales </v>
      </c>
      <c r="R282" s="538" t="s">
        <v>689</v>
      </c>
      <c r="S282" s="540" t="s">
        <v>507</v>
      </c>
      <c r="T282" s="519" t="str">
        <f>AI11</f>
        <v>SGN3</v>
      </c>
      <c r="U282" s="628"/>
      <c r="V282" s="478"/>
      <c r="W282" s="478"/>
      <c r="X282" s="273"/>
      <c r="Y282" s="825"/>
      <c r="Z282" s="825"/>
      <c r="AA282" s="825"/>
      <c r="AB282" s="825"/>
      <c r="AC282" s="825"/>
      <c r="AD282" s="825"/>
      <c r="AE282" s="825"/>
      <c r="AF282" s="825"/>
      <c r="AG282" s="825"/>
      <c r="AH282" s="825"/>
      <c r="AI282" s="825"/>
      <c r="AJ282" s="825"/>
      <c r="AK282" s="825"/>
      <c r="AL282" s="825"/>
      <c r="AM282" s="825"/>
      <c r="AN282" s="825"/>
      <c r="AO282" s="825"/>
      <c r="AP282" s="825"/>
      <c r="AQ282" s="825"/>
      <c r="AR282" s="825"/>
      <c r="AS282" s="825"/>
      <c r="AT282" s="825"/>
      <c r="AU282" s="825"/>
      <c r="AV282" s="825"/>
      <c r="AW282" s="825"/>
      <c r="AX282" s="825"/>
      <c r="BA282" s="825"/>
      <c r="BB282" s="825"/>
      <c r="BC282" s="825"/>
      <c r="BD282" s="825"/>
      <c r="BE282" s="825"/>
      <c r="BF282" s="825"/>
      <c r="BG282" s="825"/>
      <c r="BH282" s="825"/>
      <c r="BI282" s="825"/>
      <c r="BJ282" s="825"/>
      <c r="BK282" s="825"/>
      <c r="BL282" s="825"/>
      <c r="BM282" s="825"/>
      <c r="BN282" s="825"/>
      <c r="BO282" s="825"/>
      <c r="BP282" s="825"/>
      <c r="BQ282" s="825"/>
      <c r="BR282" s="825"/>
      <c r="BS282" s="825"/>
      <c r="BT282" s="825"/>
      <c r="BU282" s="825"/>
      <c r="BV282" s="825"/>
      <c r="BW282" s="825"/>
      <c r="BX282" s="825"/>
      <c r="BY282" s="825"/>
      <c r="BZ282" s="825"/>
      <c r="CA282" s="825"/>
      <c r="CB282" s="825"/>
      <c r="CC282" s="825"/>
    </row>
    <row r="283" spans="1:81" ht="60.8" customHeight="1" x14ac:dyDescent="0.25">
      <c r="A283" s="273"/>
      <c r="B283" s="672" t="s">
        <v>873</v>
      </c>
      <c r="C283" s="1605" t="str">
        <f>'8. BASE  CONSOLIDADA'!E207</f>
        <v>3.1.1</v>
      </c>
      <c r="D283" s="1564" t="str">
        <f>'8. BASE  CONSOLIDADA'!F207</f>
        <v>Otorgamiento de derechos sobre la tierra/bosques</v>
      </c>
      <c r="E283" s="1564" t="str">
        <f>'8. BASE  CONSOLIDADA'!G207</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283" s="1535" t="str">
        <f>'8. BASE  CONSOLIDADA'!C207</f>
        <v>Predios de agricultura familiar con producción destinada al autoconsumo y productos de exportación, con título o sin título de propiedad.</v>
      </c>
      <c r="G283" s="1019" t="str">
        <f>VLOOKUP($C283,'8. BASE  CONSOLIDADA'!$E$7:$AS$308,13,FALSE)</f>
        <v>N° Títulos/Contratos otorgados</v>
      </c>
      <c r="H283" s="1109">
        <f>VLOOKUP($C283,'8. BASE  CONSOLIDADA'!$E$7:$AS$308,15,FALSE)</f>
        <v>3486.69794702335</v>
      </c>
      <c r="I283" s="1058">
        <f>VLOOKUP(C283,'8. BASE  CONSOLIDADA'!$E$7:$AS$308,20,FALSE)</f>
        <v>6973395.8940466996</v>
      </c>
      <c r="J283" s="678">
        <f>I283*$J$6</f>
        <v>4741.9092079517559</v>
      </c>
      <c r="K283" s="1020"/>
      <c r="L283" s="1028"/>
      <c r="M283" s="645" t="s">
        <v>489</v>
      </c>
      <c r="N283" s="733" t="str">
        <f>N8</f>
        <v>Otorgamiento de titulos de propiedad en tierras de aptitud forestal o protección con cobertura de bosques</v>
      </c>
      <c r="O283" s="837" t="str">
        <f t="shared" si="7"/>
        <v>Biodiversidad y recursos naturales</v>
      </c>
      <c r="P283" s="574" t="e">
        <f>#REF!</f>
        <v>#REF!</v>
      </c>
      <c r="Q283" s="535" t="str">
        <f>AA9</f>
        <v>Realizar estudios de suelos para determinar la capacidad de uso mayor de los suelos como parte de los procesos de formalización de la propiedad rural</v>
      </c>
      <c r="R283" s="535" t="s">
        <v>491</v>
      </c>
      <c r="S283" s="536" t="s">
        <v>492</v>
      </c>
      <c r="T283" s="519" t="str">
        <f>Z9</f>
        <v>SBRN1</v>
      </c>
      <c r="U283" s="628"/>
      <c r="V283" s="478"/>
      <c r="W283" s="478"/>
      <c r="X283" s="273"/>
      <c r="Y283" s="825"/>
      <c r="Z283" s="825"/>
      <c r="AA283" s="825"/>
      <c r="AB283" s="825"/>
      <c r="AC283" s="825"/>
      <c r="AD283" s="825"/>
      <c r="AE283" s="825"/>
      <c r="AF283" s="825"/>
      <c r="AG283" s="825"/>
      <c r="AH283" s="825"/>
      <c r="AI283" s="825"/>
      <c r="AJ283" s="825"/>
      <c r="AK283" s="825"/>
      <c r="AL283" s="825"/>
      <c r="AM283" s="825"/>
      <c r="AN283" s="825"/>
      <c r="AO283" s="825"/>
      <c r="AP283" s="825"/>
      <c r="AQ283" s="825"/>
      <c r="AR283" s="825"/>
      <c r="AS283" s="825"/>
      <c r="AT283" s="825"/>
      <c r="AU283" s="825"/>
      <c r="AV283" s="825"/>
      <c r="AW283" s="825"/>
      <c r="AX283" s="825"/>
      <c r="BA283" s="825"/>
      <c r="BB283" s="825"/>
      <c r="BC283" s="825"/>
      <c r="BD283" s="825"/>
      <c r="BE283" s="825"/>
      <c r="BF283" s="825"/>
      <c r="BG283" s="825"/>
      <c r="BH283" s="825"/>
      <c r="BI283" s="825"/>
      <c r="BJ283" s="825"/>
      <c r="BK283" s="825"/>
      <c r="BL283" s="825"/>
      <c r="BM283" s="825"/>
      <c r="BN283" s="825"/>
      <c r="BO283" s="825"/>
      <c r="BP283" s="825"/>
      <c r="BQ283" s="825"/>
      <c r="BR283" s="825"/>
      <c r="BS283" s="825"/>
      <c r="BT283" s="825"/>
      <c r="BU283" s="825"/>
      <c r="BV283" s="825"/>
      <c r="BW283" s="825"/>
      <c r="BX283" s="825"/>
      <c r="BY283" s="825"/>
      <c r="BZ283" s="825"/>
      <c r="CA283" s="825"/>
      <c r="CB283" s="825"/>
      <c r="CC283" s="825"/>
    </row>
    <row r="284" spans="1:81" ht="48.75" customHeight="1" x14ac:dyDescent="0.25">
      <c r="A284" s="273"/>
      <c r="B284" s="672"/>
      <c r="C284" s="1606"/>
      <c r="D284" s="1565"/>
      <c r="E284" s="1565"/>
      <c r="F284" s="1536"/>
      <c r="G284" s="1095"/>
      <c r="H284" s="1116"/>
      <c r="I284" s="1058"/>
      <c r="J284" s="678"/>
      <c r="K284" s="1028"/>
      <c r="L284" s="1028"/>
      <c r="M284" s="645" t="s">
        <v>489</v>
      </c>
      <c r="N284" s="730" t="str">
        <f>N9</f>
        <v>Otorgamiento de titulos de propiedad en tierras de aptitud  A y C con cobertura de bosques</v>
      </c>
      <c r="O284" s="837" t="str">
        <f t="shared" si="7"/>
        <v>Biodiversidad y recursos naturales</v>
      </c>
      <c r="P284" s="855" t="e">
        <f>#REF!</f>
        <v>#REF!</v>
      </c>
      <c r="Q284" s="534" t="str">
        <f>AA10</f>
        <v>Implementar el procedimiento de cambio de uso actual de tierras A y C con cobertura de bosques para formalización de propiedad rural considerado en la Ley Forestal y de Fauna Silvestre (Ley No 29736)</v>
      </c>
      <c r="R284" s="535" t="s">
        <v>506</v>
      </c>
      <c r="S284" s="536" t="s">
        <v>507</v>
      </c>
      <c r="T284" s="519" t="str">
        <f>Z10</f>
        <v>SBRN2</v>
      </c>
      <c r="U284" s="628"/>
      <c r="V284" s="478"/>
      <c r="W284" s="478"/>
      <c r="X284" s="273"/>
      <c r="Y284" s="825"/>
      <c r="Z284" s="825"/>
      <c r="AA284" s="825"/>
      <c r="AB284" s="825"/>
      <c r="AC284" s="825"/>
      <c r="AD284" s="825"/>
      <c r="AE284" s="825"/>
      <c r="AF284" s="825"/>
      <c r="AG284" s="825"/>
      <c r="AH284" s="825"/>
      <c r="AI284" s="825"/>
      <c r="AJ284" s="825"/>
      <c r="AK284" s="825"/>
      <c r="AL284" s="825"/>
      <c r="AM284" s="825"/>
      <c r="AN284" s="825"/>
      <c r="AO284" s="825"/>
      <c r="AP284" s="825"/>
      <c r="AQ284" s="825"/>
      <c r="AR284" s="825"/>
      <c r="AS284" s="825"/>
      <c r="AT284" s="825"/>
      <c r="AU284" s="825"/>
      <c r="AV284" s="825"/>
      <c r="AW284" s="825"/>
      <c r="AX284" s="825"/>
      <c r="BA284" s="825"/>
      <c r="BB284" s="825"/>
      <c r="BC284" s="825"/>
      <c r="BD284" s="825"/>
      <c r="BE284" s="825"/>
      <c r="BF284" s="825"/>
      <c r="BG284" s="825"/>
      <c r="BH284" s="825"/>
      <c r="BI284" s="825"/>
      <c r="BJ284" s="825"/>
      <c r="BK284" s="825"/>
      <c r="BL284" s="825"/>
      <c r="BM284" s="825"/>
      <c r="BN284" s="825"/>
      <c r="BO284" s="825"/>
      <c r="BP284" s="825"/>
      <c r="BQ284" s="825"/>
      <c r="BR284" s="825"/>
      <c r="BS284" s="825"/>
      <c r="BT284" s="825"/>
      <c r="BU284" s="825"/>
      <c r="BV284" s="825"/>
      <c r="BW284" s="825"/>
      <c r="BX284" s="825"/>
      <c r="BY284" s="825"/>
      <c r="BZ284" s="825"/>
      <c r="CA284" s="825"/>
      <c r="CB284" s="825"/>
      <c r="CC284" s="825"/>
    </row>
    <row r="285" spans="1:81" ht="48.75" customHeight="1" x14ac:dyDescent="0.25">
      <c r="A285" s="273"/>
      <c r="B285" s="672"/>
      <c r="C285" s="1606"/>
      <c r="D285" s="1565"/>
      <c r="E285" s="1565"/>
      <c r="F285" s="1536"/>
      <c r="G285" s="1095"/>
      <c r="H285" s="1116"/>
      <c r="I285" s="1058"/>
      <c r="J285" s="678"/>
      <c r="K285" s="1028"/>
      <c r="L285" s="1028"/>
      <c r="M285" s="645" t="s">
        <v>489</v>
      </c>
      <c r="N285" s="730" t="str">
        <f>N9</f>
        <v>Otorgamiento de titulos de propiedad en tierras de aptitud  A y C con cobertura de bosques</v>
      </c>
      <c r="O285" s="837" t="str">
        <f t="shared" si="7"/>
        <v>Biodiversidad y recursos naturales</v>
      </c>
      <c r="P285" s="855" t="str">
        <f>Z6</f>
        <v>DPI</v>
      </c>
      <c r="Q285" s="534" t="str">
        <f>AA11</f>
        <v>Fortalecer las capacidades de la población local para que conozcan el marco legal sobre los derechos sobre la tierra y los bosques</v>
      </c>
      <c r="R285" s="535" t="s">
        <v>525</v>
      </c>
      <c r="S285" s="536" t="s">
        <v>526</v>
      </c>
      <c r="T285" s="519" t="str">
        <f>Z11</f>
        <v>SBRN3</v>
      </c>
      <c r="U285" s="628"/>
      <c r="V285" s="478"/>
      <c r="W285" s="478"/>
      <c r="X285" s="273"/>
      <c r="Y285" s="825"/>
      <c r="Z285" s="825"/>
      <c r="AA285" s="825"/>
      <c r="AB285" s="825"/>
      <c r="AC285" s="825"/>
      <c r="AD285" s="825"/>
      <c r="AE285" s="825"/>
      <c r="AF285" s="825"/>
      <c r="AG285" s="825"/>
      <c r="AH285" s="825"/>
      <c r="AI285" s="825"/>
      <c r="AJ285" s="825"/>
      <c r="AK285" s="825"/>
      <c r="AL285" s="825"/>
      <c r="AM285" s="825"/>
      <c r="AN285" s="825"/>
      <c r="AO285" s="825"/>
      <c r="AP285" s="825"/>
      <c r="AQ285" s="825"/>
      <c r="AR285" s="825"/>
      <c r="AS285" s="825"/>
      <c r="AT285" s="825"/>
      <c r="AU285" s="825"/>
      <c r="AV285" s="825"/>
      <c r="AW285" s="825"/>
      <c r="AX285" s="825"/>
      <c r="BA285" s="825"/>
      <c r="BB285" s="825"/>
      <c r="BC285" s="825"/>
      <c r="BD285" s="825"/>
      <c r="BE285" s="825"/>
      <c r="BF285" s="825"/>
      <c r="BG285" s="825"/>
      <c r="BH285" s="825"/>
      <c r="BI285" s="825"/>
      <c r="BJ285" s="825"/>
      <c r="BK285" s="825"/>
      <c r="BL285" s="825"/>
      <c r="BM285" s="825"/>
      <c r="BN285" s="825"/>
      <c r="BO285" s="825"/>
      <c r="BP285" s="825"/>
      <c r="BQ285" s="825"/>
      <c r="BR285" s="825"/>
      <c r="BS285" s="825"/>
      <c r="BT285" s="825"/>
      <c r="BU285" s="825"/>
      <c r="BV285" s="825"/>
      <c r="BW285" s="825"/>
      <c r="BX285" s="825"/>
      <c r="BY285" s="825"/>
      <c r="BZ285" s="825"/>
      <c r="CA285" s="825"/>
      <c r="CB285" s="825"/>
      <c r="CC285" s="825"/>
    </row>
    <row r="286" spans="1:81" ht="59.95" customHeight="1" x14ac:dyDescent="0.25">
      <c r="A286" s="273"/>
      <c r="B286" s="672"/>
      <c r="C286" s="1606"/>
      <c r="D286" s="1565"/>
      <c r="E286" s="1565"/>
      <c r="F286" s="1536"/>
      <c r="G286" s="1095"/>
      <c r="H286" s="1116"/>
      <c r="I286" s="1058"/>
      <c r="J286" s="678"/>
      <c r="K286" s="1028"/>
      <c r="L286" s="1028"/>
      <c r="M286" s="645" t="s">
        <v>489</v>
      </c>
      <c r="N286" s="733" t="str">
        <f>N10</f>
        <v>Superposición de áreas a ser tituladas individualmente con áreas solicitadas por pueblos indígenas</v>
      </c>
      <c r="O286" s="837" t="str">
        <f t="shared" si="7"/>
        <v>Derechos de los pueblos indígenas</v>
      </c>
      <c r="P286" s="855" t="str">
        <f>Z6</f>
        <v>DPI</v>
      </c>
      <c r="Q286" s="534" t="str">
        <f>AD9</f>
        <v>Evaluación de superposiciones de solicitudes de titulación de predios rurales con solicitudes de pueblos indígenas (como parte del proceso de titulación de un predio rural individual)</v>
      </c>
      <c r="R286" s="535" t="s">
        <v>541</v>
      </c>
      <c r="S286" s="536" t="s">
        <v>542</v>
      </c>
      <c r="T286" s="519" t="str">
        <f>AC9</f>
        <v>SDPI1</v>
      </c>
      <c r="U286" s="628"/>
      <c r="V286" s="478"/>
      <c r="W286" s="478"/>
      <c r="X286" s="273"/>
      <c r="Y286" s="825"/>
      <c r="Z286" s="825"/>
      <c r="AA286" s="825"/>
      <c r="AB286" s="825"/>
      <c r="AC286" s="825"/>
      <c r="AD286" s="825"/>
      <c r="AE286" s="825"/>
      <c r="AF286" s="825"/>
      <c r="AG286" s="825"/>
      <c r="AH286" s="825"/>
      <c r="AI286" s="825"/>
      <c r="AJ286" s="825"/>
      <c r="AK286" s="825"/>
      <c r="AL286" s="825"/>
      <c r="AM286" s="825"/>
      <c r="AN286" s="825"/>
      <c r="AO286" s="825"/>
      <c r="AP286" s="825"/>
      <c r="AQ286" s="825"/>
      <c r="AR286" s="825"/>
      <c r="AS286" s="825"/>
      <c r="AT286" s="825"/>
      <c r="AU286" s="825"/>
      <c r="AV286" s="825"/>
      <c r="AW286" s="825"/>
      <c r="AX286" s="825"/>
      <c r="BA286" s="825"/>
      <c r="BB286" s="825"/>
      <c r="BC286" s="825"/>
      <c r="BD286" s="825"/>
      <c r="BE286" s="825"/>
      <c r="BF286" s="825"/>
      <c r="BG286" s="825"/>
      <c r="BH286" s="825"/>
      <c r="BI286" s="825"/>
      <c r="BJ286" s="825"/>
      <c r="BK286" s="825"/>
      <c r="BL286" s="825"/>
      <c r="BM286" s="825"/>
      <c r="BN286" s="825"/>
      <c r="BO286" s="825"/>
      <c r="BP286" s="825"/>
      <c r="BQ286" s="825"/>
      <c r="BR286" s="825"/>
      <c r="BS286" s="825"/>
      <c r="BT286" s="825"/>
      <c r="BU286" s="825"/>
      <c r="BV286" s="825"/>
      <c r="BW286" s="825"/>
      <c r="BX286" s="825"/>
      <c r="BY286" s="825"/>
      <c r="BZ286" s="825"/>
      <c r="CA286" s="825"/>
      <c r="CB286" s="825"/>
      <c r="CC286" s="825"/>
    </row>
    <row r="287" spans="1:81" ht="41.3" customHeight="1" x14ac:dyDescent="0.25">
      <c r="A287" s="273"/>
      <c r="B287" s="672"/>
      <c r="C287" s="1606"/>
      <c r="D287" s="1565"/>
      <c r="E287" s="1565"/>
      <c r="F287" s="1536"/>
      <c r="G287" s="1095"/>
      <c r="H287" s="1116"/>
      <c r="I287" s="1058"/>
      <c r="J287" s="678"/>
      <c r="K287" s="1028"/>
      <c r="L287" s="1028"/>
      <c r="M287" s="645" t="s">
        <v>489</v>
      </c>
      <c r="N287" s="733" t="str">
        <f>N10</f>
        <v>Superposición de áreas a ser tituladas individualmente con áreas solicitadas por pueblos indígenas</v>
      </c>
      <c r="O287" s="837" t="str">
        <f t="shared" si="7"/>
        <v>Derechos de los pueblos indígenas</v>
      </c>
      <c r="P287" s="855" t="str">
        <f>Z6</f>
        <v>DPI</v>
      </c>
      <c r="Q287" s="534" t="str">
        <f>AD10</f>
        <v xml:space="preserve">Análisis de demandas de titulación de tierras a favor de comunidades nativas a nivel departamental con organizaciones indígenas </v>
      </c>
      <c r="R287" s="535" t="s">
        <v>555</v>
      </c>
      <c r="S287" s="536" t="s">
        <v>507</v>
      </c>
      <c r="T287" s="519" t="str">
        <f>AC10</f>
        <v>SDPI2</v>
      </c>
      <c r="U287" s="628"/>
      <c r="V287" s="478"/>
      <c r="W287" s="478"/>
      <c r="X287" s="273"/>
      <c r="Y287" s="825"/>
      <c r="Z287" s="825"/>
      <c r="AA287" s="825"/>
      <c r="AB287" s="825"/>
      <c r="AC287" s="825"/>
      <c r="AD287" s="825"/>
      <c r="AE287" s="825"/>
      <c r="AF287" s="825"/>
      <c r="AG287" s="825"/>
      <c r="AH287" s="825"/>
      <c r="AI287" s="825"/>
      <c r="AJ287" s="825"/>
      <c r="AK287" s="825"/>
      <c r="AL287" s="825"/>
      <c r="AM287" s="825"/>
      <c r="AN287" s="825"/>
      <c r="AO287" s="825"/>
      <c r="AP287" s="825"/>
      <c r="AQ287" s="825"/>
      <c r="AR287" s="825"/>
      <c r="AS287" s="825"/>
      <c r="AT287" s="825"/>
      <c r="AU287" s="825"/>
      <c r="AV287" s="825"/>
      <c r="AW287" s="825"/>
      <c r="AX287" s="825"/>
      <c r="BA287" s="825"/>
      <c r="BB287" s="825"/>
      <c r="BC287" s="825"/>
      <c r="BD287" s="825"/>
      <c r="BE287" s="825"/>
      <c r="BF287" s="825"/>
      <c r="BG287" s="825"/>
      <c r="BH287" s="825"/>
      <c r="BI287" s="825"/>
      <c r="BJ287" s="825"/>
      <c r="BK287" s="825"/>
      <c r="BL287" s="825"/>
      <c r="BM287" s="825"/>
      <c r="BN287" s="825"/>
      <c r="BO287" s="825"/>
      <c r="BP287" s="825"/>
      <c r="BQ287" s="825"/>
      <c r="BR287" s="825"/>
      <c r="BS287" s="825"/>
      <c r="BT287" s="825"/>
      <c r="BU287" s="825"/>
      <c r="BV287" s="825"/>
      <c r="BW287" s="825"/>
      <c r="BX287" s="825"/>
      <c r="BY287" s="825"/>
      <c r="BZ287" s="825"/>
      <c r="CA287" s="825"/>
      <c r="CB287" s="825"/>
      <c r="CC287" s="825"/>
    </row>
    <row r="288" spans="1:81" ht="47.25" customHeight="1" x14ac:dyDescent="0.25">
      <c r="A288" s="273"/>
      <c r="B288" s="672"/>
      <c r="C288" s="1606"/>
      <c r="D288" s="1565"/>
      <c r="E288" s="1565"/>
      <c r="F288" s="1536"/>
      <c r="G288" s="1095"/>
      <c r="H288" s="1116"/>
      <c r="I288" s="1058"/>
      <c r="J288" s="678"/>
      <c r="K288" s="1028"/>
      <c r="L288" s="1028"/>
      <c r="M288" s="645" t="s">
        <v>489</v>
      </c>
      <c r="N288" s="733" t="str">
        <f>N13</f>
        <v xml:space="preserve">Tráfico de títulos de propiedad y contratos de cesión en uso </v>
      </c>
      <c r="O288" s="837" t="str">
        <f t="shared" si="7"/>
        <v>Corrupción</v>
      </c>
      <c r="P288" s="855" t="e">
        <f>#REF!</f>
        <v>#REF!</v>
      </c>
      <c r="Q288" s="534" t="str">
        <f>AG9</f>
        <v xml:space="preserve">Transparencia en procesos de formalización de la propiedad rural y cesión en uso </v>
      </c>
      <c r="R288" s="537" t="s">
        <v>566</v>
      </c>
      <c r="S288" s="539" t="s">
        <v>526</v>
      </c>
      <c r="T288" s="519" t="str">
        <f>AF9</f>
        <v>SCR1</v>
      </c>
      <c r="U288" s="628"/>
      <c r="V288" s="478"/>
      <c r="W288" s="478"/>
      <c r="X288" s="273"/>
      <c r="Y288" s="825"/>
      <c r="Z288" s="825"/>
      <c r="AA288" s="825"/>
      <c r="AB288" s="825"/>
      <c r="AC288" s="825"/>
      <c r="AD288" s="825"/>
      <c r="AE288" s="825"/>
      <c r="AF288" s="825"/>
      <c r="AG288" s="825"/>
      <c r="AH288" s="825"/>
      <c r="AI288" s="825"/>
      <c r="AJ288" s="825"/>
      <c r="AK288" s="825"/>
      <c r="AL288" s="825"/>
      <c r="AM288" s="825"/>
      <c r="AN288" s="825"/>
      <c r="AO288" s="825"/>
      <c r="AP288" s="825"/>
      <c r="AQ288" s="825"/>
      <c r="AR288" s="825"/>
      <c r="AS288" s="825"/>
      <c r="AT288" s="825"/>
      <c r="AU288" s="825"/>
      <c r="AV288" s="825"/>
      <c r="AW288" s="825"/>
      <c r="AX288" s="825"/>
      <c r="BA288" s="825"/>
      <c r="BB288" s="825"/>
      <c r="BC288" s="825"/>
      <c r="BD288" s="825"/>
      <c r="BE288" s="825"/>
      <c r="BF288" s="825"/>
      <c r="BG288" s="825"/>
      <c r="BH288" s="825"/>
      <c r="BI288" s="825"/>
      <c r="BJ288" s="825"/>
      <c r="BK288" s="825"/>
      <c r="BL288" s="825"/>
      <c r="BM288" s="825"/>
      <c r="BN288" s="825"/>
      <c r="BO288" s="825"/>
      <c r="BP288" s="825"/>
      <c r="BQ288" s="825"/>
      <c r="BR288" s="825"/>
      <c r="BS288" s="825"/>
      <c r="BT288" s="825"/>
      <c r="BU288" s="825"/>
      <c r="BV288" s="825"/>
      <c r="BW288" s="825"/>
      <c r="BX288" s="825"/>
      <c r="BY288" s="825"/>
      <c r="BZ288" s="825"/>
      <c r="CA288" s="825"/>
      <c r="CB288" s="825"/>
      <c r="CC288" s="825"/>
    </row>
    <row r="289" spans="1:81" ht="35.35" customHeight="1" x14ac:dyDescent="0.25">
      <c r="A289" s="273"/>
      <c r="B289" s="672"/>
      <c r="C289" s="1606"/>
      <c r="D289" s="1565"/>
      <c r="E289" s="1565"/>
      <c r="F289" s="1536"/>
      <c r="G289" s="1095"/>
      <c r="H289" s="1116"/>
      <c r="I289" s="1058"/>
      <c r="J289" s="678"/>
      <c r="K289" s="1028"/>
      <c r="L289" s="1028"/>
      <c r="M289" s="645" t="s">
        <v>489</v>
      </c>
      <c r="N289" s="737" t="str">
        <f>N14</f>
        <v>Exclusión de mujeres propietarias en títulos de propiedad o contratos de cesión en uso</v>
      </c>
      <c r="O289" s="837" t="str">
        <f t="shared" si="7"/>
        <v>Género</v>
      </c>
      <c r="P289" s="855" t="str">
        <f>AC6</f>
        <v>GN</v>
      </c>
      <c r="Q289" s="534" t="str">
        <f>AJ9</f>
        <v xml:space="preserve">Incorporación de cónyuges o convivientes en títulos de propiedad y contratos de cesión en uso </v>
      </c>
      <c r="R289" s="534" t="s">
        <v>576</v>
      </c>
      <c r="S289" s="538" t="s">
        <v>507</v>
      </c>
      <c r="T289" s="519" t="str">
        <f>AI9</f>
        <v>SGN1</v>
      </c>
      <c r="U289" s="628"/>
      <c r="V289" s="478"/>
      <c r="W289" s="478"/>
      <c r="X289" s="273"/>
      <c r="Y289" s="825"/>
      <c r="Z289" s="825"/>
      <c r="AA289" s="825"/>
      <c r="AB289" s="825"/>
      <c r="AC289" s="825"/>
      <c r="AD289" s="825"/>
      <c r="AE289" s="825"/>
      <c r="AF289" s="825"/>
      <c r="AG289" s="825"/>
      <c r="AH289" s="825"/>
      <c r="AI289" s="825"/>
      <c r="AJ289" s="825"/>
      <c r="AK289" s="825"/>
      <c r="AL289" s="825"/>
      <c r="AM289" s="825"/>
      <c r="AN289" s="825"/>
      <c r="AO289" s="825"/>
      <c r="AP289" s="825"/>
      <c r="AQ289" s="825"/>
      <c r="AR289" s="825"/>
      <c r="AS289" s="825"/>
      <c r="AT289" s="825"/>
      <c r="AU289" s="825"/>
      <c r="AV289" s="825"/>
      <c r="AW289" s="825"/>
      <c r="AX289" s="825"/>
      <c r="BA289" s="825"/>
      <c r="BB289" s="825"/>
      <c r="BC289" s="825"/>
      <c r="BD289" s="825"/>
      <c r="BE289" s="825"/>
      <c r="BF289" s="825"/>
      <c r="BG289" s="825"/>
      <c r="BH289" s="825"/>
      <c r="BI289" s="825"/>
      <c r="BJ289" s="825"/>
      <c r="BK289" s="825"/>
      <c r="BL289" s="825"/>
      <c r="BM289" s="825"/>
      <c r="BN289" s="825"/>
      <c r="BO289" s="825"/>
      <c r="BP289" s="825"/>
      <c r="BQ289" s="825"/>
      <c r="BR289" s="825"/>
      <c r="BS289" s="825"/>
      <c r="BT289" s="825"/>
      <c r="BU289" s="825"/>
      <c r="BV289" s="825"/>
      <c r="BW289" s="825"/>
      <c r="BX289" s="825"/>
      <c r="BY289" s="825"/>
      <c r="BZ289" s="825"/>
      <c r="CA289" s="825"/>
      <c r="CB289" s="825"/>
      <c r="CC289" s="825"/>
    </row>
    <row r="290" spans="1:81" ht="42.8" customHeight="1" x14ac:dyDescent="0.25">
      <c r="A290" s="273"/>
      <c r="B290" s="672"/>
      <c r="C290" s="1607"/>
      <c r="D290" s="1566"/>
      <c r="E290" s="1566"/>
      <c r="F290" s="1543"/>
      <c r="G290" s="1092"/>
      <c r="H290" s="1113"/>
      <c r="I290" s="1061"/>
      <c r="J290" s="679"/>
      <c r="K290" s="1021"/>
      <c r="L290" s="1021"/>
      <c r="M290" s="645" t="s">
        <v>489</v>
      </c>
      <c r="N290" s="730" t="str">
        <f>N15</f>
        <v>Otorgamiento de derechos sobre la tierra / bosques en zonas con patrimonio cultural</v>
      </c>
      <c r="O290" s="837" t="str">
        <f t="shared" si="7"/>
        <v>Patrimonio cultural</v>
      </c>
      <c r="P290" s="536" t="str">
        <f>AI6</f>
        <v>PC</v>
      </c>
      <c r="Q290" s="534" t="str">
        <f>AV9</f>
        <v>Evaluación de superposición del área solicitada para titulación de predios rurales con áreas determinadas como patrimonio cultural</v>
      </c>
      <c r="R290" s="538" t="s">
        <v>586</v>
      </c>
      <c r="S290" s="540" t="s">
        <v>542</v>
      </c>
      <c r="T290" s="519" t="str">
        <f>AU9</f>
        <v>SPC1</v>
      </c>
      <c r="U290" s="628"/>
      <c r="V290" s="478"/>
      <c r="W290" s="478"/>
      <c r="X290" s="273"/>
      <c r="Y290" s="825"/>
      <c r="Z290" s="825"/>
      <c r="AA290" s="825"/>
      <c r="AB290" s="825"/>
      <c r="AC290" s="825"/>
      <c r="AD290" s="825"/>
      <c r="AE290" s="825"/>
      <c r="AF290" s="825"/>
      <c r="AG290" s="825"/>
      <c r="AH290" s="825"/>
      <c r="AI290" s="825"/>
      <c r="AJ290" s="825"/>
      <c r="AK290" s="825"/>
      <c r="AL290" s="825"/>
      <c r="AM290" s="825"/>
      <c r="AN290" s="825"/>
      <c r="AO290" s="825"/>
      <c r="AP290" s="825"/>
      <c r="AQ290" s="825"/>
      <c r="AR290" s="825"/>
      <c r="AS290" s="825"/>
      <c r="AT290" s="825"/>
      <c r="AU290" s="825"/>
      <c r="AV290" s="825"/>
      <c r="AW290" s="825"/>
      <c r="AX290" s="825"/>
      <c r="BA290" s="825"/>
      <c r="BB290" s="825"/>
      <c r="BC290" s="825"/>
      <c r="BD290" s="825"/>
      <c r="BE290" s="825"/>
      <c r="BF290" s="825"/>
      <c r="BG290" s="825"/>
      <c r="BH290" s="825"/>
      <c r="BI290" s="825"/>
      <c r="BJ290" s="825"/>
      <c r="BK290" s="825"/>
      <c r="BL290" s="825"/>
      <c r="BM290" s="825"/>
      <c r="BN290" s="825"/>
      <c r="BO290" s="825"/>
      <c r="BP290" s="825"/>
      <c r="BQ290" s="825"/>
      <c r="BR290" s="825"/>
      <c r="BS290" s="825"/>
      <c r="BT290" s="825"/>
      <c r="BU290" s="825"/>
      <c r="BV290" s="825"/>
      <c r="BW290" s="825"/>
      <c r="BX290" s="825"/>
      <c r="BY290" s="825"/>
      <c r="BZ290" s="825"/>
      <c r="CA290" s="825"/>
      <c r="CB290" s="825"/>
      <c r="CC290" s="825"/>
    </row>
    <row r="291" spans="1:81" ht="141.80000000000001" customHeight="1" x14ac:dyDescent="0.25">
      <c r="A291" s="273"/>
      <c r="B291" s="672" t="s">
        <v>873</v>
      </c>
      <c r="C291" s="842" t="str">
        <f>'8. BASE  CONSOLIDADA'!E208</f>
        <v>3.1.2</v>
      </c>
      <c r="D291" s="1069" t="str">
        <f>'8. BASE  CONSOLIDADA'!F208</f>
        <v>Asistencia técnica con enfoque bajo en emisiones</v>
      </c>
      <c r="E291" s="1069" t="str">
        <f>'8. BASE  CONSOLIDADA'!G208</f>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v>
      </c>
      <c r="F291" s="836" t="str">
        <f>'8. BASE  CONSOLIDADA'!C208</f>
        <v>Predios de agricultura familiar con producción destinada al autoconsumo y productos de exportación, con título o sin título de propiedad.</v>
      </c>
      <c r="G291" s="1019" t="str">
        <f>VLOOKUP($C291,'8. BASE  CONSOLIDADA'!$E$7:$AS$308,13,FALSE)</f>
        <v>Productores asistidos</v>
      </c>
      <c r="H291" s="1109">
        <f>VLOOKUP($C291,'8. BASE  CONSOLIDADA'!$E$7:$AS$308,15,FALSE)</f>
        <v>17893.8</v>
      </c>
      <c r="I291" s="1058">
        <f>VLOOKUP(C291,'8. BASE  CONSOLIDADA'!$E$7:$AS$308,20,FALSE)</f>
        <v>10020528</v>
      </c>
      <c r="J291" s="678">
        <f>I291*$J$6</f>
        <v>6813.9590400000006</v>
      </c>
      <c r="K291" s="1020"/>
      <c r="L291" s="1029"/>
      <c r="M291" s="645" t="s">
        <v>489</v>
      </c>
      <c r="N291" s="731" t="str">
        <f>N16</f>
        <v>Exclusión de mujeres rurales en programas de asistencia técnica</v>
      </c>
      <c r="O291" s="837" t="str">
        <f t="shared" si="7"/>
        <v>Género</v>
      </c>
      <c r="P291" s="544" t="str">
        <f>AC6</f>
        <v>GN</v>
      </c>
      <c r="Q291" s="542" t="str">
        <f>AJ10</f>
        <v>Programas de asistencia técnica y proyectos específicos para mujeres rurales y mujeres indígenas</v>
      </c>
      <c r="R291" s="542" t="s">
        <v>596</v>
      </c>
      <c r="S291" s="545" t="s">
        <v>507</v>
      </c>
      <c r="T291" s="519" t="s">
        <v>533</v>
      </c>
      <c r="U291" s="628"/>
      <c r="V291" s="478"/>
      <c r="W291" s="478"/>
      <c r="X291" s="273"/>
      <c r="Y291" s="825"/>
      <c r="Z291" s="825"/>
      <c r="AA291" s="825"/>
      <c r="AB291" s="825"/>
      <c r="AC291" s="825"/>
      <c r="AD291" s="825"/>
      <c r="AE291" s="825"/>
      <c r="AF291" s="825"/>
      <c r="AG291" s="825"/>
      <c r="AH291" s="825"/>
      <c r="AI291" s="825"/>
      <c r="AJ291" s="825"/>
      <c r="AK291" s="825"/>
      <c r="AL291" s="825"/>
      <c r="AM291" s="825"/>
      <c r="AN291" s="825"/>
      <c r="AO291" s="825"/>
      <c r="AP291" s="825"/>
      <c r="AQ291" s="825"/>
      <c r="AR291" s="825"/>
      <c r="AS291" s="825"/>
      <c r="AT291" s="825"/>
      <c r="AU291" s="825"/>
      <c r="AV291" s="825"/>
      <c r="AW291" s="825"/>
      <c r="AX291" s="825"/>
      <c r="BA291" s="825"/>
      <c r="BB291" s="825"/>
      <c r="BC291" s="825"/>
      <c r="BD291" s="825"/>
      <c r="BE291" s="825"/>
      <c r="BF291" s="825"/>
      <c r="BG291" s="825"/>
      <c r="BH291" s="825"/>
      <c r="BI291" s="825"/>
      <c r="BJ291" s="825"/>
      <c r="BK291" s="825"/>
      <c r="BL291" s="825"/>
      <c r="BM291" s="825"/>
      <c r="BN291" s="825"/>
      <c r="BO291" s="825"/>
      <c r="BP291" s="825"/>
      <c r="BQ291" s="825"/>
      <c r="BR291" s="825"/>
      <c r="BS291" s="825"/>
      <c r="BT291" s="825"/>
      <c r="BU291" s="825"/>
      <c r="BV291" s="825"/>
      <c r="BW291" s="825"/>
      <c r="BX291" s="825"/>
      <c r="BY291" s="825"/>
      <c r="BZ291" s="825"/>
      <c r="CA291" s="825"/>
      <c r="CB291" s="825"/>
      <c r="CC291" s="825"/>
    </row>
    <row r="292" spans="1:81" ht="43.5" customHeight="1" x14ac:dyDescent="0.25">
      <c r="A292" s="273"/>
      <c r="B292" s="672" t="s">
        <v>873</v>
      </c>
      <c r="C292" s="1571" t="str">
        <f>'8. BASE  CONSOLIDADA'!E212</f>
        <v>3.1.6</v>
      </c>
      <c r="D292" s="1564" t="str">
        <f>'8. BASE  CONSOLIDADA'!F212</f>
        <v xml:space="preserve">Reconversión y diversificación productiva </v>
      </c>
      <c r="E292" s="1564" t="str">
        <f>'8. BASE  CONSOLIDADA'!G212</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F292" s="1538" t="str">
        <f>'8. BASE  CONSOLIDADA'!C212</f>
        <v>Predios de agricultura familiar con producción destinada al autoconsumo y productos de exportación, con título o sin título de propiedad.</v>
      </c>
      <c r="G292" s="1019" t="str">
        <f>VLOOKUP($C292,'8. BASE  CONSOLIDADA'!$E$7:$AS$308,13,FALSE)</f>
        <v>Hectáreas reconvertidas</v>
      </c>
      <c r="H292" s="1109">
        <f>VLOOKUP($C292,'8. BASE  CONSOLIDADA'!$E$7:$AS$308,15,FALSE)</f>
        <v>1400.5600000000002</v>
      </c>
      <c r="I292" s="1058">
        <f>VLOOKUP(C292,'8. BASE  CONSOLIDADA'!$E$7:$AS$308,20,FALSE)</f>
        <v>21008400.000000004</v>
      </c>
      <c r="J292" s="678">
        <f>I292*$J$6</f>
        <v>14285.712000000003</v>
      </c>
      <c r="K292" s="396"/>
      <c r="L292" s="396"/>
      <c r="M292" s="645" t="s">
        <v>489</v>
      </c>
      <c r="N292" s="724" t="str">
        <f>N17</f>
        <v>Especies exóticas o invasoras en bosques colindantes</v>
      </c>
      <c r="O292" s="837" t="str">
        <f t="shared" si="7"/>
        <v>Biodiversidad y recursos naturales</v>
      </c>
      <c r="P292" s="544" t="e">
        <f>#REF!</f>
        <v>#REF!</v>
      </c>
      <c r="Q292" s="542" t="str">
        <f>AA12</f>
        <v xml:space="preserve">Ordenamiento agroterritorial como estrategia para ordenar y promover el desarrollo agrario regional </v>
      </c>
      <c r="R292" s="542" t="s">
        <v>656</v>
      </c>
      <c r="S292" s="545" t="s">
        <v>492</v>
      </c>
      <c r="T292" s="519" t="str">
        <f>Z12</f>
        <v>SBRN4</v>
      </c>
      <c r="U292" s="628"/>
      <c r="V292" s="478"/>
      <c r="W292" s="478"/>
      <c r="X292" s="273"/>
      <c r="Y292" s="825"/>
      <c r="Z292" s="825"/>
      <c r="AA292" s="825"/>
      <c r="AB292" s="825"/>
      <c r="AC292" s="825"/>
      <c r="AD292" s="825"/>
      <c r="AE292" s="825"/>
      <c r="AF292" s="825"/>
      <c r="AG292" s="825"/>
      <c r="AH292" s="825"/>
      <c r="AI292" s="825"/>
      <c r="AJ292" s="825"/>
      <c r="AK292" s="825"/>
      <c r="AL292" s="825"/>
      <c r="AM292" s="825"/>
      <c r="AN292" s="825"/>
      <c r="AO292" s="825"/>
      <c r="AP292" s="825"/>
      <c r="AQ292" s="825"/>
      <c r="AR292" s="825"/>
      <c r="AS292" s="825"/>
      <c r="AT292" s="825"/>
      <c r="AU292" s="825"/>
      <c r="AV292" s="825"/>
      <c r="AW292" s="825"/>
      <c r="AX292" s="825"/>
      <c r="BA292" s="825"/>
      <c r="BB292" s="825"/>
      <c r="BC292" s="825"/>
      <c r="BD292" s="825"/>
      <c r="BE292" s="825"/>
      <c r="BF292" s="825"/>
      <c r="BG292" s="825"/>
      <c r="BH292" s="825"/>
      <c r="BI292" s="825"/>
      <c r="BJ292" s="825"/>
      <c r="BK292" s="825"/>
      <c r="BL292" s="825"/>
      <c r="BM292" s="825"/>
      <c r="BN292" s="825"/>
      <c r="BO292" s="825"/>
      <c r="BP292" s="825"/>
      <c r="BQ292" s="825"/>
      <c r="BR292" s="825"/>
      <c r="BS292" s="825"/>
      <c r="BT292" s="825"/>
      <c r="BU292" s="825"/>
      <c r="BV292" s="825"/>
      <c r="BW292" s="825"/>
      <c r="BX292" s="825"/>
      <c r="BY292" s="825"/>
      <c r="BZ292" s="825"/>
      <c r="CA292" s="825"/>
      <c r="CB292" s="825"/>
      <c r="CC292" s="825"/>
    </row>
    <row r="293" spans="1:81" s="531" customFormat="1" ht="47.25" customHeight="1" x14ac:dyDescent="0.25">
      <c r="A293" s="273"/>
      <c r="B293" s="672"/>
      <c r="C293" s="1572"/>
      <c r="D293" s="1565"/>
      <c r="E293" s="1565"/>
      <c r="F293" s="1539"/>
      <c r="G293" s="1094"/>
      <c r="H293" s="1115"/>
      <c r="I293" s="1058"/>
      <c r="J293" s="678"/>
      <c r="K293" s="1028">
        <v>17</v>
      </c>
      <c r="L293" s="1028">
        <f>K293*H292</f>
        <v>23809.520000000004</v>
      </c>
      <c r="M293" s="641" t="s">
        <v>874</v>
      </c>
      <c r="N293" s="724" t="str">
        <f>N17</f>
        <v>Especies exóticas o invasoras en bosques colindantes</v>
      </c>
      <c r="O293" s="837" t="str">
        <f t="shared" si="7"/>
        <v>Biodiversidad y recursos naturales</v>
      </c>
      <c r="P293" s="544" t="e">
        <f>#REF!</f>
        <v>#REF!</v>
      </c>
      <c r="Q293" s="542" t="str">
        <f>AA13</f>
        <v xml:space="preserve">Inclusión de cláusulas de monitoreo y control de especies exóticas e invasoras en proyectos de promoción agrarios  </v>
      </c>
      <c r="R293" s="542" t="s">
        <v>614</v>
      </c>
      <c r="S293" s="545" t="s">
        <v>492</v>
      </c>
      <c r="T293" s="519" t="str">
        <f>Z13</f>
        <v>SBRN5</v>
      </c>
      <c r="U293" s="628"/>
      <c r="V293" s="478"/>
      <c r="W293" s="478"/>
      <c r="X293" s="273"/>
      <c r="Y293" s="825"/>
      <c r="Z293" s="825"/>
      <c r="AA293" s="825"/>
      <c r="AB293" s="825"/>
      <c r="AC293" s="825"/>
      <c r="AD293" s="825"/>
      <c r="AE293" s="825"/>
      <c r="AF293" s="825"/>
      <c r="AG293" s="825"/>
      <c r="AH293" s="825"/>
      <c r="AI293" s="825"/>
      <c r="AJ293" s="825"/>
      <c r="AK293" s="825"/>
      <c r="AL293" s="825"/>
      <c r="AM293" s="825"/>
      <c r="AN293" s="825"/>
      <c r="AO293" s="825"/>
      <c r="AP293" s="825"/>
      <c r="AQ293" s="825"/>
      <c r="AR293" s="825"/>
      <c r="AS293" s="825"/>
      <c r="AT293" s="825"/>
      <c r="AU293" s="825"/>
      <c r="AV293" s="825"/>
      <c r="AW293" s="825"/>
      <c r="AX293" s="825"/>
      <c r="AY293" s="273"/>
      <c r="AZ293" s="273"/>
      <c r="BA293" s="825"/>
      <c r="BB293" s="825"/>
      <c r="BC293" s="825"/>
      <c r="BD293" s="825"/>
      <c r="BE293" s="825"/>
      <c r="BF293" s="825"/>
      <c r="BG293" s="825"/>
      <c r="BH293" s="825"/>
      <c r="BI293" s="825"/>
      <c r="BJ293" s="825"/>
      <c r="BK293" s="825"/>
      <c r="BL293" s="825"/>
      <c r="BM293" s="825"/>
      <c r="BN293" s="825"/>
      <c r="BO293" s="825"/>
      <c r="BP293" s="825"/>
      <c r="BQ293" s="825"/>
      <c r="BR293" s="825"/>
      <c r="BS293" s="825"/>
      <c r="BT293" s="825"/>
      <c r="BU293" s="825"/>
      <c r="BV293" s="825"/>
      <c r="BW293" s="825"/>
      <c r="BX293" s="825"/>
      <c r="BY293" s="825"/>
      <c r="BZ293" s="825"/>
      <c r="CA293" s="825"/>
      <c r="CB293" s="825"/>
      <c r="CC293" s="825"/>
    </row>
    <row r="294" spans="1:81" s="531" customFormat="1" ht="63" customHeight="1" x14ac:dyDescent="0.25">
      <c r="A294" s="273"/>
      <c r="B294" s="672"/>
      <c r="C294" s="1573"/>
      <c r="D294" s="1566"/>
      <c r="E294" s="1566"/>
      <c r="F294" s="1560"/>
      <c r="G294" s="1093"/>
      <c r="H294" s="1114"/>
      <c r="I294" s="1061"/>
      <c r="J294" s="679"/>
      <c r="K294" s="1021"/>
      <c r="L294" s="1029"/>
      <c r="M294" s="645" t="s">
        <v>489</v>
      </c>
      <c r="N294" s="731" t="str">
        <f t="shared" ref="N294:N300" si="8">N19</f>
        <v>Cultivos elegibles para reconversión no logran obtener los máximos beneficios en las zonas seleccionadas</v>
      </c>
      <c r="O294" s="837" t="str">
        <f t="shared" si="7"/>
        <v>Vulnerabilidad al cambio climático</v>
      </c>
      <c r="P294" s="544" t="e">
        <f>#REF!</f>
        <v>#REF!</v>
      </c>
      <c r="Q294" s="542" t="str">
        <f>AS9</f>
        <v xml:space="preserve">Los cultivos deben ser aptos para las zonas en los programas de reconversión productiva </v>
      </c>
      <c r="R294" s="542" t="s">
        <v>623</v>
      </c>
      <c r="S294" s="545" t="s">
        <v>507</v>
      </c>
      <c r="T294" s="519" t="str">
        <f>AR9</f>
        <v>SVCC1</v>
      </c>
      <c r="U294" s="628"/>
      <c r="V294" s="478"/>
      <c r="W294" s="478"/>
      <c r="X294" s="273"/>
      <c r="Y294" s="825"/>
      <c r="Z294" s="825"/>
      <c r="AA294" s="825"/>
      <c r="AB294" s="825"/>
      <c r="AC294" s="825"/>
      <c r="AD294" s="825"/>
      <c r="AE294" s="825"/>
      <c r="AF294" s="825"/>
      <c r="AG294" s="825"/>
      <c r="AH294" s="825"/>
      <c r="AI294" s="825"/>
      <c r="AJ294" s="825"/>
      <c r="AK294" s="825"/>
      <c r="AL294" s="825"/>
      <c r="AM294" s="825"/>
      <c r="AN294" s="825"/>
      <c r="AO294" s="825"/>
      <c r="AP294" s="825"/>
      <c r="AQ294" s="825"/>
      <c r="AR294" s="825"/>
      <c r="AS294" s="825"/>
      <c r="AT294" s="825"/>
      <c r="AU294" s="825"/>
      <c r="AV294" s="825"/>
      <c r="AW294" s="825"/>
      <c r="AX294" s="825"/>
      <c r="AY294" s="273"/>
      <c r="AZ294" s="273"/>
      <c r="BA294" s="825"/>
      <c r="BB294" s="825"/>
      <c r="BC294" s="825"/>
      <c r="BD294" s="825"/>
      <c r="BE294" s="825"/>
      <c r="BF294" s="825"/>
      <c r="BG294" s="825"/>
      <c r="BH294" s="825"/>
      <c r="BI294" s="825"/>
      <c r="BJ294" s="825"/>
      <c r="BK294" s="825"/>
      <c r="BL294" s="825"/>
      <c r="BM294" s="825"/>
      <c r="BN294" s="825"/>
      <c r="BO294" s="825"/>
      <c r="BP294" s="825"/>
      <c r="BQ294" s="825"/>
      <c r="BR294" s="825"/>
      <c r="BS294" s="825"/>
      <c r="BT294" s="825"/>
      <c r="BU294" s="825"/>
      <c r="BV294" s="825"/>
      <c r="BW294" s="825"/>
      <c r="BX294" s="825"/>
      <c r="BY294" s="825"/>
      <c r="BZ294" s="825"/>
      <c r="CA294" s="825"/>
      <c r="CB294" s="825"/>
      <c r="CC294" s="825"/>
    </row>
    <row r="295" spans="1:81" ht="145.55000000000001" customHeight="1" x14ac:dyDescent="0.25">
      <c r="A295" s="273"/>
      <c r="B295" s="672" t="s">
        <v>873</v>
      </c>
      <c r="C295" s="842" t="str">
        <f>'8. BASE  CONSOLIDADA'!E213</f>
        <v>3.1.7</v>
      </c>
      <c r="D295" s="1069" t="str">
        <f>'8. BASE  CONSOLIDADA'!F213</f>
        <v>Promoción de agricultura familiar con enfoque de mercado</v>
      </c>
      <c r="E295" s="1069" t="str">
        <f>'8. BASE  CONSOLIDADA'!G213</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F295" s="836" t="str">
        <f>'8. BASE  CONSOLIDADA'!C213</f>
        <v>Predios de agricultura familiar con producción destinada al autoconsumo y productos de exportación, con título o sin título de propiedad.</v>
      </c>
      <c r="G295" s="1019" t="str">
        <f>VLOOKUP($C295,'8. BASE  CONSOLIDADA'!$E$7:$AS$308,13,FALSE)</f>
        <v>Productores beneficiados</v>
      </c>
      <c r="H295" s="1109">
        <f>VLOOKUP($C295,'8. BASE  CONSOLIDADA'!$E$7:$AS$308,15,FALSE)</f>
        <v>2982.3</v>
      </c>
      <c r="I295" s="1058">
        <f>VLOOKUP(C295,'8. BASE  CONSOLIDADA'!$E$7:$AS$308,20,FALSE)</f>
        <v>38471670</v>
      </c>
      <c r="J295" s="678">
        <f>I295*$J$6</f>
        <v>26160.735600000004</v>
      </c>
      <c r="K295" s="1020"/>
      <c r="L295" s="1029"/>
      <c r="M295" s="645" t="s">
        <v>489</v>
      </c>
      <c r="N295" s="723" t="str">
        <f t="shared" si="8"/>
        <v>Exclusión de mujeres rurales en programas de agricultura familiar</v>
      </c>
      <c r="O295" s="837" t="str">
        <f t="shared" si="7"/>
        <v>Género</v>
      </c>
      <c r="P295" s="544" t="str">
        <f>AC6</f>
        <v>GN</v>
      </c>
      <c r="Q295" s="542" t="str">
        <f>AJ10</f>
        <v>Programas de asistencia técnica y proyectos específicos para mujeres rurales y mujeres indígenas</v>
      </c>
      <c r="R295" s="542" t="s">
        <v>596</v>
      </c>
      <c r="S295" s="545" t="s">
        <v>507</v>
      </c>
      <c r="T295" s="519" t="str">
        <f>AI10</f>
        <v>SGN2</v>
      </c>
      <c r="U295" s="628"/>
      <c r="V295" s="478"/>
      <c r="W295" s="478"/>
      <c r="X295" s="273"/>
      <c r="Y295" s="825"/>
      <c r="Z295" s="825"/>
      <c r="AA295" s="825"/>
      <c r="AB295" s="825"/>
      <c r="AC295" s="825"/>
      <c r="AD295" s="825"/>
      <c r="AE295" s="825"/>
      <c r="AF295" s="825"/>
      <c r="AG295" s="825"/>
      <c r="AH295" s="825"/>
      <c r="AI295" s="825"/>
      <c r="AJ295" s="825"/>
      <c r="AK295" s="825"/>
      <c r="AL295" s="825"/>
      <c r="AM295" s="825"/>
      <c r="AN295" s="825"/>
      <c r="AO295" s="825"/>
      <c r="AP295" s="825"/>
      <c r="AQ295" s="825"/>
      <c r="AR295" s="825"/>
      <c r="AS295" s="825"/>
      <c r="AT295" s="825"/>
      <c r="AU295" s="825"/>
      <c r="AV295" s="825"/>
      <c r="AW295" s="825"/>
      <c r="AX295" s="825"/>
      <c r="BA295" s="825"/>
      <c r="BB295" s="825"/>
      <c r="BC295" s="825"/>
      <c r="BD295" s="825"/>
      <c r="BE295" s="825"/>
      <c r="BF295" s="825"/>
      <c r="BG295" s="825"/>
      <c r="BH295" s="825"/>
      <c r="BI295" s="825"/>
      <c r="BJ295" s="825"/>
      <c r="BK295" s="825"/>
      <c r="BL295" s="825"/>
      <c r="BM295" s="825"/>
      <c r="BN295" s="825"/>
      <c r="BO295" s="825"/>
      <c r="BP295" s="825"/>
      <c r="BQ295" s="825"/>
      <c r="BR295" s="825"/>
      <c r="BS295" s="825"/>
      <c r="BT295" s="825"/>
      <c r="BU295" s="825"/>
      <c r="BV295" s="825"/>
      <c r="BW295" s="825"/>
      <c r="BX295" s="825"/>
      <c r="BY295" s="825"/>
      <c r="BZ295" s="825"/>
      <c r="CA295" s="825"/>
      <c r="CB295" s="825"/>
      <c r="CC295" s="825"/>
    </row>
    <row r="296" spans="1:81" ht="47.25" customHeight="1" x14ac:dyDescent="0.25">
      <c r="A296" s="273"/>
      <c r="B296" s="672" t="s">
        <v>873</v>
      </c>
      <c r="C296" s="1571" t="str">
        <f>'8. BASE  CONSOLIDADA'!E214</f>
        <v>3.1.8</v>
      </c>
      <c r="D296" s="1564" t="str">
        <f>'8. BASE  CONSOLIDADA'!F214</f>
        <v>Asistencia técnica para el desarrollo de la acuicultura</v>
      </c>
      <c r="E296" s="1564" t="str">
        <f>'8. BASE  CONSOLIDADA'!G214</f>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v>
      </c>
      <c r="F296" s="1538" t="str">
        <f>'8. BASE  CONSOLIDADA'!C214</f>
        <v>Predios de agricultura familiar con producción destinada al autoconsumo y productos de exportación, con título o sin título de propiedad.</v>
      </c>
      <c r="G296" s="1019" t="str">
        <f>VLOOKUP($C296,'8. BASE  CONSOLIDADA'!$E$7:$AS$308,13,FALSE)</f>
        <v>Acuicultores asistidos</v>
      </c>
      <c r="H296" s="1109">
        <f>VLOOKUP($C296,'8. BASE  CONSOLIDADA'!$E$7:$AS$308,15,FALSE)</f>
        <v>431</v>
      </c>
      <c r="I296" s="1058">
        <f>VLOOKUP(C296,'8. BASE  CONSOLIDADA'!$E$7:$AS$308,20,FALSE)</f>
        <v>241360</v>
      </c>
      <c r="J296" s="678">
        <f>I296*$J$6</f>
        <v>164.12480000000002</v>
      </c>
      <c r="K296" s="1028">
        <v>17</v>
      </c>
      <c r="L296" s="1021">
        <f>K296*H296</f>
        <v>7327</v>
      </c>
      <c r="M296" s="641" t="s">
        <v>874</v>
      </c>
      <c r="N296" s="731" t="str">
        <f t="shared" si="8"/>
        <v>Especies exóticas o invasoras en cuerpos de agua colindantes</v>
      </c>
      <c r="O296" s="837" t="str">
        <f t="shared" si="7"/>
        <v>Biodiversidad y recursos naturales</v>
      </c>
      <c r="P296" s="544" t="e">
        <f>#REF!</f>
        <v>#REF!</v>
      </c>
      <c r="Q296" s="542" t="str">
        <f>AA13</f>
        <v xml:space="preserve">Inclusión de cláusulas de monitoreo y control de especies exóticas e invasoras en proyectos de promoción agrarios  </v>
      </c>
      <c r="R296" s="542" t="s">
        <v>614</v>
      </c>
      <c r="S296" s="545" t="s">
        <v>492</v>
      </c>
      <c r="T296" s="519" t="str">
        <f>Z13</f>
        <v>SBRN5</v>
      </c>
      <c r="U296" s="628"/>
      <c r="V296" s="478"/>
      <c r="W296" s="478"/>
      <c r="X296" s="273"/>
      <c r="Y296" s="825"/>
      <c r="Z296" s="825"/>
      <c r="AA296" s="825"/>
      <c r="AB296" s="825"/>
      <c r="AC296" s="825"/>
      <c r="AD296" s="825"/>
      <c r="AE296" s="825"/>
      <c r="AF296" s="825"/>
      <c r="AG296" s="825"/>
      <c r="AH296" s="825"/>
      <c r="AI296" s="825"/>
      <c r="AJ296" s="825"/>
      <c r="AK296" s="825"/>
      <c r="AL296" s="825"/>
      <c r="AM296" s="825"/>
      <c r="AN296" s="825"/>
      <c r="AO296" s="825"/>
      <c r="AP296" s="825"/>
      <c r="AQ296" s="825"/>
      <c r="AR296" s="825"/>
      <c r="AS296" s="825"/>
      <c r="AT296" s="825"/>
      <c r="AU296" s="825"/>
      <c r="AV296" s="825"/>
      <c r="AW296" s="825"/>
      <c r="AX296" s="825"/>
      <c r="BA296" s="825"/>
      <c r="BB296" s="825"/>
      <c r="BC296" s="825"/>
      <c r="BD296" s="825"/>
      <c r="BE296" s="825"/>
      <c r="BF296" s="825"/>
      <c r="BG296" s="825"/>
      <c r="BH296" s="825"/>
      <c r="BI296" s="825"/>
      <c r="BJ296" s="825"/>
      <c r="BK296" s="825"/>
      <c r="BL296" s="825"/>
      <c r="BM296" s="825"/>
      <c r="BN296" s="825"/>
      <c r="BO296" s="825"/>
      <c r="BP296" s="825"/>
      <c r="BQ296" s="825"/>
      <c r="BR296" s="825"/>
      <c r="BS296" s="825"/>
      <c r="BT296" s="825"/>
      <c r="BU296" s="825"/>
      <c r="BV296" s="825"/>
      <c r="BW296" s="825"/>
      <c r="BX296" s="825"/>
      <c r="BY296" s="825"/>
      <c r="BZ296" s="825"/>
      <c r="CA296" s="825"/>
      <c r="CB296" s="825"/>
      <c r="CC296" s="825"/>
    </row>
    <row r="297" spans="1:81" s="531" customFormat="1" ht="31.6" customHeight="1" x14ac:dyDescent="0.25">
      <c r="A297" s="273"/>
      <c r="B297" s="672"/>
      <c r="C297" s="1573"/>
      <c r="D297" s="1566"/>
      <c r="E297" s="1566"/>
      <c r="F297" s="1560"/>
      <c r="G297" s="1093"/>
      <c r="H297" s="1114"/>
      <c r="I297" s="1061"/>
      <c r="J297" s="679"/>
      <c r="K297" s="1021"/>
      <c r="L297" s="1029"/>
      <c r="M297" s="645" t="s">
        <v>489</v>
      </c>
      <c r="N297" s="731" t="str">
        <f t="shared" si="8"/>
        <v>Efluentes de acuicultura vertidos a cuerpos de agua naturales</v>
      </c>
      <c r="O297" s="837" t="str">
        <f t="shared" si="7"/>
        <v>Contaminación</v>
      </c>
      <c r="P297" s="544" t="e">
        <f>#REF!</f>
        <v>#REF!</v>
      </c>
      <c r="Q297" s="542" t="str">
        <f>AM9</f>
        <v xml:space="preserve">Control de aguas residuales de sistemas productivos agrarios a cuerpos de agua naturales </v>
      </c>
      <c r="R297" s="542" t="s">
        <v>647</v>
      </c>
      <c r="S297" s="545" t="s">
        <v>492</v>
      </c>
      <c r="T297" s="519" t="str">
        <f>AL9</f>
        <v>SCT1</v>
      </c>
      <c r="U297" s="628"/>
      <c r="V297" s="478"/>
      <c r="W297" s="478"/>
      <c r="X297" s="273"/>
      <c r="Y297" s="825"/>
      <c r="Z297" s="825"/>
      <c r="AA297" s="825"/>
      <c r="AB297" s="825"/>
      <c r="AC297" s="825"/>
      <c r="AD297" s="825"/>
      <c r="AE297" s="825"/>
      <c r="AF297" s="825"/>
      <c r="AG297" s="825"/>
      <c r="AH297" s="825"/>
      <c r="AI297" s="825"/>
      <c r="AJ297" s="825"/>
      <c r="AK297" s="825"/>
      <c r="AL297" s="825"/>
      <c r="AM297" s="825"/>
      <c r="AN297" s="825"/>
      <c r="AO297" s="825"/>
      <c r="AP297" s="825"/>
      <c r="AQ297" s="825"/>
      <c r="AR297" s="825"/>
      <c r="AS297" s="825"/>
      <c r="AT297" s="825"/>
      <c r="AU297" s="825"/>
      <c r="AV297" s="825"/>
      <c r="AW297" s="825"/>
      <c r="AX297" s="825"/>
      <c r="AY297" s="273"/>
      <c r="AZ297" s="273"/>
      <c r="BA297" s="825"/>
      <c r="BB297" s="825"/>
      <c r="BC297" s="825"/>
      <c r="BD297" s="825"/>
      <c r="BE297" s="825"/>
      <c r="BF297" s="825"/>
      <c r="BG297" s="825"/>
      <c r="BH297" s="825"/>
      <c r="BI297" s="825"/>
      <c r="BJ297" s="825"/>
      <c r="BK297" s="825"/>
      <c r="BL297" s="825"/>
      <c r="BM297" s="825"/>
      <c r="BN297" s="825"/>
      <c r="BO297" s="825"/>
      <c r="BP297" s="825"/>
      <c r="BQ297" s="825"/>
      <c r="BR297" s="825"/>
      <c r="BS297" s="825"/>
      <c r="BT297" s="825"/>
      <c r="BU297" s="825"/>
      <c r="BV297" s="825"/>
      <c r="BW297" s="825"/>
      <c r="BX297" s="825"/>
      <c r="BY297" s="825"/>
      <c r="BZ297" s="825"/>
      <c r="CA297" s="825"/>
      <c r="CB297" s="825"/>
      <c r="CC297" s="825"/>
    </row>
    <row r="298" spans="1:81" ht="49.6" customHeight="1" x14ac:dyDescent="0.25">
      <c r="A298" s="273"/>
      <c r="B298" s="672" t="s">
        <v>873</v>
      </c>
      <c r="C298" s="1571" t="str">
        <f>'8. BASE  CONSOLIDADA'!E215</f>
        <v>3.1.9</v>
      </c>
      <c r="D298" s="1564" t="str">
        <f>'8. BASE  CONSOLIDADA'!F215</f>
        <v xml:space="preserve">Incentivos financieros para la acuicultura </v>
      </c>
      <c r="E298" s="1564" t="str">
        <f>'8. BASE  CONSOLIDADA'!G215</f>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F298" s="1538" t="str">
        <f>'8. BASE  CONSOLIDADA'!C215</f>
        <v>Predios de agricultura familiar con producción destinada al autoconsumo y productos de exportación, con título o sin título de propiedad.</v>
      </c>
      <c r="G298" s="1019" t="str">
        <f>VLOOKUP($C298,'8. BASE  CONSOLIDADA'!$E$7:$AS$308,13,FALSE)</f>
        <v>Créditos otorgados</v>
      </c>
      <c r="H298" s="1109">
        <f>VLOOKUP($C298,'8. BASE  CONSOLIDADA'!$E$7:$AS$308,15,FALSE)</f>
        <v>431</v>
      </c>
      <c r="I298" s="1058">
        <f>VLOOKUP(C298,'8. BASE  CONSOLIDADA'!$E$7:$AS$308,20,FALSE)</f>
        <v>5559900</v>
      </c>
      <c r="J298" s="678">
        <f>I298*$J$6</f>
        <v>3780.7320000000004</v>
      </c>
      <c r="K298" s="1020"/>
      <c r="L298" s="1027"/>
      <c r="M298" s="645" t="s">
        <v>489</v>
      </c>
      <c r="N298" s="740" t="str">
        <f t="shared" si="8"/>
        <v>Deforestación para habilitación de áreas para proyectos de acuicultura</v>
      </c>
      <c r="O298" s="837" t="str">
        <f t="shared" si="7"/>
        <v>Biodiversidad y recursos naturales</v>
      </c>
      <c r="P298" s="544" t="e">
        <f>#REF!</f>
        <v>#REF!</v>
      </c>
      <c r="Q298" s="542" t="str">
        <f>AA12</f>
        <v xml:space="preserve">Ordenamiento agroterritorial como estrategia para ordenar y promover el desarrollo agrario regional </v>
      </c>
      <c r="R298" s="542" t="s">
        <v>656</v>
      </c>
      <c r="S298" s="545" t="s">
        <v>492</v>
      </c>
      <c r="T298" s="519" t="str">
        <f>Z12</f>
        <v>SBRN4</v>
      </c>
      <c r="U298" s="628"/>
      <c r="V298" s="478"/>
      <c r="W298" s="478"/>
      <c r="X298" s="273"/>
      <c r="Y298" s="825"/>
      <c r="Z298" s="825"/>
      <c r="AA298" s="825"/>
      <c r="AB298" s="825"/>
      <c r="AC298" s="825"/>
      <c r="AD298" s="825"/>
      <c r="AE298" s="825"/>
      <c r="AF298" s="825"/>
      <c r="AG298" s="825"/>
      <c r="AH298" s="825"/>
      <c r="AI298" s="825"/>
      <c r="AJ298" s="825"/>
      <c r="AK298" s="825"/>
      <c r="AL298" s="825"/>
      <c r="AM298" s="825"/>
      <c r="AN298" s="825"/>
      <c r="AO298" s="825"/>
      <c r="AP298" s="825"/>
      <c r="AQ298" s="825"/>
      <c r="AR298" s="825"/>
      <c r="AS298" s="825"/>
      <c r="AT298" s="825"/>
      <c r="AU298" s="825"/>
      <c r="AV298" s="825"/>
      <c r="AW298" s="825"/>
      <c r="AX298" s="825"/>
      <c r="BA298" s="825"/>
      <c r="BB298" s="825"/>
      <c r="BC298" s="825"/>
      <c r="BD298" s="825"/>
      <c r="BE298" s="825"/>
      <c r="BF298" s="825"/>
      <c r="BG298" s="825"/>
      <c r="BH298" s="825"/>
      <c r="BI298" s="825"/>
      <c r="BJ298" s="825"/>
      <c r="BK298" s="825"/>
      <c r="BL298" s="825"/>
      <c r="BM298" s="825"/>
      <c r="BN298" s="825"/>
      <c r="BO298" s="825"/>
      <c r="BP298" s="825"/>
      <c r="BQ298" s="825"/>
      <c r="BR298" s="825"/>
      <c r="BS298" s="825"/>
      <c r="BT298" s="825"/>
      <c r="BU298" s="825"/>
      <c r="BV298" s="825"/>
      <c r="BW298" s="825"/>
      <c r="BX298" s="825"/>
      <c r="BY298" s="825"/>
      <c r="BZ298" s="825"/>
      <c r="CA298" s="825"/>
      <c r="CB298" s="825"/>
      <c r="CC298" s="825"/>
    </row>
    <row r="299" spans="1:81" s="531" customFormat="1" ht="50.3" customHeight="1" x14ac:dyDescent="0.25">
      <c r="A299" s="273"/>
      <c r="B299" s="672"/>
      <c r="C299" s="1573"/>
      <c r="D299" s="1566"/>
      <c r="E299" s="1566"/>
      <c r="F299" s="1560"/>
      <c r="G299" s="1093"/>
      <c r="H299" s="1114"/>
      <c r="I299" s="1061"/>
      <c r="J299" s="679"/>
      <c r="K299" s="1021"/>
      <c r="L299" s="1029"/>
      <c r="M299" s="645" t="s">
        <v>489</v>
      </c>
      <c r="N299" s="742" t="str">
        <f t="shared" si="8"/>
        <v>Actividad acuícola no se desarrolla de manera óptima</v>
      </c>
      <c r="O299" s="837" t="str">
        <f t="shared" si="7"/>
        <v>Vulnerabilidad al cambio climático</v>
      </c>
      <c r="P299" s="544" t="e">
        <f>#REF!</f>
        <v>#REF!</v>
      </c>
      <c r="Q299" s="542" t="str">
        <f>AS10</f>
        <v>Análisis de rentabilidad de la actividad acuícola en los programas de reconversión productiva</v>
      </c>
      <c r="R299" s="542" t="s">
        <v>662</v>
      </c>
      <c r="S299" s="545" t="s">
        <v>507</v>
      </c>
      <c r="T299" s="519" t="str">
        <f>AR10</f>
        <v>SVCC2</v>
      </c>
      <c r="U299" s="628"/>
      <c r="V299" s="478"/>
      <c r="W299" s="478"/>
      <c r="X299" s="273"/>
      <c r="Y299" s="825"/>
      <c r="Z299" s="825"/>
      <c r="AA299" s="825"/>
      <c r="AB299" s="825"/>
      <c r="AC299" s="825"/>
      <c r="AD299" s="825"/>
      <c r="AE299" s="825"/>
      <c r="AF299" s="825"/>
      <c r="AG299" s="825"/>
      <c r="AH299" s="825"/>
      <c r="AI299" s="825"/>
      <c r="AJ299" s="825"/>
      <c r="AK299" s="825"/>
      <c r="AL299" s="825"/>
      <c r="AM299" s="825"/>
      <c r="AN299" s="825"/>
      <c r="AO299" s="825"/>
      <c r="AP299" s="825"/>
      <c r="AQ299" s="825"/>
      <c r="AR299" s="825"/>
      <c r="AS299" s="825"/>
      <c r="AT299" s="825"/>
      <c r="AU299" s="825"/>
      <c r="AV299" s="825"/>
      <c r="AW299" s="825"/>
      <c r="AX299" s="825"/>
      <c r="AY299" s="273"/>
      <c r="AZ299" s="273"/>
      <c r="BA299" s="825"/>
      <c r="BB299" s="825"/>
      <c r="BC299" s="825"/>
      <c r="BD299" s="825"/>
      <c r="BE299" s="825"/>
      <c r="BF299" s="825"/>
      <c r="BG299" s="825"/>
      <c r="BH299" s="825"/>
      <c r="BI299" s="825"/>
      <c r="BJ299" s="825"/>
      <c r="BK299" s="825"/>
      <c r="BL299" s="825"/>
      <c r="BM299" s="825"/>
      <c r="BN299" s="825"/>
      <c r="BO299" s="825"/>
      <c r="BP299" s="825"/>
      <c r="BQ299" s="825"/>
      <c r="BR299" s="825"/>
      <c r="BS299" s="825"/>
      <c r="BT299" s="825"/>
      <c r="BU299" s="825"/>
      <c r="BV299" s="825"/>
      <c r="BW299" s="825"/>
      <c r="BX299" s="825"/>
      <c r="BY299" s="825"/>
      <c r="BZ299" s="825"/>
      <c r="CA299" s="825"/>
      <c r="CB299" s="825"/>
      <c r="CC299" s="825"/>
    </row>
    <row r="300" spans="1:81" ht="77.95" customHeight="1" x14ac:dyDescent="0.25">
      <c r="A300" s="273"/>
      <c r="B300" s="672" t="s">
        <v>873</v>
      </c>
      <c r="C300" s="1571" t="str">
        <f>'8. BASE  CONSOLIDADA'!E216</f>
        <v>3.1.10</v>
      </c>
      <c r="D300" s="1564" t="str">
        <f>'8. BASE  CONSOLIDADA'!F216</f>
        <v>Programa de acceso al financiamiento agropecuario condicionado</v>
      </c>
      <c r="E300" s="1564" t="str">
        <f>'8. BASE  CONSOLIDADA'!G216</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F300" s="1561" t="str">
        <f>'8. BASE  CONSOLIDADA'!C216</f>
        <v>Predios de agricultura familiar con producción destinada al autoconsumo y productos de exportación, con título o sin título de propiedad.</v>
      </c>
      <c r="G300" s="1019" t="str">
        <f>VLOOKUP($C300,'8. BASE  CONSOLIDADA'!$E$7:$AS$308,13,FALSE)</f>
        <v>Créditos otorgados</v>
      </c>
      <c r="H300" s="1109">
        <f>VLOOKUP($C300,'8. BASE  CONSOLIDADA'!$E$7:$AS$308,15,FALSE)</f>
        <v>8946.9</v>
      </c>
      <c r="I300" s="1058">
        <f>VLOOKUP(C300,'8. BASE  CONSOLIDADA'!$E$7:$AS$308,20,FALSE)</f>
        <v>96179175</v>
      </c>
      <c r="J300" s="678">
        <f>I300*$J$6</f>
        <v>65401.839000000007</v>
      </c>
      <c r="K300" s="396"/>
      <c r="L300" s="396"/>
      <c r="M300" s="645" t="s">
        <v>489</v>
      </c>
      <c r="N300" s="740" t="str">
        <f t="shared" si="8"/>
        <v>Deforestación de nuevas áreas para implementar créditos o incentivos otorgados</v>
      </c>
      <c r="O300" s="837" t="str">
        <f t="shared" si="7"/>
        <v>Biodiversidad y recursos naturales</v>
      </c>
      <c r="P300" s="544" t="e">
        <f>#REF!</f>
        <v>#REF!</v>
      </c>
      <c r="Q300" s="542" t="str">
        <f>AA12</f>
        <v xml:space="preserve">Ordenamiento agroterritorial como estrategia para ordenar y promover el desarrollo agrario regional </v>
      </c>
      <c r="R300" s="542" t="s">
        <v>656</v>
      </c>
      <c r="S300" s="545" t="s">
        <v>492</v>
      </c>
      <c r="T300" s="519" t="str">
        <f>Z12</f>
        <v>SBRN4</v>
      </c>
      <c r="U300" s="628"/>
      <c r="V300" s="478"/>
      <c r="W300" s="478"/>
      <c r="X300" s="273"/>
      <c r="Y300" s="825"/>
      <c r="Z300" s="825"/>
      <c r="AA300" s="825"/>
      <c r="AB300" s="825"/>
      <c r="AC300" s="825"/>
      <c r="AD300" s="825"/>
      <c r="AE300" s="825"/>
      <c r="AF300" s="825"/>
      <c r="AG300" s="825"/>
      <c r="AH300" s="825"/>
      <c r="AI300" s="825"/>
      <c r="AJ300" s="825"/>
      <c r="AK300" s="825"/>
      <c r="AL300" s="825"/>
      <c r="AM300" s="825"/>
      <c r="AN300" s="825"/>
      <c r="AO300" s="825"/>
      <c r="AP300" s="825"/>
      <c r="AQ300" s="825"/>
      <c r="AR300" s="825"/>
      <c r="AS300" s="825"/>
      <c r="AT300" s="825"/>
      <c r="AU300" s="825"/>
      <c r="AV300" s="825"/>
      <c r="AW300" s="825"/>
      <c r="AX300" s="825"/>
      <c r="BA300" s="825"/>
      <c r="BB300" s="825"/>
      <c r="BC300" s="825"/>
      <c r="BD300" s="825"/>
      <c r="BE300" s="825"/>
      <c r="BF300" s="825"/>
      <c r="BG300" s="825"/>
      <c r="BH300" s="825"/>
      <c r="BI300" s="825"/>
      <c r="BJ300" s="825"/>
      <c r="BK300" s="825"/>
      <c r="BL300" s="825"/>
      <c r="BM300" s="825"/>
      <c r="BN300" s="825"/>
      <c r="BO300" s="825"/>
      <c r="BP300" s="825"/>
      <c r="BQ300" s="825"/>
      <c r="BR300" s="825"/>
      <c r="BS300" s="825"/>
      <c r="BT300" s="825"/>
      <c r="BU300" s="825"/>
      <c r="BV300" s="825"/>
      <c r="BW300" s="825"/>
      <c r="BX300" s="825"/>
      <c r="BY300" s="825"/>
      <c r="BZ300" s="825"/>
      <c r="CA300" s="825"/>
      <c r="CB300" s="825"/>
      <c r="CC300" s="825"/>
    </row>
    <row r="301" spans="1:81" s="531" customFormat="1" ht="33.799999999999997" customHeight="1" x14ac:dyDescent="0.25">
      <c r="A301" s="273"/>
      <c r="B301" s="672"/>
      <c r="C301" s="1572"/>
      <c r="D301" s="1565"/>
      <c r="E301" s="1565"/>
      <c r="F301" s="1562"/>
      <c r="G301" s="1098"/>
      <c r="H301" s="1115"/>
      <c r="I301" s="1058"/>
      <c r="J301" s="678"/>
      <c r="K301" s="1024">
        <v>100</v>
      </c>
      <c r="L301" s="1024">
        <f>K301*H300</f>
        <v>894690</v>
      </c>
      <c r="M301" s="739" t="s">
        <v>672</v>
      </c>
      <c r="N301" s="740" t="str">
        <f>N25</f>
        <v>Deforestación de nuevas áreas para implementar créditos o incentivos otorgados</v>
      </c>
      <c r="O301" s="837" t="str">
        <f t="shared" ref="O301:O364" si="9">VLOOKUP(T301,$AY$9:$BA$81,3,FALSE)</f>
        <v>Biodiversidad y recursos naturales</v>
      </c>
      <c r="P301" s="544" t="e">
        <f>#REF!</f>
        <v>#REF!</v>
      </c>
      <c r="Q301" s="542" t="str">
        <f>AA14</f>
        <v>Desarrollo de incentivos financieros y no financieros condicionados con cláusulas de no deforestación</v>
      </c>
      <c r="R301" s="542" t="s">
        <v>673</v>
      </c>
      <c r="S301" s="545" t="s">
        <v>526</v>
      </c>
      <c r="T301" s="519" t="str">
        <f>Z14</f>
        <v>SBRN6</v>
      </c>
      <c r="U301" s="628"/>
      <c r="V301" s="478"/>
      <c r="W301" s="478"/>
      <c r="X301" s="273"/>
      <c r="Y301" s="825"/>
      <c r="Z301" s="825"/>
      <c r="AA301" s="825"/>
      <c r="AB301" s="825"/>
      <c r="AC301" s="825"/>
      <c r="AD301" s="825"/>
      <c r="AE301" s="825"/>
      <c r="AF301" s="825"/>
      <c r="AG301" s="825"/>
      <c r="AH301" s="825"/>
      <c r="AI301" s="825"/>
      <c r="AJ301" s="825"/>
      <c r="AK301" s="825"/>
      <c r="AL301" s="825"/>
      <c r="AM301" s="825"/>
      <c r="AN301" s="825"/>
      <c r="AO301" s="825"/>
      <c r="AP301" s="825"/>
      <c r="AQ301" s="825"/>
      <c r="AR301" s="825"/>
      <c r="AS301" s="825"/>
      <c r="AT301" s="825"/>
      <c r="AU301" s="825"/>
      <c r="AV301" s="825"/>
      <c r="AW301" s="825"/>
      <c r="AX301" s="825"/>
      <c r="AY301" s="273"/>
      <c r="AZ301" s="273"/>
      <c r="BA301" s="825"/>
      <c r="BB301" s="825"/>
      <c r="BC301" s="825"/>
      <c r="BD301" s="825"/>
      <c r="BE301" s="825"/>
      <c r="BF301" s="825"/>
      <c r="BG301" s="825"/>
      <c r="BH301" s="825"/>
      <c r="BI301" s="825"/>
      <c r="BJ301" s="825"/>
      <c r="BK301" s="825"/>
      <c r="BL301" s="825"/>
      <c r="BM301" s="825"/>
      <c r="BN301" s="825"/>
      <c r="BO301" s="825"/>
      <c r="BP301" s="825"/>
      <c r="BQ301" s="825"/>
      <c r="BR301" s="825"/>
      <c r="BS301" s="825"/>
      <c r="BT301" s="825"/>
      <c r="BU301" s="825"/>
      <c r="BV301" s="825"/>
      <c r="BW301" s="825"/>
      <c r="BX301" s="825"/>
      <c r="BY301" s="825"/>
      <c r="BZ301" s="825"/>
      <c r="CA301" s="825"/>
      <c r="CB301" s="825"/>
      <c r="CC301" s="825"/>
    </row>
    <row r="302" spans="1:81" s="531" customFormat="1" ht="41.95" customHeight="1" x14ac:dyDescent="0.25">
      <c r="A302" s="273"/>
      <c r="B302" s="672"/>
      <c r="C302" s="1572"/>
      <c r="D302" s="1565"/>
      <c r="E302" s="1565"/>
      <c r="F302" s="1562"/>
      <c r="G302" s="1098"/>
      <c r="H302" s="1115"/>
      <c r="I302" s="1058"/>
      <c r="J302" s="678"/>
      <c r="K302" s="1028">
        <v>17</v>
      </c>
      <c r="L302" s="1028">
        <f>K302*H300</f>
        <v>152097.29999999999</v>
      </c>
      <c r="M302" s="641" t="s">
        <v>613</v>
      </c>
      <c r="N302" s="724" t="str">
        <f>N17</f>
        <v>Especies exóticas o invasoras en bosques colindantes</v>
      </c>
      <c r="O302" s="837" t="str">
        <f t="shared" si="9"/>
        <v>Biodiversidad y recursos naturales</v>
      </c>
      <c r="P302" s="544" t="e">
        <f>#REF!</f>
        <v>#REF!</v>
      </c>
      <c r="Q302" s="542" t="str">
        <f>AA13</f>
        <v xml:space="preserve">Inclusión de cláusulas de monitoreo y control de especies exóticas e invasoras en proyectos de promoción agrarios  </v>
      </c>
      <c r="R302" s="542" t="s">
        <v>614</v>
      </c>
      <c r="S302" s="545" t="s">
        <v>492</v>
      </c>
      <c r="T302" s="519" t="str">
        <f>Z13</f>
        <v>SBRN5</v>
      </c>
      <c r="U302" s="628"/>
      <c r="V302" s="478"/>
      <c r="W302" s="478"/>
      <c r="X302" s="273"/>
      <c r="Y302" s="825"/>
      <c r="Z302" s="825"/>
      <c r="AA302" s="825"/>
      <c r="AB302" s="825"/>
      <c r="AC302" s="825"/>
      <c r="AD302" s="825"/>
      <c r="AE302" s="825"/>
      <c r="AF302" s="825"/>
      <c r="AG302" s="825"/>
      <c r="AH302" s="825"/>
      <c r="AI302" s="825"/>
      <c r="AJ302" s="825"/>
      <c r="AK302" s="825"/>
      <c r="AL302" s="825"/>
      <c r="AM302" s="825"/>
      <c r="AN302" s="825"/>
      <c r="AO302" s="825"/>
      <c r="AP302" s="825"/>
      <c r="AQ302" s="825"/>
      <c r="AR302" s="825"/>
      <c r="AS302" s="825"/>
      <c r="AT302" s="825"/>
      <c r="AU302" s="825"/>
      <c r="AV302" s="825"/>
      <c r="AW302" s="825"/>
      <c r="AX302" s="825"/>
      <c r="AY302" s="273"/>
      <c r="AZ302" s="273"/>
      <c r="BA302" s="825"/>
      <c r="BB302" s="825"/>
      <c r="BC302" s="825"/>
      <c r="BD302" s="825"/>
      <c r="BE302" s="825"/>
      <c r="BF302" s="825"/>
      <c r="BG302" s="825"/>
      <c r="BH302" s="825"/>
      <c r="BI302" s="825"/>
      <c r="BJ302" s="825"/>
      <c r="BK302" s="825"/>
      <c r="BL302" s="825"/>
      <c r="BM302" s="825"/>
      <c r="BN302" s="825"/>
      <c r="BO302" s="825"/>
      <c r="BP302" s="825"/>
      <c r="BQ302" s="825"/>
      <c r="BR302" s="825"/>
      <c r="BS302" s="825"/>
      <c r="BT302" s="825"/>
      <c r="BU302" s="825"/>
      <c r="BV302" s="825"/>
      <c r="BW302" s="825"/>
      <c r="BX302" s="825"/>
      <c r="BY302" s="825"/>
      <c r="BZ302" s="825"/>
      <c r="CA302" s="825"/>
      <c r="CB302" s="825"/>
      <c r="CC302" s="825"/>
    </row>
    <row r="303" spans="1:81" s="531" customFormat="1" ht="20.25" customHeight="1" x14ac:dyDescent="0.25">
      <c r="A303" s="273"/>
      <c r="B303" s="672"/>
      <c r="C303" s="1572"/>
      <c r="D303" s="1565"/>
      <c r="E303" s="1565"/>
      <c r="F303" s="1562"/>
      <c r="G303" s="1098"/>
      <c r="H303" s="1115"/>
      <c r="I303" s="1058"/>
      <c r="J303" s="678"/>
      <c r="K303" s="1028"/>
      <c r="L303" s="1027"/>
      <c r="M303" s="645" t="s">
        <v>489</v>
      </c>
      <c r="N303" s="731" t="str">
        <f>N28</f>
        <v>Contaminación por residuos agropecuarios</v>
      </c>
      <c r="O303" s="837" t="str">
        <f t="shared" si="9"/>
        <v>Contaminación</v>
      </c>
      <c r="P303" s="544" t="e">
        <f>#REF!</f>
        <v>#REF!</v>
      </c>
      <c r="Q303" s="542" t="str">
        <f>AM10</f>
        <v>Control de residuos agropecuarios</v>
      </c>
      <c r="R303" s="542" t="s">
        <v>535</v>
      </c>
      <c r="S303" s="545" t="s">
        <v>492</v>
      </c>
      <c r="T303" s="519" t="str">
        <f>AL10</f>
        <v>SCT2</v>
      </c>
      <c r="U303" s="628"/>
      <c r="V303" s="478"/>
      <c r="W303" s="478"/>
      <c r="X303" s="273"/>
      <c r="Y303" s="825"/>
      <c r="Z303" s="825"/>
      <c r="AA303" s="825"/>
      <c r="AB303" s="825"/>
      <c r="AC303" s="825"/>
      <c r="AD303" s="825"/>
      <c r="AE303" s="825"/>
      <c r="AF303" s="825"/>
      <c r="AG303" s="825"/>
      <c r="AH303" s="825"/>
      <c r="AI303" s="825"/>
      <c r="AJ303" s="825"/>
      <c r="AK303" s="825"/>
      <c r="AL303" s="825"/>
      <c r="AM303" s="825"/>
      <c r="AN303" s="825"/>
      <c r="AO303" s="825"/>
      <c r="AP303" s="825"/>
      <c r="AQ303" s="825"/>
      <c r="AR303" s="825"/>
      <c r="AS303" s="825"/>
      <c r="AT303" s="825"/>
      <c r="AU303" s="825"/>
      <c r="AV303" s="825"/>
      <c r="AW303" s="825"/>
      <c r="AX303" s="825"/>
      <c r="AY303" s="273"/>
      <c r="AZ303" s="273"/>
      <c r="BA303" s="825"/>
      <c r="BB303" s="825"/>
      <c r="BC303" s="825"/>
      <c r="BD303" s="825"/>
      <c r="BE303" s="825"/>
      <c r="BF303" s="825"/>
      <c r="BG303" s="825"/>
      <c r="BH303" s="825"/>
      <c r="BI303" s="825"/>
      <c r="BJ303" s="825"/>
      <c r="BK303" s="825"/>
      <c r="BL303" s="825"/>
      <c r="BM303" s="825"/>
      <c r="BN303" s="825"/>
      <c r="BO303" s="825"/>
      <c r="BP303" s="825"/>
      <c r="BQ303" s="825"/>
      <c r="BR303" s="825"/>
      <c r="BS303" s="825"/>
      <c r="BT303" s="825"/>
      <c r="BU303" s="825"/>
      <c r="BV303" s="825"/>
      <c r="BW303" s="825"/>
      <c r="BX303" s="825"/>
      <c r="BY303" s="825"/>
      <c r="BZ303" s="825"/>
      <c r="CA303" s="825"/>
      <c r="CB303" s="825"/>
      <c r="CC303" s="825"/>
    </row>
    <row r="304" spans="1:81" s="531" customFormat="1" ht="40.6" customHeight="1" x14ac:dyDescent="0.25">
      <c r="A304" s="273"/>
      <c r="B304" s="672"/>
      <c r="C304" s="1572"/>
      <c r="D304" s="1565"/>
      <c r="E304" s="1565"/>
      <c r="F304" s="1562"/>
      <c r="G304" s="1098"/>
      <c r="H304" s="1115"/>
      <c r="I304" s="1058"/>
      <c r="J304" s="678"/>
      <c r="K304" s="1028"/>
      <c r="L304" s="1027"/>
      <c r="M304" s="645" t="s">
        <v>489</v>
      </c>
      <c r="N304" s="731" t="str">
        <f>N29</f>
        <v xml:space="preserve">Otorgamiento inapropiado de incentivos </v>
      </c>
      <c r="O304" s="837" t="str">
        <f t="shared" si="9"/>
        <v>Corrupción</v>
      </c>
      <c r="P304" s="544" t="e">
        <f>#REF!</f>
        <v>#REF!</v>
      </c>
      <c r="Q304" s="542" t="str">
        <f>AG10</f>
        <v>Transparencia en incentivos financieros y obras públicas vinculadas a la ERDRBE</v>
      </c>
      <c r="R304" s="542" t="s">
        <v>687</v>
      </c>
      <c r="S304" s="545" t="s">
        <v>507</v>
      </c>
      <c r="T304" s="519" t="str">
        <f>AF10</f>
        <v>SCR2</v>
      </c>
      <c r="U304" s="628"/>
      <c r="V304" s="478"/>
      <c r="W304" s="478"/>
      <c r="X304" s="273"/>
      <c r="Y304" s="825"/>
      <c r="Z304" s="825"/>
      <c r="AA304" s="825"/>
      <c r="AB304" s="825"/>
      <c r="AC304" s="825"/>
      <c r="AD304" s="825"/>
      <c r="AE304" s="825"/>
      <c r="AF304" s="825"/>
      <c r="AG304" s="825"/>
      <c r="AH304" s="825"/>
      <c r="AI304" s="825"/>
      <c r="AJ304" s="825"/>
      <c r="AK304" s="825"/>
      <c r="AL304" s="825"/>
      <c r="AM304" s="825"/>
      <c r="AN304" s="825"/>
      <c r="AO304" s="825"/>
      <c r="AP304" s="825"/>
      <c r="AQ304" s="825"/>
      <c r="AR304" s="825"/>
      <c r="AS304" s="825"/>
      <c r="AT304" s="825"/>
      <c r="AU304" s="825"/>
      <c r="AV304" s="825"/>
      <c r="AW304" s="825"/>
      <c r="AX304" s="825"/>
      <c r="AY304" s="273"/>
      <c r="AZ304" s="273"/>
      <c r="BA304" s="825"/>
      <c r="BB304" s="825"/>
      <c r="BC304" s="825"/>
      <c r="BD304" s="825"/>
      <c r="BE304" s="825"/>
      <c r="BF304" s="825"/>
      <c r="BG304" s="825"/>
      <c r="BH304" s="825"/>
      <c r="BI304" s="825"/>
      <c r="BJ304" s="825"/>
      <c r="BK304" s="825"/>
      <c r="BL304" s="825"/>
      <c r="BM304" s="825"/>
      <c r="BN304" s="825"/>
      <c r="BO304" s="825"/>
      <c r="BP304" s="825"/>
      <c r="BQ304" s="825"/>
      <c r="BR304" s="825"/>
      <c r="BS304" s="825"/>
      <c r="BT304" s="825"/>
      <c r="BU304" s="825"/>
      <c r="BV304" s="825"/>
      <c r="BW304" s="825"/>
      <c r="BX304" s="825"/>
      <c r="BY304" s="825"/>
      <c r="BZ304" s="825"/>
      <c r="CA304" s="825"/>
      <c r="CB304" s="825"/>
      <c r="CC304" s="825"/>
    </row>
    <row r="305" spans="1:81" s="531" customFormat="1" ht="27.7" customHeight="1" x14ac:dyDescent="0.25">
      <c r="A305" s="273"/>
      <c r="B305" s="672"/>
      <c r="C305" s="1572"/>
      <c r="D305" s="1565"/>
      <c r="E305" s="1565"/>
      <c r="F305" s="1562"/>
      <c r="G305" s="1098"/>
      <c r="H305" s="1115"/>
      <c r="I305" s="1058"/>
      <c r="J305" s="678"/>
      <c r="K305" s="1028"/>
      <c r="L305" s="1027"/>
      <c r="M305" s="645" t="s">
        <v>489</v>
      </c>
      <c r="N305" s="731" t="str">
        <f>N30</f>
        <v>Exclusión de productoras agrarias en sistemas de incentivos financieros</v>
      </c>
      <c r="O305" s="837" t="str">
        <f t="shared" si="9"/>
        <v>Género</v>
      </c>
      <c r="P305" s="544" t="str">
        <f>AC6</f>
        <v>GN</v>
      </c>
      <c r="Q305" s="542" t="str">
        <f>AJ11</f>
        <v xml:space="preserve">Cuotas de género y medición de participación efectiva de mujeres rurales </v>
      </c>
      <c r="R305" s="542" t="s">
        <v>689</v>
      </c>
      <c r="S305" s="545" t="s">
        <v>507</v>
      </c>
      <c r="T305" s="519" t="str">
        <f>AI11</f>
        <v>SGN3</v>
      </c>
      <c r="U305" s="628"/>
      <c r="V305" s="478"/>
      <c r="W305" s="478"/>
      <c r="X305" s="273"/>
      <c r="Y305" s="825"/>
      <c r="Z305" s="825"/>
      <c r="AA305" s="825"/>
      <c r="AB305" s="825"/>
      <c r="AC305" s="825"/>
      <c r="AD305" s="825"/>
      <c r="AE305" s="825"/>
      <c r="AF305" s="825"/>
      <c r="AG305" s="825"/>
      <c r="AH305" s="825"/>
      <c r="AI305" s="825"/>
      <c r="AJ305" s="825"/>
      <c r="AK305" s="825"/>
      <c r="AL305" s="825"/>
      <c r="AM305" s="825"/>
      <c r="AN305" s="825"/>
      <c r="AO305" s="825"/>
      <c r="AP305" s="825"/>
      <c r="AQ305" s="825"/>
      <c r="AR305" s="825"/>
      <c r="AS305" s="825"/>
      <c r="AT305" s="825"/>
      <c r="AU305" s="825"/>
      <c r="AV305" s="825"/>
      <c r="AW305" s="825"/>
      <c r="AX305" s="825"/>
      <c r="AY305" s="273"/>
      <c r="AZ305" s="273"/>
      <c r="BA305" s="825"/>
      <c r="BB305" s="825"/>
      <c r="BC305" s="825"/>
      <c r="BD305" s="825"/>
      <c r="BE305" s="825"/>
      <c r="BF305" s="825"/>
      <c r="BG305" s="825"/>
      <c r="BH305" s="825"/>
      <c r="BI305" s="825"/>
      <c r="BJ305" s="825"/>
      <c r="BK305" s="825"/>
      <c r="BL305" s="825"/>
      <c r="BM305" s="825"/>
      <c r="BN305" s="825"/>
      <c r="BO305" s="825"/>
      <c r="BP305" s="825"/>
      <c r="BQ305" s="825"/>
      <c r="BR305" s="825"/>
      <c r="BS305" s="825"/>
      <c r="BT305" s="825"/>
      <c r="BU305" s="825"/>
      <c r="BV305" s="825"/>
      <c r="BW305" s="825"/>
      <c r="BX305" s="825"/>
      <c r="BY305" s="825"/>
      <c r="BZ305" s="825"/>
      <c r="CA305" s="825"/>
      <c r="CB305" s="825"/>
      <c r="CC305" s="825"/>
    </row>
    <row r="306" spans="1:81" s="531" customFormat="1" ht="34.5" customHeight="1" x14ac:dyDescent="0.25">
      <c r="A306" s="273"/>
      <c r="B306" s="672"/>
      <c r="C306" s="1572"/>
      <c r="D306" s="1565"/>
      <c r="E306" s="1565"/>
      <c r="F306" s="1562"/>
      <c r="G306" s="1098"/>
      <c r="H306" s="1115"/>
      <c r="I306" s="1058"/>
      <c r="J306" s="678"/>
      <c r="K306" s="1028"/>
      <c r="L306" s="1027"/>
      <c r="M306" s="645" t="s">
        <v>489</v>
      </c>
      <c r="N306" s="731" t="str">
        <f>N30</f>
        <v>Exclusión de productoras agrarias en sistemas de incentivos financieros</v>
      </c>
      <c r="O306" s="837" t="str">
        <f t="shared" si="9"/>
        <v>Género</v>
      </c>
      <c r="P306" s="544" t="str">
        <f>AC6</f>
        <v>GN</v>
      </c>
      <c r="Q306" s="542" t="str">
        <f>AJ12</f>
        <v>Criterios de evaluación de programas y proyectos con enfoque de género</v>
      </c>
      <c r="R306" s="542" t="s">
        <v>690</v>
      </c>
      <c r="S306" s="545" t="s">
        <v>507</v>
      </c>
      <c r="T306" s="519" t="str">
        <f>AI12</f>
        <v>SGN4</v>
      </c>
      <c r="U306" s="628"/>
      <c r="V306" s="478"/>
      <c r="W306" s="478"/>
      <c r="X306" s="273"/>
      <c r="Y306" s="825"/>
      <c r="Z306" s="825"/>
      <c r="AA306" s="825"/>
      <c r="AB306" s="825"/>
      <c r="AC306" s="825"/>
      <c r="AD306" s="825"/>
      <c r="AE306" s="825"/>
      <c r="AF306" s="825"/>
      <c r="AG306" s="825"/>
      <c r="AH306" s="825"/>
      <c r="AI306" s="825"/>
      <c r="AJ306" s="825"/>
      <c r="AK306" s="825"/>
      <c r="AL306" s="825"/>
      <c r="AM306" s="825"/>
      <c r="AN306" s="825"/>
      <c r="AO306" s="825"/>
      <c r="AP306" s="825"/>
      <c r="AQ306" s="825"/>
      <c r="AR306" s="825"/>
      <c r="AS306" s="825"/>
      <c r="AT306" s="825"/>
      <c r="AU306" s="825"/>
      <c r="AV306" s="825"/>
      <c r="AW306" s="825"/>
      <c r="AX306" s="825"/>
      <c r="AY306" s="273"/>
      <c r="AZ306" s="273"/>
      <c r="BA306" s="825"/>
      <c r="BB306" s="825"/>
      <c r="BC306" s="825"/>
      <c r="BD306" s="825"/>
      <c r="BE306" s="825"/>
      <c r="BF306" s="825"/>
      <c r="BG306" s="825"/>
      <c r="BH306" s="825"/>
      <c r="BI306" s="825"/>
      <c r="BJ306" s="825"/>
      <c r="BK306" s="825"/>
      <c r="BL306" s="825"/>
      <c r="BM306" s="825"/>
      <c r="BN306" s="825"/>
      <c r="BO306" s="825"/>
      <c r="BP306" s="825"/>
      <c r="BQ306" s="825"/>
      <c r="BR306" s="825"/>
      <c r="BS306" s="825"/>
      <c r="BT306" s="825"/>
      <c r="BU306" s="825"/>
      <c r="BV306" s="825"/>
      <c r="BW306" s="825"/>
      <c r="BX306" s="825"/>
      <c r="BY306" s="825"/>
      <c r="BZ306" s="825"/>
      <c r="CA306" s="825"/>
      <c r="CB306" s="825"/>
      <c r="CC306" s="825"/>
    </row>
    <row r="307" spans="1:81" s="531" customFormat="1" ht="23.3" customHeight="1" x14ac:dyDescent="0.25">
      <c r="A307" s="273"/>
      <c r="B307" s="672"/>
      <c r="C307" s="1572"/>
      <c r="D307" s="1565"/>
      <c r="E307" s="1565"/>
      <c r="F307" s="1562"/>
      <c r="G307" s="1098"/>
      <c r="H307" s="1115"/>
      <c r="I307" s="1058"/>
      <c r="J307" s="678"/>
      <c r="K307" s="1028"/>
      <c r="L307" s="1027"/>
      <c r="M307" s="645" t="s">
        <v>489</v>
      </c>
      <c r="N307" s="731" t="str">
        <f>N30</f>
        <v>Exclusión de productoras agrarias en sistemas de incentivos financieros</v>
      </c>
      <c r="O307" s="837" t="str">
        <f t="shared" si="9"/>
        <v>Género</v>
      </c>
      <c r="P307" s="544" t="str">
        <f>AC6</f>
        <v>GN</v>
      </c>
      <c r="Q307" s="542" t="str">
        <f>AJ13</f>
        <v>Programas de incentivos financieros y no financieros para el desarrollo rural para mujeres rurales</v>
      </c>
      <c r="R307" s="542" t="s">
        <v>693</v>
      </c>
      <c r="S307" s="545" t="s">
        <v>492</v>
      </c>
      <c r="T307" s="519" t="str">
        <f>AI13</f>
        <v>SGN5</v>
      </c>
      <c r="U307" s="628"/>
      <c r="V307" s="478"/>
      <c r="W307" s="478"/>
      <c r="X307" s="273"/>
      <c r="Y307" s="825"/>
      <c r="Z307" s="825"/>
      <c r="AA307" s="825"/>
      <c r="AB307" s="825"/>
      <c r="AC307" s="825"/>
      <c r="AD307" s="825"/>
      <c r="AE307" s="825"/>
      <c r="AF307" s="825"/>
      <c r="AG307" s="825"/>
      <c r="AH307" s="825"/>
      <c r="AI307" s="825"/>
      <c r="AJ307" s="825"/>
      <c r="AK307" s="825"/>
      <c r="AL307" s="825"/>
      <c r="AM307" s="825"/>
      <c r="AN307" s="825"/>
      <c r="AO307" s="825"/>
      <c r="AP307" s="825"/>
      <c r="AQ307" s="825"/>
      <c r="AR307" s="825"/>
      <c r="AS307" s="825"/>
      <c r="AT307" s="825"/>
      <c r="AU307" s="825"/>
      <c r="AV307" s="825"/>
      <c r="AW307" s="825"/>
      <c r="AX307" s="825"/>
      <c r="AY307" s="273"/>
      <c r="AZ307" s="273"/>
      <c r="BA307" s="825"/>
      <c r="BB307" s="825"/>
      <c r="BC307" s="825"/>
      <c r="BD307" s="825"/>
      <c r="BE307" s="825"/>
      <c r="BF307" s="825"/>
      <c r="BG307" s="825"/>
      <c r="BH307" s="825"/>
      <c r="BI307" s="825"/>
      <c r="BJ307" s="825"/>
      <c r="BK307" s="825"/>
      <c r="BL307" s="825"/>
      <c r="BM307" s="825"/>
      <c r="BN307" s="825"/>
      <c r="BO307" s="825"/>
      <c r="BP307" s="825"/>
      <c r="BQ307" s="825"/>
      <c r="BR307" s="825"/>
      <c r="BS307" s="825"/>
      <c r="BT307" s="825"/>
      <c r="BU307" s="825"/>
      <c r="BV307" s="825"/>
      <c r="BW307" s="825"/>
      <c r="BX307" s="825"/>
      <c r="BY307" s="825"/>
      <c r="BZ307" s="825"/>
      <c r="CA307" s="825"/>
      <c r="CB307" s="825"/>
      <c r="CC307" s="825"/>
    </row>
    <row r="308" spans="1:81" s="531" customFormat="1" ht="40.6" customHeight="1" x14ac:dyDescent="0.25">
      <c r="A308" s="273"/>
      <c r="B308" s="672"/>
      <c r="C308" s="1573"/>
      <c r="D308" s="1566"/>
      <c r="E308" s="1566"/>
      <c r="F308" s="1563"/>
      <c r="G308" s="1099"/>
      <c r="H308" s="1114"/>
      <c r="I308" s="1061"/>
      <c r="J308" s="679"/>
      <c r="K308" s="1028"/>
      <c r="L308" s="1027"/>
      <c r="M308" s="645" t="s">
        <v>489</v>
      </c>
      <c r="N308" s="743" t="str">
        <f>N33</f>
        <v>Actividad agropecuaria no se desarrolla de manera óptima debido a cambios en las condiciones agroecologicas por el cambio climático</v>
      </c>
      <c r="O308" s="837" t="str">
        <f t="shared" si="9"/>
        <v>Vulnerabilidad al cambio climático</v>
      </c>
      <c r="P308" s="550" t="e">
        <f>#REF!</f>
        <v>#REF!</v>
      </c>
      <c r="Q308" s="551" t="str">
        <f>AS11</f>
        <v>Análisis de rentabilidad de la actividad agropecuaria en los programas de reconversión productiva</v>
      </c>
      <c r="R308" s="551" t="s">
        <v>695</v>
      </c>
      <c r="S308" s="551" t="s">
        <v>507</v>
      </c>
      <c r="T308" s="519" t="str">
        <f>AR11</f>
        <v>SVCC3</v>
      </c>
      <c r="U308" s="628"/>
      <c r="V308" s="478"/>
      <c r="W308" s="478"/>
      <c r="X308" s="273"/>
      <c r="Y308" s="825"/>
      <c r="Z308" s="825"/>
      <c r="AA308" s="825"/>
      <c r="AB308" s="825"/>
      <c r="AC308" s="825"/>
      <c r="AD308" s="825"/>
      <c r="AE308" s="825"/>
      <c r="AF308" s="825"/>
      <c r="AG308" s="825"/>
      <c r="AH308" s="825"/>
      <c r="AI308" s="825"/>
      <c r="AJ308" s="825"/>
      <c r="AK308" s="825"/>
      <c r="AL308" s="825"/>
      <c r="AM308" s="825"/>
      <c r="AN308" s="825"/>
      <c r="AO308" s="825"/>
      <c r="AP308" s="825"/>
      <c r="AQ308" s="825"/>
      <c r="AR308" s="825"/>
      <c r="AS308" s="825"/>
      <c r="AT308" s="825"/>
      <c r="AU308" s="825"/>
      <c r="AV308" s="825"/>
      <c r="AW308" s="825"/>
      <c r="AX308" s="825"/>
      <c r="AY308" s="273"/>
      <c r="AZ308" s="273"/>
      <c r="BA308" s="825"/>
      <c r="BB308" s="825"/>
      <c r="BC308" s="825"/>
      <c r="BD308" s="825"/>
      <c r="BE308" s="825"/>
      <c r="BF308" s="825"/>
      <c r="BG308" s="825"/>
      <c r="BH308" s="825"/>
      <c r="BI308" s="825"/>
      <c r="BJ308" s="825"/>
      <c r="BK308" s="825"/>
      <c r="BL308" s="825"/>
      <c r="BM308" s="825"/>
      <c r="BN308" s="825"/>
      <c r="BO308" s="825"/>
      <c r="BP308" s="825"/>
      <c r="BQ308" s="825"/>
      <c r="BR308" s="825"/>
      <c r="BS308" s="825"/>
      <c r="BT308" s="825"/>
      <c r="BU308" s="825"/>
      <c r="BV308" s="825"/>
      <c r="BW308" s="825"/>
      <c r="BX308" s="825"/>
      <c r="BY308" s="825"/>
      <c r="BZ308" s="825"/>
      <c r="CA308" s="825"/>
      <c r="CB308" s="825"/>
      <c r="CC308" s="825"/>
    </row>
    <row r="309" spans="1:81" ht="50.3" customHeight="1" x14ac:dyDescent="0.25">
      <c r="A309" s="273"/>
      <c r="B309" s="672" t="s">
        <v>873</v>
      </c>
      <c r="C309" s="1571" t="str">
        <f>'8. BASE  CONSOLIDADA'!E217</f>
        <v>3.1.11</v>
      </c>
      <c r="D309" s="1564" t="str">
        <f>'8. BASE  CONSOLIDADA'!F217</f>
        <v xml:space="preserve">Implementación de infraestructura productiva con énfasis a la agro exportación </v>
      </c>
      <c r="E309" s="1564" t="str">
        <f>'8. BASE  CONSOLIDADA'!G217</f>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F309" s="1538" t="str">
        <f>'8. BASE  CONSOLIDADA'!C217</f>
        <v>Predios de agricultura familiar con producción destinada al autoconsumo y productos de exportación, con título o sin título de propiedad.</v>
      </c>
      <c r="G309" s="1019" t="str">
        <f>VLOOKUP($C309,'8. BASE  CONSOLIDADA'!$E$7:$AS$308,13,FALSE)</f>
        <v>Planes de negocios/proyectos ejecutados</v>
      </c>
      <c r="H309" s="1109">
        <f>VLOOKUP($C309,'8. BASE  CONSOLIDADA'!$E$7:$AS$308,15,FALSE)</f>
        <v>5.6000000000000005</v>
      </c>
      <c r="I309" s="1058">
        <f>VLOOKUP(C309,'8. BASE  CONSOLIDADA'!$E$7:$AS$308,20,FALSE)</f>
        <v>4480000</v>
      </c>
      <c r="J309" s="678">
        <f>I309*$J$6</f>
        <v>3046.4</v>
      </c>
      <c r="K309" s="1020"/>
      <c r="L309" s="1030"/>
      <c r="M309" s="645" t="s">
        <v>489</v>
      </c>
      <c r="N309" s="732" t="str">
        <f>N34</f>
        <v>Incremento de la deforestación por demanda de insumos e instalación de infraestructura y vias de comunicación</v>
      </c>
      <c r="O309" s="837" t="str">
        <f t="shared" si="9"/>
        <v>Biodiversidad y recursos naturales</v>
      </c>
      <c r="P309" s="544" t="e">
        <f>#REF!</f>
        <v>#REF!</v>
      </c>
      <c r="Q309" s="540" t="str">
        <f>AA14</f>
        <v>Desarrollo de incentivos financieros y no financieros condicionados con cláusulas de no deforestación</v>
      </c>
      <c r="R309" s="540" t="s">
        <v>673</v>
      </c>
      <c r="S309" s="540" t="s">
        <v>526</v>
      </c>
      <c r="T309" s="519" t="str">
        <f>Z14</f>
        <v>SBRN6</v>
      </c>
      <c r="U309" s="618"/>
      <c r="V309" s="478"/>
      <c r="W309" s="478"/>
      <c r="X309" s="273"/>
      <c r="Y309" s="825"/>
      <c r="Z309" s="825"/>
      <c r="AA309" s="825"/>
      <c r="AB309" s="825"/>
      <c r="AC309" s="825"/>
      <c r="AD309" s="825"/>
      <c r="AE309" s="825"/>
      <c r="AF309" s="825"/>
      <c r="AG309" s="825"/>
      <c r="AH309" s="825"/>
      <c r="AI309" s="825"/>
      <c r="AJ309" s="825"/>
      <c r="AK309" s="825"/>
      <c r="AL309" s="825"/>
      <c r="AM309" s="825"/>
      <c r="AN309" s="825"/>
      <c r="AO309" s="825"/>
      <c r="AP309" s="825"/>
      <c r="AQ309" s="825"/>
      <c r="AR309" s="825"/>
      <c r="AS309" s="825"/>
      <c r="AT309" s="825"/>
      <c r="AU309" s="825"/>
      <c r="AV309" s="825"/>
      <c r="AW309" s="825"/>
      <c r="AX309" s="825"/>
      <c r="BA309" s="825"/>
      <c r="BB309" s="825"/>
      <c r="BC309" s="825"/>
      <c r="BD309" s="825"/>
      <c r="BE309" s="825"/>
      <c r="BF309" s="825"/>
      <c r="BG309" s="825"/>
      <c r="BH309" s="825"/>
      <c r="BI309" s="825"/>
      <c r="BJ309" s="825"/>
      <c r="BK309" s="825"/>
      <c r="BL309" s="825"/>
      <c r="BM309" s="825"/>
      <c r="BN309" s="825"/>
      <c r="BO309" s="825"/>
      <c r="BP309" s="825"/>
      <c r="BQ309" s="825"/>
      <c r="BR309" s="825"/>
      <c r="BS309" s="825"/>
      <c r="BT309" s="825"/>
      <c r="BU309" s="825"/>
      <c r="BV309" s="825"/>
      <c r="BW309" s="825"/>
      <c r="BX309" s="825"/>
      <c r="BY309" s="825"/>
      <c r="BZ309" s="825"/>
      <c r="CA309" s="825"/>
      <c r="CB309" s="825"/>
      <c r="CC309" s="825"/>
    </row>
    <row r="310" spans="1:81" s="531" customFormat="1" ht="33.799999999999997" customHeight="1" x14ac:dyDescent="0.25">
      <c r="A310" s="273"/>
      <c r="B310" s="672"/>
      <c r="C310" s="1572"/>
      <c r="D310" s="1565"/>
      <c r="E310" s="1565"/>
      <c r="F310" s="1539"/>
      <c r="G310" s="1094"/>
      <c r="H310" s="1115"/>
      <c r="I310" s="1058"/>
      <c r="J310" s="678"/>
      <c r="K310" s="1028"/>
      <c r="L310" s="1027"/>
      <c r="M310" s="645" t="s">
        <v>489</v>
      </c>
      <c r="N310" s="732" t="str">
        <f>N28</f>
        <v>Contaminación por residuos agropecuarios</v>
      </c>
      <c r="O310" s="837" t="str">
        <f t="shared" si="9"/>
        <v>Contaminación</v>
      </c>
      <c r="P310" s="544" t="e">
        <f>#REF!</f>
        <v>#REF!</v>
      </c>
      <c r="Q310" s="540" t="str">
        <f>AM10</f>
        <v>Control de residuos agropecuarios</v>
      </c>
      <c r="R310" s="540" t="s">
        <v>535</v>
      </c>
      <c r="S310" s="544" t="s">
        <v>492</v>
      </c>
      <c r="T310" s="519" t="str">
        <f>AL10</f>
        <v>SCT2</v>
      </c>
      <c r="U310" s="618"/>
      <c r="V310" s="478"/>
      <c r="W310" s="478"/>
      <c r="X310" s="273"/>
      <c r="Y310" s="825"/>
      <c r="Z310" s="825"/>
      <c r="AA310" s="825"/>
      <c r="AB310" s="825"/>
      <c r="AC310" s="825"/>
      <c r="AD310" s="825"/>
      <c r="AE310" s="825"/>
      <c r="AF310" s="825"/>
      <c r="AG310" s="825"/>
      <c r="AH310" s="825"/>
      <c r="AI310" s="825"/>
      <c r="AJ310" s="825"/>
      <c r="AK310" s="825"/>
      <c r="AL310" s="825"/>
      <c r="AM310" s="825"/>
      <c r="AN310" s="825"/>
      <c r="AO310" s="825"/>
      <c r="AP310" s="825"/>
      <c r="AQ310" s="825"/>
      <c r="AR310" s="825"/>
      <c r="AS310" s="825"/>
      <c r="AT310" s="825"/>
      <c r="AU310" s="825"/>
      <c r="AV310" s="825"/>
      <c r="AW310" s="825"/>
      <c r="AX310" s="825"/>
      <c r="AY310" s="273"/>
      <c r="AZ310" s="273"/>
      <c r="BA310" s="825"/>
      <c r="BB310" s="825"/>
      <c r="BC310" s="825"/>
      <c r="BD310" s="825"/>
      <c r="BE310" s="825"/>
      <c r="BF310" s="825"/>
      <c r="BG310" s="825"/>
      <c r="BH310" s="825"/>
      <c r="BI310" s="825"/>
      <c r="BJ310" s="825"/>
      <c r="BK310" s="825"/>
      <c r="BL310" s="825"/>
      <c r="BM310" s="825"/>
      <c r="BN310" s="825"/>
      <c r="BO310" s="825"/>
      <c r="BP310" s="825"/>
      <c r="BQ310" s="825"/>
      <c r="BR310" s="825"/>
      <c r="BS310" s="825"/>
      <c r="BT310" s="825"/>
      <c r="BU310" s="825"/>
      <c r="BV310" s="825"/>
      <c r="BW310" s="825"/>
      <c r="BX310" s="825"/>
      <c r="BY310" s="825"/>
      <c r="BZ310" s="825"/>
      <c r="CA310" s="825"/>
      <c r="CB310" s="825"/>
      <c r="CC310" s="825"/>
    </row>
    <row r="311" spans="1:81" s="531" customFormat="1" ht="71.349999999999994" customHeight="1" x14ac:dyDescent="0.25">
      <c r="A311" s="273"/>
      <c r="B311" s="672"/>
      <c r="C311" s="1573"/>
      <c r="D311" s="1566"/>
      <c r="E311" s="1566"/>
      <c r="F311" s="1560"/>
      <c r="G311" s="1093"/>
      <c r="H311" s="1114"/>
      <c r="I311" s="1061"/>
      <c r="J311" s="679"/>
      <c r="K311" s="1021"/>
      <c r="L311" s="1029"/>
      <c r="M311" s="645" t="s">
        <v>489</v>
      </c>
      <c r="N311" s="732" t="str">
        <f>N36</f>
        <v>Colución, Cohecho y negociación incompatible</v>
      </c>
      <c r="O311" s="837" t="str">
        <f t="shared" si="9"/>
        <v>Corrupción</v>
      </c>
      <c r="P311" s="544" t="e">
        <f>#REF!</f>
        <v>#REF!</v>
      </c>
      <c r="Q311" s="540" t="str">
        <f>AG10</f>
        <v>Transparencia en incentivos financieros y obras públicas vinculadas a la ERDRBE</v>
      </c>
      <c r="R311" s="540" t="s">
        <v>687</v>
      </c>
      <c r="S311" s="544" t="s">
        <v>507</v>
      </c>
      <c r="T311" s="519" t="str">
        <f>AF10</f>
        <v>SCR2</v>
      </c>
      <c r="U311" s="618"/>
      <c r="V311" s="478"/>
      <c r="W311" s="478"/>
      <c r="X311" s="273"/>
      <c r="Y311" s="825"/>
      <c r="Z311" s="825"/>
      <c r="AA311" s="825"/>
      <c r="AB311" s="825"/>
      <c r="AC311" s="825"/>
      <c r="AD311" s="825"/>
      <c r="AE311" s="825"/>
      <c r="AF311" s="825"/>
      <c r="AG311" s="825"/>
      <c r="AH311" s="825"/>
      <c r="AI311" s="825"/>
      <c r="AJ311" s="825"/>
      <c r="AK311" s="825"/>
      <c r="AL311" s="825"/>
      <c r="AM311" s="825"/>
      <c r="AN311" s="825"/>
      <c r="AO311" s="825"/>
      <c r="AP311" s="825"/>
      <c r="AQ311" s="825"/>
      <c r="AR311" s="825"/>
      <c r="AS311" s="825"/>
      <c r="AT311" s="825"/>
      <c r="AU311" s="825"/>
      <c r="AV311" s="825"/>
      <c r="AW311" s="825"/>
      <c r="AX311" s="825"/>
      <c r="AY311" s="273"/>
      <c r="AZ311" s="273"/>
      <c r="BA311" s="825"/>
      <c r="BB311" s="825"/>
      <c r="BC311" s="825"/>
      <c r="BD311" s="825"/>
      <c r="BE311" s="825"/>
      <c r="BF311" s="825"/>
      <c r="BG311" s="825"/>
      <c r="BH311" s="825"/>
      <c r="BI311" s="825"/>
      <c r="BJ311" s="825"/>
      <c r="BK311" s="825"/>
      <c r="BL311" s="825"/>
      <c r="BM311" s="825"/>
      <c r="BN311" s="825"/>
      <c r="BO311" s="825"/>
      <c r="BP311" s="825"/>
      <c r="BQ311" s="825"/>
      <c r="BR311" s="825"/>
      <c r="BS311" s="825"/>
      <c r="BT311" s="825"/>
      <c r="BU311" s="825"/>
      <c r="BV311" s="825"/>
      <c r="BW311" s="825"/>
      <c r="BX311" s="825"/>
      <c r="BY311" s="825"/>
      <c r="BZ311" s="825"/>
      <c r="CA311" s="825"/>
      <c r="CB311" s="825"/>
      <c r="CC311" s="825"/>
    </row>
    <row r="312" spans="1:81" ht="66.75" customHeight="1" x14ac:dyDescent="0.25">
      <c r="A312" s="273"/>
      <c r="B312" s="672" t="s">
        <v>873</v>
      </c>
      <c r="C312" s="842" t="str">
        <f>'8. BASE  CONSOLIDADA'!E243</f>
        <v>3.5.1</v>
      </c>
      <c r="D312" s="1069" t="str">
        <f>'8. BASE  CONSOLIDADA'!F243</f>
        <v>Incentivos financieros para promoción del ecoturismo y turismo comunitario</v>
      </c>
      <c r="E312" s="1069" t="str">
        <f>'8. BASE  CONSOLIDADA'!G243</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312" s="836" t="str">
        <f>'8. BASE  CONSOLIDADA'!C243</f>
        <v xml:space="preserve">Concesiones para conservación y ecoturismo </v>
      </c>
      <c r="G312" s="1019" t="str">
        <f>VLOOKUP($C312,'8. BASE  CONSOLIDADA'!$E$7:$AS$308,13,FALSE)</f>
        <v>Planes de negocios</v>
      </c>
      <c r="H312" s="1109">
        <f>VLOOKUP($C312,'8. BASE  CONSOLIDADA'!$E$7:$AS$308,15,FALSE)</f>
        <v>7</v>
      </c>
      <c r="I312" s="1058">
        <f>VLOOKUP(C312,'8. BASE  CONSOLIDADA'!$E$7:$AS$308,20,FALSE)</f>
        <v>1050000</v>
      </c>
      <c r="J312" s="678">
        <f>I312*$J$6</f>
        <v>714</v>
      </c>
      <c r="K312" s="1020"/>
      <c r="L312" s="1029"/>
      <c r="M312" s="645" t="s">
        <v>489</v>
      </c>
      <c r="N312" s="732" t="str">
        <f>N68</f>
        <v>Impacto negativo sobre la biodiversidad por infraestructura o visitantes</v>
      </c>
      <c r="O312" s="837" t="str">
        <f t="shared" si="9"/>
        <v>Biodiversidad y recursos naturales</v>
      </c>
      <c r="P312" s="544" t="e">
        <f>#REF!</f>
        <v>#REF!</v>
      </c>
      <c r="Q312" s="540" t="str">
        <f>AA15</f>
        <v>Evaluación de impacto de actividades turísticas e implementación de buenas prácticas para mitigar el impacto directo e indirecto de la actividad</v>
      </c>
      <c r="R312" s="540" t="s">
        <v>825</v>
      </c>
      <c r="S312" s="540" t="s">
        <v>526</v>
      </c>
      <c r="T312" s="519" t="str">
        <f>Z15</f>
        <v>SBRN7</v>
      </c>
      <c r="U312" s="628"/>
      <c r="V312" s="478"/>
      <c r="W312" s="478"/>
      <c r="X312" s="273"/>
      <c r="Y312" s="825"/>
      <c r="Z312" s="825"/>
      <c r="AA312" s="825"/>
      <c r="AB312" s="825"/>
      <c r="AC312" s="825"/>
      <c r="AD312" s="825"/>
      <c r="AE312" s="825"/>
      <c r="AF312" s="825"/>
      <c r="AG312" s="825"/>
      <c r="AH312" s="825"/>
      <c r="AI312" s="825"/>
      <c r="AJ312" s="825"/>
      <c r="AK312" s="825"/>
      <c r="AL312" s="825"/>
      <c r="AM312" s="825"/>
      <c r="AN312" s="825"/>
      <c r="AO312" s="825"/>
      <c r="AP312" s="825"/>
      <c r="AQ312" s="825"/>
      <c r="AR312" s="825"/>
      <c r="AS312" s="825"/>
      <c r="AT312" s="825"/>
      <c r="AU312" s="825"/>
      <c r="AV312" s="825"/>
      <c r="AW312" s="825"/>
      <c r="AX312" s="825"/>
      <c r="BA312" s="825"/>
      <c r="BB312" s="825"/>
      <c r="BC312" s="825"/>
      <c r="BD312" s="825"/>
      <c r="BE312" s="825"/>
      <c r="BF312" s="825"/>
      <c r="BG312" s="825"/>
      <c r="BH312" s="825"/>
      <c r="BI312" s="825"/>
      <c r="BJ312" s="825"/>
      <c r="BK312" s="825"/>
      <c r="BL312" s="825"/>
      <c r="BM312" s="825"/>
      <c r="BN312" s="825"/>
      <c r="BO312" s="825"/>
      <c r="BP312" s="825"/>
      <c r="BQ312" s="825"/>
      <c r="BR312" s="825"/>
      <c r="BS312" s="825"/>
      <c r="BT312" s="825"/>
      <c r="BU312" s="825"/>
      <c r="BV312" s="825"/>
      <c r="BW312" s="825"/>
      <c r="BX312" s="825"/>
      <c r="BY312" s="825"/>
      <c r="BZ312" s="825"/>
      <c r="CA312" s="825"/>
      <c r="CB312" s="825"/>
      <c r="CC312" s="825"/>
    </row>
    <row r="313" spans="1:81" s="548" customFormat="1" ht="74.25" customHeight="1" x14ac:dyDescent="0.25">
      <c r="A313" s="273"/>
      <c r="B313" s="672"/>
      <c r="C313" s="842"/>
      <c r="D313" s="1069"/>
      <c r="E313" s="1069"/>
      <c r="F313" s="836"/>
      <c r="G313" s="1089"/>
      <c r="H313" s="1110"/>
      <c r="I313" s="1059"/>
      <c r="J313" s="680"/>
      <c r="K313" s="1044"/>
      <c r="L313" s="1045"/>
      <c r="M313" s="645" t="s">
        <v>489</v>
      </c>
      <c r="N313" s="732" t="str">
        <f>N130</f>
        <v xml:space="preserve">Exclusión de mujeres rurales en los incentivos financieros </v>
      </c>
      <c r="O313" s="837" t="str">
        <f t="shared" si="9"/>
        <v>Género</v>
      </c>
      <c r="P313" s="544" t="str">
        <f>AC6</f>
        <v>GN</v>
      </c>
      <c r="Q313" s="540" t="str">
        <f>AJ23</f>
        <v>Inclusión de mujeres rurales en actividades de turismo comunitario en concesiones para conservación y ecoturismo</v>
      </c>
      <c r="R313" s="540" t="s">
        <v>827</v>
      </c>
      <c r="S313" s="540" t="s">
        <v>526</v>
      </c>
      <c r="T313" s="519" t="str">
        <f>AI23</f>
        <v>SGN15</v>
      </c>
      <c r="U313" s="628"/>
      <c r="V313" s="478"/>
      <c r="W313" s="478"/>
      <c r="X313" s="273"/>
      <c r="Y313" s="825"/>
      <c r="Z313" s="825"/>
      <c r="AA313" s="825"/>
      <c r="AB313" s="825"/>
      <c r="AC313" s="825"/>
      <c r="AD313" s="825"/>
      <c r="AE313" s="825"/>
      <c r="AF313" s="825"/>
      <c r="AG313" s="825"/>
      <c r="AH313" s="825"/>
      <c r="AI313" s="825"/>
      <c r="AJ313" s="825"/>
      <c r="AK313" s="825"/>
      <c r="AL313" s="825"/>
      <c r="AM313" s="825"/>
      <c r="AN313" s="825"/>
      <c r="AO313" s="825"/>
      <c r="AP313" s="825"/>
      <c r="AQ313" s="825"/>
      <c r="AR313" s="825"/>
      <c r="AS313" s="825"/>
      <c r="AT313" s="825"/>
      <c r="AU313" s="825"/>
      <c r="AV313" s="825"/>
      <c r="AW313" s="825"/>
      <c r="AX313" s="825"/>
      <c r="AY313" s="273"/>
      <c r="AZ313" s="273"/>
      <c r="BA313" s="825"/>
      <c r="BB313" s="825"/>
      <c r="BC313" s="825"/>
      <c r="BD313" s="825"/>
      <c r="BE313" s="825"/>
      <c r="BF313" s="825"/>
      <c r="BG313" s="825"/>
      <c r="BH313" s="825"/>
      <c r="BI313" s="825"/>
      <c r="BJ313" s="825"/>
      <c r="BK313" s="825"/>
      <c r="BL313" s="825"/>
      <c r="BM313" s="825"/>
      <c r="BN313" s="825"/>
      <c r="BO313" s="825"/>
      <c r="BP313" s="825"/>
      <c r="BQ313" s="825"/>
      <c r="BR313" s="825"/>
      <c r="BS313" s="825"/>
      <c r="BT313" s="825"/>
      <c r="BU313" s="825"/>
      <c r="BV313" s="825"/>
      <c r="BW313" s="825"/>
      <c r="BX313" s="825"/>
      <c r="BY313" s="825"/>
      <c r="BZ313" s="825"/>
      <c r="CA313" s="825"/>
      <c r="CB313" s="825"/>
      <c r="CC313" s="825"/>
    </row>
    <row r="314" spans="1:81" ht="54" customHeight="1" x14ac:dyDescent="0.25">
      <c r="A314" s="273"/>
      <c r="B314" s="672" t="s">
        <v>873</v>
      </c>
      <c r="C314" s="1571" t="str">
        <f>'8. BASE  CONSOLIDADA'!E245</f>
        <v>3.5.3</v>
      </c>
      <c r="D314" s="1564" t="str">
        <f>'8. BASE  CONSOLIDADA'!F245</f>
        <v xml:space="preserve">Promoción de Bionegocios con productos forestales no maderables </v>
      </c>
      <c r="E314" s="1564" t="str">
        <f>'8. BASE  CONSOLIDADA'!G245</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314" s="1535" t="str">
        <f>'8. BASE  CONSOLIDADA'!C245</f>
        <v xml:space="preserve">Concesiones para conservación y ecoturismo </v>
      </c>
      <c r="G314" s="1019" t="str">
        <f>VLOOKUP($C314,'8. BASE  CONSOLIDADA'!$E$7:$AS$308,13,FALSE)</f>
        <v>Planes de negocio</v>
      </c>
      <c r="H314" s="1109">
        <f>VLOOKUP($C314,'8. BASE  CONSOLIDADA'!$E$7:$AS$308,15,FALSE)</f>
        <v>4</v>
      </c>
      <c r="I314" s="1058">
        <f>VLOOKUP(C314,'8. BASE  CONSOLIDADA'!$E$7:$AS$308,20,FALSE)</f>
        <v>600000</v>
      </c>
      <c r="J314" s="678">
        <f>I314*$J$6</f>
        <v>408.00000000000006</v>
      </c>
      <c r="K314" s="1020"/>
      <c r="L314" s="1030"/>
      <c r="M314" s="645" t="s">
        <v>489</v>
      </c>
      <c r="N314" s="732" t="str">
        <f>N68</f>
        <v>Impacto negativo sobre la biodiversidad por infraestructura o visitantes</v>
      </c>
      <c r="O314" s="837" t="str">
        <f t="shared" si="9"/>
        <v>Biodiversidad y recursos naturales</v>
      </c>
      <c r="P314" s="544" t="e">
        <f>#REF!</f>
        <v>#REF!</v>
      </c>
      <c r="Q314" s="540" t="str">
        <f>AA15</f>
        <v>Evaluación de impacto de actividades turísticas e implementación de buenas prácticas para mitigar el impacto directo e indirecto de la actividad</v>
      </c>
      <c r="R314" s="540" t="s">
        <v>831</v>
      </c>
      <c r="S314" s="540" t="s">
        <v>526</v>
      </c>
      <c r="T314" s="519" t="str">
        <f>Z15</f>
        <v>SBRN7</v>
      </c>
      <c r="U314" s="628"/>
      <c r="V314" s="478"/>
      <c r="W314" s="478"/>
      <c r="X314" s="273"/>
      <c r="Y314" s="825"/>
      <c r="Z314" s="825"/>
      <c r="AA314" s="825"/>
      <c r="AB314" s="825"/>
      <c r="AC314" s="825"/>
      <c r="AD314" s="825"/>
      <c r="AE314" s="825"/>
      <c r="AF314" s="825"/>
      <c r="AG314" s="825"/>
      <c r="AH314" s="825"/>
      <c r="AI314" s="825"/>
      <c r="AJ314" s="825"/>
      <c r="AK314" s="825"/>
      <c r="AL314" s="825"/>
      <c r="AM314" s="825"/>
      <c r="AN314" s="825"/>
      <c r="AO314" s="825"/>
      <c r="AP314" s="825"/>
      <c r="AQ314" s="825"/>
      <c r="AR314" s="825"/>
      <c r="AS314" s="825"/>
      <c r="AT314" s="825"/>
      <c r="AU314" s="825"/>
      <c r="AV314" s="825"/>
      <c r="AW314" s="825"/>
      <c r="AX314" s="825"/>
      <c r="BA314" s="825"/>
      <c r="BB314" s="825"/>
      <c r="BC314" s="825"/>
      <c r="BD314" s="825"/>
      <c r="BE314" s="825"/>
      <c r="BF314" s="825"/>
      <c r="BG314" s="825"/>
      <c r="BH314" s="825"/>
      <c r="BI314" s="825"/>
      <c r="BJ314" s="825"/>
      <c r="BK314" s="825"/>
      <c r="BL314" s="825"/>
      <c r="BM314" s="825"/>
      <c r="BN314" s="825"/>
      <c r="BO314" s="825"/>
      <c r="BP314" s="825"/>
      <c r="BQ314" s="825"/>
      <c r="BR314" s="825"/>
      <c r="BS314" s="825"/>
      <c r="BT314" s="825"/>
      <c r="BU314" s="825"/>
      <c r="BV314" s="825"/>
      <c r="BW314" s="825"/>
      <c r="BX314" s="825"/>
      <c r="BY314" s="825"/>
      <c r="BZ314" s="825"/>
      <c r="CA314" s="825"/>
      <c r="CB314" s="825"/>
      <c r="CC314" s="825"/>
    </row>
    <row r="315" spans="1:81" s="548" customFormat="1" ht="68.95" customHeight="1" x14ac:dyDescent="0.25">
      <c r="A315" s="273"/>
      <c r="B315" s="672"/>
      <c r="C315" s="1573"/>
      <c r="D315" s="1566"/>
      <c r="E315" s="1566"/>
      <c r="F315" s="1543"/>
      <c r="G315" s="1091"/>
      <c r="H315" s="1112"/>
      <c r="I315" s="1061"/>
      <c r="J315" s="679"/>
      <c r="K315" s="1021"/>
      <c r="L315" s="1029"/>
      <c r="M315" s="645" t="s">
        <v>489</v>
      </c>
      <c r="N315" s="732" t="str">
        <f>N69</f>
        <v>Exclusión de mujeres rurales en programas de turismo comunitario</v>
      </c>
      <c r="O315" s="837" t="str">
        <f t="shared" si="9"/>
        <v>Género</v>
      </c>
      <c r="P315" s="544" t="str">
        <f>AC6</f>
        <v>GN</v>
      </c>
      <c r="Q315" s="540" t="str">
        <f>AJ23</f>
        <v>Inclusión de mujeres rurales en actividades de turismo comunitario en concesiones para conservación y ecoturismo</v>
      </c>
      <c r="R315" s="540" t="s">
        <v>827</v>
      </c>
      <c r="S315" s="540" t="s">
        <v>526</v>
      </c>
      <c r="T315" s="519" t="str">
        <f>AI23</f>
        <v>SGN15</v>
      </c>
      <c r="U315" s="628"/>
      <c r="V315" s="478"/>
      <c r="W315" s="478"/>
      <c r="X315" s="273"/>
      <c r="Y315" s="825"/>
      <c r="Z315" s="825"/>
      <c r="AA315" s="825"/>
      <c r="AB315" s="825"/>
      <c r="AC315" s="825"/>
      <c r="AD315" s="825"/>
      <c r="AE315" s="825"/>
      <c r="AF315" s="825"/>
      <c r="AG315" s="825"/>
      <c r="AH315" s="825"/>
      <c r="AI315" s="825"/>
      <c r="AJ315" s="825"/>
      <c r="AK315" s="825"/>
      <c r="AL315" s="825"/>
      <c r="AM315" s="825"/>
      <c r="AN315" s="825"/>
      <c r="AO315" s="825"/>
      <c r="AP315" s="825"/>
      <c r="AQ315" s="825"/>
      <c r="AR315" s="825"/>
      <c r="AS315" s="825"/>
      <c r="AT315" s="825"/>
      <c r="AU315" s="825"/>
      <c r="AV315" s="825"/>
      <c r="AW315" s="825"/>
      <c r="AX315" s="825"/>
      <c r="AY315" s="273"/>
      <c r="AZ315" s="273"/>
      <c r="BA315" s="825"/>
      <c r="BB315" s="825"/>
      <c r="BC315" s="825"/>
      <c r="BD315" s="825"/>
      <c r="BE315" s="825"/>
      <c r="BF315" s="825"/>
      <c r="BG315" s="825"/>
      <c r="BH315" s="825"/>
      <c r="BI315" s="825"/>
      <c r="BJ315" s="825"/>
      <c r="BK315" s="825"/>
      <c r="BL315" s="825"/>
      <c r="BM315" s="825"/>
      <c r="BN315" s="825"/>
      <c r="BO315" s="825"/>
      <c r="BP315" s="825"/>
      <c r="BQ315" s="825"/>
      <c r="BR315" s="825"/>
      <c r="BS315" s="825"/>
      <c r="BT315" s="825"/>
      <c r="BU315" s="825"/>
      <c r="BV315" s="825"/>
      <c r="BW315" s="825"/>
      <c r="BX315" s="825"/>
      <c r="BY315" s="825"/>
      <c r="BZ315" s="825"/>
      <c r="CA315" s="825"/>
      <c r="CB315" s="825"/>
      <c r="CC315" s="825"/>
    </row>
    <row r="316" spans="1:81" ht="36" customHeight="1" x14ac:dyDescent="0.25">
      <c r="A316" s="273"/>
      <c r="B316" s="672" t="s">
        <v>873</v>
      </c>
      <c r="C316" s="1605" t="str">
        <f>'8. BASE  CONSOLIDADA'!E250</f>
        <v>3.7.1</v>
      </c>
      <c r="D316" s="1608" t="str">
        <f>'8. BASE  CONSOLIDADA'!F250</f>
        <v>Elaborar lineamientos de uso de recursos y demarcación de límites</v>
      </c>
      <c r="E316" s="1608" t="str">
        <f>'8. BASE  CONSOLIDADA'!G250</f>
        <v>Propuesta de lineamientos para aprovechamiento sostenible de los Recursos Naturales Presentes.</v>
      </c>
      <c r="F316" s="1640" t="str">
        <f>'8. BASE  CONSOLIDADA'!C250</f>
        <v>Área de Conservación Regional Bosque Shunte y Mishollo</v>
      </c>
      <c r="G316" s="1019" t="str">
        <f>VLOOKUP($C316,'8. BASE  CONSOLIDADA'!$E$7:$AS$308,13,FALSE)</f>
        <v>Lineamientos</v>
      </c>
      <c r="H316" s="1109">
        <f>VLOOKUP($C316,'8. BASE  CONSOLIDADA'!$E$7:$AS$308,15,FALSE)</f>
        <v>1</v>
      </c>
      <c r="I316" s="1058">
        <f>VLOOKUP(C316,'8. BASE  CONSOLIDADA'!$E$7:$AS$308,20,FALSE)</f>
        <v>100000</v>
      </c>
      <c r="J316" s="678">
        <f>I316*$J$6</f>
        <v>68</v>
      </c>
      <c r="K316" s="1020"/>
      <c r="L316" s="1030"/>
      <c r="M316" s="645" t="s">
        <v>489</v>
      </c>
      <c r="N316" s="730" t="s">
        <v>875</v>
      </c>
      <c r="O316" s="837" t="str">
        <f t="shared" si="9"/>
        <v>Género</v>
      </c>
      <c r="P316" s="536" t="str">
        <f>AC6</f>
        <v>GN</v>
      </c>
      <c r="Q316" s="534" t="str">
        <f>AJ25</f>
        <v>Inclusión de mujeres rurales en la toma de decisiones</v>
      </c>
      <c r="R316" s="538" t="s">
        <v>876</v>
      </c>
      <c r="S316" s="540" t="s">
        <v>526</v>
      </c>
      <c r="T316" s="519" t="str">
        <f>AI25</f>
        <v>SGN17</v>
      </c>
      <c r="U316" s="628"/>
      <c r="V316" s="478"/>
      <c r="W316" s="478"/>
      <c r="X316" s="273"/>
      <c r="Y316" s="825"/>
      <c r="Z316" s="825"/>
      <c r="AA316" s="825"/>
      <c r="AB316" s="825"/>
      <c r="AC316" s="825"/>
      <c r="AD316" s="825"/>
      <c r="AE316" s="825"/>
      <c r="AF316" s="825"/>
      <c r="AG316" s="825"/>
      <c r="AH316" s="825"/>
      <c r="AI316" s="825"/>
      <c r="AJ316" s="825"/>
      <c r="AK316" s="825"/>
      <c r="AL316" s="825"/>
      <c r="AM316" s="825"/>
      <c r="AN316" s="825"/>
      <c r="AO316" s="825"/>
      <c r="AP316" s="825"/>
      <c r="AQ316" s="825"/>
      <c r="AR316" s="825"/>
      <c r="AS316" s="825"/>
      <c r="AT316" s="825"/>
      <c r="AU316" s="825"/>
      <c r="AV316" s="825"/>
      <c r="AW316" s="825"/>
      <c r="AX316" s="825"/>
      <c r="BA316" s="825"/>
      <c r="BB316" s="825"/>
      <c r="BC316" s="825"/>
      <c r="BD316" s="825"/>
      <c r="BE316" s="825"/>
      <c r="BF316" s="825"/>
      <c r="BG316" s="825"/>
      <c r="BH316" s="825"/>
      <c r="BI316" s="825"/>
      <c r="BJ316" s="825"/>
      <c r="BK316" s="825"/>
      <c r="BL316" s="825"/>
      <c r="BM316" s="825"/>
      <c r="BN316" s="825"/>
      <c r="BO316" s="825"/>
      <c r="BP316" s="825"/>
      <c r="BQ316" s="825"/>
      <c r="BR316" s="825"/>
      <c r="BS316" s="825"/>
      <c r="BT316" s="825"/>
      <c r="BU316" s="825"/>
      <c r="BV316" s="825"/>
      <c r="BW316" s="825"/>
      <c r="BX316" s="825"/>
      <c r="BY316" s="825"/>
      <c r="BZ316" s="825"/>
      <c r="CA316" s="825"/>
      <c r="CB316" s="825"/>
      <c r="CC316" s="825"/>
    </row>
    <row r="317" spans="1:81" s="548" customFormat="1" ht="23.3" customHeight="1" x14ac:dyDescent="0.25">
      <c r="A317" s="273"/>
      <c r="B317" s="672"/>
      <c r="C317" s="1606"/>
      <c r="D317" s="1609"/>
      <c r="E317" s="1609"/>
      <c r="F317" s="1641"/>
      <c r="G317" s="1096"/>
      <c r="H317" s="1118"/>
      <c r="I317" s="1058"/>
      <c r="J317" s="678"/>
      <c r="K317" s="1028"/>
      <c r="L317" s="1027"/>
      <c r="M317" s="645" t="s">
        <v>489</v>
      </c>
      <c r="N317" s="730" t="s">
        <v>877</v>
      </c>
      <c r="O317" s="837" t="str">
        <f t="shared" si="9"/>
        <v>Derechos de los pueblos indígenas</v>
      </c>
      <c r="P317" s="536" t="str">
        <f>Z6</f>
        <v>DPI</v>
      </c>
      <c r="Q317" s="534" t="str">
        <f>AD24</f>
        <v>Diseño de lineamientos para el desarrollo rural (productivo, manejo de bosques, entre otros) con enfoque intercultural</v>
      </c>
      <c r="R317" s="538" t="s">
        <v>878</v>
      </c>
      <c r="S317" s="540" t="s">
        <v>526</v>
      </c>
      <c r="T317" s="519" t="str">
        <f>AC24</f>
        <v>SDPI16</v>
      </c>
      <c r="U317" s="628"/>
      <c r="V317" s="478"/>
      <c r="W317" s="478"/>
      <c r="X317" s="273"/>
      <c r="Y317" s="825"/>
      <c r="Z317" s="825"/>
      <c r="AA317" s="825"/>
      <c r="AB317" s="825"/>
      <c r="AC317" s="825"/>
      <c r="AD317" s="825"/>
      <c r="AE317" s="825"/>
      <c r="AF317" s="825"/>
      <c r="AG317" s="825"/>
      <c r="AH317" s="825"/>
      <c r="AI317" s="825"/>
      <c r="AJ317" s="825"/>
      <c r="AK317" s="825"/>
      <c r="AL317" s="825"/>
      <c r="AM317" s="825"/>
      <c r="AN317" s="825"/>
      <c r="AO317" s="825"/>
      <c r="AP317" s="825"/>
      <c r="AQ317" s="825"/>
      <c r="AR317" s="825"/>
      <c r="AS317" s="825"/>
      <c r="AT317" s="825"/>
      <c r="AU317" s="825"/>
      <c r="AV317" s="825"/>
      <c r="AW317" s="825"/>
      <c r="AX317" s="825"/>
      <c r="AY317" s="273"/>
      <c r="AZ317" s="273"/>
      <c r="BA317" s="825"/>
      <c r="BB317" s="825"/>
      <c r="BC317" s="825"/>
      <c r="BD317" s="825"/>
      <c r="BE317" s="825"/>
      <c r="BF317" s="825"/>
      <c r="BG317" s="825"/>
      <c r="BH317" s="825"/>
      <c r="BI317" s="825"/>
      <c r="BJ317" s="825"/>
      <c r="BK317" s="825"/>
      <c r="BL317" s="825"/>
      <c r="BM317" s="825"/>
      <c r="BN317" s="825"/>
      <c r="BO317" s="825"/>
      <c r="BP317" s="825"/>
      <c r="BQ317" s="825"/>
      <c r="BR317" s="825"/>
      <c r="BS317" s="825"/>
      <c r="BT317" s="825"/>
      <c r="BU317" s="825"/>
      <c r="BV317" s="825"/>
      <c r="BW317" s="825"/>
      <c r="BX317" s="825"/>
      <c r="BY317" s="825"/>
      <c r="BZ317" s="825"/>
      <c r="CA317" s="825"/>
      <c r="CB317" s="825"/>
      <c r="CC317" s="825"/>
    </row>
    <row r="318" spans="1:81" s="548" customFormat="1" ht="36.700000000000003" customHeight="1" x14ac:dyDescent="0.25">
      <c r="A318" s="273"/>
      <c r="B318" s="672"/>
      <c r="C318" s="1607"/>
      <c r="D318" s="1610"/>
      <c r="E318" s="1610"/>
      <c r="F318" s="1642"/>
      <c r="G318" s="1100"/>
      <c r="H318" s="1119"/>
      <c r="I318" s="1061"/>
      <c r="J318" s="679"/>
      <c r="K318" s="1021"/>
      <c r="L318" s="1029"/>
      <c r="M318" s="645" t="s">
        <v>489</v>
      </c>
      <c r="N318" s="730" t="s">
        <v>879</v>
      </c>
      <c r="O318" s="837" t="str">
        <f t="shared" si="9"/>
        <v>Corrupción</v>
      </c>
      <c r="P318" s="536" t="e">
        <f>#REF!</f>
        <v>#REF!</v>
      </c>
      <c r="Q318" s="534" t="str">
        <f>AG17</f>
        <v>Socialización con colindantes de las áreas de conservación regional (ACR), ubicados en el ACR y en sus zonas de amortiguamiento</v>
      </c>
      <c r="R318" s="538" t="s">
        <v>880</v>
      </c>
      <c r="S318" s="540" t="s">
        <v>526</v>
      </c>
      <c r="T318" s="519" t="str">
        <f>AF17</f>
        <v>SCR9</v>
      </c>
      <c r="U318" s="628"/>
      <c r="V318" s="478"/>
      <c r="W318" s="478"/>
      <c r="X318" s="273"/>
      <c r="Y318" s="825"/>
      <c r="Z318" s="825"/>
      <c r="AA318" s="825"/>
      <c r="AB318" s="825"/>
      <c r="AC318" s="825"/>
      <c r="AD318" s="825"/>
      <c r="AE318" s="825"/>
      <c r="AF318" s="825"/>
      <c r="AG318" s="825"/>
      <c r="AH318" s="825"/>
      <c r="AI318" s="825"/>
      <c r="AJ318" s="825"/>
      <c r="AK318" s="825"/>
      <c r="AL318" s="825"/>
      <c r="AM318" s="825"/>
      <c r="AN318" s="825"/>
      <c r="AO318" s="825"/>
      <c r="AP318" s="825"/>
      <c r="AQ318" s="825"/>
      <c r="AR318" s="825"/>
      <c r="AS318" s="825"/>
      <c r="AT318" s="825"/>
      <c r="AU318" s="825"/>
      <c r="AV318" s="825"/>
      <c r="AW318" s="825"/>
      <c r="AX318" s="825"/>
      <c r="AY318" s="273"/>
      <c r="AZ318" s="273"/>
      <c r="BA318" s="825"/>
      <c r="BB318" s="825"/>
      <c r="BC318" s="825"/>
      <c r="BD318" s="825"/>
      <c r="BE318" s="825"/>
      <c r="BF318" s="825"/>
      <c r="BG318" s="825"/>
      <c r="BH318" s="825"/>
      <c r="BI318" s="825"/>
      <c r="BJ318" s="825"/>
      <c r="BK318" s="825"/>
      <c r="BL318" s="825"/>
      <c r="BM318" s="825"/>
      <c r="BN318" s="825"/>
      <c r="BO318" s="825"/>
      <c r="BP318" s="825"/>
      <c r="BQ318" s="825"/>
      <c r="BR318" s="825"/>
      <c r="BS318" s="825"/>
      <c r="BT318" s="825"/>
      <c r="BU318" s="825"/>
      <c r="BV318" s="825"/>
      <c r="BW318" s="825"/>
      <c r="BX318" s="825"/>
      <c r="BY318" s="825"/>
      <c r="BZ318" s="825"/>
      <c r="CA318" s="825"/>
      <c r="CB318" s="825"/>
      <c r="CC318" s="825"/>
    </row>
    <row r="319" spans="1:81" ht="44.35" customHeight="1" x14ac:dyDescent="0.25">
      <c r="A319" s="273"/>
      <c r="B319" s="672" t="s">
        <v>873</v>
      </c>
      <c r="C319" s="1571" t="str">
        <f>'8. BASE  CONSOLIDADA'!E251</f>
        <v>3.7.2</v>
      </c>
      <c r="D319" s="1564" t="str">
        <f>'8. BASE  CONSOLIDADA'!F251</f>
        <v>Fortalecer el control y vigilancia</v>
      </c>
      <c r="E319" s="1564" t="str">
        <f>'8. BASE  CONSOLIDADA'!G251</f>
        <v>Implementar con recursos necesarios al ente que administra el área, con la finalidad de aumentar el número de personas (guardaparques) que contribuyan a realizar acciones de control y vigilancia.</v>
      </c>
      <c r="F319" s="1538" t="str">
        <f>'8. BASE  CONSOLIDADA'!C251</f>
        <v>Área de Conservación Regional Bosque Shunte y Mishollo</v>
      </c>
      <c r="G319" s="1019" t="str">
        <f>VLOOKUP($C319,'8. BASE  CONSOLIDADA'!$E$7:$AS$308,13,FALSE)</f>
        <v>Número de guardaparques</v>
      </c>
      <c r="H319" s="1109">
        <f>VLOOKUP($C319,'8. BASE  CONSOLIDADA'!$E$7:$AS$308,15,FALSE)</f>
        <v>50</v>
      </c>
      <c r="I319" s="1058">
        <f>VLOOKUP(C319,'8. BASE  CONSOLIDADA'!$E$7:$AS$308,20,FALSE)</f>
        <v>6000000</v>
      </c>
      <c r="J319" s="678">
        <f>I319*$J$6</f>
        <v>4080.0000000000005</v>
      </c>
      <c r="K319" s="1020"/>
      <c r="L319" s="1030"/>
      <c r="M319" s="649" t="s">
        <v>489</v>
      </c>
      <c r="N319" s="730" t="str">
        <f>N62</f>
        <v>Cohecho en el control y vigilancia de recursos naturales</v>
      </c>
      <c r="O319" s="837" t="str">
        <f t="shared" si="9"/>
        <v>Corrupción</v>
      </c>
      <c r="P319" s="536" t="e">
        <f>#REF!</f>
        <v>#REF!</v>
      </c>
      <c r="Q319" s="534" t="str">
        <f>AG12</f>
        <v>Implementación de sistema anticorrupción en coordinación con el Ministerio Público</v>
      </c>
      <c r="R319" s="538" t="s">
        <v>778</v>
      </c>
      <c r="S319" s="540" t="s">
        <v>526</v>
      </c>
      <c r="T319" s="519" t="str">
        <f>AF12</f>
        <v>SCR4</v>
      </c>
      <c r="U319" s="628"/>
      <c r="V319" s="478"/>
      <c r="W319" s="478"/>
      <c r="X319" s="273"/>
      <c r="Y319" s="825"/>
      <c r="Z319" s="825"/>
      <c r="AA319" s="825"/>
      <c r="AB319" s="825"/>
      <c r="AC319" s="825"/>
      <c r="AD319" s="825"/>
      <c r="AE319" s="825"/>
      <c r="AF319" s="825"/>
      <c r="AG319" s="825"/>
      <c r="AH319" s="825"/>
      <c r="AI319" s="825"/>
      <c r="AJ319" s="825"/>
      <c r="AK319" s="825"/>
      <c r="AL319" s="825"/>
      <c r="AM319" s="825"/>
      <c r="AN319" s="825"/>
      <c r="AO319" s="825"/>
      <c r="AP319" s="825"/>
      <c r="AQ319" s="825"/>
      <c r="AR319" s="825"/>
      <c r="AS319" s="825"/>
      <c r="AT319" s="825"/>
      <c r="AU319" s="825"/>
      <c r="AV319" s="825"/>
      <c r="AW319" s="825"/>
      <c r="AX319" s="825"/>
      <c r="BA319" s="825"/>
      <c r="BB319" s="825"/>
      <c r="BC319" s="825"/>
      <c r="BD319" s="825"/>
      <c r="BE319" s="825"/>
      <c r="BF319" s="825"/>
      <c r="BG319" s="825"/>
      <c r="BH319" s="825"/>
      <c r="BI319" s="825"/>
      <c r="BJ319" s="825"/>
      <c r="BK319" s="825"/>
      <c r="BL319" s="825"/>
      <c r="BM319" s="825"/>
      <c r="BN319" s="825"/>
      <c r="BO319" s="825"/>
      <c r="BP319" s="825"/>
      <c r="BQ319" s="825"/>
      <c r="BR319" s="825"/>
      <c r="BS319" s="825"/>
      <c r="BT319" s="825"/>
      <c r="BU319" s="825"/>
      <c r="BV319" s="825"/>
      <c r="BW319" s="825"/>
      <c r="BX319" s="825"/>
      <c r="BY319" s="825"/>
      <c r="BZ319" s="825"/>
      <c r="CA319" s="825"/>
      <c r="CB319" s="825"/>
      <c r="CC319" s="825"/>
    </row>
    <row r="320" spans="1:81" s="548" customFormat="1" ht="32.950000000000003" customHeight="1" x14ac:dyDescent="0.25">
      <c r="A320" s="273"/>
      <c r="B320" s="672"/>
      <c r="C320" s="1572"/>
      <c r="D320" s="1565"/>
      <c r="E320" s="1565"/>
      <c r="F320" s="1539"/>
      <c r="G320" s="1094"/>
      <c r="H320" s="1115"/>
      <c r="I320" s="1058"/>
      <c r="J320" s="678"/>
      <c r="K320" s="1028"/>
      <c r="L320" s="1027"/>
      <c r="M320" s="649" t="s">
        <v>489</v>
      </c>
      <c r="N320" s="730" t="str">
        <f>N62</f>
        <v>Cohecho en el control y vigilancia de recursos naturales</v>
      </c>
      <c r="O320" s="837" t="str">
        <f t="shared" si="9"/>
        <v>Corrupción</v>
      </c>
      <c r="P320" s="536" t="e">
        <f>#REF!</f>
        <v>#REF!</v>
      </c>
      <c r="Q320" s="534" t="str">
        <f>AG13</f>
        <v xml:space="preserve">Inclusión de población local y rondas en sistemas de control y vigilancia para reducir la deforestación </v>
      </c>
      <c r="R320" s="538" t="s">
        <v>816</v>
      </c>
      <c r="S320" s="540" t="s">
        <v>526</v>
      </c>
      <c r="T320" s="519" t="str">
        <f>AF13</f>
        <v>SCR5</v>
      </c>
      <c r="U320" s="628"/>
      <c r="V320" s="478"/>
      <c r="W320" s="478"/>
      <c r="X320" s="273"/>
      <c r="Y320" s="825"/>
      <c r="Z320" s="825"/>
      <c r="AA320" s="825"/>
      <c r="AB320" s="825"/>
      <c r="AC320" s="825"/>
      <c r="AD320" s="825"/>
      <c r="AE320" s="825"/>
      <c r="AF320" s="825"/>
      <c r="AG320" s="825"/>
      <c r="AH320" s="825"/>
      <c r="AI320" s="825"/>
      <c r="AJ320" s="825"/>
      <c r="AK320" s="825"/>
      <c r="AL320" s="825"/>
      <c r="AM320" s="825"/>
      <c r="AN320" s="825"/>
      <c r="AO320" s="825"/>
      <c r="AP320" s="825"/>
      <c r="AQ320" s="825"/>
      <c r="AR320" s="825"/>
      <c r="AS320" s="825"/>
      <c r="AT320" s="825"/>
      <c r="AU320" s="825"/>
      <c r="AV320" s="825"/>
      <c r="AW320" s="825"/>
      <c r="AX320" s="825"/>
      <c r="AY320" s="273"/>
      <c r="AZ320" s="273"/>
      <c r="BA320" s="825"/>
      <c r="BB320" s="825"/>
      <c r="BC320" s="825"/>
      <c r="BD320" s="825"/>
      <c r="BE320" s="825"/>
      <c r="BF320" s="825"/>
      <c r="BG320" s="825"/>
      <c r="BH320" s="825"/>
      <c r="BI320" s="825"/>
      <c r="BJ320" s="825"/>
      <c r="BK320" s="825"/>
      <c r="BL320" s="825"/>
      <c r="BM320" s="825"/>
      <c r="BN320" s="825"/>
      <c r="BO320" s="825"/>
      <c r="BP320" s="825"/>
      <c r="BQ320" s="825"/>
      <c r="BR320" s="825"/>
      <c r="BS320" s="825"/>
      <c r="BT320" s="825"/>
      <c r="BU320" s="825"/>
      <c r="BV320" s="825"/>
      <c r="BW320" s="825"/>
      <c r="BX320" s="825"/>
      <c r="BY320" s="825"/>
      <c r="BZ320" s="825"/>
      <c r="CA320" s="825"/>
      <c r="CB320" s="825"/>
      <c r="CC320" s="825"/>
    </row>
    <row r="321" spans="1:81" s="548" customFormat="1" ht="32.950000000000003" customHeight="1" x14ac:dyDescent="0.25">
      <c r="A321" s="273"/>
      <c r="B321" s="672"/>
      <c r="C321" s="1572"/>
      <c r="D321" s="1565"/>
      <c r="E321" s="1565"/>
      <c r="F321" s="1539"/>
      <c r="G321" s="1094"/>
      <c r="H321" s="1115"/>
      <c r="I321" s="1058"/>
      <c r="J321" s="709"/>
      <c r="K321" s="1031"/>
      <c r="L321" s="1032"/>
      <c r="M321" s="833" t="s">
        <v>489</v>
      </c>
      <c r="N321" s="730" t="str">
        <f>N64</f>
        <v>Adquisición inadecuada de recursos para el control y vigilancia</v>
      </c>
      <c r="O321" s="837" t="str">
        <f t="shared" si="9"/>
        <v>Corrupción</v>
      </c>
      <c r="P321" s="536" t="e">
        <f>#REF!</f>
        <v>#REF!</v>
      </c>
      <c r="Q321" s="534" t="str">
        <f>AG11</f>
        <v>Transparencia en las adquisiciones vinculadas a la ERDRBE</v>
      </c>
      <c r="R321" s="538" t="s">
        <v>805</v>
      </c>
      <c r="S321" s="540" t="s">
        <v>526</v>
      </c>
      <c r="T321" s="519" t="str">
        <f>AF11</f>
        <v>SCR3</v>
      </c>
      <c r="U321" s="628"/>
      <c r="V321" s="478"/>
      <c r="W321" s="478"/>
      <c r="X321" s="273"/>
      <c r="Y321" s="825"/>
      <c r="Z321" s="825"/>
      <c r="AA321" s="825"/>
      <c r="AB321" s="825"/>
      <c r="AC321" s="825"/>
      <c r="AD321" s="825"/>
      <c r="AE321" s="825"/>
      <c r="AF321" s="825"/>
      <c r="AG321" s="825"/>
      <c r="AH321" s="825"/>
      <c r="AI321" s="825"/>
      <c r="AJ321" s="825"/>
      <c r="AK321" s="825"/>
      <c r="AL321" s="825"/>
      <c r="AM321" s="825"/>
      <c r="AN321" s="825"/>
      <c r="AO321" s="825"/>
      <c r="AP321" s="825"/>
      <c r="AQ321" s="825"/>
      <c r="AR321" s="825"/>
      <c r="AS321" s="825"/>
      <c r="AT321" s="825"/>
      <c r="AU321" s="825"/>
      <c r="AV321" s="825"/>
      <c r="AW321" s="825"/>
      <c r="AX321" s="825"/>
      <c r="AY321" s="273"/>
      <c r="AZ321" s="273"/>
      <c r="BA321" s="825"/>
      <c r="BB321" s="825"/>
      <c r="BC321" s="825"/>
      <c r="BD321" s="825"/>
      <c r="BE321" s="825"/>
      <c r="BF321" s="825"/>
      <c r="BG321" s="825"/>
      <c r="BH321" s="825"/>
      <c r="BI321" s="825"/>
      <c r="BJ321" s="825"/>
      <c r="BK321" s="825"/>
      <c r="BL321" s="825"/>
      <c r="BM321" s="825"/>
      <c r="BN321" s="825"/>
      <c r="BO321" s="825"/>
      <c r="BP321" s="825"/>
      <c r="BQ321" s="825"/>
      <c r="BR321" s="825"/>
      <c r="BS321" s="825"/>
      <c r="BT321" s="825"/>
      <c r="BU321" s="825"/>
      <c r="BV321" s="825"/>
      <c r="BW321" s="825"/>
      <c r="BX321" s="825"/>
      <c r="BY321" s="825"/>
      <c r="BZ321" s="825"/>
      <c r="CA321" s="825"/>
      <c r="CB321" s="825"/>
      <c r="CC321" s="825"/>
    </row>
    <row r="322" spans="1:81" s="548" customFormat="1" ht="32.950000000000003" customHeight="1" x14ac:dyDescent="0.25">
      <c r="A322" s="273"/>
      <c r="B322" s="672"/>
      <c r="C322" s="1573"/>
      <c r="D322" s="1566"/>
      <c r="E322" s="1566"/>
      <c r="F322" s="1560"/>
      <c r="G322" s="1093"/>
      <c r="H322" s="1114"/>
      <c r="I322" s="1061"/>
      <c r="J322" s="679"/>
      <c r="K322" s="1021"/>
      <c r="L322" s="1029"/>
      <c r="M322" s="649" t="s">
        <v>489</v>
      </c>
      <c r="N322" s="730" t="str">
        <f>N65</f>
        <v>Exclusión de mujeres rurales en iniciativas de control y vigilancia</v>
      </c>
      <c r="O322" s="837" t="str">
        <f t="shared" si="9"/>
        <v>Género</v>
      </c>
      <c r="P322" s="536" t="str">
        <f>AC6</f>
        <v>GN</v>
      </c>
      <c r="Q322" s="534" t="str">
        <f>AJ19</f>
        <v xml:space="preserve">Inclusión de mujeres rurales y sus organizaciones en iniciativas de control y vigilancia de la deforestación </v>
      </c>
      <c r="R322" s="538" t="s">
        <v>820</v>
      </c>
      <c r="S322" s="540" t="s">
        <v>507</v>
      </c>
      <c r="T322" s="519" t="str">
        <f>AI19</f>
        <v>SGN11</v>
      </c>
      <c r="U322" s="628"/>
      <c r="V322" s="478"/>
      <c r="W322" s="478"/>
      <c r="X322" s="273"/>
      <c r="Y322" s="825"/>
      <c r="Z322" s="825"/>
      <c r="AA322" s="825"/>
      <c r="AB322" s="825"/>
      <c r="AC322" s="825"/>
      <c r="AD322" s="825"/>
      <c r="AE322" s="825"/>
      <c r="AF322" s="825"/>
      <c r="AG322" s="825"/>
      <c r="AH322" s="825"/>
      <c r="AI322" s="825"/>
      <c r="AJ322" s="825"/>
      <c r="AK322" s="825"/>
      <c r="AL322" s="825"/>
      <c r="AM322" s="825"/>
      <c r="AN322" s="825"/>
      <c r="AO322" s="825"/>
      <c r="AP322" s="825"/>
      <c r="AQ322" s="825"/>
      <c r="AR322" s="825"/>
      <c r="AS322" s="825"/>
      <c r="AT322" s="825"/>
      <c r="AU322" s="825"/>
      <c r="AV322" s="825"/>
      <c r="AW322" s="825"/>
      <c r="AX322" s="825"/>
      <c r="AY322" s="273"/>
      <c r="AZ322" s="273"/>
      <c r="BA322" s="825"/>
      <c r="BB322" s="825"/>
      <c r="BC322" s="825"/>
      <c r="BD322" s="825"/>
      <c r="BE322" s="825"/>
      <c r="BF322" s="825"/>
      <c r="BG322" s="825"/>
      <c r="BH322" s="825"/>
      <c r="BI322" s="825"/>
      <c r="BJ322" s="825"/>
      <c r="BK322" s="825"/>
      <c r="BL322" s="825"/>
      <c r="BM322" s="825"/>
      <c r="BN322" s="825"/>
      <c r="BO322" s="825"/>
      <c r="BP322" s="825"/>
      <c r="BQ322" s="825"/>
      <c r="BR322" s="825"/>
      <c r="BS322" s="825"/>
      <c r="BT322" s="825"/>
      <c r="BU322" s="825"/>
      <c r="BV322" s="825"/>
      <c r="BW322" s="825"/>
      <c r="BX322" s="825"/>
      <c r="BY322" s="825"/>
      <c r="BZ322" s="825"/>
      <c r="CA322" s="825"/>
      <c r="CB322" s="825"/>
      <c r="CC322" s="825"/>
    </row>
    <row r="323" spans="1:81" ht="29.25" customHeight="1" x14ac:dyDescent="0.25">
      <c r="A323" s="273"/>
      <c r="B323" s="672" t="s">
        <v>873</v>
      </c>
      <c r="C323" s="1571" t="str">
        <f>'8. BASE  CONSOLIDADA'!E253</f>
        <v>3.7.4</v>
      </c>
      <c r="D323" s="1564" t="str">
        <f>'8. BASE  CONSOLIDADA'!F253</f>
        <v>Promoción de agroforestería sostenible en zona de amortiguamiento</v>
      </c>
      <c r="E323" s="1564" t="str">
        <f>'8. BASE  CONSOLIDADA'!G253</f>
        <v>Encuentros de productores con la finalidad de promocionar los diferentes sistemas productivos sostenibles a ser replicados en las comunidades.</v>
      </c>
      <c r="F323" s="1538" t="str">
        <f>'8. BASE  CONSOLIDADA'!C253</f>
        <v>Área de Conservación Regional Bosque Shunte y Mishollo</v>
      </c>
      <c r="G323" s="1538" t="str">
        <f>VLOOKUP($C323,'8. BASE  CONSOLIDADA'!$E$7:$AS$308,13,FALSE)</f>
        <v>Encuentros</v>
      </c>
      <c r="H323" s="1538">
        <f>VLOOKUP($C323,'8. BASE  CONSOLIDADA'!$E$7:$AS$308,15,FALSE)</f>
        <v>50</v>
      </c>
      <c r="I323" s="1538">
        <f>VLOOKUP(C323,'8. BASE  CONSOLIDADA'!$E$7:$AS$308,20,FALSE)</f>
        <v>625000</v>
      </c>
      <c r="J323" s="1538">
        <f>I323*$J$6</f>
        <v>425.00000000000006</v>
      </c>
      <c r="K323" s="1538"/>
      <c r="L323" s="1538"/>
      <c r="M323" s="645" t="s">
        <v>489</v>
      </c>
      <c r="N323" s="730" t="str">
        <f>N17</f>
        <v>Especies exóticas o invasoras en bosques colindantes</v>
      </c>
      <c r="O323" s="837" t="str">
        <f t="shared" si="9"/>
        <v>Biodiversidad y recursos naturales</v>
      </c>
      <c r="P323" s="536" t="e">
        <f>#REF!</f>
        <v>#REF!</v>
      </c>
      <c r="Q323" s="534" t="str">
        <f>AA16</f>
        <v>Promoción del cultivo de especies nativas</v>
      </c>
      <c r="R323" s="538" t="s">
        <v>834</v>
      </c>
      <c r="S323" s="540" t="s">
        <v>492</v>
      </c>
      <c r="T323" s="519" t="str">
        <f>Z16</f>
        <v>SBRN8</v>
      </c>
      <c r="U323" s="628"/>
      <c r="V323" s="478"/>
      <c r="W323" s="478"/>
      <c r="X323" s="273"/>
      <c r="Y323" s="825"/>
      <c r="Z323" s="825"/>
      <c r="AA323" s="825"/>
      <c r="AB323" s="825"/>
      <c r="AC323" s="825"/>
      <c r="AD323" s="825"/>
      <c r="AE323" s="825"/>
      <c r="AF323" s="825"/>
      <c r="AG323" s="825"/>
      <c r="AH323" s="825"/>
      <c r="AI323" s="825"/>
      <c r="AJ323" s="825"/>
      <c r="AK323" s="825"/>
      <c r="AL323" s="825"/>
      <c r="AM323" s="825"/>
      <c r="AN323" s="825"/>
      <c r="AO323" s="825"/>
      <c r="AP323" s="825"/>
      <c r="AQ323" s="825"/>
      <c r="AR323" s="825"/>
      <c r="AS323" s="825"/>
      <c r="AT323" s="825"/>
      <c r="AU323" s="825"/>
      <c r="AV323" s="825"/>
      <c r="AW323" s="825"/>
      <c r="AX323" s="825"/>
      <c r="BA323" s="825"/>
      <c r="BB323" s="825"/>
      <c r="BC323" s="825"/>
      <c r="BD323" s="825"/>
      <c r="BE323" s="825"/>
      <c r="BF323" s="825"/>
      <c r="BG323" s="825"/>
      <c r="BH323" s="825"/>
      <c r="BI323" s="825"/>
      <c r="BJ323" s="825"/>
      <c r="BK323" s="825"/>
      <c r="BL323" s="825"/>
      <c r="BM323" s="825"/>
      <c r="BN323" s="825"/>
      <c r="BO323" s="825"/>
      <c r="BP323" s="825"/>
      <c r="BQ323" s="825"/>
      <c r="BR323" s="825"/>
      <c r="BS323" s="825"/>
      <c r="BT323" s="825"/>
      <c r="BU323" s="825"/>
      <c r="BV323" s="825"/>
      <c r="BW323" s="825"/>
      <c r="BX323" s="825"/>
      <c r="BY323" s="825"/>
      <c r="BZ323" s="825"/>
      <c r="CA323" s="825"/>
      <c r="CB323" s="825"/>
      <c r="CC323" s="825"/>
    </row>
    <row r="324" spans="1:81" s="548" customFormat="1" ht="29.25" customHeight="1" x14ac:dyDescent="0.25">
      <c r="A324" s="273"/>
      <c r="B324" s="672"/>
      <c r="C324" s="1573"/>
      <c r="D324" s="1566"/>
      <c r="E324" s="1566"/>
      <c r="F324" s="1560"/>
      <c r="G324" s="1560"/>
      <c r="H324" s="1560"/>
      <c r="I324" s="1560"/>
      <c r="J324" s="1560"/>
      <c r="K324" s="1560"/>
      <c r="L324" s="1560"/>
      <c r="M324" s="645" t="s">
        <v>489</v>
      </c>
      <c r="N324" s="730" t="str">
        <f>N76</f>
        <v>Exclusión de mujeres rurales en las escuelas de campo</v>
      </c>
      <c r="O324" s="837" t="str">
        <f t="shared" si="9"/>
        <v>Género</v>
      </c>
      <c r="P324" s="536" t="str">
        <f>AC6</f>
        <v>GN</v>
      </c>
      <c r="Q324" s="534" t="str">
        <f>AJ22</f>
        <v>Escuelas de campo específicas para mujeres rurales</v>
      </c>
      <c r="R324" s="538" t="s">
        <v>837</v>
      </c>
      <c r="S324" s="540" t="s">
        <v>507</v>
      </c>
      <c r="T324" s="519" t="str">
        <f>AI22</f>
        <v>SGN14</v>
      </c>
      <c r="U324" s="628"/>
      <c r="V324" s="478"/>
      <c r="W324" s="478"/>
      <c r="X324" s="273"/>
      <c r="Y324" s="825"/>
      <c r="Z324" s="825"/>
      <c r="AA324" s="825"/>
      <c r="AB324" s="825"/>
      <c r="AC324" s="825"/>
      <c r="AD324" s="825"/>
      <c r="AE324" s="825"/>
      <c r="AF324" s="825"/>
      <c r="AG324" s="825"/>
      <c r="AH324" s="825"/>
      <c r="AI324" s="825"/>
      <c r="AJ324" s="825"/>
      <c r="AK324" s="825"/>
      <c r="AL324" s="825"/>
      <c r="AM324" s="825"/>
      <c r="AN324" s="825"/>
      <c r="AO324" s="825"/>
      <c r="AP324" s="825"/>
      <c r="AQ324" s="825"/>
      <c r="AR324" s="825"/>
      <c r="AS324" s="825"/>
      <c r="AT324" s="825"/>
      <c r="AU324" s="825"/>
      <c r="AV324" s="825"/>
      <c r="AW324" s="825"/>
      <c r="AX324" s="825"/>
      <c r="AY324" s="273"/>
      <c r="AZ324" s="273"/>
      <c r="BA324" s="825"/>
      <c r="BB324" s="825"/>
      <c r="BC324" s="825"/>
      <c r="BD324" s="825"/>
      <c r="BE324" s="825"/>
      <c r="BF324" s="825"/>
      <c r="BG324" s="825"/>
      <c r="BH324" s="825"/>
      <c r="BI324" s="825"/>
      <c r="BJ324" s="825"/>
      <c r="BK324" s="825"/>
      <c r="BL324" s="825"/>
      <c r="BM324" s="825"/>
      <c r="BN324" s="825"/>
      <c r="BO324" s="825"/>
      <c r="BP324" s="825"/>
      <c r="BQ324" s="825"/>
      <c r="BR324" s="825"/>
      <c r="BS324" s="825"/>
      <c r="BT324" s="825"/>
      <c r="BU324" s="825"/>
      <c r="BV324" s="825"/>
      <c r="BW324" s="825"/>
      <c r="BX324" s="825"/>
      <c r="BY324" s="825"/>
      <c r="BZ324" s="825"/>
      <c r="CA324" s="825"/>
      <c r="CB324" s="825"/>
      <c r="CC324" s="825"/>
    </row>
    <row r="325" spans="1:81" ht="54" customHeight="1" x14ac:dyDescent="0.25">
      <c r="A325" s="273"/>
      <c r="B325" s="672" t="s">
        <v>873</v>
      </c>
      <c r="C325" s="1571" t="str">
        <f>'8. BASE  CONSOLIDADA'!E255</f>
        <v>3.7.6</v>
      </c>
      <c r="D325" s="1602" t="str">
        <f>'8. BASE  CONSOLIDADA'!F255</f>
        <v>Promover la planificación comunal en centros poblados del interior en base a la zonificación y zona de amortiguamiento teniendo como base al Plan Maestro (incluye acuerdos de conservación)</v>
      </c>
      <c r="E325" s="1602" t="str">
        <f>'8. BASE  CONSOLIDADA'!G255</f>
        <v>Actualización y elaboración de planes de gestión comunal de las localidades acentuadas en las zonas de amortiguamiento con la finalidad de orientar adecuadamente la implementación y ejecución de proyectos.</v>
      </c>
      <c r="F325" s="1540" t="str">
        <f>'8. BASE  CONSOLIDADA'!C255</f>
        <v>Área de Conservación Regional Bosque Shunte y Mishollo</v>
      </c>
      <c r="G325" s="1540" t="str">
        <f>VLOOKUP($C325,'8. BASE  CONSOLIDADA'!$E$7:$AS$308,13,FALSE)</f>
        <v>Planes de gestión comunal</v>
      </c>
      <c r="H325" s="1540">
        <f>VLOOKUP($C325,'8. BASE  CONSOLIDADA'!$E$7:$AS$308,15,FALSE)</f>
        <v>12</v>
      </c>
      <c r="I325" s="1540">
        <f>VLOOKUP(C325,'8. BASE  CONSOLIDADA'!$E$7:$AS$308,20,FALSE)</f>
        <v>240000</v>
      </c>
      <c r="J325" s="1540">
        <f>I325*$J$6</f>
        <v>163.20000000000002</v>
      </c>
      <c r="K325" s="1540"/>
      <c r="L325" s="1540"/>
      <c r="M325" s="645" t="s">
        <v>489</v>
      </c>
      <c r="N325" s="730" t="str">
        <f>N66</f>
        <v>No se considera la opinión de las mujeres rurales en proceso de planificación comunal de centros poblados y desarrollo de acuerdos de conservación en ANP y su zona de amortiguamiento</v>
      </c>
      <c r="O325" s="837" t="str">
        <f t="shared" si="9"/>
        <v>Género</v>
      </c>
      <c r="P325" s="536" t="str">
        <f>AC6</f>
        <v>GN</v>
      </c>
      <c r="Q325" s="534" t="str">
        <f>AJ18</f>
        <v>Diseño de servicios básicos de educación y salud adaptados a las necesidades de las mujeres indígenas</v>
      </c>
      <c r="R325" s="538" t="s">
        <v>811</v>
      </c>
      <c r="S325" s="540" t="s">
        <v>507</v>
      </c>
      <c r="T325" s="519" t="str">
        <f>AI18</f>
        <v>SGN10</v>
      </c>
      <c r="U325" s="628"/>
      <c r="V325" s="478"/>
      <c r="W325" s="478"/>
      <c r="X325" s="273"/>
      <c r="Y325" s="825"/>
      <c r="Z325" s="825"/>
      <c r="AA325" s="825"/>
      <c r="AB325" s="825"/>
      <c r="AC325" s="825"/>
      <c r="AD325" s="825"/>
      <c r="AE325" s="825"/>
      <c r="AF325" s="825"/>
      <c r="AG325" s="825"/>
      <c r="AH325" s="825"/>
      <c r="AI325" s="825"/>
      <c r="AJ325" s="825"/>
      <c r="AK325" s="825"/>
      <c r="AL325" s="825"/>
      <c r="AM325" s="825"/>
      <c r="AN325" s="825"/>
      <c r="AO325" s="825"/>
      <c r="AP325" s="825"/>
      <c r="AQ325" s="825"/>
      <c r="AR325" s="825"/>
      <c r="AS325" s="825"/>
      <c r="AT325" s="825"/>
      <c r="AU325" s="825"/>
      <c r="AV325" s="825"/>
      <c r="AW325" s="825"/>
      <c r="AX325" s="825"/>
      <c r="BA325" s="825"/>
      <c r="BB325" s="825"/>
      <c r="BC325" s="825"/>
      <c r="BD325" s="825"/>
      <c r="BE325" s="825"/>
      <c r="BF325" s="825"/>
      <c r="BG325" s="825"/>
      <c r="BH325" s="825"/>
      <c r="BI325" s="825"/>
      <c r="BJ325" s="825"/>
      <c r="BK325" s="825"/>
      <c r="BL325" s="825"/>
      <c r="BM325" s="825"/>
      <c r="BN325" s="825"/>
      <c r="BO325" s="825"/>
      <c r="BP325" s="825"/>
      <c r="BQ325" s="825"/>
      <c r="BR325" s="825"/>
      <c r="BS325" s="825"/>
      <c r="BT325" s="825"/>
      <c r="BU325" s="825"/>
      <c r="BV325" s="825"/>
      <c r="BW325" s="825"/>
      <c r="BX325" s="825"/>
      <c r="BY325" s="825"/>
      <c r="BZ325" s="825"/>
      <c r="CA325" s="825"/>
      <c r="CB325" s="825"/>
      <c r="CC325" s="825"/>
    </row>
    <row r="326" spans="1:81" s="548" customFormat="1" ht="54" customHeight="1" x14ac:dyDescent="0.25">
      <c r="A326" s="273"/>
      <c r="B326" s="672"/>
      <c r="C326" s="1573"/>
      <c r="D326" s="1604"/>
      <c r="E326" s="1604"/>
      <c r="F326" s="1542"/>
      <c r="G326" s="1542"/>
      <c r="H326" s="1542"/>
      <c r="I326" s="1542"/>
      <c r="J326" s="1542"/>
      <c r="K326" s="1542"/>
      <c r="L326" s="1542"/>
      <c r="M326" s="645" t="s">
        <v>489</v>
      </c>
      <c r="N326" s="730" t="str">
        <f>N66</f>
        <v>No se considera la opinión de las mujeres rurales en proceso de planificación comunal de centros poblados y desarrollo de acuerdos de conservación en ANP y su zona de amortiguamiento</v>
      </c>
      <c r="O326" s="837" t="str">
        <f t="shared" si="9"/>
        <v>Género</v>
      </c>
      <c r="P326" s="536" t="str">
        <f>AC6</f>
        <v>GN</v>
      </c>
      <c r="Q326" s="534" t="str">
        <f>AJ20</f>
        <v>Diseño de mecanismos de participación apropiados para mujeres rurales</v>
      </c>
      <c r="R326" s="538" t="s">
        <v>823</v>
      </c>
      <c r="S326" s="540" t="s">
        <v>507</v>
      </c>
      <c r="T326" s="519" t="str">
        <f>AI20</f>
        <v>SGN12</v>
      </c>
      <c r="U326" s="628"/>
      <c r="V326" s="478"/>
      <c r="W326" s="478"/>
      <c r="X326" s="273"/>
      <c r="Y326" s="825"/>
      <c r="Z326" s="825"/>
      <c r="AA326" s="825"/>
      <c r="AB326" s="825"/>
      <c r="AC326" s="825"/>
      <c r="AD326" s="825"/>
      <c r="AE326" s="825"/>
      <c r="AF326" s="825"/>
      <c r="AG326" s="825"/>
      <c r="AH326" s="825"/>
      <c r="AI326" s="825"/>
      <c r="AJ326" s="825"/>
      <c r="AK326" s="825"/>
      <c r="AL326" s="825"/>
      <c r="AM326" s="825"/>
      <c r="AN326" s="825"/>
      <c r="AO326" s="825"/>
      <c r="AP326" s="825"/>
      <c r="AQ326" s="825"/>
      <c r="AR326" s="825"/>
      <c r="AS326" s="825"/>
      <c r="AT326" s="825"/>
      <c r="AU326" s="825"/>
      <c r="AV326" s="825"/>
      <c r="AW326" s="825"/>
      <c r="AX326" s="825"/>
      <c r="AY326" s="273"/>
      <c r="AZ326" s="273"/>
      <c r="BA326" s="825"/>
      <c r="BB326" s="825"/>
      <c r="BC326" s="825"/>
      <c r="BD326" s="825"/>
      <c r="BE326" s="825"/>
      <c r="BF326" s="825"/>
      <c r="BG326" s="825"/>
      <c r="BH326" s="825"/>
      <c r="BI326" s="825"/>
      <c r="BJ326" s="825"/>
      <c r="BK326" s="825"/>
      <c r="BL326" s="825"/>
      <c r="BM326" s="825"/>
      <c r="BN326" s="825"/>
      <c r="BO326" s="825"/>
      <c r="BP326" s="825"/>
      <c r="BQ326" s="825"/>
      <c r="BR326" s="825"/>
      <c r="BS326" s="825"/>
      <c r="BT326" s="825"/>
      <c r="BU326" s="825"/>
      <c r="BV326" s="825"/>
      <c r="BW326" s="825"/>
      <c r="BX326" s="825"/>
      <c r="BY326" s="825"/>
      <c r="BZ326" s="825"/>
      <c r="CA326" s="825"/>
      <c r="CB326" s="825"/>
      <c r="CC326" s="825"/>
    </row>
    <row r="327" spans="1:81" ht="41.95" customHeight="1" x14ac:dyDescent="0.25">
      <c r="A327" s="273"/>
      <c r="B327" s="672" t="s">
        <v>873</v>
      </c>
      <c r="C327" s="1605" t="str">
        <f>'8. BASE  CONSOLIDADA'!E256</f>
        <v>3.7.7</v>
      </c>
      <c r="D327" s="1602" t="str">
        <f>'8. BASE  CONSOLIDADA'!F256</f>
        <v>Recuperación de la red hídrica en la zona de influencia de la ACR</v>
      </c>
      <c r="E327" s="1602" t="str">
        <f>'8. BASE  CONSOLIDADA'!G256</f>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v>
      </c>
      <c r="F327" s="1551" t="str">
        <f>'8. BASE  CONSOLIDADA'!C256</f>
        <v>Área de Conservación Regional Bosque Shunte y Mishollo</v>
      </c>
      <c r="G327" s="1551" t="str">
        <f>VLOOKUP($C327,'8. BASE  CONSOLIDADA'!$E$7:$AS$308,13,FALSE)</f>
        <v>Proyectos ejecutados</v>
      </c>
      <c r="H327" s="1551">
        <f>VLOOKUP($C327,'8. BASE  CONSOLIDADA'!$E$7:$AS$308,15,FALSE)</f>
        <v>1</v>
      </c>
      <c r="I327" s="1551">
        <f>VLOOKUP(C327,'8. BASE  CONSOLIDADA'!$E$7:$AS$308,20,FALSE)</f>
        <v>47000000</v>
      </c>
      <c r="J327" s="1551">
        <f>I327*$J$6</f>
        <v>31960.000000000004</v>
      </c>
      <c r="K327" s="1551"/>
      <c r="L327" s="1551"/>
      <c r="M327" s="645" t="s">
        <v>489</v>
      </c>
      <c r="N327" s="730" t="s">
        <v>881</v>
      </c>
      <c r="O327" s="837" t="str">
        <f t="shared" si="9"/>
        <v>Biodiversidad y recursos naturales</v>
      </c>
      <c r="P327" s="536" t="e">
        <f>#REF!</f>
        <v>#REF!</v>
      </c>
      <c r="Q327" s="534" t="str">
        <f>AA11</f>
        <v>Fortalecer las capacidades de la población local para que conozcan el marco legal sobre los derechos sobre la tierra y los bosques</v>
      </c>
      <c r="R327" s="538" t="s">
        <v>882</v>
      </c>
      <c r="S327" s="540" t="s">
        <v>526</v>
      </c>
      <c r="T327" s="519" t="str">
        <f>Z11</f>
        <v>SBRN3</v>
      </c>
      <c r="U327" s="628"/>
      <c r="V327" s="478"/>
      <c r="W327" s="478"/>
      <c r="X327" s="273"/>
      <c r="Y327" s="825"/>
      <c r="Z327" s="825"/>
      <c r="AA327" s="825"/>
      <c r="AB327" s="825"/>
      <c r="AC327" s="825"/>
      <c r="AD327" s="825"/>
      <c r="AE327" s="825"/>
      <c r="AF327" s="825"/>
      <c r="AG327" s="825"/>
      <c r="AH327" s="825"/>
      <c r="AI327" s="825"/>
      <c r="AJ327" s="825"/>
      <c r="AK327" s="825"/>
      <c r="AL327" s="825"/>
      <c r="AM327" s="825"/>
      <c r="AN327" s="825"/>
      <c r="AO327" s="825"/>
      <c r="AP327" s="825"/>
      <c r="AQ327" s="825"/>
      <c r="AR327" s="825"/>
      <c r="AS327" s="825"/>
      <c r="AT327" s="825"/>
      <c r="AU327" s="825"/>
      <c r="AV327" s="825"/>
      <c r="AW327" s="825"/>
      <c r="AX327" s="825"/>
      <c r="BA327" s="825"/>
      <c r="BB327" s="825"/>
      <c r="BC327" s="825"/>
      <c r="BD327" s="825"/>
      <c r="BE327" s="825"/>
      <c r="BF327" s="825"/>
      <c r="BG327" s="825"/>
      <c r="BH327" s="825"/>
      <c r="BI327" s="825"/>
      <c r="BJ327" s="825"/>
      <c r="BK327" s="825"/>
      <c r="BL327" s="825"/>
      <c r="BM327" s="825"/>
      <c r="BN327" s="825"/>
      <c r="BO327" s="825"/>
      <c r="BP327" s="825"/>
      <c r="BQ327" s="825"/>
      <c r="BR327" s="825"/>
      <c r="BS327" s="825"/>
      <c r="BT327" s="825"/>
      <c r="BU327" s="825"/>
      <c r="BV327" s="825"/>
      <c r="BW327" s="825"/>
      <c r="BX327" s="825"/>
      <c r="BY327" s="825"/>
      <c r="BZ327" s="825"/>
      <c r="CA327" s="825"/>
      <c r="CB327" s="825"/>
      <c r="CC327" s="825"/>
    </row>
    <row r="328" spans="1:81" s="548" customFormat="1" ht="26.35" customHeight="1" x14ac:dyDescent="0.25">
      <c r="A328" s="273"/>
      <c r="B328" s="672"/>
      <c r="C328" s="1606"/>
      <c r="D328" s="1603"/>
      <c r="E328" s="1603"/>
      <c r="F328" s="1553"/>
      <c r="G328" s="1553"/>
      <c r="H328" s="1553"/>
      <c r="I328" s="1553"/>
      <c r="J328" s="1553"/>
      <c r="K328" s="1553"/>
      <c r="L328" s="1553"/>
      <c r="M328" s="645" t="s">
        <v>489</v>
      </c>
      <c r="N328" s="730" t="s">
        <v>883</v>
      </c>
      <c r="O328" s="837" t="str">
        <f t="shared" si="9"/>
        <v>Contaminación</v>
      </c>
      <c r="P328" s="536" t="e">
        <f>#REF!</f>
        <v>#REF!</v>
      </c>
      <c r="Q328" s="534" t="str">
        <f>AM9</f>
        <v xml:space="preserve">Control de aguas residuales de sistemas productivos agrarios a cuerpos de agua naturales </v>
      </c>
      <c r="R328" s="538" t="s">
        <v>647</v>
      </c>
      <c r="S328" s="540" t="s">
        <v>492</v>
      </c>
      <c r="T328" s="519" t="str">
        <f>AL9</f>
        <v>SCT1</v>
      </c>
      <c r="U328" s="628"/>
      <c r="V328" s="478"/>
      <c r="W328" s="478"/>
      <c r="X328" s="273"/>
      <c r="Y328" s="825"/>
      <c r="Z328" s="825"/>
      <c r="AA328" s="825"/>
      <c r="AB328" s="825"/>
      <c r="AC328" s="825"/>
      <c r="AD328" s="825"/>
      <c r="AE328" s="825"/>
      <c r="AF328" s="825"/>
      <c r="AG328" s="825"/>
      <c r="AH328" s="825"/>
      <c r="AI328" s="825"/>
      <c r="AJ328" s="825"/>
      <c r="AK328" s="825"/>
      <c r="AL328" s="825"/>
      <c r="AM328" s="825"/>
      <c r="AN328" s="825"/>
      <c r="AO328" s="825"/>
      <c r="AP328" s="825"/>
      <c r="AQ328" s="825"/>
      <c r="AR328" s="825"/>
      <c r="AS328" s="825"/>
      <c r="AT328" s="825"/>
      <c r="AU328" s="825"/>
      <c r="AV328" s="825"/>
      <c r="AW328" s="825"/>
      <c r="AX328" s="825"/>
      <c r="AY328" s="273"/>
      <c r="AZ328" s="273"/>
      <c r="BA328" s="825"/>
      <c r="BB328" s="825"/>
      <c r="BC328" s="825"/>
      <c r="BD328" s="825"/>
      <c r="BE328" s="825"/>
      <c r="BF328" s="825"/>
      <c r="BG328" s="825"/>
      <c r="BH328" s="825"/>
      <c r="BI328" s="825"/>
      <c r="BJ328" s="825"/>
      <c r="BK328" s="825"/>
      <c r="BL328" s="825"/>
      <c r="BM328" s="825"/>
      <c r="BN328" s="825"/>
      <c r="BO328" s="825"/>
      <c r="BP328" s="825"/>
      <c r="BQ328" s="825"/>
      <c r="BR328" s="825"/>
      <c r="BS328" s="825"/>
      <c r="BT328" s="825"/>
      <c r="BU328" s="825"/>
      <c r="BV328" s="825"/>
      <c r="BW328" s="825"/>
      <c r="BX328" s="825"/>
      <c r="BY328" s="825"/>
      <c r="BZ328" s="825"/>
      <c r="CA328" s="825"/>
      <c r="CB328" s="825"/>
      <c r="CC328" s="825"/>
    </row>
    <row r="329" spans="1:81" s="548" customFormat="1" ht="41.3" customHeight="1" x14ac:dyDescent="0.25">
      <c r="A329" s="273"/>
      <c r="B329" s="672"/>
      <c r="C329" s="1606"/>
      <c r="D329" s="1603"/>
      <c r="E329" s="1603"/>
      <c r="F329" s="1553"/>
      <c r="G329" s="1553"/>
      <c r="H329" s="1553"/>
      <c r="I329" s="1553"/>
      <c r="J329" s="1553"/>
      <c r="K329" s="1553"/>
      <c r="L329" s="1553"/>
      <c r="M329" s="645" t="s">
        <v>489</v>
      </c>
      <c r="N329" s="730" t="str">
        <f>N36</f>
        <v>Colución, Cohecho y negociación incompatible</v>
      </c>
      <c r="O329" s="837" t="str">
        <f t="shared" si="9"/>
        <v>Corrupción</v>
      </c>
      <c r="P329" s="536" t="e">
        <f>#REF!</f>
        <v>#REF!</v>
      </c>
      <c r="Q329" s="534" t="s">
        <v>734</v>
      </c>
      <c r="R329" s="538" t="s">
        <v>687</v>
      </c>
      <c r="S329" s="540" t="s">
        <v>507</v>
      </c>
      <c r="T329" s="519" t="s">
        <v>531</v>
      </c>
      <c r="U329" s="628"/>
      <c r="V329" s="478"/>
      <c r="W329" s="478"/>
      <c r="X329" s="273"/>
      <c r="Y329" s="825"/>
      <c r="Z329" s="825"/>
      <c r="AA329" s="825"/>
      <c r="AB329" s="825"/>
      <c r="AC329" s="825"/>
      <c r="AD329" s="825"/>
      <c r="AE329" s="825"/>
      <c r="AF329" s="825"/>
      <c r="AG329" s="825"/>
      <c r="AH329" s="825"/>
      <c r="AI329" s="825"/>
      <c r="AJ329" s="825"/>
      <c r="AK329" s="825"/>
      <c r="AL329" s="825"/>
      <c r="AM329" s="825"/>
      <c r="AN329" s="825"/>
      <c r="AO329" s="825"/>
      <c r="AP329" s="825"/>
      <c r="AQ329" s="825"/>
      <c r="AR329" s="825"/>
      <c r="AS329" s="825"/>
      <c r="AT329" s="825"/>
      <c r="AU329" s="825"/>
      <c r="AV329" s="825"/>
      <c r="AW329" s="825"/>
      <c r="AX329" s="825"/>
      <c r="AY329" s="273"/>
      <c r="AZ329" s="273"/>
      <c r="BA329" s="825"/>
      <c r="BB329" s="825"/>
      <c r="BC329" s="825"/>
      <c r="BD329" s="825"/>
      <c r="BE329" s="825"/>
      <c r="BF329" s="825"/>
      <c r="BG329" s="825"/>
      <c r="BH329" s="825"/>
      <c r="BI329" s="825"/>
      <c r="BJ329" s="825"/>
      <c r="BK329" s="825"/>
      <c r="BL329" s="825"/>
      <c r="BM329" s="825"/>
      <c r="BN329" s="825"/>
      <c r="BO329" s="825"/>
      <c r="BP329" s="825"/>
      <c r="BQ329" s="825"/>
      <c r="BR329" s="825"/>
      <c r="BS329" s="825"/>
      <c r="BT329" s="825"/>
      <c r="BU329" s="825"/>
      <c r="BV329" s="825"/>
      <c r="BW329" s="825"/>
      <c r="BX329" s="825"/>
      <c r="BY329" s="825"/>
      <c r="BZ329" s="825"/>
      <c r="CA329" s="825"/>
      <c r="CB329" s="825"/>
      <c r="CC329" s="825"/>
    </row>
    <row r="330" spans="1:81" s="548" customFormat="1" ht="50.3" customHeight="1" x14ac:dyDescent="0.25">
      <c r="A330" s="273"/>
      <c r="B330" s="672"/>
      <c r="C330" s="1606"/>
      <c r="D330" s="1603"/>
      <c r="E330" s="1603"/>
      <c r="F330" s="1553"/>
      <c r="G330" s="1553"/>
      <c r="H330" s="1553"/>
      <c r="I330" s="1553"/>
      <c r="J330" s="1553"/>
      <c r="K330" s="1553"/>
      <c r="L330" s="1553"/>
      <c r="M330" s="645" t="s">
        <v>489</v>
      </c>
      <c r="N330" s="730" t="s">
        <v>884</v>
      </c>
      <c r="O330" s="837" t="str">
        <f t="shared" si="9"/>
        <v>Corrupción</v>
      </c>
      <c r="P330" s="536" t="e">
        <f>#REF!</f>
        <v>#REF!</v>
      </c>
      <c r="Q330" s="534" t="str">
        <f>AG17</f>
        <v>Socialización con colindantes de las áreas de conservación regional (ACR), ubicados en el ACR y en sus zonas de amortiguamiento</v>
      </c>
      <c r="R330" s="538" t="s">
        <v>885</v>
      </c>
      <c r="S330" s="540" t="s">
        <v>526</v>
      </c>
      <c r="T330" s="519" t="str">
        <f>AF17</f>
        <v>SCR9</v>
      </c>
      <c r="U330" s="628"/>
      <c r="V330" s="478"/>
      <c r="W330" s="478"/>
      <c r="X330" s="273"/>
      <c r="Y330" s="825"/>
      <c r="Z330" s="825"/>
      <c r="AA330" s="825"/>
      <c r="AB330" s="825"/>
      <c r="AC330" s="825"/>
      <c r="AD330" s="825"/>
      <c r="AE330" s="825"/>
      <c r="AF330" s="825"/>
      <c r="AG330" s="825"/>
      <c r="AH330" s="825"/>
      <c r="AI330" s="825"/>
      <c r="AJ330" s="825"/>
      <c r="AK330" s="825"/>
      <c r="AL330" s="825"/>
      <c r="AM330" s="825"/>
      <c r="AN330" s="825"/>
      <c r="AO330" s="825"/>
      <c r="AP330" s="825"/>
      <c r="AQ330" s="825"/>
      <c r="AR330" s="825"/>
      <c r="AS330" s="825"/>
      <c r="AT330" s="825"/>
      <c r="AU330" s="825"/>
      <c r="AV330" s="825"/>
      <c r="AW330" s="825"/>
      <c r="AX330" s="825"/>
      <c r="AY330" s="273"/>
      <c r="AZ330" s="273"/>
      <c r="BA330" s="825"/>
      <c r="BB330" s="825"/>
      <c r="BC330" s="825"/>
      <c r="BD330" s="825"/>
      <c r="BE330" s="825"/>
      <c r="BF330" s="825"/>
      <c r="BG330" s="825"/>
      <c r="BH330" s="825"/>
      <c r="BI330" s="825"/>
      <c r="BJ330" s="825"/>
      <c r="BK330" s="825"/>
      <c r="BL330" s="825"/>
      <c r="BM330" s="825"/>
      <c r="BN330" s="825"/>
      <c r="BO330" s="825"/>
      <c r="BP330" s="825"/>
      <c r="BQ330" s="825"/>
      <c r="BR330" s="825"/>
      <c r="BS330" s="825"/>
      <c r="BT330" s="825"/>
      <c r="BU330" s="825"/>
      <c r="BV330" s="825"/>
      <c r="BW330" s="825"/>
      <c r="BX330" s="825"/>
      <c r="BY330" s="825"/>
      <c r="BZ330" s="825"/>
      <c r="CA330" s="825"/>
      <c r="CB330" s="825"/>
      <c r="CC330" s="825"/>
    </row>
    <row r="331" spans="1:81" s="548" customFormat="1" ht="30.75" customHeight="1" x14ac:dyDescent="0.25">
      <c r="A331" s="273"/>
      <c r="B331" s="672"/>
      <c r="C331" s="1606"/>
      <c r="D331" s="1603"/>
      <c r="E331" s="1603"/>
      <c r="F331" s="1553"/>
      <c r="G331" s="1553"/>
      <c r="H331" s="1553"/>
      <c r="I331" s="1553"/>
      <c r="J331" s="1553"/>
      <c r="K331" s="1553"/>
      <c r="L331" s="1553"/>
      <c r="M331" s="645" t="s">
        <v>489</v>
      </c>
      <c r="N331" s="730" t="s">
        <v>886</v>
      </c>
      <c r="O331" s="837" t="str">
        <f t="shared" si="9"/>
        <v>Género</v>
      </c>
      <c r="P331" s="536" t="str">
        <f>AC6</f>
        <v>GN</v>
      </c>
      <c r="Q331" s="534" t="str">
        <f>AJ11</f>
        <v xml:space="preserve">Cuotas de género y medición de participación efectiva de mujeres rurales </v>
      </c>
      <c r="R331" s="538" t="s">
        <v>887</v>
      </c>
      <c r="S331" s="540" t="s">
        <v>507</v>
      </c>
      <c r="T331" s="519" t="str">
        <f>AI11</f>
        <v>SGN3</v>
      </c>
      <c r="U331" s="628"/>
      <c r="V331" s="478"/>
      <c r="W331" s="478"/>
      <c r="X331" s="273"/>
      <c r="Y331" s="825"/>
      <c r="Z331" s="825"/>
      <c r="AA331" s="825"/>
      <c r="AB331" s="825"/>
      <c r="AC331" s="825"/>
      <c r="AD331" s="825"/>
      <c r="AE331" s="825"/>
      <c r="AF331" s="825"/>
      <c r="AG331" s="825"/>
      <c r="AH331" s="825"/>
      <c r="AI331" s="825"/>
      <c r="AJ331" s="825"/>
      <c r="AK331" s="825"/>
      <c r="AL331" s="825"/>
      <c r="AM331" s="825"/>
      <c r="AN331" s="825"/>
      <c r="AO331" s="825"/>
      <c r="AP331" s="825"/>
      <c r="AQ331" s="825"/>
      <c r="AR331" s="825"/>
      <c r="AS331" s="825"/>
      <c r="AT331" s="825"/>
      <c r="AU331" s="825"/>
      <c r="AV331" s="825"/>
      <c r="AW331" s="825"/>
      <c r="AX331" s="825"/>
      <c r="AY331" s="273"/>
      <c r="AZ331" s="273"/>
      <c r="BA331" s="825"/>
      <c r="BB331" s="825"/>
      <c r="BC331" s="825"/>
      <c r="BD331" s="825"/>
      <c r="BE331" s="825"/>
      <c r="BF331" s="825"/>
      <c r="BG331" s="825"/>
      <c r="BH331" s="825"/>
      <c r="BI331" s="825"/>
      <c r="BJ331" s="825"/>
      <c r="BK331" s="825"/>
      <c r="BL331" s="825"/>
      <c r="BM331" s="825"/>
      <c r="BN331" s="825"/>
      <c r="BO331" s="825"/>
      <c r="BP331" s="825"/>
      <c r="BQ331" s="825"/>
      <c r="BR331" s="825"/>
      <c r="BS331" s="825"/>
      <c r="BT331" s="825"/>
      <c r="BU331" s="825"/>
      <c r="BV331" s="825"/>
      <c r="BW331" s="825"/>
      <c r="BX331" s="825"/>
      <c r="BY331" s="825"/>
      <c r="BZ331" s="825"/>
      <c r="CA331" s="825"/>
      <c r="CB331" s="825"/>
      <c r="CC331" s="825"/>
    </row>
    <row r="332" spans="1:81" s="548" customFormat="1" ht="62.35" customHeight="1" x14ac:dyDescent="0.25">
      <c r="A332" s="273"/>
      <c r="B332" s="672"/>
      <c r="C332" s="1607"/>
      <c r="D332" s="1604"/>
      <c r="E332" s="1604"/>
      <c r="F332" s="1552"/>
      <c r="G332" s="1552"/>
      <c r="H332" s="1552"/>
      <c r="I332" s="1552"/>
      <c r="J332" s="1552"/>
      <c r="K332" s="1552"/>
      <c r="L332" s="1552"/>
      <c r="M332" s="645" t="s">
        <v>489</v>
      </c>
      <c r="N332" s="730" t="s">
        <v>888</v>
      </c>
      <c r="O332" s="837" t="str">
        <f t="shared" si="9"/>
        <v>Derechos de los pueblos indígenas</v>
      </c>
      <c r="P332" s="536" t="str">
        <f>Z6</f>
        <v>DPI</v>
      </c>
      <c r="Q332" s="534" t="str">
        <f>AD23</f>
        <v>Uso apropiado del lenguaje intercultural y respeto de usos y costumbres</v>
      </c>
      <c r="R332" s="538" t="s">
        <v>889</v>
      </c>
      <c r="S332" s="540" t="s">
        <v>492</v>
      </c>
      <c r="T332" s="519" t="str">
        <f>AC23</f>
        <v>SDPI15</v>
      </c>
      <c r="U332" s="628"/>
      <c r="V332" s="478"/>
      <c r="W332" s="478"/>
      <c r="X332" s="273"/>
      <c r="Y332" s="825"/>
      <c r="Z332" s="825"/>
      <c r="AA332" s="825"/>
      <c r="AB332" s="825"/>
      <c r="AC332" s="825"/>
      <c r="AD332" s="825"/>
      <c r="AE332" s="825"/>
      <c r="AF332" s="825"/>
      <c r="AG332" s="825"/>
      <c r="AH332" s="825"/>
      <c r="AI332" s="825"/>
      <c r="AJ332" s="825"/>
      <c r="AK332" s="825"/>
      <c r="AL332" s="825"/>
      <c r="AM332" s="825"/>
      <c r="AN332" s="825"/>
      <c r="AO332" s="825"/>
      <c r="AP332" s="825"/>
      <c r="AQ332" s="825"/>
      <c r="AR332" s="825"/>
      <c r="AS332" s="825"/>
      <c r="AT332" s="825"/>
      <c r="AU332" s="825"/>
      <c r="AV332" s="825"/>
      <c r="AW332" s="825"/>
      <c r="AX332" s="825"/>
      <c r="AY332" s="273"/>
      <c r="AZ332" s="273"/>
      <c r="BA332" s="825"/>
      <c r="BB332" s="825"/>
      <c r="BC332" s="825"/>
      <c r="BD332" s="825"/>
      <c r="BE332" s="825"/>
      <c r="BF332" s="825"/>
      <c r="BG332" s="825"/>
      <c r="BH332" s="825"/>
      <c r="BI332" s="825"/>
      <c r="BJ332" s="825"/>
      <c r="BK332" s="825"/>
      <c r="BL332" s="825"/>
      <c r="BM332" s="825"/>
      <c r="BN332" s="825"/>
      <c r="BO332" s="825"/>
      <c r="BP332" s="825"/>
      <c r="BQ332" s="825"/>
      <c r="BR332" s="825"/>
      <c r="BS332" s="825"/>
      <c r="BT332" s="825"/>
      <c r="BU332" s="825"/>
      <c r="BV332" s="825"/>
      <c r="BW332" s="825"/>
      <c r="BX332" s="825"/>
      <c r="BY332" s="825"/>
      <c r="BZ332" s="825"/>
      <c r="CA332" s="825"/>
      <c r="CB332" s="825"/>
      <c r="CC332" s="825"/>
    </row>
    <row r="333" spans="1:81" s="207" customFormat="1" ht="32.950000000000003" customHeight="1" x14ac:dyDescent="0.25">
      <c r="A333" s="558"/>
      <c r="B333" s="672" t="s">
        <v>873</v>
      </c>
      <c r="C333" s="1637" t="str">
        <f>'8. BASE  CONSOLIDADA'!E257</f>
        <v>3.7.8</v>
      </c>
      <c r="D333" s="1602" t="str">
        <f>'8. BASE  CONSOLIDADA'!F257</f>
        <v>Incentivos financieros para promoción del ecoturismo y turismo comunitario</v>
      </c>
      <c r="E333" s="1602" t="str">
        <f>'8. BASE  CONSOLIDADA'!G257</f>
        <v>Implementación de planes de negocios para  la Diversificación y consolidación de la oferta turística, de esta manera promover el acondicionamiento y la gestión técnica en torno de los recursos y atractivos priorizados.</v>
      </c>
      <c r="F333" s="1551" t="str">
        <f>'8. BASE  CONSOLIDADA'!C257</f>
        <v>Área de Conservación Regional Bosque Shunte y Mishollo</v>
      </c>
      <c r="G333" s="1538" t="str">
        <f>VLOOKUP($C333,'8. BASE  CONSOLIDADA'!$E$7:$AS$308,13,FALSE)</f>
        <v>Planes de negocios</v>
      </c>
      <c r="H333" s="1538">
        <f>VLOOKUP($C333,'8. BASE  CONSOLIDADA'!$E$7:$AS$308,15,FALSE)</f>
        <v>10</v>
      </c>
      <c r="I333" s="1538">
        <f>VLOOKUP(C333,'8. BASE  CONSOLIDADA'!$E$7:$AS$308,20,FALSE)</f>
        <v>1000000</v>
      </c>
      <c r="J333" s="1538">
        <f>I333*$J$6</f>
        <v>680</v>
      </c>
      <c r="K333" s="1538"/>
      <c r="L333" s="1538"/>
      <c r="M333" s="645" t="s">
        <v>489</v>
      </c>
      <c r="N333" s="730" t="str">
        <f>N68</f>
        <v>Impacto negativo sobre la biodiversidad por infraestructura o visitantes</v>
      </c>
      <c r="O333" s="837" t="str">
        <f t="shared" si="9"/>
        <v>Biodiversidad y recursos naturales</v>
      </c>
      <c r="P333" s="536" t="e">
        <f>#REF!</f>
        <v>#REF!</v>
      </c>
      <c r="Q333" s="534" t="str">
        <f>AA15</f>
        <v>Evaluación de impacto de actividades turísticas e implementación de buenas prácticas para mitigar el impacto directo e indirecto de la actividad</v>
      </c>
      <c r="R333" s="538" t="s">
        <v>831</v>
      </c>
      <c r="S333" s="540" t="s">
        <v>526</v>
      </c>
      <c r="T333" s="519" t="str">
        <f>Z15</f>
        <v>SBRN7</v>
      </c>
      <c r="U333" s="629"/>
      <c r="V333" s="559"/>
      <c r="W333" s="559"/>
      <c r="X333" s="558"/>
      <c r="AY333" s="558"/>
      <c r="AZ333" s="558"/>
    </row>
    <row r="334" spans="1:81" s="207" customFormat="1" ht="45.7" customHeight="1" x14ac:dyDescent="0.25">
      <c r="A334" s="558"/>
      <c r="B334" s="674"/>
      <c r="C334" s="1638"/>
      <c r="D334" s="1604"/>
      <c r="E334" s="1604"/>
      <c r="F334" s="1552"/>
      <c r="G334" s="1560"/>
      <c r="H334" s="1560"/>
      <c r="I334" s="1560"/>
      <c r="J334" s="1560"/>
      <c r="K334" s="1560"/>
      <c r="L334" s="1560"/>
      <c r="M334" s="645" t="s">
        <v>489</v>
      </c>
      <c r="N334" s="730" t="str">
        <f>N130</f>
        <v xml:space="preserve">Exclusión de mujeres rurales en los incentivos financieros </v>
      </c>
      <c r="O334" s="837" t="str">
        <f t="shared" si="9"/>
        <v>Género</v>
      </c>
      <c r="P334" s="536" t="str">
        <f>AC6</f>
        <v>GN</v>
      </c>
      <c r="Q334" s="534" t="str">
        <f>AJ21</f>
        <v>Inclusión de mujeres rurales en actividades de turismo comunitario en ANPs y sus zonas de amortiguamiento</v>
      </c>
      <c r="R334" s="538" t="s">
        <v>827</v>
      </c>
      <c r="S334" s="540" t="s">
        <v>526</v>
      </c>
      <c r="T334" s="519" t="str">
        <f>AI21</f>
        <v>SGN13</v>
      </c>
      <c r="U334" s="630"/>
      <c r="V334" s="559"/>
      <c r="W334" s="559"/>
      <c r="X334" s="558"/>
      <c r="AY334" s="558"/>
      <c r="AZ334" s="558"/>
    </row>
    <row r="335" spans="1:81" ht="63.7" customHeight="1" x14ac:dyDescent="0.25">
      <c r="A335" s="273"/>
      <c r="B335" s="672" t="s">
        <v>873</v>
      </c>
      <c r="C335" s="1571" t="str">
        <f>'8. BASE  CONSOLIDADA'!E223</f>
        <v>3.2.1</v>
      </c>
      <c r="D335" s="1564" t="str">
        <f>'8. BASE  CONSOLIDADA'!F223</f>
        <v>Otorgamiento de derechos sobre la tierra/bosques</v>
      </c>
      <c r="E335" s="1564" t="str">
        <f>'8. BASE  CONSOLIDADA'!G223</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335" s="1538" t="str">
        <f>'8. BASE  CONSOLIDADA'!C223</f>
        <v xml:space="preserve">Predios privados dedicados a la producción comercial (arroz) </v>
      </c>
      <c r="G335" s="1538" t="str">
        <f>VLOOKUP($C335,'8. BASE  CONSOLIDADA'!$E$7:$AS$308,13,FALSE)</f>
        <v>N° Títulos/Contratos otorgados</v>
      </c>
      <c r="H335" s="1538">
        <f>VLOOKUP($C335,'8. BASE  CONSOLIDADA'!$E$7:$AS$308,15,FALSE)</f>
        <v>47.9927494738116</v>
      </c>
      <c r="I335" s="1538">
        <f>VLOOKUP(C335,'8. BASE  CONSOLIDADA'!$E$7:$AS$308,20,FALSE)</f>
        <v>95985.4989476232</v>
      </c>
      <c r="J335" s="1538">
        <f>I335*$J$6</f>
        <v>65.270139284383788</v>
      </c>
      <c r="K335" s="1538"/>
      <c r="L335" s="1538"/>
      <c r="M335" s="645" t="s">
        <v>489</v>
      </c>
      <c r="N335" s="731" t="str">
        <f>N8</f>
        <v>Otorgamiento de titulos de propiedad en tierras de aptitud forestal o protección con cobertura de bosques</v>
      </c>
      <c r="O335" s="837" t="str">
        <f t="shared" si="9"/>
        <v>Biodiversidad y recursos naturales</v>
      </c>
      <c r="P335" s="560" t="e">
        <f>#REF!</f>
        <v>#REF!</v>
      </c>
      <c r="Q335" s="541" t="str">
        <f>AA9</f>
        <v>Realizar estudios de suelos para determinar la capacidad de uso mayor de los suelos como parte de los procesos de formalización de la propiedad rural</v>
      </c>
      <c r="R335" s="541" t="s">
        <v>491</v>
      </c>
      <c r="S335" s="560" t="s">
        <v>492</v>
      </c>
      <c r="T335" s="519" t="str">
        <f>Z9</f>
        <v>SBRN1</v>
      </c>
      <c r="U335" s="628"/>
      <c r="V335" s="478"/>
      <c r="W335" s="478"/>
      <c r="X335" s="273"/>
      <c r="Y335" s="825"/>
      <c r="Z335" s="825"/>
      <c r="AA335" s="825"/>
      <c r="AB335" s="825"/>
      <c r="AC335" s="825"/>
      <c r="AD335" s="825"/>
      <c r="AE335" s="825"/>
      <c r="AF335" s="825"/>
      <c r="AG335" s="825"/>
      <c r="AH335" s="825"/>
      <c r="AI335" s="825"/>
      <c r="AJ335" s="825"/>
      <c r="AK335" s="825"/>
      <c r="AL335" s="825"/>
      <c r="AM335" s="825"/>
      <c r="AN335" s="825"/>
      <c r="AO335" s="825"/>
      <c r="AP335" s="825"/>
      <c r="AQ335" s="825"/>
      <c r="AR335" s="825"/>
      <c r="AS335" s="825"/>
      <c r="AT335" s="825"/>
      <c r="AU335" s="825"/>
      <c r="AV335" s="825"/>
      <c r="AW335" s="825"/>
      <c r="AX335" s="825"/>
      <c r="BA335" s="825"/>
      <c r="BB335" s="825"/>
      <c r="BC335" s="825"/>
      <c r="BD335" s="825"/>
      <c r="BE335" s="825"/>
      <c r="BF335" s="825"/>
      <c r="BG335" s="825"/>
      <c r="BH335" s="825"/>
      <c r="BI335" s="825"/>
      <c r="BJ335" s="825"/>
      <c r="BK335" s="825"/>
      <c r="BL335" s="825"/>
      <c r="BM335" s="825"/>
      <c r="BN335" s="825"/>
      <c r="BO335" s="825"/>
      <c r="BP335" s="825"/>
      <c r="BQ335" s="825"/>
      <c r="BR335" s="825"/>
      <c r="BS335" s="825"/>
      <c r="BT335" s="825"/>
      <c r="BU335" s="825"/>
      <c r="BV335" s="825"/>
      <c r="BW335" s="825"/>
      <c r="BX335" s="825"/>
      <c r="BY335" s="825"/>
      <c r="BZ335" s="825"/>
      <c r="CA335" s="825"/>
      <c r="CB335" s="825"/>
      <c r="CC335" s="825"/>
    </row>
    <row r="336" spans="1:81" s="548" customFormat="1" ht="34.5" customHeight="1" x14ac:dyDescent="0.25">
      <c r="A336" s="273"/>
      <c r="B336" s="672"/>
      <c r="C336" s="1572"/>
      <c r="D336" s="1565"/>
      <c r="E336" s="1565"/>
      <c r="F336" s="1539"/>
      <c r="G336" s="1539"/>
      <c r="H336" s="1539"/>
      <c r="I336" s="1539"/>
      <c r="J336" s="1539"/>
      <c r="K336" s="1539"/>
      <c r="L336" s="1539"/>
      <c r="M336" s="645" t="s">
        <v>489</v>
      </c>
      <c r="N336" s="730" t="str">
        <f>N9</f>
        <v>Otorgamiento de titulos de propiedad en tierras de aptitud  A y C con cobertura de bosques</v>
      </c>
      <c r="O336" s="837" t="str">
        <f t="shared" si="9"/>
        <v>Biodiversidad y recursos naturales</v>
      </c>
      <c r="P336" s="544" t="e">
        <f>#REF!</f>
        <v>#REF!</v>
      </c>
      <c r="Q336" s="540" t="str">
        <f>AA10</f>
        <v>Implementar el procedimiento de cambio de uso actual de tierras A y C con cobertura de bosques para formalización de propiedad rural considerado en la Ley Forestal y de Fauna Silvestre (Ley No 29736)</v>
      </c>
      <c r="R336" s="540" t="s">
        <v>506</v>
      </c>
      <c r="S336" s="544" t="s">
        <v>507</v>
      </c>
      <c r="T336" s="519" t="str">
        <f>Z10</f>
        <v>SBRN2</v>
      </c>
      <c r="U336" s="628"/>
      <c r="V336" s="478"/>
      <c r="W336" s="478"/>
      <c r="X336" s="273"/>
      <c r="Y336" s="825"/>
      <c r="Z336" s="825"/>
      <c r="AA336" s="825"/>
      <c r="AB336" s="825"/>
      <c r="AC336" s="825"/>
      <c r="AD336" s="825"/>
      <c r="AE336" s="825"/>
      <c r="AF336" s="825"/>
      <c r="AG336" s="825"/>
      <c r="AH336" s="825"/>
      <c r="AI336" s="825"/>
      <c r="AJ336" s="825"/>
      <c r="AK336" s="825"/>
      <c r="AL336" s="825"/>
      <c r="AM336" s="825"/>
      <c r="AN336" s="825"/>
      <c r="AO336" s="825"/>
      <c r="AP336" s="825"/>
      <c r="AQ336" s="825"/>
      <c r="AR336" s="825"/>
      <c r="AS336" s="825"/>
      <c r="AT336" s="825"/>
      <c r="AU336" s="825"/>
      <c r="AV336" s="825"/>
      <c r="AW336" s="825"/>
      <c r="AX336" s="825"/>
      <c r="AY336" s="273"/>
      <c r="AZ336" s="273"/>
      <c r="BA336" s="825"/>
      <c r="BB336" s="825"/>
      <c r="BC336" s="825"/>
      <c r="BD336" s="825"/>
      <c r="BE336" s="825"/>
      <c r="BF336" s="825"/>
      <c r="BG336" s="825"/>
      <c r="BH336" s="825"/>
      <c r="BI336" s="825"/>
      <c r="BJ336" s="825"/>
      <c r="BK336" s="825"/>
      <c r="BL336" s="825"/>
      <c r="BM336" s="825"/>
      <c r="BN336" s="825"/>
      <c r="BO336" s="825"/>
      <c r="BP336" s="825"/>
      <c r="BQ336" s="825"/>
      <c r="BR336" s="825"/>
      <c r="BS336" s="825"/>
      <c r="BT336" s="825"/>
      <c r="BU336" s="825"/>
      <c r="BV336" s="825"/>
      <c r="BW336" s="825"/>
      <c r="BX336" s="825"/>
      <c r="BY336" s="825"/>
      <c r="BZ336" s="825"/>
      <c r="CA336" s="825"/>
      <c r="CB336" s="825"/>
      <c r="CC336" s="825"/>
    </row>
    <row r="337" spans="1:81" s="548" customFormat="1" ht="31.6" customHeight="1" x14ac:dyDescent="0.25">
      <c r="A337" s="273"/>
      <c r="B337" s="672"/>
      <c r="C337" s="1572"/>
      <c r="D337" s="1565"/>
      <c r="E337" s="1565"/>
      <c r="F337" s="1539"/>
      <c r="G337" s="1539"/>
      <c r="H337" s="1539"/>
      <c r="I337" s="1539"/>
      <c r="J337" s="1539"/>
      <c r="K337" s="1539"/>
      <c r="L337" s="1539"/>
      <c r="M337" s="645" t="s">
        <v>489</v>
      </c>
      <c r="N337" s="730" t="str">
        <f>N9</f>
        <v>Otorgamiento de titulos de propiedad en tierras de aptitud  A y C con cobertura de bosques</v>
      </c>
      <c r="O337" s="837" t="str">
        <f t="shared" si="9"/>
        <v>Biodiversidad y recursos naturales</v>
      </c>
      <c r="P337" s="544" t="e">
        <f>#REF!</f>
        <v>#REF!</v>
      </c>
      <c r="Q337" s="540" t="str">
        <f>AA11</f>
        <v>Fortalecer las capacidades de la población local para que conozcan el marco legal sobre los derechos sobre la tierra y los bosques</v>
      </c>
      <c r="R337" s="540" t="s">
        <v>525</v>
      </c>
      <c r="S337" s="544" t="s">
        <v>526</v>
      </c>
      <c r="T337" s="519" t="str">
        <f>Z11</f>
        <v>SBRN3</v>
      </c>
      <c r="U337" s="628"/>
      <c r="V337" s="478"/>
      <c r="W337" s="478"/>
      <c r="X337" s="273"/>
      <c r="Y337" s="825"/>
      <c r="Z337" s="825"/>
      <c r="AA337" s="825"/>
      <c r="AB337" s="825"/>
      <c r="AC337" s="825"/>
      <c r="AD337" s="825"/>
      <c r="AE337" s="825"/>
      <c r="AF337" s="825"/>
      <c r="AG337" s="825"/>
      <c r="AH337" s="825"/>
      <c r="AI337" s="825"/>
      <c r="AJ337" s="825"/>
      <c r="AK337" s="825"/>
      <c r="AL337" s="825"/>
      <c r="AM337" s="825"/>
      <c r="AN337" s="825"/>
      <c r="AO337" s="825"/>
      <c r="AP337" s="825"/>
      <c r="AQ337" s="825"/>
      <c r="AR337" s="825"/>
      <c r="AS337" s="825"/>
      <c r="AT337" s="825"/>
      <c r="AU337" s="825"/>
      <c r="AV337" s="825"/>
      <c r="AW337" s="825"/>
      <c r="AX337" s="825"/>
      <c r="AY337" s="273"/>
      <c r="AZ337" s="273"/>
      <c r="BA337" s="825"/>
      <c r="BB337" s="825"/>
      <c r="BC337" s="825"/>
      <c r="BD337" s="825"/>
      <c r="BE337" s="825"/>
      <c r="BF337" s="825"/>
      <c r="BG337" s="825"/>
      <c r="BH337" s="825"/>
      <c r="BI337" s="825"/>
      <c r="BJ337" s="825"/>
      <c r="BK337" s="825"/>
      <c r="BL337" s="825"/>
      <c r="BM337" s="825"/>
      <c r="BN337" s="825"/>
      <c r="BO337" s="825"/>
      <c r="BP337" s="825"/>
      <c r="BQ337" s="825"/>
      <c r="BR337" s="825"/>
      <c r="BS337" s="825"/>
      <c r="BT337" s="825"/>
      <c r="BU337" s="825"/>
      <c r="BV337" s="825"/>
      <c r="BW337" s="825"/>
      <c r="BX337" s="825"/>
      <c r="BY337" s="825"/>
      <c r="BZ337" s="825"/>
      <c r="CA337" s="825"/>
      <c r="CB337" s="825"/>
      <c r="CC337" s="825"/>
    </row>
    <row r="338" spans="1:81" s="548" customFormat="1" ht="57.75" customHeight="1" x14ac:dyDescent="0.25">
      <c r="A338" s="273"/>
      <c r="B338" s="672"/>
      <c r="C338" s="1572"/>
      <c r="D338" s="1565"/>
      <c r="E338" s="1565"/>
      <c r="F338" s="1539"/>
      <c r="G338" s="1539"/>
      <c r="H338" s="1539"/>
      <c r="I338" s="1539"/>
      <c r="J338" s="1539"/>
      <c r="K338" s="1539"/>
      <c r="L338" s="1539"/>
      <c r="M338" s="645" t="s">
        <v>489</v>
      </c>
      <c r="N338" s="732" t="str">
        <f>N10</f>
        <v>Superposición de áreas a ser tituladas individualmente con áreas solicitadas por pueblos indígenas</v>
      </c>
      <c r="O338" s="837" t="str">
        <f t="shared" si="9"/>
        <v>Derechos de los pueblos indígenas</v>
      </c>
      <c r="P338" s="544" t="str">
        <f>Z6</f>
        <v>DPI</v>
      </c>
      <c r="Q338" s="540" t="str">
        <f>AD9</f>
        <v>Evaluación de superposiciones de solicitudes de titulación de predios rurales con solicitudes de pueblos indígenas (como parte del proceso de titulación de un predio rural individual)</v>
      </c>
      <c r="R338" s="540" t="s">
        <v>840</v>
      </c>
      <c r="S338" s="544" t="s">
        <v>542</v>
      </c>
      <c r="T338" s="519" t="str">
        <f>AC9</f>
        <v>SDPI1</v>
      </c>
      <c r="U338" s="628"/>
      <c r="V338" s="478"/>
      <c r="W338" s="478"/>
      <c r="X338" s="273"/>
      <c r="Y338" s="825"/>
      <c r="Z338" s="825"/>
      <c r="AA338" s="825"/>
      <c r="AB338" s="825"/>
      <c r="AC338" s="825"/>
      <c r="AD338" s="825"/>
      <c r="AE338" s="825"/>
      <c r="AF338" s="825"/>
      <c r="AG338" s="825"/>
      <c r="AH338" s="825"/>
      <c r="AI338" s="825"/>
      <c r="AJ338" s="825"/>
      <c r="AK338" s="825"/>
      <c r="AL338" s="825"/>
      <c r="AM338" s="825"/>
      <c r="AN338" s="825"/>
      <c r="AO338" s="825"/>
      <c r="AP338" s="825"/>
      <c r="AQ338" s="825"/>
      <c r="AR338" s="825"/>
      <c r="AS338" s="825"/>
      <c r="AT338" s="825"/>
      <c r="AU338" s="825"/>
      <c r="AV338" s="825"/>
      <c r="AW338" s="825"/>
      <c r="AX338" s="825"/>
      <c r="AY338" s="273"/>
      <c r="AZ338" s="273"/>
      <c r="BA338" s="825"/>
      <c r="BB338" s="825"/>
      <c r="BC338" s="825"/>
      <c r="BD338" s="825"/>
      <c r="BE338" s="825"/>
      <c r="BF338" s="825"/>
      <c r="BG338" s="825"/>
      <c r="BH338" s="825"/>
      <c r="BI338" s="825"/>
      <c r="BJ338" s="825"/>
      <c r="BK338" s="825"/>
      <c r="BL338" s="825"/>
      <c r="BM338" s="825"/>
      <c r="BN338" s="825"/>
      <c r="BO338" s="825"/>
      <c r="BP338" s="825"/>
      <c r="BQ338" s="825"/>
      <c r="BR338" s="825"/>
      <c r="BS338" s="825"/>
      <c r="BT338" s="825"/>
      <c r="BU338" s="825"/>
      <c r="BV338" s="825"/>
      <c r="BW338" s="825"/>
      <c r="BX338" s="825"/>
      <c r="BY338" s="825"/>
      <c r="BZ338" s="825"/>
      <c r="CA338" s="825"/>
      <c r="CB338" s="825"/>
      <c r="CC338" s="825"/>
    </row>
    <row r="339" spans="1:81" s="548" customFormat="1" ht="39.75" customHeight="1" x14ac:dyDescent="0.25">
      <c r="A339" s="273"/>
      <c r="B339" s="672"/>
      <c r="C339" s="1572"/>
      <c r="D339" s="1565"/>
      <c r="E339" s="1565"/>
      <c r="F339" s="1539"/>
      <c r="G339" s="1539"/>
      <c r="H339" s="1539"/>
      <c r="I339" s="1539"/>
      <c r="J339" s="1539"/>
      <c r="K339" s="1539"/>
      <c r="L339" s="1539"/>
      <c r="M339" s="645" t="s">
        <v>489</v>
      </c>
      <c r="N339" s="732" t="str">
        <f>N10</f>
        <v>Superposición de áreas a ser tituladas individualmente con áreas solicitadas por pueblos indígenas</v>
      </c>
      <c r="O339" s="837" t="str">
        <f t="shared" si="9"/>
        <v>Derechos de los pueblos indígenas</v>
      </c>
      <c r="P339" s="544" t="str">
        <f>Z6</f>
        <v>DPI</v>
      </c>
      <c r="Q339" s="540" t="str">
        <f>AD10</f>
        <v xml:space="preserve">Análisis de demandas de titulación de tierras a favor de comunidades nativas a nivel departamental con organizaciones indígenas </v>
      </c>
      <c r="R339" s="540" t="s">
        <v>555</v>
      </c>
      <c r="S339" s="544" t="s">
        <v>507</v>
      </c>
      <c r="T339" s="519" t="str">
        <f>AC10</f>
        <v>SDPI2</v>
      </c>
      <c r="U339" s="628"/>
      <c r="V339" s="478"/>
      <c r="W339" s="478"/>
      <c r="X339" s="273"/>
      <c r="Y339" s="825"/>
      <c r="Z339" s="825"/>
      <c r="AA339" s="825"/>
      <c r="AB339" s="825"/>
      <c r="AC339" s="825"/>
      <c r="AD339" s="825"/>
      <c r="AE339" s="825"/>
      <c r="AF339" s="825"/>
      <c r="AG339" s="825"/>
      <c r="AH339" s="825"/>
      <c r="AI339" s="825"/>
      <c r="AJ339" s="825"/>
      <c r="AK339" s="825"/>
      <c r="AL339" s="825"/>
      <c r="AM339" s="825"/>
      <c r="AN339" s="825"/>
      <c r="AO339" s="825"/>
      <c r="AP339" s="825"/>
      <c r="AQ339" s="825"/>
      <c r="AR339" s="825"/>
      <c r="AS339" s="825"/>
      <c r="AT339" s="825"/>
      <c r="AU339" s="825"/>
      <c r="AV339" s="825"/>
      <c r="AW339" s="825"/>
      <c r="AX339" s="825"/>
      <c r="AY339" s="273"/>
      <c r="AZ339" s="273"/>
      <c r="BA339" s="825"/>
      <c r="BB339" s="825"/>
      <c r="BC339" s="825"/>
      <c r="BD339" s="825"/>
      <c r="BE339" s="825"/>
      <c r="BF339" s="825"/>
      <c r="BG339" s="825"/>
      <c r="BH339" s="825"/>
      <c r="BI339" s="825"/>
      <c r="BJ339" s="825"/>
      <c r="BK339" s="825"/>
      <c r="BL339" s="825"/>
      <c r="BM339" s="825"/>
      <c r="BN339" s="825"/>
      <c r="BO339" s="825"/>
      <c r="BP339" s="825"/>
      <c r="BQ339" s="825"/>
      <c r="BR339" s="825"/>
      <c r="BS339" s="825"/>
      <c r="BT339" s="825"/>
      <c r="BU339" s="825"/>
      <c r="BV339" s="825"/>
      <c r="BW339" s="825"/>
      <c r="BX339" s="825"/>
      <c r="BY339" s="825"/>
      <c r="BZ339" s="825"/>
      <c r="CA339" s="825"/>
      <c r="CB339" s="825"/>
      <c r="CC339" s="825"/>
    </row>
    <row r="340" spans="1:81" s="548" customFormat="1" ht="26.35" customHeight="1" x14ac:dyDescent="0.25">
      <c r="A340" s="273"/>
      <c r="B340" s="672"/>
      <c r="C340" s="1572"/>
      <c r="D340" s="1565"/>
      <c r="E340" s="1565"/>
      <c r="F340" s="1539"/>
      <c r="G340" s="1539"/>
      <c r="H340" s="1539"/>
      <c r="I340" s="1539"/>
      <c r="J340" s="1539"/>
      <c r="K340" s="1539"/>
      <c r="L340" s="1539"/>
      <c r="M340" s="645" t="s">
        <v>489</v>
      </c>
      <c r="N340" s="732" t="str">
        <f>N13</f>
        <v xml:space="preserve">Tráfico de títulos de propiedad y contratos de cesión en uso </v>
      </c>
      <c r="O340" s="837" t="str">
        <f t="shared" si="9"/>
        <v>Corrupción</v>
      </c>
      <c r="P340" s="544" t="e">
        <f>#REF!</f>
        <v>#REF!</v>
      </c>
      <c r="Q340" s="540" t="str">
        <f>AG9</f>
        <v xml:space="preserve">Transparencia en procesos de formalización de la propiedad rural y cesión en uso </v>
      </c>
      <c r="R340" s="540" t="s">
        <v>566</v>
      </c>
      <c r="S340" s="544" t="s">
        <v>526</v>
      </c>
      <c r="T340" s="519" t="str">
        <f>AF9</f>
        <v>SCR1</v>
      </c>
      <c r="U340" s="628"/>
      <c r="V340" s="478"/>
      <c r="W340" s="478"/>
      <c r="X340" s="273"/>
      <c r="Y340" s="825"/>
      <c r="Z340" s="825"/>
      <c r="AA340" s="825"/>
      <c r="AB340" s="825"/>
      <c r="AC340" s="825"/>
      <c r="AD340" s="825"/>
      <c r="AE340" s="825"/>
      <c r="AF340" s="825"/>
      <c r="AG340" s="825"/>
      <c r="AH340" s="825"/>
      <c r="AI340" s="825"/>
      <c r="AJ340" s="825"/>
      <c r="AK340" s="825"/>
      <c r="AL340" s="825"/>
      <c r="AM340" s="825"/>
      <c r="AN340" s="825"/>
      <c r="AO340" s="825"/>
      <c r="AP340" s="825"/>
      <c r="AQ340" s="825"/>
      <c r="AR340" s="825"/>
      <c r="AS340" s="825"/>
      <c r="AT340" s="825"/>
      <c r="AU340" s="825"/>
      <c r="AV340" s="825"/>
      <c r="AW340" s="825"/>
      <c r="AX340" s="825"/>
      <c r="AY340" s="273"/>
      <c r="AZ340" s="273"/>
      <c r="BA340" s="825"/>
      <c r="BB340" s="825"/>
      <c r="BC340" s="825"/>
      <c r="BD340" s="825"/>
      <c r="BE340" s="825"/>
      <c r="BF340" s="825"/>
      <c r="BG340" s="825"/>
      <c r="BH340" s="825"/>
      <c r="BI340" s="825"/>
      <c r="BJ340" s="825"/>
      <c r="BK340" s="825"/>
      <c r="BL340" s="825"/>
      <c r="BM340" s="825"/>
      <c r="BN340" s="825"/>
      <c r="BO340" s="825"/>
      <c r="BP340" s="825"/>
      <c r="BQ340" s="825"/>
      <c r="BR340" s="825"/>
      <c r="BS340" s="825"/>
      <c r="BT340" s="825"/>
      <c r="BU340" s="825"/>
      <c r="BV340" s="825"/>
      <c r="BW340" s="825"/>
      <c r="BX340" s="825"/>
      <c r="BY340" s="825"/>
      <c r="BZ340" s="825"/>
      <c r="CA340" s="825"/>
      <c r="CB340" s="825"/>
      <c r="CC340" s="825"/>
    </row>
    <row r="341" spans="1:81" s="548" customFormat="1" ht="31.6" customHeight="1" x14ac:dyDescent="0.25">
      <c r="A341" s="273"/>
      <c r="B341" s="672"/>
      <c r="C341" s="1572"/>
      <c r="D341" s="1565"/>
      <c r="E341" s="1565"/>
      <c r="F341" s="1539"/>
      <c r="G341" s="1539"/>
      <c r="H341" s="1539"/>
      <c r="I341" s="1539"/>
      <c r="J341" s="1539"/>
      <c r="K341" s="1539"/>
      <c r="L341" s="1539"/>
      <c r="M341" s="645" t="s">
        <v>489</v>
      </c>
      <c r="N341" s="732" t="str">
        <f>N14</f>
        <v>Exclusión de mujeres propietarias en títulos de propiedad o contratos de cesión en uso</v>
      </c>
      <c r="O341" s="837" t="str">
        <f t="shared" si="9"/>
        <v>Género</v>
      </c>
      <c r="P341" s="544" t="str">
        <f>AC6</f>
        <v>GN</v>
      </c>
      <c r="Q341" s="540" t="str">
        <f>AJ9</f>
        <v xml:space="preserve">Incorporación de cónyuges o convivientes en títulos de propiedad y contratos de cesión en uso </v>
      </c>
      <c r="R341" s="540" t="s">
        <v>576</v>
      </c>
      <c r="S341" s="544" t="s">
        <v>507</v>
      </c>
      <c r="T341" s="519" t="str">
        <f>AI9</f>
        <v>SGN1</v>
      </c>
      <c r="U341" s="628"/>
      <c r="V341" s="478"/>
      <c r="W341" s="478"/>
      <c r="X341" s="273"/>
      <c r="Y341" s="825"/>
      <c r="Z341" s="825"/>
      <c r="AA341" s="825"/>
      <c r="AB341" s="825"/>
      <c r="AC341" s="825"/>
      <c r="AD341" s="825"/>
      <c r="AE341" s="825"/>
      <c r="AF341" s="825"/>
      <c r="AG341" s="825"/>
      <c r="AH341" s="825"/>
      <c r="AI341" s="825"/>
      <c r="AJ341" s="825"/>
      <c r="AK341" s="825"/>
      <c r="AL341" s="825"/>
      <c r="AM341" s="825"/>
      <c r="AN341" s="825"/>
      <c r="AO341" s="825"/>
      <c r="AP341" s="825"/>
      <c r="AQ341" s="825"/>
      <c r="AR341" s="825"/>
      <c r="AS341" s="825"/>
      <c r="AT341" s="825"/>
      <c r="AU341" s="825"/>
      <c r="AV341" s="825"/>
      <c r="AW341" s="825"/>
      <c r="AX341" s="825"/>
      <c r="AY341" s="273"/>
      <c r="AZ341" s="273"/>
      <c r="BA341" s="825"/>
      <c r="BB341" s="825"/>
      <c r="BC341" s="825"/>
      <c r="BD341" s="825"/>
      <c r="BE341" s="825"/>
      <c r="BF341" s="825"/>
      <c r="BG341" s="825"/>
      <c r="BH341" s="825"/>
      <c r="BI341" s="825"/>
      <c r="BJ341" s="825"/>
      <c r="BK341" s="825"/>
      <c r="BL341" s="825"/>
      <c r="BM341" s="825"/>
      <c r="BN341" s="825"/>
      <c r="BO341" s="825"/>
      <c r="BP341" s="825"/>
      <c r="BQ341" s="825"/>
      <c r="BR341" s="825"/>
      <c r="BS341" s="825"/>
      <c r="BT341" s="825"/>
      <c r="BU341" s="825"/>
      <c r="BV341" s="825"/>
      <c r="BW341" s="825"/>
      <c r="BX341" s="825"/>
      <c r="BY341" s="825"/>
      <c r="BZ341" s="825"/>
      <c r="CA341" s="825"/>
      <c r="CB341" s="825"/>
      <c r="CC341" s="825"/>
    </row>
    <row r="342" spans="1:81" s="548" customFormat="1" ht="41.3" customHeight="1" x14ac:dyDescent="0.25">
      <c r="A342" s="273"/>
      <c r="B342" s="672"/>
      <c r="C342" s="1573"/>
      <c r="D342" s="1566"/>
      <c r="E342" s="1566"/>
      <c r="F342" s="1560"/>
      <c r="G342" s="1560"/>
      <c r="H342" s="1560"/>
      <c r="I342" s="1560"/>
      <c r="J342" s="1560"/>
      <c r="K342" s="1560"/>
      <c r="L342" s="1560"/>
      <c r="M342" s="645" t="s">
        <v>489</v>
      </c>
      <c r="N342" s="732" t="str">
        <f>N15</f>
        <v>Otorgamiento de derechos sobre la tierra / bosques en zonas con patrimonio cultural</v>
      </c>
      <c r="O342" s="837" t="str">
        <f t="shared" si="9"/>
        <v>Patrimonio cultural</v>
      </c>
      <c r="P342" s="544" t="str">
        <f>AI6</f>
        <v>PC</v>
      </c>
      <c r="Q342" s="540" t="str">
        <f>AV9</f>
        <v>Evaluación de superposición del área solicitada para titulación de predios rurales con áreas determinadas como patrimonio cultural</v>
      </c>
      <c r="R342" s="540" t="s">
        <v>586</v>
      </c>
      <c r="S342" s="544" t="s">
        <v>542</v>
      </c>
      <c r="T342" s="519" t="str">
        <f>AU9</f>
        <v>SPC1</v>
      </c>
      <c r="U342" s="628"/>
      <c r="V342" s="478"/>
      <c r="W342" s="478"/>
      <c r="X342" s="273"/>
      <c r="Y342" s="825"/>
      <c r="Z342" s="825"/>
      <c r="AA342" s="825"/>
      <c r="AB342" s="825"/>
      <c r="AC342" s="825"/>
      <c r="AD342" s="825"/>
      <c r="AE342" s="825"/>
      <c r="AF342" s="825"/>
      <c r="AG342" s="825"/>
      <c r="AH342" s="825"/>
      <c r="AI342" s="825"/>
      <c r="AJ342" s="825"/>
      <c r="AK342" s="825"/>
      <c r="AL342" s="825"/>
      <c r="AM342" s="825"/>
      <c r="AN342" s="825"/>
      <c r="AO342" s="825"/>
      <c r="AP342" s="825"/>
      <c r="AQ342" s="825"/>
      <c r="AR342" s="825"/>
      <c r="AS342" s="825"/>
      <c r="AT342" s="825"/>
      <c r="AU342" s="825"/>
      <c r="AV342" s="825"/>
      <c r="AW342" s="825"/>
      <c r="AX342" s="825"/>
      <c r="AY342" s="273"/>
      <c r="AZ342" s="273"/>
      <c r="BA342" s="825"/>
      <c r="BB342" s="825"/>
      <c r="BC342" s="825"/>
      <c r="BD342" s="825"/>
      <c r="BE342" s="825"/>
      <c r="BF342" s="825"/>
      <c r="BG342" s="825"/>
      <c r="BH342" s="825"/>
      <c r="BI342" s="825"/>
      <c r="BJ342" s="825"/>
      <c r="BK342" s="825"/>
      <c r="BL342" s="825"/>
      <c r="BM342" s="825"/>
      <c r="BN342" s="825"/>
      <c r="BO342" s="825"/>
      <c r="BP342" s="825"/>
      <c r="BQ342" s="825"/>
      <c r="BR342" s="825"/>
      <c r="BS342" s="825"/>
      <c r="BT342" s="825"/>
      <c r="BU342" s="825"/>
      <c r="BV342" s="825"/>
      <c r="BW342" s="825"/>
      <c r="BX342" s="825"/>
      <c r="BY342" s="825"/>
      <c r="BZ342" s="825"/>
      <c r="CA342" s="825"/>
      <c r="CB342" s="825"/>
      <c r="CC342" s="825"/>
    </row>
    <row r="343" spans="1:81" ht="34.5" customHeight="1" x14ac:dyDescent="0.25">
      <c r="A343" s="273"/>
      <c r="B343" s="672" t="s">
        <v>873</v>
      </c>
      <c r="C343" s="842" t="str">
        <f>'8. BASE  CONSOLIDADA'!E224</f>
        <v>3.2.2</v>
      </c>
      <c r="D343" s="1564" t="str">
        <f>'8. BASE  CONSOLIDADA'!F224</f>
        <v>Promoción y desarrollo de proveedores de semillas mejoradas</v>
      </c>
      <c r="E343" s="1564" t="str">
        <f>'8. BASE  CONSOLIDADA'!G224</f>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v>
      </c>
      <c r="F343" s="1535" t="str">
        <f>'8. BASE  CONSOLIDADA'!C224</f>
        <v xml:space="preserve">Predios privados dedicados a la producción comercial (arroz) </v>
      </c>
      <c r="G343" s="1538" t="str">
        <f>VLOOKUP($C343,'8. BASE  CONSOLIDADA'!$E$7:$AS$308,13,FALSE)</f>
        <v>Unidades semilleristas</v>
      </c>
      <c r="H343" s="1538">
        <f>VLOOKUP($C343,'8. BASE  CONSOLIDADA'!$E$7:$AS$308,15,FALSE)</f>
        <v>2.5</v>
      </c>
      <c r="I343" s="1538">
        <f>VLOOKUP(C343,'8. BASE  CONSOLIDADA'!$E$7:$AS$308,20,FALSE)</f>
        <v>37500</v>
      </c>
      <c r="J343" s="1538">
        <f>I343*$J$6</f>
        <v>25.500000000000004</v>
      </c>
      <c r="K343" s="1538"/>
      <c r="L343" s="1538"/>
      <c r="M343" s="645" t="s">
        <v>489</v>
      </c>
      <c r="N343" s="732" t="str">
        <f>N85</f>
        <v>Exclusión de mujeres productoras del desarrollo de proveedores de semillas mejoradas</v>
      </c>
      <c r="O343" s="837" t="str">
        <f t="shared" si="9"/>
        <v>Género</v>
      </c>
      <c r="P343" s="544" t="str">
        <f>AC6</f>
        <v>GN</v>
      </c>
      <c r="Q343" s="540" t="str">
        <f>AJ11</f>
        <v xml:space="preserve">Cuotas de género y medición de participación efectiva de mujeres rurales </v>
      </c>
      <c r="R343" s="540" t="s">
        <v>689</v>
      </c>
      <c r="S343" s="544" t="s">
        <v>507</v>
      </c>
      <c r="T343" s="519" t="str">
        <f>AI11</f>
        <v>SGN3</v>
      </c>
      <c r="U343" s="628"/>
      <c r="V343" s="478"/>
      <c r="W343" s="478"/>
      <c r="X343" s="273"/>
      <c r="Y343" s="825"/>
      <c r="Z343" s="825"/>
      <c r="AA343" s="825"/>
      <c r="AB343" s="825"/>
      <c r="AC343" s="825"/>
      <c r="AD343" s="825"/>
      <c r="AE343" s="825"/>
      <c r="AF343" s="825"/>
      <c r="AG343" s="825"/>
      <c r="AH343" s="825"/>
      <c r="AI343" s="825"/>
      <c r="AJ343" s="825"/>
      <c r="AK343" s="825"/>
      <c r="AL343" s="825"/>
      <c r="AM343" s="825"/>
      <c r="AN343" s="825"/>
      <c r="AO343" s="825"/>
      <c r="AP343" s="825"/>
      <c r="AQ343" s="825"/>
      <c r="AR343" s="825"/>
      <c r="AS343" s="825"/>
      <c r="AT343" s="825"/>
      <c r="AU343" s="825"/>
      <c r="AV343" s="825"/>
      <c r="AW343" s="825"/>
      <c r="AX343" s="825"/>
      <c r="BA343" s="825"/>
      <c r="BB343" s="825"/>
      <c r="BC343" s="825"/>
      <c r="BD343" s="825"/>
      <c r="BE343" s="825"/>
      <c r="BF343" s="825"/>
      <c r="BG343" s="825"/>
      <c r="BH343" s="825"/>
      <c r="BI343" s="825"/>
      <c r="BJ343" s="825"/>
      <c r="BK343" s="825"/>
      <c r="BL343" s="825"/>
      <c r="BM343" s="825"/>
      <c r="BN343" s="825"/>
      <c r="BO343" s="825"/>
      <c r="BP343" s="825"/>
      <c r="BQ343" s="825"/>
      <c r="BR343" s="825"/>
      <c r="BS343" s="825"/>
      <c r="BT343" s="825"/>
      <c r="BU343" s="825"/>
      <c r="BV343" s="825"/>
      <c r="BW343" s="825"/>
      <c r="BX343" s="825"/>
      <c r="BY343" s="825"/>
      <c r="BZ343" s="825"/>
      <c r="CA343" s="825"/>
      <c r="CB343" s="825"/>
      <c r="CC343" s="825"/>
    </row>
    <row r="344" spans="1:81" s="548" customFormat="1" ht="34.5" customHeight="1" x14ac:dyDescent="0.25">
      <c r="A344" s="273"/>
      <c r="B344" s="672"/>
      <c r="C344" s="842"/>
      <c r="D344" s="1566"/>
      <c r="E344" s="1566"/>
      <c r="F344" s="1543"/>
      <c r="G344" s="1560"/>
      <c r="H344" s="1560"/>
      <c r="I344" s="1560"/>
      <c r="J344" s="1560"/>
      <c r="K344" s="1560"/>
      <c r="L344" s="1560"/>
      <c r="M344" s="645" t="s">
        <v>489</v>
      </c>
      <c r="N344" s="732" t="str">
        <f>N85</f>
        <v>Exclusión de mujeres productoras del desarrollo de proveedores de semillas mejoradas</v>
      </c>
      <c r="O344" s="837" t="str">
        <f t="shared" si="9"/>
        <v>Género</v>
      </c>
      <c r="P344" s="544" t="str">
        <f>AC6</f>
        <v>GN</v>
      </c>
      <c r="Q344" s="540" t="str">
        <f>AJ13</f>
        <v>Programas de incentivos financieros y no financieros para el desarrollo rural para mujeres rurales</v>
      </c>
      <c r="R344" s="540" t="s">
        <v>842</v>
      </c>
      <c r="S344" s="544" t="s">
        <v>507</v>
      </c>
      <c r="T344" s="519" t="str">
        <f>AI13</f>
        <v>SGN5</v>
      </c>
      <c r="U344" s="628"/>
      <c r="V344" s="478"/>
      <c r="W344" s="478"/>
      <c r="X344" s="273"/>
      <c r="Y344" s="825"/>
      <c r="Z344" s="825"/>
      <c r="AA344" s="825"/>
      <c r="AB344" s="825"/>
      <c r="AC344" s="825"/>
      <c r="AD344" s="825"/>
      <c r="AE344" s="825"/>
      <c r="AF344" s="825"/>
      <c r="AG344" s="825"/>
      <c r="AH344" s="825"/>
      <c r="AI344" s="825"/>
      <c r="AJ344" s="825"/>
      <c r="AK344" s="825"/>
      <c r="AL344" s="825"/>
      <c r="AM344" s="825"/>
      <c r="AN344" s="825"/>
      <c r="AO344" s="825"/>
      <c r="AP344" s="825"/>
      <c r="AQ344" s="825"/>
      <c r="AR344" s="825"/>
      <c r="AS344" s="825"/>
      <c r="AT344" s="825"/>
      <c r="AU344" s="825"/>
      <c r="AV344" s="825"/>
      <c r="AW344" s="825"/>
      <c r="AX344" s="825"/>
      <c r="AY344" s="273"/>
      <c r="AZ344" s="273"/>
      <c r="BA344" s="825"/>
      <c r="BB344" s="825"/>
      <c r="BC344" s="825"/>
      <c r="BD344" s="825"/>
      <c r="BE344" s="825"/>
      <c r="BF344" s="825"/>
      <c r="BG344" s="825"/>
      <c r="BH344" s="825"/>
      <c r="BI344" s="825"/>
      <c r="BJ344" s="825"/>
      <c r="BK344" s="825"/>
      <c r="BL344" s="825"/>
      <c r="BM344" s="825"/>
      <c r="BN344" s="825"/>
      <c r="BO344" s="825"/>
      <c r="BP344" s="825"/>
      <c r="BQ344" s="825"/>
      <c r="BR344" s="825"/>
      <c r="BS344" s="825"/>
      <c r="BT344" s="825"/>
      <c r="BU344" s="825"/>
      <c r="BV344" s="825"/>
      <c r="BW344" s="825"/>
      <c r="BX344" s="825"/>
      <c r="BY344" s="825"/>
      <c r="BZ344" s="825"/>
      <c r="CA344" s="825"/>
      <c r="CB344" s="825"/>
      <c r="CC344" s="825"/>
    </row>
    <row r="345" spans="1:81" ht="53.35" customHeight="1" x14ac:dyDescent="0.25">
      <c r="A345" s="273"/>
      <c r="B345" s="672" t="s">
        <v>873</v>
      </c>
      <c r="C345" s="1571" t="str">
        <f>'8. BASE  CONSOLIDADA'!E225</f>
        <v>3.2.3</v>
      </c>
      <c r="D345" s="1564" t="str">
        <f>'8. BASE  CONSOLIDADA'!F225</f>
        <v>Promoción de Sistemas de producción sostenibles</v>
      </c>
      <c r="E345" s="1564" t="str">
        <f>'8. BASE  CONSOLIDADA'!G225</f>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v>
      </c>
      <c r="F345" s="1538" t="str">
        <f>'8. BASE  CONSOLIDADA'!C225</f>
        <v xml:space="preserve">Predios privados dedicados a la producción comercial (arroz) </v>
      </c>
      <c r="G345" s="1538" t="str">
        <f>VLOOKUP($C345,'8. BASE  CONSOLIDADA'!$E$7:$AS$308,13,FALSE)</f>
        <v>Productores asistidos</v>
      </c>
      <c r="H345" s="1538">
        <f>VLOOKUP($C345,'8. BASE  CONSOLIDADA'!$E$7:$AS$308,15,FALSE)</f>
        <v>492.5</v>
      </c>
      <c r="I345" s="1538">
        <f>VLOOKUP(C345,'8. BASE  CONSOLIDADA'!$E$7:$AS$308,20,FALSE)</f>
        <v>275800</v>
      </c>
      <c r="J345" s="1538">
        <f>I345*$J$6</f>
        <v>187.54400000000001</v>
      </c>
      <c r="K345" s="1538"/>
      <c r="L345" s="1538"/>
      <c r="M345" s="645" t="s">
        <v>489</v>
      </c>
      <c r="N345" s="732" t="str">
        <f>N16</f>
        <v>Exclusión de mujeres rurales en programas de asistencia técnica</v>
      </c>
      <c r="O345" s="837" t="str">
        <f t="shared" si="9"/>
        <v>Género</v>
      </c>
      <c r="P345" s="544" t="str">
        <f>AC6</f>
        <v>GN</v>
      </c>
      <c r="Q345" s="540" t="str">
        <f>AJ11</f>
        <v xml:space="preserve">Cuotas de género y medición de participación efectiva de mujeres rurales </v>
      </c>
      <c r="R345" s="540" t="s">
        <v>689</v>
      </c>
      <c r="S345" s="544" t="s">
        <v>507</v>
      </c>
      <c r="T345" s="519" t="str">
        <f>AI11</f>
        <v>SGN3</v>
      </c>
      <c r="U345" s="628"/>
      <c r="V345" s="478"/>
      <c r="W345" s="478"/>
      <c r="X345" s="273"/>
      <c r="Y345" s="825"/>
      <c r="Z345" s="825"/>
      <c r="AA345" s="825"/>
      <c r="AB345" s="825"/>
      <c r="AC345" s="825"/>
      <c r="AD345" s="825"/>
      <c r="AE345" s="825"/>
      <c r="AF345" s="825"/>
      <c r="AG345" s="825"/>
      <c r="AH345" s="825"/>
      <c r="AI345" s="825"/>
      <c r="AJ345" s="825"/>
      <c r="AK345" s="825"/>
      <c r="AL345" s="825"/>
      <c r="AM345" s="825"/>
      <c r="AN345" s="825"/>
      <c r="AO345" s="825"/>
      <c r="AP345" s="825"/>
      <c r="AQ345" s="825"/>
      <c r="AR345" s="825"/>
      <c r="AS345" s="825"/>
      <c r="AT345" s="825"/>
      <c r="AU345" s="825"/>
      <c r="AV345" s="825"/>
      <c r="AW345" s="825"/>
      <c r="AX345" s="825"/>
      <c r="BA345" s="825"/>
      <c r="BB345" s="825"/>
      <c r="BC345" s="825"/>
      <c r="BD345" s="825"/>
      <c r="BE345" s="825"/>
      <c r="BF345" s="825"/>
      <c r="BG345" s="825"/>
      <c r="BH345" s="825"/>
      <c r="BI345" s="825"/>
      <c r="BJ345" s="825"/>
      <c r="BK345" s="825"/>
      <c r="BL345" s="825"/>
      <c r="BM345" s="825"/>
      <c r="BN345" s="825"/>
      <c r="BO345" s="825"/>
      <c r="BP345" s="825"/>
      <c r="BQ345" s="825"/>
      <c r="BR345" s="825"/>
      <c r="BS345" s="825"/>
      <c r="BT345" s="825"/>
      <c r="BU345" s="825"/>
      <c r="BV345" s="825"/>
      <c r="BW345" s="825"/>
      <c r="BX345" s="825"/>
      <c r="BY345" s="825"/>
      <c r="BZ345" s="825"/>
      <c r="CA345" s="825"/>
      <c r="CB345" s="825"/>
      <c r="CC345" s="825"/>
    </row>
    <row r="346" spans="1:81" s="548" customFormat="1" ht="53.35" customHeight="1" x14ac:dyDescent="0.25">
      <c r="A346" s="273"/>
      <c r="B346" s="672"/>
      <c r="C346" s="1573"/>
      <c r="D346" s="1566"/>
      <c r="E346" s="1566"/>
      <c r="F346" s="1560"/>
      <c r="G346" s="1560"/>
      <c r="H346" s="1560"/>
      <c r="I346" s="1560"/>
      <c r="J346" s="1560"/>
      <c r="K346" s="1560"/>
      <c r="L346" s="1560"/>
      <c r="M346" s="645" t="s">
        <v>489</v>
      </c>
      <c r="N346" s="732" t="str">
        <f>N16</f>
        <v>Exclusión de mujeres rurales en programas de asistencia técnica</v>
      </c>
      <c r="O346" s="837" t="str">
        <f t="shared" si="9"/>
        <v>Género</v>
      </c>
      <c r="P346" s="544" t="str">
        <f>AC6</f>
        <v>GN</v>
      </c>
      <c r="Q346" s="540" t="str">
        <f>AJ10</f>
        <v>Programas de asistencia técnica y proyectos específicos para mujeres rurales y mujeres indígenas</v>
      </c>
      <c r="R346" s="540" t="s">
        <v>596</v>
      </c>
      <c r="S346" s="544" t="s">
        <v>507</v>
      </c>
      <c r="T346" s="519" t="str">
        <f>AI10</f>
        <v>SGN2</v>
      </c>
      <c r="U346" s="628"/>
      <c r="V346" s="478"/>
      <c r="W346" s="478"/>
      <c r="X346" s="273"/>
      <c r="Y346" s="825"/>
      <c r="Z346" s="825"/>
      <c r="AA346" s="825"/>
      <c r="AB346" s="825"/>
      <c r="AC346" s="825"/>
      <c r="AD346" s="825"/>
      <c r="AE346" s="825"/>
      <c r="AF346" s="825"/>
      <c r="AG346" s="825"/>
      <c r="AH346" s="825"/>
      <c r="AI346" s="825"/>
      <c r="AJ346" s="825"/>
      <c r="AK346" s="825"/>
      <c r="AL346" s="825"/>
      <c r="AM346" s="825"/>
      <c r="AN346" s="825"/>
      <c r="AO346" s="825"/>
      <c r="AP346" s="825"/>
      <c r="AQ346" s="825"/>
      <c r="AR346" s="825"/>
      <c r="AS346" s="825"/>
      <c r="AT346" s="825"/>
      <c r="AU346" s="825"/>
      <c r="AV346" s="825"/>
      <c r="AW346" s="825"/>
      <c r="AX346" s="825"/>
      <c r="AY346" s="273"/>
      <c r="AZ346" s="273"/>
      <c r="BA346" s="825"/>
      <c r="BB346" s="825"/>
      <c r="BC346" s="825"/>
      <c r="BD346" s="825"/>
      <c r="BE346" s="825"/>
      <c r="BF346" s="825"/>
      <c r="BG346" s="825"/>
      <c r="BH346" s="825"/>
      <c r="BI346" s="825"/>
      <c r="BJ346" s="825"/>
      <c r="BK346" s="825"/>
      <c r="BL346" s="825"/>
      <c r="BM346" s="825"/>
      <c r="BN346" s="825"/>
      <c r="BO346" s="825"/>
      <c r="BP346" s="825"/>
      <c r="BQ346" s="825"/>
      <c r="BR346" s="825"/>
      <c r="BS346" s="825"/>
      <c r="BT346" s="825"/>
      <c r="BU346" s="825"/>
      <c r="BV346" s="825"/>
      <c r="BW346" s="825"/>
      <c r="BX346" s="825"/>
      <c r="BY346" s="825"/>
      <c r="BZ346" s="825"/>
      <c r="CA346" s="825"/>
      <c r="CB346" s="825"/>
      <c r="CC346" s="825"/>
    </row>
    <row r="347" spans="1:81" ht="45" customHeight="1" x14ac:dyDescent="0.25">
      <c r="A347" s="273"/>
      <c r="B347" s="672" t="s">
        <v>873</v>
      </c>
      <c r="C347" s="1571" t="str">
        <f>'8. BASE  CONSOLIDADA'!E226</f>
        <v>3.2.4</v>
      </c>
      <c r="D347" s="1564" t="str">
        <f>'8. BASE  CONSOLIDADA'!F226</f>
        <v xml:space="preserve">Reconversión y diversificación productiva </v>
      </c>
      <c r="E347" s="1564" t="str">
        <f>'8. BASE  CONSOLIDADA'!G226</f>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v>
      </c>
      <c r="F347" s="1538" t="str">
        <f>'8. BASE  CONSOLIDADA'!C226</f>
        <v xml:space="preserve">Predios privados dedicados a la producción comercial (arroz) </v>
      </c>
      <c r="G347" s="1538" t="str">
        <f>VLOOKUP($C347,'8. BASE  CONSOLIDADA'!$E$7:$AS$308,13,FALSE)</f>
        <v>Hectáreas reconvertidas</v>
      </c>
      <c r="H347" s="1538">
        <f>VLOOKUP($C347,'8. BASE  CONSOLIDADA'!$E$7:$AS$308,15,FALSE)</f>
        <v>100.14000000000001</v>
      </c>
      <c r="I347" s="1538">
        <f>VLOOKUP(C347,'8. BASE  CONSOLIDADA'!$E$7:$AS$308,20,FALSE)</f>
        <v>1502100.0000000002</v>
      </c>
      <c r="J347" s="1538">
        <f>I347*$J$6</f>
        <v>1021.4280000000002</v>
      </c>
      <c r="K347" s="1538">
        <v>17</v>
      </c>
      <c r="L347" s="1538">
        <f>K347*H347</f>
        <v>1702.3800000000003</v>
      </c>
      <c r="M347" s="651" t="s">
        <v>874</v>
      </c>
      <c r="N347" s="724" t="str">
        <f>N17</f>
        <v>Especies exóticas o invasoras en bosques colindantes</v>
      </c>
      <c r="O347" s="837" t="str">
        <f t="shared" si="9"/>
        <v>Biodiversidad y recursos naturales</v>
      </c>
      <c r="P347" s="544" t="e">
        <f>#REF!</f>
        <v>#REF!</v>
      </c>
      <c r="Q347" s="540" t="str">
        <f>AA12</f>
        <v xml:space="preserve">Ordenamiento agroterritorial como estrategia para ordenar y promover el desarrollo agrario regional </v>
      </c>
      <c r="R347" s="540" t="s">
        <v>656</v>
      </c>
      <c r="S347" s="544" t="s">
        <v>492</v>
      </c>
      <c r="T347" s="519" t="str">
        <f>Z12</f>
        <v>SBRN4</v>
      </c>
      <c r="U347" s="628"/>
      <c r="V347" s="478"/>
      <c r="W347" s="478"/>
      <c r="X347" s="273"/>
      <c r="Y347" s="825"/>
      <c r="Z347" s="825"/>
      <c r="AA347" s="825"/>
      <c r="AB347" s="825"/>
      <c r="AC347" s="825"/>
      <c r="AD347" s="825"/>
      <c r="AE347" s="825"/>
      <c r="AF347" s="825"/>
      <c r="AG347" s="825"/>
      <c r="AH347" s="825"/>
      <c r="AI347" s="825"/>
      <c r="AJ347" s="825"/>
      <c r="AK347" s="825"/>
      <c r="AL347" s="825"/>
      <c r="AM347" s="825"/>
      <c r="AN347" s="825"/>
      <c r="AO347" s="825"/>
      <c r="AP347" s="825"/>
      <c r="AQ347" s="825"/>
      <c r="AR347" s="825"/>
      <c r="AS347" s="825"/>
      <c r="AT347" s="825"/>
      <c r="AU347" s="825"/>
      <c r="AV347" s="825"/>
      <c r="AW347" s="825"/>
      <c r="AX347" s="825"/>
      <c r="BA347" s="825"/>
      <c r="BB347" s="825"/>
      <c r="BC347" s="825"/>
      <c r="BD347" s="825"/>
      <c r="BE347" s="825"/>
      <c r="BF347" s="825"/>
      <c r="BG347" s="825"/>
      <c r="BH347" s="825"/>
      <c r="BI347" s="825"/>
      <c r="BJ347" s="825"/>
      <c r="BK347" s="825"/>
      <c r="BL347" s="825"/>
      <c r="BM347" s="825"/>
      <c r="BN347" s="825"/>
      <c r="BO347" s="825"/>
      <c r="BP347" s="825"/>
      <c r="BQ347" s="825"/>
      <c r="BR347" s="825"/>
      <c r="BS347" s="825"/>
      <c r="BT347" s="825"/>
      <c r="BU347" s="825"/>
      <c r="BV347" s="825"/>
      <c r="BW347" s="825"/>
      <c r="BX347" s="825"/>
      <c r="BY347" s="825"/>
      <c r="BZ347" s="825"/>
      <c r="CA347" s="825"/>
      <c r="CB347" s="825"/>
      <c r="CC347" s="825"/>
    </row>
    <row r="348" spans="1:81" s="548" customFormat="1" ht="45.7" customHeight="1" x14ac:dyDescent="0.25">
      <c r="A348" s="273"/>
      <c r="B348" s="672"/>
      <c r="C348" s="1572"/>
      <c r="D348" s="1565"/>
      <c r="E348" s="1565"/>
      <c r="F348" s="1539"/>
      <c r="G348" s="1539"/>
      <c r="H348" s="1539"/>
      <c r="I348" s="1539"/>
      <c r="J348" s="1539"/>
      <c r="K348" s="1539"/>
      <c r="L348" s="1539"/>
      <c r="M348" s="645" t="s">
        <v>489</v>
      </c>
      <c r="N348" s="724" t="str">
        <f>N17</f>
        <v>Especies exóticas o invasoras en bosques colindantes</v>
      </c>
      <c r="O348" s="837" t="str">
        <f t="shared" si="9"/>
        <v>Biodiversidad y recursos naturales</v>
      </c>
      <c r="P348" s="544" t="e">
        <f>#REF!</f>
        <v>#REF!</v>
      </c>
      <c r="Q348" s="540" t="str">
        <f>AA13</f>
        <v xml:space="preserve">Inclusión de cláusulas de monitoreo y control de especies exóticas e invasoras en proyectos de promoción agrarios  </v>
      </c>
      <c r="R348" s="540" t="s">
        <v>614</v>
      </c>
      <c r="S348" s="544" t="s">
        <v>492</v>
      </c>
      <c r="T348" s="519" t="str">
        <f>Z13</f>
        <v>SBRN5</v>
      </c>
      <c r="U348" s="628"/>
      <c r="V348" s="478"/>
      <c r="W348" s="478"/>
      <c r="X348" s="273"/>
      <c r="Y348" s="825"/>
      <c r="Z348" s="825"/>
      <c r="AA348" s="825"/>
      <c r="AB348" s="825"/>
      <c r="AC348" s="825"/>
      <c r="AD348" s="825"/>
      <c r="AE348" s="825"/>
      <c r="AF348" s="825"/>
      <c r="AG348" s="825"/>
      <c r="AH348" s="825"/>
      <c r="AI348" s="825"/>
      <c r="AJ348" s="825"/>
      <c r="AK348" s="825"/>
      <c r="AL348" s="825"/>
      <c r="AM348" s="825"/>
      <c r="AN348" s="825"/>
      <c r="AO348" s="825"/>
      <c r="AP348" s="825"/>
      <c r="AQ348" s="825"/>
      <c r="AR348" s="825"/>
      <c r="AS348" s="825"/>
      <c r="AT348" s="825"/>
      <c r="AU348" s="825"/>
      <c r="AV348" s="825"/>
      <c r="AW348" s="825"/>
      <c r="AX348" s="825"/>
      <c r="AY348" s="273"/>
      <c r="AZ348" s="273"/>
      <c r="BA348" s="825"/>
      <c r="BB348" s="825"/>
      <c r="BC348" s="825"/>
      <c r="BD348" s="825"/>
      <c r="BE348" s="825"/>
      <c r="BF348" s="825"/>
      <c r="BG348" s="825"/>
      <c r="BH348" s="825"/>
      <c r="BI348" s="825"/>
      <c r="BJ348" s="825"/>
      <c r="BK348" s="825"/>
      <c r="BL348" s="825"/>
      <c r="BM348" s="825"/>
      <c r="BN348" s="825"/>
      <c r="BO348" s="825"/>
      <c r="BP348" s="825"/>
      <c r="BQ348" s="825"/>
      <c r="BR348" s="825"/>
      <c r="BS348" s="825"/>
      <c r="BT348" s="825"/>
      <c r="BU348" s="825"/>
      <c r="BV348" s="825"/>
      <c r="BW348" s="825"/>
      <c r="BX348" s="825"/>
      <c r="BY348" s="825"/>
      <c r="BZ348" s="825"/>
      <c r="CA348" s="825"/>
      <c r="CB348" s="825"/>
      <c r="CC348" s="825"/>
    </row>
    <row r="349" spans="1:81" s="548" customFormat="1" ht="64.55" customHeight="1" x14ac:dyDescent="0.25">
      <c r="A349" s="273"/>
      <c r="B349" s="672"/>
      <c r="C349" s="1573"/>
      <c r="D349" s="1566"/>
      <c r="E349" s="1566"/>
      <c r="F349" s="1560"/>
      <c r="G349" s="1560"/>
      <c r="H349" s="1560"/>
      <c r="I349" s="1560"/>
      <c r="J349" s="1560"/>
      <c r="K349" s="1560"/>
      <c r="L349" s="1560"/>
      <c r="M349" s="645" t="s">
        <v>489</v>
      </c>
      <c r="N349" s="732" t="str">
        <f>N19</f>
        <v>Cultivos elegibles para reconversión no logran obtener los máximos beneficios en las zonas seleccionadas</v>
      </c>
      <c r="O349" s="837" t="str">
        <f t="shared" si="9"/>
        <v>Vulnerabilidad al cambio climático</v>
      </c>
      <c r="P349" s="544" t="e">
        <f>#REF!</f>
        <v>#REF!</v>
      </c>
      <c r="Q349" s="540" t="str">
        <f>AS9</f>
        <v xml:space="preserve">Los cultivos deben ser aptos para las zonas en los programas de reconversión productiva </v>
      </c>
      <c r="R349" s="540" t="s">
        <v>623</v>
      </c>
      <c r="S349" s="544" t="s">
        <v>507</v>
      </c>
      <c r="T349" s="519" t="str">
        <f>AR9</f>
        <v>SVCC1</v>
      </c>
      <c r="U349" s="628"/>
      <c r="V349" s="478"/>
      <c r="W349" s="478"/>
      <c r="X349" s="273"/>
      <c r="Y349" s="825"/>
      <c r="Z349" s="825"/>
      <c r="AA349" s="825"/>
      <c r="AB349" s="825"/>
      <c r="AC349" s="825"/>
      <c r="AD349" s="825"/>
      <c r="AE349" s="825"/>
      <c r="AF349" s="825"/>
      <c r="AG349" s="825"/>
      <c r="AH349" s="825"/>
      <c r="AI349" s="825"/>
      <c r="AJ349" s="825"/>
      <c r="AK349" s="825"/>
      <c r="AL349" s="825"/>
      <c r="AM349" s="825"/>
      <c r="AN349" s="825"/>
      <c r="AO349" s="825"/>
      <c r="AP349" s="825"/>
      <c r="AQ349" s="825"/>
      <c r="AR349" s="825"/>
      <c r="AS349" s="825"/>
      <c r="AT349" s="825"/>
      <c r="AU349" s="825"/>
      <c r="AV349" s="825"/>
      <c r="AW349" s="825"/>
      <c r="AX349" s="825"/>
      <c r="AY349" s="273"/>
      <c r="AZ349" s="273"/>
      <c r="BA349" s="825"/>
      <c r="BB349" s="825"/>
      <c r="BC349" s="825"/>
      <c r="BD349" s="825"/>
      <c r="BE349" s="825"/>
      <c r="BF349" s="825"/>
      <c r="BG349" s="825"/>
      <c r="BH349" s="825"/>
      <c r="BI349" s="825"/>
      <c r="BJ349" s="825"/>
      <c r="BK349" s="825"/>
      <c r="BL349" s="825"/>
      <c r="BM349" s="825"/>
      <c r="BN349" s="825"/>
      <c r="BO349" s="825"/>
      <c r="BP349" s="825"/>
      <c r="BQ349" s="825"/>
      <c r="BR349" s="825"/>
      <c r="BS349" s="825"/>
      <c r="BT349" s="825"/>
      <c r="BU349" s="825"/>
      <c r="BV349" s="825"/>
      <c r="BW349" s="825"/>
      <c r="BX349" s="825"/>
      <c r="BY349" s="825"/>
      <c r="BZ349" s="825"/>
      <c r="CA349" s="825"/>
      <c r="CB349" s="825"/>
      <c r="CC349" s="825"/>
    </row>
    <row r="350" spans="1:81" ht="42.8" customHeight="1" x14ac:dyDescent="0.25">
      <c r="A350" s="273"/>
      <c r="B350" s="672" t="s">
        <v>873</v>
      </c>
      <c r="C350" s="1618" t="str">
        <f>'8. BASE  CONSOLIDADA'!E227</f>
        <v>3.2.5</v>
      </c>
      <c r="D350" s="1663" t="str">
        <f>'8. BASE  CONSOLIDADA'!F227</f>
        <v>Programa de acceso al financiamiento agropecuario condicionado</v>
      </c>
      <c r="E350" s="1564" t="str">
        <f>'8. BASE  CONSOLIDADA'!G227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v>
      </c>
      <c r="F350" s="1561" t="str">
        <f>'8. BASE  CONSOLIDADA'!C227</f>
        <v xml:space="preserve">Predios privados dedicados a la producción comercial (arroz) </v>
      </c>
      <c r="G350" s="1561" t="str">
        <f>VLOOKUP($C350,'8. BASE  CONSOLIDADA'!$E$7:$AS$308,13,FALSE)</f>
        <v>Productores atendidos</v>
      </c>
      <c r="H350" s="1561">
        <f>VLOOKUP($C350,'8. BASE  CONSOLIDADA'!$E$7:$AS$308,15,FALSE)</f>
        <v>295.5</v>
      </c>
      <c r="I350" s="1561">
        <f>VLOOKUP(C350,'8. BASE  CONSOLIDADA'!$E$7:$AS$308,20,FALSE)</f>
        <v>3176625</v>
      </c>
      <c r="J350" s="1561">
        <f>I350*$J$6</f>
        <v>2160.105</v>
      </c>
      <c r="K350" s="1020"/>
      <c r="L350" s="1030"/>
      <c r="M350" s="645" t="s">
        <v>489</v>
      </c>
      <c r="N350" s="740" t="str">
        <f>N25</f>
        <v>Deforestación de nuevas áreas para implementar créditos o incentivos otorgados</v>
      </c>
      <c r="O350" s="837" t="str">
        <f t="shared" si="9"/>
        <v>Biodiversidad y recursos naturales</v>
      </c>
      <c r="P350" s="544" t="e">
        <f>#REF!</f>
        <v>#REF!</v>
      </c>
      <c r="Q350" s="540" t="str">
        <f>AA12</f>
        <v xml:space="preserve">Ordenamiento agroterritorial como estrategia para ordenar y promover el desarrollo agrario regional </v>
      </c>
      <c r="R350" s="540" t="s">
        <v>656</v>
      </c>
      <c r="S350" s="544" t="s">
        <v>492</v>
      </c>
      <c r="T350" s="519" t="str">
        <f>Z12</f>
        <v>SBRN4</v>
      </c>
      <c r="U350" s="628"/>
      <c r="V350" s="478"/>
      <c r="W350" s="478"/>
      <c r="X350" s="273"/>
      <c r="Y350" s="825"/>
      <c r="Z350" s="825"/>
      <c r="AA350" s="825"/>
      <c r="AB350" s="825"/>
      <c r="AC350" s="825"/>
      <c r="AD350" s="825"/>
      <c r="AE350" s="825"/>
      <c r="AF350" s="825"/>
      <c r="AG350" s="825"/>
      <c r="AH350" s="825"/>
      <c r="AI350" s="825"/>
      <c r="AJ350" s="825"/>
      <c r="AK350" s="825"/>
      <c r="AL350" s="825"/>
      <c r="AM350" s="825"/>
      <c r="AN350" s="825"/>
      <c r="AO350" s="825"/>
      <c r="AP350" s="825"/>
      <c r="AQ350" s="825"/>
      <c r="AR350" s="825"/>
      <c r="AS350" s="825"/>
      <c r="AT350" s="825"/>
      <c r="AU350" s="825"/>
      <c r="AV350" s="825"/>
      <c r="AW350" s="825"/>
      <c r="AX350" s="825"/>
      <c r="BA350" s="825"/>
      <c r="BB350" s="825"/>
      <c r="BC350" s="825"/>
      <c r="BD350" s="825"/>
      <c r="BE350" s="825"/>
      <c r="BF350" s="825"/>
      <c r="BG350" s="825"/>
      <c r="BH350" s="825"/>
      <c r="BI350" s="825"/>
      <c r="BJ350" s="825"/>
      <c r="BK350" s="825"/>
      <c r="BL350" s="825"/>
      <c r="BM350" s="825"/>
      <c r="BN350" s="825"/>
      <c r="BO350" s="825"/>
      <c r="BP350" s="825"/>
      <c r="BQ350" s="825"/>
      <c r="BR350" s="825"/>
      <c r="BS350" s="825"/>
      <c r="BT350" s="825"/>
      <c r="BU350" s="825"/>
      <c r="BV350" s="825"/>
      <c r="BW350" s="825"/>
      <c r="BX350" s="825"/>
      <c r="BY350" s="825"/>
      <c r="BZ350" s="825"/>
      <c r="CA350" s="825"/>
      <c r="CB350" s="825"/>
      <c r="CC350" s="825"/>
    </row>
    <row r="351" spans="1:81" s="548" customFormat="1" ht="32.299999999999997" customHeight="1" x14ac:dyDescent="0.25">
      <c r="A351" s="273"/>
      <c r="B351" s="672"/>
      <c r="C351" s="1666"/>
      <c r="D351" s="1664"/>
      <c r="E351" s="1565"/>
      <c r="F351" s="1562"/>
      <c r="G351" s="1562"/>
      <c r="H351" s="1562"/>
      <c r="I351" s="1562"/>
      <c r="J351" s="1562"/>
      <c r="K351" s="1024">
        <v>100</v>
      </c>
      <c r="L351" s="1024">
        <f>K351*H350</f>
        <v>29550</v>
      </c>
      <c r="M351" s="739" t="s">
        <v>672</v>
      </c>
      <c r="N351" s="740" t="str">
        <f>N25</f>
        <v>Deforestación de nuevas áreas para implementar créditos o incentivos otorgados</v>
      </c>
      <c r="O351" s="837" t="str">
        <f t="shared" si="9"/>
        <v>Biodiversidad y recursos naturales</v>
      </c>
      <c r="P351" s="544" t="e">
        <f>#REF!</f>
        <v>#REF!</v>
      </c>
      <c r="Q351" s="540" t="str">
        <f>AA14</f>
        <v>Desarrollo de incentivos financieros y no financieros condicionados con cláusulas de no deforestación</v>
      </c>
      <c r="R351" s="540" t="s">
        <v>673</v>
      </c>
      <c r="S351" s="544" t="s">
        <v>526</v>
      </c>
      <c r="T351" s="519" t="str">
        <f>Z14</f>
        <v>SBRN6</v>
      </c>
      <c r="U351" s="628"/>
      <c r="V351" s="478"/>
      <c r="W351" s="478"/>
      <c r="X351" s="273"/>
      <c r="Y351" s="825"/>
      <c r="Z351" s="825"/>
      <c r="AA351" s="825"/>
      <c r="AB351" s="825"/>
      <c r="AC351" s="825"/>
      <c r="AD351" s="825"/>
      <c r="AE351" s="825"/>
      <c r="AF351" s="825"/>
      <c r="AG351" s="825"/>
      <c r="AH351" s="825"/>
      <c r="AI351" s="825"/>
      <c r="AJ351" s="825"/>
      <c r="AK351" s="825"/>
      <c r="AL351" s="825"/>
      <c r="AM351" s="825"/>
      <c r="AN351" s="825"/>
      <c r="AO351" s="825"/>
      <c r="AP351" s="825"/>
      <c r="AQ351" s="825"/>
      <c r="AR351" s="825"/>
      <c r="AS351" s="825"/>
      <c r="AT351" s="825"/>
      <c r="AU351" s="825"/>
      <c r="AV351" s="825"/>
      <c r="AW351" s="825"/>
      <c r="AX351" s="825"/>
      <c r="AY351" s="273"/>
      <c r="AZ351" s="273"/>
      <c r="BA351" s="825"/>
      <c r="BB351" s="825"/>
      <c r="BC351" s="825"/>
      <c r="BD351" s="825"/>
      <c r="BE351" s="825"/>
      <c r="BF351" s="825"/>
      <c r="BG351" s="825"/>
      <c r="BH351" s="825"/>
      <c r="BI351" s="825"/>
      <c r="BJ351" s="825"/>
      <c r="BK351" s="825"/>
      <c r="BL351" s="825"/>
      <c r="BM351" s="825"/>
      <c r="BN351" s="825"/>
      <c r="BO351" s="825"/>
      <c r="BP351" s="825"/>
      <c r="BQ351" s="825"/>
      <c r="BR351" s="825"/>
      <c r="BS351" s="825"/>
      <c r="BT351" s="825"/>
      <c r="BU351" s="825"/>
      <c r="BV351" s="825"/>
      <c r="BW351" s="825"/>
      <c r="BX351" s="825"/>
      <c r="BY351" s="825"/>
      <c r="BZ351" s="825"/>
      <c r="CA351" s="825"/>
      <c r="CB351" s="825"/>
      <c r="CC351" s="825"/>
    </row>
    <row r="352" spans="1:81" s="548" customFormat="1" ht="32.299999999999997" customHeight="1" x14ac:dyDescent="0.25">
      <c r="A352" s="273"/>
      <c r="B352" s="672"/>
      <c r="C352" s="1666"/>
      <c r="D352" s="1664"/>
      <c r="E352" s="1565"/>
      <c r="F352" s="1562"/>
      <c r="G352" s="1562"/>
      <c r="H352" s="1562"/>
      <c r="I352" s="1562"/>
      <c r="J352" s="1562"/>
      <c r="K352" s="1028"/>
      <c r="L352" s="1028"/>
      <c r="M352" s="645" t="s">
        <v>489</v>
      </c>
      <c r="N352" s="724" t="str">
        <f>N17</f>
        <v>Especies exóticas o invasoras en bosques colindantes</v>
      </c>
      <c r="O352" s="837" t="str">
        <f t="shared" si="9"/>
        <v>Biodiversidad y recursos naturales</v>
      </c>
      <c r="P352" s="544" t="e">
        <f>#REF!</f>
        <v>#REF!</v>
      </c>
      <c r="Q352" s="540" t="str">
        <f>AA16</f>
        <v>Promoción del cultivo de especies nativas</v>
      </c>
      <c r="R352" s="540" t="s">
        <v>834</v>
      </c>
      <c r="S352" s="544" t="s">
        <v>492</v>
      </c>
      <c r="T352" s="519" t="str">
        <f>Z13</f>
        <v>SBRN5</v>
      </c>
      <c r="U352" s="628"/>
      <c r="V352" s="478"/>
      <c r="W352" s="478"/>
      <c r="X352" s="273"/>
      <c r="Y352" s="825"/>
      <c r="Z352" s="825"/>
      <c r="AA352" s="825"/>
      <c r="AB352" s="825"/>
      <c r="AC352" s="825"/>
      <c r="AD352" s="825"/>
      <c r="AE352" s="825"/>
      <c r="AF352" s="825"/>
      <c r="AG352" s="825"/>
      <c r="AH352" s="825"/>
      <c r="AI352" s="825"/>
      <c r="AJ352" s="825"/>
      <c r="AK352" s="825"/>
      <c r="AL352" s="825"/>
      <c r="AM352" s="825"/>
      <c r="AN352" s="825"/>
      <c r="AO352" s="825"/>
      <c r="AP352" s="825"/>
      <c r="AQ352" s="825"/>
      <c r="AR352" s="825"/>
      <c r="AS352" s="825"/>
      <c r="AT352" s="825"/>
      <c r="AU352" s="825"/>
      <c r="AV352" s="825"/>
      <c r="AW352" s="825"/>
      <c r="AX352" s="825"/>
      <c r="AY352" s="273"/>
      <c r="AZ352" s="273"/>
      <c r="BA352" s="825"/>
      <c r="BB352" s="825"/>
      <c r="BC352" s="825"/>
      <c r="BD352" s="825"/>
      <c r="BE352" s="825"/>
      <c r="BF352" s="825"/>
      <c r="BG352" s="825"/>
      <c r="BH352" s="825"/>
      <c r="BI352" s="825"/>
      <c r="BJ352" s="825"/>
      <c r="BK352" s="825"/>
      <c r="BL352" s="825"/>
      <c r="BM352" s="825"/>
      <c r="BN352" s="825"/>
      <c r="BO352" s="825"/>
      <c r="BP352" s="825"/>
      <c r="BQ352" s="825"/>
      <c r="BR352" s="825"/>
      <c r="BS352" s="825"/>
      <c r="BT352" s="825"/>
      <c r="BU352" s="825"/>
      <c r="BV352" s="825"/>
      <c r="BW352" s="825"/>
      <c r="BX352" s="825"/>
      <c r="BY352" s="825"/>
      <c r="BZ352" s="825"/>
      <c r="CA352" s="825"/>
      <c r="CB352" s="825"/>
      <c r="CC352" s="825"/>
    </row>
    <row r="353" spans="1:81" s="548" customFormat="1" ht="22.6" customHeight="1" x14ac:dyDescent="0.25">
      <c r="A353" s="273"/>
      <c r="B353" s="672"/>
      <c r="C353" s="1666"/>
      <c r="D353" s="1664"/>
      <c r="E353" s="1565"/>
      <c r="F353" s="1562"/>
      <c r="G353" s="1562"/>
      <c r="H353" s="1562"/>
      <c r="I353" s="1562"/>
      <c r="J353" s="1562"/>
      <c r="K353" s="1028"/>
      <c r="L353" s="1027"/>
      <c r="M353" s="645" t="s">
        <v>489</v>
      </c>
      <c r="N353" s="732" t="str">
        <f>N28</f>
        <v>Contaminación por residuos agropecuarios</v>
      </c>
      <c r="O353" s="837" t="str">
        <f t="shared" si="9"/>
        <v>Contaminación</v>
      </c>
      <c r="P353" s="544" t="e">
        <f>#REF!</f>
        <v>#REF!</v>
      </c>
      <c r="Q353" s="540" t="str">
        <f>AM10</f>
        <v>Control de residuos agropecuarios</v>
      </c>
      <c r="R353" s="540" t="s">
        <v>535</v>
      </c>
      <c r="S353" s="544" t="s">
        <v>492</v>
      </c>
      <c r="T353" s="519" t="str">
        <f>AL10</f>
        <v>SCT2</v>
      </c>
      <c r="U353" s="628"/>
      <c r="V353" s="478"/>
      <c r="W353" s="478"/>
      <c r="X353" s="273"/>
      <c r="Y353" s="825"/>
      <c r="Z353" s="825"/>
      <c r="AA353" s="825"/>
      <c r="AB353" s="825"/>
      <c r="AC353" s="825"/>
      <c r="AD353" s="825"/>
      <c r="AE353" s="825"/>
      <c r="AF353" s="825"/>
      <c r="AG353" s="825"/>
      <c r="AH353" s="825"/>
      <c r="AI353" s="825"/>
      <c r="AJ353" s="825"/>
      <c r="AK353" s="825"/>
      <c r="AL353" s="825"/>
      <c r="AM353" s="825"/>
      <c r="AN353" s="825"/>
      <c r="AO353" s="825"/>
      <c r="AP353" s="825"/>
      <c r="AQ353" s="825"/>
      <c r="AR353" s="825"/>
      <c r="AS353" s="825"/>
      <c r="AT353" s="825"/>
      <c r="AU353" s="825"/>
      <c r="AV353" s="825"/>
      <c r="AW353" s="825"/>
      <c r="AX353" s="825"/>
      <c r="AY353" s="273"/>
      <c r="AZ353" s="273"/>
      <c r="BA353" s="825"/>
      <c r="BB353" s="825"/>
      <c r="BC353" s="825"/>
      <c r="BD353" s="825"/>
      <c r="BE353" s="825"/>
      <c r="BF353" s="825"/>
      <c r="BG353" s="825"/>
      <c r="BH353" s="825"/>
      <c r="BI353" s="825"/>
      <c r="BJ353" s="825"/>
      <c r="BK353" s="825"/>
      <c r="BL353" s="825"/>
      <c r="BM353" s="825"/>
      <c r="BN353" s="825"/>
      <c r="BO353" s="825"/>
      <c r="BP353" s="825"/>
      <c r="BQ353" s="825"/>
      <c r="BR353" s="825"/>
      <c r="BS353" s="825"/>
      <c r="BT353" s="825"/>
      <c r="BU353" s="825"/>
      <c r="BV353" s="825"/>
      <c r="BW353" s="825"/>
      <c r="BX353" s="825"/>
      <c r="BY353" s="825"/>
      <c r="BZ353" s="825"/>
      <c r="CA353" s="825"/>
      <c r="CB353" s="825"/>
      <c r="CC353" s="825"/>
    </row>
    <row r="354" spans="1:81" s="548" customFormat="1" ht="41.95" customHeight="1" x14ac:dyDescent="0.25">
      <c r="A354" s="273"/>
      <c r="B354" s="672"/>
      <c r="C354" s="1666"/>
      <c r="D354" s="1664"/>
      <c r="E354" s="1565"/>
      <c r="F354" s="1562"/>
      <c r="G354" s="1562"/>
      <c r="H354" s="1562"/>
      <c r="I354" s="1562"/>
      <c r="J354" s="1562"/>
      <c r="K354" s="1028"/>
      <c r="L354" s="1027"/>
      <c r="M354" s="645" t="s">
        <v>489</v>
      </c>
      <c r="N354" s="732" t="str">
        <f>N29</f>
        <v xml:space="preserve">Otorgamiento inapropiado de incentivos </v>
      </c>
      <c r="O354" s="837" t="str">
        <f t="shared" si="9"/>
        <v>Corrupción</v>
      </c>
      <c r="P354" s="544" t="e">
        <f>#REF!</f>
        <v>#REF!</v>
      </c>
      <c r="Q354" s="540" t="str">
        <f>AG10</f>
        <v>Transparencia en incentivos financieros y obras públicas vinculadas a la ERDRBE</v>
      </c>
      <c r="R354" s="540" t="s">
        <v>687</v>
      </c>
      <c r="S354" s="544" t="s">
        <v>507</v>
      </c>
      <c r="T354" s="519" t="str">
        <f>AF10</f>
        <v>SCR2</v>
      </c>
      <c r="U354" s="628"/>
      <c r="V354" s="478"/>
      <c r="W354" s="478"/>
      <c r="X354" s="273"/>
      <c r="Y354" s="825"/>
      <c r="Z354" s="825"/>
      <c r="AA354" s="825"/>
      <c r="AB354" s="825"/>
      <c r="AC354" s="825"/>
      <c r="AD354" s="825"/>
      <c r="AE354" s="825"/>
      <c r="AF354" s="825"/>
      <c r="AG354" s="825"/>
      <c r="AH354" s="825"/>
      <c r="AI354" s="825"/>
      <c r="AJ354" s="825"/>
      <c r="AK354" s="825"/>
      <c r="AL354" s="825"/>
      <c r="AM354" s="825"/>
      <c r="AN354" s="825"/>
      <c r="AO354" s="825"/>
      <c r="AP354" s="825"/>
      <c r="AQ354" s="825"/>
      <c r="AR354" s="825"/>
      <c r="AS354" s="825"/>
      <c r="AT354" s="825"/>
      <c r="AU354" s="825"/>
      <c r="AV354" s="825"/>
      <c r="AW354" s="825"/>
      <c r="AX354" s="825"/>
      <c r="AY354" s="273"/>
      <c r="AZ354" s="273"/>
      <c r="BA354" s="825"/>
      <c r="BB354" s="825"/>
      <c r="BC354" s="825"/>
      <c r="BD354" s="825"/>
      <c r="BE354" s="825"/>
      <c r="BF354" s="825"/>
      <c r="BG354" s="825"/>
      <c r="BH354" s="825"/>
      <c r="BI354" s="825"/>
      <c r="BJ354" s="825"/>
      <c r="BK354" s="825"/>
      <c r="BL354" s="825"/>
      <c r="BM354" s="825"/>
      <c r="BN354" s="825"/>
      <c r="BO354" s="825"/>
      <c r="BP354" s="825"/>
      <c r="BQ354" s="825"/>
      <c r="BR354" s="825"/>
      <c r="BS354" s="825"/>
      <c r="BT354" s="825"/>
      <c r="BU354" s="825"/>
      <c r="BV354" s="825"/>
      <c r="BW354" s="825"/>
      <c r="BX354" s="825"/>
      <c r="BY354" s="825"/>
      <c r="BZ354" s="825"/>
      <c r="CA354" s="825"/>
      <c r="CB354" s="825"/>
      <c r="CC354" s="825"/>
    </row>
    <row r="355" spans="1:81" s="548" customFormat="1" ht="24.8" customHeight="1" x14ac:dyDescent="0.25">
      <c r="A355" s="273"/>
      <c r="B355" s="672"/>
      <c r="C355" s="1666"/>
      <c r="D355" s="1664"/>
      <c r="E355" s="1565"/>
      <c r="F355" s="1562"/>
      <c r="G355" s="1562"/>
      <c r="H355" s="1562"/>
      <c r="I355" s="1562"/>
      <c r="J355" s="1562"/>
      <c r="K355" s="1028"/>
      <c r="L355" s="1027"/>
      <c r="M355" s="645" t="s">
        <v>489</v>
      </c>
      <c r="N355" s="732" t="str">
        <f>N30</f>
        <v>Exclusión de productoras agrarias en sistemas de incentivos financieros</v>
      </c>
      <c r="O355" s="837" t="str">
        <f t="shared" si="9"/>
        <v>Género</v>
      </c>
      <c r="P355" s="544" t="str">
        <f>AC6</f>
        <v>GN</v>
      </c>
      <c r="Q355" s="540" t="str">
        <f>AJ11</f>
        <v xml:space="preserve">Cuotas de género y medición de participación efectiva de mujeres rurales </v>
      </c>
      <c r="R355" s="540" t="s">
        <v>689</v>
      </c>
      <c r="S355" s="544" t="s">
        <v>507</v>
      </c>
      <c r="T355" s="519" t="str">
        <f>AI11</f>
        <v>SGN3</v>
      </c>
      <c r="U355" s="628"/>
      <c r="V355" s="478"/>
      <c r="W355" s="478"/>
      <c r="X355" s="273"/>
      <c r="Y355" s="825"/>
      <c r="Z355" s="825"/>
      <c r="AA355" s="825"/>
      <c r="AB355" s="825"/>
      <c r="AC355" s="825"/>
      <c r="AD355" s="825"/>
      <c r="AE355" s="825"/>
      <c r="AF355" s="825"/>
      <c r="AG355" s="825"/>
      <c r="AH355" s="825"/>
      <c r="AI355" s="825"/>
      <c r="AJ355" s="825"/>
      <c r="AK355" s="825"/>
      <c r="AL355" s="825"/>
      <c r="AM355" s="825"/>
      <c r="AN355" s="825"/>
      <c r="AO355" s="825"/>
      <c r="AP355" s="825"/>
      <c r="AQ355" s="825"/>
      <c r="AR355" s="825"/>
      <c r="AS355" s="825"/>
      <c r="AT355" s="825"/>
      <c r="AU355" s="825"/>
      <c r="AV355" s="825"/>
      <c r="AW355" s="825"/>
      <c r="AX355" s="825"/>
      <c r="AY355" s="273"/>
      <c r="AZ355" s="273"/>
      <c r="BA355" s="825"/>
      <c r="BB355" s="825"/>
      <c r="BC355" s="825"/>
      <c r="BD355" s="825"/>
      <c r="BE355" s="825"/>
      <c r="BF355" s="825"/>
      <c r="BG355" s="825"/>
      <c r="BH355" s="825"/>
      <c r="BI355" s="825"/>
      <c r="BJ355" s="825"/>
      <c r="BK355" s="825"/>
      <c r="BL355" s="825"/>
      <c r="BM355" s="825"/>
      <c r="BN355" s="825"/>
      <c r="BO355" s="825"/>
      <c r="BP355" s="825"/>
      <c r="BQ355" s="825"/>
      <c r="BR355" s="825"/>
      <c r="BS355" s="825"/>
      <c r="BT355" s="825"/>
      <c r="BU355" s="825"/>
      <c r="BV355" s="825"/>
      <c r="BW355" s="825"/>
      <c r="BX355" s="825"/>
      <c r="BY355" s="825"/>
      <c r="BZ355" s="825"/>
      <c r="CA355" s="825"/>
      <c r="CB355" s="825"/>
      <c r="CC355" s="825"/>
    </row>
    <row r="356" spans="1:81" s="548" customFormat="1" ht="34.5" customHeight="1" x14ac:dyDescent="0.25">
      <c r="A356" s="273"/>
      <c r="B356" s="672"/>
      <c r="C356" s="1666"/>
      <c r="D356" s="1664"/>
      <c r="E356" s="1565"/>
      <c r="F356" s="1562"/>
      <c r="G356" s="1562"/>
      <c r="H356" s="1562"/>
      <c r="I356" s="1562"/>
      <c r="J356" s="1562"/>
      <c r="K356" s="1028"/>
      <c r="L356" s="1027"/>
      <c r="M356" s="645" t="s">
        <v>489</v>
      </c>
      <c r="N356" s="732" t="str">
        <f>N30</f>
        <v>Exclusión de productoras agrarias en sistemas de incentivos financieros</v>
      </c>
      <c r="O356" s="837" t="str">
        <f t="shared" si="9"/>
        <v>Género</v>
      </c>
      <c r="P356" s="544" t="str">
        <f>AC6</f>
        <v>GN</v>
      </c>
      <c r="Q356" s="540" t="str">
        <f>AJ12</f>
        <v>Criterios de evaluación de programas y proyectos con enfoque de género</v>
      </c>
      <c r="R356" s="540" t="s">
        <v>690</v>
      </c>
      <c r="S356" s="544" t="s">
        <v>507</v>
      </c>
      <c r="T356" s="519" t="str">
        <f>AI12</f>
        <v>SGN4</v>
      </c>
      <c r="U356" s="628"/>
      <c r="V356" s="478"/>
      <c r="W356" s="478"/>
      <c r="X356" s="273"/>
      <c r="Y356" s="825"/>
      <c r="Z356" s="825"/>
      <c r="AA356" s="825"/>
      <c r="AB356" s="825"/>
      <c r="AC356" s="825"/>
      <c r="AD356" s="825"/>
      <c r="AE356" s="825"/>
      <c r="AF356" s="825"/>
      <c r="AG356" s="825"/>
      <c r="AH356" s="825"/>
      <c r="AI356" s="825"/>
      <c r="AJ356" s="825"/>
      <c r="AK356" s="825"/>
      <c r="AL356" s="825"/>
      <c r="AM356" s="825"/>
      <c r="AN356" s="825"/>
      <c r="AO356" s="825"/>
      <c r="AP356" s="825"/>
      <c r="AQ356" s="825"/>
      <c r="AR356" s="825"/>
      <c r="AS356" s="825"/>
      <c r="AT356" s="825"/>
      <c r="AU356" s="825"/>
      <c r="AV356" s="825"/>
      <c r="AW356" s="825"/>
      <c r="AX356" s="825"/>
      <c r="AY356" s="273"/>
      <c r="AZ356" s="273"/>
      <c r="BA356" s="825"/>
      <c r="BB356" s="825"/>
      <c r="BC356" s="825"/>
      <c r="BD356" s="825"/>
      <c r="BE356" s="825"/>
      <c r="BF356" s="825"/>
      <c r="BG356" s="825"/>
      <c r="BH356" s="825"/>
      <c r="BI356" s="825"/>
      <c r="BJ356" s="825"/>
      <c r="BK356" s="825"/>
      <c r="BL356" s="825"/>
      <c r="BM356" s="825"/>
      <c r="BN356" s="825"/>
      <c r="BO356" s="825"/>
      <c r="BP356" s="825"/>
      <c r="BQ356" s="825"/>
      <c r="BR356" s="825"/>
      <c r="BS356" s="825"/>
      <c r="BT356" s="825"/>
      <c r="BU356" s="825"/>
      <c r="BV356" s="825"/>
      <c r="BW356" s="825"/>
      <c r="BX356" s="825"/>
      <c r="BY356" s="825"/>
      <c r="BZ356" s="825"/>
      <c r="CA356" s="825"/>
      <c r="CB356" s="825"/>
      <c r="CC356" s="825"/>
    </row>
    <row r="357" spans="1:81" s="548" customFormat="1" ht="27.7" customHeight="1" x14ac:dyDescent="0.25">
      <c r="A357" s="273"/>
      <c r="B357" s="672"/>
      <c r="C357" s="1666"/>
      <c r="D357" s="1664"/>
      <c r="E357" s="1565"/>
      <c r="F357" s="1562"/>
      <c r="G357" s="1562"/>
      <c r="H357" s="1562"/>
      <c r="I357" s="1562"/>
      <c r="J357" s="1562"/>
      <c r="K357" s="1028"/>
      <c r="L357" s="1027"/>
      <c r="M357" s="645" t="s">
        <v>489</v>
      </c>
      <c r="N357" s="732" t="str">
        <f>N30</f>
        <v>Exclusión de productoras agrarias en sistemas de incentivos financieros</v>
      </c>
      <c r="O357" s="837" t="str">
        <f t="shared" si="9"/>
        <v>Género</v>
      </c>
      <c r="P357" s="544" t="str">
        <f>AC6</f>
        <v>GN</v>
      </c>
      <c r="Q357" s="540" t="str">
        <f>AJ13</f>
        <v>Programas de incentivos financieros y no financieros para el desarrollo rural para mujeres rurales</v>
      </c>
      <c r="R357" s="540" t="s">
        <v>693</v>
      </c>
      <c r="S357" s="544" t="s">
        <v>492</v>
      </c>
      <c r="T357" s="519" t="str">
        <f>AI13</f>
        <v>SGN5</v>
      </c>
      <c r="U357" s="628"/>
      <c r="V357" s="478"/>
      <c r="W357" s="478"/>
      <c r="X357" s="273"/>
      <c r="Y357" s="825"/>
      <c r="Z357" s="825"/>
      <c r="AA357" s="825"/>
      <c r="AB357" s="825"/>
      <c r="AC357" s="825"/>
      <c r="AD357" s="825"/>
      <c r="AE357" s="825"/>
      <c r="AF357" s="825"/>
      <c r="AG357" s="825"/>
      <c r="AH357" s="825"/>
      <c r="AI357" s="825"/>
      <c r="AJ357" s="825"/>
      <c r="AK357" s="825"/>
      <c r="AL357" s="825"/>
      <c r="AM357" s="825"/>
      <c r="AN357" s="825"/>
      <c r="AO357" s="825"/>
      <c r="AP357" s="825"/>
      <c r="AQ357" s="825"/>
      <c r="AR357" s="825"/>
      <c r="AS357" s="825"/>
      <c r="AT357" s="825"/>
      <c r="AU357" s="825"/>
      <c r="AV357" s="825"/>
      <c r="AW357" s="825"/>
      <c r="AX357" s="825"/>
      <c r="AY357" s="273"/>
      <c r="AZ357" s="273"/>
      <c r="BA357" s="825"/>
      <c r="BB357" s="825"/>
      <c r="BC357" s="825"/>
      <c r="BD357" s="825"/>
      <c r="BE357" s="825"/>
      <c r="BF357" s="825"/>
      <c r="BG357" s="825"/>
      <c r="BH357" s="825"/>
      <c r="BI357" s="825"/>
      <c r="BJ357" s="825"/>
      <c r="BK357" s="825"/>
      <c r="BL357" s="825"/>
      <c r="BM357" s="825"/>
      <c r="BN357" s="825"/>
      <c r="BO357" s="825"/>
      <c r="BP357" s="825"/>
      <c r="BQ357" s="825"/>
      <c r="BR357" s="825"/>
      <c r="BS357" s="825"/>
      <c r="BT357" s="825"/>
      <c r="BU357" s="825"/>
      <c r="BV357" s="825"/>
      <c r="BW357" s="825"/>
      <c r="BX357" s="825"/>
      <c r="BY357" s="825"/>
      <c r="BZ357" s="825"/>
      <c r="CA357" s="825"/>
      <c r="CB357" s="825"/>
      <c r="CC357" s="825"/>
    </row>
    <row r="358" spans="1:81" s="548" customFormat="1" ht="42.8" customHeight="1" x14ac:dyDescent="0.25">
      <c r="A358" s="273"/>
      <c r="B358" s="672"/>
      <c r="C358" s="1619"/>
      <c r="D358" s="1665"/>
      <c r="E358" s="1566"/>
      <c r="F358" s="1563"/>
      <c r="G358" s="1563"/>
      <c r="H358" s="1563"/>
      <c r="I358" s="1563"/>
      <c r="J358" s="1563"/>
      <c r="K358" s="1021"/>
      <c r="L358" s="1029"/>
      <c r="M358" s="645" t="s">
        <v>489</v>
      </c>
      <c r="N358" s="732" t="str">
        <f>N33</f>
        <v>Actividad agropecuaria no se desarrolla de manera óptima debido a cambios en las condiciones agroecologicas por el cambio climático</v>
      </c>
      <c r="O358" s="837" t="str">
        <f t="shared" si="9"/>
        <v>Vulnerabilidad al cambio climático</v>
      </c>
      <c r="P358" s="544" t="e">
        <f>#REF!</f>
        <v>#REF!</v>
      </c>
      <c r="Q358" s="540" t="str">
        <f>AS11</f>
        <v>Análisis de rentabilidad de la actividad agropecuaria en los programas de reconversión productiva</v>
      </c>
      <c r="R358" s="540" t="s">
        <v>695</v>
      </c>
      <c r="S358" s="544" t="s">
        <v>507</v>
      </c>
      <c r="T358" s="519" t="str">
        <f>AR11</f>
        <v>SVCC3</v>
      </c>
      <c r="U358" s="628"/>
      <c r="V358" s="478"/>
      <c r="W358" s="478"/>
      <c r="X358" s="273"/>
      <c r="Y358" s="825"/>
      <c r="Z358" s="825"/>
      <c r="AA358" s="825"/>
      <c r="AB358" s="825"/>
      <c r="AC358" s="825"/>
      <c r="AD358" s="825"/>
      <c r="AE358" s="825"/>
      <c r="AF358" s="825"/>
      <c r="AG358" s="825"/>
      <c r="AH358" s="825"/>
      <c r="AI358" s="825"/>
      <c r="AJ358" s="825"/>
      <c r="AK358" s="825"/>
      <c r="AL358" s="825"/>
      <c r="AM358" s="825"/>
      <c r="AN358" s="825"/>
      <c r="AO358" s="825"/>
      <c r="AP358" s="825"/>
      <c r="AQ358" s="825"/>
      <c r="AR358" s="825"/>
      <c r="AS358" s="825"/>
      <c r="AT358" s="825"/>
      <c r="AU358" s="825"/>
      <c r="AV358" s="825"/>
      <c r="AW358" s="825"/>
      <c r="AX358" s="825"/>
      <c r="AY358" s="273"/>
      <c r="AZ358" s="273"/>
      <c r="BA358" s="825"/>
      <c r="BB358" s="825"/>
      <c r="BC358" s="825"/>
      <c r="BD358" s="825"/>
      <c r="BE358" s="825"/>
      <c r="BF358" s="825"/>
      <c r="BG358" s="825"/>
      <c r="BH358" s="825"/>
      <c r="BI358" s="825"/>
      <c r="BJ358" s="825"/>
      <c r="BK358" s="825"/>
      <c r="BL358" s="825"/>
      <c r="BM358" s="825"/>
      <c r="BN358" s="825"/>
      <c r="BO358" s="825"/>
      <c r="BP358" s="825"/>
      <c r="BQ358" s="825"/>
      <c r="BR358" s="825"/>
      <c r="BS358" s="825"/>
      <c r="BT358" s="825"/>
      <c r="BU358" s="825"/>
      <c r="BV358" s="825"/>
      <c r="BW358" s="825"/>
      <c r="BX358" s="825"/>
      <c r="BY358" s="825"/>
      <c r="BZ358" s="825"/>
      <c r="CA358" s="825"/>
      <c r="CB358" s="825"/>
      <c r="CC358" s="825"/>
    </row>
    <row r="359" spans="1:81" ht="141.80000000000001" customHeight="1" x14ac:dyDescent="0.25">
      <c r="A359" s="273"/>
      <c r="B359" s="672" t="s">
        <v>873</v>
      </c>
      <c r="C359" s="838" t="str">
        <f>'8. BASE  CONSOLIDADA'!E228</f>
        <v>3.2.6</v>
      </c>
      <c r="D359" s="1072" t="str">
        <f>'8. BASE  CONSOLIDADA'!F228</f>
        <v>Promoción de modelos asociativos sostenibles</v>
      </c>
      <c r="E359" s="1072" t="str">
        <f>'8. BASE  CONSOLIDADA'!G228</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359" s="840" t="str">
        <f>'8. BASE  CONSOLIDADA'!C228</f>
        <v xml:space="preserve">Predios privados dedicados a la producción comercial (arroz) </v>
      </c>
      <c r="G359" s="1019" t="str">
        <f>VLOOKUP($C359,'8. BASE  CONSOLIDADA'!$E$7:$AS$308,13,FALSE)</f>
        <v>Organizaciones formalizadas</v>
      </c>
      <c r="H359" s="1109">
        <f>VLOOKUP($C359,'8. BASE  CONSOLIDADA'!$E$7:$AS$308,15,FALSE)</f>
        <v>2</v>
      </c>
      <c r="I359" s="1058">
        <f>VLOOKUP(C359,'8. BASE  CONSOLIDADA'!$E$7:$AS$308,20,FALSE)</f>
        <v>1200000</v>
      </c>
      <c r="J359" s="678">
        <f>I359*$J$6</f>
        <v>816.00000000000011</v>
      </c>
      <c r="K359" s="1020"/>
      <c r="L359" s="1029"/>
      <c r="M359" s="645" t="s">
        <v>489</v>
      </c>
      <c r="N359" s="732" t="str">
        <f>N16</f>
        <v>Exclusión de mujeres rurales en programas de asistencia técnica</v>
      </c>
      <c r="O359" s="837" t="str">
        <f t="shared" si="9"/>
        <v>Género</v>
      </c>
      <c r="P359" s="544" t="str">
        <f>AC6</f>
        <v>GN</v>
      </c>
      <c r="Q359" s="540" t="str">
        <f>AJ10</f>
        <v>Programas de asistencia técnica y proyectos específicos para mujeres rurales y mujeres indígenas</v>
      </c>
      <c r="R359" s="540" t="s">
        <v>596</v>
      </c>
      <c r="S359" s="544" t="s">
        <v>507</v>
      </c>
      <c r="T359" s="519" t="str">
        <f>AI10</f>
        <v>SGN2</v>
      </c>
      <c r="U359" s="628"/>
      <c r="V359" s="478"/>
      <c r="W359" s="478"/>
      <c r="X359" s="273"/>
      <c r="Y359" s="825"/>
      <c r="Z359" s="825"/>
      <c r="AA359" s="825"/>
      <c r="AB359" s="825"/>
      <c r="AC359" s="825"/>
      <c r="AD359" s="825"/>
      <c r="AE359" s="825"/>
      <c r="AF359" s="825"/>
      <c r="AG359" s="825"/>
      <c r="AH359" s="825"/>
      <c r="AI359" s="825"/>
      <c r="AJ359" s="825"/>
      <c r="AK359" s="825"/>
      <c r="AL359" s="825"/>
      <c r="AM359" s="825"/>
      <c r="AN359" s="825"/>
      <c r="AO359" s="825"/>
      <c r="AP359" s="825"/>
      <c r="AQ359" s="825"/>
      <c r="AR359" s="825"/>
      <c r="AS359" s="825"/>
      <c r="AT359" s="825"/>
      <c r="AU359" s="825"/>
      <c r="AV359" s="825"/>
      <c r="AW359" s="825"/>
      <c r="AX359" s="825"/>
      <c r="BA359" s="825"/>
      <c r="BB359" s="825"/>
      <c r="BC359" s="825"/>
      <c r="BD359" s="825"/>
      <c r="BE359" s="825"/>
      <c r="BF359" s="825"/>
      <c r="BG359" s="825"/>
      <c r="BH359" s="825"/>
      <c r="BI359" s="825"/>
      <c r="BJ359" s="825"/>
      <c r="BK359" s="825"/>
      <c r="BL359" s="825"/>
      <c r="BM359" s="825"/>
      <c r="BN359" s="825"/>
      <c r="BO359" s="825"/>
      <c r="BP359" s="825"/>
      <c r="BQ359" s="825"/>
      <c r="BR359" s="825"/>
      <c r="BS359" s="825"/>
      <c r="BT359" s="825"/>
      <c r="BU359" s="825"/>
      <c r="BV359" s="825"/>
      <c r="BW359" s="825"/>
      <c r="BX359" s="825"/>
      <c r="BY359" s="825"/>
      <c r="BZ359" s="825"/>
      <c r="CA359" s="825"/>
      <c r="CB359" s="825"/>
      <c r="CC359" s="825"/>
    </row>
    <row r="360" spans="1:81" ht="36.700000000000003" customHeight="1" x14ac:dyDescent="0.25">
      <c r="A360" s="273"/>
      <c r="B360" s="672" t="s">
        <v>873</v>
      </c>
      <c r="C360" s="1651" t="str">
        <f>'8. BASE  CONSOLIDADA'!E229</f>
        <v>3.2.7</v>
      </c>
      <c r="D360" s="1612" t="str">
        <f>'8. BASE  CONSOLIDADA'!F229</f>
        <v>Implementación de infraestructura productiva baja en emisiones</v>
      </c>
      <c r="E360" s="1612" t="str">
        <f>'8. BASE  CONSOLIDADA'!G229</f>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v>
      </c>
      <c r="F360" s="1537" t="str">
        <f>'8. BASE  CONSOLIDADA'!C229</f>
        <v xml:space="preserve">Predios privados dedicados a la producción comercial (arroz) </v>
      </c>
      <c r="G360" s="1537" t="str">
        <f>VLOOKUP($C360,'8. BASE  CONSOLIDADA'!$E$7:$AS$308,13,FALSE)</f>
        <v>Planes de negocios ejecutados</v>
      </c>
      <c r="H360" s="1537">
        <f>VLOOKUP($C360,'8. BASE  CONSOLIDADA'!$E$7:$AS$308,15,FALSE)</f>
        <v>2</v>
      </c>
      <c r="I360" s="1537">
        <f>VLOOKUP(C360,'8. BASE  CONSOLIDADA'!$E$7:$AS$308,20,FALSE)</f>
        <v>150000</v>
      </c>
      <c r="J360" s="1537">
        <f>I360*$J$6</f>
        <v>102.00000000000001</v>
      </c>
      <c r="K360" s="1537"/>
      <c r="L360" s="1537"/>
      <c r="M360" s="645" t="s">
        <v>489</v>
      </c>
      <c r="N360" s="732" t="str">
        <f>N34</f>
        <v>Incremento de la deforestación por demanda de insumos e instalación de infraestructura y vias de comunicación</v>
      </c>
      <c r="O360" s="837" t="str">
        <f t="shared" si="9"/>
        <v>Biodiversidad y recursos naturales</v>
      </c>
      <c r="P360" s="544" t="e">
        <f>#REF!</f>
        <v>#REF!</v>
      </c>
      <c r="Q360" s="540" t="str">
        <f>AA14</f>
        <v>Desarrollo de incentivos financieros y no financieros condicionados con cláusulas de no deforestación</v>
      </c>
      <c r="R360" s="540" t="s">
        <v>673</v>
      </c>
      <c r="S360" s="544" t="s">
        <v>526</v>
      </c>
      <c r="T360" s="519" t="str">
        <f>Z14</f>
        <v>SBRN6</v>
      </c>
      <c r="U360" s="628"/>
      <c r="V360" s="478"/>
      <c r="W360" s="478"/>
      <c r="X360" s="273"/>
      <c r="Y360" s="825"/>
      <c r="Z360" s="825"/>
      <c r="AA360" s="825"/>
      <c r="AB360" s="825"/>
      <c r="AC360" s="825"/>
      <c r="AD360" s="825"/>
      <c r="AE360" s="825"/>
      <c r="AF360" s="825"/>
      <c r="AG360" s="825"/>
      <c r="AH360" s="825"/>
      <c r="AI360" s="825"/>
      <c r="AJ360" s="825"/>
      <c r="AK360" s="825"/>
      <c r="AL360" s="825"/>
      <c r="AM360" s="825"/>
      <c r="AN360" s="825"/>
      <c r="AO360" s="825"/>
      <c r="AP360" s="825"/>
      <c r="AQ360" s="825"/>
      <c r="AR360" s="825"/>
      <c r="AS360" s="825"/>
      <c r="AT360" s="825"/>
      <c r="AU360" s="825"/>
      <c r="AV360" s="825"/>
      <c r="AW360" s="825"/>
      <c r="AX360" s="825"/>
      <c r="BA360" s="825"/>
      <c r="BB360" s="825"/>
      <c r="BC360" s="825"/>
      <c r="BD360" s="825"/>
      <c r="BE360" s="825"/>
      <c r="BF360" s="825"/>
      <c r="BG360" s="825"/>
      <c r="BH360" s="825"/>
      <c r="BI360" s="825"/>
      <c r="BJ360" s="825"/>
      <c r="BK360" s="825"/>
      <c r="BL360" s="825"/>
      <c r="BM360" s="825"/>
      <c r="BN360" s="825"/>
      <c r="BO360" s="825"/>
      <c r="BP360" s="825"/>
      <c r="BQ360" s="825"/>
      <c r="BR360" s="825"/>
      <c r="BS360" s="825"/>
      <c r="BT360" s="825"/>
      <c r="BU360" s="825"/>
      <c r="BV360" s="825"/>
      <c r="BW360" s="825"/>
      <c r="BX360" s="825"/>
      <c r="BY360" s="825"/>
      <c r="BZ360" s="825"/>
      <c r="CA360" s="825"/>
      <c r="CB360" s="825"/>
      <c r="CC360" s="825"/>
    </row>
    <row r="361" spans="1:81" s="548" customFormat="1" ht="18.7" customHeight="1" x14ac:dyDescent="0.25">
      <c r="A361" s="273"/>
      <c r="B361" s="672"/>
      <c r="C361" s="1651"/>
      <c r="D361" s="1612"/>
      <c r="E361" s="1612"/>
      <c r="F361" s="1537"/>
      <c r="G361" s="1537"/>
      <c r="H361" s="1537"/>
      <c r="I361" s="1537"/>
      <c r="J361" s="1537"/>
      <c r="K361" s="1537"/>
      <c r="L361" s="1537"/>
      <c r="M361" s="645" t="s">
        <v>489</v>
      </c>
      <c r="N361" s="732" t="str">
        <f>N28</f>
        <v>Contaminación por residuos agropecuarios</v>
      </c>
      <c r="O361" s="837" t="str">
        <f t="shared" si="9"/>
        <v>Contaminación</v>
      </c>
      <c r="P361" s="544" t="e">
        <f>#REF!</f>
        <v>#REF!</v>
      </c>
      <c r="Q361" s="540" t="str">
        <f>AM10</f>
        <v>Control de residuos agropecuarios</v>
      </c>
      <c r="R361" s="540" t="s">
        <v>535</v>
      </c>
      <c r="S361" s="544" t="s">
        <v>492</v>
      </c>
      <c r="T361" s="519" t="str">
        <f>AL10</f>
        <v>SCT2</v>
      </c>
      <c r="U361" s="628"/>
      <c r="V361" s="478"/>
      <c r="W361" s="478"/>
      <c r="X361" s="273"/>
      <c r="Y361" s="825"/>
      <c r="Z361" s="825"/>
      <c r="AA361" s="825"/>
      <c r="AB361" s="825"/>
      <c r="AC361" s="825"/>
      <c r="AD361" s="825"/>
      <c r="AE361" s="825"/>
      <c r="AF361" s="825"/>
      <c r="AG361" s="825"/>
      <c r="AH361" s="825"/>
      <c r="AI361" s="825"/>
      <c r="AJ361" s="825"/>
      <c r="AK361" s="825"/>
      <c r="AL361" s="825"/>
      <c r="AM361" s="825"/>
      <c r="AN361" s="825"/>
      <c r="AO361" s="825"/>
      <c r="AP361" s="825"/>
      <c r="AQ361" s="825"/>
      <c r="AR361" s="825"/>
      <c r="AS361" s="825"/>
      <c r="AT361" s="825"/>
      <c r="AU361" s="825"/>
      <c r="AV361" s="825"/>
      <c r="AW361" s="825"/>
      <c r="AX361" s="825"/>
      <c r="AY361" s="273"/>
      <c r="AZ361" s="273"/>
      <c r="BA361" s="825"/>
      <c r="BB361" s="825"/>
      <c r="BC361" s="825"/>
      <c r="BD361" s="825"/>
      <c r="BE361" s="825"/>
      <c r="BF361" s="825"/>
      <c r="BG361" s="825"/>
      <c r="BH361" s="825"/>
      <c r="BI361" s="825"/>
      <c r="BJ361" s="825"/>
      <c r="BK361" s="825"/>
      <c r="BL361" s="825"/>
      <c r="BM361" s="825"/>
      <c r="BN361" s="825"/>
      <c r="BO361" s="825"/>
      <c r="BP361" s="825"/>
      <c r="BQ361" s="825"/>
      <c r="BR361" s="825"/>
      <c r="BS361" s="825"/>
      <c r="BT361" s="825"/>
      <c r="BU361" s="825"/>
      <c r="BV361" s="825"/>
      <c r="BW361" s="825"/>
      <c r="BX361" s="825"/>
      <c r="BY361" s="825"/>
      <c r="BZ361" s="825"/>
      <c r="CA361" s="825"/>
      <c r="CB361" s="825"/>
      <c r="CC361" s="825"/>
    </row>
    <row r="362" spans="1:81" s="548" customFormat="1" ht="40.6" customHeight="1" x14ac:dyDescent="0.25">
      <c r="A362" s="273"/>
      <c r="B362" s="672"/>
      <c r="C362" s="1571"/>
      <c r="D362" s="1564"/>
      <c r="E362" s="1564"/>
      <c r="F362" s="1538"/>
      <c r="G362" s="1538"/>
      <c r="H362" s="1538"/>
      <c r="I362" s="1538"/>
      <c r="J362" s="1538"/>
      <c r="K362" s="1538"/>
      <c r="L362" s="1538"/>
      <c r="M362" s="645" t="s">
        <v>489</v>
      </c>
      <c r="N362" s="732" t="str">
        <f>N36</f>
        <v>Colución, Cohecho y negociación incompatible</v>
      </c>
      <c r="O362" s="837" t="str">
        <f t="shared" si="9"/>
        <v>Corrupción</v>
      </c>
      <c r="P362" s="544" t="e">
        <f>#REF!</f>
        <v>#REF!</v>
      </c>
      <c r="Q362" s="540" t="str">
        <f>AG10</f>
        <v>Transparencia en incentivos financieros y obras públicas vinculadas a la ERDRBE</v>
      </c>
      <c r="R362" s="540" t="s">
        <v>687</v>
      </c>
      <c r="S362" s="544" t="s">
        <v>507</v>
      </c>
      <c r="T362" s="519" t="str">
        <f>AF10</f>
        <v>SCR2</v>
      </c>
      <c r="U362" s="628"/>
      <c r="V362" s="478"/>
      <c r="W362" s="478"/>
      <c r="X362" s="273"/>
      <c r="Y362" s="825"/>
      <c r="Z362" s="825"/>
      <c r="AA362" s="825"/>
      <c r="AB362" s="825"/>
      <c r="AC362" s="825"/>
      <c r="AD362" s="825"/>
      <c r="AE362" s="825"/>
      <c r="AF362" s="825"/>
      <c r="AG362" s="825"/>
      <c r="AH362" s="825"/>
      <c r="AI362" s="825"/>
      <c r="AJ362" s="825"/>
      <c r="AK362" s="825"/>
      <c r="AL362" s="825"/>
      <c r="AM362" s="825"/>
      <c r="AN362" s="825"/>
      <c r="AO362" s="825"/>
      <c r="AP362" s="825"/>
      <c r="AQ362" s="825"/>
      <c r="AR362" s="825"/>
      <c r="AS362" s="825"/>
      <c r="AT362" s="825"/>
      <c r="AU362" s="825"/>
      <c r="AV362" s="825"/>
      <c r="AW362" s="825"/>
      <c r="AX362" s="825"/>
      <c r="AY362" s="273"/>
      <c r="AZ362" s="273"/>
      <c r="BA362" s="825"/>
      <c r="BB362" s="825"/>
      <c r="BC362" s="825"/>
      <c r="BD362" s="825"/>
      <c r="BE362" s="825"/>
      <c r="BF362" s="825"/>
      <c r="BG362" s="825"/>
      <c r="BH362" s="825"/>
      <c r="BI362" s="825"/>
      <c r="BJ362" s="825"/>
      <c r="BK362" s="825"/>
      <c r="BL362" s="825"/>
      <c r="BM362" s="825"/>
      <c r="BN362" s="825"/>
      <c r="BO362" s="825"/>
      <c r="BP362" s="825"/>
      <c r="BQ362" s="825"/>
      <c r="BR362" s="825"/>
      <c r="BS362" s="825"/>
      <c r="BT362" s="825"/>
      <c r="BU362" s="825"/>
      <c r="BV362" s="825"/>
      <c r="BW362" s="825"/>
      <c r="BX362" s="825"/>
      <c r="BY362" s="825"/>
      <c r="BZ362" s="825"/>
      <c r="CA362" s="825"/>
      <c r="CB362" s="825"/>
      <c r="CC362" s="825"/>
    </row>
    <row r="363" spans="1:81" ht="59.95" customHeight="1" x14ac:dyDescent="0.25">
      <c r="A363" s="273"/>
      <c r="B363" s="672" t="s">
        <v>873</v>
      </c>
      <c r="C363" s="1651" t="str">
        <f>'8. BASE  CONSOLIDADA'!E231</f>
        <v>3.3.1</v>
      </c>
      <c r="D363" s="1612" t="str">
        <f>'8. BASE  CONSOLIDADA'!F231</f>
        <v>Otorgamiento de derechos sobre la tierra/bosques</v>
      </c>
      <c r="E363" s="1612" t="str">
        <f>'8. BASE  CONSOLIDADA'!G231</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363" s="1537" t="str">
        <f>'8. BASE  CONSOLIDADA'!C231</f>
        <v>Predios privados para ganadería de leche y carne</v>
      </c>
      <c r="G363" s="1537" t="str">
        <f>VLOOKUP($C363,'8. BASE  CONSOLIDADA'!$E$7:$AS$308,13,FALSE)</f>
        <v>N° Títulos/Contratos otorgados</v>
      </c>
      <c r="H363" s="1537">
        <f>VLOOKUP($C363,'8. BASE  CONSOLIDADA'!$E$7:$AS$308,15,FALSE)</f>
        <v>231.65290703422252</v>
      </c>
      <c r="I363" s="1537">
        <f>VLOOKUP(C363,'8. BASE  CONSOLIDADA'!$E$7:$AS$308,20,FALSE)</f>
        <v>463305.81406844506</v>
      </c>
      <c r="J363" s="1537">
        <f>I363*$J$6</f>
        <v>315.04795356654267</v>
      </c>
      <c r="K363" s="1537"/>
      <c r="L363" s="1537"/>
      <c r="M363" s="645" t="s">
        <v>489</v>
      </c>
      <c r="N363" s="732" t="str">
        <f>N8</f>
        <v>Otorgamiento de titulos de propiedad en tierras de aptitud forestal o protección con cobertura de bosques</v>
      </c>
      <c r="O363" s="837" t="str">
        <f t="shared" si="9"/>
        <v>Biodiversidad y recursos naturales</v>
      </c>
      <c r="P363" s="544" t="e">
        <f>#REF!</f>
        <v>#REF!</v>
      </c>
      <c r="Q363" s="540" t="str">
        <f>AA9</f>
        <v>Realizar estudios de suelos para determinar la capacidad de uso mayor de los suelos como parte de los procesos de formalización de la propiedad rural</v>
      </c>
      <c r="R363" s="540" t="s">
        <v>491</v>
      </c>
      <c r="S363" s="544" t="s">
        <v>492</v>
      </c>
      <c r="T363" s="519" t="str">
        <f>Z9</f>
        <v>SBRN1</v>
      </c>
      <c r="U363" s="628"/>
      <c r="V363" s="478"/>
      <c r="W363" s="478"/>
      <c r="X363" s="273"/>
      <c r="Y363" s="825"/>
      <c r="Z363" s="825"/>
      <c r="AA363" s="825"/>
      <c r="AB363" s="825"/>
      <c r="AC363" s="825"/>
      <c r="AD363" s="825"/>
      <c r="AE363" s="825"/>
      <c r="AF363" s="825"/>
      <c r="AG363" s="825"/>
      <c r="AH363" s="825"/>
      <c r="AI363" s="825"/>
      <c r="AJ363" s="825"/>
      <c r="AK363" s="825"/>
      <c r="AL363" s="825"/>
      <c r="AM363" s="825"/>
      <c r="AN363" s="825"/>
      <c r="AO363" s="825"/>
      <c r="AP363" s="825"/>
      <c r="AQ363" s="825"/>
      <c r="AR363" s="825"/>
      <c r="AS363" s="825"/>
      <c r="AT363" s="825"/>
      <c r="AU363" s="825"/>
      <c r="AV363" s="825"/>
      <c r="AW363" s="825"/>
      <c r="AX363" s="825"/>
      <c r="BA363" s="825"/>
      <c r="BB363" s="825"/>
      <c r="BC363" s="825"/>
      <c r="BD363" s="825"/>
      <c r="BE363" s="825"/>
      <c r="BF363" s="825"/>
      <c r="BG363" s="825"/>
      <c r="BH363" s="825"/>
      <c r="BI363" s="825"/>
      <c r="BJ363" s="825"/>
      <c r="BK363" s="825"/>
      <c r="BL363" s="825"/>
      <c r="BM363" s="825"/>
      <c r="BN363" s="825"/>
      <c r="BO363" s="825"/>
      <c r="BP363" s="825"/>
      <c r="BQ363" s="825"/>
      <c r="BR363" s="825"/>
      <c r="BS363" s="825"/>
      <c r="BT363" s="825"/>
      <c r="BU363" s="825"/>
      <c r="BV363" s="825"/>
      <c r="BW363" s="825"/>
      <c r="BX363" s="825"/>
      <c r="BY363" s="825"/>
      <c r="BZ363" s="825"/>
      <c r="CA363" s="825"/>
      <c r="CB363" s="825"/>
      <c r="CC363" s="825"/>
    </row>
    <row r="364" spans="1:81" s="548" customFormat="1" ht="32.299999999999997" customHeight="1" x14ac:dyDescent="0.25">
      <c r="A364" s="273"/>
      <c r="B364" s="672"/>
      <c r="C364" s="1651"/>
      <c r="D364" s="1612"/>
      <c r="E364" s="1612"/>
      <c r="F364" s="1537"/>
      <c r="G364" s="1537"/>
      <c r="H364" s="1537"/>
      <c r="I364" s="1537"/>
      <c r="J364" s="1537"/>
      <c r="K364" s="1537"/>
      <c r="L364" s="1537"/>
      <c r="M364" s="645" t="s">
        <v>489</v>
      </c>
      <c r="N364" s="730" t="str">
        <f>N9</f>
        <v>Otorgamiento de titulos de propiedad en tierras de aptitud  A y C con cobertura de bosques</v>
      </c>
      <c r="O364" s="837" t="str">
        <f t="shared" si="9"/>
        <v>Biodiversidad y recursos naturales</v>
      </c>
      <c r="P364" s="544" t="e">
        <f>#REF!</f>
        <v>#REF!</v>
      </c>
      <c r="Q364" s="540" t="str">
        <f>AA10</f>
        <v>Implementar el procedimiento de cambio de uso actual de tierras A y C con cobertura de bosques para formalización de propiedad rural considerado en la Ley Forestal y de Fauna Silvestre (Ley No 29736)</v>
      </c>
      <c r="R364" s="540" t="s">
        <v>506</v>
      </c>
      <c r="S364" s="544" t="s">
        <v>507</v>
      </c>
      <c r="T364" s="519" t="str">
        <f>Z10</f>
        <v>SBRN2</v>
      </c>
      <c r="U364" s="628"/>
      <c r="V364" s="478"/>
      <c r="W364" s="478"/>
      <c r="X364" s="273"/>
      <c r="Y364" s="825"/>
      <c r="Z364" s="825"/>
      <c r="AA364" s="825"/>
      <c r="AB364" s="825"/>
      <c r="AC364" s="825"/>
      <c r="AD364" s="825"/>
      <c r="AE364" s="825"/>
      <c r="AF364" s="825"/>
      <c r="AG364" s="825"/>
      <c r="AH364" s="825"/>
      <c r="AI364" s="825"/>
      <c r="AJ364" s="825"/>
      <c r="AK364" s="825"/>
      <c r="AL364" s="825"/>
      <c r="AM364" s="825"/>
      <c r="AN364" s="825"/>
      <c r="AO364" s="825"/>
      <c r="AP364" s="825"/>
      <c r="AQ364" s="825"/>
      <c r="AR364" s="825"/>
      <c r="AS364" s="825"/>
      <c r="AT364" s="825"/>
      <c r="AU364" s="825"/>
      <c r="AV364" s="825"/>
      <c r="AW364" s="825"/>
      <c r="AX364" s="825"/>
      <c r="AY364" s="273"/>
      <c r="AZ364" s="273"/>
      <c r="BA364" s="825"/>
      <c r="BB364" s="825"/>
      <c r="BC364" s="825"/>
      <c r="BD364" s="825"/>
      <c r="BE364" s="825"/>
      <c r="BF364" s="825"/>
      <c r="BG364" s="825"/>
      <c r="BH364" s="825"/>
      <c r="BI364" s="825"/>
      <c r="BJ364" s="825"/>
      <c r="BK364" s="825"/>
      <c r="BL364" s="825"/>
      <c r="BM364" s="825"/>
      <c r="BN364" s="825"/>
      <c r="BO364" s="825"/>
      <c r="BP364" s="825"/>
      <c r="BQ364" s="825"/>
      <c r="BR364" s="825"/>
      <c r="BS364" s="825"/>
      <c r="BT364" s="825"/>
      <c r="BU364" s="825"/>
      <c r="BV364" s="825"/>
      <c r="BW364" s="825"/>
      <c r="BX364" s="825"/>
      <c r="BY364" s="825"/>
      <c r="BZ364" s="825"/>
      <c r="CA364" s="825"/>
      <c r="CB364" s="825"/>
      <c r="CC364" s="825"/>
    </row>
    <row r="365" spans="1:81" s="548" customFormat="1" ht="31.6" customHeight="1" x14ac:dyDescent="0.25">
      <c r="A365" s="273"/>
      <c r="B365" s="672"/>
      <c r="C365" s="1651"/>
      <c r="D365" s="1612"/>
      <c r="E365" s="1612"/>
      <c r="F365" s="1537"/>
      <c r="G365" s="1537"/>
      <c r="H365" s="1537"/>
      <c r="I365" s="1537"/>
      <c r="J365" s="1537"/>
      <c r="K365" s="1537"/>
      <c r="L365" s="1537"/>
      <c r="M365" s="645" t="s">
        <v>489</v>
      </c>
      <c r="N365" s="730" t="str">
        <f>N9</f>
        <v>Otorgamiento de titulos de propiedad en tierras de aptitud  A y C con cobertura de bosques</v>
      </c>
      <c r="O365" s="837" t="str">
        <f t="shared" ref="O365:O428" si="10">VLOOKUP(T365,$AY$9:$BA$81,3,FALSE)</f>
        <v>Biodiversidad y recursos naturales</v>
      </c>
      <c r="P365" s="544" t="e">
        <f>#REF!</f>
        <v>#REF!</v>
      </c>
      <c r="Q365" s="540" t="str">
        <f>AA11</f>
        <v>Fortalecer las capacidades de la población local para que conozcan el marco legal sobre los derechos sobre la tierra y los bosques</v>
      </c>
      <c r="R365" s="540" t="s">
        <v>525</v>
      </c>
      <c r="S365" s="544" t="s">
        <v>526</v>
      </c>
      <c r="T365" s="519" t="str">
        <f>Z11</f>
        <v>SBRN3</v>
      </c>
      <c r="U365" s="628"/>
      <c r="V365" s="478"/>
      <c r="W365" s="478"/>
      <c r="X365" s="273"/>
      <c r="Y365" s="825"/>
      <c r="Z365" s="825"/>
      <c r="AA365" s="825"/>
      <c r="AB365" s="825"/>
      <c r="AC365" s="825"/>
      <c r="AD365" s="825"/>
      <c r="AE365" s="825"/>
      <c r="AF365" s="825"/>
      <c r="AG365" s="825"/>
      <c r="AH365" s="825"/>
      <c r="AI365" s="825"/>
      <c r="AJ365" s="825"/>
      <c r="AK365" s="825"/>
      <c r="AL365" s="825"/>
      <c r="AM365" s="825"/>
      <c r="AN365" s="825"/>
      <c r="AO365" s="825"/>
      <c r="AP365" s="825"/>
      <c r="AQ365" s="825"/>
      <c r="AR365" s="825"/>
      <c r="AS365" s="825"/>
      <c r="AT365" s="825"/>
      <c r="AU365" s="825"/>
      <c r="AV365" s="825"/>
      <c r="AW365" s="825"/>
      <c r="AX365" s="825"/>
      <c r="AY365" s="273"/>
      <c r="AZ365" s="273"/>
      <c r="BA365" s="825"/>
      <c r="BB365" s="825"/>
      <c r="BC365" s="825"/>
      <c r="BD365" s="825"/>
      <c r="BE365" s="825"/>
      <c r="BF365" s="825"/>
      <c r="BG365" s="825"/>
      <c r="BH365" s="825"/>
      <c r="BI365" s="825"/>
      <c r="BJ365" s="825"/>
      <c r="BK365" s="825"/>
      <c r="BL365" s="825"/>
      <c r="BM365" s="825"/>
      <c r="BN365" s="825"/>
      <c r="BO365" s="825"/>
      <c r="BP365" s="825"/>
      <c r="BQ365" s="825"/>
      <c r="BR365" s="825"/>
      <c r="BS365" s="825"/>
      <c r="BT365" s="825"/>
      <c r="BU365" s="825"/>
      <c r="BV365" s="825"/>
      <c r="BW365" s="825"/>
      <c r="BX365" s="825"/>
      <c r="BY365" s="825"/>
      <c r="BZ365" s="825"/>
      <c r="CA365" s="825"/>
      <c r="CB365" s="825"/>
      <c r="CC365" s="825"/>
    </row>
    <row r="366" spans="1:81" s="548" customFormat="1" ht="58.6" customHeight="1" x14ac:dyDescent="0.25">
      <c r="A366" s="273"/>
      <c r="B366" s="672"/>
      <c r="C366" s="1651"/>
      <c r="D366" s="1612"/>
      <c r="E366" s="1612"/>
      <c r="F366" s="1537"/>
      <c r="G366" s="1537"/>
      <c r="H366" s="1537"/>
      <c r="I366" s="1537"/>
      <c r="J366" s="1537"/>
      <c r="K366" s="1537"/>
      <c r="L366" s="1537"/>
      <c r="M366" s="645" t="s">
        <v>489</v>
      </c>
      <c r="N366" s="732" t="str">
        <f>N10</f>
        <v>Superposición de áreas a ser tituladas individualmente con áreas solicitadas por pueblos indígenas</v>
      </c>
      <c r="O366" s="837" t="str">
        <f t="shared" si="10"/>
        <v>Derechos de los pueblos indígenas</v>
      </c>
      <c r="P366" s="544" t="str">
        <f>Z6</f>
        <v>DPI</v>
      </c>
      <c r="Q366" s="540" t="str">
        <f>AD9</f>
        <v>Evaluación de superposiciones de solicitudes de titulación de predios rurales con solicitudes de pueblos indígenas (como parte del proceso de titulación de un predio rural individual)</v>
      </c>
      <c r="R366" s="540" t="s">
        <v>840</v>
      </c>
      <c r="S366" s="544" t="s">
        <v>542</v>
      </c>
      <c r="T366" s="519" t="str">
        <f>AC9</f>
        <v>SDPI1</v>
      </c>
      <c r="U366" s="628"/>
      <c r="V366" s="478"/>
      <c r="W366" s="478"/>
      <c r="X366" s="273"/>
      <c r="Y366" s="825"/>
      <c r="Z366" s="825"/>
      <c r="AA366" s="825"/>
      <c r="AB366" s="825"/>
      <c r="AC366" s="825"/>
      <c r="AD366" s="825"/>
      <c r="AE366" s="825"/>
      <c r="AF366" s="825"/>
      <c r="AG366" s="825"/>
      <c r="AH366" s="825"/>
      <c r="AI366" s="825"/>
      <c r="AJ366" s="825"/>
      <c r="AK366" s="825"/>
      <c r="AL366" s="825"/>
      <c r="AM366" s="825"/>
      <c r="AN366" s="825"/>
      <c r="AO366" s="825"/>
      <c r="AP366" s="825"/>
      <c r="AQ366" s="825"/>
      <c r="AR366" s="825"/>
      <c r="AS366" s="825"/>
      <c r="AT366" s="825"/>
      <c r="AU366" s="825"/>
      <c r="AV366" s="825"/>
      <c r="AW366" s="825"/>
      <c r="AX366" s="825"/>
      <c r="AY366" s="273"/>
      <c r="AZ366" s="273"/>
      <c r="BA366" s="825"/>
      <c r="BB366" s="825"/>
      <c r="BC366" s="825"/>
      <c r="BD366" s="825"/>
      <c r="BE366" s="825"/>
      <c r="BF366" s="825"/>
      <c r="BG366" s="825"/>
      <c r="BH366" s="825"/>
      <c r="BI366" s="825"/>
      <c r="BJ366" s="825"/>
      <c r="BK366" s="825"/>
      <c r="BL366" s="825"/>
      <c r="BM366" s="825"/>
      <c r="BN366" s="825"/>
      <c r="BO366" s="825"/>
      <c r="BP366" s="825"/>
      <c r="BQ366" s="825"/>
      <c r="BR366" s="825"/>
      <c r="BS366" s="825"/>
      <c r="BT366" s="825"/>
      <c r="BU366" s="825"/>
      <c r="BV366" s="825"/>
      <c r="BW366" s="825"/>
      <c r="BX366" s="825"/>
      <c r="BY366" s="825"/>
      <c r="BZ366" s="825"/>
      <c r="CA366" s="825"/>
      <c r="CB366" s="825"/>
      <c r="CC366" s="825"/>
    </row>
    <row r="367" spans="1:81" s="548" customFormat="1" ht="40.6" customHeight="1" x14ac:dyDescent="0.25">
      <c r="A367" s="273"/>
      <c r="B367" s="672"/>
      <c r="C367" s="1651"/>
      <c r="D367" s="1612"/>
      <c r="E367" s="1612"/>
      <c r="F367" s="1537"/>
      <c r="G367" s="1537"/>
      <c r="H367" s="1537"/>
      <c r="I367" s="1537"/>
      <c r="J367" s="1537"/>
      <c r="K367" s="1537"/>
      <c r="L367" s="1537"/>
      <c r="M367" s="645" t="s">
        <v>489</v>
      </c>
      <c r="N367" s="732" t="str">
        <f>N10</f>
        <v>Superposición de áreas a ser tituladas individualmente con áreas solicitadas por pueblos indígenas</v>
      </c>
      <c r="O367" s="837" t="str">
        <f t="shared" si="10"/>
        <v>Derechos de los pueblos indígenas</v>
      </c>
      <c r="P367" s="544" t="str">
        <f>Z6</f>
        <v>DPI</v>
      </c>
      <c r="Q367" s="540" t="str">
        <f>AD10</f>
        <v xml:space="preserve">Análisis de demandas de titulación de tierras a favor de comunidades nativas a nivel departamental con organizaciones indígenas </v>
      </c>
      <c r="R367" s="540" t="s">
        <v>555</v>
      </c>
      <c r="S367" s="544" t="s">
        <v>542</v>
      </c>
      <c r="T367" s="519" t="str">
        <f>AC10</f>
        <v>SDPI2</v>
      </c>
      <c r="U367" s="628"/>
      <c r="V367" s="478"/>
      <c r="W367" s="478"/>
      <c r="X367" s="273"/>
      <c r="Y367" s="825"/>
      <c r="Z367" s="825"/>
      <c r="AA367" s="825"/>
      <c r="AB367" s="825"/>
      <c r="AC367" s="825"/>
      <c r="AD367" s="825"/>
      <c r="AE367" s="825"/>
      <c r="AF367" s="825"/>
      <c r="AG367" s="825"/>
      <c r="AH367" s="825"/>
      <c r="AI367" s="825"/>
      <c r="AJ367" s="825"/>
      <c r="AK367" s="825"/>
      <c r="AL367" s="825"/>
      <c r="AM367" s="825"/>
      <c r="AN367" s="825"/>
      <c r="AO367" s="825"/>
      <c r="AP367" s="825"/>
      <c r="AQ367" s="825"/>
      <c r="AR367" s="825"/>
      <c r="AS367" s="825"/>
      <c r="AT367" s="825"/>
      <c r="AU367" s="825"/>
      <c r="AV367" s="825"/>
      <c r="AW367" s="825"/>
      <c r="AX367" s="825"/>
      <c r="AY367" s="273"/>
      <c r="AZ367" s="273"/>
      <c r="BA367" s="825"/>
      <c r="BB367" s="825"/>
      <c r="BC367" s="825"/>
      <c r="BD367" s="825"/>
      <c r="BE367" s="825"/>
      <c r="BF367" s="825"/>
      <c r="BG367" s="825"/>
      <c r="BH367" s="825"/>
      <c r="BI367" s="825"/>
      <c r="BJ367" s="825"/>
      <c r="BK367" s="825"/>
      <c r="BL367" s="825"/>
      <c r="BM367" s="825"/>
      <c r="BN367" s="825"/>
      <c r="BO367" s="825"/>
      <c r="BP367" s="825"/>
      <c r="BQ367" s="825"/>
      <c r="BR367" s="825"/>
      <c r="BS367" s="825"/>
      <c r="BT367" s="825"/>
      <c r="BU367" s="825"/>
      <c r="BV367" s="825"/>
      <c r="BW367" s="825"/>
      <c r="BX367" s="825"/>
      <c r="BY367" s="825"/>
      <c r="BZ367" s="825"/>
      <c r="CA367" s="825"/>
      <c r="CB367" s="825"/>
      <c r="CC367" s="825"/>
    </row>
    <row r="368" spans="1:81" s="548" customFormat="1" ht="29.25" customHeight="1" x14ac:dyDescent="0.25">
      <c r="A368" s="273"/>
      <c r="B368" s="672"/>
      <c r="C368" s="1651"/>
      <c r="D368" s="1612"/>
      <c r="E368" s="1612"/>
      <c r="F368" s="1537"/>
      <c r="G368" s="1537"/>
      <c r="H368" s="1537"/>
      <c r="I368" s="1537"/>
      <c r="J368" s="1537"/>
      <c r="K368" s="1537"/>
      <c r="L368" s="1537"/>
      <c r="M368" s="645" t="s">
        <v>489</v>
      </c>
      <c r="N368" s="732" t="str">
        <f>N13</f>
        <v xml:space="preserve">Tráfico de títulos de propiedad y contratos de cesión en uso </v>
      </c>
      <c r="O368" s="837" t="str">
        <f t="shared" si="10"/>
        <v>Corrupción</v>
      </c>
      <c r="P368" s="544" t="e">
        <f>#REF!</f>
        <v>#REF!</v>
      </c>
      <c r="Q368" s="540" t="str">
        <f>AG9</f>
        <v xml:space="preserve">Transparencia en procesos de formalización de la propiedad rural y cesión en uso </v>
      </c>
      <c r="R368" s="540" t="s">
        <v>566</v>
      </c>
      <c r="S368" s="544" t="s">
        <v>526</v>
      </c>
      <c r="T368" s="519" t="str">
        <f>AF9</f>
        <v>SCR1</v>
      </c>
      <c r="U368" s="628"/>
      <c r="V368" s="478"/>
      <c r="W368" s="478"/>
      <c r="X368" s="273"/>
      <c r="Y368" s="825"/>
      <c r="Z368" s="825"/>
      <c r="AA368" s="825"/>
      <c r="AB368" s="825"/>
      <c r="AC368" s="825"/>
      <c r="AD368" s="825"/>
      <c r="AE368" s="825"/>
      <c r="AF368" s="825"/>
      <c r="AG368" s="825"/>
      <c r="AH368" s="825"/>
      <c r="AI368" s="825"/>
      <c r="AJ368" s="825"/>
      <c r="AK368" s="825"/>
      <c r="AL368" s="825"/>
      <c r="AM368" s="825"/>
      <c r="AN368" s="825"/>
      <c r="AO368" s="825"/>
      <c r="AP368" s="825"/>
      <c r="AQ368" s="825"/>
      <c r="AR368" s="825"/>
      <c r="AS368" s="825"/>
      <c r="AT368" s="825"/>
      <c r="AU368" s="825"/>
      <c r="AV368" s="825"/>
      <c r="AW368" s="825"/>
      <c r="AX368" s="825"/>
      <c r="AY368" s="273"/>
      <c r="AZ368" s="273"/>
      <c r="BA368" s="825"/>
      <c r="BB368" s="825"/>
      <c r="BC368" s="825"/>
      <c r="BD368" s="825"/>
      <c r="BE368" s="825"/>
      <c r="BF368" s="825"/>
      <c r="BG368" s="825"/>
      <c r="BH368" s="825"/>
      <c r="BI368" s="825"/>
      <c r="BJ368" s="825"/>
      <c r="BK368" s="825"/>
      <c r="BL368" s="825"/>
      <c r="BM368" s="825"/>
      <c r="BN368" s="825"/>
      <c r="BO368" s="825"/>
      <c r="BP368" s="825"/>
      <c r="BQ368" s="825"/>
      <c r="BR368" s="825"/>
      <c r="BS368" s="825"/>
      <c r="BT368" s="825"/>
      <c r="BU368" s="825"/>
      <c r="BV368" s="825"/>
      <c r="BW368" s="825"/>
      <c r="BX368" s="825"/>
      <c r="BY368" s="825"/>
      <c r="BZ368" s="825"/>
      <c r="CA368" s="825"/>
      <c r="CB368" s="825"/>
      <c r="CC368" s="825"/>
    </row>
    <row r="369" spans="1:81" s="548" customFormat="1" ht="32.950000000000003" customHeight="1" x14ac:dyDescent="0.25">
      <c r="A369" s="273"/>
      <c r="B369" s="672"/>
      <c r="C369" s="1651"/>
      <c r="D369" s="1612"/>
      <c r="E369" s="1612"/>
      <c r="F369" s="1537"/>
      <c r="G369" s="1537"/>
      <c r="H369" s="1537"/>
      <c r="I369" s="1537"/>
      <c r="J369" s="1537"/>
      <c r="K369" s="1537"/>
      <c r="L369" s="1537"/>
      <c r="M369" s="645" t="s">
        <v>489</v>
      </c>
      <c r="N369" s="732" t="str">
        <f>N14</f>
        <v>Exclusión de mujeres propietarias en títulos de propiedad o contratos de cesión en uso</v>
      </c>
      <c r="O369" s="837" t="str">
        <f t="shared" si="10"/>
        <v>Género</v>
      </c>
      <c r="P369" s="544" t="str">
        <f>AC6</f>
        <v>GN</v>
      </c>
      <c r="Q369" s="540" t="str">
        <f>AJ9</f>
        <v xml:space="preserve">Incorporación de cónyuges o convivientes en títulos de propiedad y contratos de cesión en uso </v>
      </c>
      <c r="R369" s="540" t="s">
        <v>576</v>
      </c>
      <c r="S369" s="544" t="s">
        <v>507</v>
      </c>
      <c r="T369" s="519" t="str">
        <f>AI9</f>
        <v>SGN1</v>
      </c>
      <c r="U369" s="628"/>
      <c r="V369" s="478"/>
      <c r="W369" s="478"/>
      <c r="X369" s="273"/>
      <c r="Y369" s="825"/>
      <c r="Z369" s="825"/>
      <c r="AA369" s="825"/>
      <c r="AB369" s="825"/>
      <c r="AC369" s="825"/>
      <c r="AD369" s="825"/>
      <c r="AE369" s="825"/>
      <c r="AF369" s="825"/>
      <c r="AG369" s="825"/>
      <c r="AH369" s="825"/>
      <c r="AI369" s="825"/>
      <c r="AJ369" s="825"/>
      <c r="AK369" s="825"/>
      <c r="AL369" s="825"/>
      <c r="AM369" s="825"/>
      <c r="AN369" s="825"/>
      <c r="AO369" s="825"/>
      <c r="AP369" s="825"/>
      <c r="AQ369" s="825"/>
      <c r="AR369" s="825"/>
      <c r="AS369" s="825"/>
      <c r="AT369" s="825"/>
      <c r="AU369" s="825"/>
      <c r="AV369" s="825"/>
      <c r="AW369" s="825"/>
      <c r="AX369" s="825"/>
      <c r="AY369" s="273"/>
      <c r="AZ369" s="273"/>
      <c r="BA369" s="825"/>
      <c r="BB369" s="825"/>
      <c r="BC369" s="825"/>
      <c r="BD369" s="825"/>
      <c r="BE369" s="825"/>
      <c r="BF369" s="825"/>
      <c r="BG369" s="825"/>
      <c r="BH369" s="825"/>
      <c r="BI369" s="825"/>
      <c r="BJ369" s="825"/>
      <c r="BK369" s="825"/>
      <c r="BL369" s="825"/>
      <c r="BM369" s="825"/>
      <c r="BN369" s="825"/>
      <c r="BO369" s="825"/>
      <c r="BP369" s="825"/>
      <c r="BQ369" s="825"/>
      <c r="BR369" s="825"/>
      <c r="BS369" s="825"/>
      <c r="BT369" s="825"/>
      <c r="BU369" s="825"/>
      <c r="BV369" s="825"/>
      <c r="BW369" s="825"/>
      <c r="BX369" s="825"/>
      <c r="BY369" s="825"/>
      <c r="BZ369" s="825"/>
      <c r="CA369" s="825"/>
      <c r="CB369" s="825"/>
      <c r="CC369" s="825"/>
    </row>
    <row r="370" spans="1:81" s="548" customFormat="1" ht="43.5" customHeight="1" x14ac:dyDescent="0.25">
      <c r="A370" s="273"/>
      <c r="B370" s="672"/>
      <c r="C370" s="1651"/>
      <c r="D370" s="1612"/>
      <c r="E370" s="1612"/>
      <c r="F370" s="1537"/>
      <c r="G370" s="1537"/>
      <c r="H370" s="1537"/>
      <c r="I370" s="1537"/>
      <c r="J370" s="1537"/>
      <c r="K370" s="1537"/>
      <c r="L370" s="1537"/>
      <c r="M370" s="645" t="s">
        <v>489</v>
      </c>
      <c r="N370" s="732" t="str">
        <f>N15</f>
        <v>Otorgamiento de derechos sobre la tierra / bosques en zonas con patrimonio cultural</v>
      </c>
      <c r="O370" s="837" t="str">
        <f t="shared" si="10"/>
        <v>Patrimonio cultural</v>
      </c>
      <c r="P370" s="544" t="str">
        <f>AI6</f>
        <v>PC</v>
      </c>
      <c r="Q370" s="540" t="str">
        <f>AV9</f>
        <v>Evaluación de superposición del área solicitada para titulación de predios rurales con áreas determinadas como patrimonio cultural</v>
      </c>
      <c r="R370" s="540" t="s">
        <v>586</v>
      </c>
      <c r="S370" s="544" t="s">
        <v>542</v>
      </c>
      <c r="T370" s="519" t="str">
        <f>AU9</f>
        <v>SPC1</v>
      </c>
      <c r="U370" s="628"/>
      <c r="V370" s="478"/>
      <c r="W370" s="478"/>
      <c r="X370" s="273"/>
      <c r="Y370" s="825"/>
      <c r="Z370" s="825"/>
      <c r="AA370" s="825"/>
      <c r="AB370" s="825"/>
      <c r="AC370" s="825"/>
      <c r="AD370" s="825"/>
      <c r="AE370" s="825"/>
      <c r="AF370" s="825"/>
      <c r="AG370" s="825"/>
      <c r="AH370" s="825"/>
      <c r="AI370" s="825"/>
      <c r="AJ370" s="825"/>
      <c r="AK370" s="825"/>
      <c r="AL370" s="825"/>
      <c r="AM370" s="825"/>
      <c r="AN370" s="825"/>
      <c r="AO370" s="825"/>
      <c r="AP370" s="825"/>
      <c r="AQ370" s="825"/>
      <c r="AR370" s="825"/>
      <c r="AS370" s="825"/>
      <c r="AT370" s="825"/>
      <c r="AU370" s="825"/>
      <c r="AV370" s="825"/>
      <c r="AW370" s="825"/>
      <c r="AX370" s="825"/>
      <c r="AY370" s="273"/>
      <c r="AZ370" s="273"/>
      <c r="BA370" s="825"/>
      <c r="BB370" s="825"/>
      <c r="BC370" s="825"/>
      <c r="BD370" s="825"/>
      <c r="BE370" s="825"/>
      <c r="BF370" s="825"/>
      <c r="BG370" s="825"/>
      <c r="BH370" s="825"/>
      <c r="BI370" s="825"/>
      <c r="BJ370" s="825"/>
      <c r="BK370" s="825"/>
      <c r="BL370" s="825"/>
      <c r="BM370" s="825"/>
      <c r="BN370" s="825"/>
      <c r="BO370" s="825"/>
      <c r="BP370" s="825"/>
      <c r="BQ370" s="825"/>
      <c r="BR370" s="825"/>
      <c r="BS370" s="825"/>
      <c r="BT370" s="825"/>
      <c r="BU370" s="825"/>
      <c r="BV370" s="825"/>
      <c r="BW370" s="825"/>
      <c r="BX370" s="825"/>
      <c r="BY370" s="825"/>
      <c r="BZ370" s="825"/>
      <c r="CA370" s="825"/>
      <c r="CB370" s="825"/>
      <c r="CC370" s="825"/>
    </row>
    <row r="371" spans="1:81" ht="93.75" customHeight="1" x14ac:dyDescent="0.25">
      <c r="A371" s="273"/>
      <c r="B371" s="672" t="s">
        <v>873</v>
      </c>
      <c r="C371" s="845" t="str">
        <f>'8. BASE  CONSOLIDADA'!E232</f>
        <v>3.3.2</v>
      </c>
      <c r="D371" s="1075" t="str">
        <f>'8. BASE  CONSOLIDADA'!F232</f>
        <v xml:space="preserve">Asistencia técnica para el mejoramiento de pastos y ganadería </v>
      </c>
      <c r="E371" s="1075" t="str">
        <f>'8. BASE  CONSOLIDADA'!G232</f>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F371" s="837" t="str">
        <f>'8. BASE  CONSOLIDADA'!C232</f>
        <v>Predios privados para ganadería de leche y carne</v>
      </c>
      <c r="G371" s="1019" t="str">
        <f>VLOOKUP($C371,'8. BASE  CONSOLIDADA'!$E$7:$AS$308,13,FALSE)</f>
        <v>Ganaderos asistidos</v>
      </c>
      <c r="H371" s="1109">
        <f>VLOOKUP($C371,'8. BASE  CONSOLIDADA'!$E$7:$AS$308,15,FALSE)</f>
        <v>587</v>
      </c>
      <c r="I371" s="1058">
        <f>VLOOKUP(C371,'8. BASE  CONSOLIDADA'!$E$7:$AS$308,20,FALSE)</f>
        <v>328720</v>
      </c>
      <c r="J371" s="678">
        <f>I371*$J$6</f>
        <v>223.52960000000002</v>
      </c>
      <c r="K371" s="1020"/>
      <c r="L371" s="1029"/>
      <c r="M371" s="645" t="s">
        <v>489</v>
      </c>
      <c r="N371" s="732" t="str">
        <f>N16</f>
        <v>Exclusión de mujeres rurales en programas de asistencia técnica</v>
      </c>
      <c r="O371" s="837" t="str">
        <f t="shared" si="10"/>
        <v>Género</v>
      </c>
      <c r="P371" s="544" t="str">
        <f>AC6</f>
        <v>GN</v>
      </c>
      <c r="Q371" s="540" t="str">
        <f>AJ10</f>
        <v>Programas de asistencia técnica y proyectos específicos para mujeres rurales y mujeres indígenas</v>
      </c>
      <c r="R371" s="540" t="s">
        <v>596</v>
      </c>
      <c r="S371" s="544" t="s">
        <v>507</v>
      </c>
      <c r="T371" s="519" t="str">
        <f>AI10</f>
        <v>SGN2</v>
      </c>
      <c r="U371" s="628"/>
      <c r="V371" s="478"/>
      <c r="W371" s="478"/>
      <c r="X371" s="273"/>
      <c r="Y371" s="825"/>
      <c r="Z371" s="825"/>
      <c r="AA371" s="825"/>
      <c r="AB371" s="825"/>
      <c r="AC371" s="825"/>
      <c r="AD371" s="825"/>
      <c r="AE371" s="825"/>
      <c r="AF371" s="825"/>
      <c r="AG371" s="825"/>
      <c r="AH371" s="825"/>
      <c r="AI371" s="825"/>
      <c r="AJ371" s="825"/>
      <c r="AK371" s="825"/>
      <c r="AL371" s="825"/>
      <c r="AM371" s="825"/>
      <c r="AN371" s="825"/>
      <c r="AO371" s="825"/>
      <c r="AP371" s="825"/>
      <c r="AQ371" s="825"/>
      <c r="AR371" s="825"/>
      <c r="AS371" s="825"/>
      <c r="AT371" s="825"/>
      <c r="AU371" s="825"/>
      <c r="AV371" s="825"/>
      <c r="AW371" s="825"/>
      <c r="AX371" s="825"/>
      <c r="BA371" s="825"/>
      <c r="BB371" s="825"/>
      <c r="BC371" s="825"/>
      <c r="BD371" s="825"/>
      <c r="BE371" s="825"/>
      <c r="BF371" s="825"/>
      <c r="BG371" s="825"/>
      <c r="BH371" s="825"/>
      <c r="BI371" s="825"/>
      <c r="BJ371" s="825"/>
      <c r="BK371" s="825"/>
      <c r="BL371" s="825"/>
      <c r="BM371" s="825"/>
      <c r="BN371" s="825"/>
      <c r="BO371" s="825"/>
      <c r="BP371" s="825"/>
      <c r="BQ371" s="825"/>
      <c r="BR371" s="825"/>
      <c r="BS371" s="825"/>
      <c r="BT371" s="825"/>
      <c r="BU371" s="825"/>
      <c r="BV371" s="825"/>
      <c r="BW371" s="825"/>
      <c r="BX371" s="825"/>
      <c r="BY371" s="825"/>
      <c r="BZ371" s="825"/>
      <c r="CA371" s="825"/>
      <c r="CB371" s="825"/>
      <c r="CC371" s="825"/>
    </row>
    <row r="372" spans="1:81" ht="26.35" customHeight="1" x14ac:dyDescent="0.25">
      <c r="A372" s="273"/>
      <c r="B372" s="672" t="s">
        <v>873</v>
      </c>
      <c r="C372" s="1571" t="str">
        <f>'8. BASE  CONSOLIDADA'!E234</f>
        <v>3.3.4</v>
      </c>
      <c r="D372" s="1564" t="str">
        <f>'8. BASE  CONSOLIDADA'!F234</f>
        <v>Mejoramiento genético de ganado bovino</v>
      </c>
      <c r="E372" s="1564" t="str">
        <f>'8. BASE  CONSOLIDADA'!G234</f>
        <v>Reactivación  , implementación y gestión de las postas de inseminación artificial, importación de material genético (pajillas de semen), capacitación y entrenamiento a inseminadores, transferencia de embriones.</v>
      </c>
      <c r="F372" s="1535" t="str">
        <f>'8. BASE  CONSOLIDADA'!C234</f>
        <v>Predios privados para ganadería de leche y carne</v>
      </c>
      <c r="G372" s="1019" t="str">
        <f>VLOOKUP($C372,'8. BASE  CONSOLIDADA'!$E$7:$AS$308,13,FALSE)</f>
        <v>Postas Reactivadas</v>
      </c>
      <c r="H372" s="1109">
        <f>VLOOKUP($C372,'8. BASE  CONSOLIDADA'!$E$7:$AS$308,15,FALSE)</f>
        <v>2</v>
      </c>
      <c r="I372" s="1058">
        <f>VLOOKUP(C372,'8. BASE  CONSOLIDADA'!$E$7:$AS$308,20,FALSE)</f>
        <v>548000</v>
      </c>
      <c r="J372" s="678">
        <f>I372*$J$6</f>
        <v>372.64000000000004</v>
      </c>
      <c r="K372" s="1020"/>
      <c r="L372" s="1030"/>
      <c r="M372" s="645" t="s">
        <v>489</v>
      </c>
      <c r="N372" s="732" t="str">
        <f>N16</f>
        <v>Exclusión de mujeres rurales en programas de asistencia técnica</v>
      </c>
      <c r="O372" s="837" t="str">
        <f t="shared" si="10"/>
        <v>Género</v>
      </c>
      <c r="P372" s="544" t="str">
        <f>AC6</f>
        <v>GN</v>
      </c>
      <c r="Q372" s="540" t="str">
        <f>AJ11</f>
        <v xml:space="preserve">Cuotas de género y medición de participación efectiva de mujeres rurales </v>
      </c>
      <c r="R372" s="540" t="s">
        <v>689</v>
      </c>
      <c r="S372" s="544" t="s">
        <v>507</v>
      </c>
      <c r="T372" s="519" t="str">
        <f>AI11</f>
        <v>SGN3</v>
      </c>
      <c r="U372" s="628"/>
      <c r="V372" s="478"/>
      <c r="W372" s="478"/>
      <c r="X372" s="273"/>
      <c r="Y372" s="825"/>
      <c r="Z372" s="825"/>
      <c r="AA372" s="825"/>
      <c r="AB372" s="825"/>
      <c r="AC372" s="825"/>
      <c r="AD372" s="825"/>
      <c r="AE372" s="825"/>
      <c r="AF372" s="825"/>
      <c r="AG372" s="825"/>
      <c r="AH372" s="825"/>
      <c r="AI372" s="825"/>
      <c r="AJ372" s="825"/>
      <c r="AK372" s="825"/>
      <c r="AL372" s="825"/>
      <c r="AM372" s="825"/>
      <c r="AN372" s="825"/>
      <c r="AO372" s="825"/>
      <c r="AP372" s="825"/>
      <c r="AQ372" s="825"/>
      <c r="AR372" s="825"/>
      <c r="AS372" s="825"/>
      <c r="AT372" s="825"/>
      <c r="AU372" s="825"/>
      <c r="AV372" s="825"/>
      <c r="AW372" s="825"/>
      <c r="AX372" s="825"/>
      <c r="BA372" s="825"/>
      <c r="BB372" s="825"/>
      <c r="BC372" s="825"/>
      <c r="BD372" s="825"/>
      <c r="BE372" s="825"/>
      <c r="BF372" s="825"/>
      <c r="BG372" s="825"/>
      <c r="BH372" s="825"/>
      <c r="BI372" s="825"/>
      <c r="BJ372" s="825"/>
      <c r="BK372" s="825"/>
      <c r="BL372" s="825"/>
      <c r="BM372" s="825"/>
      <c r="BN372" s="825"/>
      <c r="BO372" s="825"/>
      <c r="BP372" s="825"/>
      <c r="BQ372" s="825"/>
      <c r="BR372" s="825"/>
      <c r="BS372" s="825"/>
      <c r="BT372" s="825"/>
      <c r="BU372" s="825"/>
      <c r="BV372" s="825"/>
      <c r="BW372" s="825"/>
      <c r="BX372" s="825"/>
      <c r="BY372" s="825"/>
      <c r="BZ372" s="825"/>
      <c r="CA372" s="825"/>
      <c r="CB372" s="825"/>
      <c r="CC372" s="825"/>
    </row>
    <row r="373" spans="1:81" s="548" customFormat="1" ht="42.8" customHeight="1" x14ac:dyDescent="0.25">
      <c r="A373" s="273"/>
      <c r="B373" s="672"/>
      <c r="C373" s="1573"/>
      <c r="D373" s="1566"/>
      <c r="E373" s="1566"/>
      <c r="F373" s="1543"/>
      <c r="G373" s="1091"/>
      <c r="H373" s="1112"/>
      <c r="I373" s="1061"/>
      <c r="J373" s="679"/>
      <c r="K373" s="1021"/>
      <c r="L373" s="1029"/>
      <c r="M373" s="645" t="s">
        <v>489</v>
      </c>
      <c r="N373" s="732" t="str">
        <f>N16</f>
        <v>Exclusión de mujeres rurales en programas de asistencia técnica</v>
      </c>
      <c r="O373" s="837" t="str">
        <f t="shared" si="10"/>
        <v>Género</v>
      </c>
      <c r="P373" s="544" t="str">
        <f>AC6</f>
        <v>GN</v>
      </c>
      <c r="Q373" s="540" t="str">
        <f>AJ10</f>
        <v>Programas de asistencia técnica y proyectos específicos para mujeres rurales y mujeres indígenas</v>
      </c>
      <c r="R373" s="540" t="s">
        <v>596</v>
      </c>
      <c r="S373" s="544" t="s">
        <v>507</v>
      </c>
      <c r="T373" s="519" t="str">
        <f>AI10</f>
        <v>SGN2</v>
      </c>
      <c r="U373" s="628"/>
      <c r="V373" s="478"/>
      <c r="W373" s="478"/>
      <c r="X373" s="273"/>
      <c r="Y373" s="825"/>
      <c r="Z373" s="825"/>
      <c r="AA373" s="825"/>
      <c r="AB373" s="825"/>
      <c r="AC373" s="825"/>
      <c r="AD373" s="825"/>
      <c r="AE373" s="825"/>
      <c r="AF373" s="825"/>
      <c r="AG373" s="825"/>
      <c r="AH373" s="825"/>
      <c r="AI373" s="825"/>
      <c r="AJ373" s="825"/>
      <c r="AK373" s="825"/>
      <c r="AL373" s="825"/>
      <c r="AM373" s="825"/>
      <c r="AN373" s="825"/>
      <c r="AO373" s="825"/>
      <c r="AP373" s="825"/>
      <c r="AQ373" s="825"/>
      <c r="AR373" s="825"/>
      <c r="AS373" s="825"/>
      <c r="AT373" s="825"/>
      <c r="AU373" s="825"/>
      <c r="AV373" s="825"/>
      <c r="AW373" s="825"/>
      <c r="AX373" s="825"/>
      <c r="AY373" s="273"/>
      <c r="AZ373" s="273"/>
      <c r="BA373" s="825"/>
      <c r="BB373" s="825"/>
      <c r="BC373" s="825"/>
      <c r="BD373" s="825"/>
      <c r="BE373" s="825"/>
      <c r="BF373" s="825"/>
      <c r="BG373" s="825"/>
      <c r="BH373" s="825"/>
      <c r="BI373" s="825"/>
      <c r="BJ373" s="825"/>
      <c r="BK373" s="825"/>
      <c r="BL373" s="825"/>
      <c r="BM373" s="825"/>
      <c r="BN373" s="825"/>
      <c r="BO373" s="825"/>
      <c r="BP373" s="825"/>
      <c r="BQ373" s="825"/>
      <c r="BR373" s="825"/>
      <c r="BS373" s="825"/>
      <c r="BT373" s="825"/>
      <c r="BU373" s="825"/>
      <c r="BV373" s="825"/>
      <c r="BW373" s="825"/>
      <c r="BX373" s="825"/>
      <c r="BY373" s="825"/>
      <c r="BZ373" s="825"/>
      <c r="CA373" s="825"/>
      <c r="CB373" s="825"/>
      <c r="CC373" s="825"/>
    </row>
    <row r="374" spans="1:81" ht="42.8" customHeight="1" x14ac:dyDescent="0.25">
      <c r="A374" s="273"/>
      <c r="B374" s="672" t="s">
        <v>873</v>
      </c>
      <c r="C374" s="1571" t="str">
        <f>'8. BASE  CONSOLIDADA'!E235</f>
        <v>3.3.5</v>
      </c>
      <c r="D374" s="1564" t="str">
        <f>'8. BASE  CONSOLIDADA'!F235</f>
        <v>Programa de acceso al financiamiento agropecuario condicionado</v>
      </c>
      <c r="E374" s="1564" t="str">
        <f>'8. BASE  CONSOLIDADA'!G235</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v>
      </c>
      <c r="F374" s="1535" t="str">
        <f>'8. BASE  CONSOLIDADA'!C235</f>
        <v>Predios privados para ganadería de leche y carne</v>
      </c>
      <c r="G374" s="1535" t="str">
        <f>VLOOKUP($C374,'8. BASE  CONSOLIDADA'!$E$7:$AS$308,13,FALSE)</f>
        <v>Ganaderos atendidos</v>
      </c>
      <c r="H374" s="1535">
        <f>VLOOKUP($C374,'8. BASE  CONSOLIDADA'!$E$7:$AS$308,15,FALSE)</f>
        <v>176.1</v>
      </c>
      <c r="I374" s="1535">
        <f>VLOOKUP(C374,'8. BASE  CONSOLIDADA'!$E$7:$AS$308,20,FALSE)</f>
        <v>1893075</v>
      </c>
      <c r="J374" s="1535">
        <f>I374*$J$6</f>
        <v>1287.2910000000002</v>
      </c>
      <c r="K374" s="1020"/>
      <c r="L374" s="1046"/>
      <c r="M374" s="645" t="s">
        <v>489</v>
      </c>
      <c r="N374" s="740" t="str">
        <f>N25</f>
        <v>Deforestación de nuevas áreas para implementar créditos o incentivos otorgados</v>
      </c>
      <c r="O374" s="837" t="str">
        <f t="shared" si="10"/>
        <v>Biodiversidad y recursos naturales</v>
      </c>
      <c r="P374" s="544" t="e">
        <f>#REF!</f>
        <v>#REF!</v>
      </c>
      <c r="Q374" s="540" t="str">
        <f>AA12</f>
        <v xml:space="preserve">Ordenamiento agroterritorial como estrategia para ordenar y promover el desarrollo agrario regional </v>
      </c>
      <c r="R374" s="540" t="s">
        <v>656</v>
      </c>
      <c r="S374" s="544" t="s">
        <v>492</v>
      </c>
      <c r="T374" s="519" t="str">
        <f>Z12</f>
        <v>SBRN4</v>
      </c>
      <c r="U374" s="628"/>
      <c r="V374" s="478"/>
      <c r="W374" s="478"/>
      <c r="X374" s="273"/>
      <c r="Y374" s="825"/>
      <c r="Z374" s="825"/>
      <c r="AA374" s="825"/>
      <c r="AB374" s="825"/>
      <c r="AC374" s="825"/>
      <c r="AD374" s="825"/>
      <c r="AE374" s="825"/>
      <c r="AF374" s="825"/>
      <c r="AG374" s="825"/>
      <c r="AH374" s="825"/>
      <c r="AI374" s="825"/>
      <c r="AJ374" s="825"/>
      <c r="AK374" s="825"/>
      <c r="AL374" s="825"/>
      <c r="AM374" s="825"/>
      <c r="AN374" s="825"/>
      <c r="AO374" s="825"/>
      <c r="AP374" s="825"/>
      <c r="AQ374" s="825"/>
      <c r="AR374" s="825"/>
      <c r="AS374" s="825"/>
      <c r="AT374" s="825"/>
      <c r="AU374" s="825"/>
      <c r="AV374" s="825"/>
      <c r="AW374" s="825"/>
      <c r="AX374" s="825"/>
      <c r="BA374" s="825"/>
      <c r="BB374" s="825"/>
      <c r="BC374" s="825"/>
      <c r="BD374" s="825"/>
      <c r="BE374" s="825"/>
      <c r="BF374" s="825"/>
      <c r="BG374" s="825"/>
      <c r="BH374" s="825"/>
      <c r="BI374" s="825"/>
      <c r="BJ374" s="825"/>
      <c r="BK374" s="825"/>
      <c r="BL374" s="825"/>
      <c r="BM374" s="825"/>
      <c r="BN374" s="825"/>
      <c r="BO374" s="825"/>
      <c r="BP374" s="825"/>
      <c r="BQ374" s="825"/>
      <c r="BR374" s="825"/>
      <c r="BS374" s="825"/>
      <c r="BT374" s="825"/>
      <c r="BU374" s="825"/>
      <c r="BV374" s="825"/>
      <c r="BW374" s="825"/>
      <c r="BX374" s="825"/>
      <c r="BY374" s="825"/>
      <c r="BZ374" s="825"/>
      <c r="CA374" s="825"/>
      <c r="CB374" s="825"/>
      <c r="CC374" s="825"/>
    </row>
    <row r="375" spans="1:81" s="548" customFormat="1" ht="33.799999999999997" customHeight="1" x14ac:dyDescent="0.25">
      <c r="A375" s="273"/>
      <c r="B375" s="672"/>
      <c r="C375" s="1572"/>
      <c r="D375" s="1565"/>
      <c r="E375" s="1565"/>
      <c r="F375" s="1536"/>
      <c r="G375" s="1536"/>
      <c r="H375" s="1536"/>
      <c r="I375" s="1536"/>
      <c r="J375" s="1536"/>
      <c r="K375" s="1024">
        <v>100</v>
      </c>
      <c r="L375" s="1024">
        <f>K375*H374</f>
        <v>17610</v>
      </c>
      <c r="M375" s="739" t="s">
        <v>672</v>
      </c>
      <c r="N375" s="740" t="str">
        <f>N25</f>
        <v>Deforestación de nuevas áreas para implementar créditos o incentivos otorgados</v>
      </c>
      <c r="O375" s="837" t="str">
        <f t="shared" si="10"/>
        <v>Biodiversidad y recursos naturales</v>
      </c>
      <c r="P375" s="544" t="e">
        <f>#REF!</f>
        <v>#REF!</v>
      </c>
      <c r="Q375" s="540" t="str">
        <f>AA14</f>
        <v>Desarrollo de incentivos financieros y no financieros condicionados con cláusulas de no deforestación</v>
      </c>
      <c r="R375" s="540" t="s">
        <v>673</v>
      </c>
      <c r="S375" s="534" t="s">
        <v>526</v>
      </c>
      <c r="T375" s="519" t="str">
        <f>Z14</f>
        <v>SBRN6</v>
      </c>
      <c r="U375" s="628"/>
      <c r="V375" s="478"/>
      <c r="W375" s="478"/>
      <c r="X375" s="273"/>
      <c r="Y375" s="825"/>
      <c r="Z375" s="825"/>
      <c r="AA375" s="825"/>
      <c r="AB375" s="825"/>
      <c r="AC375" s="825"/>
      <c r="AD375" s="825"/>
      <c r="AE375" s="825"/>
      <c r="AF375" s="825"/>
      <c r="AG375" s="825"/>
      <c r="AH375" s="825"/>
      <c r="AI375" s="825"/>
      <c r="AJ375" s="825"/>
      <c r="AK375" s="825"/>
      <c r="AL375" s="825"/>
      <c r="AM375" s="825"/>
      <c r="AN375" s="825"/>
      <c r="AO375" s="825"/>
      <c r="AP375" s="825"/>
      <c r="AQ375" s="825"/>
      <c r="AR375" s="825"/>
      <c r="AS375" s="825"/>
      <c r="AT375" s="825"/>
      <c r="AU375" s="825"/>
      <c r="AV375" s="825"/>
      <c r="AW375" s="825"/>
      <c r="AX375" s="825"/>
      <c r="AY375" s="273"/>
      <c r="AZ375" s="273"/>
      <c r="BA375" s="825"/>
      <c r="BB375" s="825"/>
      <c r="BC375" s="825"/>
      <c r="BD375" s="825"/>
      <c r="BE375" s="825"/>
      <c r="BF375" s="825"/>
      <c r="BG375" s="825"/>
      <c r="BH375" s="825"/>
      <c r="BI375" s="825"/>
      <c r="BJ375" s="825"/>
      <c r="BK375" s="825"/>
      <c r="BL375" s="825"/>
      <c r="BM375" s="825"/>
      <c r="BN375" s="825"/>
      <c r="BO375" s="825"/>
      <c r="BP375" s="825"/>
      <c r="BQ375" s="825"/>
      <c r="BR375" s="825"/>
      <c r="BS375" s="825"/>
      <c r="BT375" s="825"/>
      <c r="BU375" s="825"/>
      <c r="BV375" s="825"/>
      <c r="BW375" s="825"/>
      <c r="BX375" s="825"/>
      <c r="BY375" s="825"/>
      <c r="BZ375" s="825"/>
      <c r="CA375" s="825"/>
      <c r="CB375" s="825"/>
      <c r="CC375" s="825"/>
    </row>
    <row r="376" spans="1:81" s="548" customFormat="1" ht="32.299999999999997" customHeight="1" x14ac:dyDescent="0.25">
      <c r="A376" s="273"/>
      <c r="B376" s="672"/>
      <c r="C376" s="1572"/>
      <c r="D376" s="1565"/>
      <c r="E376" s="1565"/>
      <c r="F376" s="1536"/>
      <c r="G376" s="1536"/>
      <c r="H376" s="1536"/>
      <c r="I376" s="1536"/>
      <c r="J376" s="1536"/>
      <c r="K376" s="1042"/>
      <c r="L376" s="1042"/>
      <c r="M376" s="645" t="s">
        <v>489</v>
      </c>
      <c r="N376" s="724" t="str">
        <f>N17</f>
        <v>Especies exóticas o invasoras en bosques colindantes</v>
      </c>
      <c r="O376" s="837" t="str">
        <f t="shared" si="10"/>
        <v>Biodiversidad y recursos naturales</v>
      </c>
      <c r="P376" s="544" t="e">
        <f>#REF!</f>
        <v>#REF!</v>
      </c>
      <c r="Q376" s="540" t="str">
        <f>AA16</f>
        <v>Promoción del cultivo de especies nativas</v>
      </c>
      <c r="R376" s="540" t="s">
        <v>834</v>
      </c>
      <c r="S376" s="544" t="s">
        <v>492</v>
      </c>
      <c r="T376" s="519" t="str">
        <f>Z16</f>
        <v>SBRN8</v>
      </c>
      <c r="U376" s="628"/>
      <c r="V376" s="478"/>
      <c r="W376" s="478"/>
      <c r="X376" s="273"/>
      <c r="Y376" s="825"/>
      <c r="Z376" s="825"/>
      <c r="AA376" s="825"/>
      <c r="AB376" s="825"/>
      <c r="AC376" s="825"/>
      <c r="AD376" s="825"/>
      <c r="AE376" s="825"/>
      <c r="AF376" s="825"/>
      <c r="AG376" s="825"/>
      <c r="AH376" s="825"/>
      <c r="AI376" s="825"/>
      <c r="AJ376" s="825"/>
      <c r="AK376" s="825"/>
      <c r="AL376" s="825"/>
      <c r="AM376" s="825"/>
      <c r="AN376" s="825"/>
      <c r="AO376" s="825"/>
      <c r="AP376" s="825"/>
      <c r="AQ376" s="825"/>
      <c r="AR376" s="825"/>
      <c r="AS376" s="825"/>
      <c r="AT376" s="825"/>
      <c r="AU376" s="825"/>
      <c r="AV376" s="825"/>
      <c r="AW376" s="825"/>
      <c r="AX376" s="825"/>
      <c r="AY376" s="273"/>
      <c r="AZ376" s="273"/>
      <c r="BA376" s="825"/>
      <c r="BB376" s="825"/>
      <c r="BC376" s="825"/>
      <c r="BD376" s="825"/>
      <c r="BE376" s="825"/>
      <c r="BF376" s="825"/>
      <c r="BG376" s="825"/>
      <c r="BH376" s="825"/>
      <c r="BI376" s="825"/>
      <c r="BJ376" s="825"/>
      <c r="BK376" s="825"/>
      <c r="BL376" s="825"/>
      <c r="BM376" s="825"/>
      <c r="BN376" s="825"/>
      <c r="BO376" s="825"/>
      <c r="BP376" s="825"/>
      <c r="BQ376" s="825"/>
      <c r="BR376" s="825"/>
      <c r="BS376" s="825"/>
      <c r="BT376" s="825"/>
      <c r="BU376" s="825"/>
      <c r="BV376" s="825"/>
      <c r="BW376" s="825"/>
      <c r="BX376" s="825"/>
      <c r="BY376" s="825"/>
      <c r="BZ376" s="825"/>
      <c r="CA376" s="825"/>
      <c r="CB376" s="825"/>
      <c r="CC376" s="825"/>
    </row>
    <row r="377" spans="1:81" s="548" customFormat="1" ht="21.1" customHeight="1" x14ac:dyDescent="0.25">
      <c r="A377" s="273"/>
      <c r="B377" s="672"/>
      <c r="C377" s="1572"/>
      <c r="D377" s="1565"/>
      <c r="E377" s="1565"/>
      <c r="F377" s="1536"/>
      <c r="G377" s="1536"/>
      <c r="H377" s="1536"/>
      <c r="I377" s="1536"/>
      <c r="J377" s="1536"/>
      <c r="K377" s="1042"/>
      <c r="L377" s="1042"/>
      <c r="M377" s="645" t="s">
        <v>489</v>
      </c>
      <c r="N377" s="732" t="str">
        <f>N28</f>
        <v>Contaminación por residuos agropecuarios</v>
      </c>
      <c r="O377" s="837" t="str">
        <f t="shared" si="10"/>
        <v>Contaminación</v>
      </c>
      <c r="P377" s="544" t="e">
        <f>#REF!</f>
        <v>#REF!</v>
      </c>
      <c r="Q377" s="540" t="str">
        <f>AM10</f>
        <v>Control de residuos agropecuarios</v>
      </c>
      <c r="R377" s="540" t="s">
        <v>535</v>
      </c>
      <c r="S377" s="544" t="s">
        <v>492</v>
      </c>
      <c r="T377" s="519" t="str">
        <f>AL10</f>
        <v>SCT2</v>
      </c>
      <c r="U377" s="628"/>
      <c r="V377" s="478"/>
      <c r="W377" s="478"/>
      <c r="X377" s="273"/>
      <c r="Y377" s="825"/>
      <c r="Z377" s="825"/>
      <c r="AA377" s="825"/>
      <c r="AB377" s="825"/>
      <c r="AC377" s="825"/>
      <c r="AD377" s="825"/>
      <c r="AE377" s="825"/>
      <c r="AF377" s="825"/>
      <c r="AG377" s="825"/>
      <c r="AH377" s="825"/>
      <c r="AI377" s="825"/>
      <c r="AJ377" s="825"/>
      <c r="AK377" s="825"/>
      <c r="AL377" s="825"/>
      <c r="AM377" s="825"/>
      <c r="AN377" s="825"/>
      <c r="AO377" s="825"/>
      <c r="AP377" s="825"/>
      <c r="AQ377" s="825"/>
      <c r="AR377" s="825"/>
      <c r="AS377" s="825"/>
      <c r="AT377" s="825"/>
      <c r="AU377" s="825"/>
      <c r="AV377" s="825"/>
      <c r="AW377" s="825"/>
      <c r="AX377" s="825"/>
      <c r="AY377" s="273"/>
      <c r="AZ377" s="273"/>
      <c r="BA377" s="825"/>
      <c r="BB377" s="825"/>
      <c r="BC377" s="825"/>
      <c r="BD377" s="825"/>
      <c r="BE377" s="825"/>
      <c r="BF377" s="825"/>
      <c r="BG377" s="825"/>
      <c r="BH377" s="825"/>
      <c r="BI377" s="825"/>
      <c r="BJ377" s="825"/>
      <c r="BK377" s="825"/>
      <c r="BL377" s="825"/>
      <c r="BM377" s="825"/>
      <c r="BN377" s="825"/>
      <c r="BO377" s="825"/>
      <c r="BP377" s="825"/>
      <c r="BQ377" s="825"/>
      <c r="BR377" s="825"/>
      <c r="BS377" s="825"/>
      <c r="BT377" s="825"/>
      <c r="BU377" s="825"/>
      <c r="BV377" s="825"/>
      <c r="BW377" s="825"/>
      <c r="BX377" s="825"/>
      <c r="BY377" s="825"/>
      <c r="BZ377" s="825"/>
      <c r="CA377" s="825"/>
      <c r="CB377" s="825"/>
      <c r="CC377" s="825"/>
    </row>
    <row r="378" spans="1:81" s="548" customFormat="1" ht="39.75" customHeight="1" x14ac:dyDescent="0.25">
      <c r="A378" s="273"/>
      <c r="B378" s="672"/>
      <c r="C378" s="1572"/>
      <c r="D378" s="1565"/>
      <c r="E378" s="1565"/>
      <c r="F378" s="1536"/>
      <c r="G378" s="1536"/>
      <c r="H378" s="1536"/>
      <c r="I378" s="1536"/>
      <c r="J378" s="1536"/>
      <c r="K378" s="1042"/>
      <c r="L378" s="1042"/>
      <c r="M378" s="645" t="s">
        <v>489</v>
      </c>
      <c r="N378" s="732" t="str">
        <f>N29</f>
        <v xml:space="preserve">Otorgamiento inapropiado de incentivos </v>
      </c>
      <c r="O378" s="837" t="str">
        <f t="shared" si="10"/>
        <v>Corrupción</v>
      </c>
      <c r="P378" s="544" t="e">
        <f>#REF!</f>
        <v>#REF!</v>
      </c>
      <c r="Q378" s="540" t="str">
        <f>AG10</f>
        <v>Transparencia en incentivos financieros y obras públicas vinculadas a la ERDRBE</v>
      </c>
      <c r="R378" s="540" t="s">
        <v>687</v>
      </c>
      <c r="S378" s="544" t="s">
        <v>507</v>
      </c>
      <c r="T378" s="519" t="str">
        <f>AF10</f>
        <v>SCR2</v>
      </c>
      <c r="U378" s="628"/>
      <c r="V378" s="478"/>
      <c r="W378" s="478"/>
      <c r="X378" s="273"/>
      <c r="Y378" s="825"/>
      <c r="Z378" s="825"/>
      <c r="AA378" s="825"/>
      <c r="AB378" s="825"/>
      <c r="AC378" s="825"/>
      <c r="AD378" s="825"/>
      <c r="AE378" s="825"/>
      <c r="AF378" s="825"/>
      <c r="AG378" s="825"/>
      <c r="AH378" s="825"/>
      <c r="AI378" s="825"/>
      <c r="AJ378" s="825"/>
      <c r="AK378" s="825"/>
      <c r="AL378" s="825"/>
      <c r="AM378" s="825"/>
      <c r="AN378" s="825"/>
      <c r="AO378" s="825"/>
      <c r="AP378" s="825"/>
      <c r="AQ378" s="825"/>
      <c r="AR378" s="825"/>
      <c r="AS378" s="825"/>
      <c r="AT378" s="825"/>
      <c r="AU378" s="825"/>
      <c r="AV378" s="825"/>
      <c r="AW378" s="825"/>
      <c r="AX378" s="825"/>
      <c r="AY378" s="273"/>
      <c r="AZ378" s="273"/>
      <c r="BA378" s="825"/>
      <c r="BB378" s="825"/>
      <c r="BC378" s="825"/>
      <c r="BD378" s="825"/>
      <c r="BE378" s="825"/>
      <c r="BF378" s="825"/>
      <c r="BG378" s="825"/>
      <c r="BH378" s="825"/>
      <c r="BI378" s="825"/>
      <c r="BJ378" s="825"/>
      <c r="BK378" s="825"/>
      <c r="BL378" s="825"/>
      <c r="BM378" s="825"/>
      <c r="BN378" s="825"/>
      <c r="BO378" s="825"/>
      <c r="BP378" s="825"/>
      <c r="BQ378" s="825"/>
      <c r="BR378" s="825"/>
      <c r="BS378" s="825"/>
      <c r="BT378" s="825"/>
      <c r="BU378" s="825"/>
      <c r="BV378" s="825"/>
      <c r="BW378" s="825"/>
      <c r="BX378" s="825"/>
      <c r="BY378" s="825"/>
      <c r="BZ378" s="825"/>
      <c r="CA378" s="825"/>
      <c r="CB378" s="825"/>
      <c r="CC378" s="825"/>
    </row>
    <row r="379" spans="1:81" s="548" customFormat="1" ht="23.3" customHeight="1" x14ac:dyDescent="0.25">
      <c r="A379" s="273"/>
      <c r="B379" s="672"/>
      <c r="C379" s="1572"/>
      <c r="D379" s="1565"/>
      <c r="E379" s="1565"/>
      <c r="F379" s="1536"/>
      <c r="G379" s="1536"/>
      <c r="H379" s="1536"/>
      <c r="I379" s="1536"/>
      <c r="J379" s="1536"/>
      <c r="K379" s="1042"/>
      <c r="L379" s="1042"/>
      <c r="M379" s="645" t="s">
        <v>489</v>
      </c>
      <c r="N379" s="732" t="str">
        <f>N30</f>
        <v>Exclusión de productoras agrarias en sistemas de incentivos financieros</v>
      </c>
      <c r="O379" s="837" t="str">
        <f t="shared" si="10"/>
        <v>Género</v>
      </c>
      <c r="P379" s="544" t="str">
        <f>AC6</f>
        <v>GN</v>
      </c>
      <c r="Q379" s="540" t="str">
        <f>AJ11</f>
        <v xml:space="preserve">Cuotas de género y medición de participación efectiva de mujeres rurales </v>
      </c>
      <c r="R379" s="540" t="s">
        <v>689</v>
      </c>
      <c r="S379" s="544" t="s">
        <v>507</v>
      </c>
      <c r="T379" s="519" t="str">
        <f>AI11</f>
        <v>SGN3</v>
      </c>
      <c r="U379" s="628"/>
      <c r="V379" s="478"/>
      <c r="W379" s="478"/>
      <c r="X379" s="273"/>
      <c r="Y379" s="825"/>
      <c r="Z379" s="825"/>
      <c r="AA379" s="825"/>
      <c r="AB379" s="825"/>
      <c r="AC379" s="825"/>
      <c r="AD379" s="825"/>
      <c r="AE379" s="825"/>
      <c r="AF379" s="825"/>
      <c r="AG379" s="825"/>
      <c r="AH379" s="825"/>
      <c r="AI379" s="825"/>
      <c r="AJ379" s="825"/>
      <c r="AK379" s="825"/>
      <c r="AL379" s="825"/>
      <c r="AM379" s="825"/>
      <c r="AN379" s="825"/>
      <c r="AO379" s="825"/>
      <c r="AP379" s="825"/>
      <c r="AQ379" s="825"/>
      <c r="AR379" s="825"/>
      <c r="AS379" s="825"/>
      <c r="AT379" s="825"/>
      <c r="AU379" s="825"/>
      <c r="AV379" s="825"/>
      <c r="AW379" s="825"/>
      <c r="AX379" s="825"/>
      <c r="AY379" s="273"/>
      <c r="AZ379" s="273"/>
      <c r="BA379" s="825"/>
      <c r="BB379" s="825"/>
      <c r="BC379" s="825"/>
      <c r="BD379" s="825"/>
      <c r="BE379" s="825"/>
      <c r="BF379" s="825"/>
      <c r="BG379" s="825"/>
      <c r="BH379" s="825"/>
      <c r="BI379" s="825"/>
      <c r="BJ379" s="825"/>
      <c r="BK379" s="825"/>
      <c r="BL379" s="825"/>
      <c r="BM379" s="825"/>
      <c r="BN379" s="825"/>
      <c r="BO379" s="825"/>
      <c r="BP379" s="825"/>
      <c r="BQ379" s="825"/>
      <c r="BR379" s="825"/>
      <c r="BS379" s="825"/>
      <c r="BT379" s="825"/>
      <c r="BU379" s="825"/>
      <c r="BV379" s="825"/>
      <c r="BW379" s="825"/>
      <c r="BX379" s="825"/>
      <c r="BY379" s="825"/>
      <c r="BZ379" s="825"/>
      <c r="CA379" s="825"/>
      <c r="CB379" s="825"/>
      <c r="CC379" s="825"/>
    </row>
    <row r="380" spans="1:81" s="548" customFormat="1" ht="32.950000000000003" customHeight="1" x14ac:dyDescent="0.25">
      <c r="A380" s="273"/>
      <c r="B380" s="672"/>
      <c r="C380" s="1572"/>
      <c r="D380" s="1565"/>
      <c r="E380" s="1565"/>
      <c r="F380" s="1536"/>
      <c r="G380" s="1536"/>
      <c r="H380" s="1536"/>
      <c r="I380" s="1536"/>
      <c r="J380" s="1536"/>
      <c r="K380" s="1042"/>
      <c r="L380" s="1042"/>
      <c r="M380" s="645" t="s">
        <v>489</v>
      </c>
      <c r="N380" s="732" t="str">
        <f>N30</f>
        <v>Exclusión de productoras agrarias en sistemas de incentivos financieros</v>
      </c>
      <c r="O380" s="837" t="str">
        <f t="shared" si="10"/>
        <v>Género</v>
      </c>
      <c r="P380" s="544" t="str">
        <f>AC6</f>
        <v>GN</v>
      </c>
      <c r="Q380" s="540" t="str">
        <f>AJ12</f>
        <v>Criterios de evaluación de programas y proyectos con enfoque de género</v>
      </c>
      <c r="R380" s="540" t="s">
        <v>690</v>
      </c>
      <c r="S380" s="544" t="s">
        <v>507</v>
      </c>
      <c r="T380" s="519" t="str">
        <f>AI12</f>
        <v>SGN4</v>
      </c>
      <c r="U380" s="628"/>
      <c r="V380" s="478"/>
      <c r="W380" s="478"/>
      <c r="X380" s="273"/>
      <c r="Y380" s="825"/>
      <c r="Z380" s="825"/>
      <c r="AA380" s="825"/>
      <c r="AB380" s="825"/>
      <c r="AC380" s="825"/>
      <c r="AD380" s="825"/>
      <c r="AE380" s="825"/>
      <c r="AF380" s="825"/>
      <c r="AG380" s="825"/>
      <c r="AH380" s="825"/>
      <c r="AI380" s="825"/>
      <c r="AJ380" s="825"/>
      <c r="AK380" s="825"/>
      <c r="AL380" s="825"/>
      <c r="AM380" s="825"/>
      <c r="AN380" s="825"/>
      <c r="AO380" s="825"/>
      <c r="AP380" s="825"/>
      <c r="AQ380" s="825"/>
      <c r="AR380" s="825"/>
      <c r="AS380" s="825"/>
      <c r="AT380" s="825"/>
      <c r="AU380" s="825"/>
      <c r="AV380" s="825"/>
      <c r="AW380" s="825"/>
      <c r="AX380" s="825"/>
      <c r="AY380" s="273"/>
      <c r="AZ380" s="273"/>
      <c r="BA380" s="825"/>
      <c r="BB380" s="825"/>
      <c r="BC380" s="825"/>
      <c r="BD380" s="825"/>
      <c r="BE380" s="825"/>
      <c r="BF380" s="825"/>
      <c r="BG380" s="825"/>
      <c r="BH380" s="825"/>
      <c r="BI380" s="825"/>
      <c r="BJ380" s="825"/>
      <c r="BK380" s="825"/>
      <c r="BL380" s="825"/>
      <c r="BM380" s="825"/>
      <c r="BN380" s="825"/>
      <c r="BO380" s="825"/>
      <c r="BP380" s="825"/>
      <c r="BQ380" s="825"/>
      <c r="BR380" s="825"/>
      <c r="BS380" s="825"/>
      <c r="BT380" s="825"/>
      <c r="BU380" s="825"/>
      <c r="BV380" s="825"/>
      <c r="BW380" s="825"/>
      <c r="BX380" s="825"/>
      <c r="BY380" s="825"/>
      <c r="BZ380" s="825"/>
      <c r="CA380" s="825"/>
      <c r="CB380" s="825"/>
      <c r="CC380" s="825"/>
    </row>
    <row r="381" spans="1:81" s="548" customFormat="1" ht="27" customHeight="1" x14ac:dyDescent="0.25">
      <c r="A381" s="273"/>
      <c r="B381" s="672"/>
      <c r="C381" s="1572"/>
      <c r="D381" s="1565"/>
      <c r="E381" s="1565"/>
      <c r="F381" s="1536"/>
      <c r="G381" s="1536"/>
      <c r="H381" s="1536"/>
      <c r="I381" s="1536"/>
      <c r="J381" s="1536"/>
      <c r="K381" s="1042"/>
      <c r="L381" s="1042"/>
      <c r="M381" s="645" t="s">
        <v>489</v>
      </c>
      <c r="N381" s="732" t="str">
        <f>N30</f>
        <v>Exclusión de productoras agrarias en sistemas de incentivos financieros</v>
      </c>
      <c r="O381" s="837" t="str">
        <f t="shared" si="10"/>
        <v>Género</v>
      </c>
      <c r="P381" s="544" t="str">
        <f>AC6</f>
        <v>GN</v>
      </c>
      <c r="Q381" s="540" t="str">
        <f>AJ13</f>
        <v>Programas de incentivos financieros y no financieros para el desarrollo rural para mujeres rurales</v>
      </c>
      <c r="R381" s="540" t="s">
        <v>693</v>
      </c>
      <c r="S381" s="544" t="s">
        <v>492</v>
      </c>
      <c r="T381" s="519" t="str">
        <f>AI13</f>
        <v>SGN5</v>
      </c>
      <c r="U381" s="628"/>
      <c r="V381" s="478"/>
      <c r="W381" s="478"/>
      <c r="X381" s="273"/>
      <c r="Y381" s="825"/>
      <c r="Z381" s="825"/>
      <c r="AA381" s="825"/>
      <c r="AB381" s="825"/>
      <c r="AC381" s="825"/>
      <c r="AD381" s="825"/>
      <c r="AE381" s="825"/>
      <c r="AF381" s="825"/>
      <c r="AG381" s="825"/>
      <c r="AH381" s="825"/>
      <c r="AI381" s="825"/>
      <c r="AJ381" s="825"/>
      <c r="AK381" s="825"/>
      <c r="AL381" s="825"/>
      <c r="AM381" s="825"/>
      <c r="AN381" s="825"/>
      <c r="AO381" s="825"/>
      <c r="AP381" s="825"/>
      <c r="AQ381" s="825"/>
      <c r="AR381" s="825"/>
      <c r="AS381" s="825"/>
      <c r="AT381" s="825"/>
      <c r="AU381" s="825"/>
      <c r="AV381" s="825"/>
      <c r="AW381" s="825"/>
      <c r="AX381" s="825"/>
      <c r="AY381" s="273"/>
      <c r="AZ381" s="273"/>
      <c r="BA381" s="825"/>
      <c r="BB381" s="825"/>
      <c r="BC381" s="825"/>
      <c r="BD381" s="825"/>
      <c r="BE381" s="825"/>
      <c r="BF381" s="825"/>
      <c r="BG381" s="825"/>
      <c r="BH381" s="825"/>
      <c r="BI381" s="825"/>
      <c r="BJ381" s="825"/>
      <c r="BK381" s="825"/>
      <c r="BL381" s="825"/>
      <c r="BM381" s="825"/>
      <c r="BN381" s="825"/>
      <c r="BO381" s="825"/>
      <c r="BP381" s="825"/>
      <c r="BQ381" s="825"/>
      <c r="BR381" s="825"/>
      <c r="BS381" s="825"/>
      <c r="BT381" s="825"/>
      <c r="BU381" s="825"/>
      <c r="BV381" s="825"/>
      <c r="BW381" s="825"/>
      <c r="BX381" s="825"/>
      <c r="BY381" s="825"/>
      <c r="BZ381" s="825"/>
      <c r="CA381" s="825"/>
      <c r="CB381" s="825"/>
      <c r="CC381" s="825"/>
    </row>
    <row r="382" spans="1:81" s="548" customFormat="1" ht="44.35" customHeight="1" x14ac:dyDescent="0.25">
      <c r="A382" s="273"/>
      <c r="B382" s="672"/>
      <c r="C382" s="1573"/>
      <c r="D382" s="1566"/>
      <c r="E382" s="1566"/>
      <c r="F382" s="1543"/>
      <c r="G382" s="1543"/>
      <c r="H382" s="1543"/>
      <c r="I382" s="1543"/>
      <c r="J382" s="1543"/>
      <c r="K382" s="1034"/>
      <c r="L382" s="1034"/>
      <c r="M382" s="645" t="s">
        <v>489</v>
      </c>
      <c r="N382" s="732" t="str">
        <f>N33</f>
        <v>Actividad agropecuaria no se desarrolla de manera óptima debido a cambios en las condiciones agroecologicas por el cambio climático</v>
      </c>
      <c r="O382" s="837" t="str">
        <f t="shared" si="10"/>
        <v>Vulnerabilidad al cambio climático</v>
      </c>
      <c r="P382" s="544" t="e">
        <f>#REF!</f>
        <v>#REF!</v>
      </c>
      <c r="Q382" s="540" t="str">
        <f>AS11</f>
        <v>Análisis de rentabilidad de la actividad agropecuaria en los programas de reconversión productiva</v>
      </c>
      <c r="R382" s="540" t="s">
        <v>695</v>
      </c>
      <c r="S382" s="544" t="s">
        <v>507</v>
      </c>
      <c r="T382" s="519" t="str">
        <f>AR11</f>
        <v>SVCC3</v>
      </c>
      <c r="U382" s="628"/>
      <c r="V382" s="478"/>
      <c r="W382" s="478"/>
      <c r="X382" s="273"/>
      <c r="Y382" s="825"/>
      <c r="Z382" s="825"/>
      <c r="AA382" s="825"/>
      <c r="AB382" s="825"/>
      <c r="AC382" s="825"/>
      <c r="AD382" s="825"/>
      <c r="AE382" s="825"/>
      <c r="AF382" s="825"/>
      <c r="AG382" s="825"/>
      <c r="AH382" s="825"/>
      <c r="AI382" s="825"/>
      <c r="AJ382" s="825"/>
      <c r="AK382" s="825"/>
      <c r="AL382" s="825"/>
      <c r="AM382" s="825"/>
      <c r="AN382" s="825"/>
      <c r="AO382" s="825"/>
      <c r="AP382" s="825"/>
      <c r="AQ382" s="825"/>
      <c r="AR382" s="825"/>
      <c r="AS382" s="825"/>
      <c r="AT382" s="825"/>
      <c r="AU382" s="825"/>
      <c r="AV382" s="825"/>
      <c r="AW382" s="825"/>
      <c r="AX382" s="825"/>
      <c r="AY382" s="273"/>
      <c r="AZ382" s="273"/>
      <c r="BA382" s="825"/>
      <c r="BB382" s="825"/>
      <c r="BC382" s="825"/>
      <c r="BD382" s="825"/>
      <c r="BE382" s="825"/>
      <c r="BF382" s="825"/>
      <c r="BG382" s="825"/>
      <c r="BH382" s="825"/>
      <c r="BI382" s="825"/>
      <c r="BJ382" s="825"/>
      <c r="BK382" s="825"/>
      <c r="BL382" s="825"/>
      <c r="BM382" s="825"/>
      <c r="BN382" s="825"/>
      <c r="BO382" s="825"/>
      <c r="BP382" s="825"/>
      <c r="BQ382" s="825"/>
      <c r="BR382" s="825"/>
      <c r="BS382" s="825"/>
      <c r="BT382" s="825"/>
      <c r="BU382" s="825"/>
      <c r="BV382" s="825"/>
      <c r="BW382" s="825"/>
      <c r="BX382" s="825"/>
      <c r="BY382" s="825"/>
      <c r="BZ382" s="825"/>
      <c r="CA382" s="825"/>
      <c r="CB382" s="825"/>
      <c r="CC382" s="825"/>
    </row>
    <row r="383" spans="1:81" ht="146.25" customHeight="1" x14ac:dyDescent="0.25">
      <c r="A383" s="273"/>
      <c r="B383" s="672" t="s">
        <v>873</v>
      </c>
      <c r="C383" s="842" t="str">
        <f>'8. BASE  CONSOLIDADA'!E236</f>
        <v>3.3.6</v>
      </c>
      <c r="D383" s="1076" t="str">
        <f>'8. BASE  CONSOLIDADA'!F236</f>
        <v>Promoción de modelos asociativos sostenibles</v>
      </c>
      <c r="E383" s="1069" t="str">
        <f>'8. BASE  CONSOLIDADA'!G236</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383" s="836" t="str">
        <f>'8. BASE  CONSOLIDADA'!C236</f>
        <v>Predios privados para ganadería de leche y carne</v>
      </c>
      <c r="G383" s="1019" t="str">
        <f>VLOOKUP($C383,'8. BASE  CONSOLIDADA'!$E$7:$AS$308,13,FALSE)</f>
        <v>Organizaciones fortalecidas</v>
      </c>
      <c r="H383" s="1109">
        <f>VLOOKUP($C383,'8. BASE  CONSOLIDADA'!$E$7:$AS$308,15,FALSE)</f>
        <v>8</v>
      </c>
      <c r="I383" s="1058">
        <f>VLOOKUP(C383,'8. BASE  CONSOLIDADA'!$E$7:$AS$308,20,FALSE)</f>
        <v>4800000</v>
      </c>
      <c r="J383" s="678">
        <f>I383*$J$6</f>
        <v>3264.0000000000005</v>
      </c>
      <c r="K383" s="1020"/>
      <c r="L383" s="1029"/>
      <c r="M383" s="645" t="s">
        <v>489</v>
      </c>
      <c r="N383" s="732" t="str">
        <f>N16</f>
        <v>Exclusión de mujeres rurales en programas de asistencia técnica</v>
      </c>
      <c r="O383" s="837" t="str">
        <f t="shared" si="10"/>
        <v>Género</v>
      </c>
      <c r="P383" s="544" t="str">
        <f>AC6</f>
        <v>GN</v>
      </c>
      <c r="Q383" s="540" t="str">
        <f>AJ10</f>
        <v>Programas de asistencia técnica y proyectos específicos para mujeres rurales y mujeres indígenas</v>
      </c>
      <c r="R383" s="540" t="s">
        <v>596</v>
      </c>
      <c r="S383" s="544" t="s">
        <v>507</v>
      </c>
      <c r="T383" s="519" t="str">
        <f>AI10</f>
        <v>SGN2</v>
      </c>
      <c r="U383" s="628"/>
      <c r="V383" s="478"/>
      <c r="W383" s="478"/>
      <c r="X383" s="273"/>
      <c r="Y383" s="825"/>
      <c r="Z383" s="825"/>
      <c r="AA383" s="825"/>
      <c r="AB383" s="825"/>
      <c r="AC383" s="825"/>
      <c r="AD383" s="825"/>
      <c r="AE383" s="825"/>
      <c r="AF383" s="825"/>
      <c r="AG383" s="825"/>
      <c r="AH383" s="825"/>
      <c r="AI383" s="825"/>
      <c r="AJ383" s="825"/>
      <c r="AK383" s="825"/>
      <c r="AL383" s="825"/>
      <c r="AM383" s="825"/>
      <c r="AN383" s="825"/>
      <c r="AO383" s="825"/>
      <c r="AP383" s="825"/>
      <c r="AQ383" s="825"/>
      <c r="AR383" s="825"/>
      <c r="AS383" s="825"/>
      <c r="AT383" s="825"/>
      <c r="AU383" s="825"/>
      <c r="AV383" s="825"/>
      <c r="AW383" s="825"/>
      <c r="AX383" s="825"/>
      <c r="BA383" s="825"/>
      <c r="BB383" s="825"/>
      <c r="BC383" s="825"/>
      <c r="BD383" s="825"/>
      <c r="BE383" s="825"/>
      <c r="BF383" s="825"/>
      <c r="BG383" s="825"/>
      <c r="BH383" s="825"/>
      <c r="BI383" s="825"/>
      <c r="BJ383" s="825"/>
      <c r="BK383" s="825"/>
      <c r="BL383" s="825"/>
      <c r="BM383" s="825"/>
      <c r="BN383" s="825"/>
      <c r="BO383" s="825"/>
      <c r="BP383" s="825"/>
      <c r="BQ383" s="825"/>
      <c r="BR383" s="825"/>
      <c r="BS383" s="825"/>
      <c r="BT383" s="825"/>
      <c r="BU383" s="825"/>
      <c r="BV383" s="825"/>
      <c r="BW383" s="825"/>
      <c r="BX383" s="825"/>
      <c r="BY383" s="825"/>
      <c r="BZ383" s="825"/>
      <c r="CA383" s="825"/>
      <c r="CB383" s="825"/>
      <c r="CC383" s="825"/>
    </row>
    <row r="384" spans="1:81" ht="34.5" customHeight="1" x14ac:dyDescent="0.25">
      <c r="A384" s="273"/>
      <c r="B384" s="672" t="s">
        <v>873</v>
      </c>
      <c r="C384" s="1571" t="str">
        <f>'8. BASE  CONSOLIDADA'!E229</f>
        <v>3.2.7</v>
      </c>
      <c r="D384" s="1077" t="str">
        <f>'8. BASE  CONSOLIDADA'!F229</f>
        <v>Implementación de infraestructura productiva baja en emisiones</v>
      </c>
      <c r="E384" s="1564" t="str">
        <f>'8. BASE  CONSOLIDADA'!G229</f>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v>
      </c>
      <c r="F384" s="1538" t="str">
        <f>'8. BASE  CONSOLIDADA'!C229</f>
        <v xml:space="preserve">Predios privados dedicados a la producción comercial (arroz) </v>
      </c>
      <c r="G384" s="1019" t="str">
        <f>VLOOKUP($C384,'8. BASE  CONSOLIDADA'!$E$7:$AS$308,13,FALSE)</f>
        <v>Planes de negocios ejecutados</v>
      </c>
      <c r="H384" s="1109">
        <f>VLOOKUP($C384,'8. BASE  CONSOLIDADA'!$E$7:$AS$308,15,FALSE)</f>
        <v>2</v>
      </c>
      <c r="I384" s="1058">
        <f>VLOOKUP(C384,'8. BASE  CONSOLIDADA'!$E$7:$AS$308,20,FALSE)</f>
        <v>150000</v>
      </c>
      <c r="J384" s="678">
        <f>I384*$J$6</f>
        <v>102.00000000000001</v>
      </c>
      <c r="K384" s="1020"/>
      <c r="L384" s="1030"/>
      <c r="M384" s="645" t="s">
        <v>489</v>
      </c>
      <c r="N384" s="732" t="str">
        <f>N34</f>
        <v>Incremento de la deforestación por demanda de insumos e instalación de infraestructura y vias de comunicación</v>
      </c>
      <c r="O384" s="837" t="str">
        <f t="shared" si="10"/>
        <v>Biodiversidad y recursos naturales</v>
      </c>
      <c r="P384" s="544" t="e">
        <f>#REF!</f>
        <v>#REF!</v>
      </c>
      <c r="Q384" s="540" t="str">
        <f>AA14</f>
        <v>Desarrollo de incentivos financieros y no financieros condicionados con cláusulas de no deforestación</v>
      </c>
      <c r="R384" s="540" t="s">
        <v>673</v>
      </c>
      <c r="S384" s="540" t="s">
        <v>526</v>
      </c>
      <c r="T384" s="519" t="str">
        <f>Z14</f>
        <v>SBRN6</v>
      </c>
      <c r="U384" s="628"/>
      <c r="V384" s="478"/>
      <c r="W384" s="478"/>
      <c r="X384" s="273"/>
      <c r="Y384" s="825"/>
      <c r="Z384" s="825"/>
      <c r="AA384" s="825"/>
      <c r="AB384" s="825"/>
      <c r="AC384" s="825"/>
      <c r="AD384" s="825"/>
      <c r="AE384" s="825"/>
      <c r="AF384" s="825"/>
      <c r="AG384" s="825"/>
      <c r="AH384" s="825"/>
      <c r="AI384" s="825"/>
      <c r="AJ384" s="825"/>
      <c r="AK384" s="825"/>
      <c r="AL384" s="825"/>
      <c r="AM384" s="825"/>
      <c r="AN384" s="825"/>
      <c r="AO384" s="825"/>
      <c r="AP384" s="825"/>
      <c r="AQ384" s="825"/>
      <c r="AR384" s="825"/>
      <c r="AS384" s="825"/>
      <c r="AT384" s="825"/>
      <c r="AU384" s="825"/>
      <c r="AV384" s="825"/>
      <c r="AW384" s="825"/>
      <c r="AX384" s="825"/>
      <c r="BA384" s="825"/>
      <c r="BB384" s="825"/>
      <c r="BC384" s="825"/>
      <c r="BD384" s="825"/>
      <c r="BE384" s="825"/>
      <c r="BF384" s="825"/>
      <c r="BG384" s="825"/>
      <c r="BH384" s="825"/>
      <c r="BI384" s="825"/>
      <c r="BJ384" s="825"/>
      <c r="BK384" s="825"/>
      <c r="BL384" s="825"/>
      <c r="BM384" s="825"/>
      <c r="BN384" s="825"/>
      <c r="BO384" s="825"/>
      <c r="BP384" s="825"/>
      <c r="BQ384" s="825"/>
      <c r="BR384" s="825"/>
      <c r="BS384" s="825"/>
      <c r="BT384" s="825"/>
      <c r="BU384" s="825"/>
      <c r="BV384" s="825"/>
      <c r="BW384" s="825"/>
      <c r="BX384" s="825"/>
      <c r="BY384" s="825"/>
      <c r="BZ384" s="825"/>
      <c r="CA384" s="825"/>
      <c r="CB384" s="825"/>
      <c r="CC384" s="825"/>
    </row>
    <row r="385" spans="1:81" s="548" customFormat="1" ht="21.1" customHeight="1" x14ac:dyDescent="0.25">
      <c r="A385" s="273"/>
      <c r="B385" s="672"/>
      <c r="C385" s="1572"/>
      <c r="D385" s="1078"/>
      <c r="E385" s="1565"/>
      <c r="F385" s="1539"/>
      <c r="G385" s="1094"/>
      <c r="H385" s="1115"/>
      <c r="I385" s="1058"/>
      <c r="J385" s="678"/>
      <c r="K385" s="1028"/>
      <c r="L385" s="1027"/>
      <c r="M385" s="645" t="s">
        <v>489</v>
      </c>
      <c r="N385" s="732" t="str">
        <f>N28</f>
        <v>Contaminación por residuos agropecuarios</v>
      </c>
      <c r="O385" s="837" t="str">
        <f t="shared" si="10"/>
        <v>Contaminación</v>
      </c>
      <c r="P385" s="544" t="e">
        <f>#REF!</f>
        <v>#REF!</v>
      </c>
      <c r="Q385" s="540" t="str">
        <f>AM10</f>
        <v>Control de residuos agropecuarios</v>
      </c>
      <c r="R385" s="540" t="s">
        <v>535</v>
      </c>
      <c r="S385" s="544" t="s">
        <v>492</v>
      </c>
      <c r="T385" s="519" t="str">
        <f>AL10</f>
        <v>SCT2</v>
      </c>
      <c r="U385" s="628"/>
      <c r="V385" s="478"/>
      <c r="W385" s="478"/>
      <c r="X385" s="273"/>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c r="AT385" s="825"/>
      <c r="AU385" s="825"/>
      <c r="AV385" s="825"/>
      <c r="AW385" s="825"/>
      <c r="AX385" s="825"/>
      <c r="AY385" s="273"/>
      <c r="AZ385" s="273"/>
      <c r="BA385" s="825"/>
      <c r="BB385" s="825"/>
      <c r="BC385" s="825"/>
      <c r="BD385" s="825"/>
      <c r="BE385" s="825"/>
      <c r="BF385" s="825"/>
      <c r="BG385" s="825"/>
      <c r="BH385" s="825"/>
      <c r="BI385" s="825"/>
      <c r="BJ385" s="825"/>
      <c r="BK385" s="825"/>
      <c r="BL385" s="825"/>
      <c r="BM385" s="825"/>
      <c r="BN385" s="825"/>
      <c r="BO385" s="825"/>
      <c r="BP385" s="825"/>
      <c r="BQ385" s="825"/>
      <c r="BR385" s="825"/>
      <c r="BS385" s="825"/>
      <c r="BT385" s="825"/>
      <c r="BU385" s="825"/>
      <c r="BV385" s="825"/>
      <c r="BW385" s="825"/>
      <c r="BX385" s="825"/>
      <c r="BY385" s="825"/>
      <c r="BZ385" s="825"/>
      <c r="CA385" s="825"/>
      <c r="CB385" s="825"/>
      <c r="CC385" s="825"/>
    </row>
    <row r="386" spans="1:81" s="548" customFormat="1" ht="43.5" customHeight="1" x14ac:dyDescent="0.25">
      <c r="A386" s="273"/>
      <c r="B386" s="672"/>
      <c r="C386" s="1573"/>
      <c r="D386" s="1079"/>
      <c r="E386" s="1566"/>
      <c r="F386" s="1560"/>
      <c r="G386" s="1093"/>
      <c r="H386" s="1114"/>
      <c r="I386" s="1061"/>
      <c r="J386" s="679"/>
      <c r="K386" s="1021"/>
      <c r="L386" s="1029"/>
      <c r="M386" s="645" t="s">
        <v>489</v>
      </c>
      <c r="N386" s="732" t="str">
        <f>N36</f>
        <v>Colución, Cohecho y negociación incompatible</v>
      </c>
      <c r="O386" s="837" t="str">
        <f t="shared" si="10"/>
        <v>Corrupción</v>
      </c>
      <c r="P386" s="544" t="e">
        <f>#REF!</f>
        <v>#REF!</v>
      </c>
      <c r="Q386" s="540" t="str">
        <f>AG10</f>
        <v>Transparencia en incentivos financieros y obras públicas vinculadas a la ERDRBE</v>
      </c>
      <c r="R386" s="540" t="s">
        <v>687</v>
      </c>
      <c r="S386" s="544" t="s">
        <v>507</v>
      </c>
      <c r="T386" s="519" t="str">
        <f>AF10</f>
        <v>SCR2</v>
      </c>
      <c r="U386" s="628"/>
      <c r="V386" s="478"/>
      <c r="W386" s="478"/>
      <c r="X386" s="273"/>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c r="AT386" s="825"/>
      <c r="AU386" s="825"/>
      <c r="AV386" s="825"/>
      <c r="AW386" s="825"/>
      <c r="AX386" s="825"/>
      <c r="AY386" s="273"/>
      <c r="AZ386" s="273"/>
      <c r="BA386" s="825"/>
      <c r="BB386" s="825"/>
      <c r="BC386" s="825"/>
      <c r="BD386" s="825"/>
      <c r="BE386" s="825"/>
      <c r="BF386" s="825"/>
      <c r="BG386" s="825"/>
      <c r="BH386" s="825"/>
      <c r="BI386" s="825"/>
      <c r="BJ386" s="825"/>
      <c r="BK386" s="825"/>
      <c r="BL386" s="825"/>
      <c r="BM386" s="825"/>
      <c r="BN386" s="825"/>
      <c r="BO386" s="825"/>
      <c r="BP386" s="825"/>
      <c r="BQ386" s="825"/>
      <c r="BR386" s="825"/>
      <c r="BS386" s="825"/>
      <c r="BT386" s="825"/>
      <c r="BU386" s="825"/>
      <c r="BV386" s="825"/>
      <c r="BW386" s="825"/>
      <c r="BX386" s="825"/>
      <c r="BY386" s="825"/>
      <c r="BZ386" s="825"/>
      <c r="CA386" s="825"/>
      <c r="CB386" s="825"/>
      <c r="CC386" s="825"/>
    </row>
    <row r="387" spans="1:81" ht="59.95" customHeight="1" x14ac:dyDescent="0.25">
      <c r="A387" s="273"/>
      <c r="B387" s="672" t="s">
        <v>873</v>
      </c>
      <c r="C387" s="1618" t="str">
        <f>'8. BASE  CONSOLIDADA'!E239</f>
        <v>3.4.1</v>
      </c>
      <c r="D387" s="1663" t="str">
        <f>'8. BASE  CONSOLIDADA'!F239</f>
        <v>Otorgamiento de derechos sobre la tierra/bosques</v>
      </c>
      <c r="E387" s="1538" t="str">
        <f>'8. BASE  CONSOLIDADA'!G239</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387" s="1538" t="str">
        <f>'8. BASE  CONSOLIDADA'!C239</f>
        <v>Empresas comercializadoras de palma y sus derivados.</v>
      </c>
      <c r="G387" s="1538" t="str">
        <f>VLOOKUP($C387,'8. BASE  CONSOLIDADA'!$E$7:$AS$308,13,FALSE)</f>
        <v>N° Títulos/Contratos otorgados</v>
      </c>
      <c r="H387" s="1538">
        <f>VLOOKUP($C387,'8. BASE  CONSOLIDADA'!$E$7:$AS$308,15,FALSE)</f>
        <v>582.56326293925508</v>
      </c>
      <c r="I387" s="1538">
        <f>VLOOKUP(C387,'8. BASE  CONSOLIDADA'!$E$7:$AS$308,20,FALSE)</f>
        <v>1165126.5258785102</v>
      </c>
      <c r="J387" s="1538">
        <f>I387*$J$6</f>
        <v>792.28603759738701</v>
      </c>
      <c r="K387" s="1538"/>
      <c r="L387" s="1538"/>
      <c r="M387" s="645" t="s">
        <v>489</v>
      </c>
      <c r="N387" s="732" t="str">
        <f>N8</f>
        <v>Otorgamiento de titulos de propiedad en tierras de aptitud forestal o protección con cobertura de bosques</v>
      </c>
      <c r="O387" s="837" t="str">
        <f t="shared" si="10"/>
        <v>Biodiversidad y recursos naturales</v>
      </c>
      <c r="P387" s="544" t="e">
        <f>#REF!</f>
        <v>#REF!</v>
      </c>
      <c r="Q387" s="540" t="str">
        <f>AA9</f>
        <v>Realizar estudios de suelos para determinar la capacidad de uso mayor de los suelos como parte de los procesos de formalización de la propiedad rural</v>
      </c>
      <c r="R387" s="540" t="s">
        <v>491</v>
      </c>
      <c r="S387" s="544" t="s">
        <v>492</v>
      </c>
      <c r="T387" s="519" t="str">
        <f>Z9</f>
        <v>SBRN1</v>
      </c>
      <c r="U387" s="628"/>
      <c r="V387" s="478"/>
      <c r="W387" s="478"/>
      <c r="X387" s="273"/>
      <c r="Y387" s="825"/>
      <c r="Z387" s="825"/>
      <c r="AA387" s="825"/>
      <c r="AB387" s="825"/>
      <c r="AC387" s="825"/>
      <c r="AD387" s="825"/>
      <c r="AE387" s="825"/>
      <c r="AF387" s="825"/>
      <c r="AG387" s="825"/>
      <c r="AH387" s="825"/>
      <c r="AI387" s="825"/>
      <c r="AJ387" s="825"/>
      <c r="AK387" s="825"/>
      <c r="AL387" s="825"/>
      <c r="AM387" s="825"/>
      <c r="AN387" s="825"/>
      <c r="AO387" s="825"/>
      <c r="AP387" s="825"/>
      <c r="AQ387" s="825"/>
      <c r="AR387" s="825"/>
      <c r="AS387" s="825"/>
      <c r="AT387" s="825"/>
      <c r="AU387" s="825"/>
      <c r="AV387" s="825"/>
      <c r="AW387" s="825"/>
      <c r="AX387" s="825"/>
      <c r="BA387" s="825"/>
      <c r="BB387" s="825"/>
      <c r="BC387" s="825"/>
      <c r="BD387" s="825"/>
      <c r="BE387" s="825"/>
      <c r="BF387" s="825"/>
      <c r="BG387" s="825"/>
      <c r="BH387" s="825"/>
      <c r="BI387" s="825"/>
      <c r="BJ387" s="825"/>
      <c r="BK387" s="825"/>
      <c r="BL387" s="825"/>
      <c r="BM387" s="825"/>
      <c r="BN387" s="825"/>
      <c r="BO387" s="825"/>
      <c r="BP387" s="825"/>
      <c r="BQ387" s="825"/>
      <c r="BR387" s="825"/>
      <c r="BS387" s="825"/>
      <c r="BT387" s="825"/>
      <c r="BU387" s="825"/>
      <c r="BV387" s="825"/>
      <c r="BW387" s="825"/>
      <c r="BX387" s="825"/>
      <c r="BY387" s="825"/>
      <c r="BZ387" s="825"/>
      <c r="CA387" s="825"/>
      <c r="CB387" s="825"/>
      <c r="CC387" s="825"/>
    </row>
    <row r="388" spans="1:81" s="548" customFormat="1" ht="35.35" customHeight="1" x14ac:dyDescent="0.25">
      <c r="A388" s="273"/>
      <c r="B388" s="672"/>
      <c r="C388" s="1666"/>
      <c r="D388" s="1664"/>
      <c r="E388" s="1539"/>
      <c r="F388" s="1539"/>
      <c r="G388" s="1539"/>
      <c r="H388" s="1539"/>
      <c r="I388" s="1539"/>
      <c r="J388" s="1539"/>
      <c r="K388" s="1539"/>
      <c r="L388" s="1539"/>
      <c r="M388" s="645" t="s">
        <v>489</v>
      </c>
      <c r="N388" s="730" t="str">
        <f>N9</f>
        <v>Otorgamiento de titulos de propiedad en tierras de aptitud  A y C con cobertura de bosques</v>
      </c>
      <c r="O388" s="837" t="str">
        <f t="shared" si="10"/>
        <v>Biodiversidad y recursos naturales</v>
      </c>
      <c r="P388" s="544" t="e">
        <f>#REF!</f>
        <v>#REF!</v>
      </c>
      <c r="Q388" s="540" t="str">
        <f>AA10</f>
        <v>Implementar el procedimiento de cambio de uso actual de tierras A y C con cobertura de bosques para formalización de propiedad rural considerado en la Ley Forestal y de Fauna Silvestre (Ley No 29736)</v>
      </c>
      <c r="R388" s="540" t="s">
        <v>506</v>
      </c>
      <c r="S388" s="544" t="s">
        <v>507</v>
      </c>
      <c r="T388" s="519" t="str">
        <f>Z10</f>
        <v>SBRN2</v>
      </c>
      <c r="U388" s="628"/>
      <c r="V388" s="478"/>
      <c r="W388" s="478"/>
      <c r="X388" s="273"/>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c r="AT388" s="825"/>
      <c r="AU388" s="825"/>
      <c r="AV388" s="825"/>
      <c r="AW388" s="825"/>
      <c r="AX388" s="825"/>
      <c r="AY388" s="273"/>
      <c r="AZ388" s="273"/>
      <c r="BA388" s="825"/>
      <c r="BB388" s="825"/>
      <c r="BC388" s="825"/>
      <c r="BD388" s="825"/>
      <c r="BE388" s="825"/>
      <c r="BF388" s="825"/>
      <c r="BG388" s="825"/>
      <c r="BH388" s="825"/>
      <c r="BI388" s="825"/>
      <c r="BJ388" s="825"/>
      <c r="BK388" s="825"/>
      <c r="BL388" s="825"/>
      <c r="BM388" s="825"/>
      <c r="BN388" s="825"/>
      <c r="BO388" s="825"/>
      <c r="BP388" s="825"/>
      <c r="BQ388" s="825"/>
      <c r="BR388" s="825"/>
      <c r="BS388" s="825"/>
      <c r="BT388" s="825"/>
      <c r="BU388" s="825"/>
      <c r="BV388" s="825"/>
      <c r="BW388" s="825"/>
      <c r="BX388" s="825"/>
      <c r="BY388" s="825"/>
      <c r="BZ388" s="825"/>
      <c r="CA388" s="825"/>
      <c r="CB388" s="825"/>
      <c r="CC388" s="825"/>
    </row>
    <row r="389" spans="1:81" s="548" customFormat="1" ht="33.799999999999997" customHeight="1" x14ac:dyDescent="0.25">
      <c r="A389" s="273"/>
      <c r="B389" s="672"/>
      <c r="C389" s="1666"/>
      <c r="D389" s="1664"/>
      <c r="E389" s="1539"/>
      <c r="F389" s="1539"/>
      <c r="G389" s="1539"/>
      <c r="H389" s="1539"/>
      <c r="I389" s="1539"/>
      <c r="J389" s="1539"/>
      <c r="K389" s="1539"/>
      <c r="L389" s="1539"/>
      <c r="M389" s="645" t="s">
        <v>489</v>
      </c>
      <c r="N389" s="730" t="str">
        <f>N9</f>
        <v>Otorgamiento de titulos de propiedad en tierras de aptitud  A y C con cobertura de bosques</v>
      </c>
      <c r="O389" s="837" t="str">
        <f t="shared" si="10"/>
        <v>Biodiversidad y recursos naturales</v>
      </c>
      <c r="P389" s="544" t="str">
        <f>Z6</f>
        <v>DPI</v>
      </c>
      <c r="Q389" s="540" t="str">
        <f>AA11</f>
        <v>Fortalecer las capacidades de la población local para que conozcan el marco legal sobre los derechos sobre la tierra y los bosques</v>
      </c>
      <c r="R389" s="540" t="s">
        <v>525</v>
      </c>
      <c r="S389" s="540" t="s">
        <v>526</v>
      </c>
      <c r="T389" s="519" t="str">
        <f>Z11</f>
        <v>SBRN3</v>
      </c>
      <c r="U389" s="628"/>
      <c r="V389" s="478"/>
      <c r="W389" s="478"/>
      <c r="X389" s="273"/>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c r="AT389" s="825"/>
      <c r="AU389" s="825"/>
      <c r="AV389" s="825"/>
      <c r="AW389" s="825"/>
      <c r="AX389" s="825"/>
      <c r="AY389" s="273"/>
      <c r="AZ389" s="273"/>
      <c r="BA389" s="825"/>
      <c r="BB389" s="825"/>
      <c r="BC389" s="825"/>
      <c r="BD389" s="825"/>
      <c r="BE389" s="825"/>
      <c r="BF389" s="825"/>
      <c r="BG389" s="825"/>
      <c r="BH389" s="825"/>
      <c r="BI389" s="825"/>
      <c r="BJ389" s="825"/>
      <c r="BK389" s="825"/>
      <c r="BL389" s="825"/>
      <c r="BM389" s="825"/>
      <c r="BN389" s="825"/>
      <c r="BO389" s="825"/>
      <c r="BP389" s="825"/>
      <c r="BQ389" s="825"/>
      <c r="BR389" s="825"/>
      <c r="BS389" s="825"/>
      <c r="BT389" s="825"/>
      <c r="BU389" s="825"/>
      <c r="BV389" s="825"/>
      <c r="BW389" s="825"/>
      <c r="BX389" s="825"/>
      <c r="BY389" s="825"/>
      <c r="BZ389" s="825"/>
      <c r="CA389" s="825"/>
      <c r="CB389" s="825"/>
      <c r="CC389" s="825"/>
    </row>
    <row r="390" spans="1:81" s="548" customFormat="1" ht="59.95" customHeight="1" x14ac:dyDescent="0.25">
      <c r="A390" s="273"/>
      <c r="B390" s="672"/>
      <c r="C390" s="1666"/>
      <c r="D390" s="1664"/>
      <c r="E390" s="1539"/>
      <c r="F390" s="1539"/>
      <c r="G390" s="1539"/>
      <c r="H390" s="1539"/>
      <c r="I390" s="1539"/>
      <c r="J390" s="1539"/>
      <c r="K390" s="1539"/>
      <c r="L390" s="1539"/>
      <c r="M390" s="645" t="s">
        <v>489</v>
      </c>
      <c r="N390" s="732" t="str">
        <f>N10</f>
        <v>Superposición de áreas a ser tituladas individualmente con áreas solicitadas por pueblos indígenas</v>
      </c>
      <c r="O390" s="837" t="str">
        <f t="shared" si="10"/>
        <v>Derechos de los pueblos indígenas</v>
      </c>
      <c r="P390" s="544" t="str">
        <f>Z6</f>
        <v>DPI</v>
      </c>
      <c r="Q390" s="540" t="str">
        <f>AD9</f>
        <v>Evaluación de superposiciones de solicitudes de titulación de predios rurales con solicitudes de pueblos indígenas (como parte del proceso de titulación de un predio rural individual)</v>
      </c>
      <c r="R390" s="540" t="s">
        <v>541</v>
      </c>
      <c r="S390" s="540" t="s">
        <v>542</v>
      </c>
      <c r="T390" s="519" t="str">
        <f>AC9</f>
        <v>SDPI1</v>
      </c>
      <c r="U390" s="628"/>
      <c r="V390" s="478"/>
      <c r="W390" s="478"/>
      <c r="X390" s="273"/>
      <c r="Y390" s="825"/>
      <c r="Z390" s="825"/>
      <c r="AA390" s="825"/>
      <c r="AB390" s="825"/>
      <c r="AC390" s="825"/>
      <c r="AD390" s="825"/>
      <c r="AE390" s="825"/>
      <c r="AF390" s="825"/>
      <c r="AG390" s="825"/>
      <c r="AH390" s="825"/>
      <c r="AI390" s="825"/>
      <c r="AJ390" s="825"/>
      <c r="AK390" s="825"/>
      <c r="AL390" s="825"/>
      <c r="AM390" s="825"/>
      <c r="AN390" s="825"/>
      <c r="AO390" s="825"/>
      <c r="AP390" s="825"/>
      <c r="AQ390" s="825"/>
      <c r="AR390" s="825"/>
      <c r="AS390" s="825"/>
      <c r="AT390" s="825"/>
      <c r="AU390" s="825"/>
      <c r="AV390" s="825"/>
      <c r="AW390" s="825"/>
      <c r="AX390" s="825"/>
      <c r="AY390" s="273"/>
      <c r="AZ390" s="273"/>
      <c r="BA390" s="825"/>
      <c r="BB390" s="825"/>
      <c r="BC390" s="825"/>
      <c r="BD390" s="825"/>
      <c r="BE390" s="825"/>
      <c r="BF390" s="825"/>
      <c r="BG390" s="825"/>
      <c r="BH390" s="825"/>
      <c r="BI390" s="825"/>
      <c r="BJ390" s="825"/>
      <c r="BK390" s="825"/>
      <c r="BL390" s="825"/>
      <c r="BM390" s="825"/>
      <c r="BN390" s="825"/>
      <c r="BO390" s="825"/>
      <c r="BP390" s="825"/>
      <c r="BQ390" s="825"/>
      <c r="BR390" s="825"/>
      <c r="BS390" s="825"/>
      <c r="BT390" s="825"/>
      <c r="BU390" s="825"/>
      <c r="BV390" s="825"/>
      <c r="BW390" s="825"/>
      <c r="BX390" s="825"/>
      <c r="BY390" s="825"/>
      <c r="BZ390" s="825"/>
      <c r="CA390" s="825"/>
      <c r="CB390" s="825"/>
      <c r="CC390" s="825"/>
    </row>
    <row r="391" spans="1:81" s="548" customFormat="1" ht="42.8" customHeight="1" x14ac:dyDescent="0.25">
      <c r="A391" s="273"/>
      <c r="B391" s="672"/>
      <c r="C391" s="1666"/>
      <c r="D391" s="1664"/>
      <c r="E391" s="1539"/>
      <c r="F391" s="1539"/>
      <c r="G391" s="1539"/>
      <c r="H391" s="1539"/>
      <c r="I391" s="1539"/>
      <c r="J391" s="1539"/>
      <c r="K391" s="1539"/>
      <c r="L391" s="1539"/>
      <c r="M391" s="645" t="s">
        <v>489</v>
      </c>
      <c r="N391" s="732" t="str">
        <f>N10</f>
        <v>Superposición de áreas a ser tituladas individualmente con áreas solicitadas por pueblos indígenas</v>
      </c>
      <c r="O391" s="837" t="str">
        <f t="shared" si="10"/>
        <v>Derechos de los pueblos indígenas</v>
      </c>
      <c r="P391" s="544" t="str">
        <f>Z6</f>
        <v>DPI</v>
      </c>
      <c r="Q391" s="540" t="str">
        <f>AD10</f>
        <v xml:space="preserve">Análisis de demandas de titulación de tierras a favor de comunidades nativas a nivel departamental con organizaciones indígenas </v>
      </c>
      <c r="R391" s="540" t="s">
        <v>555</v>
      </c>
      <c r="S391" s="540" t="s">
        <v>507</v>
      </c>
      <c r="T391" s="519" t="str">
        <f>AC10</f>
        <v>SDPI2</v>
      </c>
      <c r="U391" s="628"/>
      <c r="V391" s="478"/>
      <c r="W391" s="478"/>
      <c r="X391" s="273"/>
      <c r="Y391" s="825"/>
      <c r="Z391" s="825"/>
      <c r="AA391" s="825"/>
      <c r="AB391" s="825"/>
      <c r="AC391" s="825"/>
      <c r="AD391" s="825"/>
      <c r="AE391" s="825"/>
      <c r="AF391" s="825"/>
      <c r="AG391" s="825"/>
      <c r="AH391" s="825"/>
      <c r="AI391" s="825"/>
      <c r="AJ391" s="825"/>
      <c r="AK391" s="825"/>
      <c r="AL391" s="825"/>
      <c r="AM391" s="825"/>
      <c r="AN391" s="825"/>
      <c r="AO391" s="825"/>
      <c r="AP391" s="825"/>
      <c r="AQ391" s="825"/>
      <c r="AR391" s="825"/>
      <c r="AS391" s="825"/>
      <c r="AT391" s="825"/>
      <c r="AU391" s="825"/>
      <c r="AV391" s="825"/>
      <c r="AW391" s="825"/>
      <c r="AX391" s="825"/>
      <c r="AY391" s="273"/>
      <c r="AZ391" s="273"/>
      <c r="BA391" s="825"/>
      <c r="BB391" s="825"/>
      <c r="BC391" s="825"/>
      <c r="BD391" s="825"/>
      <c r="BE391" s="825"/>
      <c r="BF391" s="825"/>
      <c r="BG391" s="825"/>
      <c r="BH391" s="825"/>
      <c r="BI391" s="825"/>
      <c r="BJ391" s="825"/>
      <c r="BK391" s="825"/>
      <c r="BL391" s="825"/>
      <c r="BM391" s="825"/>
      <c r="BN391" s="825"/>
      <c r="BO391" s="825"/>
      <c r="BP391" s="825"/>
      <c r="BQ391" s="825"/>
      <c r="BR391" s="825"/>
      <c r="BS391" s="825"/>
      <c r="BT391" s="825"/>
      <c r="BU391" s="825"/>
      <c r="BV391" s="825"/>
      <c r="BW391" s="825"/>
      <c r="BX391" s="825"/>
      <c r="BY391" s="825"/>
      <c r="BZ391" s="825"/>
      <c r="CA391" s="825"/>
      <c r="CB391" s="825"/>
      <c r="CC391" s="825"/>
    </row>
    <row r="392" spans="1:81" s="548" customFormat="1" ht="23.95" customHeight="1" x14ac:dyDescent="0.25">
      <c r="A392" s="273"/>
      <c r="B392" s="672"/>
      <c r="C392" s="1666"/>
      <c r="D392" s="1664"/>
      <c r="E392" s="1539"/>
      <c r="F392" s="1539"/>
      <c r="G392" s="1539"/>
      <c r="H392" s="1539"/>
      <c r="I392" s="1539"/>
      <c r="J392" s="1539"/>
      <c r="K392" s="1539"/>
      <c r="L392" s="1539"/>
      <c r="M392" s="645" t="s">
        <v>489</v>
      </c>
      <c r="N392" s="732" t="str">
        <f>N13</f>
        <v xml:space="preserve">Tráfico de títulos de propiedad y contratos de cesión en uso </v>
      </c>
      <c r="O392" s="837" t="str">
        <f t="shared" si="10"/>
        <v>Corrupción</v>
      </c>
      <c r="P392" s="544" t="e">
        <f>#REF!</f>
        <v>#REF!</v>
      </c>
      <c r="Q392" s="540" t="str">
        <f>AG9</f>
        <v xml:space="preserve">Transparencia en procesos de formalización de la propiedad rural y cesión en uso </v>
      </c>
      <c r="R392" s="540" t="s">
        <v>566</v>
      </c>
      <c r="S392" s="540" t="s">
        <v>526</v>
      </c>
      <c r="T392" s="519" t="str">
        <f>AF9</f>
        <v>SCR1</v>
      </c>
      <c r="U392" s="628"/>
      <c r="V392" s="478"/>
      <c r="W392" s="478"/>
      <c r="X392" s="273"/>
      <c r="Y392" s="825"/>
      <c r="Z392" s="825"/>
      <c r="AA392" s="825"/>
      <c r="AB392" s="825"/>
      <c r="AC392" s="825"/>
      <c r="AD392" s="825"/>
      <c r="AE392" s="825"/>
      <c r="AF392" s="825"/>
      <c r="AG392" s="825"/>
      <c r="AH392" s="825"/>
      <c r="AI392" s="825"/>
      <c r="AJ392" s="825"/>
      <c r="AK392" s="825"/>
      <c r="AL392" s="825"/>
      <c r="AM392" s="825"/>
      <c r="AN392" s="825"/>
      <c r="AO392" s="825"/>
      <c r="AP392" s="825"/>
      <c r="AQ392" s="825"/>
      <c r="AR392" s="825"/>
      <c r="AS392" s="825"/>
      <c r="AT392" s="825"/>
      <c r="AU392" s="825"/>
      <c r="AV392" s="825"/>
      <c r="AW392" s="825"/>
      <c r="AX392" s="825"/>
      <c r="AY392" s="273"/>
      <c r="AZ392" s="273"/>
      <c r="BA392" s="825"/>
      <c r="BB392" s="825"/>
      <c r="BC392" s="825"/>
      <c r="BD392" s="825"/>
      <c r="BE392" s="825"/>
      <c r="BF392" s="825"/>
      <c r="BG392" s="825"/>
      <c r="BH392" s="825"/>
      <c r="BI392" s="825"/>
      <c r="BJ392" s="825"/>
      <c r="BK392" s="825"/>
      <c r="BL392" s="825"/>
      <c r="BM392" s="825"/>
      <c r="BN392" s="825"/>
      <c r="BO392" s="825"/>
      <c r="BP392" s="825"/>
      <c r="BQ392" s="825"/>
      <c r="BR392" s="825"/>
      <c r="BS392" s="825"/>
      <c r="BT392" s="825"/>
      <c r="BU392" s="825"/>
      <c r="BV392" s="825"/>
      <c r="BW392" s="825"/>
      <c r="BX392" s="825"/>
      <c r="BY392" s="825"/>
      <c r="BZ392" s="825"/>
      <c r="CA392" s="825"/>
      <c r="CB392" s="825"/>
      <c r="CC392" s="825"/>
    </row>
    <row r="393" spans="1:81" s="548" customFormat="1" ht="32.950000000000003" customHeight="1" x14ac:dyDescent="0.25">
      <c r="A393" s="273"/>
      <c r="B393" s="672"/>
      <c r="C393" s="1666"/>
      <c r="D393" s="1664"/>
      <c r="E393" s="1539"/>
      <c r="F393" s="1539"/>
      <c r="G393" s="1539"/>
      <c r="H393" s="1539"/>
      <c r="I393" s="1539"/>
      <c r="J393" s="1539"/>
      <c r="K393" s="1539"/>
      <c r="L393" s="1539"/>
      <c r="M393" s="645" t="s">
        <v>489</v>
      </c>
      <c r="N393" s="732" t="str">
        <f>N14</f>
        <v>Exclusión de mujeres propietarias en títulos de propiedad o contratos de cesión en uso</v>
      </c>
      <c r="O393" s="837" t="str">
        <f t="shared" si="10"/>
        <v>Género</v>
      </c>
      <c r="P393" s="544" t="str">
        <f>AC6</f>
        <v>GN</v>
      </c>
      <c r="Q393" s="540" t="str">
        <f>AJ9</f>
        <v xml:space="preserve">Incorporación de cónyuges o convivientes en títulos de propiedad y contratos de cesión en uso </v>
      </c>
      <c r="R393" s="540" t="s">
        <v>576</v>
      </c>
      <c r="S393" s="540" t="s">
        <v>507</v>
      </c>
      <c r="T393" s="519" t="str">
        <f>AI9</f>
        <v>SGN1</v>
      </c>
      <c r="U393" s="628"/>
      <c r="V393" s="478"/>
      <c r="W393" s="478"/>
      <c r="X393" s="273"/>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c r="AT393" s="825"/>
      <c r="AU393" s="825"/>
      <c r="AV393" s="825"/>
      <c r="AW393" s="825"/>
      <c r="AX393" s="825"/>
      <c r="AY393" s="273"/>
      <c r="AZ393" s="273"/>
      <c r="BA393" s="825"/>
      <c r="BB393" s="825"/>
      <c r="BC393" s="825"/>
      <c r="BD393" s="825"/>
      <c r="BE393" s="825"/>
      <c r="BF393" s="825"/>
      <c r="BG393" s="825"/>
      <c r="BH393" s="825"/>
      <c r="BI393" s="825"/>
      <c r="BJ393" s="825"/>
      <c r="BK393" s="825"/>
      <c r="BL393" s="825"/>
      <c r="BM393" s="825"/>
      <c r="BN393" s="825"/>
      <c r="BO393" s="825"/>
      <c r="BP393" s="825"/>
      <c r="BQ393" s="825"/>
      <c r="BR393" s="825"/>
      <c r="BS393" s="825"/>
      <c r="BT393" s="825"/>
      <c r="BU393" s="825"/>
      <c r="BV393" s="825"/>
      <c r="BW393" s="825"/>
      <c r="BX393" s="825"/>
      <c r="BY393" s="825"/>
      <c r="BZ393" s="825"/>
      <c r="CA393" s="825"/>
      <c r="CB393" s="825"/>
      <c r="CC393" s="825"/>
    </row>
    <row r="394" spans="1:81" s="548" customFormat="1" ht="40.6" customHeight="1" x14ac:dyDescent="0.25">
      <c r="A394" s="273"/>
      <c r="B394" s="672"/>
      <c r="C394" s="1619"/>
      <c r="D394" s="1665"/>
      <c r="E394" s="1560"/>
      <c r="F394" s="1560"/>
      <c r="G394" s="1560"/>
      <c r="H394" s="1560"/>
      <c r="I394" s="1560"/>
      <c r="J394" s="1560"/>
      <c r="K394" s="1560"/>
      <c r="L394" s="1560"/>
      <c r="M394" s="645" t="s">
        <v>489</v>
      </c>
      <c r="N394" s="732" t="str">
        <f>N15</f>
        <v>Otorgamiento de derechos sobre la tierra / bosques en zonas con patrimonio cultural</v>
      </c>
      <c r="O394" s="837" t="str">
        <f t="shared" si="10"/>
        <v>Patrimonio cultural</v>
      </c>
      <c r="P394" s="544" t="str">
        <f>AI6</f>
        <v>PC</v>
      </c>
      <c r="Q394" s="540" t="str">
        <f>AV9</f>
        <v>Evaluación de superposición del área solicitada para titulación de predios rurales con áreas determinadas como patrimonio cultural</v>
      </c>
      <c r="R394" s="540" t="s">
        <v>586</v>
      </c>
      <c r="S394" s="544" t="s">
        <v>542</v>
      </c>
      <c r="T394" s="519" t="str">
        <f>AU9</f>
        <v>SPC1</v>
      </c>
      <c r="U394" s="628"/>
      <c r="V394" s="478"/>
      <c r="W394" s="478"/>
      <c r="X394" s="273"/>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c r="AT394" s="825"/>
      <c r="AU394" s="825"/>
      <c r="AV394" s="825"/>
      <c r="AW394" s="825"/>
      <c r="AX394" s="825"/>
      <c r="AY394" s="273"/>
      <c r="AZ394" s="273"/>
      <c r="BA394" s="825"/>
      <c r="BB394" s="825"/>
      <c r="BC394" s="825"/>
      <c r="BD394" s="825"/>
      <c r="BE394" s="825"/>
      <c r="BF394" s="825"/>
      <c r="BG394" s="825"/>
      <c r="BH394" s="825"/>
      <c r="BI394" s="825"/>
      <c r="BJ394" s="825"/>
      <c r="BK394" s="825"/>
      <c r="BL394" s="825"/>
      <c r="BM394" s="825"/>
      <c r="BN394" s="825"/>
      <c r="BO394" s="825"/>
      <c r="BP394" s="825"/>
      <c r="BQ394" s="825"/>
      <c r="BR394" s="825"/>
      <c r="BS394" s="825"/>
      <c r="BT394" s="825"/>
      <c r="BU394" s="825"/>
      <c r="BV394" s="825"/>
      <c r="BW394" s="825"/>
      <c r="BX394" s="825"/>
      <c r="BY394" s="825"/>
      <c r="BZ394" s="825"/>
      <c r="CA394" s="825"/>
      <c r="CB394" s="825"/>
      <c r="CC394" s="825"/>
    </row>
    <row r="395" spans="1:81" ht="122.95" customHeight="1" x14ac:dyDescent="0.25">
      <c r="A395" s="558"/>
      <c r="B395" s="672" t="s">
        <v>873</v>
      </c>
      <c r="C395" s="834" t="str">
        <f>'8. BASE  CONSOLIDADA'!E240</f>
        <v>3.4.2</v>
      </c>
      <c r="D395" s="1080" t="str">
        <f>'8. BASE  CONSOLIDADA'!F240</f>
        <v>Acceso a financiamiento para modelos de asociación con pequeños productores</v>
      </c>
      <c r="E395" s="1080" t="str">
        <f>'8. BASE  CONSOLIDADA'!G240</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v>
      </c>
      <c r="F395" s="966" t="str">
        <f>'8. BASE  CONSOLIDADA'!C240</f>
        <v>Empresas comercializadoras de palma y sus derivados.</v>
      </c>
      <c r="G395" s="1019" t="str">
        <f>VLOOKUP($C395,'8. BASE  CONSOLIDADA'!$E$7:$AS$308,13,FALSE)</f>
        <v>Productores atendidos</v>
      </c>
      <c r="H395" s="1109">
        <f>VLOOKUP($C395,'8. BASE  CONSOLIDADA'!$E$7:$AS$308,15,FALSE)</f>
        <v>2425.7999999999997</v>
      </c>
      <c r="I395" s="1058">
        <f>VLOOKUP(C395,'8. BASE  CONSOLIDADA'!$E$7:$AS$308,20,FALSE)</f>
        <v>26077349.999999996</v>
      </c>
      <c r="J395" s="678">
        <f>I395*$J$6</f>
        <v>17732.597999999998</v>
      </c>
      <c r="K395" s="1020"/>
      <c r="L395" s="1029"/>
      <c r="M395" s="645" t="s">
        <v>489</v>
      </c>
      <c r="N395" s="732" t="str">
        <f>N16</f>
        <v>Exclusión de mujeres rurales en programas de asistencia técnica</v>
      </c>
      <c r="O395" s="837" t="str">
        <f t="shared" si="10"/>
        <v>Género</v>
      </c>
      <c r="P395" s="544" t="str">
        <f>AC6</f>
        <v>GN</v>
      </c>
      <c r="Q395" s="540" t="str">
        <f>AJ10</f>
        <v>Programas de asistencia técnica y proyectos específicos para mujeres rurales y mujeres indígenas</v>
      </c>
      <c r="R395" s="540" t="s">
        <v>596</v>
      </c>
      <c r="S395" s="544" t="s">
        <v>507</v>
      </c>
      <c r="T395" s="519" t="str">
        <f>AI10</f>
        <v>SGN2</v>
      </c>
      <c r="U395" s="628"/>
      <c r="V395" s="478"/>
      <c r="W395" s="478"/>
      <c r="X395" s="273"/>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c r="AT395" s="825"/>
      <c r="AU395" s="825"/>
      <c r="AV395" s="825"/>
      <c r="AW395" s="825"/>
      <c r="AX395" s="825"/>
      <c r="BA395" s="825"/>
      <c r="BB395" s="825"/>
      <c r="BC395" s="825"/>
      <c r="BD395" s="825"/>
      <c r="BE395" s="825"/>
      <c r="BF395" s="825"/>
      <c r="BG395" s="825"/>
      <c r="BH395" s="825"/>
      <c r="BI395" s="825"/>
      <c r="BJ395" s="825"/>
      <c r="BK395" s="825"/>
      <c r="BL395" s="825"/>
      <c r="BM395" s="825"/>
      <c r="BN395" s="825"/>
      <c r="BO395" s="825"/>
      <c r="BP395" s="825"/>
      <c r="BQ395" s="825"/>
      <c r="BR395" s="825"/>
      <c r="BS395" s="825"/>
      <c r="BT395" s="825"/>
      <c r="BU395" s="825"/>
      <c r="BV395" s="825"/>
      <c r="BW395" s="825"/>
      <c r="BX395" s="825"/>
      <c r="BY395" s="825"/>
      <c r="BZ395" s="825"/>
      <c r="CA395" s="825"/>
      <c r="CB395" s="825"/>
      <c r="CC395" s="825"/>
    </row>
    <row r="396" spans="1:81" ht="69.8" customHeight="1" x14ac:dyDescent="0.25">
      <c r="A396" s="558"/>
      <c r="B396" s="672" t="s">
        <v>873</v>
      </c>
      <c r="C396" s="834" t="str">
        <f>'8. BASE  CONSOLIDADA'!E241</f>
        <v>3.4.3</v>
      </c>
      <c r="D396" s="1080" t="str">
        <f>'8. BASE  CONSOLIDADA'!F241</f>
        <v>Acompañamiento de acuerdos comerciales entre empresas y medianos productores</v>
      </c>
      <c r="E396" s="1080" t="str">
        <f>'8. BASE  CONSOLIDADA'!G241</f>
        <v>Brindar asesoramiento y acompañamiento a los productores organizados y no organizados en sus procesos de negociación, este acompañamiento permitirá llegar a buenos acuerdos con las empresas y asegurar que los pequeños productores tengan acceso a precios justos.</v>
      </c>
      <c r="F396" s="638" t="str">
        <f>'8. BASE  CONSOLIDADA'!C241</f>
        <v>Empresas comercializadoras de palma y sus derivados.</v>
      </c>
      <c r="G396" s="1019" t="str">
        <f>VLOOKUP($C396,'8. BASE  CONSOLIDADA'!$E$7:$AS$308,13,FALSE)</f>
        <v>Especialistas</v>
      </c>
      <c r="H396" s="1109">
        <f>VLOOKUP($C396,'8. BASE  CONSOLIDADA'!$E$7:$AS$308,15,FALSE)</f>
        <v>2</v>
      </c>
      <c r="I396" s="1058">
        <f>VLOOKUP(C396,'8. BASE  CONSOLIDADA'!$E$7:$AS$308,20,FALSE)</f>
        <v>420000</v>
      </c>
      <c r="J396" s="678">
        <f>I396*$J$6</f>
        <v>285.60000000000002</v>
      </c>
      <c r="K396" s="1020"/>
      <c r="L396" s="1029"/>
      <c r="M396" s="645" t="s">
        <v>489</v>
      </c>
      <c r="N396" s="732" t="s">
        <v>890</v>
      </c>
      <c r="O396" s="837" t="str">
        <f t="shared" si="10"/>
        <v>Corrupción</v>
      </c>
      <c r="P396" s="544" t="e">
        <f>#REF!</f>
        <v>#REF!</v>
      </c>
      <c r="Q396" s="540" t="str">
        <f>AG19</f>
        <v xml:space="preserve">Fortalecimiento a las partes para que los acuerdos comerciales entre empresa y productores rurales sean transparentes, justos y equitativos que beneficien a ambas partes </v>
      </c>
      <c r="R396" s="540" t="s">
        <v>891</v>
      </c>
      <c r="S396" s="544" t="s">
        <v>507</v>
      </c>
      <c r="T396" s="519" t="str">
        <f>AF19</f>
        <v>SCR11</v>
      </c>
      <c r="U396" s="628"/>
      <c r="V396" s="478"/>
      <c r="W396" s="478"/>
      <c r="X396" s="273"/>
      <c r="Y396" s="825"/>
      <c r="Z396" s="825"/>
      <c r="AA396" s="825"/>
      <c r="AB396" s="825"/>
      <c r="AC396" s="825"/>
      <c r="AD396" s="825"/>
      <c r="AE396" s="825"/>
      <c r="AF396" s="825"/>
      <c r="AG396" s="825"/>
      <c r="AH396" s="825"/>
      <c r="AI396" s="825"/>
      <c r="AJ396" s="825"/>
      <c r="AK396" s="825"/>
      <c r="AL396" s="825"/>
      <c r="AM396" s="825"/>
      <c r="AN396" s="825"/>
      <c r="AO396" s="825"/>
      <c r="AP396" s="825"/>
      <c r="AQ396" s="825"/>
      <c r="AR396" s="825"/>
      <c r="AS396" s="825"/>
      <c r="AT396" s="825"/>
      <c r="AU396" s="825"/>
      <c r="AV396" s="825"/>
      <c r="AW396" s="825"/>
      <c r="AX396" s="825"/>
      <c r="BA396" s="825"/>
      <c r="BB396" s="825"/>
      <c r="BC396" s="825"/>
      <c r="BD396" s="825"/>
      <c r="BE396" s="825"/>
      <c r="BF396" s="825"/>
      <c r="BG396" s="825"/>
      <c r="BH396" s="825"/>
      <c r="BI396" s="825"/>
      <c r="BJ396" s="825"/>
      <c r="BK396" s="825"/>
      <c r="BL396" s="825"/>
      <c r="BM396" s="825"/>
      <c r="BN396" s="825"/>
      <c r="BO396" s="825"/>
      <c r="BP396" s="825"/>
      <c r="BQ396" s="825"/>
      <c r="BR396" s="825"/>
      <c r="BS396" s="825"/>
      <c r="BT396" s="825"/>
      <c r="BU396" s="825"/>
      <c r="BV396" s="825"/>
      <c r="BW396" s="825"/>
      <c r="BX396" s="825"/>
      <c r="BY396" s="825"/>
      <c r="BZ396" s="825"/>
      <c r="CA396" s="825"/>
      <c r="CB396" s="825"/>
      <c r="CC396" s="825"/>
    </row>
    <row r="397" spans="1:81" ht="46.55" customHeight="1" x14ac:dyDescent="0.25">
      <c r="A397" s="558"/>
      <c r="B397" s="672" t="s">
        <v>873</v>
      </c>
      <c r="C397" s="834" t="str">
        <f>'8. BASE  CONSOLIDADA'!E242</f>
        <v>3.4.4</v>
      </c>
      <c r="D397" s="1080" t="str">
        <f>'8. BASE  CONSOLIDADA'!F242</f>
        <v>Ampliación de estudios de HCS y HCV para nuevas áreas potenciales para asociación con pequeños productores</v>
      </c>
      <c r="E397" s="1080" t="str">
        <f>'8. BASE  CONSOLIDADA'!G242</f>
        <v>Promover el financiamiento para el desarrollo e implementación de estudios de umbrales de carbono en el suelo y en los bosques.</v>
      </c>
      <c r="F397" s="638" t="str">
        <f>'8. BASE  CONSOLIDADA'!C242</f>
        <v>Empresas comercializadoras de palma y sus derivados.</v>
      </c>
      <c r="G397" s="1019" t="str">
        <f>VLOOKUP($C397,'8. BASE  CONSOLIDADA'!$E$7:$AS$308,13,FALSE)</f>
        <v xml:space="preserve">Estudios </v>
      </c>
      <c r="H397" s="1109">
        <f>VLOOKUP($C397,'8. BASE  CONSOLIDADA'!$E$7:$AS$308,15,FALSE)</f>
        <v>2</v>
      </c>
      <c r="I397" s="1058">
        <f>VLOOKUP(C397,'8. BASE  CONSOLIDADA'!$E$7:$AS$308,20,FALSE)</f>
        <v>440800</v>
      </c>
      <c r="J397" s="678">
        <f>I397*$J$6</f>
        <v>299.74400000000003</v>
      </c>
      <c r="K397" s="1020"/>
      <c r="L397" s="1029"/>
      <c r="M397" s="645" t="s">
        <v>489</v>
      </c>
      <c r="N397" s="732" t="s">
        <v>892</v>
      </c>
      <c r="O397" s="837" t="str">
        <f t="shared" si="10"/>
        <v>Género</v>
      </c>
      <c r="P397" s="544" t="str">
        <f>AC6</f>
        <v>GN</v>
      </c>
      <c r="Q397" s="540" t="str">
        <f>AJ11</f>
        <v xml:space="preserve">Cuotas de género y medición de participación efectiva de mujeres rurales </v>
      </c>
      <c r="R397" s="540" t="s">
        <v>689</v>
      </c>
      <c r="S397" s="544" t="s">
        <v>507</v>
      </c>
      <c r="T397" s="519" t="str">
        <f>AI11</f>
        <v>SGN3</v>
      </c>
      <c r="U397" s="628"/>
      <c r="V397" s="478"/>
      <c r="W397" s="478"/>
      <c r="X397" s="273"/>
      <c r="Y397" s="825"/>
      <c r="Z397" s="825"/>
      <c r="AA397" s="825"/>
      <c r="AB397" s="825"/>
      <c r="AC397" s="825"/>
      <c r="AD397" s="825"/>
      <c r="AE397" s="825"/>
      <c r="AF397" s="825"/>
      <c r="AG397" s="825"/>
      <c r="AH397" s="825"/>
      <c r="AI397" s="825"/>
      <c r="AJ397" s="825"/>
      <c r="AK397" s="825"/>
      <c r="AL397" s="825"/>
      <c r="AM397" s="825"/>
      <c r="AN397" s="825"/>
      <c r="AO397" s="825"/>
      <c r="AP397" s="825"/>
      <c r="AQ397" s="825"/>
      <c r="AR397" s="825"/>
      <c r="AS397" s="825"/>
      <c r="AT397" s="825"/>
      <c r="AU397" s="825"/>
      <c r="AV397" s="825"/>
      <c r="AW397" s="825"/>
      <c r="AX397" s="825"/>
      <c r="BA397" s="825"/>
      <c r="BB397" s="825"/>
      <c r="BC397" s="825"/>
      <c r="BD397" s="825"/>
      <c r="BE397" s="825"/>
      <c r="BF397" s="825"/>
      <c r="BG397" s="825"/>
      <c r="BH397" s="825"/>
      <c r="BI397" s="825"/>
      <c r="BJ397" s="825"/>
      <c r="BK397" s="825"/>
      <c r="BL397" s="825"/>
      <c r="BM397" s="825"/>
      <c r="BN397" s="825"/>
      <c r="BO397" s="825"/>
      <c r="BP397" s="825"/>
      <c r="BQ397" s="825"/>
      <c r="BR397" s="825"/>
      <c r="BS397" s="825"/>
      <c r="BT397" s="825"/>
      <c r="BU397" s="825"/>
      <c r="BV397" s="825"/>
      <c r="BW397" s="825"/>
      <c r="BX397" s="825"/>
      <c r="BY397" s="825"/>
      <c r="BZ397" s="825"/>
      <c r="CA397" s="825"/>
      <c r="CB397" s="825"/>
      <c r="CC397" s="825"/>
    </row>
    <row r="398" spans="1:81" ht="45.7" customHeight="1" x14ac:dyDescent="0.25">
      <c r="A398" s="558"/>
      <c r="B398" s="672" t="s">
        <v>873</v>
      </c>
      <c r="C398" s="834" t="str">
        <f>'8. BASE  CONSOLIDADA'!E247</f>
        <v>3.6.1</v>
      </c>
      <c r="D398" s="1080" t="str">
        <f>'8. BASE  CONSOLIDADA'!F247</f>
        <v>Exclusión y compensación de concesiones forestales maderables a solicitud del concesionario</v>
      </c>
      <c r="E398" s="1080" t="str">
        <f>'8. BASE  CONSOLIDADA'!G247</f>
        <v>Realizar un sinceramiento de las concesiones forestales activas e inactivas para excluir o realizar nuevos otorgamientos a empresas que puedan cumplir técnica y económicamente con lo predispuesto en la directiva.</v>
      </c>
      <c r="F398" s="638" t="str">
        <f>'8. BASE  CONSOLIDADA'!C247</f>
        <v xml:space="preserve">Concesiones Forestales Maderables </v>
      </c>
      <c r="G398" s="1019" t="str">
        <f>VLOOKUP($C398,'8. BASE  CONSOLIDADA'!$E$7:$AS$308,13,FALSE)</f>
        <v xml:space="preserve">N° de concesiones </v>
      </c>
      <c r="H398" s="1109">
        <f>VLOOKUP($C398,'8. BASE  CONSOLIDADA'!$E$7:$AS$308,15,FALSE)</f>
        <v>9</v>
      </c>
      <c r="I398" s="1058">
        <f>VLOOKUP(C398,'8. BASE  CONSOLIDADA'!$E$7:$AS$308,20,FALSE)</f>
        <v>270000</v>
      </c>
      <c r="J398" s="678">
        <f>I398*$J$6</f>
        <v>183.60000000000002</v>
      </c>
      <c r="K398" s="1020"/>
      <c r="L398" s="1045"/>
      <c r="M398" s="645" t="s">
        <v>489</v>
      </c>
      <c r="N398" s="732" t="s">
        <v>893</v>
      </c>
      <c r="O398" s="837" t="str">
        <f t="shared" si="10"/>
        <v>Derechos de los pueblos indígenas</v>
      </c>
      <c r="P398" s="544" t="str">
        <f>Z6</f>
        <v>DPI</v>
      </c>
      <c r="Q398" s="540" t="str">
        <f>AD13</f>
        <v xml:space="preserve">Análisis y solución de superposiciones en tierras de comunidades nativas en proceso de titulación (como parte del proceso de titulación de una comunidad nativa) </v>
      </c>
      <c r="R398" s="540" t="s">
        <v>724</v>
      </c>
      <c r="S398" s="544" t="s">
        <v>492</v>
      </c>
      <c r="T398" s="519" t="str">
        <f>AC13</f>
        <v>SDPI5</v>
      </c>
      <c r="U398" s="628"/>
      <c r="V398" s="478"/>
      <c r="W398" s="478"/>
      <c r="X398" s="273"/>
      <c r="Y398" s="825"/>
      <c r="Z398" s="825"/>
      <c r="AA398" s="825"/>
      <c r="AB398" s="825"/>
      <c r="AC398" s="825"/>
      <c r="AD398" s="825"/>
      <c r="AE398" s="825"/>
      <c r="AF398" s="825"/>
      <c r="AG398" s="825"/>
      <c r="AH398" s="825"/>
      <c r="AI398" s="825"/>
      <c r="AJ398" s="825"/>
      <c r="AK398" s="825"/>
      <c r="AL398" s="825"/>
      <c r="AM398" s="825"/>
      <c r="AN398" s="825"/>
      <c r="AO398" s="825"/>
      <c r="AP398" s="825"/>
      <c r="AQ398" s="825"/>
      <c r="AR398" s="825"/>
      <c r="AS398" s="825"/>
      <c r="AT398" s="825"/>
      <c r="AU398" s="825"/>
      <c r="AV398" s="825"/>
      <c r="AW398" s="825"/>
      <c r="AX398" s="825"/>
      <c r="BA398" s="825"/>
      <c r="BB398" s="825"/>
      <c r="BC398" s="825"/>
      <c r="BD398" s="825"/>
      <c r="BE398" s="825"/>
      <c r="BF398" s="825"/>
      <c r="BG398" s="825"/>
      <c r="BH398" s="825"/>
      <c r="BI398" s="825"/>
      <c r="BJ398" s="825"/>
      <c r="BK398" s="825"/>
      <c r="BL398" s="825"/>
      <c r="BM398" s="825"/>
      <c r="BN398" s="825"/>
      <c r="BO398" s="825"/>
      <c r="BP398" s="825"/>
      <c r="BQ398" s="825"/>
      <c r="BR398" s="825"/>
      <c r="BS398" s="825"/>
      <c r="BT398" s="825"/>
      <c r="BU398" s="825"/>
      <c r="BV398" s="825"/>
      <c r="BW398" s="825"/>
      <c r="BX398" s="825"/>
      <c r="BY398" s="825"/>
      <c r="BZ398" s="825"/>
      <c r="CA398" s="825"/>
      <c r="CB398" s="825"/>
      <c r="CC398" s="825"/>
    </row>
    <row r="399" spans="1:81" s="548" customFormat="1" ht="33.799999999999997" customHeight="1" x14ac:dyDescent="0.25">
      <c r="A399" s="558"/>
      <c r="B399" s="672"/>
      <c r="C399" s="834"/>
      <c r="D399" s="1081"/>
      <c r="E399" s="1081"/>
      <c r="F399" s="966"/>
      <c r="G399" s="1102"/>
      <c r="H399" s="1121"/>
      <c r="I399" s="1059"/>
      <c r="J399" s="680"/>
      <c r="K399" s="1044"/>
      <c r="L399" s="1045"/>
      <c r="M399" s="645" t="s">
        <v>489</v>
      </c>
      <c r="N399" s="732" t="s">
        <v>894</v>
      </c>
      <c r="O399" s="837" t="str">
        <f t="shared" si="10"/>
        <v>Corrupción</v>
      </c>
      <c r="P399" s="544" t="e">
        <f>#REF!</f>
        <v>#REF!</v>
      </c>
      <c r="Q399" s="540" t="str">
        <f>AG14</f>
        <v>Socialización con colindantes de la concesión los derechos y obligaciones de los titulares de las concesiones forestales maderables</v>
      </c>
      <c r="R399" s="540" t="s">
        <v>850</v>
      </c>
      <c r="S399" s="544" t="s">
        <v>526</v>
      </c>
      <c r="T399" s="519" t="str">
        <f>AF14</f>
        <v>SCR6</v>
      </c>
      <c r="U399" s="628"/>
      <c r="V399" s="478"/>
      <c r="W399" s="478"/>
      <c r="X399" s="273"/>
      <c r="Y399" s="825"/>
      <c r="Z399" s="825"/>
      <c r="AA399" s="825"/>
      <c r="AB399" s="825"/>
      <c r="AC399" s="825"/>
      <c r="AD399" s="825"/>
      <c r="AE399" s="825"/>
      <c r="AF399" s="825"/>
      <c r="AG399" s="825"/>
      <c r="AH399" s="825"/>
      <c r="AI399" s="825"/>
      <c r="AJ399" s="825"/>
      <c r="AK399" s="825"/>
      <c r="AL399" s="825"/>
      <c r="AM399" s="825"/>
      <c r="AN399" s="825"/>
      <c r="AO399" s="825"/>
      <c r="AP399" s="825"/>
      <c r="AQ399" s="825"/>
      <c r="AR399" s="825"/>
      <c r="AS399" s="825"/>
      <c r="AT399" s="825"/>
      <c r="AU399" s="825"/>
      <c r="AV399" s="825"/>
      <c r="AW399" s="825"/>
      <c r="AX399" s="825"/>
      <c r="AY399" s="273"/>
      <c r="AZ399" s="273"/>
      <c r="BA399" s="825"/>
      <c r="BB399" s="825"/>
      <c r="BC399" s="825"/>
      <c r="BD399" s="825"/>
      <c r="BE399" s="825"/>
      <c r="BF399" s="825"/>
      <c r="BG399" s="825"/>
      <c r="BH399" s="825"/>
      <c r="BI399" s="825"/>
      <c r="BJ399" s="825"/>
      <c r="BK399" s="825"/>
      <c r="BL399" s="825"/>
      <c r="BM399" s="825"/>
      <c r="BN399" s="825"/>
      <c r="BO399" s="825"/>
      <c r="BP399" s="825"/>
      <c r="BQ399" s="825"/>
      <c r="BR399" s="825"/>
      <c r="BS399" s="825"/>
      <c r="BT399" s="825"/>
      <c r="BU399" s="825"/>
      <c r="BV399" s="825"/>
      <c r="BW399" s="825"/>
      <c r="BX399" s="825"/>
      <c r="BY399" s="825"/>
      <c r="BZ399" s="825"/>
      <c r="CA399" s="825"/>
      <c r="CB399" s="825"/>
      <c r="CC399" s="825"/>
    </row>
    <row r="400" spans="1:81" ht="43.5" customHeight="1" x14ac:dyDescent="0.25">
      <c r="A400" s="558"/>
      <c r="B400" s="672" t="s">
        <v>873</v>
      </c>
      <c r="C400" s="834" t="str">
        <f>'8. BASE  CONSOLIDADA'!E248</f>
        <v>3.6.2</v>
      </c>
      <c r="D400" s="1069" t="str">
        <f>'8. BASE  CONSOLIDADA'!F248</f>
        <v>Incentivos financieros para manejo forestal sostenible</v>
      </c>
      <c r="E400" s="1069" t="str">
        <f>'8. BASE  CONSOLIDADA'!G248</f>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v>
      </c>
      <c r="F400" s="967" t="str">
        <f>'8. BASE  CONSOLIDADA'!C248</f>
        <v xml:space="preserve">Concesiones Forestales Maderables </v>
      </c>
      <c r="G400" s="1019" t="str">
        <f>VLOOKUP($C400,'8. BASE  CONSOLIDADA'!$E$7:$AS$308,13,FALSE)</f>
        <v>Créditos otorgados</v>
      </c>
      <c r="H400" s="1109">
        <f>VLOOKUP($C400,'8. BASE  CONSOLIDADA'!$E$7:$AS$308,15,FALSE)</f>
        <v>3</v>
      </c>
      <c r="I400" s="1058">
        <f>VLOOKUP(C400,'8. BASE  CONSOLIDADA'!$E$7:$AS$308,20,FALSE)</f>
        <v>450000</v>
      </c>
      <c r="J400" s="678">
        <f>I400*$J$6</f>
        <v>306</v>
      </c>
      <c r="K400" s="1020"/>
      <c r="L400" s="1045"/>
      <c r="M400" s="645" t="s">
        <v>489</v>
      </c>
      <c r="N400" s="732" t="str">
        <f>N69</f>
        <v>Exclusión de mujeres rurales en programas de turismo comunitario</v>
      </c>
      <c r="O400" s="837" t="str">
        <f t="shared" si="10"/>
        <v>Género</v>
      </c>
      <c r="P400" s="544" t="str">
        <f>AC6</f>
        <v>GN</v>
      </c>
      <c r="Q400" s="540" t="str">
        <f>AJ24</f>
        <v>Inclusión de mujeres rurales en actividades de turismo comunitario en concesiones forestales maderables</v>
      </c>
      <c r="R400" s="540" t="s">
        <v>827</v>
      </c>
      <c r="S400" s="544" t="s">
        <v>526</v>
      </c>
      <c r="T400" s="519" t="str">
        <f>AI24</f>
        <v>SGN16</v>
      </c>
      <c r="U400" s="628"/>
      <c r="V400" s="478"/>
      <c r="W400" s="478"/>
      <c r="X400" s="273"/>
      <c r="Y400" s="825"/>
      <c r="Z400" s="825"/>
      <c r="AA400" s="825"/>
      <c r="AB400" s="825"/>
      <c r="AC400" s="825"/>
      <c r="AD400" s="825"/>
      <c r="AE400" s="825"/>
      <c r="AF400" s="825"/>
      <c r="AG400" s="825"/>
      <c r="AH400" s="825"/>
      <c r="AI400" s="825"/>
      <c r="AJ400" s="825"/>
      <c r="AK400" s="825"/>
      <c r="AL400" s="825"/>
      <c r="AM400" s="825"/>
      <c r="AN400" s="825"/>
      <c r="AO400" s="825"/>
      <c r="AP400" s="825"/>
      <c r="AQ400" s="825"/>
      <c r="AR400" s="825"/>
      <c r="AS400" s="825"/>
      <c r="AT400" s="825"/>
      <c r="AU400" s="825"/>
      <c r="AV400" s="825"/>
      <c r="AW400" s="825"/>
      <c r="AX400" s="825"/>
      <c r="BA400" s="825"/>
      <c r="BB400" s="825"/>
      <c r="BC400" s="825"/>
      <c r="BD400" s="825"/>
      <c r="BE400" s="825"/>
      <c r="BF400" s="825"/>
      <c r="BG400" s="825"/>
      <c r="BH400" s="825"/>
      <c r="BI400" s="825"/>
      <c r="BJ400" s="825"/>
      <c r="BK400" s="825"/>
      <c r="BL400" s="825"/>
      <c r="BM400" s="825"/>
      <c r="BN400" s="825"/>
      <c r="BO400" s="825"/>
      <c r="BP400" s="825"/>
      <c r="BQ400" s="825"/>
      <c r="BR400" s="825"/>
      <c r="BS400" s="825"/>
      <c r="BT400" s="825"/>
      <c r="BU400" s="825"/>
      <c r="BV400" s="825"/>
      <c r="BW400" s="825"/>
      <c r="BX400" s="825"/>
      <c r="BY400" s="825"/>
      <c r="BZ400" s="825"/>
      <c r="CA400" s="825"/>
      <c r="CB400" s="825"/>
      <c r="CC400" s="825"/>
    </row>
    <row r="401" spans="1:81" s="548" customFormat="1" ht="25.5" customHeight="1" x14ac:dyDescent="0.25">
      <c r="A401" s="558"/>
      <c r="B401" s="672"/>
      <c r="C401" s="834"/>
      <c r="D401" s="1069"/>
      <c r="E401" s="1069"/>
      <c r="F401" s="965"/>
      <c r="G401" s="1089"/>
      <c r="H401" s="1110"/>
      <c r="I401" s="1059"/>
      <c r="J401" s="680"/>
      <c r="K401" s="1044"/>
      <c r="L401" s="1045"/>
      <c r="M401" s="645" t="s">
        <v>489</v>
      </c>
      <c r="N401" s="732" t="str">
        <f>N134</f>
        <v>Procedimiento irregular para el otorgamiento de derechos</v>
      </c>
      <c r="O401" s="837" t="str">
        <f t="shared" si="10"/>
        <v>Corrupción</v>
      </c>
      <c r="P401" s="544" t="e">
        <f>#REF!</f>
        <v>#REF!</v>
      </c>
      <c r="Q401" s="540" t="str">
        <f>AG9</f>
        <v xml:space="preserve">Transparencia en procesos de formalización de la propiedad rural y cesión en uso </v>
      </c>
      <c r="R401" s="540" t="s">
        <v>566</v>
      </c>
      <c r="S401" s="544" t="s">
        <v>526</v>
      </c>
      <c r="T401" s="519" t="str">
        <f>AF9</f>
        <v>SCR1</v>
      </c>
      <c r="U401" s="628"/>
      <c r="V401" s="478"/>
      <c r="W401" s="478"/>
      <c r="X401" s="273"/>
      <c r="Y401" s="825"/>
      <c r="Z401" s="825"/>
      <c r="AA401" s="825"/>
      <c r="AB401" s="825"/>
      <c r="AC401" s="825"/>
      <c r="AD401" s="825"/>
      <c r="AE401" s="825"/>
      <c r="AF401" s="825"/>
      <c r="AG401" s="825"/>
      <c r="AH401" s="825"/>
      <c r="AI401" s="825"/>
      <c r="AJ401" s="825"/>
      <c r="AK401" s="825"/>
      <c r="AL401" s="825"/>
      <c r="AM401" s="825"/>
      <c r="AN401" s="825"/>
      <c r="AO401" s="825"/>
      <c r="AP401" s="825"/>
      <c r="AQ401" s="825"/>
      <c r="AR401" s="825"/>
      <c r="AS401" s="825"/>
      <c r="AT401" s="825"/>
      <c r="AU401" s="825"/>
      <c r="AV401" s="825"/>
      <c r="AW401" s="825"/>
      <c r="AX401" s="825"/>
      <c r="AY401" s="273"/>
      <c r="AZ401" s="273"/>
      <c r="BA401" s="825"/>
      <c r="BB401" s="825"/>
      <c r="BC401" s="825"/>
      <c r="BD401" s="825"/>
      <c r="BE401" s="825"/>
      <c r="BF401" s="825"/>
      <c r="BG401" s="825"/>
      <c r="BH401" s="825"/>
      <c r="BI401" s="825"/>
      <c r="BJ401" s="825"/>
      <c r="BK401" s="825"/>
      <c r="BL401" s="825"/>
      <c r="BM401" s="825"/>
      <c r="BN401" s="825"/>
      <c r="BO401" s="825"/>
      <c r="BP401" s="825"/>
      <c r="BQ401" s="825"/>
      <c r="BR401" s="825"/>
      <c r="BS401" s="825"/>
      <c r="BT401" s="825"/>
      <c r="BU401" s="825"/>
      <c r="BV401" s="825"/>
      <c r="BW401" s="825"/>
      <c r="BX401" s="825"/>
      <c r="BY401" s="825"/>
      <c r="BZ401" s="825"/>
      <c r="CA401" s="825"/>
      <c r="CB401" s="825"/>
      <c r="CC401" s="825"/>
    </row>
    <row r="402" spans="1:81" s="548" customFormat="1" ht="31.6" customHeight="1" x14ac:dyDescent="0.25">
      <c r="A402" s="558"/>
      <c r="B402" s="672"/>
      <c r="C402" s="834"/>
      <c r="D402" s="1069"/>
      <c r="E402" s="1069"/>
      <c r="F402" s="965"/>
      <c r="G402" s="1089"/>
      <c r="H402" s="1110"/>
      <c r="I402" s="1059"/>
      <c r="J402" s="680"/>
      <c r="K402" s="1044"/>
      <c r="L402" s="1045"/>
      <c r="M402" s="645" t="s">
        <v>489</v>
      </c>
      <c r="N402" s="732" t="str">
        <f>N135</f>
        <v>Conflictos sociales con los colindantes de la concesión</v>
      </c>
      <c r="O402" s="837" t="str">
        <f t="shared" si="10"/>
        <v>Corrupción</v>
      </c>
      <c r="P402" s="544" t="e">
        <f>#REF!</f>
        <v>#REF!</v>
      </c>
      <c r="Q402" s="540" t="str">
        <f>AG14</f>
        <v>Socialización con colindantes de la concesión los derechos y obligaciones de los titulares de las concesiones forestales maderables</v>
      </c>
      <c r="R402" s="540" t="s">
        <v>850</v>
      </c>
      <c r="S402" s="544" t="s">
        <v>526</v>
      </c>
      <c r="T402" s="519" t="str">
        <f>AF14</f>
        <v>SCR6</v>
      </c>
      <c r="U402" s="628"/>
      <c r="V402" s="478"/>
      <c r="W402" s="478"/>
      <c r="X402" s="273"/>
      <c r="Y402" s="825"/>
      <c r="Z402" s="825"/>
      <c r="AA402" s="825"/>
      <c r="AB402" s="825"/>
      <c r="AC402" s="825"/>
      <c r="AD402" s="825"/>
      <c r="AE402" s="825"/>
      <c r="AF402" s="825"/>
      <c r="AG402" s="825"/>
      <c r="AH402" s="825"/>
      <c r="AI402" s="825"/>
      <c r="AJ402" s="825"/>
      <c r="AK402" s="825"/>
      <c r="AL402" s="825"/>
      <c r="AM402" s="825"/>
      <c r="AN402" s="825"/>
      <c r="AO402" s="825"/>
      <c r="AP402" s="825"/>
      <c r="AQ402" s="825"/>
      <c r="AR402" s="825"/>
      <c r="AS402" s="825"/>
      <c r="AT402" s="825"/>
      <c r="AU402" s="825"/>
      <c r="AV402" s="825"/>
      <c r="AW402" s="825"/>
      <c r="AX402" s="825"/>
      <c r="AY402" s="273"/>
      <c r="AZ402" s="273"/>
      <c r="BA402" s="825"/>
      <c r="BB402" s="825"/>
      <c r="BC402" s="825"/>
      <c r="BD402" s="825"/>
      <c r="BE402" s="825"/>
      <c r="BF402" s="825"/>
      <c r="BG402" s="825"/>
      <c r="BH402" s="825"/>
      <c r="BI402" s="825"/>
      <c r="BJ402" s="825"/>
      <c r="BK402" s="825"/>
      <c r="BL402" s="825"/>
      <c r="BM402" s="825"/>
      <c r="BN402" s="825"/>
      <c r="BO402" s="825"/>
      <c r="BP402" s="825"/>
      <c r="BQ402" s="825"/>
      <c r="BR402" s="825"/>
      <c r="BS402" s="825"/>
      <c r="BT402" s="825"/>
      <c r="BU402" s="825"/>
      <c r="BV402" s="825"/>
      <c r="BW402" s="825"/>
      <c r="BX402" s="825"/>
      <c r="BY402" s="825"/>
      <c r="BZ402" s="825"/>
      <c r="CA402" s="825"/>
      <c r="CB402" s="825"/>
      <c r="CC402" s="825"/>
    </row>
    <row r="403" spans="1:81" ht="48.75" customHeight="1" thickBot="1" x14ac:dyDescent="0.3">
      <c r="A403" s="558"/>
      <c r="B403" s="672" t="s">
        <v>873</v>
      </c>
      <c r="C403" s="834" t="str">
        <f>'8. BASE  CONSOLIDADA'!E258</f>
        <v>3.8.1</v>
      </c>
      <c r="D403" s="1152" t="str">
        <f>'8. BASE  CONSOLIDADA'!F258</f>
        <v>Creación y establecimiento de unidades de ordenamiento forestal, otorgamiento de títulos habilitantes forestales y tenencia de la tierra</v>
      </c>
      <c r="E403" s="1152" t="str">
        <f>'8. BASE  CONSOLIDADA'!G258</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F403" s="1153" t="str">
        <f>'8. BASE  CONSOLIDADA'!C258</f>
        <v>Tierras sin categoría territorial asignada</v>
      </c>
      <c r="G403" s="1154" t="str">
        <f>VLOOKUP($C403,'8. BASE  CONSOLIDADA'!$E$7:$AS$308,13,FALSE)</f>
        <v>Ha. con categoría territorial asignada</v>
      </c>
      <c r="H403" s="1155">
        <f>VLOOKUP($C403,'8. BASE  CONSOLIDADA'!$E$7:$AS$308,15,FALSE)</f>
        <v>18546.349137439898</v>
      </c>
      <c r="I403" s="1156">
        <f>VLOOKUP(C403,'8. BASE  CONSOLIDADA'!$E$7:$AS$308,20,FALSE)</f>
        <v>278195.23706159845</v>
      </c>
      <c r="J403" s="678">
        <f>I403*$J$6</f>
        <v>189.17276120188697</v>
      </c>
      <c r="K403" s="1020"/>
      <c r="L403" s="1045"/>
      <c r="M403" s="645" t="s">
        <v>489</v>
      </c>
      <c r="N403" s="732" t="str">
        <f>N141</f>
        <v>Otorgamiento inadecuado de títulos habilitantes que generan tráfico de tierras</v>
      </c>
      <c r="O403" s="837" t="str">
        <f t="shared" si="10"/>
        <v>Corrupción</v>
      </c>
      <c r="P403" s="544" t="e">
        <f>#REF!</f>
        <v>#REF!</v>
      </c>
      <c r="Q403" s="540" t="str">
        <f>AG16</f>
        <v xml:space="preserve">Transparencia en los procesos de otorgamiento de derechos en las tierras sin categoría territorial asignada </v>
      </c>
      <c r="R403" s="540" t="s">
        <v>859</v>
      </c>
      <c r="S403" s="544" t="s">
        <v>507</v>
      </c>
      <c r="T403" s="519" t="str">
        <f>AF16</f>
        <v>SCR8</v>
      </c>
      <c r="U403" s="628"/>
      <c r="V403" s="478"/>
      <c r="W403" s="478"/>
      <c r="X403" s="273"/>
      <c r="Y403" s="825"/>
      <c r="Z403" s="825"/>
      <c r="AA403" s="825"/>
      <c r="AB403" s="825"/>
      <c r="AC403" s="825"/>
      <c r="AD403" s="825"/>
      <c r="AE403" s="825"/>
      <c r="AF403" s="825"/>
      <c r="AG403" s="825"/>
      <c r="AH403" s="825"/>
      <c r="AI403" s="825"/>
      <c r="AJ403" s="825"/>
      <c r="AK403" s="825"/>
      <c r="AL403" s="825"/>
      <c r="AM403" s="825"/>
      <c r="AN403" s="825"/>
      <c r="AO403" s="825"/>
      <c r="AP403" s="825"/>
      <c r="AQ403" s="825"/>
      <c r="AR403" s="825"/>
      <c r="AS403" s="825"/>
      <c r="AT403" s="825"/>
      <c r="AU403" s="825"/>
      <c r="AV403" s="825"/>
      <c r="AW403" s="825"/>
      <c r="AX403" s="825"/>
      <c r="BA403" s="825"/>
      <c r="BB403" s="825"/>
      <c r="BC403" s="825"/>
      <c r="BD403" s="825"/>
      <c r="BE403" s="825"/>
      <c r="BF403" s="825"/>
      <c r="BG403" s="825"/>
      <c r="BH403" s="825"/>
      <c r="BI403" s="825"/>
      <c r="BJ403" s="825"/>
      <c r="BK403" s="825"/>
      <c r="BL403" s="825"/>
      <c r="BM403" s="825"/>
      <c r="BN403" s="825"/>
      <c r="BO403" s="825"/>
      <c r="BP403" s="825"/>
      <c r="BQ403" s="825"/>
      <c r="BR403" s="825"/>
      <c r="BS403" s="825"/>
      <c r="BT403" s="825"/>
      <c r="BU403" s="825"/>
      <c r="BV403" s="825"/>
      <c r="BW403" s="825"/>
      <c r="BX403" s="825"/>
      <c r="BY403" s="825"/>
      <c r="BZ403" s="825"/>
      <c r="CA403" s="825"/>
      <c r="CB403" s="825"/>
      <c r="CC403" s="825"/>
    </row>
    <row r="404" spans="1:81" s="548" customFormat="1" ht="41.3" customHeight="1" x14ac:dyDescent="0.25">
      <c r="A404" s="558"/>
      <c r="B404" s="672"/>
      <c r="C404" s="834"/>
      <c r="D404" s="1075"/>
      <c r="E404" s="1075"/>
      <c r="F404" s="960"/>
      <c r="G404" s="1093"/>
      <c r="H404" s="1114"/>
      <c r="I404" s="1061"/>
      <c r="J404" s="680"/>
      <c r="K404" s="1044"/>
      <c r="L404" s="1045"/>
      <c r="M404" s="645" t="s">
        <v>489</v>
      </c>
      <c r="N404" s="732" t="str">
        <f>N141</f>
        <v>Otorgamiento inadecuado de títulos habilitantes que generan tráfico de tierras</v>
      </c>
      <c r="O404" s="837" t="str">
        <f t="shared" si="10"/>
        <v>Patrimonio cultural</v>
      </c>
      <c r="P404" s="544" t="str">
        <f>AI6</f>
        <v>PC</v>
      </c>
      <c r="Q404" s="540" t="str">
        <f>AV9</f>
        <v>Evaluación de superposición del área solicitada para titulación de predios rurales con áreas determinadas como patrimonio cultural</v>
      </c>
      <c r="R404" s="540" t="s">
        <v>586</v>
      </c>
      <c r="S404" s="544" t="s">
        <v>507</v>
      </c>
      <c r="T404" s="519" t="str">
        <f>AU9</f>
        <v>SPC1</v>
      </c>
      <c r="U404" s="628"/>
      <c r="V404" s="478"/>
      <c r="W404" s="478"/>
      <c r="X404" s="273"/>
      <c r="Y404" s="825"/>
      <c r="Z404" s="825"/>
      <c r="AA404" s="825"/>
      <c r="AB404" s="825"/>
      <c r="AC404" s="825"/>
      <c r="AD404" s="825"/>
      <c r="AE404" s="825"/>
      <c r="AF404" s="825"/>
      <c r="AG404" s="825"/>
      <c r="AH404" s="825"/>
      <c r="AI404" s="825"/>
      <c r="AJ404" s="825"/>
      <c r="AK404" s="825"/>
      <c r="AL404" s="825"/>
      <c r="AM404" s="825"/>
      <c r="AN404" s="825"/>
      <c r="AO404" s="825"/>
      <c r="AP404" s="825"/>
      <c r="AQ404" s="825"/>
      <c r="AR404" s="825"/>
      <c r="AS404" s="825"/>
      <c r="AT404" s="825"/>
      <c r="AU404" s="825"/>
      <c r="AV404" s="825"/>
      <c r="AW404" s="825"/>
      <c r="AX404" s="825"/>
      <c r="AY404" s="273"/>
      <c r="AZ404" s="273"/>
      <c r="BA404" s="825"/>
      <c r="BB404" s="825"/>
      <c r="BC404" s="825"/>
      <c r="BD404" s="825"/>
      <c r="BE404" s="825"/>
      <c r="BF404" s="825"/>
      <c r="BG404" s="825"/>
      <c r="BH404" s="825"/>
      <c r="BI404" s="825"/>
      <c r="BJ404" s="825"/>
      <c r="BK404" s="825"/>
      <c r="BL404" s="825"/>
      <c r="BM404" s="825"/>
      <c r="BN404" s="825"/>
      <c r="BO404" s="825"/>
      <c r="BP404" s="825"/>
      <c r="BQ404" s="825"/>
      <c r="BR404" s="825"/>
      <c r="BS404" s="825"/>
      <c r="BT404" s="825"/>
      <c r="BU404" s="825"/>
      <c r="BV404" s="825"/>
      <c r="BW404" s="825"/>
      <c r="BX404" s="825"/>
      <c r="BY404" s="825"/>
      <c r="BZ404" s="825"/>
      <c r="CA404" s="825"/>
      <c r="CB404" s="825"/>
      <c r="CC404" s="825"/>
    </row>
    <row r="405" spans="1:81" ht="51.8" customHeight="1" x14ac:dyDescent="0.25">
      <c r="A405" s="558"/>
      <c r="B405" s="672" t="s">
        <v>873</v>
      </c>
      <c r="C405" s="834" t="str">
        <f>'8. BASE  CONSOLIDADA'!E260</f>
        <v>3.8.3</v>
      </c>
      <c r="D405" s="1069" t="str">
        <f>'8. BASE  CONSOLIDADA'!F260</f>
        <v>Elaboración del plan/declaración de manejo de las nuevas categorías de ordenamiento forestal y títulos habilitantes forestales</v>
      </c>
      <c r="E405" s="1069" t="str">
        <f>'8. BASE  CONSOLIDADA'!G260</f>
        <v>Dependiendo de la categoría forestal a ser aplicada, se realizará un plan/declaración acorde a la unidad, en el marco de la ley forestal y fauna silvestre N° 29763.</v>
      </c>
      <c r="F405" s="836" t="str">
        <f>'8. BASE  CONSOLIDADA'!C260</f>
        <v>Tierras sin categoría territorial asignada</v>
      </c>
      <c r="G405" s="1019" t="str">
        <f>VLOOKUP($C405,'8. BASE  CONSOLIDADA'!$E$7:$AS$308,13,FALSE)</f>
        <v>N° Planes / Declaraciones elaborados</v>
      </c>
      <c r="H405" s="1109">
        <f>VLOOKUP($C405,'8. BASE  CONSOLIDADA'!$E$7:$AS$308,15,FALSE)</f>
        <v>8</v>
      </c>
      <c r="I405" s="1058">
        <f>VLOOKUP(C405,'8. BASE  CONSOLIDADA'!$E$7:$AS$308,20,FALSE)</f>
        <v>80000</v>
      </c>
      <c r="J405" s="678">
        <f>I405*$J$6</f>
        <v>54.400000000000006</v>
      </c>
      <c r="K405" s="1020"/>
      <c r="L405" s="1045"/>
      <c r="M405" s="645" t="s">
        <v>489</v>
      </c>
      <c r="N405" s="732" t="str">
        <f>N141</f>
        <v>Otorgamiento inadecuado de títulos habilitantes que generan tráfico de tierras</v>
      </c>
      <c r="O405" s="837" t="str">
        <f t="shared" si="10"/>
        <v>Corrupción</v>
      </c>
      <c r="P405" s="544" t="e">
        <f>#REF!</f>
        <v>#REF!</v>
      </c>
      <c r="Q405" s="540" t="str">
        <f>AG16</f>
        <v xml:space="preserve">Transparencia en los procesos de otorgamiento de derechos en las tierras sin categoría territorial asignada </v>
      </c>
      <c r="R405" s="540" t="s">
        <v>859</v>
      </c>
      <c r="S405" s="544" t="s">
        <v>507</v>
      </c>
      <c r="T405" s="519" t="str">
        <f>AF16</f>
        <v>SCR8</v>
      </c>
      <c r="U405" s="628"/>
      <c r="V405" s="478"/>
      <c r="W405" s="478"/>
      <c r="X405" s="273"/>
      <c r="Y405" s="825"/>
      <c r="Z405" s="825"/>
      <c r="AA405" s="825"/>
      <c r="AB405" s="825"/>
      <c r="AC405" s="825"/>
      <c r="AD405" s="825"/>
      <c r="AE405" s="825"/>
      <c r="AF405" s="825"/>
      <c r="AG405" s="825"/>
      <c r="AH405" s="825"/>
      <c r="AI405" s="825"/>
      <c r="AJ405" s="825"/>
      <c r="AK405" s="825"/>
      <c r="AL405" s="825"/>
      <c r="AM405" s="825"/>
      <c r="AN405" s="825"/>
      <c r="AO405" s="825"/>
      <c r="AP405" s="825"/>
      <c r="AQ405" s="825"/>
      <c r="AR405" s="825"/>
      <c r="AS405" s="825"/>
      <c r="AT405" s="825"/>
      <c r="AU405" s="825"/>
      <c r="AV405" s="825"/>
      <c r="AW405" s="825"/>
      <c r="AX405" s="825"/>
      <c r="BA405" s="825"/>
      <c r="BB405" s="825"/>
      <c r="BC405" s="825"/>
      <c r="BD405" s="825"/>
      <c r="BE405" s="825"/>
      <c r="BF405" s="825"/>
      <c r="BG405" s="825"/>
      <c r="BH405" s="825"/>
      <c r="BI405" s="825"/>
      <c r="BJ405" s="825"/>
      <c r="BK405" s="825"/>
      <c r="BL405" s="825"/>
      <c r="BM405" s="825"/>
      <c r="BN405" s="825"/>
      <c r="BO405" s="825"/>
      <c r="BP405" s="825"/>
      <c r="BQ405" s="825"/>
      <c r="BR405" s="825"/>
      <c r="BS405" s="825"/>
      <c r="BT405" s="825"/>
      <c r="BU405" s="825"/>
      <c r="BV405" s="825"/>
      <c r="BW405" s="825"/>
      <c r="BX405" s="825"/>
      <c r="BY405" s="825"/>
      <c r="BZ405" s="825"/>
      <c r="CA405" s="825"/>
      <c r="CB405" s="825"/>
      <c r="CC405" s="825"/>
    </row>
    <row r="406" spans="1:81" ht="50.3" customHeight="1" x14ac:dyDescent="0.25">
      <c r="A406" s="558"/>
      <c r="B406" s="672" t="s">
        <v>873</v>
      </c>
      <c r="C406" s="834" t="str">
        <f>'8. BASE  CONSOLIDADA'!E261</f>
        <v>3.8.4</v>
      </c>
      <c r="D406" s="1069" t="str">
        <f>'8. BASE  CONSOLIDADA'!F261</f>
        <v>Inscripción en el catastro forestal y en registros públicos</v>
      </c>
      <c r="E406" s="1069" t="str">
        <f>'8. BASE  CONSOLIDADA'!G261</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406" s="836" t="str">
        <f>'8. BASE  CONSOLIDADA'!C261</f>
        <v>Tierras sin categoría territorial asignada</v>
      </c>
      <c r="G406" s="1019" t="str">
        <f>VLOOKUP($C406,'8. BASE  CONSOLIDADA'!$E$7:$AS$308,13,FALSE)</f>
        <v>Ha. Inscritas</v>
      </c>
      <c r="H406" s="1109">
        <f>VLOOKUP($C406,'8. BASE  CONSOLIDADA'!$E$7:$AS$308,15,FALSE)</f>
        <v>18546.349137439898</v>
      </c>
      <c r="I406" s="1058">
        <f>VLOOKUP(C406,'8. BASE  CONSOLIDADA'!$E$7:$AS$308,20,FALSE)</f>
        <v>18546.349137439898</v>
      </c>
      <c r="J406" s="678">
        <f>I406*$J$6</f>
        <v>12.611517413459131</v>
      </c>
      <c r="K406" s="1020"/>
      <c r="L406" s="1045"/>
      <c r="M406" s="645" t="s">
        <v>489</v>
      </c>
      <c r="N406" s="732" t="str">
        <f>N141</f>
        <v>Otorgamiento inadecuado de títulos habilitantes que generan tráfico de tierras</v>
      </c>
      <c r="O406" s="837" t="str">
        <f t="shared" si="10"/>
        <v>Corrupción</v>
      </c>
      <c r="P406" s="544" t="e">
        <f>#REF!</f>
        <v>#REF!</v>
      </c>
      <c r="Q406" s="540" t="str">
        <f>AG16</f>
        <v xml:space="preserve">Transparencia en los procesos de otorgamiento de derechos en las tierras sin categoría territorial asignada </v>
      </c>
      <c r="R406" s="540" t="s">
        <v>859</v>
      </c>
      <c r="S406" s="544" t="s">
        <v>507</v>
      </c>
      <c r="T406" s="519" t="str">
        <f>AF16</f>
        <v>SCR8</v>
      </c>
      <c r="U406" s="628"/>
      <c r="V406" s="478"/>
      <c r="W406" s="478"/>
      <c r="X406" s="273"/>
      <c r="Y406" s="825"/>
      <c r="Z406" s="825"/>
      <c r="AA406" s="825"/>
      <c r="AB406" s="825"/>
      <c r="AC406" s="825"/>
      <c r="AD406" s="825"/>
      <c r="AE406" s="825"/>
      <c r="AF406" s="825"/>
      <c r="AG406" s="825"/>
      <c r="AH406" s="825"/>
      <c r="AI406" s="825"/>
      <c r="AJ406" s="825"/>
      <c r="AK406" s="825"/>
      <c r="AL406" s="825"/>
      <c r="AM406" s="825"/>
      <c r="AN406" s="825"/>
      <c r="AO406" s="825"/>
      <c r="AP406" s="825"/>
      <c r="AQ406" s="825"/>
      <c r="AR406" s="825"/>
      <c r="AS406" s="825"/>
      <c r="AT406" s="825"/>
      <c r="AU406" s="825"/>
      <c r="AV406" s="825"/>
      <c r="AW406" s="825"/>
      <c r="AX406" s="825"/>
      <c r="BA406" s="825"/>
      <c r="BB406" s="825"/>
      <c r="BC406" s="825"/>
      <c r="BD406" s="825"/>
      <c r="BE406" s="825"/>
      <c r="BF406" s="825"/>
      <c r="BG406" s="825"/>
      <c r="BH406" s="825"/>
      <c r="BI406" s="825"/>
      <c r="BJ406" s="825"/>
      <c r="BK406" s="825"/>
      <c r="BL406" s="825"/>
      <c r="BM406" s="825"/>
      <c r="BN406" s="825"/>
      <c r="BO406" s="825"/>
      <c r="BP406" s="825"/>
      <c r="BQ406" s="825"/>
      <c r="BR406" s="825"/>
      <c r="BS406" s="825"/>
      <c r="BT406" s="825"/>
      <c r="BU406" s="825"/>
      <c r="BV406" s="825"/>
      <c r="BW406" s="825"/>
      <c r="BX406" s="825"/>
      <c r="BY406" s="825"/>
      <c r="BZ406" s="825"/>
      <c r="CA406" s="825"/>
      <c r="CB406" s="825"/>
      <c r="CC406" s="825"/>
    </row>
    <row r="407" spans="1:81" ht="61.5" customHeight="1" x14ac:dyDescent="0.25">
      <c r="A407" s="558"/>
      <c r="B407" s="672" t="s">
        <v>873</v>
      </c>
      <c r="C407" s="834" t="str">
        <f>'8. BASE  CONSOLIDADA'!E263</f>
        <v>3.9.1</v>
      </c>
      <c r="D407" s="1069" t="str">
        <f>'8. BASE  CONSOLIDADA'!F263</f>
        <v>Acuerdos con rondas campesinas para cumplimiento de compromisos de no deforestación y tráfico de tierras e invasiones</v>
      </c>
      <c r="E407" s="1069" t="str">
        <f>'8. BASE  CONSOLIDADA'!G263</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F407" s="836" t="str">
        <f>'8. BASE  CONSOLIDADA'!C263</f>
        <v>Intervenciones Transversales x UDT</v>
      </c>
      <c r="G407" s="1019" t="str">
        <f>VLOOKUP($C407,'8. BASE  CONSOLIDADA'!$E$7:$AS$308,13,FALSE)</f>
        <v>Acuerdos con rondas campesinas</v>
      </c>
      <c r="H407" s="1109">
        <f>VLOOKUP($C407,'8. BASE  CONSOLIDADA'!$E$7:$AS$308,15,FALSE)</f>
        <v>19</v>
      </c>
      <c r="I407" s="1058">
        <f>VLOOKUP(C407,'8. BASE  CONSOLIDADA'!$E$7:$AS$308,20,FALSE)</f>
        <v>237500</v>
      </c>
      <c r="J407" s="678">
        <f>I407*$J$6</f>
        <v>161.5</v>
      </c>
      <c r="K407" s="1020"/>
      <c r="L407" s="1045"/>
      <c r="M407" s="645" t="s">
        <v>489</v>
      </c>
      <c r="N407" s="732" t="str">
        <f>N146</f>
        <v>Exclusión de mujeres para el cumplimiento de compromisos de no deforestación y tráfico de tierras e invasiones</v>
      </c>
      <c r="O407" s="837" t="str">
        <f t="shared" si="10"/>
        <v>Género</v>
      </c>
      <c r="P407" s="544" t="str">
        <f>AC6</f>
        <v>GN</v>
      </c>
      <c r="Q407" s="540" t="str">
        <f>AJ11</f>
        <v xml:space="preserve">Cuotas de género y medición de participación efectiva de mujeres rurales </v>
      </c>
      <c r="R407" s="540" t="s">
        <v>689</v>
      </c>
      <c r="S407" s="544" t="s">
        <v>507</v>
      </c>
      <c r="T407" s="519" t="str">
        <f>AI11</f>
        <v>SGN3</v>
      </c>
      <c r="U407" s="628"/>
      <c r="V407" s="478"/>
      <c r="W407" s="478"/>
      <c r="X407" s="273"/>
      <c r="Y407" s="825"/>
      <c r="Z407" s="825"/>
      <c r="AA407" s="825"/>
      <c r="AB407" s="825"/>
      <c r="AC407" s="825"/>
      <c r="AD407" s="825"/>
      <c r="AE407" s="825"/>
      <c r="AF407" s="825"/>
      <c r="AG407" s="825"/>
      <c r="AH407" s="825"/>
      <c r="AI407" s="825"/>
      <c r="AJ407" s="825"/>
      <c r="AK407" s="825"/>
      <c r="AL407" s="825"/>
      <c r="AM407" s="825"/>
      <c r="AN407" s="825"/>
      <c r="AO407" s="825"/>
      <c r="AP407" s="825"/>
      <c r="AQ407" s="825"/>
      <c r="AR407" s="825"/>
      <c r="AS407" s="825"/>
      <c r="AT407" s="825"/>
      <c r="AU407" s="825"/>
      <c r="AV407" s="825"/>
      <c r="AW407" s="825"/>
      <c r="AX407" s="825"/>
      <c r="BA407" s="825"/>
      <c r="BB407" s="825"/>
      <c r="BC407" s="825"/>
      <c r="BD407" s="825"/>
      <c r="BE407" s="825"/>
      <c r="BF407" s="825"/>
      <c r="BG407" s="825"/>
      <c r="BH407" s="825"/>
      <c r="BI407" s="825"/>
      <c r="BJ407" s="825"/>
      <c r="BK407" s="825"/>
      <c r="BL407" s="825"/>
      <c r="BM407" s="825"/>
      <c r="BN407" s="825"/>
      <c r="BO407" s="825"/>
      <c r="BP407" s="825"/>
      <c r="BQ407" s="825"/>
      <c r="BR407" s="825"/>
      <c r="BS407" s="825"/>
      <c r="BT407" s="825"/>
      <c r="BU407" s="825"/>
      <c r="BV407" s="825"/>
      <c r="BW407" s="825"/>
      <c r="BX407" s="825"/>
      <c r="BY407" s="825"/>
      <c r="BZ407" s="825"/>
      <c r="CA407" s="825"/>
      <c r="CB407" s="825"/>
      <c r="CC407" s="825"/>
    </row>
    <row r="408" spans="1:81" s="548" customFormat="1" ht="77.95" customHeight="1" x14ac:dyDescent="0.25">
      <c r="A408" s="558"/>
      <c r="B408" s="672"/>
      <c r="C408" s="834"/>
      <c r="D408" s="1069"/>
      <c r="E408" s="1069"/>
      <c r="F408" s="836"/>
      <c r="G408" s="1089"/>
      <c r="H408" s="1110"/>
      <c r="I408" s="1059"/>
      <c r="J408" s="680"/>
      <c r="K408" s="1044"/>
      <c r="L408" s="1045"/>
      <c r="M408" s="645" t="s">
        <v>489</v>
      </c>
      <c r="N408" s="732" t="str">
        <f>N146</f>
        <v>Exclusión de mujeres para el cumplimiento de compromisos de no deforestación y tráfico de tierras e invasiones</v>
      </c>
      <c r="O408" s="837" t="str">
        <f t="shared" si="10"/>
        <v>Género</v>
      </c>
      <c r="P408" s="544" t="str">
        <f>AC6</f>
        <v>GN</v>
      </c>
      <c r="Q408" s="540" t="str">
        <f>AJ19</f>
        <v xml:space="preserve">Inclusión de mujeres rurales y sus organizaciones en iniciativas de control y vigilancia de la deforestación </v>
      </c>
      <c r="R408" s="540" t="s">
        <v>861</v>
      </c>
      <c r="S408" s="544" t="s">
        <v>526</v>
      </c>
      <c r="T408" s="519" t="str">
        <f>AI19</f>
        <v>SGN11</v>
      </c>
      <c r="U408" s="628"/>
      <c r="V408" s="478"/>
      <c r="W408" s="478"/>
      <c r="X408" s="273"/>
      <c r="Y408" s="825"/>
      <c r="Z408" s="825"/>
      <c r="AA408" s="825"/>
      <c r="AB408" s="825"/>
      <c r="AC408" s="825"/>
      <c r="AD408" s="825"/>
      <c r="AE408" s="825"/>
      <c r="AF408" s="825"/>
      <c r="AG408" s="825"/>
      <c r="AH408" s="825"/>
      <c r="AI408" s="825"/>
      <c r="AJ408" s="825"/>
      <c r="AK408" s="825"/>
      <c r="AL408" s="825"/>
      <c r="AM408" s="825"/>
      <c r="AN408" s="825"/>
      <c r="AO408" s="825"/>
      <c r="AP408" s="825"/>
      <c r="AQ408" s="825"/>
      <c r="AR408" s="825"/>
      <c r="AS408" s="825"/>
      <c r="AT408" s="825"/>
      <c r="AU408" s="825"/>
      <c r="AV408" s="825"/>
      <c r="AW408" s="825"/>
      <c r="AX408" s="825"/>
      <c r="AY408" s="273"/>
      <c r="AZ408" s="273"/>
      <c r="BA408" s="825"/>
      <c r="BB408" s="825"/>
      <c r="BC408" s="825"/>
      <c r="BD408" s="825"/>
      <c r="BE408" s="825"/>
      <c r="BF408" s="825"/>
      <c r="BG408" s="825"/>
      <c r="BH408" s="825"/>
      <c r="BI408" s="825"/>
      <c r="BJ408" s="825"/>
      <c r="BK408" s="825"/>
      <c r="BL408" s="825"/>
      <c r="BM408" s="825"/>
      <c r="BN408" s="825"/>
      <c r="BO408" s="825"/>
      <c r="BP408" s="825"/>
      <c r="BQ408" s="825"/>
      <c r="BR408" s="825"/>
      <c r="BS408" s="825"/>
      <c r="BT408" s="825"/>
      <c r="BU408" s="825"/>
      <c r="BV408" s="825"/>
      <c r="BW408" s="825"/>
      <c r="BX408" s="825"/>
      <c r="BY408" s="825"/>
      <c r="BZ408" s="825"/>
      <c r="CA408" s="825"/>
      <c r="CB408" s="825"/>
      <c r="CC408" s="825"/>
    </row>
    <row r="409" spans="1:81" ht="55.55" customHeight="1" x14ac:dyDescent="0.25">
      <c r="A409" s="558"/>
      <c r="B409" s="672" t="s">
        <v>873</v>
      </c>
      <c r="C409" s="834" t="str">
        <f>'8. BASE  CONSOLIDADA'!E264</f>
        <v>3.9.2</v>
      </c>
      <c r="D409" s="1082" t="str">
        <f>'8. BASE  CONSOLIDADA'!F264</f>
        <v>Mejora de programas de desarrollo alternativo con salvaguardas ambientales</v>
      </c>
      <c r="E409" s="1082" t="str">
        <f>'8. BASE  CONSOLIDADA'!G264</f>
        <v xml:space="preserve">Los cultivos alternativos promovidos por los programas de cooperación deberán considerar la no ampliación de la frontera agrícola, la no deforestación de bosques primarios y las intervenciones transversales de recuperación de áreas. </v>
      </c>
      <c r="F409" s="636" t="str">
        <f>'8. BASE  CONSOLIDADA'!C264</f>
        <v>Intervenciones Transversales x UDT</v>
      </c>
      <c r="G409" s="1019" t="str">
        <f>VLOOKUP($C409,'8. BASE  CONSOLIDADA'!$E$7:$AS$308,13,FALSE)</f>
        <v>Reuniones de coordinación</v>
      </c>
      <c r="H409" s="1109">
        <f>VLOOKUP($C409,'8. BASE  CONSOLIDADA'!$E$7:$AS$308,15,FALSE)</f>
        <v>5</v>
      </c>
      <c r="I409" s="1058">
        <f>VLOOKUP(C409,'8. BASE  CONSOLIDADA'!$E$7:$AS$308,20,FALSE)</f>
        <v>45000</v>
      </c>
      <c r="J409" s="678">
        <f>I409*$J$6</f>
        <v>30.6</v>
      </c>
      <c r="K409" s="1020"/>
      <c r="L409" s="1045"/>
      <c r="M409" s="645" t="s">
        <v>489</v>
      </c>
      <c r="N409" s="732" t="s">
        <v>895</v>
      </c>
      <c r="O409" s="837" t="str">
        <f t="shared" si="10"/>
        <v>Biodiversidad y recursos naturales</v>
      </c>
      <c r="P409" s="544" t="e">
        <f>#REF!</f>
        <v>#REF!</v>
      </c>
      <c r="Q409" s="540" t="str">
        <f>AA18</f>
        <v>Elaboración, implementación y monitoreo de acuerdos de no ampliación de frontera agrícola y no deforestación de bosques primarios</v>
      </c>
      <c r="R409" s="540" t="s">
        <v>896</v>
      </c>
      <c r="S409" s="544" t="s">
        <v>526</v>
      </c>
      <c r="T409" s="519" t="str">
        <f>Z18</f>
        <v>SBRN10</v>
      </c>
      <c r="U409" s="628"/>
      <c r="V409" s="478"/>
      <c r="W409" s="478"/>
      <c r="X409" s="273"/>
      <c r="Y409" s="825"/>
      <c r="Z409" s="825"/>
      <c r="AA409" s="825"/>
      <c r="AB409" s="825"/>
      <c r="AC409" s="825"/>
      <c r="AD409" s="825"/>
      <c r="AE409" s="825"/>
      <c r="AF409" s="825"/>
      <c r="AG409" s="825"/>
      <c r="AH409" s="825"/>
      <c r="AI409" s="825"/>
      <c r="AJ409" s="825"/>
      <c r="AK409" s="825"/>
      <c r="AL409" s="825"/>
      <c r="AM409" s="825"/>
      <c r="AN409" s="825"/>
      <c r="AO409" s="825"/>
      <c r="AP409" s="825"/>
      <c r="AQ409" s="825"/>
      <c r="AR409" s="825"/>
      <c r="AS409" s="825"/>
      <c r="AT409" s="825"/>
      <c r="AU409" s="825"/>
      <c r="AV409" s="825"/>
      <c r="AW409" s="825"/>
      <c r="AX409" s="825"/>
      <c r="BA409" s="825"/>
      <c r="BB409" s="825"/>
      <c r="BC409" s="825"/>
      <c r="BD409" s="825"/>
      <c r="BE409" s="825"/>
      <c r="BF409" s="825"/>
      <c r="BG409" s="825"/>
      <c r="BH409" s="825"/>
      <c r="BI409" s="825"/>
      <c r="BJ409" s="825"/>
      <c r="BK409" s="825"/>
      <c r="BL409" s="825"/>
      <c r="BM409" s="825"/>
      <c r="BN409" s="825"/>
      <c r="BO409" s="825"/>
      <c r="BP409" s="825"/>
      <c r="BQ409" s="825"/>
      <c r="BR409" s="825"/>
      <c r="BS409" s="825"/>
      <c r="BT409" s="825"/>
      <c r="BU409" s="825"/>
      <c r="BV409" s="825"/>
      <c r="BW409" s="825"/>
      <c r="BX409" s="825"/>
      <c r="BY409" s="825"/>
      <c r="BZ409" s="825"/>
      <c r="CA409" s="825"/>
      <c r="CB409" s="825"/>
      <c r="CC409" s="825"/>
    </row>
    <row r="410" spans="1:81" ht="81.7" customHeight="1" x14ac:dyDescent="0.25">
      <c r="A410" s="558"/>
      <c r="B410" s="672" t="s">
        <v>873</v>
      </c>
      <c r="C410" s="834" t="str">
        <f>'8. BASE  CONSOLIDADA'!E265</f>
        <v>3.9.3</v>
      </c>
      <c r="D410" s="1069" t="str">
        <f>'8. BASE  CONSOLIDADA'!F265</f>
        <v>Mejoramiento de vías de acceso</v>
      </c>
      <c r="E410" s="1069" t="str">
        <f>'8. BASE  CONSOLIDADA'!G265</f>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v>
      </c>
      <c r="F410" s="836" t="str">
        <f>'8. BASE  CONSOLIDADA'!C265</f>
        <v>Intervenciones Transversales x UDT</v>
      </c>
      <c r="G410" s="1019" t="str">
        <f>VLOOKUP($C410,'8. BASE  CONSOLIDADA'!$E$7:$AS$308,13,FALSE)</f>
        <v>Kilómetros mejorados</v>
      </c>
      <c r="H410" s="1109">
        <f>VLOOKUP($C410,'8. BASE  CONSOLIDADA'!$E$7:$AS$308,15,FALSE)</f>
        <v>47.900000000000006</v>
      </c>
      <c r="I410" s="1058">
        <f>VLOOKUP(C410,'8. BASE  CONSOLIDADA'!$E$7:$AS$308,20,FALSE)</f>
        <v>38320000.000000007</v>
      </c>
      <c r="J410" s="678">
        <f>I410*$J$6</f>
        <v>26057.600000000006</v>
      </c>
      <c r="K410" s="1020"/>
      <c r="L410" s="1045"/>
      <c r="M410" s="645" t="s">
        <v>489</v>
      </c>
      <c r="N410" s="732" t="str">
        <f>N148</f>
        <v>Deforestación de nuevas áreas por el mejoramiento de vías de acceso, sobre áreas adyacentes</v>
      </c>
      <c r="O410" s="837" t="str">
        <f t="shared" si="10"/>
        <v>Biodiversidad y recursos naturales</v>
      </c>
      <c r="P410" s="544" t="e">
        <f>#REF!</f>
        <v>#REF!</v>
      </c>
      <c r="Q410" s="540" t="str">
        <f>AA17</f>
        <v>Elaboración, implementación y monitoreo de acuerdos de conservación</v>
      </c>
      <c r="R410" s="540" t="s">
        <v>863</v>
      </c>
      <c r="S410" s="544" t="s">
        <v>526</v>
      </c>
      <c r="T410" s="519" t="str">
        <f>Z17</f>
        <v>SBRN9</v>
      </c>
      <c r="U410" s="628"/>
      <c r="V410" s="478"/>
      <c r="W410" s="478"/>
      <c r="X410" s="273"/>
      <c r="Y410" s="825"/>
      <c r="Z410" s="825"/>
      <c r="AA410" s="825"/>
      <c r="AB410" s="825"/>
      <c r="AC410" s="825"/>
      <c r="AD410" s="825"/>
      <c r="AE410" s="825"/>
      <c r="AF410" s="825"/>
      <c r="AG410" s="825"/>
      <c r="AH410" s="825"/>
      <c r="AI410" s="825"/>
      <c r="AJ410" s="825"/>
      <c r="AK410" s="825"/>
      <c r="AL410" s="825"/>
      <c r="AM410" s="825"/>
      <c r="AN410" s="825"/>
      <c r="AO410" s="825"/>
      <c r="AP410" s="825"/>
      <c r="AQ410" s="825"/>
      <c r="AR410" s="825"/>
      <c r="AS410" s="825"/>
      <c r="AT410" s="825"/>
      <c r="AU410" s="825"/>
      <c r="AV410" s="825"/>
      <c r="AW410" s="825"/>
      <c r="AX410" s="825"/>
      <c r="BA410" s="825"/>
      <c r="BB410" s="825"/>
      <c r="BC410" s="825"/>
      <c r="BD410" s="825"/>
      <c r="BE410" s="825"/>
      <c r="BF410" s="825"/>
      <c r="BG410" s="825"/>
      <c r="BH410" s="825"/>
      <c r="BI410" s="825"/>
      <c r="BJ410" s="825"/>
      <c r="BK410" s="825"/>
      <c r="BL410" s="825"/>
      <c r="BM410" s="825"/>
      <c r="BN410" s="825"/>
      <c r="BO410" s="825"/>
      <c r="BP410" s="825"/>
      <c r="BQ410" s="825"/>
      <c r="BR410" s="825"/>
      <c r="BS410" s="825"/>
      <c r="BT410" s="825"/>
      <c r="BU410" s="825"/>
      <c r="BV410" s="825"/>
      <c r="BW410" s="825"/>
      <c r="BX410" s="825"/>
      <c r="BY410" s="825"/>
      <c r="BZ410" s="825"/>
      <c r="CA410" s="825"/>
      <c r="CB410" s="825"/>
      <c r="CC410" s="825"/>
    </row>
    <row r="411" spans="1:81" ht="90" customHeight="1" x14ac:dyDescent="0.25">
      <c r="A411" s="558"/>
      <c r="B411" s="672" t="s">
        <v>873</v>
      </c>
      <c r="C411" s="834" t="str">
        <f>'8. BASE  CONSOLIDADA'!E267</f>
        <v>3.9.5</v>
      </c>
      <c r="D411" s="1069" t="str">
        <f>'8. BASE  CONSOLIDADA'!F267</f>
        <v>Mejor cobertura y calidad de servicios de educación y salud</v>
      </c>
      <c r="E411" s="1069" t="str">
        <f>'8. BASE  CONSOLIDADA'!G267</f>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v>
      </c>
      <c r="F411" s="836" t="str">
        <f>'8. BASE  CONSOLIDADA'!C267</f>
        <v>Intervenciones Transversales x UDT</v>
      </c>
      <c r="G411" s="1019" t="str">
        <f>VLOOKUP($C411,'8. BASE  CONSOLIDADA'!$E$7:$AS$308,13,FALSE)</f>
        <v>Centros de salud y colegios implementados</v>
      </c>
      <c r="H411" s="1109">
        <f>VLOOKUP($C411,'8. BASE  CONSOLIDADA'!$E$7:$AS$308,15,FALSE)</f>
        <v>7</v>
      </c>
      <c r="I411" s="1058">
        <f>VLOOKUP(C411,'8. BASE  CONSOLIDADA'!$E$7:$AS$308,20,FALSE)</f>
        <v>24500000</v>
      </c>
      <c r="J411" s="678">
        <f>I411*$J$6</f>
        <v>16660</v>
      </c>
      <c r="K411" s="1020"/>
      <c r="L411" s="1045"/>
      <c r="M411" s="645" t="s">
        <v>489</v>
      </c>
      <c r="N411" s="732" t="str">
        <f>N149</f>
        <v>Exclusión de mujeres en el otorgamiento de servicios de educación y salud</v>
      </c>
      <c r="O411" s="837" t="str">
        <f t="shared" si="10"/>
        <v>Género</v>
      </c>
      <c r="P411" s="544" t="str">
        <f>AC6</f>
        <v>GN</v>
      </c>
      <c r="Q411" s="540" t="str">
        <f>AJ11</f>
        <v xml:space="preserve">Cuotas de género y medición de participación efectiva de mujeres rurales </v>
      </c>
      <c r="R411" s="540" t="s">
        <v>689</v>
      </c>
      <c r="S411" s="544" t="s">
        <v>507</v>
      </c>
      <c r="T411" s="519" t="str">
        <f>AI11</f>
        <v>SGN3</v>
      </c>
      <c r="U411" s="628"/>
      <c r="V411" s="478"/>
      <c r="W411" s="478"/>
      <c r="X411" s="273"/>
      <c r="Y411" s="825"/>
      <c r="Z411" s="825"/>
      <c r="AA411" s="825"/>
      <c r="AB411" s="825"/>
      <c r="AC411" s="825"/>
      <c r="AD411" s="825"/>
      <c r="AE411" s="825"/>
      <c r="AF411" s="825"/>
      <c r="AG411" s="825"/>
      <c r="AH411" s="825"/>
      <c r="AI411" s="825"/>
      <c r="AJ411" s="825"/>
      <c r="AK411" s="825"/>
      <c r="AL411" s="825"/>
      <c r="AM411" s="825"/>
      <c r="AN411" s="825"/>
      <c r="AO411" s="825"/>
      <c r="AP411" s="825"/>
      <c r="AQ411" s="825"/>
      <c r="AR411" s="825"/>
      <c r="AS411" s="825"/>
      <c r="AT411" s="825"/>
      <c r="AU411" s="825"/>
      <c r="AV411" s="825"/>
      <c r="AW411" s="825"/>
      <c r="AX411" s="825"/>
      <c r="BA411" s="825"/>
      <c r="BB411" s="825"/>
      <c r="BC411" s="825"/>
      <c r="BD411" s="825"/>
      <c r="BE411" s="825"/>
      <c r="BF411" s="825"/>
      <c r="BG411" s="825"/>
      <c r="BH411" s="825"/>
      <c r="BI411" s="825"/>
      <c r="BJ411" s="825"/>
      <c r="BK411" s="825"/>
      <c r="BL411" s="825"/>
      <c r="BM411" s="825"/>
      <c r="BN411" s="825"/>
      <c r="BO411" s="825"/>
      <c r="BP411" s="825"/>
      <c r="BQ411" s="825"/>
      <c r="BR411" s="825"/>
      <c r="BS411" s="825"/>
      <c r="BT411" s="825"/>
      <c r="BU411" s="825"/>
      <c r="BV411" s="825"/>
      <c r="BW411" s="825"/>
      <c r="BX411" s="825"/>
      <c r="BY411" s="825"/>
      <c r="BZ411" s="825"/>
      <c r="CA411" s="825"/>
      <c r="CB411" s="825"/>
      <c r="CC411" s="825"/>
    </row>
    <row r="412" spans="1:81" ht="90" customHeight="1" x14ac:dyDescent="0.25">
      <c r="A412" s="558"/>
      <c r="B412" s="672" t="s">
        <v>873</v>
      </c>
      <c r="C412" s="834" t="str">
        <f>'8. BASE  CONSOLIDADA'!E268</f>
        <v>3.9.6</v>
      </c>
      <c r="D412" s="1069" t="str">
        <f>'8. BASE  CONSOLIDADA'!F268</f>
        <v>Programa de servicios públicos móviles</v>
      </c>
      <c r="E412" s="1069" t="str">
        <f>'8. BASE  CONSOLIDADA'!G268</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v>
      </c>
      <c r="F412" s="836" t="str">
        <f>'8. BASE  CONSOLIDADA'!C268</f>
        <v>Intervenciones Transversales x UDT</v>
      </c>
      <c r="G412" s="1019" t="str">
        <f>VLOOKUP($C412,'8. BASE  CONSOLIDADA'!$E$7:$AS$308,13,FALSE)</f>
        <v>N° Campañas</v>
      </c>
      <c r="H412" s="1109">
        <f>VLOOKUP($C412,'8. BASE  CONSOLIDADA'!$E$7:$AS$308,15,FALSE)</f>
        <v>149.11500000000001</v>
      </c>
      <c r="I412" s="1058">
        <f>VLOOKUP(C412,'8. BASE  CONSOLIDADA'!$E$7:$AS$308,20,FALSE)</f>
        <v>3727875</v>
      </c>
      <c r="J412" s="678">
        <f>I412*$J$6</f>
        <v>2534.9550000000004</v>
      </c>
      <c r="K412" s="1020"/>
      <c r="L412" s="1045"/>
      <c r="M412" s="645" t="s">
        <v>489</v>
      </c>
      <c r="N412" s="732" t="str">
        <f>N150</f>
        <v>Exclusión de mujeres en el otorgamiento de servicios móviles</v>
      </c>
      <c r="O412" s="837" t="str">
        <f t="shared" si="10"/>
        <v>Género</v>
      </c>
      <c r="P412" s="544" t="str">
        <f>AC6</f>
        <v>GN</v>
      </c>
      <c r="Q412" s="540" t="str">
        <f>AJ11</f>
        <v xml:space="preserve">Cuotas de género y medición de participación efectiva de mujeres rurales </v>
      </c>
      <c r="R412" s="540" t="s">
        <v>689</v>
      </c>
      <c r="S412" s="544" t="s">
        <v>507</v>
      </c>
      <c r="T412" s="519" t="str">
        <f>AI11</f>
        <v>SGN3</v>
      </c>
      <c r="U412" s="628"/>
      <c r="V412" s="478"/>
      <c r="W412" s="478"/>
      <c r="X412" s="273"/>
      <c r="Y412" s="825"/>
      <c r="Z412" s="825"/>
      <c r="AA412" s="825"/>
      <c r="AB412" s="825"/>
      <c r="AC412" s="825"/>
      <c r="AD412" s="825"/>
      <c r="AE412" s="825"/>
      <c r="AF412" s="825"/>
      <c r="AG412" s="825"/>
      <c r="AH412" s="825"/>
      <c r="AI412" s="825"/>
      <c r="AJ412" s="825"/>
      <c r="AK412" s="825"/>
      <c r="AL412" s="825"/>
      <c r="AM412" s="825"/>
      <c r="AN412" s="825"/>
      <c r="AO412" s="825"/>
      <c r="AP412" s="825"/>
      <c r="AQ412" s="825"/>
      <c r="AR412" s="825"/>
      <c r="AS412" s="825"/>
      <c r="AT412" s="825"/>
      <c r="AU412" s="825"/>
      <c r="AV412" s="825"/>
      <c r="AW412" s="825"/>
      <c r="AX412" s="825"/>
      <c r="BA412" s="825"/>
      <c r="BB412" s="825"/>
      <c r="BC412" s="825"/>
      <c r="BD412" s="825"/>
      <c r="BE412" s="825"/>
      <c r="BF412" s="825"/>
      <c r="BG412" s="825"/>
      <c r="BH412" s="825"/>
      <c r="BI412" s="825"/>
      <c r="BJ412" s="825"/>
      <c r="BK412" s="825"/>
      <c r="BL412" s="825"/>
      <c r="BM412" s="825"/>
      <c r="BN412" s="825"/>
      <c r="BO412" s="825"/>
      <c r="BP412" s="825"/>
      <c r="BQ412" s="825"/>
      <c r="BR412" s="825"/>
      <c r="BS412" s="825"/>
      <c r="BT412" s="825"/>
      <c r="BU412" s="825"/>
      <c r="BV412" s="825"/>
      <c r="BW412" s="825"/>
      <c r="BX412" s="825"/>
      <c r="BY412" s="825"/>
      <c r="BZ412" s="825"/>
      <c r="CA412" s="825"/>
      <c r="CB412" s="825"/>
      <c r="CC412" s="825"/>
    </row>
    <row r="413" spans="1:81" ht="65.25" customHeight="1" x14ac:dyDescent="0.25">
      <c r="A413" s="207"/>
      <c r="B413" s="672" t="s">
        <v>897</v>
      </c>
      <c r="C413" s="834" t="str">
        <f>'8. BASE  CONSOLIDADA'!E143</f>
        <v>4.1.1</v>
      </c>
      <c r="D413" s="1069" t="str">
        <f>'8. BASE  CONSOLIDADA'!F143</f>
        <v>Otorgamiento de derechos sobre la tierra/bosques</v>
      </c>
      <c r="E413" s="1069" t="str">
        <f>'8. BASE  CONSOLIDADA'!G143</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413" s="836" t="str">
        <f>'8. BASE  CONSOLIDADA'!C143</f>
        <v>Predios de agricultura familiar con producción destinada al autoconsumo y productos de exportación, con título o sin título de propiedad.</v>
      </c>
      <c r="G413" s="1019" t="str">
        <f>VLOOKUP($C413,'8. BASE  CONSOLIDADA'!$E$7:$AS$308,13,FALSE)</f>
        <v>N° Títulos/Contratos otorgados</v>
      </c>
      <c r="H413" s="1109">
        <f>VLOOKUP($C413,'8. BASE  CONSOLIDADA'!$E$7:$AS$308,15,FALSE)</f>
        <v>3164.2654896553499</v>
      </c>
      <c r="I413" s="1058">
        <f>VLOOKUP(C413,'8. BASE  CONSOLIDADA'!$E$7:$AS$308,20,FALSE)</f>
        <v>6328530.9793106997</v>
      </c>
      <c r="J413" s="678">
        <f>I413*$J$6</f>
        <v>4303.4010659312762</v>
      </c>
      <c r="K413" s="1020"/>
      <c r="L413" s="1047"/>
      <c r="M413" s="645" t="s">
        <v>489</v>
      </c>
      <c r="N413" s="733" t="str">
        <f>N8</f>
        <v>Otorgamiento de titulos de propiedad en tierras de aptitud forestal o protección con cobertura de bosques</v>
      </c>
      <c r="O413" s="837" t="str">
        <f t="shared" si="10"/>
        <v>Biodiversidad y recursos naturales</v>
      </c>
      <c r="P413" s="837" t="e">
        <f>#REF!</f>
        <v>#REF!</v>
      </c>
      <c r="Q413" s="571" t="str">
        <f>AA9</f>
        <v>Realizar estudios de suelos para determinar la capacidad de uso mayor de los suelos como parte de los procesos de formalización de la propiedad rural</v>
      </c>
      <c r="R413" s="534" t="s">
        <v>491</v>
      </c>
      <c r="S413" s="538" t="s">
        <v>492</v>
      </c>
      <c r="T413" s="519" t="str">
        <f>Z9</f>
        <v>SBRN1</v>
      </c>
      <c r="U413" s="628"/>
      <c r="V413" s="478"/>
      <c r="W413" s="478"/>
      <c r="X413" s="273"/>
      <c r="Y413" s="825"/>
      <c r="Z413" s="825"/>
      <c r="AA413" s="825"/>
      <c r="AB413" s="825"/>
      <c r="AC413" s="825"/>
      <c r="AD413" s="825"/>
      <c r="AE413" s="825"/>
      <c r="AF413" s="825"/>
      <c r="AG413" s="825"/>
      <c r="AH413" s="825"/>
      <c r="AI413" s="825"/>
      <c r="AJ413" s="825"/>
      <c r="AK413" s="825"/>
      <c r="AL413" s="825"/>
      <c r="AM413" s="825"/>
      <c r="AN413" s="825"/>
      <c r="AO413" s="825"/>
      <c r="AP413" s="825"/>
      <c r="AQ413" s="825"/>
      <c r="AR413" s="825"/>
      <c r="AS413" s="825"/>
      <c r="AT413" s="825"/>
      <c r="AU413" s="825"/>
      <c r="AV413" s="825"/>
      <c r="AW413" s="825"/>
      <c r="AX413" s="825"/>
      <c r="BA413" s="825"/>
      <c r="BB413" s="825"/>
      <c r="BC413" s="825"/>
      <c r="BD413" s="825"/>
      <c r="BE413" s="825"/>
      <c r="BF413" s="825"/>
      <c r="BG413" s="825"/>
      <c r="BH413" s="825"/>
      <c r="BI413" s="825"/>
      <c r="BJ413" s="825"/>
      <c r="BK413" s="825"/>
      <c r="BL413" s="825"/>
      <c r="BM413" s="825"/>
      <c r="BN413" s="825"/>
      <c r="BO413" s="825"/>
      <c r="BP413" s="825"/>
      <c r="BQ413" s="825"/>
      <c r="BR413" s="825"/>
      <c r="BS413" s="825"/>
      <c r="BT413" s="825"/>
      <c r="BU413" s="825"/>
      <c r="BV413" s="825"/>
      <c r="BW413" s="825"/>
      <c r="BX413" s="825"/>
      <c r="BY413" s="825"/>
      <c r="BZ413" s="825"/>
      <c r="CA413" s="825"/>
      <c r="CB413" s="825"/>
      <c r="CC413" s="825"/>
    </row>
    <row r="414" spans="1:81" ht="39.75" customHeight="1" x14ac:dyDescent="0.25">
      <c r="A414" s="558"/>
      <c r="B414" s="672"/>
      <c r="C414" s="834"/>
      <c r="D414" s="1069"/>
      <c r="E414" s="1083"/>
      <c r="F414" s="836"/>
      <c r="G414" s="1089"/>
      <c r="H414" s="1110"/>
      <c r="I414" s="1059"/>
      <c r="J414" s="681"/>
      <c r="K414" s="1048"/>
      <c r="L414" s="1047"/>
      <c r="M414" s="645" t="s">
        <v>489</v>
      </c>
      <c r="N414" s="730" t="str">
        <f>N9</f>
        <v>Otorgamiento de titulos de propiedad en tierras de aptitud  A y C con cobertura de bosques</v>
      </c>
      <c r="O414" s="837" t="str">
        <f t="shared" si="10"/>
        <v>Biodiversidad y recursos naturales</v>
      </c>
      <c r="P414" s="836" t="e">
        <f>#REF!</f>
        <v>#REF!</v>
      </c>
      <c r="Q414" s="510" t="str">
        <f>AA10</f>
        <v>Implementar el procedimiento de cambio de uso actual de tierras A y C con cobertura de bosques para formalización de propiedad rural considerado en la Ley Forestal y de Fauna Silvestre (Ley No 29736)</v>
      </c>
      <c r="R414" s="535" t="s">
        <v>506</v>
      </c>
      <c r="S414" s="536" t="s">
        <v>507</v>
      </c>
      <c r="T414" s="519" t="str">
        <f>Z10</f>
        <v>SBRN2</v>
      </c>
      <c r="U414" s="628"/>
      <c r="V414" s="478"/>
      <c r="W414" s="478"/>
      <c r="X414" s="273"/>
      <c r="Y414" s="825"/>
      <c r="Z414" s="825"/>
      <c r="AA414" s="825"/>
      <c r="AB414" s="825"/>
      <c r="AC414" s="825"/>
      <c r="AD414" s="825"/>
      <c r="AE414" s="825"/>
      <c r="AF414" s="825"/>
      <c r="AG414" s="825"/>
      <c r="AH414" s="825"/>
      <c r="AI414" s="825"/>
      <c r="AJ414" s="825"/>
      <c r="AK414" s="825"/>
      <c r="AL414" s="825"/>
      <c r="AM414" s="825"/>
      <c r="AN414" s="825"/>
      <c r="AO414" s="825"/>
      <c r="AP414" s="825"/>
      <c r="AQ414" s="825"/>
      <c r="AR414" s="825"/>
      <c r="AS414" s="825"/>
      <c r="AT414" s="825"/>
      <c r="AU414" s="825"/>
      <c r="AV414" s="825"/>
      <c r="AW414" s="825"/>
      <c r="AX414" s="825"/>
      <c r="BA414" s="825"/>
      <c r="BB414" s="825"/>
      <c r="BC414" s="825"/>
      <c r="BD414" s="825"/>
      <c r="BE414" s="825"/>
      <c r="BF414" s="825"/>
      <c r="BG414" s="825"/>
      <c r="BH414" s="825"/>
      <c r="BI414" s="825"/>
      <c r="BJ414" s="825"/>
      <c r="BK414" s="825"/>
      <c r="BL414" s="825"/>
      <c r="BM414" s="825"/>
      <c r="BN414" s="825"/>
      <c r="BO414" s="825"/>
      <c r="BP414" s="825"/>
      <c r="BQ414" s="825"/>
      <c r="BR414" s="825"/>
      <c r="BS414" s="825"/>
      <c r="BT414" s="825"/>
      <c r="BU414" s="825"/>
      <c r="BV414" s="825"/>
      <c r="BW414" s="825"/>
      <c r="BX414" s="825"/>
      <c r="BY414" s="825"/>
      <c r="BZ414" s="825"/>
      <c r="CA414" s="825"/>
      <c r="CB414" s="825"/>
      <c r="CC414" s="825"/>
    </row>
    <row r="415" spans="1:81" ht="36.700000000000003" customHeight="1" x14ac:dyDescent="0.25">
      <c r="A415" s="558"/>
      <c r="B415" s="672"/>
      <c r="C415" s="834"/>
      <c r="D415" s="1069"/>
      <c r="E415" s="1083"/>
      <c r="F415" s="836"/>
      <c r="G415" s="1089"/>
      <c r="H415" s="1110"/>
      <c r="I415" s="1059"/>
      <c r="J415" s="681"/>
      <c r="K415" s="1048"/>
      <c r="L415" s="1047"/>
      <c r="M415" s="645" t="s">
        <v>489</v>
      </c>
      <c r="N415" s="730" t="str">
        <f>N9</f>
        <v>Otorgamiento de titulos de propiedad en tierras de aptitud  A y C con cobertura de bosques</v>
      </c>
      <c r="O415" s="837" t="str">
        <f t="shared" si="10"/>
        <v>Biodiversidad y recursos naturales</v>
      </c>
      <c r="P415" s="836" t="str">
        <f>Z6</f>
        <v>DPI</v>
      </c>
      <c r="Q415" s="510" t="str">
        <f>AA11</f>
        <v>Fortalecer las capacidades de la población local para que conozcan el marco legal sobre los derechos sobre la tierra y los bosques</v>
      </c>
      <c r="R415" s="535" t="s">
        <v>525</v>
      </c>
      <c r="S415" s="536" t="s">
        <v>526</v>
      </c>
      <c r="T415" s="519" t="str">
        <f>Z11</f>
        <v>SBRN3</v>
      </c>
      <c r="U415" s="628"/>
      <c r="V415" s="478"/>
      <c r="W415" s="478"/>
      <c r="X415" s="273"/>
      <c r="Y415" s="825"/>
      <c r="Z415" s="825"/>
      <c r="AA415" s="825"/>
      <c r="AB415" s="825"/>
      <c r="AC415" s="825"/>
      <c r="AD415" s="825"/>
      <c r="AE415" s="825"/>
      <c r="AF415" s="825"/>
      <c r="AG415" s="825"/>
      <c r="AH415" s="825"/>
      <c r="AI415" s="825"/>
      <c r="AJ415" s="825"/>
      <c r="AK415" s="825"/>
      <c r="AL415" s="825"/>
      <c r="AM415" s="825"/>
      <c r="AN415" s="825"/>
      <c r="AO415" s="825"/>
      <c r="AP415" s="825"/>
      <c r="AQ415" s="825"/>
      <c r="AR415" s="825"/>
      <c r="AS415" s="825"/>
      <c r="AT415" s="825"/>
      <c r="AU415" s="825"/>
      <c r="AV415" s="825"/>
      <c r="AW415" s="825"/>
      <c r="AX415" s="825"/>
      <c r="BA415" s="825"/>
      <c r="BB415" s="825"/>
      <c r="BC415" s="825"/>
      <c r="BD415" s="825"/>
      <c r="BE415" s="825"/>
      <c r="BF415" s="825"/>
      <c r="BG415" s="825"/>
      <c r="BH415" s="825"/>
      <c r="BI415" s="825"/>
      <c r="BJ415" s="825"/>
      <c r="BK415" s="825"/>
      <c r="BL415" s="825"/>
      <c r="BM415" s="825"/>
      <c r="BN415" s="825"/>
      <c r="BO415" s="825"/>
      <c r="BP415" s="825"/>
      <c r="BQ415" s="825"/>
      <c r="BR415" s="825"/>
      <c r="BS415" s="825"/>
      <c r="BT415" s="825"/>
      <c r="BU415" s="825"/>
      <c r="BV415" s="825"/>
      <c r="BW415" s="825"/>
      <c r="BX415" s="825"/>
      <c r="BY415" s="825"/>
      <c r="BZ415" s="825"/>
      <c r="CA415" s="825"/>
      <c r="CB415" s="825"/>
      <c r="CC415" s="825"/>
    </row>
    <row r="416" spans="1:81" ht="36.700000000000003" customHeight="1" x14ac:dyDescent="0.25">
      <c r="A416" s="558"/>
      <c r="B416" s="672"/>
      <c r="C416" s="834"/>
      <c r="D416" s="1069"/>
      <c r="E416" s="1083"/>
      <c r="F416" s="836"/>
      <c r="G416" s="1089"/>
      <c r="H416" s="1110"/>
      <c r="I416" s="1059"/>
      <c r="J416" s="681"/>
      <c r="K416" s="1048"/>
      <c r="L416" s="1047"/>
      <c r="M416" s="645" t="s">
        <v>489</v>
      </c>
      <c r="N416" s="733" t="str">
        <f>N10</f>
        <v>Superposición de áreas a ser tituladas individualmente con áreas solicitadas por pueblos indígenas</v>
      </c>
      <c r="O416" s="837" t="str">
        <f t="shared" si="10"/>
        <v>Derechos de los pueblos indígenas</v>
      </c>
      <c r="P416" s="836" t="str">
        <f>Z6</f>
        <v>DPI</v>
      </c>
      <c r="Q416" s="510" t="str">
        <f>AD9</f>
        <v>Evaluación de superposiciones de solicitudes de titulación de predios rurales con solicitudes de pueblos indígenas (como parte del proceso de titulación de un predio rural individual)</v>
      </c>
      <c r="R416" s="535" t="s">
        <v>541</v>
      </c>
      <c r="S416" s="536" t="s">
        <v>542</v>
      </c>
      <c r="T416" s="519" t="str">
        <f>AC9</f>
        <v>SDPI1</v>
      </c>
      <c r="U416" s="628"/>
      <c r="V416" s="478"/>
      <c r="W416" s="478"/>
      <c r="X416" s="273"/>
      <c r="Y416" s="825"/>
      <c r="Z416" s="825"/>
      <c r="AA416" s="825"/>
      <c r="AB416" s="825"/>
      <c r="AC416" s="825"/>
      <c r="AD416" s="825"/>
      <c r="AE416" s="825"/>
      <c r="AF416" s="825"/>
      <c r="AG416" s="825"/>
      <c r="AH416" s="825"/>
      <c r="AI416" s="825"/>
      <c r="AJ416" s="825"/>
      <c r="AK416" s="825"/>
      <c r="AL416" s="825"/>
      <c r="AM416" s="825"/>
      <c r="AN416" s="825"/>
      <c r="AO416" s="825"/>
      <c r="AP416" s="825"/>
      <c r="AQ416" s="825"/>
      <c r="AR416" s="825"/>
      <c r="AS416" s="825"/>
      <c r="AT416" s="825"/>
      <c r="AU416" s="825"/>
      <c r="AV416" s="825"/>
      <c r="AW416" s="825"/>
      <c r="AX416" s="825"/>
      <c r="BA416" s="825"/>
      <c r="BB416" s="825"/>
      <c r="BC416" s="825"/>
      <c r="BD416" s="825"/>
      <c r="BE416" s="825"/>
      <c r="BF416" s="825"/>
      <c r="BG416" s="825"/>
      <c r="BH416" s="825"/>
      <c r="BI416" s="825"/>
      <c r="BJ416" s="825"/>
      <c r="BK416" s="825"/>
      <c r="BL416" s="825"/>
      <c r="BM416" s="825"/>
      <c r="BN416" s="825"/>
      <c r="BO416" s="825"/>
      <c r="BP416" s="825"/>
      <c r="BQ416" s="825"/>
      <c r="BR416" s="825"/>
      <c r="BS416" s="825"/>
      <c r="BT416" s="825"/>
      <c r="BU416" s="825"/>
      <c r="BV416" s="825"/>
      <c r="BW416" s="825"/>
      <c r="BX416" s="825"/>
      <c r="BY416" s="825"/>
      <c r="BZ416" s="825"/>
      <c r="CA416" s="825"/>
      <c r="CB416" s="825"/>
      <c r="CC416" s="825"/>
    </row>
    <row r="417" spans="1:81" ht="36.700000000000003" customHeight="1" x14ac:dyDescent="0.25">
      <c r="A417" s="558"/>
      <c r="B417" s="672"/>
      <c r="C417" s="834"/>
      <c r="D417" s="1069"/>
      <c r="E417" s="1083"/>
      <c r="F417" s="836"/>
      <c r="G417" s="1089"/>
      <c r="H417" s="1110"/>
      <c r="I417" s="1059"/>
      <c r="J417" s="681"/>
      <c r="K417" s="1048"/>
      <c r="L417" s="1047"/>
      <c r="M417" s="645" t="s">
        <v>489</v>
      </c>
      <c r="N417" s="733" t="str">
        <f>N10</f>
        <v>Superposición de áreas a ser tituladas individualmente con áreas solicitadas por pueblos indígenas</v>
      </c>
      <c r="O417" s="837" t="str">
        <f t="shared" si="10"/>
        <v>Derechos de los pueblos indígenas</v>
      </c>
      <c r="P417" s="836" t="str">
        <f>Z6</f>
        <v>DPI</v>
      </c>
      <c r="Q417" s="510" t="str">
        <f>AD10</f>
        <v xml:space="preserve">Análisis de demandas de titulación de tierras a favor de comunidades nativas a nivel departamental con organizaciones indígenas </v>
      </c>
      <c r="R417" s="535" t="s">
        <v>555</v>
      </c>
      <c r="S417" s="536" t="s">
        <v>507</v>
      </c>
      <c r="T417" s="519" t="str">
        <f>AC10</f>
        <v>SDPI2</v>
      </c>
      <c r="U417" s="628"/>
      <c r="V417" s="478"/>
      <c r="W417" s="478"/>
      <c r="X417" s="273"/>
      <c r="Y417" s="825"/>
      <c r="Z417" s="825"/>
      <c r="AA417" s="825"/>
      <c r="AB417" s="825"/>
      <c r="AC417" s="825"/>
      <c r="AD417" s="825"/>
      <c r="AE417" s="825"/>
      <c r="AF417" s="825"/>
      <c r="AG417" s="825"/>
      <c r="AH417" s="825"/>
      <c r="AI417" s="825"/>
      <c r="AJ417" s="825"/>
      <c r="AK417" s="825"/>
      <c r="AL417" s="825"/>
      <c r="AM417" s="825"/>
      <c r="AN417" s="825"/>
      <c r="AO417" s="825"/>
      <c r="AP417" s="825"/>
      <c r="AQ417" s="825"/>
      <c r="AR417" s="825"/>
      <c r="AS417" s="825"/>
      <c r="AT417" s="825"/>
      <c r="AU417" s="825"/>
      <c r="AV417" s="825"/>
      <c r="AW417" s="825"/>
      <c r="AX417" s="825"/>
      <c r="BA417" s="825"/>
      <c r="BB417" s="825"/>
      <c r="BC417" s="825"/>
      <c r="BD417" s="825"/>
      <c r="BE417" s="825"/>
      <c r="BF417" s="825"/>
      <c r="BG417" s="825"/>
      <c r="BH417" s="825"/>
      <c r="BI417" s="825"/>
      <c r="BJ417" s="825"/>
      <c r="BK417" s="825"/>
      <c r="BL417" s="825"/>
      <c r="BM417" s="825"/>
      <c r="BN417" s="825"/>
      <c r="BO417" s="825"/>
      <c r="BP417" s="825"/>
      <c r="BQ417" s="825"/>
      <c r="BR417" s="825"/>
      <c r="BS417" s="825"/>
      <c r="BT417" s="825"/>
      <c r="BU417" s="825"/>
      <c r="BV417" s="825"/>
      <c r="BW417" s="825"/>
      <c r="BX417" s="825"/>
      <c r="BY417" s="825"/>
      <c r="BZ417" s="825"/>
      <c r="CA417" s="825"/>
      <c r="CB417" s="825"/>
      <c r="CC417" s="825"/>
    </row>
    <row r="418" spans="1:81" ht="33.799999999999997" customHeight="1" x14ac:dyDescent="0.25">
      <c r="A418" s="558"/>
      <c r="B418" s="672"/>
      <c r="C418" s="834"/>
      <c r="D418" s="1069"/>
      <c r="E418" s="1083"/>
      <c r="F418" s="836"/>
      <c r="G418" s="1089"/>
      <c r="H418" s="1110"/>
      <c r="I418" s="1059"/>
      <c r="J418" s="681"/>
      <c r="K418" s="1048"/>
      <c r="L418" s="1047"/>
      <c r="M418" s="645" t="s">
        <v>489</v>
      </c>
      <c r="N418" s="733" t="str">
        <f>N13</f>
        <v xml:space="preserve">Tráfico de títulos de propiedad y contratos de cesión en uso </v>
      </c>
      <c r="O418" s="837" t="str">
        <f t="shared" si="10"/>
        <v>Corrupción</v>
      </c>
      <c r="P418" s="836" t="e">
        <f>#REF!</f>
        <v>#REF!</v>
      </c>
      <c r="Q418" s="510" t="str">
        <f>AG9</f>
        <v xml:space="preserve">Transparencia en procesos de formalización de la propiedad rural y cesión en uso </v>
      </c>
      <c r="R418" s="537" t="s">
        <v>566</v>
      </c>
      <c r="S418" s="539" t="s">
        <v>526</v>
      </c>
      <c r="T418" s="519" t="str">
        <f>AF9</f>
        <v>SCR1</v>
      </c>
      <c r="U418" s="628"/>
      <c r="V418" s="478"/>
      <c r="W418" s="478"/>
      <c r="X418" s="273"/>
      <c r="Y418" s="825"/>
      <c r="Z418" s="825"/>
      <c r="AA418" s="825"/>
      <c r="AB418" s="825"/>
      <c r="AC418" s="825"/>
      <c r="AD418" s="825"/>
      <c r="AE418" s="825"/>
      <c r="AF418" s="825"/>
      <c r="AG418" s="825"/>
      <c r="AH418" s="825"/>
      <c r="AI418" s="825"/>
      <c r="AJ418" s="825"/>
      <c r="AK418" s="825"/>
      <c r="AL418" s="825"/>
      <c r="AM418" s="825"/>
      <c r="AN418" s="825"/>
      <c r="AO418" s="825"/>
      <c r="AP418" s="825"/>
      <c r="AQ418" s="825"/>
      <c r="AR418" s="825"/>
      <c r="AS418" s="825"/>
      <c r="AT418" s="825"/>
      <c r="AU418" s="825"/>
      <c r="AV418" s="825"/>
      <c r="AW418" s="825"/>
      <c r="AX418" s="825"/>
      <c r="BA418" s="825"/>
      <c r="BB418" s="825"/>
      <c r="BC418" s="825"/>
      <c r="BD418" s="825"/>
      <c r="BE418" s="825"/>
      <c r="BF418" s="825"/>
      <c r="BG418" s="825"/>
      <c r="BH418" s="825"/>
      <c r="BI418" s="825"/>
      <c r="BJ418" s="825"/>
      <c r="BK418" s="825"/>
      <c r="BL418" s="825"/>
      <c r="BM418" s="825"/>
      <c r="BN418" s="825"/>
      <c r="BO418" s="825"/>
      <c r="BP418" s="825"/>
      <c r="BQ418" s="825"/>
      <c r="BR418" s="825"/>
      <c r="BS418" s="825"/>
      <c r="BT418" s="825"/>
      <c r="BU418" s="825"/>
      <c r="BV418" s="825"/>
      <c r="BW418" s="825"/>
      <c r="BX418" s="825"/>
      <c r="BY418" s="825"/>
      <c r="BZ418" s="825"/>
      <c r="CA418" s="825"/>
      <c r="CB418" s="825"/>
      <c r="CC418" s="825"/>
    </row>
    <row r="419" spans="1:81" ht="31.6" customHeight="1" x14ac:dyDescent="0.25">
      <c r="A419" s="558"/>
      <c r="B419" s="672"/>
      <c r="C419" s="834"/>
      <c r="D419" s="1069"/>
      <c r="E419" s="1083"/>
      <c r="F419" s="836"/>
      <c r="G419" s="1089"/>
      <c r="H419" s="1110"/>
      <c r="I419" s="1059"/>
      <c r="J419" s="682"/>
      <c r="K419" s="1049"/>
      <c r="L419" s="1050"/>
      <c r="M419" s="645" t="s">
        <v>489</v>
      </c>
      <c r="N419" s="737" t="str">
        <f>N14</f>
        <v>Exclusión de mujeres propietarias en títulos de propiedad o contratos de cesión en uso</v>
      </c>
      <c r="O419" s="837" t="str">
        <f t="shared" si="10"/>
        <v>Género</v>
      </c>
      <c r="P419" s="836" t="str">
        <f>AC6</f>
        <v>GN</v>
      </c>
      <c r="Q419" s="510" t="str">
        <f>AJ9</f>
        <v xml:space="preserve">Incorporación de cónyuges o convivientes en títulos de propiedad y contratos de cesión en uso </v>
      </c>
      <c r="R419" s="534" t="s">
        <v>576</v>
      </c>
      <c r="S419" s="538" t="s">
        <v>507</v>
      </c>
      <c r="T419" s="519" t="str">
        <f>AI9</f>
        <v>SGN1</v>
      </c>
      <c r="U419" s="628"/>
      <c r="V419" s="478"/>
      <c r="W419" s="478"/>
      <c r="X419" s="273"/>
      <c r="Y419" s="825"/>
      <c r="Z419" s="825"/>
      <c r="AA419" s="825"/>
      <c r="AB419" s="825"/>
      <c r="AC419" s="825"/>
      <c r="AD419" s="825"/>
      <c r="AE419" s="825"/>
      <c r="AF419" s="825"/>
      <c r="AG419" s="825"/>
      <c r="AH419" s="825"/>
      <c r="AI419" s="825"/>
      <c r="AJ419" s="825"/>
      <c r="AK419" s="825"/>
      <c r="AL419" s="825"/>
      <c r="AM419" s="825"/>
      <c r="AN419" s="825"/>
      <c r="AO419" s="825"/>
      <c r="AP419" s="825"/>
      <c r="AQ419" s="825"/>
      <c r="AR419" s="825"/>
      <c r="AS419" s="825"/>
      <c r="AT419" s="825"/>
      <c r="AU419" s="825"/>
      <c r="AV419" s="825"/>
      <c r="AW419" s="825"/>
      <c r="AX419" s="825"/>
      <c r="BA419" s="825"/>
      <c r="BB419" s="825"/>
      <c r="BC419" s="825"/>
      <c r="BD419" s="825"/>
      <c r="BE419" s="825"/>
      <c r="BF419" s="825"/>
      <c r="BG419" s="825"/>
      <c r="BH419" s="825"/>
      <c r="BI419" s="825"/>
      <c r="BJ419" s="825"/>
      <c r="BK419" s="825"/>
      <c r="BL419" s="825"/>
      <c r="BM419" s="825"/>
      <c r="BN419" s="825"/>
      <c r="BO419" s="825"/>
      <c r="BP419" s="825"/>
      <c r="BQ419" s="825"/>
      <c r="BR419" s="825"/>
      <c r="BS419" s="825"/>
      <c r="BT419" s="825"/>
      <c r="BU419" s="825"/>
      <c r="BV419" s="825"/>
      <c r="BW419" s="825"/>
      <c r="BX419" s="825"/>
      <c r="BY419" s="825"/>
      <c r="BZ419" s="825"/>
      <c r="CA419" s="825"/>
      <c r="CB419" s="825"/>
      <c r="CC419" s="825"/>
    </row>
    <row r="420" spans="1:81" ht="42.8" customHeight="1" x14ac:dyDescent="0.25">
      <c r="A420" s="558"/>
      <c r="B420" s="672"/>
      <c r="C420" s="834"/>
      <c r="D420" s="1069"/>
      <c r="E420" s="1083"/>
      <c r="F420" s="836"/>
      <c r="G420" s="1089"/>
      <c r="H420" s="1110"/>
      <c r="I420" s="1059"/>
      <c r="J420" s="680"/>
      <c r="K420" s="1044"/>
      <c r="L420" s="1045"/>
      <c r="M420" s="645" t="s">
        <v>489</v>
      </c>
      <c r="N420" s="737" t="str">
        <f>N15</f>
        <v>Otorgamiento de derechos sobre la tierra / bosques en zonas con patrimonio cultural</v>
      </c>
      <c r="O420" s="837" t="str">
        <f t="shared" si="10"/>
        <v>Patrimonio cultural</v>
      </c>
      <c r="P420" s="836" t="str">
        <f>AI6</f>
        <v>PC</v>
      </c>
      <c r="Q420" s="510" t="str">
        <f>AV9</f>
        <v>Evaluación de superposición del área solicitada para titulación de predios rurales con áreas determinadas como patrimonio cultural</v>
      </c>
      <c r="R420" s="534" t="s">
        <v>586</v>
      </c>
      <c r="S420" s="538" t="s">
        <v>542</v>
      </c>
      <c r="T420" s="519" t="str">
        <f>AU9</f>
        <v>SPC1</v>
      </c>
      <c r="U420" s="628"/>
      <c r="V420" s="478"/>
      <c r="W420" s="478"/>
      <c r="X420" s="273"/>
      <c r="Y420" s="825"/>
      <c r="Z420" s="825"/>
      <c r="AA420" s="825"/>
      <c r="AB420" s="825"/>
      <c r="AC420" s="825"/>
      <c r="AD420" s="825"/>
      <c r="AE420" s="825"/>
      <c r="AF420" s="825"/>
      <c r="AG420" s="825"/>
      <c r="AH420" s="825"/>
      <c r="AI420" s="825"/>
      <c r="AJ420" s="825"/>
      <c r="AK420" s="825"/>
      <c r="AL420" s="825"/>
      <c r="AM420" s="825"/>
      <c r="AN420" s="825"/>
      <c r="AO420" s="825"/>
      <c r="AP420" s="825"/>
      <c r="AQ420" s="825"/>
      <c r="AR420" s="825"/>
      <c r="AS420" s="825"/>
      <c r="AT420" s="825"/>
      <c r="AU420" s="825"/>
      <c r="AV420" s="825"/>
      <c r="AW420" s="825"/>
      <c r="AX420" s="825"/>
      <c r="BA420" s="825"/>
      <c r="BB420" s="825"/>
      <c r="BC420" s="825"/>
      <c r="BD420" s="825"/>
      <c r="BE420" s="825"/>
      <c r="BF420" s="825"/>
      <c r="BG420" s="825"/>
      <c r="BH420" s="825"/>
      <c r="BI420" s="825"/>
      <c r="BJ420" s="825"/>
      <c r="BK420" s="825"/>
      <c r="BL420" s="825"/>
      <c r="BM420" s="825"/>
      <c r="BN420" s="825"/>
      <c r="BO420" s="825"/>
      <c r="BP420" s="825"/>
      <c r="BQ420" s="825"/>
      <c r="BR420" s="825"/>
      <c r="BS420" s="825"/>
      <c r="BT420" s="825"/>
      <c r="BU420" s="825"/>
      <c r="BV420" s="825"/>
      <c r="BW420" s="825"/>
      <c r="BX420" s="825"/>
      <c r="BY420" s="825"/>
      <c r="BZ420" s="825"/>
      <c r="CA420" s="825"/>
      <c r="CB420" s="825"/>
      <c r="CC420" s="825"/>
    </row>
    <row r="421" spans="1:81" ht="135.69999999999999" customHeight="1" x14ac:dyDescent="0.25">
      <c r="A421" s="558"/>
      <c r="B421" s="672" t="s">
        <v>897</v>
      </c>
      <c r="C421" s="834" t="str">
        <f>'8. BASE  CONSOLIDADA'!E144</f>
        <v>4.1.2</v>
      </c>
      <c r="D421" s="1069" t="str">
        <f>'8. BASE  CONSOLIDADA'!F144</f>
        <v>Asistencia técnica con enfoque bajo en emisiones</v>
      </c>
      <c r="E421" s="1069" t="str">
        <f>'8. BASE  CONSOLIDADA'!G144</f>
        <v xml:space="preserve">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v>
      </c>
      <c r="F421" s="836" t="str">
        <f>'8. BASE  CONSOLIDADA'!C144</f>
        <v>Predios de agricultura familiar con producción destinada al autoconsumo y productos de exportación, con título o sin título de propiedad.</v>
      </c>
      <c r="G421" s="1019" t="str">
        <f>VLOOKUP($C421,'8. BASE  CONSOLIDADA'!$E$7:$AS$308,13,FALSE)</f>
        <v>Productores asistidos</v>
      </c>
      <c r="H421" s="1109">
        <f>VLOOKUP($C421,'8. BASE  CONSOLIDADA'!$E$7:$AS$308,15,FALSE)</f>
        <v>15617.4</v>
      </c>
      <c r="I421" s="1058">
        <f>VLOOKUP(C421,'8. BASE  CONSOLIDADA'!$E$7:$AS$308,20,FALSE)</f>
        <v>8745744</v>
      </c>
      <c r="J421" s="678">
        <f>I421*$J$6</f>
        <v>5947.1059200000009</v>
      </c>
      <c r="K421" s="1020"/>
      <c r="L421" s="1047"/>
      <c r="M421" s="645" t="s">
        <v>489</v>
      </c>
      <c r="N421" s="733" t="str">
        <f>N16</f>
        <v>Exclusión de mujeres rurales en programas de asistencia técnica</v>
      </c>
      <c r="O421" s="837" t="str">
        <f t="shared" si="10"/>
        <v>Género</v>
      </c>
      <c r="P421" s="546" t="str">
        <f>AC6</f>
        <v>GN</v>
      </c>
      <c r="Q421" s="538" t="str">
        <f>AJ10</f>
        <v>Programas de asistencia técnica y proyectos específicos para mujeres rurales y mujeres indígenas</v>
      </c>
      <c r="R421" s="538" t="s">
        <v>596</v>
      </c>
      <c r="S421" s="547" t="s">
        <v>507</v>
      </c>
      <c r="T421" s="519" t="str">
        <f>AI10</f>
        <v>SGN2</v>
      </c>
      <c r="U421" s="628"/>
      <c r="V421" s="478"/>
      <c r="W421" s="478"/>
      <c r="X421" s="273"/>
      <c r="Y421" s="825"/>
      <c r="Z421" s="825"/>
      <c r="AA421" s="825"/>
      <c r="AB421" s="825"/>
      <c r="AC421" s="825"/>
      <c r="AD421" s="825"/>
      <c r="AE421" s="825"/>
      <c r="AF421" s="825"/>
      <c r="AG421" s="825"/>
      <c r="AH421" s="825"/>
      <c r="AI421" s="825"/>
      <c r="AJ421" s="825"/>
      <c r="AK421" s="825"/>
      <c r="AL421" s="825"/>
      <c r="AM421" s="825"/>
      <c r="AN421" s="825"/>
      <c r="AO421" s="825"/>
      <c r="AP421" s="825"/>
      <c r="AQ421" s="825"/>
      <c r="AR421" s="825"/>
      <c r="AS421" s="825"/>
      <c r="AT421" s="825"/>
      <c r="AU421" s="825"/>
      <c r="AV421" s="825"/>
      <c r="AW421" s="825"/>
      <c r="AX421" s="825"/>
      <c r="BA421" s="825"/>
      <c r="BB421" s="825"/>
      <c r="BC421" s="825"/>
      <c r="BD421" s="825"/>
      <c r="BE421" s="825"/>
      <c r="BF421" s="825"/>
      <c r="BG421" s="825"/>
      <c r="BH421" s="825"/>
      <c r="BI421" s="825"/>
      <c r="BJ421" s="825"/>
      <c r="BK421" s="825"/>
      <c r="BL421" s="825"/>
      <c r="BM421" s="825"/>
      <c r="BN421" s="825"/>
      <c r="BO421" s="825"/>
      <c r="BP421" s="825"/>
      <c r="BQ421" s="825"/>
      <c r="BR421" s="825"/>
      <c r="BS421" s="825"/>
      <c r="BT421" s="825"/>
      <c r="BU421" s="825"/>
      <c r="BV421" s="825"/>
      <c r="BW421" s="825"/>
      <c r="BX421" s="825"/>
      <c r="BY421" s="825"/>
      <c r="BZ421" s="825"/>
      <c r="CA421" s="825"/>
      <c r="CB421" s="825"/>
      <c r="CC421" s="825"/>
    </row>
    <row r="422" spans="1:81" ht="42.8" customHeight="1" x14ac:dyDescent="0.25">
      <c r="A422" s="558"/>
      <c r="B422" s="672" t="s">
        <v>897</v>
      </c>
      <c r="C422" s="834" t="str">
        <f>'8. BASE  CONSOLIDADA'!E148</f>
        <v>4.1.6</v>
      </c>
      <c r="D422" s="1069" t="str">
        <f>'8. BASE  CONSOLIDADA'!F148</f>
        <v xml:space="preserve">Reconversión y diversificación productiva </v>
      </c>
      <c r="E422" s="1069" t="str">
        <f>'8. BASE  CONSOLIDADA'!G148</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F422" s="836" t="str">
        <f>'8. BASE  CONSOLIDADA'!C148</f>
        <v>Predios de agricultura familiar con producción destinada al autoconsumo y productos de exportación, con título o sin título de propiedad.</v>
      </c>
      <c r="G422" s="1019" t="str">
        <f>VLOOKUP($C422,'8. BASE  CONSOLIDADA'!$E$7:$AS$308,13,FALSE)</f>
        <v>Hectáreas reconvertidas</v>
      </c>
      <c r="H422" s="1109">
        <f>VLOOKUP($C422,'8. BASE  CONSOLIDADA'!$E$7:$AS$308,15,FALSE)</f>
        <v>1431.96</v>
      </c>
      <c r="I422" s="1058">
        <f>VLOOKUP(C422,'8. BASE  CONSOLIDADA'!$E$7:$AS$308,20,FALSE)</f>
        <v>21479400</v>
      </c>
      <c r="J422" s="678">
        <f>I422*$J$6</f>
        <v>14605.992</v>
      </c>
      <c r="K422" s="396"/>
      <c r="L422" s="396"/>
      <c r="M422" s="645" t="s">
        <v>489</v>
      </c>
      <c r="N422" s="724" t="str">
        <f>N17</f>
        <v>Especies exóticas o invasoras en bosques colindantes</v>
      </c>
      <c r="O422" s="837" t="str">
        <f t="shared" si="10"/>
        <v>Biodiversidad y recursos naturales</v>
      </c>
      <c r="P422" s="546" t="e">
        <f>#REF!</f>
        <v>#REF!</v>
      </c>
      <c r="Q422" s="538" t="str">
        <f>AA12</f>
        <v xml:space="preserve">Ordenamiento agroterritorial como estrategia para ordenar y promover el desarrollo agrario regional </v>
      </c>
      <c r="R422" s="538" t="s">
        <v>656</v>
      </c>
      <c r="S422" s="547" t="s">
        <v>492</v>
      </c>
      <c r="T422" s="519" t="str">
        <f>Z12</f>
        <v>SBRN4</v>
      </c>
      <c r="U422" s="628"/>
      <c r="V422" s="478"/>
      <c r="W422" s="478"/>
      <c r="X422" s="273"/>
      <c r="Y422" s="825"/>
      <c r="Z422" s="825"/>
      <c r="AA422" s="825"/>
      <c r="AB422" s="825"/>
      <c r="AC422" s="825"/>
      <c r="AD422" s="825"/>
      <c r="AE422" s="825"/>
      <c r="AF422" s="825"/>
      <c r="AG422" s="825"/>
      <c r="AH422" s="825"/>
      <c r="AI422" s="825"/>
      <c r="AJ422" s="825"/>
      <c r="AK422" s="825"/>
      <c r="AL422" s="825"/>
      <c r="AM422" s="825"/>
      <c r="AN422" s="825"/>
      <c r="AO422" s="825"/>
      <c r="AP422" s="825"/>
      <c r="AQ422" s="825"/>
      <c r="AR422" s="825"/>
      <c r="AS422" s="825"/>
      <c r="AT422" s="825"/>
      <c r="AU422" s="825"/>
      <c r="AV422" s="825"/>
      <c r="AW422" s="825"/>
      <c r="AX422" s="825"/>
      <c r="BA422" s="825"/>
      <c r="BB422" s="825"/>
      <c r="BC422" s="825"/>
      <c r="BD422" s="825"/>
      <c r="BE422" s="825"/>
      <c r="BF422" s="825"/>
      <c r="BG422" s="825"/>
      <c r="BH422" s="825"/>
      <c r="BI422" s="825"/>
      <c r="BJ422" s="825"/>
      <c r="BK422" s="825"/>
      <c r="BL422" s="825"/>
      <c r="BM422" s="825"/>
      <c r="BN422" s="825"/>
      <c r="BO422" s="825"/>
      <c r="BP422" s="825"/>
      <c r="BQ422" s="825"/>
      <c r="BR422" s="825"/>
      <c r="BS422" s="825"/>
      <c r="BT422" s="825"/>
      <c r="BU422" s="825"/>
      <c r="BV422" s="825"/>
      <c r="BW422" s="825"/>
      <c r="BX422" s="825"/>
      <c r="BY422" s="825"/>
      <c r="BZ422" s="825"/>
      <c r="CA422" s="825"/>
      <c r="CB422" s="825"/>
      <c r="CC422" s="825"/>
    </row>
    <row r="423" spans="1:81" s="531" customFormat="1" ht="41.95" customHeight="1" x14ac:dyDescent="0.25">
      <c r="A423" s="558"/>
      <c r="B423" s="672"/>
      <c r="C423" s="834"/>
      <c r="D423" s="1069"/>
      <c r="E423" s="1069"/>
      <c r="F423" s="836"/>
      <c r="G423" s="1089"/>
      <c r="H423" s="1110"/>
      <c r="I423" s="1059"/>
      <c r="J423" s="681"/>
      <c r="K423" s="1048">
        <v>17</v>
      </c>
      <c r="L423" s="1048">
        <f>K423*H422</f>
        <v>24343.32</v>
      </c>
      <c r="M423" s="647" t="s">
        <v>874</v>
      </c>
      <c r="N423" s="724" t="str">
        <f>N17</f>
        <v>Especies exóticas o invasoras en bosques colindantes</v>
      </c>
      <c r="O423" s="837" t="str">
        <f t="shared" si="10"/>
        <v>Biodiversidad y recursos naturales</v>
      </c>
      <c r="P423" s="546" t="e">
        <f>#REF!</f>
        <v>#REF!</v>
      </c>
      <c r="Q423" s="538" t="str">
        <f>AA13</f>
        <v xml:space="preserve">Inclusión de cláusulas de monitoreo y control de especies exóticas e invasoras en proyectos de promoción agrarios  </v>
      </c>
      <c r="R423" s="538" t="s">
        <v>614</v>
      </c>
      <c r="S423" s="547" t="s">
        <v>492</v>
      </c>
      <c r="T423" s="519" t="str">
        <f>Z13</f>
        <v>SBRN5</v>
      </c>
      <c r="U423" s="628"/>
      <c r="V423" s="478"/>
      <c r="W423" s="478"/>
      <c r="X423" s="273"/>
      <c r="Y423" s="825"/>
      <c r="Z423" s="825"/>
      <c r="AA423" s="825"/>
      <c r="AB423" s="825"/>
      <c r="AC423" s="825"/>
      <c r="AD423" s="825"/>
      <c r="AE423" s="825"/>
      <c r="AF423" s="825"/>
      <c r="AG423" s="825"/>
      <c r="AH423" s="825"/>
      <c r="AI423" s="825"/>
      <c r="AJ423" s="825"/>
      <c r="AK423" s="825"/>
      <c r="AL423" s="825"/>
      <c r="AM423" s="825"/>
      <c r="AN423" s="825"/>
      <c r="AO423" s="825"/>
      <c r="AP423" s="825"/>
      <c r="AQ423" s="825"/>
      <c r="AR423" s="825"/>
      <c r="AS423" s="825"/>
      <c r="AT423" s="825"/>
      <c r="AU423" s="825"/>
      <c r="AV423" s="825"/>
      <c r="AW423" s="825"/>
      <c r="AX423" s="825"/>
      <c r="AY423" s="273"/>
      <c r="AZ423" s="273"/>
      <c r="BA423" s="825"/>
      <c r="BB423" s="825"/>
      <c r="BC423" s="825"/>
      <c r="BD423" s="825"/>
      <c r="BE423" s="825"/>
      <c r="BF423" s="825"/>
      <c r="BG423" s="825"/>
      <c r="BH423" s="825"/>
      <c r="BI423" s="825"/>
      <c r="BJ423" s="825"/>
      <c r="BK423" s="825"/>
      <c r="BL423" s="825"/>
      <c r="BM423" s="825"/>
      <c r="BN423" s="825"/>
      <c r="BO423" s="825"/>
      <c r="BP423" s="825"/>
      <c r="BQ423" s="825"/>
      <c r="BR423" s="825"/>
      <c r="BS423" s="825"/>
      <c r="BT423" s="825"/>
      <c r="BU423" s="825"/>
      <c r="BV423" s="825"/>
      <c r="BW423" s="825"/>
      <c r="BX423" s="825"/>
      <c r="BY423" s="825"/>
      <c r="BZ423" s="825"/>
      <c r="CA423" s="825"/>
      <c r="CB423" s="825"/>
      <c r="CC423" s="825"/>
    </row>
    <row r="424" spans="1:81" s="531" customFormat="1" ht="57.1" customHeight="1" x14ac:dyDescent="0.25">
      <c r="A424" s="558"/>
      <c r="B424" s="672"/>
      <c r="C424" s="834"/>
      <c r="D424" s="1069"/>
      <c r="E424" s="1069"/>
      <c r="F424" s="836"/>
      <c r="G424" s="1089"/>
      <c r="H424" s="1110"/>
      <c r="I424" s="1059"/>
      <c r="J424" s="681"/>
      <c r="K424" s="1048"/>
      <c r="L424" s="1047"/>
      <c r="M424" s="645" t="s">
        <v>489</v>
      </c>
      <c r="N424" s="733" t="str">
        <f t="shared" ref="N424:N430" si="11">N19</f>
        <v>Cultivos elegibles para reconversión no logran obtener los máximos beneficios en las zonas seleccionadas</v>
      </c>
      <c r="O424" s="837" t="str">
        <f t="shared" si="10"/>
        <v>Vulnerabilidad al cambio climático</v>
      </c>
      <c r="P424" s="546" t="e">
        <f>#REF!</f>
        <v>#REF!</v>
      </c>
      <c r="Q424" s="538" t="str">
        <f>AS9</f>
        <v xml:space="preserve">Los cultivos deben ser aptos para las zonas en los programas de reconversión productiva </v>
      </c>
      <c r="R424" s="538" t="s">
        <v>623</v>
      </c>
      <c r="S424" s="547" t="s">
        <v>507</v>
      </c>
      <c r="T424" s="519" t="str">
        <f>AR9</f>
        <v>SVCC1</v>
      </c>
      <c r="U424" s="628"/>
      <c r="V424" s="478"/>
      <c r="W424" s="478"/>
      <c r="X424" s="273"/>
      <c r="Y424" s="825"/>
      <c r="Z424" s="825"/>
      <c r="AA424" s="825"/>
      <c r="AB424" s="825"/>
      <c r="AC424" s="825"/>
      <c r="AD424" s="825"/>
      <c r="AE424" s="825"/>
      <c r="AF424" s="825"/>
      <c r="AG424" s="825"/>
      <c r="AH424" s="825"/>
      <c r="AI424" s="825"/>
      <c r="AJ424" s="825"/>
      <c r="AK424" s="825"/>
      <c r="AL424" s="825"/>
      <c r="AM424" s="825"/>
      <c r="AN424" s="825"/>
      <c r="AO424" s="825"/>
      <c r="AP424" s="825"/>
      <c r="AQ424" s="825"/>
      <c r="AR424" s="825"/>
      <c r="AS424" s="825"/>
      <c r="AT424" s="825"/>
      <c r="AU424" s="825"/>
      <c r="AV424" s="825"/>
      <c r="AW424" s="825"/>
      <c r="AX424" s="825"/>
      <c r="AY424" s="273"/>
      <c r="AZ424" s="273"/>
      <c r="BA424" s="825"/>
      <c r="BB424" s="825"/>
      <c r="BC424" s="825"/>
      <c r="BD424" s="825"/>
      <c r="BE424" s="825"/>
      <c r="BF424" s="825"/>
      <c r="BG424" s="825"/>
      <c r="BH424" s="825"/>
      <c r="BI424" s="825"/>
      <c r="BJ424" s="825"/>
      <c r="BK424" s="825"/>
      <c r="BL424" s="825"/>
      <c r="BM424" s="825"/>
      <c r="BN424" s="825"/>
      <c r="BO424" s="825"/>
      <c r="BP424" s="825"/>
      <c r="BQ424" s="825"/>
      <c r="BR424" s="825"/>
      <c r="BS424" s="825"/>
      <c r="BT424" s="825"/>
      <c r="BU424" s="825"/>
      <c r="BV424" s="825"/>
      <c r="BW424" s="825"/>
      <c r="BX424" s="825"/>
      <c r="BY424" s="825"/>
      <c r="BZ424" s="825"/>
      <c r="CA424" s="825"/>
      <c r="CB424" s="825"/>
      <c r="CC424" s="825"/>
    </row>
    <row r="425" spans="1:81" ht="133.5" customHeight="1" x14ac:dyDescent="0.25">
      <c r="A425" s="558"/>
      <c r="B425" s="672" t="s">
        <v>897</v>
      </c>
      <c r="C425" s="834" t="str">
        <f>'8. BASE  CONSOLIDADA'!E149</f>
        <v>4.1.7</v>
      </c>
      <c r="D425" s="1069" t="str">
        <f>'8. BASE  CONSOLIDADA'!F149</f>
        <v>Promoción de agricultura familiar con enfoque de mercado</v>
      </c>
      <c r="E425" s="1069" t="str">
        <f>'8. BASE  CONSOLIDADA'!G149</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F425" s="836" t="str">
        <f>'8. BASE  CONSOLIDADA'!C149</f>
        <v>Predios de agricultura familiar con producción destinada al autoconsumo y productos de exportación, con título o sin título de propiedad.</v>
      </c>
      <c r="G425" s="1019" t="str">
        <f>VLOOKUP($C425,'8. BASE  CONSOLIDADA'!$E$7:$AS$308,13,FALSE)</f>
        <v>Productores beneficiados</v>
      </c>
      <c r="H425" s="1109">
        <f>VLOOKUP($C425,'8. BASE  CONSOLIDADA'!$E$7:$AS$308,15,FALSE)</f>
        <v>2953.1000000000004</v>
      </c>
      <c r="I425" s="1058">
        <f>VLOOKUP(C425,'8. BASE  CONSOLIDADA'!$E$7:$AS$308,20,FALSE)</f>
        <v>38094990.000000007</v>
      </c>
      <c r="J425" s="678">
        <f>I425*$J$6</f>
        <v>25904.593200000007</v>
      </c>
      <c r="K425" s="1020"/>
      <c r="L425" s="1050"/>
      <c r="M425" s="645" t="s">
        <v>489</v>
      </c>
      <c r="N425" s="723" t="str">
        <f t="shared" si="11"/>
        <v>Exclusión de mujeres rurales en programas de agricultura familiar</v>
      </c>
      <c r="O425" s="837" t="str">
        <f t="shared" si="10"/>
        <v>Género</v>
      </c>
      <c r="P425" s="546" t="s">
        <v>461</v>
      </c>
      <c r="Q425" s="538" t="str">
        <f>AJ10</f>
        <v>Programas de asistencia técnica y proyectos específicos para mujeres rurales y mujeres indígenas</v>
      </c>
      <c r="R425" s="538" t="s">
        <v>596</v>
      </c>
      <c r="S425" s="547" t="s">
        <v>507</v>
      </c>
      <c r="T425" s="519" t="str">
        <f>AI10</f>
        <v>SGN2</v>
      </c>
      <c r="U425" s="628"/>
      <c r="V425" s="478"/>
      <c r="W425" s="478"/>
      <c r="X425" s="273"/>
      <c r="Y425" s="825"/>
      <c r="Z425" s="825"/>
      <c r="AA425" s="825"/>
      <c r="AB425" s="825"/>
      <c r="AC425" s="825"/>
      <c r="AD425" s="825"/>
      <c r="AE425" s="825"/>
      <c r="AF425" s="825"/>
      <c r="AG425" s="825"/>
      <c r="AH425" s="825"/>
      <c r="AI425" s="825"/>
      <c r="AJ425" s="825"/>
      <c r="AK425" s="825"/>
      <c r="AL425" s="825"/>
      <c r="AM425" s="825"/>
      <c r="AN425" s="825"/>
      <c r="AO425" s="825"/>
      <c r="AP425" s="825"/>
      <c r="AQ425" s="825"/>
      <c r="AR425" s="825"/>
      <c r="AS425" s="825"/>
      <c r="AT425" s="825"/>
      <c r="AU425" s="825"/>
      <c r="AV425" s="825"/>
      <c r="AW425" s="825"/>
      <c r="AX425" s="825"/>
      <c r="BA425" s="825"/>
      <c r="BB425" s="825"/>
      <c r="BC425" s="825"/>
      <c r="BD425" s="825"/>
      <c r="BE425" s="825"/>
      <c r="BF425" s="825"/>
      <c r="BG425" s="825"/>
      <c r="BH425" s="825"/>
      <c r="BI425" s="825"/>
      <c r="BJ425" s="825"/>
      <c r="BK425" s="825"/>
      <c r="BL425" s="825"/>
      <c r="BM425" s="825"/>
      <c r="BN425" s="825"/>
      <c r="BO425" s="825"/>
      <c r="BP425" s="825"/>
      <c r="BQ425" s="825"/>
      <c r="BR425" s="825"/>
      <c r="BS425" s="825"/>
      <c r="BT425" s="825"/>
      <c r="BU425" s="825"/>
      <c r="BV425" s="825"/>
      <c r="BW425" s="825"/>
      <c r="BX425" s="825"/>
      <c r="BY425" s="825"/>
      <c r="BZ425" s="825"/>
      <c r="CA425" s="825"/>
      <c r="CB425" s="825"/>
      <c r="CC425" s="825"/>
    </row>
    <row r="426" spans="1:81" ht="42.8" customHeight="1" x14ac:dyDescent="0.25">
      <c r="A426" s="558"/>
      <c r="B426" s="672" t="s">
        <v>897</v>
      </c>
      <c r="C426" s="834" t="str">
        <f>'8. BASE  CONSOLIDADA'!E150</f>
        <v>4.1.8</v>
      </c>
      <c r="D426" s="1069" t="str">
        <f>'8. BASE  CONSOLIDADA'!F150</f>
        <v>Asistencia técnica para el desarrollo de la acuicultura</v>
      </c>
      <c r="E426" s="1069" t="str">
        <f>'8. BASE  CONSOLIDADA'!G150</f>
        <v xml:space="preserve">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v>
      </c>
      <c r="F426" s="836" t="str">
        <f>'8. BASE  CONSOLIDADA'!C150</f>
        <v>Predios de agricultura familiar con producción destinada al autoconsumo y productos de exportación, con título o sin título de propiedad.</v>
      </c>
      <c r="G426" s="1019" t="str">
        <f>VLOOKUP($C426,'8. BASE  CONSOLIDADA'!$E$7:$AS$308,13,FALSE)</f>
        <v>Acuicultores asistidos</v>
      </c>
      <c r="H426" s="1109">
        <f>VLOOKUP($C426,'8. BASE  CONSOLIDADA'!$E$7:$AS$308,15,FALSE)</f>
        <v>70</v>
      </c>
      <c r="I426" s="1058">
        <f>VLOOKUP(C426,'8. BASE  CONSOLIDADA'!$E$7:$AS$308,20,FALSE)</f>
        <v>39200</v>
      </c>
      <c r="J426" s="678">
        <f>I426*$J$6</f>
        <v>26.656000000000002</v>
      </c>
      <c r="K426" s="1048">
        <v>17</v>
      </c>
      <c r="L426" s="1048">
        <f>K426*H426</f>
        <v>1190</v>
      </c>
      <c r="M426" s="642" t="s">
        <v>874</v>
      </c>
      <c r="N426" s="730" t="str">
        <f t="shared" si="11"/>
        <v>Especies exóticas o invasoras en cuerpos de agua colindantes</v>
      </c>
      <c r="O426" s="837" t="str">
        <f t="shared" si="10"/>
        <v>Biodiversidad y recursos naturales</v>
      </c>
      <c r="P426" s="546" t="e">
        <f>#REF!</f>
        <v>#REF!</v>
      </c>
      <c r="Q426" s="538" t="str">
        <f>AA13</f>
        <v xml:space="preserve">Inclusión de cláusulas de monitoreo y control de especies exóticas e invasoras en proyectos de promoción agrarios  </v>
      </c>
      <c r="R426" s="538" t="s">
        <v>614</v>
      </c>
      <c r="S426" s="547" t="s">
        <v>492</v>
      </c>
      <c r="T426" s="519" t="str">
        <f>Z13</f>
        <v>SBRN5</v>
      </c>
      <c r="U426" s="628"/>
      <c r="V426" s="478"/>
      <c r="W426" s="478"/>
      <c r="X426" s="273"/>
      <c r="Y426" s="825"/>
      <c r="Z426" s="825"/>
      <c r="AA426" s="825"/>
      <c r="AB426" s="825"/>
      <c r="AC426" s="825"/>
      <c r="AD426" s="825"/>
      <c r="AE426" s="825"/>
      <c r="AF426" s="825"/>
      <c r="AG426" s="825"/>
      <c r="AH426" s="825"/>
      <c r="AI426" s="825"/>
      <c r="AJ426" s="825"/>
      <c r="AK426" s="825"/>
      <c r="AL426" s="825"/>
      <c r="AM426" s="825"/>
      <c r="AN426" s="825"/>
      <c r="AO426" s="825"/>
      <c r="AP426" s="825"/>
      <c r="AQ426" s="825"/>
      <c r="AR426" s="825"/>
      <c r="AS426" s="825"/>
      <c r="AT426" s="825"/>
      <c r="AU426" s="825"/>
      <c r="AV426" s="825"/>
      <c r="AW426" s="825"/>
      <c r="AX426" s="825"/>
      <c r="BA426" s="825"/>
      <c r="BB426" s="825"/>
      <c r="BC426" s="825"/>
      <c r="BD426" s="825"/>
      <c r="BE426" s="825"/>
      <c r="BF426" s="825"/>
      <c r="BG426" s="825"/>
      <c r="BH426" s="825"/>
      <c r="BI426" s="825"/>
      <c r="BJ426" s="825"/>
      <c r="BK426" s="825"/>
      <c r="BL426" s="825"/>
      <c r="BM426" s="825"/>
      <c r="BN426" s="825"/>
      <c r="BO426" s="825"/>
      <c r="BP426" s="825"/>
      <c r="BQ426" s="825"/>
      <c r="BR426" s="825"/>
      <c r="BS426" s="825"/>
      <c r="BT426" s="825"/>
      <c r="BU426" s="825"/>
      <c r="BV426" s="825"/>
      <c r="BW426" s="825"/>
      <c r="BX426" s="825"/>
      <c r="BY426" s="825"/>
      <c r="BZ426" s="825"/>
      <c r="CA426" s="825"/>
      <c r="CB426" s="825"/>
      <c r="CC426" s="825"/>
    </row>
    <row r="427" spans="1:81" s="531" customFormat="1" ht="24.8" customHeight="1" x14ac:dyDescent="0.25">
      <c r="A427" s="558"/>
      <c r="B427" s="672"/>
      <c r="C427" s="834"/>
      <c r="D427" s="1069"/>
      <c r="E427" s="1069"/>
      <c r="F427" s="836"/>
      <c r="G427" s="1089"/>
      <c r="H427" s="1110"/>
      <c r="I427" s="1059"/>
      <c r="J427" s="680"/>
      <c r="K427" s="1044"/>
      <c r="L427" s="1045"/>
      <c r="M427" s="645" t="s">
        <v>489</v>
      </c>
      <c r="N427" s="730" t="str">
        <f t="shared" si="11"/>
        <v>Efluentes de acuicultura vertidos a cuerpos de agua naturales</v>
      </c>
      <c r="O427" s="837" t="str">
        <f t="shared" si="10"/>
        <v>Contaminación</v>
      </c>
      <c r="P427" s="546" t="e">
        <f>#REF!</f>
        <v>#REF!</v>
      </c>
      <c r="Q427" s="538" t="str">
        <f>AM9</f>
        <v xml:space="preserve">Control de aguas residuales de sistemas productivos agrarios a cuerpos de agua naturales </v>
      </c>
      <c r="R427" s="538" t="s">
        <v>647</v>
      </c>
      <c r="S427" s="547" t="s">
        <v>492</v>
      </c>
      <c r="T427" s="519" t="str">
        <f>AL9</f>
        <v>SCT1</v>
      </c>
      <c r="U427" s="628"/>
      <c r="V427" s="478"/>
      <c r="W427" s="478"/>
      <c r="X427" s="273"/>
      <c r="Y427" s="825"/>
      <c r="Z427" s="825"/>
      <c r="AA427" s="825"/>
      <c r="AB427" s="825"/>
      <c r="AC427" s="825"/>
      <c r="AD427" s="825"/>
      <c r="AE427" s="825"/>
      <c r="AF427" s="825"/>
      <c r="AG427" s="825"/>
      <c r="AH427" s="825"/>
      <c r="AI427" s="825"/>
      <c r="AJ427" s="825"/>
      <c r="AK427" s="825"/>
      <c r="AL427" s="825"/>
      <c r="AM427" s="825"/>
      <c r="AN427" s="825"/>
      <c r="AO427" s="825"/>
      <c r="AP427" s="825"/>
      <c r="AQ427" s="825"/>
      <c r="AR427" s="825"/>
      <c r="AS427" s="825"/>
      <c r="AT427" s="825"/>
      <c r="AU427" s="825"/>
      <c r="AV427" s="825"/>
      <c r="AW427" s="825"/>
      <c r="AX427" s="825"/>
      <c r="AY427" s="273"/>
      <c r="AZ427" s="273"/>
      <c r="BA427" s="825"/>
      <c r="BB427" s="825"/>
      <c r="BC427" s="825"/>
      <c r="BD427" s="825"/>
      <c r="BE427" s="825"/>
      <c r="BF427" s="825"/>
      <c r="BG427" s="825"/>
      <c r="BH427" s="825"/>
      <c r="BI427" s="825"/>
      <c r="BJ427" s="825"/>
      <c r="BK427" s="825"/>
      <c r="BL427" s="825"/>
      <c r="BM427" s="825"/>
      <c r="BN427" s="825"/>
      <c r="BO427" s="825"/>
      <c r="BP427" s="825"/>
      <c r="BQ427" s="825"/>
      <c r="BR427" s="825"/>
      <c r="BS427" s="825"/>
      <c r="BT427" s="825"/>
      <c r="BU427" s="825"/>
      <c r="BV427" s="825"/>
      <c r="BW427" s="825"/>
      <c r="BX427" s="825"/>
      <c r="BY427" s="825"/>
      <c r="BZ427" s="825"/>
      <c r="CA427" s="825"/>
      <c r="CB427" s="825"/>
      <c r="CC427" s="825"/>
    </row>
    <row r="428" spans="1:81" ht="41.95" customHeight="1" x14ac:dyDescent="0.25">
      <c r="A428" s="558"/>
      <c r="B428" s="672" t="s">
        <v>897</v>
      </c>
      <c r="C428" s="834" t="str">
        <f>'8. BASE  CONSOLIDADA'!E151</f>
        <v>4.1.9</v>
      </c>
      <c r="D428" s="1069" t="str">
        <f>'8. BASE  CONSOLIDADA'!F151</f>
        <v xml:space="preserve">Incentivos financieros para la acuicultura </v>
      </c>
      <c r="E428" s="1069" t="str">
        <f>'8. BASE  CONSOLIDADA'!G151</f>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F428" s="836" t="str">
        <f>'8. BASE  CONSOLIDADA'!C151</f>
        <v>Predios de agricultura familiar con producción destinada al autoconsumo y productos de exportación, con título o sin título de propiedad.</v>
      </c>
      <c r="G428" s="1019" t="str">
        <f>VLOOKUP($C428,'8. BASE  CONSOLIDADA'!$E$7:$AS$308,13,FALSE)</f>
        <v>Créditos otorgados</v>
      </c>
      <c r="H428" s="1109">
        <f>VLOOKUP($C428,'8. BASE  CONSOLIDADA'!$E$7:$AS$308,15,FALSE)</f>
        <v>70</v>
      </c>
      <c r="I428" s="1058">
        <f>VLOOKUP(C428,'8. BASE  CONSOLIDADA'!$E$7:$AS$308,20,FALSE)</f>
        <v>903000</v>
      </c>
      <c r="J428" s="678">
        <f>I428*$J$6</f>
        <v>614.04000000000008</v>
      </c>
      <c r="K428" s="1020"/>
      <c r="L428" s="1047"/>
      <c r="M428" s="645" t="s">
        <v>489</v>
      </c>
      <c r="N428" s="740" t="str">
        <f t="shared" si="11"/>
        <v>Deforestación para habilitación de áreas para proyectos de acuicultura</v>
      </c>
      <c r="O428" s="837" t="str">
        <f t="shared" si="10"/>
        <v>Biodiversidad y recursos naturales</v>
      </c>
      <c r="P428" s="546" t="e">
        <f>#REF!</f>
        <v>#REF!</v>
      </c>
      <c r="Q428" s="538" t="str">
        <f>AA12</f>
        <v xml:space="preserve">Ordenamiento agroterritorial como estrategia para ordenar y promover el desarrollo agrario regional </v>
      </c>
      <c r="R428" s="538" t="s">
        <v>656</v>
      </c>
      <c r="S428" s="547" t="s">
        <v>492</v>
      </c>
      <c r="T428" s="519" t="str">
        <f>Z12</f>
        <v>SBRN4</v>
      </c>
      <c r="U428" s="628"/>
      <c r="V428" s="478"/>
      <c r="W428" s="478"/>
      <c r="X428" s="273"/>
      <c r="Y428" s="825"/>
      <c r="Z428" s="825"/>
      <c r="AA428" s="825"/>
      <c r="AB428" s="825"/>
      <c r="AC428" s="825"/>
      <c r="AD428" s="825"/>
      <c r="AE428" s="825"/>
      <c r="AF428" s="825"/>
      <c r="AG428" s="825"/>
      <c r="AH428" s="825"/>
      <c r="AI428" s="825"/>
      <c r="AJ428" s="825"/>
      <c r="AK428" s="825"/>
      <c r="AL428" s="825"/>
      <c r="AM428" s="825"/>
      <c r="AN428" s="825"/>
      <c r="AO428" s="825"/>
      <c r="AP428" s="825"/>
      <c r="AQ428" s="825"/>
      <c r="AR428" s="825"/>
      <c r="AS428" s="825"/>
      <c r="AT428" s="825"/>
      <c r="AU428" s="825"/>
      <c r="AV428" s="825"/>
      <c r="AW428" s="825"/>
      <c r="AX428" s="825"/>
      <c r="BA428" s="825"/>
      <c r="BB428" s="825"/>
      <c r="BC428" s="825"/>
      <c r="BD428" s="825"/>
      <c r="BE428" s="825"/>
      <c r="BF428" s="825"/>
      <c r="BG428" s="825"/>
      <c r="BH428" s="825"/>
      <c r="BI428" s="825"/>
      <c r="BJ428" s="825"/>
      <c r="BK428" s="825"/>
      <c r="BL428" s="825"/>
      <c r="BM428" s="825"/>
      <c r="BN428" s="825"/>
      <c r="BO428" s="825"/>
      <c r="BP428" s="825"/>
      <c r="BQ428" s="825"/>
      <c r="BR428" s="825"/>
      <c r="BS428" s="825"/>
      <c r="BT428" s="825"/>
      <c r="BU428" s="825"/>
      <c r="BV428" s="825"/>
      <c r="BW428" s="825"/>
      <c r="BX428" s="825"/>
      <c r="BY428" s="825"/>
      <c r="BZ428" s="825"/>
      <c r="CA428" s="825"/>
      <c r="CB428" s="825"/>
      <c r="CC428" s="825"/>
    </row>
    <row r="429" spans="1:81" s="531" customFormat="1" ht="41.3" customHeight="1" x14ac:dyDescent="0.25">
      <c r="A429" s="558"/>
      <c r="B429" s="672"/>
      <c r="C429" s="834"/>
      <c r="D429" s="1069"/>
      <c r="E429" s="1069"/>
      <c r="F429" s="836"/>
      <c r="G429" s="1089"/>
      <c r="H429" s="1110"/>
      <c r="I429" s="1059"/>
      <c r="J429" s="681"/>
      <c r="K429" s="1048"/>
      <c r="L429" s="1047"/>
      <c r="M429" s="645" t="s">
        <v>489</v>
      </c>
      <c r="N429" s="742" t="str">
        <f t="shared" si="11"/>
        <v>Actividad acuícola no se desarrolla de manera óptima</v>
      </c>
      <c r="O429" s="837" t="str">
        <f t="shared" ref="O429:O492" si="12">VLOOKUP(T429,$AY$9:$BA$81,3,FALSE)</f>
        <v>Vulnerabilidad al cambio climático</v>
      </c>
      <c r="P429" s="546" t="e">
        <f>#REF!</f>
        <v>#REF!</v>
      </c>
      <c r="Q429" s="538" t="str">
        <f>AS10</f>
        <v>Análisis de rentabilidad de la actividad acuícola en los programas de reconversión productiva</v>
      </c>
      <c r="R429" s="538" t="s">
        <v>662</v>
      </c>
      <c r="S429" s="547" t="s">
        <v>507</v>
      </c>
      <c r="T429" s="519" t="str">
        <f>AR10</f>
        <v>SVCC2</v>
      </c>
      <c r="U429" s="628"/>
      <c r="V429" s="478"/>
      <c r="W429" s="478"/>
      <c r="X429" s="273"/>
      <c r="Y429" s="825"/>
      <c r="Z429" s="825"/>
      <c r="AA429" s="825"/>
      <c r="AB429" s="825"/>
      <c r="AC429" s="825"/>
      <c r="AD429" s="825"/>
      <c r="AE429" s="825"/>
      <c r="AF429" s="825"/>
      <c r="AG429" s="825"/>
      <c r="AH429" s="825"/>
      <c r="AI429" s="825"/>
      <c r="AJ429" s="825"/>
      <c r="AK429" s="825"/>
      <c r="AL429" s="825"/>
      <c r="AM429" s="825"/>
      <c r="AN429" s="825"/>
      <c r="AO429" s="825"/>
      <c r="AP429" s="825"/>
      <c r="AQ429" s="825"/>
      <c r="AR429" s="825"/>
      <c r="AS429" s="825"/>
      <c r="AT429" s="825"/>
      <c r="AU429" s="825"/>
      <c r="AV429" s="825"/>
      <c r="AW429" s="825"/>
      <c r="AX429" s="825"/>
      <c r="AY429" s="273"/>
      <c r="AZ429" s="273"/>
      <c r="BA429" s="825"/>
      <c r="BB429" s="825"/>
      <c r="BC429" s="825"/>
      <c r="BD429" s="825"/>
      <c r="BE429" s="825"/>
      <c r="BF429" s="825"/>
      <c r="BG429" s="825"/>
      <c r="BH429" s="825"/>
      <c r="BI429" s="825"/>
      <c r="BJ429" s="825"/>
      <c r="BK429" s="825"/>
      <c r="BL429" s="825"/>
      <c r="BM429" s="825"/>
      <c r="BN429" s="825"/>
      <c r="BO429" s="825"/>
      <c r="BP429" s="825"/>
      <c r="BQ429" s="825"/>
      <c r="BR429" s="825"/>
      <c r="BS429" s="825"/>
      <c r="BT429" s="825"/>
      <c r="BU429" s="825"/>
      <c r="BV429" s="825"/>
      <c r="BW429" s="825"/>
      <c r="BX429" s="825"/>
      <c r="BY429" s="825"/>
      <c r="BZ429" s="825"/>
      <c r="CA429" s="825"/>
      <c r="CB429" s="825"/>
      <c r="CC429" s="825"/>
    </row>
    <row r="430" spans="1:81" ht="41.95" customHeight="1" x14ac:dyDescent="0.25">
      <c r="A430" s="558"/>
      <c r="B430" s="672" t="s">
        <v>897</v>
      </c>
      <c r="C430" s="834" t="str">
        <f>'8. BASE  CONSOLIDADA'!E152</f>
        <v>4.1.10</v>
      </c>
      <c r="D430" s="1069" t="str">
        <f>'8. BASE  CONSOLIDADA'!F152</f>
        <v>Programa de acceso al financiamiento agropecuario condicionado</v>
      </c>
      <c r="E430" s="1069" t="str">
        <f>'8. BASE  CONSOLIDADA'!G152</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F430" s="836" t="str">
        <f>'8. BASE  CONSOLIDADA'!C152</f>
        <v>Predios de agricultura familiar con producción destinada al autoconsumo y productos de exportación, con título o sin título de propiedad.</v>
      </c>
      <c r="G430" s="1019" t="str">
        <f>VLOOKUP($C430,'8. BASE  CONSOLIDADA'!$E$7:$AS$308,13,FALSE)</f>
        <v>Créditos otorgados</v>
      </c>
      <c r="H430" s="1109">
        <f>VLOOKUP($C430,'8. BASE  CONSOLIDADA'!$E$7:$AS$308,15,FALSE)</f>
        <v>7808.7</v>
      </c>
      <c r="I430" s="1058">
        <f>VLOOKUP(C430,'8. BASE  CONSOLIDADA'!$E$7:$AS$308,20,FALSE)</f>
        <v>83943525</v>
      </c>
      <c r="J430" s="678">
        <f>I430*$J$6</f>
        <v>57081.597000000002</v>
      </c>
      <c r="K430" s="396"/>
      <c r="L430" s="396"/>
      <c r="M430" s="645" t="s">
        <v>489</v>
      </c>
      <c r="N430" s="740" t="str">
        <f t="shared" si="11"/>
        <v>Deforestación de nuevas áreas para implementar créditos o incentivos otorgados</v>
      </c>
      <c r="O430" s="837" t="str">
        <f t="shared" si="12"/>
        <v>Biodiversidad y recursos naturales</v>
      </c>
      <c r="P430" s="546" t="e">
        <f>#REF!</f>
        <v>#REF!</v>
      </c>
      <c r="Q430" s="538" t="str">
        <f>AA12</f>
        <v xml:space="preserve">Ordenamiento agroterritorial como estrategia para ordenar y promover el desarrollo agrario regional </v>
      </c>
      <c r="R430" s="538" t="s">
        <v>656</v>
      </c>
      <c r="S430" s="547" t="s">
        <v>492</v>
      </c>
      <c r="T430" s="519" t="str">
        <f>Z12</f>
        <v>SBRN4</v>
      </c>
      <c r="U430" s="628"/>
      <c r="V430" s="478"/>
      <c r="W430" s="478"/>
      <c r="X430" s="273"/>
      <c r="Y430" s="825"/>
      <c r="Z430" s="825"/>
      <c r="AA430" s="825"/>
      <c r="AB430" s="825"/>
      <c r="AC430" s="825"/>
      <c r="AD430" s="825"/>
      <c r="AE430" s="825"/>
      <c r="AF430" s="825"/>
      <c r="AG430" s="825"/>
      <c r="AH430" s="825"/>
      <c r="AI430" s="825"/>
      <c r="AJ430" s="825"/>
      <c r="AK430" s="825"/>
      <c r="AL430" s="825"/>
      <c r="AM430" s="825"/>
      <c r="AN430" s="825"/>
      <c r="AO430" s="825"/>
      <c r="AP430" s="825"/>
      <c r="AQ430" s="825"/>
      <c r="AR430" s="825"/>
      <c r="AS430" s="825"/>
      <c r="AT430" s="825"/>
      <c r="AU430" s="825"/>
      <c r="AV430" s="825"/>
      <c r="AW430" s="825"/>
      <c r="AX430" s="825"/>
      <c r="BA430" s="825"/>
      <c r="BB430" s="825"/>
      <c r="BC430" s="825"/>
      <c r="BD430" s="825"/>
      <c r="BE430" s="825"/>
      <c r="BF430" s="825"/>
      <c r="BG430" s="825"/>
      <c r="BH430" s="825"/>
      <c r="BI430" s="825"/>
      <c r="BJ430" s="825"/>
      <c r="BK430" s="825"/>
      <c r="BL430" s="825"/>
      <c r="BM430" s="825"/>
      <c r="BN430" s="825"/>
      <c r="BO430" s="825"/>
      <c r="BP430" s="825"/>
      <c r="BQ430" s="825"/>
      <c r="BR430" s="825"/>
      <c r="BS430" s="825"/>
      <c r="BT430" s="825"/>
      <c r="BU430" s="825"/>
      <c r="BV430" s="825"/>
      <c r="BW430" s="825"/>
      <c r="BX430" s="825"/>
      <c r="BY430" s="825"/>
      <c r="BZ430" s="825"/>
      <c r="CA430" s="825"/>
      <c r="CB430" s="825"/>
      <c r="CC430" s="825"/>
    </row>
    <row r="431" spans="1:81" s="531" customFormat="1" ht="32.950000000000003" customHeight="1" x14ac:dyDescent="0.25">
      <c r="A431" s="558"/>
      <c r="B431" s="672"/>
      <c r="C431" s="834"/>
      <c r="D431" s="1069"/>
      <c r="E431" s="1069"/>
      <c r="F431" s="836"/>
      <c r="G431" s="1089"/>
      <c r="H431" s="1110"/>
      <c r="I431" s="1059"/>
      <c r="J431" s="681"/>
      <c r="K431" s="1024">
        <v>100</v>
      </c>
      <c r="L431" s="1024">
        <f>K431*H430</f>
        <v>780870</v>
      </c>
      <c r="M431" s="739" t="s">
        <v>672</v>
      </c>
      <c r="N431" s="740" t="str">
        <f>N25</f>
        <v>Deforestación de nuevas áreas para implementar créditos o incentivos otorgados</v>
      </c>
      <c r="O431" s="837" t="str">
        <f t="shared" si="12"/>
        <v>Biodiversidad y recursos naturales</v>
      </c>
      <c r="P431" s="546" t="e">
        <f>#REF!</f>
        <v>#REF!</v>
      </c>
      <c r="Q431" s="538" t="str">
        <f>AA14</f>
        <v>Desarrollo de incentivos financieros y no financieros condicionados con cláusulas de no deforestación</v>
      </c>
      <c r="R431" s="538" t="s">
        <v>673</v>
      </c>
      <c r="S431" s="538" t="s">
        <v>526</v>
      </c>
      <c r="T431" s="519" t="str">
        <f>Z14</f>
        <v>SBRN6</v>
      </c>
      <c r="U431" s="628"/>
      <c r="V431" s="478"/>
      <c r="W431" s="478"/>
      <c r="X431" s="273"/>
      <c r="Y431" s="825"/>
      <c r="Z431" s="825"/>
      <c r="AA431" s="825"/>
      <c r="AB431" s="825"/>
      <c r="AC431" s="825"/>
      <c r="AD431" s="825"/>
      <c r="AE431" s="825"/>
      <c r="AF431" s="825"/>
      <c r="AG431" s="825"/>
      <c r="AH431" s="825"/>
      <c r="AI431" s="825"/>
      <c r="AJ431" s="825"/>
      <c r="AK431" s="825"/>
      <c r="AL431" s="825"/>
      <c r="AM431" s="825"/>
      <c r="AN431" s="825"/>
      <c r="AO431" s="825"/>
      <c r="AP431" s="825"/>
      <c r="AQ431" s="825"/>
      <c r="AR431" s="825"/>
      <c r="AS431" s="825"/>
      <c r="AT431" s="825"/>
      <c r="AU431" s="825"/>
      <c r="AV431" s="825"/>
      <c r="AW431" s="825"/>
      <c r="AX431" s="825"/>
      <c r="AY431" s="273"/>
      <c r="AZ431" s="273"/>
      <c r="BA431" s="825"/>
      <c r="BB431" s="825"/>
      <c r="BC431" s="825"/>
      <c r="BD431" s="825"/>
      <c r="BE431" s="825"/>
      <c r="BF431" s="825"/>
      <c r="BG431" s="825"/>
      <c r="BH431" s="825"/>
      <c r="BI431" s="825"/>
      <c r="BJ431" s="825"/>
      <c r="BK431" s="825"/>
      <c r="BL431" s="825"/>
      <c r="BM431" s="825"/>
      <c r="BN431" s="825"/>
      <c r="BO431" s="825"/>
      <c r="BP431" s="825"/>
      <c r="BQ431" s="825"/>
      <c r="BR431" s="825"/>
      <c r="BS431" s="825"/>
      <c r="BT431" s="825"/>
      <c r="BU431" s="825"/>
      <c r="BV431" s="825"/>
      <c r="BW431" s="825"/>
      <c r="BX431" s="825"/>
      <c r="BY431" s="825"/>
      <c r="BZ431" s="825"/>
      <c r="CA431" s="825"/>
      <c r="CB431" s="825"/>
      <c r="CC431" s="825"/>
    </row>
    <row r="432" spans="1:81" s="531" customFormat="1" ht="43.5" customHeight="1" x14ac:dyDescent="0.25">
      <c r="A432" s="558"/>
      <c r="B432" s="672"/>
      <c r="C432" s="834"/>
      <c r="D432" s="1069"/>
      <c r="E432" s="1069"/>
      <c r="F432" s="836"/>
      <c r="G432" s="1089"/>
      <c r="H432" s="1110"/>
      <c r="I432" s="1059"/>
      <c r="J432" s="681"/>
      <c r="K432" s="1048">
        <v>17</v>
      </c>
      <c r="L432" s="1048">
        <f>K432*H430</f>
        <v>132747.9</v>
      </c>
      <c r="M432" s="647" t="s">
        <v>898</v>
      </c>
      <c r="N432" s="724" t="str">
        <f>N17</f>
        <v>Especies exóticas o invasoras en bosques colindantes</v>
      </c>
      <c r="O432" s="837" t="str">
        <f t="shared" si="12"/>
        <v>Biodiversidad y recursos naturales</v>
      </c>
      <c r="P432" s="546" t="e">
        <f>#REF!</f>
        <v>#REF!</v>
      </c>
      <c r="Q432" s="538" t="str">
        <f>AA13</f>
        <v xml:space="preserve">Inclusión de cláusulas de monitoreo y control de especies exóticas e invasoras en proyectos de promoción agrarios  </v>
      </c>
      <c r="R432" s="538" t="s">
        <v>614</v>
      </c>
      <c r="S432" s="547" t="s">
        <v>492</v>
      </c>
      <c r="T432" s="519" t="str">
        <f>Z13</f>
        <v>SBRN5</v>
      </c>
      <c r="U432" s="628"/>
      <c r="V432" s="478"/>
      <c r="W432" s="478"/>
      <c r="X432" s="273"/>
      <c r="Y432" s="825"/>
      <c r="Z432" s="825"/>
      <c r="AA432" s="825"/>
      <c r="AB432" s="825"/>
      <c r="AC432" s="825"/>
      <c r="AD432" s="825"/>
      <c r="AE432" s="825"/>
      <c r="AF432" s="825"/>
      <c r="AG432" s="825"/>
      <c r="AH432" s="825"/>
      <c r="AI432" s="825"/>
      <c r="AJ432" s="825"/>
      <c r="AK432" s="825"/>
      <c r="AL432" s="825"/>
      <c r="AM432" s="825"/>
      <c r="AN432" s="825"/>
      <c r="AO432" s="825"/>
      <c r="AP432" s="825"/>
      <c r="AQ432" s="825"/>
      <c r="AR432" s="825"/>
      <c r="AS432" s="825"/>
      <c r="AT432" s="825"/>
      <c r="AU432" s="825"/>
      <c r="AV432" s="825"/>
      <c r="AW432" s="825"/>
      <c r="AX432" s="825"/>
      <c r="AY432" s="273"/>
      <c r="AZ432" s="273"/>
      <c r="BA432" s="825"/>
      <c r="BB432" s="825"/>
      <c r="BC432" s="825"/>
      <c r="BD432" s="825"/>
      <c r="BE432" s="825"/>
      <c r="BF432" s="825"/>
      <c r="BG432" s="825"/>
      <c r="BH432" s="825"/>
      <c r="BI432" s="825"/>
      <c r="BJ432" s="825"/>
      <c r="BK432" s="825"/>
      <c r="BL432" s="825"/>
      <c r="BM432" s="825"/>
      <c r="BN432" s="825"/>
      <c r="BO432" s="825"/>
      <c r="BP432" s="825"/>
      <c r="BQ432" s="825"/>
      <c r="BR432" s="825"/>
      <c r="BS432" s="825"/>
      <c r="BT432" s="825"/>
      <c r="BU432" s="825"/>
      <c r="BV432" s="825"/>
      <c r="BW432" s="825"/>
      <c r="BX432" s="825"/>
      <c r="BY432" s="825"/>
      <c r="BZ432" s="825"/>
      <c r="CA432" s="825"/>
      <c r="CB432" s="825"/>
      <c r="CC432" s="825"/>
    </row>
    <row r="433" spans="1:81" s="531" customFormat="1" ht="19.55" customHeight="1" x14ac:dyDescent="0.25">
      <c r="A433" s="558"/>
      <c r="B433" s="672"/>
      <c r="C433" s="834"/>
      <c r="D433" s="1069"/>
      <c r="E433" s="1069"/>
      <c r="F433" s="836"/>
      <c r="G433" s="1089"/>
      <c r="H433" s="1110"/>
      <c r="I433" s="1059"/>
      <c r="J433" s="681"/>
      <c r="K433" s="1048"/>
      <c r="L433" s="1047"/>
      <c r="M433" s="645" t="s">
        <v>489</v>
      </c>
      <c r="N433" s="733" t="str">
        <f>N28</f>
        <v>Contaminación por residuos agropecuarios</v>
      </c>
      <c r="O433" s="837" t="str">
        <f t="shared" si="12"/>
        <v>Contaminación</v>
      </c>
      <c r="P433" s="546" t="e">
        <f>#REF!</f>
        <v>#REF!</v>
      </c>
      <c r="Q433" s="538" t="str">
        <f>AM10</f>
        <v>Control de residuos agropecuarios</v>
      </c>
      <c r="R433" s="538" t="s">
        <v>535</v>
      </c>
      <c r="S433" s="547" t="s">
        <v>492</v>
      </c>
      <c r="T433" s="519" t="str">
        <f>AL10</f>
        <v>SCT2</v>
      </c>
      <c r="U433" s="628"/>
      <c r="V433" s="478"/>
      <c r="W433" s="478"/>
      <c r="X433" s="273"/>
      <c r="Y433" s="825"/>
      <c r="Z433" s="825"/>
      <c r="AA433" s="825"/>
      <c r="AB433" s="825"/>
      <c r="AC433" s="825"/>
      <c r="AD433" s="825"/>
      <c r="AE433" s="825"/>
      <c r="AF433" s="825"/>
      <c r="AG433" s="825"/>
      <c r="AH433" s="825"/>
      <c r="AI433" s="825"/>
      <c r="AJ433" s="825"/>
      <c r="AK433" s="825"/>
      <c r="AL433" s="825"/>
      <c r="AM433" s="825"/>
      <c r="AN433" s="825"/>
      <c r="AO433" s="825"/>
      <c r="AP433" s="825"/>
      <c r="AQ433" s="825"/>
      <c r="AR433" s="825"/>
      <c r="AS433" s="825"/>
      <c r="AT433" s="825"/>
      <c r="AU433" s="825"/>
      <c r="AV433" s="825"/>
      <c r="AW433" s="825"/>
      <c r="AX433" s="825"/>
      <c r="AY433" s="273"/>
      <c r="AZ433" s="273"/>
      <c r="BA433" s="825"/>
      <c r="BB433" s="825"/>
      <c r="BC433" s="825"/>
      <c r="BD433" s="825"/>
      <c r="BE433" s="825"/>
      <c r="BF433" s="825"/>
      <c r="BG433" s="825"/>
      <c r="BH433" s="825"/>
      <c r="BI433" s="825"/>
      <c r="BJ433" s="825"/>
      <c r="BK433" s="825"/>
      <c r="BL433" s="825"/>
      <c r="BM433" s="825"/>
      <c r="BN433" s="825"/>
      <c r="BO433" s="825"/>
      <c r="BP433" s="825"/>
      <c r="BQ433" s="825"/>
      <c r="BR433" s="825"/>
      <c r="BS433" s="825"/>
      <c r="BT433" s="825"/>
      <c r="BU433" s="825"/>
      <c r="BV433" s="825"/>
      <c r="BW433" s="825"/>
      <c r="BX433" s="825"/>
      <c r="BY433" s="825"/>
      <c r="BZ433" s="825"/>
      <c r="CA433" s="825"/>
      <c r="CB433" s="825"/>
      <c r="CC433" s="825"/>
    </row>
    <row r="434" spans="1:81" s="531" customFormat="1" ht="40.6" customHeight="1" x14ac:dyDescent="0.25">
      <c r="A434" s="558"/>
      <c r="B434" s="672"/>
      <c r="C434" s="834"/>
      <c r="D434" s="1069"/>
      <c r="E434" s="1069"/>
      <c r="F434" s="836"/>
      <c r="G434" s="1089"/>
      <c r="H434" s="1110"/>
      <c r="I434" s="1059"/>
      <c r="J434" s="681"/>
      <c r="K434" s="1048"/>
      <c r="L434" s="1047"/>
      <c r="M434" s="645" t="s">
        <v>489</v>
      </c>
      <c r="N434" s="733" t="str">
        <f>N29</f>
        <v xml:space="preserve">Otorgamiento inapropiado de incentivos </v>
      </c>
      <c r="O434" s="837" t="str">
        <f t="shared" si="12"/>
        <v>Corrupción</v>
      </c>
      <c r="P434" s="546" t="e">
        <f>#REF!</f>
        <v>#REF!</v>
      </c>
      <c r="Q434" s="538" t="str">
        <f>AG10</f>
        <v>Transparencia en incentivos financieros y obras públicas vinculadas a la ERDRBE</v>
      </c>
      <c r="R434" s="538" t="s">
        <v>687</v>
      </c>
      <c r="S434" s="547" t="s">
        <v>507</v>
      </c>
      <c r="T434" s="519" t="str">
        <f>AF10</f>
        <v>SCR2</v>
      </c>
      <c r="U434" s="628"/>
      <c r="V434" s="478"/>
      <c r="W434" s="478"/>
      <c r="X434" s="273"/>
      <c r="Y434" s="825"/>
      <c r="Z434" s="825"/>
      <c r="AA434" s="825"/>
      <c r="AB434" s="825"/>
      <c r="AC434" s="825"/>
      <c r="AD434" s="825"/>
      <c r="AE434" s="825"/>
      <c r="AF434" s="825"/>
      <c r="AG434" s="825"/>
      <c r="AH434" s="825"/>
      <c r="AI434" s="825"/>
      <c r="AJ434" s="825"/>
      <c r="AK434" s="825"/>
      <c r="AL434" s="825"/>
      <c r="AM434" s="825"/>
      <c r="AN434" s="825"/>
      <c r="AO434" s="825"/>
      <c r="AP434" s="825"/>
      <c r="AQ434" s="825"/>
      <c r="AR434" s="825"/>
      <c r="AS434" s="825"/>
      <c r="AT434" s="825"/>
      <c r="AU434" s="825"/>
      <c r="AV434" s="825"/>
      <c r="AW434" s="825"/>
      <c r="AX434" s="825"/>
      <c r="AY434" s="273"/>
      <c r="AZ434" s="273"/>
      <c r="BA434" s="825"/>
      <c r="BB434" s="825"/>
      <c r="BC434" s="825"/>
      <c r="BD434" s="825"/>
      <c r="BE434" s="825"/>
      <c r="BF434" s="825"/>
      <c r="BG434" s="825"/>
      <c r="BH434" s="825"/>
      <c r="BI434" s="825"/>
      <c r="BJ434" s="825"/>
      <c r="BK434" s="825"/>
      <c r="BL434" s="825"/>
      <c r="BM434" s="825"/>
      <c r="BN434" s="825"/>
      <c r="BO434" s="825"/>
      <c r="BP434" s="825"/>
      <c r="BQ434" s="825"/>
      <c r="BR434" s="825"/>
      <c r="BS434" s="825"/>
      <c r="BT434" s="825"/>
      <c r="BU434" s="825"/>
      <c r="BV434" s="825"/>
      <c r="BW434" s="825"/>
      <c r="BX434" s="825"/>
      <c r="BY434" s="825"/>
      <c r="BZ434" s="825"/>
      <c r="CA434" s="825"/>
      <c r="CB434" s="825"/>
      <c r="CC434" s="825"/>
    </row>
    <row r="435" spans="1:81" s="531" customFormat="1" ht="21.75" customHeight="1" x14ac:dyDescent="0.25">
      <c r="A435" s="558"/>
      <c r="B435" s="672"/>
      <c r="C435" s="834"/>
      <c r="D435" s="1069"/>
      <c r="E435" s="1069"/>
      <c r="F435" s="836"/>
      <c r="G435" s="1089"/>
      <c r="H435" s="1110"/>
      <c r="I435" s="1059"/>
      <c r="J435" s="681"/>
      <c r="K435" s="1048"/>
      <c r="L435" s="1047"/>
      <c r="M435" s="645" t="s">
        <v>489</v>
      </c>
      <c r="N435" s="733" t="str">
        <f>N30</f>
        <v>Exclusión de productoras agrarias en sistemas de incentivos financieros</v>
      </c>
      <c r="O435" s="837" t="str">
        <f t="shared" si="12"/>
        <v>Género</v>
      </c>
      <c r="P435" s="546" t="str">
        <f>AC6</f>
        <v>GN</v>
      </c>
      <c r="Q435" s="538" t="str">
        <f>AJ11</f>
        <v xml:space="preserve">Cuotas de género y medición de participación efectiva de mujeres rurales </v>
      </c>
      <c r="R435" s="538" t="s">
        <v>689</v>
      </c>
      <c r="S435" s="547" t="s">
        <v>507</v>
      </c>
      <c r="T435" s="519" t="str">
        <f>AI11</f>
        <v>SGN3</v>
      </c>
      <c r="U435" s="628"/>
      <c r="V435" s="478"/>
      <c r="W435" s="478"/>
      <c r="X435" s="273"/>
      <c r="Y435" s="825"/>
      <c r="Z435" s="825"/>
      <c r="AA435" s="825"/>
      <c r="AB435" s="825"/>
      <c r="AC435" s="825"/>
      <c r="AD435" s="825"/>
      <c r="AE435" s="825"/>
      <c r="AF435" s="825"/>
      <c r="AG435" s="825"/>
      <c r="AH435" s="825"/>
      <c r="AI435" s="825"/>
      <c r="AJ435" s="825"/>
      <c r="AK435" s="825"/>
      <c r="AL435" s="825"/>
      <c r="AM435" s="825"/>
      <c r="AN435" s="825"/>
      <c r="AO435" s="825"/>
      <c r="AP435" s="825"/>
      <c r="AQ435" s="825"/>
      <c r="AR435" s="825"/>
      <c r="AS435" s="825"/>
      <c r="AT435" s="825"/>
      <c r="AU435" s="825"/>
      <c r="AV435" s="825"/>
      <c r="AW435" s="825"/>
      <c r="AX435" s="825"/>
      <c r="AY435" s="273"/>
      <c r="AZ435" s="273"/>
      <c r="BA435" s="825"/>
      <c r="BB435" s="825"/>
      <c r="BC435" s="825"/>
      <c r="BD435" s="825"/>
      <c r="BE435" s="825"/>
      <c r="BF435" s="825"/>
      <c r="BG435" s="825"/>
      <c r="BH435" s="825"/>
      <c r="BI435" s="825"/>
      <c r="BJ435" s="825"/>
      <c r="BK435" s="825"/>
      <c r="BL435" s="825"/>
      <c r="BM435" s="825"/>
      <c r="BN435" s="825"/>
      <c r="BO435" s="825"/>
      <c r="BP435" s="825"/>
      <c r="BQ435" s="825"/>
      <c r="BR435" s="825"/>
      <c r="BS435" s="825"/>
      <c r="BT435" s="825"/>
      <c r="BU435" s="825"/>
      <c r="BV435" s="825"/>
      <c r="BW435" s="825"/>
      <c r="BX435" s="825"/>
      <c r="BY435" s="825"/>
      <c r="BZ435" s="825"/>
      <c r="CA435" s="825"/>
      <c r="CB435" s="825"/>
      <c r="CC435" s="825"/>
    </row>
    <row r="436" spans="1:81" s="531" customFormat="1" ht="32.950000000000003" customHeight="1" x14ac:dyDescent="0.25">
      <c r="A436" s="558"/>
      <c r="B436" s="672"/>
      <c r="C436" s="834"/>
      <c r="D436" s="1069"/>
      <c r="E436" s="1069"/>
      <c r="F436" s="836"/>
      <c r="G436" s="1089"/>
      <c r="H436" s="1110"/>
      <c r="I436" s="1059"/>
      <c r="J436" s="681"/>
      <c r="K436" s="1048"/>
      <c r="L436" s="1047"/>
      <c r="M436" s="645" t="s">
        <v>489</v>
      </c>
      <c r="N436" s="733" t="str">
        <f>N30</f>
        <v>Exclusión de productoras agrarias en sistemas de incentivos financieros</v>
      </c>
      <c r="O436" s="837" t="str">
        <f t="shared" si="12"/>
        <v>Género</v>
      </c>
      <c r="P436" s="546" t="str">
        <f>AC6</f>
        <v>GN</v>
      </c>
      <c r="Q436" s="538" t="str">
        <f>AJ12</f>
        <v>Criterios de evaluación de programas y proyectos con enfoque de género</v>
      </c>
      <c r="R436" s="538" t="s">
        <v>690</v>
      </c>
      <c r="S436" s="547" t="s">
        <v>507</v>
      </c>
      <c r="T436" s="519" t="str">
        <f>AI12</f>
        <v>SGN4</v>
      </c>
      <c r="U436" s="628"/>
      <c r="V436" s="478"/>
      <c r="W436" s="478"/>
      <c r="X436" s="273"/>
      <c r="Y436" s="825"/>
      <c r="Z436" s="825"/>
      <c r="AA436" s="825"/>
      <c r="AB436" s="825"/>
      <c r="AC436" s="825"/>
      <c r="AD436" s="825"/>
      <c r="AE436" s="825"/>
      <c r="AF436" s="825"/>
      <c r="AG436" s="825"/>
      <c r="AH436" s="825"/>
      <c r="AI436" s="825"/>
      <c r="AJ436" s="825"/>
      <c r="AK436" s="825"/>
      <c r="AL436" s="825"/>
      <c r="AM436" s="825"/>
      <c r="AN436" s="825"/>
      <c r="AO436" s="825"/>
      <c r="AP436" s="825"/>
      <c r="AQ436" s="825"/>
      <c r="AR436" s="825"/>
      <c r="AS436" s="825"/>
      <c r="AT436" s="825"/>
      <c r="AU436" s="825"/>
      <c r="AV436" s="825"/>
      <c r="AW436" s="825"/>
      <c r="AX436" s="825"/>
      <c r="AY436" s="273"/>
      <c r="AZ436" s="273"/>
      <c r="BA436" s="825"/>
      <c r="BB436" s="825"/>
      <c r="BC436" s="825"/>
      <c r="BD436" s="825"/>
      <c r="BE436" s="825"/>
      <c r="BF436" s="825"/>
      <c r="BG436" s="825"/>
      <c r="BH436" s="825"/>
      <c r="BI436" s="825"/>
      <c r="BJ436" s="825"/>
      <c r="BK436" s="825"/>
      <c r="BL436" s="825"/>
      <c r="BM436" s="825"/>
      <c r="BN436" s="825"/>
      <c r="BO436" s="825"/>
      <c r="BP436" s="825"/>
      <c r="BQ436" s="825"/>
      <c r="BR436" s="825"/>
      <c r="BS436" s="825"/>
      <c r="BT436" s="825"/>
      <c r="BU436" s="825"/>
      <c r="BV436" s="825"/>
      <c r="BW436" s="825"/>
      <c r="BX436" s="825"/>
      <c r="BY436" s="825"/>
      <c r="BZ436" s="825"/>
      <c r="CA436" s="825"/>
      <c r="CB436" s="825"/>
      <c r="CC436" s="825"/>
    </row>
    <row r="437" spans="1:81" s="531" customFormat="1" ht="23.95" customHeight="1" x14ac:dyDescent="0.25">
      <c r="A437" s="558"/>
      <c r="B437" s="672"/>
      <c r="C437" s="834"/>
      <c r="D437" s="1069"/>
      <c r="E437" s="1069"/>
      <c r="F437" s="836"/>
      <c r="G437" s="1089"/>
      <c r="H437" s="1110"/>
      <c r="I437" s="1059"/>
      <c r="J437" s="681"/>
      <c r="K437" s="1048"/>
      <c r="L437" s="1047"/>
      <c r="M437" s="645" t="s">
        <v>489</v>
      </c>
      <c r="N437" s="733" t="str">
        <f>N30</f>
        <v>Exclusión de productoras agrarias en sistemas de incentivos financieros</v>
      </c>
      <c r="O437" s="837" t="str">
        <f t="shared" si="12"/>
        <v>Género</v>
      </c>
      <c r="P437" s="546" t="str">
        <f>AC6</f>
        <v>GN</v>
      </c>
      <c r="Q437" s="538" t="str">
        <f>AJ13</f>
        <v>Programas de incentivos financieros y no financieros para el desarrollo rural para mujeres rurales</v>
      </c>
      <c r="R437" s="538" t="s">
        <v>693</v>
      </c>
      <c r="S437" s="547" t="s">
        <v>492</v>
      </c>
      <c r="T437" s="519" t="str">
        <f>AI13</f>
        <v>SGN5</v>
      </c>
      <c r="U437" s="628"/>
      <c r="V437" s="478"/>
      <c r="W437" s="478"/>
      <c r="X437" s="273"/>
      <c r="Y437" s="825"/>
      <c r="Z437" s="825"/>
      <c r="AA437" s="825"/>
      <c r="AB437" s="825"/>
      <c r="AC437" s="825"/>
      <c r="AD437" s="825"/>
      <c r="AE437" s="825"/>
      <c r="AF437" s="825"/>
      <c r="AG437" s="825"/>
      <c r="AH437" s="825"/>
      <c r="AI437" s="825"/>
      <c r="AJ437" s="825"/>
      <c r="AK437" s="825"/>
      <c r="AL437" s="825"/>
      <c r="AM437" s="825"/>
      <c r="AN437" s="825"/>
      <c r="AO437" s="825"/>
      <c r="AP437" s="825"/>
      <c r="AQ437" s="825"/>
      <c r="AR437" s="825"/>
      <c r="AS437" s="825"/>
      <c r="AT437" s="825"/>
      <c r="AU437" s="825"/>
      <c r="AV437" s="825"/>
      <c r="AW437" s="825"/>
      <c r="AX437" s="825"/>
      <c r="AY437" s="273"/>
      <c r="AZ437" s="273"/>
      <c r="BA437" s="825"/>
      <c r="BB437" s="825"/>
      <c r="BC437" s="825"/>
      <c r="BD437" s="825"/>
      <c r="BE437" s="825"/>
      <c r="BF437" s="825"/>
      <c r="BG437" s="825"/>
      <c r="BH437" s="825"/>
      <c r="BI437" s="825"/>
      <c r="BJ437" s="825"/>
      <c r="BK437" s="825"/>
      <c r="BL437" s="825"/>
      <c r="BM437" s="825"/>
      <c r="BN437" s="825"/>
      <c r="BO437" s="825"/>
      <c r="BP437" s="825"/>
      <c r="BQ437" s="825"/>
      <c r="BR437" s="825"/>
      <c r="BS437" s="825"/>
      <c r="BT437" s="825"/>
      <c r="BU437" s="825"/>
      <c r="BV437" s="825"/>
      <c r="BW437" s="825"/>
      <c r="BX437" s="825"/>
      <c r="BY437" s="825"/>
      <c r="BZ437" s="825"/>
      <c r="CA437" s="825"/>
      <c r="CB437" s="825"/>
      <c r="CC437" s="825"/>
    </row>
    <row r="438" spans="1:81" s="531" customFormat="1" ht="41.3" customHeight="1" x14ac:dyDescent="0.25">
      <c r="A438" s="558"/>
      <c r="B438" s="672"/>
      <c r="C438" s="834"/>
      <c r="D438" s="1069"/>
      <c r="E438" s="1069"/>
      <c r="F438" s="836"/>
      <c r="G438" s="1089"/>
      <c r="H438" s="1110"/>
      <c r="I438" s="1059"/>
      <c r="J438" s="682"/>
      <c r="K438" s="1049"/>
      <c r="L438" s="1050"/>
      <c r="M438" s="645" t="s">
        <v>489</v>
      </c>
      <c r="N438" s="737" t="str">
        <f>N33</f>
        <v>Actividad agropecuaria no se desarrolla de manera óptima debido a cambios en las condiciones agroecologicas por el cambio climático</v>
      </c>
      <c r="O438" s="837" t="str">
        <f t="shared" si="12"/>
        <v>Vulnerabilidad al cambio climático</v>
      </c>
      <c r="P438" s="552" t="e">
        <f>#REF!</f>
        <v>#REF!</v>
      </c>
      <c r="Q438" s="553" t="str">
        <f>AS11</f>
        <v>Análisis de rentabilidad de la actividad agropecuaria en los programas de reconversión productiva</v>
      </c>
      <c r="R438" s="553" t="s">
        <v>695</v>
      </c>
      <c r="S438" s="554" t="s">
        <v>507</v>
      </c>
      <c r="T438" s="519" t="str">
        <f>AR11</f>
        <v>SVCC3</v>
      </c>
      <c r="U438" s="628"/>
      <c r="V438" s="478"/>
      <c r="W438" s="478"/>
      <c r="X438" s="273"/>
      <c r="Y438" s="825"/>
      <c r="Z438" s="825"/>
      <c r="AA438" s="825"/>
      <c r="AB438" s="825"/>
      <c r="AC438" s="825"/>
      <c r="AD438" s="825"/>
      <c r="AE438" s="825"/>
      <c r="AF438" s="825"/>
      <c r="AG438" s="825"/>
      <c r="AH438" s="825"/>
      <c r="AI438" s="825"/>
      <c r="AJ438" s="825"/>
      <c r="AK438" s="825"/>
      <c r="AL438" s="825"/>
      <c r="AM438" s="825"/>
      <c r="AN438" s="825"/>
      <c r="AO438" s="825"/>
      <c r="AP438" s="825"/>
      <c r="AQ438" s="825"/>
      <c r="AR438" s="825"/>
      <c r="AS438" s="825"/>
      <c r="AT438" s="825"/>
      <c r="AU438" s="825"/>
      <c r="AV438" s="825"/>
      <c r="AW438" s="825"/>
      <c r="AX438" s="825"/>
      <c r="AY438" s="273"/>
      <c r="AZ438" s="273"/>
      <c r="BA438" s="825"/>
      <c r="BB438" s="825"/>
      <c r="BC438" s="825"/>
      <c r="BD438" s="825"/>
      <c r="BE438" s="825"/>
      <c r="BF438" s="825"/>
      <c r="BG438" s="825"/>
      <c r="BH438" s="825"/>
      <c r="BI438" s="825"/>
      <c r="BJ438" s="825"/>
      <c r="BK438" s="825"/>
      <c r="BL438" s="825"/>
      <c r="BM438" s="825"/>
      <c r="BN438" s="825"/>
      <c r="BO438" s="825"/>
      <c r="BP438" s="825"/>
      <c r="BQ438" s="825"/>
      <c r="BR438" s="825"/>
      <c r="BS438" s="825"/>
      <c r="BT438" s="825"/>
      <c r="BU438" s="825"/>
      <c r="BV438" s="825"/>
      <c r="BW438" s="825"/>
      <c r="BX438" s="825"/>
      <c r="BY438" s="825"/>
      <c r="BZ438" s="825"/>
      <c r="CA438" s="825"/>
      <c r="CB438" s="825"/>
      <c r="CC438" s="825"/>
    </row>
    <row r="439" spans="1:81" ht="54.7" customHeight="1" x14ac:dyDescent="0.25">
      <c r="A439" s="558"/>
      <c r="B439" s="672" t="s">
        <v>897</v>
      </c>
      <c r="C439" s="834" t="str">
        <f>'8. BASE  CONSOLIDADA'!E153</f>
        <v>4.1.11</v>
      </c>
      <c r="D439" s="1069" t="str">
        <f>'8. BASE  CONSOLIDADA'!F153</f>
        <v xml:space="preserve">Implementación de infraestructura productiva con énfasis a la agro exportación </v>
      </c>
      <c r="E439" s="1069" t="str">
        <f>'8. BASE  CONSOLIDADA'!G153</f>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F439" s="836" t="str">
        <f>'8. BASE  CONSOLIDADA'!C153</f>
        <v>Predios de agricultura familiar con producción destinada al autoconsumo y productos de exportación, con título o sin título de propiedad.</v>
      </c>
      <c r="G439" s="1019" t="str">
        <f>VLOOKUP($C439,'8. BASE  CONSOLIDADA'!$E$7:$AS$308,13,FALSE)</f>
        <v>Planes de negocios/proyectos ejecutados</v>
      </c>
      <c r="H439" s="1109">
        <f>VLOOKUP($C439,'8. BASE  CONSOLIDADA'!$E$7:$AS$308,15,FALSE)</f>
        <v>6</v>
      </c>
      <c r="I439" s="1058">
        <f>VLOOKUP(C439,'8. BASE  CONSOLIDADA'!$E$7:$AS$308,20,FALSE)</f>
        <v>4800000</v>
      </c>
      <c r="J439" s="678">
        <f>I439*$J$6</f>
        <v>3264.0000000000005</v>
      </c>
      <c r="K439" s="1020"/>
      <c r="L439" s="1045"/>
      <c r="M439" s="645" t="s">
        <v>489</v>
      </c>
      <c r="N439" s="730" t="str">
        <f>N34</f>
        <v>Incremento de la deforestación por demanda de insumos e instalación de infraestructura y vias de comunicación</v>
      </c>
      <c r="O439" s="837" t="str">
        <f t="shared" si="12"/>
        <v>Biodiversidad y recursos naturales</v>
      </c>
      <c r="P439" s="546" t="e">
        <f>#REF!</f>
        <v>#REF!</v>
      </c>
      <c r="Q439" s="534" t="str">
        <f>AA14</f>
        <v>Desarrollo de incentivos financieros y no financieros condicionados con cláusulas de no deforestación</v>
      </c>
      <c r="R439" s="534" t="s">
        <v>673</v>
      </c>
      <c r="S439" s="534" t="s">
        <v>526</v>
      </c>
      <c r="T439" s="519" t="str">
        <f>Z14</f>
        <v>SBRN6</v>
      </c>
      <c r="U439" s="618"/>
      <c r="V439" s="478"/>
      <c r="W439" s="478"/>
      <c r="X439" s="273"/>
      <c r="Y439" s="825"/>
      <c r="Z439" s="825"/>
      <c r="AA439" s="825"/>
      <c r="AB439" s="825"/>
      <c r="AC439" s="825"/>
      <c r="AD439" s="825"/>
      <c r="AE439" s="825"/>
      <c r="AF439" s="825"/>
      <c r="AG439" s="825"/>
      <c r="AH439" s="825"/>
      <c r="AI439" s="825"/>
      <c r="AJ439" s="825"/>
      <c r="AK439" s="825"/>
      <c r="AL439" s="825"/>
      <c r="AM439" s="825"/>
      <c r="AN439" s="825"/>
      <c r="AO439" s="825"/>
      <c r="AP439" s="825"/>
      <c r="AQ439" s="825"/>
      <c r="AR439" s="825"/>
      <c r="AS439" s="825"/>
      <c r="AT439" s="825"/>
      <c r="AU439" s="825"/>
      <c r="AV439" s="825"/>
      <c r="AW439" s="825"/>
      <c r="AX439" s="825"/>
      <c r="BA439" s="825"/>
      <c r="BB439" s="825"/>
      <c r="BC439" s="825"/>
      <c r="BD439" s="825"/>
      <c r="BE439" s="825"/>
      <c r="BF439" s="825"/>
      <c r="BG439" s="825"/>
      <c r="BH439" s="825"/>
      <c r="BI439" s="825"/>
      <c r="BJ439" s="825"/>
      <c r="BK439" s="825"/>
      <c r="BL439" s="825"/>
      <c r="BM439" s="825"/>
      <c r="BN439" s="825"/>
      <c r="BO439" s="825"/>
      <c r="BP439" s="825"/>
      <c r="BQ439" s="825"/>
      <c r="BR439" s="825"/>
      <c r="BS439" s="825"/>
      <c r="BT439" s="825"/>
      <c r="BU439" s="825"/>
      <c r="BV439" s="825"/>
      <c r="BW439" s="825"/>
      <c r="BX439" s="825"/>
      <c r="BY439" s="825"/>
      <c r="BZ439" s="825"/>
      <c r="CA439" s="825"/>
      <c r="CB439" s="825"/>
      <c r="CC439" s="825"/>
    </row>
    <row r="440" spans="1:81" s="531" customFormat="1" ht="39.1" customHeight="1" x14ac:dyDescent="0.25">
      <c r="A440" s="558"/>
      <c r="B440" s="672"/>
      <c r="C440" s="834"/>
      <c r="D440" s="1069"/>
      <c r="E440" s="1069"/>
      <c r="F440" s="836"/>
      <c r="G440" s="1089"/>
      <c r="H440" s="1110"/>
      <c r="I440" s="1059"/>
      <c r="J440" s="680"/>
      <c r="K440" s="1044"/>
      <c r="L440" s="1045"/>
      <c r="M440" s="645" t="s">
        <v>489</v>
      </c>
      <c r="N440" s="730" t="str">
        <f>N28</f>
        <v>Contaminación por residuos agropecuarios</v>
      </c>
      <c r="O440" s="837" t="str">
        <f t="shared" si="12"/>
        <v>Contaminación</v>
      </c>
      <c r="P440" s="546" t="e">
        <f>#REF!</f>
        <v>#REF!</v>
      </c>
      <c r="Q440" s="534" t="str">
        <f>AM10</f>
        <v>Control de residuos agropecuarios</v>
      </c>
      <c r="R440" s="534" t="s">
        <v>535</v>
      </c>
      <c r="S440" s="546" t="s">
        <v>492</v>
      </c>
      <c r="T440" s="519" t="str">
        <f>AL10</f>
        <v>SCT2</v>
      </c>
      <c r="U440" s="618"/>
      <c r="V440" s="478"/>
      <c r="W440" s="478"/>
      <c r="X440" s="273"/>
      <c r="Y440" s="825"/>
      <c r="Z440" s="825"/>
      <c r="AA440" s="825"/>
      <c r="AB440" s="825"/>
      <c r="AC440" s="825"/>
      <c r="AD440" s="825"/>
      <c r="AE440" s="825"/>
      <c r="AF440" s="825"/>
      <c r="AG440" s="825"/>
      <c r="AH440" s="825"/>
      <c r="AI440" s="825"/>
      <c r="AJ440" s="825"/>
      <c r="AK440" s="825"/>
      <c r="AL440" s="825"/>
      <c r="AM440" s="825"/>
      <c r="AN440" s="825"/>
      <c r="AO440" s="825"/>
      <c r="AP440" s="825"/>
      <c r="AQ440" s="825"/>
      <c r="AR440" s="825"/>
      <c r="AS440" s="825"/>
      <c r="AT440" s="825"/>
      <c r="AU440" s="825"/>
      <c r="AV440" s="825"/>
      <c r="AW440" s="825"/>
      <c r="AX440" s="825"/>
      <c r="AY440" s="273"/>
      <c r="AZ440" s="273"/>
      <c r="BA440" s="825"/>
      <c r="BB440" s="825"/>
      <c r="BC440" s="825"/>
      <c r="BD440" s="825"/>
      <c r="BE440" s="825"/>
      <c r="BF440" s="825"/>
      <c r="BG440" s="825"/>
      <c r="BH440" s="825"/>
      <c r="BI440" s="825"/>
      <c r="BJ440" s="825"/>
      <c r="BK440" s="825"/>
      <c r="BL440" s="825"/>
      <c r="BM440" s="825"/>
      <c r="BN440" s="825"/>
      <c r="BO440" s="825"/>
      <c r="BP440" s="825"/>
      <c r="BQ440" s="825"/>
      <c r="BR440" s="825"/>
      <c r="BS440" s="825"/>
      <c r="BT440" s="825"/>
      <c r="BU440" s="825"/>
      <c r="BV440" s="825"/>
      <c r="BW440" s="825"/>
      <c r="BX440" s="825"/>
      <c r="BY440" s="825"/>
      <c r="BZ440" s="825"/>
      <c r="CA440" s="825"/>
      <c r="CB440" s="825"/>
      <c r="CC440" s="825"/>
    </row>
    <row r="441" spans="1:81" s="531" customFormat="1" ht="54.7" customHeight="1" x14ac:dyDescent="0.25">
      <c r="A441" s="558"/>
      <c r="B441" s="672"/>
      <c r="C441" s="834"/>
      <c r="D441" s="1069"/>
      <c r="E441" s="1069"/>
      <c r="F441" s="836"/>
      <c r="G441" s="1089"/>
      <c r="H441" s="1110"/>
      <c r="I441" s="1059"/>
      <c r="J441" s="680"/>
      <c r="K441" s="1044"/>
      <c r="L441" s="1045"/>
      <c r="M441" s="645" t="s">
        <v>489</v>
      </c>
      <c r="N441" s="730" t="str">
        <f>N36</f>
        <v>Colución, Cohecho y negociación incompatible</v>
      </c>
      <c r="O441" s="837" t="str">
        <f t="shared" si="12"/>
        <v>Corrupción</v>
      </c>
      <c r="P441" s="546" t="e">
        <f>#REF!</f>
        <v>#REF!</v>
      </c>
      <c r="Q441" s="534" t="str">
        <f>AG10</f>
        <v>Transparencia en incentivos financieros y obras públicas vinculadas a la ERDRBE</v>
      </c>
      <c r="R441" s="534" t="s">
        <v>687</v>
      </c>
      <c r="S441" s="546" t="s">
        <v>507</v>
      </c>
      <c r="T441" s="519" t="str">
        <f>AF10</f>
        <v>SCR2</v>
      </c>
      <c r="U441" s="618"/>
      <c r="V441" s="478"/>
      <c r="W441" s="478"/>
      <c r="X441" s="273"/>
      <c r="Y441" s="825"/>
      <c r="Z441" s="825"/>
      <c r="AA441" s="825"/>
      <c r="AB441" s="825"/>
      <c r="AC441" s="825"/>
      <c r="AD441" s="825"/>
      <c r="AE441" s="825"/>
      <c r="AF441" s="825"/>
      <c r="AG441" s="825"/>
      <c r="AH441" s="825"/>
      <c r="AI441" s="825"/>
      <c r="AJ441" s="825"/>
      <c r="AK441" s="825"/>
      <c r="AL441" s="825"/>
      <c r="AM441" s="825"/>
      <c r="AN441" s="825"/>
      <c r="AO441" s="825"/>
      <c r="AP441" s="825"/>
      <c r="AQ441" s="825"/>
      <c r="AR441" s="825"/>
      <c r="AS441" s="825"/>
      <c r="AT441" s="825"/>
      <c r="AU441" s="825"/>
      <c r="AV441" s="825"/>
      <c r="AW441" s="825"/>
      <c r="AX441" s="825"/>
      <c r="AY441" s="273"/>
      <c r="AZ441" s="273"/>
      <c r="BA441" s="825"/>
      <c r="BB441" s="825"/>
      <c r="BC441" s="825"/>
      <c r="BD441" s="825"/>
      <c r="BE441" s="825"/>
      <c r="BF441" s="825"/>
      <c r="BG441" s="825"/>
      <c r="BH441" s="825"/>
      <c r="BI441" s="825"/>
      <c r="BJ441" s="825"/>
      <c r="BK441" s="825"/>
      <c r="BL441" s="825"/>
      <c r="BM441" s="825"/>
      <c r="BN441" s="825"/>
      <c r="BO441" s="825"/>
      <c r="BP441" s="825"/>
      <c r="BQ441" s="825"/>
      <c r="BR441" s="825"/>
      <c r="BS441" s="825"/>
      <c r="BT441" s="825"/>
      <c r="BU441" s="825"/>
      <c r="BV441" s="825"/>
      <c r="BW441" s="825"/>
      <c r="BX441" s="825"/>
      <c r="BY441" s="825"/>
      <c r="BZ441" s="825"/>
      <c r="CA441" s="825"/>
      <c r="CB441" s="825"/>
      <c r="CC441" s="825"/>
    </row>
    <row r="442" spans="1:81" ht="85.6" customHeight="1" x14ac:dyDescent="0.25">
      <c r="A442" s="558"/>
      <c r="B442" s="672" t="s">
        <v>897</v>
      </c>
      <c r="C442" s="834" t="str">
        <f>'8. BASE  CONSOLIDADA'!E154</f>
        <v>4.1.12</v>
      </c>
      <c r="D442" s="1081" t="str">
        <f>'8. BASE  CONSOLIDADA'!F154</f>
        <v xml:space="preserve">Fortalecimiento de capacidades en gestión de la calidad en las distintas cadenas de valor </v>
      </c>
      <c r="E442" s="1081" t="str">
        <f>'8. BASE  CONSOLIDADA'!G154</f>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v>
      </c>
      <c r="F442" s="846" t="str">
        <f>'8. BASE  CONSOLIDADA'!C154</f>
        <v>Predios de agricultura familiar con producción destinada al autoconsumo y productos de exportación, con título o sin título de propiedad.</v>
      </c>
      <c r="G442" s="1019" t="str">
        <f>VLOOKUP($C442,'8. BASE  CONSOLIDADA'!$E$7:$AS$308,13,FALSE)</f>
        <v>Empresas y organizaciones atendidas</v>
      </c>
      <c r="H442" s="1109">
        <f>VLOOKUP($C442,'8. BASE  CONSOLIDADA'!$E$7:$AS$308,15,FALSE)</f>
        <v>4.8000000000000007</v>
      </c>
      <c r="I442" s="1058">
        <f>VLOOKUP(C442,'8. BASE  CONSOLIDADA'!$E$7:$AS$308,20,FALSE)</f>
        <v>240000.00000000003</v>
      </c>
      <c r="J442" s="678">
        <f>I442*$J$6</f>
        <v>163.20000000000005</v>
      </c>
      <c r="K442" s="1020"/>
      <c r="L442" s="1045"/>
      <c r="M442" s="645" t="s">
        <v>489</v>
      </c>
      <c r="N442" s="730" t="str">
        <f>N16</f>
        <v>Exclusión de mujeres rurales en programas de asistencia técnica</v>
      </c>
      <c r="O442" s="837" t="str">
        <f t="shared" si="12"/>
        <v>Género</v>
      </c>
      <c r="P442" s="546" t="str">
        <f>AC6</f>
        <v>GN</v>
      </c>
      <c r="Q442" s="534" t="str">
        <f>AJ10</f>
        <v>Programas de asistencia técnica y proyectos específicos para mujeres rurales y mujeres indígenas</v>
      </c>
      <c r="R442" s="534" t="s">
        <v>899</v>
      </c>
      <c r="S442" s="546" t="s">
        <v>507</v>
      </c>
      <c r="T442" s="519" t="str">
        <f>AI10</f>
        <v>SGN2</v>
      </c>
      <c r="U442" s="628"/>
      <c r="V442" s="478"/>
      <c r="W442" s="478"/>
      <c r="X442" s="273"/>
      <c r="Y442" s="825"/>
      <c r="Z442" s="825"/>
      <c r="AA442" s="825"/>
      <c r="AB442" s="825"/>
      <c r="AC442" s="825"/>
      <c r="AD442" s="825"/>
      <c r="AE442" s="825"/>
      <c r="AF442" s="825"/>
      <c r="AG442" s="825"/>
      <c r="AH442" s="825"/>
      <c r="AI442" s="825"/>
      <c r="AJ442" s="825"/>
      <c r="AK442" s="825"/>
      <c r="AL442" s="825"/>
      <c r="AM442" s="825"/>
      <c r="AN442" s="825"/>
      <c r="AO442" s="825"/>
      <c r="AP442" s="825"/>
      <c r="AQ442" s="825"/>
      <c r="AR442" s="825"/>
      <c r="AS442" s="825"/>
      <c r="AT442" s="825"/>
      <c r="AU442" s="825"/>
      <c r="AV442" s="825"/>
      <c r="AW442" s="825"/>
      <c r="AX442" s="825"/>
      <c r="BA442" s="825"/>
      <c r="BB442" s="825"/>
      <c r="BC442" s="825"/>
      <c r="BD442" s="825"/>
      <c r="BE442" s="825"/>
      <c r="BF442" s="825"/>
      <c r="BG442" s="825"/>
      <c r="BH442" s="825"/>
      <c r="BI442" s="825"/>
      <c r="BJ442" s="825"/>
      <c r="BK442" s="825"/>
      <c r="BL442" s="825"/>
      <c r="BM442" s="825"/>
      <c r="BN442" s="825"/>
      <c r="BO442" s="825"/>
      <c r="BP442" s="825"/>
      <c r="BQ442" s="825"/>
      <c r="BR442" s="825"/>
      <c r="BS442" s="825"/>
      <c r="BT442" s="825"/>
      <c r="BU442" s="825"/>
      <c r="BV442" s="825"/>
      <c r="BW442" s="825"/>
      <c r="BX442" s="825"/>
      <c r="BY442" s="825"/>
      <c r="BZ442" s="825"/>
      <c r="CA442" s="825"/>
      <c r="CB442" s="825"/>
      <c r="CC442" s="825"/>
    </row>
    <row r="443" spans="1:81" ht="182.25" customHeight="1" x14ac:dyDescent="0.25">
      <c r="A443" s="558"/>
      <c r="B443" s="672" t="s">
        <v>897</v>
      </c>
      <c r="C443" s="834" t="str">
        <f>'8. BASE  CONSOLIDADA'!E155</f>
        <v>4.1.13</v>
      </c>
      <c r="D443" s="1081" t="str">
        <f>'8. BASE  CONSOLIDADA'!F155</f>
        <v>Promoción de modelos asociativos sostenibles</v>
      </c>
      <c r="E443" s="1081" t="str">
        <f>'8. BASE  CONSOLIDADA'!G155</f>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v>
      </c>
      <c r="F443" s="846" t="str">
        <f>'8. BASE  CONSOLIDADA'!C155</f>
        <v>Predios de agricultura familiar con producción destinada al autoconsumo y productos de exportación, con título o sin título de propiedad.</v>
      </c>
      <c r="G443" s="1019" t="str">
        <f>VLOOKUP($C443,'8. BASE  CONSOLIDADA'!$E$7:$AS$308,13,FALSE)</f>
        <v>Organizaciones auto sostenibles</v>
      </c>
      <c r="H443" s="1109">
        <f>VLOOKUP($C443,'8. BASE  CONSOLIDADA'!$E$7:$AS$308,15,FALSE)</f>
        <v>6</v>
      </c>
      <c r="I443" s="1058">
        <f>VLOOKUP(C443,'8. BASE  CONSOLIDADA'!$E$7:$AS$308,20,FALSE)</f>
        <v>720000</v>
      </c>
      <c r="J443" s="678">
        <f>I443*$J$6</f>
        <v>489.6</v>
      </c>
      <c r="K443" s="1020"/>
      <c r="L443" s="1045"/>
      <c r="M443" s="645" t="s">
        <v>489</v>
      </c>
      <c r="N443" s="730" t="str">
        <f>N16</f>
        <v>Exclusión de mujeres rurales en programas de asistencia técnica</v>
      </c>
      <c r="O443" s="837" t="str">
        <f t="shared" si="12"/>
        <v>Género</v>
      </c>
      <c r="P443" s="546" t="str">
        <f>AC6</f>
        <v>GN</v>
      </c>
      <c r="Q443" s="534" t="str">
        <f>AJ10</f>
        <v>Programas de asistencia técnica y proyectos específicos para mujeres rurales y mujeres indígenas</v>
      </c>
      <c r="R443" s="534" t="s">
        <v>596</v>
      </c>
      <c r="S443" s="546" t="s">
        <v>507</v>
      </c>
      <c r="T443" s="519" t="str">
        <f>AI10</f>
        <v>SGN2</v>
      </c>
      <c r="U443" s="628"/>
      <c r="V443" s="478"/>
      <c r="W443" s="478"/>
      <c r="X443" s="273"/>
      <c r="Y443" s="825"/>
      <c r="Z443" s="825"/>
      <c r="AA443" s="825"/>
      <c r="AB443" s="825"/>
      <c r="AC443" s="825"/>
      <c r="AD443" s="825"/>
      <c r="AE443" s="825"/>
      <c r="AF443" s="825"/>
      <c r="AG443" s="825"/>
      <c r="AH443" s="825"/>
      <c r="AI443" s="825"/>
      <c r="AJ443" s="825"/>
      <c r="AK443" s="825"/>
      <c r="AL443" s="825"/>
      <c r="AM443" s="825"/>
      <c r="AN443" s="825"/>
      <c r="AO443" s="825"/>
      <c r="AP443" s="825"/>
      <c r="AQ443" s="825"/>
      <c r="AR443" s="825"/>
      <c r="AS443" s="825"/>
      <c r="AT443" s="825"/>
      <c r="AU443" s="825"/>
      <c r="AV443" s="825"/>
      <c r="AW443" s="825"/>
      <c r="AX443" s="825"/>
      <c r="BA443" s="825"/>
      <c r="BB443" s="825"/>
      <c r="BC443" s="825"/>
      <c r="BD443" s="825"/>
      <c r="BE443" s="825"/>
      <c r="BF443" s="825"/>
      <c r="BG443" s="825"/>
      <c r="BH443" s="825"/>
      <c r="BI443" s="825"/>
      <c r="BJ443" s="825"/>
      <c r="BK443" s="825"/>
      <c r="BL443" s="825"/>
      <c r="BM443" s="825"/>
      <c r="BN443" s="825"/>
      <c r="BO443" s="825"/>
      <c r="BP443" s="825"/>
      <c r="BQ443" s="825"/>
      <c r="BR443" s="825"/>
      <c r="BS443" s="825"/>
      <c r="BT443" s="825"/>
      <c r="BU443" s="825"/>
      <c r="BV443" s="825"/>
      <c r="BW443" s="825"/>
      <c r="BX443" s="825"/>
      <c r="BY443" s="825"/>
      <c r="BZ443" s="825"/>
      <c r="CA443" s="825"/>
      <c r="CB443" s="825"/>
      <c r="CC443" s="825"/>
    </row>
    <row r="444" spans="1:81" ht="36.700000000000003" customHeight="1" x14ac:dyDescent="0.25">
      <c r="A444" s="558"/>
      <c r="B444" s="672" t="s">
        <v>897</v>
      </c>
      <c r="C444" s="834" t="str">
        <f>'8. BASE  CONSOLIDADA'!E158</f>
        <v>4.1.16</v>
      </c>
      <c r="D444" s="1081" t="str">
        <f>'8. BASE  CONSOLIDADA'!F158</f>
        <v>Promoción y desarrollo de proveedores de semillas mejoradas</v>
      </c>
      <c r="E444" s="1081" t="str">
        <f>'8. BASE  CONSOLIDADA'!G158</f>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v>
      </c>
      <c r="F444" s="846" t="str">
        <f>'8. BASE  CONSOLIDADA'!C158</f>
        <v>Predios de agricultura familiar con producción destinada al autoconsumo y productos de exportación, con título o sin título de propiedad.</v>
      </c>
      <c r="G444" s="1019" t="str">
        <f>VLOOKUP($C444,'8. BASE  CONSOLIDADA'!$E$7:$AS$308,13,FALSE)</f>
        <v>Unidades semilleristas</v>
      </c>
      <c r="H444" s="1109">
        <f>VLOOKUP($C444,'8. BASE  CONSOLIDADA'!$E$7:$AS$308,15,FALSE)</f>
        <v>3</v>
      </c>
      <c r="I444" s="1058">
        <f>VLOOKUP(C444,'8. BASE  CONSOLIDADA'!$E$7:$AS$308,20,FALSE)</f>
        <v>45000</v>
      </c>
      <c r="J444" s="678">
        <f>I444*$J$6</f>
        <v>30.6</v>
      </c>
      <c r="K444" s="1020"/>
      <c r="L444" s="1045"/>
      <c r="M444" s="645" t="s">
        <v>489</v>
      </c>
      <c r="N444" s="730" t="str">
        <f>N85</f>
        <v>Exclusión de mujeres productoras del desarrollo de proveedores de semillas mejoradas</v>
      </c>
      <c r="O444" s="837" t="str">
        <f t="shared" si="12"/>
        <v>Género</v>
      </c>
      <c r="P444" s="546" t="str">
        <f>AC6</f>
        <v>GN</v>
      </c>
      <c r="Q444" s="534" t="str">
        <f>AJ11</f>
        <v xml:space="preserve">Cuotas de género y medición de participación efectiva de mujeres rurales </v>
      </c>
      <c r="R444" s="534" t="s">
        <v>689</v>
      </c>
      <c r="S444" s="546" t="s">
        <v>507</v>
      </c>
      <c r="T444" s="519" t="str">
        <f>AI11</f>
        <v>SGN3</v>
      </c>
      <c r="U444" s="628"/>
      <c r="V444" s="478"/>
      <c r="W444" s="478"/>
      <c r="X444" s="273"/>
      <c r="Y444" s="825"/>
      <c r="Z444" s="825"/>
      <c r="AA444" s="825"/>
      <c r="AB444" s="825"/>
      <c r="AC444" s="825"/>
      <c r="AD444" s="825"/>
      <c r="AE444" s="825"/>
      <c r="AF444" s="825"/>
      <c r="AG444" s="825"/>
      <c r="AH444" s="825"/>
      <c r="AI444" s="825"/>
      <c r="AJ444" s="825"/>
      <c r="AK444" s="825"/>
      <c r="AL444" s="825"/>
      <c r="AM444" s="825"/>
      <c r="AN444" s="825"/>
      <c r="AO444" s="825"/>
      <c r="AP444" s="825"/>
      <c r="AQ444" s="825"/>
      <c r="AR444" s="825"/>
      <c r="AS444" s="825"/>
      <c r="AT444" s="825"/>
      <c r="AU444" s="825"/>
      <c r="AV444" s="825"/>
      <c r="AW444" s="825"/>
      <c r="AX444" s="825"/>
      <c r="BA444" s="825"/>
      <c r="BB444" s="825"/>
      <c r="BC444" s="825"/>
      <c r="BD444" s="825"/>
      <c r="BE444" s="825"/>
      <c r="BF444" s="825"/>
      <c r="BG444" s="825"/>
      <c r="BH444" s="825"/>
      <c r="BI444" s="825"/>
      <c r="BJ444" s="825"/>
      <c r="BK444" s="825"/>
      <c r="BL444" s="825"/>
      <c r="BM444" s="825"/>
      <c r="BN444" s="825"/>
      <c r="BO444" s="825"/>
      <c r="BP444" s="825"/>
      <c r="BQ444" s="825"/>
      <c r="BR444" s="825"/>
      <c r="BS444" s="825"/>
      <c r="BT444" s="825"/>
      <c r="BU444" s="825"/>
      <c r="BV444" s="825"/>
      <c r="BW444" s="825"/>
      <c r="BX444" s="825"/>
      <c r="BY444" s="825"/>
      <c r="BZ444" s="825"/>
      <c r="CA444" s="825"/>
      <c r="CB444" s="825"/>
      <c r="CC444" s="825"/>
    </row>
    <row r="445" spans="1:81" s="555" customFormat="1" ht="36.700000000000003" customHeight="1" x14ac:dyDescent="0.25">
      <c r="A445" s="558"/>
      <c r="B445" s="672"/>
      <c r="C445" s="834"/>
      <c r="D445" s="1081"/>
      <c r="E445" s="1081"/>
      <c r="F445" s="846"/>
      <c r="G445" s="1102"/>
      <c r="H445" s="1121"/>
      <c r="I445" s="1059"/>
      <c r="J445" s="680"/>
      <c r="K445" s="1044"/>
      <c r="L445" s="1045"/>
      <c r="M445" s="645" t="s">
        <v>489</v>
      </c>
      <c r="N445" s="730" t="str">
        <f>N85</f>
        <v>Exclusión de mujeres productoras del desarrollo de proveedores de semillas mejoradas</v>
      </c>
      <c r="O445" s="837" t="str">
        <f t="shared" si="12"/>
        <v>Género</v>
      </c>
      <c r="P445" s="546" t="str">
        <f>AC6</f>
        <v>GN</v>
      </c>
      <c r="Q445" s="534" t="str">
        <f>AJ13</f>
        <v>Programas de incentivos financieros y no financieros para el desarrollo rural para mujeres rurales</v>
      </c>
      <c r="R445" s="534" t="s">
        <v>842</v>
      </c>
      <c r="S445" s="546" t="s">
        <v>507</v>
      </c>
      <c r="T445" s="519" t="str">
        <f>AI13</f>
        <v>SGN5</v>
      </c>
      <c r="U445" s="628"/>
      <c r="V445" s="478"/>
      <c r="W445" s="478"/>
      <c r="X445" s="273"/>
      <c r="Y445" s="825"/>
      <c r="Z445" s="825"/>
      <c r="AA445" s="825"/>
      <c r="AB445" s="825"/>
      <c r="AC445" s="825"/>
      <c r="AD445" s="825"/>
      <c r="AE445" s="825"/>
      <c r="AF445" s="825"/>
      <c r="AG445" s="825"/>
      <c r="AH445" s="825"/>
      <c r="AI445" s="825"/>
      <c r="AJ445" s="825"/>
      <c r="AK445" s="825"/>
      <c r="AL445" s="825"/>
      <c r="AM445" s="825"/>
      <c r="AN445" s="825"/>
      <c r="AO445" s="825"/>
      <c r="AP445" s="825"/>
      <c r="AQ445" s="825"/>
      <c r="AR445" s="825"/>
      <c r="AS445" s="825"/>
      <c r="AT445" s="825"/>
      <c r="AU445" s="825"/>
      <c r="AV445" s="825"/>
      <c r="AW445" s="825"/>
      <c r="AX445" s="825"/>
      <c r="AY445" s="273"/>
      <c r="AZ445" s="273"/>
      <c r="BA445" s="825"/>
      <c r="BB445" s="825"/>
      <c r="BC445" s="825"/>
      <c r="BD445" s="825"/>
      <c r="BE445" s="825"/>
      <c r="BF445" s="825"/>
      <c r="BG445" s="825"/>
      <c r="BH445" s="825"/>
      <c r="BI445" s="825"/>
      <c r="BJ445" s="825"/>
      <c r="BK445" s="825"/>
      <c r="BL445" s="825"/>
      <c r="BM445" s="825"/>
      <c r="BN445" s="825"/>
      <c r="BO445" s="825"/>
      <c r="BP445" s="825"/>
      <c r="BQ445" s="825"/>
      <c r="BR445" s="825"/>
      <c r="BS445" s="825"/>
      <c r="BT445" s="825"/>
      <c r="BU445" s="825"/>
      <c r="BV445" s="825"/>
      <c r="BW445" s="825"/>
      <c r="BX445" s="825"/>
      <c r="BY445" s="825"/>
      <c r="BZ445" s="825"/>
      <c r="CA445" s="825"/>
      <c r="CB445" s="825"/>
      <c r="CC445" s="825"/>
    </row>
    <row r="446" spans="1:81" ht="54" customHeight="1" x14ac:dyDescent="0.25">
      <c r="A446" s="558"/>
      <c r="B446" s="672" t="s">
        <v>897</v>
      </c>
      <c r="C446" s="834" t="str">
        <f>'8. BASE  CONSOLIDADA'!E180</f>
        <v>4.5.1</v>
      </c>
      <c r="D446" s="1069" t="str">
        <f>'8. BASE  CONSOLIDADA'!F180</f>
        <v>Incentivos financieros para promoción del ecoturismo y turismo comunitario</v>
      </c>
      <c r="E446" s="1069" t="str">
        <f>'8. BASE  CONSOLIDADA'!G180</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446" s="836" t="str">
        <f>'8. BASE  CONSOLIDADA'!C180</f>
        <v xml:space="preserve">Concesiones para conservación y ecoturismo </v>
      </c>
      <c r="G446" s="1019" t="str">
        <f>VLOOKUP($C446,'8. BASE  CONSOLIDADA'!$E$7:$AS$308,13,FALSE)</f>
        <v>Planes de negocios</v>
      </c>
      <c r="H446" s="1109">
        <f>VLOOKUP($C446,'8. BASE  CONSOLIDADA'!$E$7:$AS$308,15,FALSE)</f>
        <v>4</v>
      </c>
      <c r="I446" s="1058">
        <f>VLOOKUP(C446,'8. BASE  CONSOLIDADA'!$E$7:$AS$308,20,FALSE)</f>
        <v>600000</v>
      </c>
      <c r="J446" s="678">
        <f>I446*$J$6</f>
        <v>408.00000000000006</v>
      </c>
      <c r="K446" s="1020"/>
      <c r="L446" s="1045"/>
      <c r="M446" s="645" t="s">
        <v>489</v>
      </c>
      <c r="N446" s="730" t="str">
        <f>N68</f>
        <v>Impacto negativo sobre la biodiversidad por infraestructura o visitantes</v>
      </c>
      <c r="O446" s="837" t="str">
        <f t="shared" si="12"/>
        <v>Biodiversidad y recursos naturales</v>
      </c>
      <c r="P446" s="546" t="e">
        <f>#REF!</f>
        <v>#REF!</v>
      </c>
      <c r="Q446" s="534" t="str">
        <f>AA15</f>
        <v>Evaluación de impacto de actividades turísticas e implementación de buenas prácticas para mitigar el impacto directo e indirecto de la actividad</v>
      </c>
      <c r="R446" s="534" t="s">
        <v>831</v>
      </c>
      <c r="S446" s="546" t="s">
        <v>526</v>
      </c>
      <c r="T446" s="519" t="str">
        <f>Z15</f>
        <v>SBRN7</v>
      </c>
      <c r="U446" s="628"/>
      <c r="V446" s="478"/>
      <c r="W446" s="478"/>
      <c r="X446" s="273"/>
      <c r="Y446" s="825"/>
      <c r="Z446" s="825"/>
      <c r="AA446" s="825"/>
      <c r="AB446" s="825"/>
      <c r="AC446" s="825"/>
      <c r="AD446" s="825"/>
      <c r="AE446" s="825"/>
      <c r="AF446" s="825"/>
      <c r="AG446" s="825"/>
      <c r="AH446" s="825"/>
      <c r="AI446" s="825"/>
      <c r="AJ446" s="825"/>
      <c r="AK446" s="825"/>
      <c r="AL446" s="825"/>
      <c r="AM446" s="825"/>
      <c r="AN446" s="825"/>
      <c r="AO446" s="825"/>
      <c r="AP446" s="825"/>
      <c r="AQ446" s="825"/>
      <c r="AR446" s="825"/>
      <c r="AS446" s="825"/>
      <c r="AT446" s="825"/>
      <c r="AU446" s="825"/>
      <c r="AV446" s="825"/>
      <c r="AW446" s="825"/>
      <c r="AX446" s="825"/>
      <c r="BA446" s="825"/>
      <c r="BB446" s="825"/>
      <c r="BC446" s="825"/>
      <c r="BD446" s="825"/>
      <c r="BE446" s="825"/>
      <c r="BF446" s="825"/>
      <c r="BG446" s="825"/>
      <c r="BH446" s="825"/>
      <c r="BI446" s="825"/>
      <c r="BJ446" s="825"/>
      <c r="BK446" s="825"/>
      <c r="BL446" s="825"/>
      <c r="BM446" s="825"/>
      <c r="BN446" s="825"/>
      <c r="BO446" s="825"/>
      <c r="BP446" s="825"/>
      <c r="BQ446" s="825"/>
      <c r="BR446" s="825"/>
      <c r="BS446" s="825"/>
      <c r="BT446" s="825"/>
      <c r="BU446" s="825"/>
      <c r="BV446" s="825"/>
      <c r="BW446" s="825"/>
      <c r="BX446" s="825"/>
      <c r="BY446" s="825"/>
      <c r="BZ446" s="825"/>
      <c r="CA446" s="825"/>
      <c r="CB446" s="825"/>
      <c r="CC446" s="825"/>
    </row>
    <row r="447" spans="1:81" s="548" customFormat="1" ht="75.75" customHeight="1" x14ac:dyDescent="0.25">
      <c r="A447" s="558"/>
      <c r="B447" s="672"/>
      <c r="C447" s="834"/>
      <c r="D447" s="1069"/>
      <c r="E447" s="1069"/>
      <c r="F447" s="836"/>
      <c r="G447" s="1089"/>
      <c r="H447" s="1110"/>
      <c r="I447" s="1059"/>
      <c r="J447" s="680"/>
      <c r="K447" s="1044"/>
      <c r="L447" s="1045"/>
      <c r="M447" s="645" t="s">
        <v>489</v>
      </c>
      <c r="N447" s="730" t="str">
        <f>N130</f>
        <v xml:space="preserve">Exclusión de mujeres rurales en los incentivos financieros </v>
      </c>
      <c r="O447" s="837" t="str">
        <f t="shared" si="12"/>
        <v>Género</v>
      </c>
      <c r="P447" s="546" t="str">
        <f>AC6</f>
        <v>GN</v>
      </c>
      <c r="Q447" s="534" t="str">
        <f>AJ23</f>
        <v>Inclusión de mujeres rurales en actividades de turismo comunitario en concesiones para conservación y ecoturismo</v>
      </c>
      <c r="R447" s="534" t="s">
        <v>827</v>
      </c>
      <c r="S447" s="534" t="s">
        <v>526</v>
      </c>
      <c r="T447" s="519" t="str">
        <f>AI23</f>
        <v>SGN15</v>
      </c>
      <c r="U447" s="628"/>
      <c r="V447" s="478"/>
      <c r="W447" s="478"/>
      <c r="X447" s="273"/>
      <c r="Y447" s="825"/>
      <c r="Z447" s="825"/>
      <c r="AA447" s="825"/>
      <c r="AB447" s="825"/>
      <c r="AC447" s="825"/>
      <c r="AD447" s="825"/>
      <c r="AE447" s="825"/>
      <c r="AF447" s="825"/>
      <c r="AG447" s="825"/>
      <c r="AH447" s="825"/>
      <c r="AI447" s="825"/>
      <c r="AJ447" s="825"/>
      <c r="AK447" s="825"/>
      <c r="AL447" s="825"/>
      <c r="AM447" s="825"/>
      <c r="AN447" s="825"/>
      <c r="AO447" s="825"/>
      <c r="AP447" s="825"/>
      <c r="AQ447" s="825"/>
      <c r="AR447" s="825"/>
      <c r="AS447" s="825"/>
      <c r="AT447" s="825"/>
      <c r="AU447" s="825"/>
      <c r="AV447" s="825"/>
      <c r="AW447" s="825"/>
      <c r="AX447" s="825"/>
      <c r="AY447" s="273"/>
      <c r="AZ447" s="273"/>
      <c r="BA447" s="825"/>
      <c r="BB447" s="825"/>
      <c r="BC447" s="825"/>
      <c r="BD447" s="825"/>
      <c r="BE447" s="825"/>
      <c r="BF447" s="825"/>
      <c r="BG447" s="825"/>
      <c r="BH447" s="825"/>
      <c r="BI447" s="825"/>
      <c r="BJ447" s="825"/>
      <c r="BK447" s="825"/>
      <c r="BL447" s="825"/>
      <c r="BM447" s="825"/>
      <c r="BN447" s="825"/>
      <c r="BO447" s="825"/>
      <c r="BP447" s="825"/>
      <c r="BQ447" s="825"/>
      <c r="BR447" s="825"/>
      <c r="BS447" s="825"/>
      <c r="BT447" s="825"/>
      <c r="BU447" s="825"/>
      <c r="BV447" s="825"/>
      <c r="BW447" s="825"/>
      <c r="BX447" s="825"/>
      <c r="BY447" s="825"/>
      <c r="BZ447" s="825"/>
      <c r="CA447" s="825"/>
      <c r="CB447" s="825"/>
      <c r="CC447" s="825"/>
    </row>
    <row r="448" spans="1:81" ht="53.35" customHeight="1" x14ac:dyDescent="0.25">
      <c r="A448" s="558"/>
      <c r="B448" s="672" t="s">
        <v>897</v>
      </c>
      <c r="C448" s="834" t="str">
        <f>'8. BASE  CONSOLIDADA'!E182</f>
        <v>4.5.3</v>
      </c>
      <c r="D448" s="1069" t="str">
        <f>'8. BASE  CONSOLIDADA'!F182</f>
        <v xml:space="preserve">Promoción de Bionegocios con productos forestales no maderables </v>
      </c>
      <c r="E448" s="1069" t="str">
        <f>'8. BASE  CONSOLIDADA'!G182</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448" s="836" t="str">
        <f>'8. BASE  CONSOLIDADA'!C182</f>
        <v xml:space="preserve">Concesiones para conservación y ecoturismo </v>
      </c>
      <c r="G448" s="1019" t="str">
        <f>VLOOKUP($C448,'8. BASE  CONSOLIDADA'!$E$7:$AS$308,13,FALSE)</f>
        <v>Planes de negocio</v>
      </c>
      <c r="H448" s="1109">
        <f>VLOOKUP($C448,'8. BASE  CONSOLIDADA'!$E$7:$AS$308,15,FALSE)</f>
        <v>5</v>
      </c>
      <c r="I448" s="1058">
        <f>VLOOKUP(C448,'8. BASE  CONSOLIDADA'!$E$7:$AS$308,20,FALSE)</f>
        <v>750000</v>
      </c>
      <c r="J448" s="678">
        <f>I448*$J$6</f>
        <v>510.00000000000006</v>
      </c>
      <c r="K448" s="1020"/>
      <c r="L448" s="1045"/>
      <c r="M448" s="645" t="s">
        <v>489</v>
      </c>
      <c r="N448" s="730" t="str">
        <f>N68</f>
        <v>Impacto negativo sobre la biodiversidad por infraestructura o visitantes</v>
      </c>
      <c r="O448" s="837" t="str">
        <f t="shared" si="12"/>
        <v>Biodiversidad y recursos naturales</v>
      </c>
      <c r="P448" s="546" t="e">
        <f>#REF!</f>
        <v>#REF!</v>
      </c>
      <c r="Q448" s="534" t="str">
        <f>AA15</f>
        <v>Evaluación de impacto de actividades turísticas e implementación de buenas prácticas para mitigar el impacto directo e indirecto de la actividad</v>
      </c>
      <c r="R448" s="534" t="s">
        <v>831</v>
      </c>
      <c r="S448" s="534" t="s">
        <v>526</v>
      </c>
      <c r="T448" s="519" t="str">
        <f>Z15</f>
        <v>SBRN7</v>
      </c>
      <c r="U448" s="628"/>
      <c r="V448" s="478"/>
      <c r="W448" s="478"/>
      <c r="X448" s="273"/>
      <c r="Y448" s="825"/>
      <c r="Z448" s="825"/>
      <c r="AA448" s="825"/>
      <c r="AB448" s="825"/>
      <c r="AC448" s="825"/>
      <c r="AD448" s="825"/>
      <c r="AE448" s="825"/>
      <c r="AF448" s="825"/>
      <c r="AG448" s="825"/>
      <c r="AH448" s="825"/>
      <c r="AI448" s="825"/>
      <c r="AJ448" s="825"/>
      <c r="AK448" s="825"/>
      <c r="AL448" s="825"/>
      <c r="AM448" s="825"/>
      <c r="AN448" s="825"/>
      <c r="AO448" s="825"/>
      <c r="AP448" s="825"/>
      <c r="AQ448" s="825"/>
      <c r="AR448" s="825"/>
      <c r="AS448" s="825"/>
      <c r="AT448" s="825"/>
      <c r="AU448" s="825"/>
      <c r="AV448" s="825"/>
      <c r="AW448" s="825"/>
      <c r="AX448" s="825"/>
      <c r="BA448" s="825"/>
      <c r="BB448" s="825"/>
      <c r="BC448" s="825"/>
      <c r="BD448" s="825"/>
      <c r="BE448" s="825"/>
      <c r="BF448" s="825"/>
      <c r="BG448" s="825"/>
      <c r="BH448" s="825"/>
      <c r="BI448" s="825"/>
      <c r="BJ448" s="825"/>
      <c r="BK448" s="825"/>
      <c r="BL448" s="825"/>
      <c r="BM448" s="825"/>
      <c r="BN448" s="825"/>
      <c r="BO448" s="825"/>
      <c r="BP448" s="825"/>
      <c r="BQ448" s="825"/>
      <c r="BR448" s="825"/>
      <c r="BS448" s="825"/>
      <c r="BT448" s="825"/>
      <c r="BU448" s="825"/>
      <c r="BV448" s="825"/>
      <c r="BW448" s="825"/>
      <c r="BX448" s="825"/>
      <c r="BY448" s="825"/>
      <c r="BZ448" s="825"/>
      <c r="CA448" s="825"/>
      <c r="CB448" s="825"/>
      <c r="CC448" s="825"/>
    </row>
    <row r="449" spans="1:81" s="548" customFormat="1" ht="53.35" customHeight="1" x14ac:dyDescent="0.25">
      <c r="A449" s="558"/>
      <c r="B449" s="672"/>
      <c r="C449" s="834"/>
      <c r="D449" s="1069"/>
      <c r="E449" s="1069"/>
      <c r="F449" s="836"/>
      <c r="G449" s="1089"/>
      <c r="H449" s="1110"/>
      <c r="I449" s="1059"/>
      <c r="J449" s="680"/>
      <c r="K449" s="1044"/>
      <c r="L449" s="1045"/>
      <c r="M449" s="645" t="s">
        <v>489</v>
      </c>
      <c r="N449" s="730" t="str">
        <f>N69</f>
        <v>Exclusión de mujeres rurales en programas de turismo comunitario</v>
      </c>
      <c r="O449" s="837" t="str">
        <f t="shared" si="12"/>
        <v>Género</v>
      </c>
      <c r="P449" s="546" t="str">
        <f>AC6</f>
        <v>GN</v>
      </c>
      <c r="Q449" s="534" t="str">
        <f>AJ23</f>
        <v>Inclusión de mujeres rurales en actividades de turismo comunitario en concesiones para conservación y ecoturismo</v>
      </c>
      <c r="R449" s="534" t="s">
        <v>827</v>
      </c>
      <c r="S449" s="534" t="s">
        <v>526</v>
      </c>
      <c r="T449" s="519" t="str">
        <f>AI23</f>
        <v>SGN15</v>
      </c>
      <c r="U449" s="628"/>
      <c r="V449" s="478"/>
      <c r="W449" s="478"/>
      <c r="X449" s="273"/>
      <c r="Y449" s="825"/>
      <c r="Z449" s="825"/>
      <c r="AA449" s="825"/>
      <c r="AB449" s="825"/>
      <c r="AC449" s="825"/>
      <c r="AD449" s="825"/>
      <c r="AE449" s="825"/>
      <c r="AF449" s="825"/>
      <c r="AG449" s="825"/>
      <c r="AH449" s="825"/>
      <c r="AI449" s="825"/>
      <c r="AJ449" s="825"/>
      <c r="AK449" s="825"/>
      <c r="AL449" s="825"/>
      <c r="AM449" s="825"/>
      <c r="AN449" s="825"/>
      <c r="AO449" s="825"/>
      <c r="AP449" s="825"/>
      <c r="AQ449" s="825"/>
      <c r="AR449" s="825"/>
      <c r="AS449" s="825"/>
      <c r="AT449" s="825"/>
      <c r="AU449" s="825"/>
      <c r="AV449" s="825"/>
      <c r="AW449" s="825"/>
      <c r="AX449" s="825"/>
      <c r="AY449" s="273"/>
      <c r="AZ449" s="273"/>
      <c r="BA449" s="825"/>
      <c r="BB449" s="825"/>
      <c r="BC449" s="825"/>
      <c r="BD449" s="825"/>
      <c r="BE449" s="825"/>
      <c r="BF449" s="825"/>
      <c r="BG449" s="825"/>
      <c r="BH449" s="825"/>
      <c r="BI449" s="825"/>
      <c r="BJ449" s="825"/>
      <c r="BK449" s="825"/>
      <c r="BL449" s="825"/>
      <c r="BM449" s="825"/>
      <c r="BN449" s="825"/>
      <c r="BO449" s="825"/>
      <c r="BP449" s="825"/>
      <c r="BQ449" s="825"/>
      <c r="BR449" s="825"/>
      <c r="BS449" s="825"/>
      <c r="BT449" s="825"/>
      <c r="BU449" s="825"/>
      <c r="BV449" s="825"/>
      <c r="BW449" s="825"/>
      <c r="BX449" s="825"/>
      <c r="BY449" s="825"/>
      <c r="BZ449" s="825"/>
      <c r="CA449" s="825"/>
      <c r="CB449" s="825"/>
      <c r="CC449" s="825"/>
    </row>
    <row r="450" spans="1:81" ht="32.950000000000003" customHeight="1" x14ac:dyDescent="0.25">
      <c r="A450" s="558"/>
      <c r="B450" s="672" t="s">
        <v>897</v>
      </c>
      <c r="C450" s="834" t="str">
        <f>'8. BASE  CONSOLIDADA'!E192</f>
        <v>4.7.1</v>
      </c>
      <c r="D450" s="1069" t="str">
        <f>'8. BASE  CONSOLIDADA'!F192</f>
        <v>Adecuación de ZoCRE a unidad de ordenamiento forestal y/o titulo habilitante forestal y de fauna silvestre de acuerdo a LFFS (Ley No 29763)</v>
      </c>
      <c r="E450" s="1069" t="str">
        <f>'8. BASE  CONSOLIDADA'!G192</f>
        <v xml:space="preserve">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v>
      </c>
      <c r="F450" s="836" t="str">
        <f>'8. BASE  CONSOLIDADA'!C192</f>
        <v>ZOCRES</v>
      </c>
      <c r="G450" s="1019" t="str">
        <f>VLOOKUP($C450,'8. BASE  CONSOLIDADA'!$E$7:$AS$308,13,FALSE)</f>
        <v>Ha. con categoría territorial asignada</v>
      </c>
      <c r="H450" s="1109">
        <f>VLOOKUP($C450,'8. BASE  CONSOLIDADA'!$E$7:$AS$308,15,FALSE)</f>
        <v>40271.913204124918</v>
      </c>
      <c r="I450" s="1058">
        <f>VLOOKUP(C450,'8. BASE  CONSOLIDADA'!$E$7:$AS$308,20,FALSE)</f>
        <v>604078.69806187379</v>
      </c>
      <c r="J450" s="678">
        <f>I450*$J$6</f>
        <v>410.77351468207422</v>
      </c>
      <c r="K450" s="1020"/>
      <c r="L450" s="1045"/>
      <c r="M450" s="645" t="s">
        <v>489</v>
      </c>
      <c r="N450" s="730" t="str">
        <f>N136</f>
        <v>Superposición de las ZOCRES con otros derechos otorgados o que deben ser reconocidos</v>
      </c>
      <c r="O450" s="837" t="str">
        <f t="shared" si="12"/>
        <v>Corrupción</v>
      </c>
      <c r="P450" s="546" t="e">
        <f>#REF!</f>
        <v>#REF!</v>
      </c>
      <c r="Q450" s="534" t="str">
        <f>AG9</f>
        <v xml:space="preserve">Transparencia en procesos de formalización de la propiedad rural y cesión en uso </v>
      </c>
      <c r="R450" s="534" t="s">
        <v>852</v>
      </c>
      <c r="S450" s="534" t="s">
        <v>507</v>
      </c>
      <c r="T450" s="519" t="str">
        <f>AF9</f>
        <v>SCR1</v>
      </c>
      <c r="U450" s="628"/>
      <c r="V450" s="478"/>
      <c r="W450" s="478"/>
      <c r="X450" s="273"/>
      <c r="Y450" s="825"/>
      <c r="Z450" s="825"/>
      <c r="AA450" s="825"/>
      <c r="AB450" s="825"/>
      <c r="AC450" s="825"/>
      <c r="AD450" s="825"/>
      <c r="AE450" s="825"/>
      <c r="AF450" s="825"/>
      <c r="AG450" s="825"/>
      <c r="AH450" s="825"/>
      <c r="AI450" s="825"/>
      <c r="AJ450" s="825"/>
      <c r="AK450" s="825"/>
      <c r="AL450" s="825"/>
      <c r="AM450" s="825"/>
      <c r="AN450" s="825"/>
      <c r="AO450" s="825"/>
      <c r="AP450" s="825"/>
      <c r="AQ450" s="825"/>
      <c r="AR450" s="825"/>
      <c r="AS450" s="825"/>
      <c r="AT450" s="825"/>
      <c r="AU450" s="825"/>
      <c r="AV450" s="825"/>
      <c r="AW450" s="825"/>
      <c r="AX450" s="825"/>
      <c r="BA450" s="825"/>
      <c r="BB450" s="825"/>
      <c r="BC450" s="825"/>
      <c r="BD450" s="825"/>
      <c r="BE450" s="825"/>
      <c r="BF450" s="825"/>
      <c r="BG450" s="825"/>
      <c r="BH450" s="825"/>
      <c r="BI450" s="825"/>
      <c r="BJ450" s="825"/>
      <c r="BK450" s="825"/>
      <c r="BL450" s="825"/>
      <c r="BM450" s="825"/>
      <c r="BN450" s="825"/>
      <c r="BO450" s="825"/>
      <c r="BP450" s="825"/>
      <c r="BQ450" s="825"/>
      <c r="BR450" s="825"/>
      <c r="BS450" s="825"/>
      <c r="BT450" s="825"/>
      <c r="BU450" s="825"/>
      <c r="BV450" s="825"/>
      <c r="BW450" s="825"/>
      <c r="BX450" s="825"/>
      <c r="BY450" s="825"/>
      <c r="BZ450" s="825"/>
      <c r="CA450" s="825"/>
      <c r="CB450" s="825"/>
      <c r="CC450" s="825"/>
    </row>
    <row r="451" spans="1:81" s="548" customFormat="1" ht="34.5" customHeight="1" x14ac:dyDescent="0.25">
      <c r="A451" s="558"/>
      <c r="B451" s="672"/>
      <c r="C451" s="834"/>
      <c r="D451" s="1069"/>
      <c r="E451" s="1069"/>
      <c r="F451" s="836"/>
      <c r="G451" s="1089"/>
      <c r="H451" s="1110"/>
      <c r="I451" s="1059"/>
      <c r="J451" s="683"/>
      <c r="K451" s="1051"/>
      <c r="L451" s="1052"/>
      <c r="M451" s="645" t="s">
        <v>489</v>
      </c>
      <c r="N451" s="736" t="str">
        <f>N136</f>
        <v>Superposición de las ZOCRES con otros derechos otorgados o que deben ser reconocidos</v>
      </c>
      <c r="O451" s="837" t="str">
        <f t="shared" si="12"/>
        <v>Corrupción</v>
      </c>
      <c r="P451" s="552" t="e">
        <f>#REF!</f>
        <v>#REF!</v>
      </c>
      <c r="Q451" s="549" t="str">
        <f>AG15</f>
        <v>Evaluación de superposición de las ZOCRES con derechos otorgados</v>
      </c>
      <c r="R451" s="549" t="s">
        <v>853</v>
      </c>
      <c r="S451" s="549" t="s">
        <v>854</v>
      </c>
      <c r="T451" s="519" t="str">
        <f>AF15</f>
        <v>SCR7</v>
      </c>
      <c r="U451" s="628"/>
      <c r="V451" s="478"/>
      <c r="W451" s="478"/>
      <c r="X451" s="273"/>
      <c r="Y451" s="825"/>
      <c r="Z451" s="825"/>
      <c r="AA451" s="825"/>
      <c r="AB451" s="825"/>
      <c r="AC451" s="825"/>
      <c r="AD451" s="825"/>
      <c r="AE451" s="825"/>
      <c r="AF451" s="825"/>
      <c r="AG451" s="825"/>
      <c r="AH451" s="825"/>
      <c r="AI451" s="825"/>
      <c r="AJ451" s="825"/>
      <c r="AK451" s="825"/>
      <c r="AL451" s="825"/>
      <c r="AM451" s="825"/>
      <c r="AN451" s="825"/>
      <c r="AO451" s="825"/>
      <c r="AP451" s="825"/>
      <c r="AQ451" s="825"/>
      <c r="AR451" s="825"/>
      <c r="AS451" s="825"/>
      <c r="AT451" s="825"/>
      <c r="AU451" s="825"/>
      <c r="AV451" s="825"/>
      <c r="AW451" s="825"/>
      <c r="AX451" s="825"/>
      <c r="AY451" s="273"/>
      <c r="AZ451" s="273"/>
      <c r="BA451" s="825"/>
      <c r="BB451" s="825"/>
      <c r="BC451" s="825"/>
      <c r="BD451" s="825"/>
      <c r="BE451" s="825"/>
      <c r="BF451" s="825"/>
      <c r="BG451" s="825"/>
      <c r="BH451" s="825"/>
      <c r="BI451" s="825"/>
      <c r="BJ451" s="825"/>
      <c r="BK451" s="825"/>
      <c r="BL451" s="825"/>
      <c r="BM451" s="825"/>
      <c r="BN451" s="825"/>
      <c r="BO451" s="825"/>
      <c r="BP451" s="825"/>
      <c r="BQ451" s="825"/>
      <c r="BR451" s="825"/>
      <c r="BS451" s="825"/>
      <c r="BT451" s="825"/>
      <c r="BU451" s="825"/>
      <c r="BV451" s="825"/>
      <c r="BW451" s="825"/>
      <c r="BX451" s="825"/>
      <c r="BY451" s="825"/>
      <c r="BZ451" s="825"/>
      <c r="CA451" s="825"/>
      <c r="CB451" s="825"/>
      <c r="CC451" s="825"/>
    </row>
    <row r="452" spans="1:81" ht="52.5" customHeight="1" x14ac:dyDescent="0.25">
      <c r="A452" s="558"/>
      <c r="B452" s="672" t="s">
        <v>897</v>
      </c>
      <c r="C452" s="834" t="str">
        <f>'8. BASE  CONSOLIDADA'!E194</f>
        <v>4.7.3</v>
      </c>
      <c r="D452" s="1069" t="str">
        <f>'8. BASE  CONSOLIDADA'!F194</f>
        <v>Elaboración del plan/declaración de manejo de las nuevas categorías de ordenamiento forestal y títulos habilitantes forestales</v>
      </c>
      <c r="E452" s="1069" t="str">
        <f>'8. BASE  CONSOLIDADA'!G194</f>
        <v>Dependiendo de la categoría forestal a ser aplicada, se realizará un plan/declaración acorde la unidad, en el marco de la ley forestal y fauna silvestre N° 29763.</v>
      </c>
      <c r="F452" s="836" t="str">
        <f>'8. BASE  CONSOLIDADA'!C194</f>
        <v>ZOCRES</v>
      </c>
      <c r="G452" s="1019" t="str">
        <f>VLOOKUP($C452,'8. BASE  CONSOLIDADA'!$E$7:$AS$308,13,FALSE)</f>
        <v>N° Planes / Declaraciones elaborados</v>
      </c>
      <c r="H452" s="1109">
        <f>VLOOKUP($C452,'8. BASE  CONSOLIDADA'!$E$7:$AS$308,15,FALSE)</f>
        <v>8</v>
      </c>
      <c r="I452" s="1058">
        <f>VLOOKUP(C452,'8. BASE  CONSOLIDADA'!$E$7:$AS$308,20,FALSE)</f>
        <v>80000</v>
      </c>
      <c r="J452" s="678">
        <f>I452*$J$6</f>
        <v>54.400000000000006</v>
      </c>
      <c r="K452" s="1020"/>
      <c r="L452" s="1045"/>
      <c r="M452" s="645" t="s">
        <v>489</v>
      </c>
      <c r="N452" s="730" t="str">
        <f>N136</f>
        <v>Superposición de las ZOCRES con otros derechos otorgados o que deben ser reconocidos</v>
      </c>
      <c r="O452" s="837" t="str">
        <f t="shared" si="12"/>
        <v>Corrupción</v>
      </c>
      <c r="P452" s="546" t="e">
        <f>#REF!</f>
        <v>#REF!</v>
      </c>
      <c r="Q452" s="534" t="str">
        <f>AG9</f>
        <v xml:space="preserve">Transparencia en procesos de formalización de la propiedad rural y cesión en uso </v>
      </c>
      <c r="R452" s="534" t="s">
        <v>852</v>
      </c>
      <c r="S452" s="534" t="s">
        <v>507</v>
      </c>
      <c r="T452" s="519" t="str">
        <f>AF9</f>
        <v>SCR1</v>
      </c>
      <c r="U452" s="618"/>
      <c r="V452" s="478"/>
      <c r="W452" s="478"/>
      <c r="X452" s="273"/>
      <c r="Y452" s="825"/>
      <c r="Z452" s="825"/>
      <c r="AA452" s="825"/>
      <c r="AB452" s="825"/>
      <c r="AC452" s="825"/>
      <c r="AD452" s="825"/>
      <c r="AE452" s="825"/>
      <c r="AF452" s="825"/>
      <c r="AG452" s="825"/>
      <c r="AH452" s="825"/>
      <c r="AI452" s="825"/>
      <c r="AJ452" s="825"/>
      <c r="AK452" s="825"/>
      <c r="AL452" s="825"/>
      <c r="AM452" s="825"/>
      <c r="AN452" s="825"/>
      <c r="AO452" s="825"/>
      <c r="AP452" s="825"/>
      <c r="AQ452" s="825"/>
      <c r="AR452" s="825"/>
      <c r="AS452" s="825"/>
      <c r="AT452" s="825"/>
      <c r="AU452" s="825"/>
      <c r="AV452" s="825"/>
      <c r="AW452" s="825"/>
      <c r="AX452" s="825"/>
      <c r="BA452" s="825"/>
      <c r="BB452" s="825"/>
      <c r="BC452" s="825"/>
      <c r="BD452" s="825"/>
      <c r="BE452" s="825"/>
      <c r="BF452" s="825"/>
      <c r="BG452" s="825"/>
      <c r="BH452" s="825"/>
      <c r="BI452" s="825"/>
      <c r="BJ452" s="825"/>
      <c r="BK452" s="825"/>
      <c r="BL452" s="825"/>
      <c r="BM452" s="825"/>
      <c r="BN452" s="825"/>
      <c r="BO452" s="825"/>
      <c r="BP452" s="825"/>
      <c r="BQ452" s="825"/>
      <c r="BR452" s="825"/>
      <c r="BS452" s="825"/>
      <c r="BT452" s="825"/>
      <c r="BU452" s="825"/>
      <c r="BV452" s="825"/>
      <c r="BW452" s="825"/>
      <c r="BX452" s="825"/>
      <c r="BY452" s="825"/>
      <c r="BZ452" s="825"/>
      <c r="CA452" s="825"/>
      <c r="CB452" s="825"/>
      <c r="CC452" s="825"/>
    </row>
    <row r="453" spans="1:81" ht="43.5" customHeight="1" x14ac:dyDescent="0.25">
      <c r="A453" s="558"/>
      <c r="B453" s="672" t="s">
        <v>897</v>
      </c>
      <c r="C453" s="834" t="str">
        <f>'8. BASE  CONSOLIDADA'!E195</f>
        <v>4.7.4</v>
      </c>
      <c r="D453" s="1069" t="str">
        <f>'8. BASE  CONSOLIDADA'!F195</f>
        <v>Inscripción en el catastro forestal y en registros públicos</v>
      </c>
      <c r="E453" s="1069" t="str">
        <f>'8. BASE  CONSOLIDADA'!G195</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453" s="836" t="str">
        <f>'8. BASE  CONSOLIDADA'!C195</f>
        <v>ZOCRES</v>
      </c>
      <c r="G453" s="1019" t="str">
        <f>VLOOKUP($C453,'8. BASE  CONSOLIDADA'!$E$7:$AS$308,13,FALSE)</f>
        <v>Ha. Inscritas</v>
      </c>
      <c r="H453" s="1109">
        <f>VLOOKUP($C453,'8. BASE  CONSOLIDADA'!$E$7:$AS$308,15,FALSE)</f>
        <v>40271.913204124918</v>
      </c>
      <c r="I453" s="1058">
        <f>VLOOKUP(C453,'8. BASE  CONSOLIDADA'!$E$7:$AS$308,20,FALSE)</f>
        <v>40271.913204124918</v>
      </c>
      <c r="J453" s="678">
        <f>I453*$J$6</f>
        <v>27.384900978804946</v>
      </c>
      <c r="K453" s="1020"/>
      <c r="L453" s="1047"/>
      <c r="M453" s="645" t="s">
        <v>489</v>
      </c>
      <c r="N453" s="733" t="str">
        <f>N136</f>
        <v>Superposición de las ZOCRES con otros derechos otorgados o que deben ser reconocidos</v>
      </c>
      <c r="O453" s="837" t="str">
        <f t="shared" si="12"/>
        <v>Corrupción</v>
      </c>
      <c r="P453" s="556" t="e">
        <f>#REF!</f>
        <v>#REF!</v>
      </c>
      <c r="Q453" s="535" t="str">
        <f>AG9</f>
        <v xml:space="preserve">Transparencia en procesos de formalización de la propiedad rural y cesión en uso </v>
      </c>
      <c r="R453" s="535" t="s">
        <v>852</v>
      </c>
      <c r="S453" s="535" t="s">
        <v>507</v>
      </c>
      <c r="T453" s="519" t="str">
        <f>AF9</f>
        <v>SCR1</v>
      </c>
      <c r="U453" s="628"/>
      <c r="V453" s="478"/>
      <c r="W453" s="478"/>
      <c r="X453" s="273"/>
      <c r="Y453" s="825"/>
      <c r="Z453" s="825"/>
      <c r="AA453" s="825"/>
      <c r="AB453" s="825"/>
      <c r="AC453" s="825"/>
      <c r="AD453" s="825"/>
      <c r="AE453" s="825"/>
      <c r="AF453" s="825"/>
      <c r="AG453" s="825"/>
      <c r="AH453" s="825"/>
      <c r="AI453" s="825"/>
      <c r="AJ453" s="825"/>
      <c r="AK453" s="825"/>
      <c r="AL453" s="825"/>
      <c r="AM453" s="825"/>
      <c r="AN453" s="825"/>
      <c r="AO453" s="825"/>
      <c r="AP453" s="825"/>
      <c r="AQ453" s="825"/>
      <c r="AR453" s="825"/>
      <c r="AS453" s="825"/>
      <c r="AT453" s="825"/>
      <c r="AU453" s="825"/>
      <c r="AV453" s="825"/>
      <c r="AW453" s="825"/>
      <c r="AX453" s="825"/>
      <c r="BA453" s="825"/>
      <c r="BB453" s="825"/>
      <c r="BC453" s="825"/>
      <c r="BD453" s="825"/>
      <c r="BE453" s="825"/>
      <c r="BF453" s="825"/>
      <c r="BG453" s="825"/>
      <c r="BH453" s="825"/>
      <c r="BI453" s="825"/>
      <c r="BJ453" s="825"/>
      <c r="BK453" s="825"/>
      <c r="BL453" s="825"/>
      <c r="BM453" s="825"/>
      <c r="BN453" s="825"/>
      <c r="BO453" s="825"/>
      <c r="BP453" s="825"/>
      <c r="BQ453" s="825"/>
      <c r="BR453" s="825"/>
      <c r="BS453" s="825"/>
      <c r="BT453" s="825"/>
      <c r="BU453" s="825"/>
      <c r="BV453" s="825"/>
      <c r="BW453" s="825"/>
      <c r="BX453" s="825"/>
      <c r="BY453" s="825"/>
      <c r="BZ453" s="825"/>
      <c r="CA453" s="825"/>
      <c r="CB453" s="825"/>
      <c r="CC453" s="825"/>
    </row>
    <row r="454" spans="1:81" ht="52.5" customHeight="1" x14ac:dyDescent="0.25">
      <c r="A454" s="558"/>
      <c r="B454" s="672" t="s">
        <v>897</v>
      </c>
      <c r="C454" s="834" t="str">
        <f>'8. BASE  CONSOLIDADA'!E196</f>
        <v>4.8.1</v>
      </c>
      <c r="D454" s="1069" t="str">
        <f>'8. BASE  CONSOLIDADA'!F196</f>
        <v>Creación y establecimiento de unidades de ordenamiento forestal, otorgamiento de títulos habilitantes forestales y tenencia de la tierra</v>
      </c>
      <c r="E454" s="1069" t="str">
        <f>'8. BASE  CONSOLIDADA'!G196</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F454" s="836" t="str">
        <f>'8. BASE  CONSOLIDADA'!C196</f>
        <v>Tierras sin categoría territorial asignada</v>
      </c>
      <c r="G454" s="1019" t="str">
        <f>VLOOKUP($C454,'8. BASE  CONSOLIDADA'!$E$7:$AS$308,13,FALSE)</f>
        <v>Ha. con categoría territorial asignada</v>
      </c>
      <c r="H454" s="1109">
        <f>VLOOKUP($C454,'8. BASE  CONSOLIDADA'!$E$7:$AS$308,15,FALSE)</f>
        <v>47298.808366990103</v>
      </c>
      <c r="I454" s="1058">
        <f>VLOOKUP(C454,'8. BASE  CONSOLIDADA'!$E$7:$AS$308,20,FALSE)</f>
        <v>709482.12550485157</v>
      </c>
      <c r="J454" s="678">
        <f>I454*$J$6</f>
        <v>482.44784534329909</v>
      </c>
      <c r="K454" s="1020"/>
      <c r="L454" s="1045"/>
      <c r="M454" s="645" t="s">
        <v>489</v>
      </c>
      <c r="N454" s="730" t="str">
        <f>N141</f>
        <v>Otorgamiento inadecuado de títulos habilitantes que generan tráfico de tierras</v>
      </c>
      <c r="O454" s="837" t="str">
        <f t="shared" si="12"/>
        <v>Corrupción</v>
      </c>
      <c r="P454" s="546" t="e">
        <f>#REF!</f>
        <v>#REF!</v>
      </c>
      <c r="Q454" s="534" t="str">
        <f>AG16</f>
        <v xml:space="preserve">Transparencia en los procesos de otorgamiento de derechos en las tierras sin categoría territorial asignada </v>
      </c>
      <c r="R454" s="534" t="s">
        <v>859</v>
      </c>
      <c r="S454" s="534" t="s">
        <v>507</v>
      </c>
      <c r="T454" s="519" t="str">
        <f>AF16</f>
        <v>SCR8</v>
      </c>
      <c r="U454" s="628"/>
      <c r="V454" s="478"/>
      <c r="W454" s="478"/>
      <c r="X454" s="273"/>
      <c r="Y454" s="825"/>
      <c r="Z454" s="825"/>
      <c r="AA454" s="825"/>
      <c r="AB454" s="825"/>
      <c r="AC454" s="825"/>
      <c r="AD454" s="825"/>
      <c r="AE454" s="825"/>
      <c r="AF454" s="825"/>
      <c r="AG454" s="825"/>
      <c r="AH454" s="825"/>
      <c r="AI454" s="825"/>
      <c r="AJ454" s="825"/>
      <c r="AK454" s="825"/>
      <c r="AL454" s="825"/>
      <c r="AM454" s="825"/>
      <c r="AN454" s="825"/>
      <c r="AO454" s="825"/>
      <c r="AP454" s="825"/>
      <c r="AQ454" s="825"/>
      <c r="AR454" s="825"/>
      <c r="AS454" s="825"/>
      <c r="AT454" s="825"/>
      <c r="AU454" s="825"/>
      <c r="AV454" s="825"/>
      <c r="AW454" s="825"/>
      <c r="AX454" s="825"/>
      <c r="BA454" s="825"/>
      <c r="BB454" s="825"/>
      <c r="BC454" s="825"/>
      <c r="BD454" s="825"/>
      <c r="BE454" s="825"/>
      <c r="BF454" s="825"/>
      <c r="BG454" s="825"/>
      <c r="BH454" s="825"/>
      <c r="BI454" s="825"/>
      <c r="BJ454" s="825"/>
      <c r="BK454" s="825"/>
      <c r="BL454" s="825"/>
      <c r="BM454" s="825"/>
      <c r="BN454" s="825"/>
      <c r="BO454" s="825"/>
      <c r="BP454" s="825"/>
      <c r="BQ454" s="825"/>
      <c r="BR454" s="825"/>
      <c r="BS454" s="825"/>
      <c r="BT454" s="825"/>
      <c r="BU454" s="825"/>
      <c r="BV454" s="825"/>
      <c r="BW454" s="825"/>
      <c r="BX454" s="825"/>
      <c r="BY454" s="825"/>
      <c r="BZ454" s="825"/>
      <c r="CA454" s="825"/>
      <c r="CB454" s="825"/>
      <c r="CC454" s="825"/>
    </row>
    <row r="455" spans="1:81" s="548" customFormat="1" ht="45" customHeight="1" x14ac:dyDescent="0.25">
      <c r="A455" s="558"/>
      <c r="B455" s="672"/>
      <c r="C455" s="834"/>
      <c r="D455" s="1069"/>
      <c r="E455" s="1069"/>
      <c r="F455" s="836"/>
      <c r="G455" s="1089"/>
      <c r="H455" s="1110"/>
      <c r="I455" s="1059"/>
      <c r="J455" s="680"/>
      <c r="K455" s="1044"/>
      <c r="L455" s="1045"/>
      <c r="M455" s="645" t="s">
        <v>489</v>
      </c>
      <c r="N455" s="730" t="str">
        <f>N141</f>
        <v>Otorgamiento inadecuado de títulos habilitantes que generan tráfico de tierras</v>
      </c>
      <c r="O455" s="837" t="str">
        <f t="shared" si="12"/>
        <v>Patrimonio cultural</v>
      </c>
      <c r="P455" s="546" t="str">
        <f>AI6</f>
        <v>PC</v>
      </c>
      <c r="Q455" s="534" t="str">
        <f>AV9</f>
        <v>Evaluación de superposición del área solicitada para titulación de predios rurales con áreas determinadas como patrimonio cultural</v>
      </c>
      <c r="R455" s="534" t="s">
        <v>586</v>
      </c>
      <c r="S455" s="534" t="s">
        <v>507</v>
      </c>
      <c r="T455" s="519" t="str">
        <f>AU9</f>
        <v>SPC1</v>
      </c>
      <c r="U455" s="628"/>
      <c r="V455" s="478"/>
      <c r="W455" s="478"/>
      <c r="X455" s="273"/>
      <c r="Y455" s="825"/>
      <c r="Z455" s="825"/>
      <c r="AA455" s="825"/>
      <c r="AB455" s="825"/>
      <c r="AC455" s="825"/>
      <c r="AD455" s="825"/>
      <c r="AE455" s="825"/>
      <c r="AF455" s="825"/>
      <c r="AG455" s="825"/>
      <c r="AH455" s="825"/>
      <c r="AI455" s="825"/>
      <c r="AJ455" s="825"/>
      <c r="AK455" s="825"/>
      <c r="AL455" s="825"/>
      <c r="AM455" s="825"/>
      <c r="AN455" s="825"/>
      <c r="AO455" s="825"/>
      <c r="AP455" s="825"/>
      <c r="AQ455" s="825"/>
      <c r="AR455" s="825"/>
      <c r="AS455" s="825"/>
      <c r="AT455" s="825"/>
      <c r="AU455" s="825"/>
      <c r="AV455" s="825"/>
      <c r="AW455" s="825"/>
      <c r="AX455" s="825"/>
      <c r="AY455" s="273"/>
      <c r="AZ455" s="273"/>
      <c r="BA455" s="825"/>
      <c r="BB455" s="825"/>
      <c r="BC455" s="825"/>
      <c r="BD455" s="825"/>
      <c r="BE455" s="825"/>
      <c r="BF455" s="825"/>
      <c r="BG455" s="825"/>
      <c r="BH455" s="825"/>
      <c r="BI455" s="825"/>
      <c r="BJ455" s="825"/>
      <c r="BK455" s="825"/>
      <c r="BL455" s="825"/>
      <c r="BM455" s="825"/>
      <c r="BN455" s="825"/>
      <c r="BO455" s="825"/>
      <c r="BP455" s="825"/>
      <c r="BQ455" s="825"/>
      <c r="BR455" s="825"/>
      <c r="BS455" s="825"/>
      <c r="BT455" s="825"/>
      <c r="BU455" s="825"/>
      <c r="BV455" s="825"/>
      <c r="BW455" s="825"/>
      <c r="BX455" s="825"/>
      <c r="BY455" s="825"/>
      <c r="BZ455" s="825"/>
      <c r="CA455" s="825"/>
      <c r="CB455" s="825"/>
      <c r="CC455" s="825"/>
    </row>
    <row r="456" spans="1:81" ht="50.95" customHeight="1" x14ac:dyDescent="0.25">
      <c r="A456" s="558"/>
      <c r="B456" s="672" t="s">
        <v>897</v>
      </c>
      <c r="C456" s="834" t="str">
        <f>'8. BASE  CONSOLIDADA'!E198</f>
        <v>4.8.3</v>
      </c>
      <c r="D456" s="1069" t="str">
        <f>'8. BASE  CONSOLIDADA'!F198</f>
        <v>Elaboración del plan/declaración de manejo de las nuevas categorías de ordenamiento forestal y títulos habilitantes forestales</v>
      </c>
      <c r="E456" s="1069" t="str">
        <f>'8. BASE  CONSOLIDADA'!G198</f>
        <v>Dependiendo de la categoría forestal a ser aplicada, se realizará un plan/declaración acorde a la unidad, en el marco de la ley forestal y fauna silvestre N° 29763.</v>
      </c>
      <c r="F456" s="836" t="str">
        <f>'8. BASE  CONSOLIDADA'!C198</f>
        <v>Tierras sin categoría territorial asignada</v>
      </c>
      <c r="G456" s="1019" t="str">
        <f>VLOOKUP($C456,'8. BASE  CONSOLIDADA'!$E$7:$AS$308,13,FALSE)</f>
        <v>N° Planes / Declaraciones elaborados</v>
      </c>
      <c r="H456" s="1109">
        <f>VLOOKUP($C456,'8. BASE  CONSOLIDADA'!$E$7:$AS$308,15,FALSE)</f>
        <v>2</v>
      </c>
      <c r="I456" s="1058">
        <f>VLOOKUP(C456,'8. BASE  CONSOLIDADA'!$E$7:$AS$308,20,FALSE)</f>
        <v>20000</v>
      </c>
      <c r="J456" s="678">
        <f>I456*$J$6</f>
        <v>13.600000000000001</v>
      </c>
      <c r="K456" s="1020"/>
      <c r="L456" s="1045"/>
      <c r="M456" s="645" t="s">
        <v>489</v>
      </c>
      <c r="N456" s="730" t="str">
        <f>N141</f>
        <v>Otorgamiento inadecuado de títulos habilitantes que generan tráfico de tierras</v>
      </c>
      <c r="O456" s="837" t="str">
        <f t="shared" si="12"/>
        <v>Corrupción</v>
      </c>
      <c r="P456" s="546" t="e">
        <f>#REF!</f>
        <v>#REF!</v>
      </c>
      <c r="Q456" s="534" t="str">
        <f>AG16</f>
        <v xml:space="preserve">Transparencia en los procesos de otorgamiento de derechos en las tierras sin categoría territorial asignada </v>
      </c>
      <c r="R456" s="534" t="s">
        <v>859</v>
      </c>
      <c r="S456" s="534" t="s">
        <v>507</v>
      </c>
      <c r="T456" s="519" t="str">
        <f>AF16</f>
        <v>SCR8</v>
      </c>
      <c r="U456" s="628"/>
      <c r="V456" s="478"/>
      <c r="W456" s="478"/>
      <c r="X456" s="273"/>
      <c r="Y456" s="825"/>
      <c r="Z456" s="825"/>
      <c r="AA456" s="825"/>
      <c r="AB456" s="825"/>
      <c r="AC456" s="825"/>
      <c r="AD456" s="825"/>
      <c r="AE456" s="825"/>
      <c r="AF456" s="825"/>
      <c r="AG456" s="825"/>
      <c r="AH456" s="825"/>
      <c r="AI456" s="825"/>
      <c r="AJ456" s="825"/>
      <c r="AK456" s="825"/>
      <c r="AL456" s="825"/>
      <c r="AM456" s="825"/>
      <c r="AN456" s="825"/>
      <c r="AO456" s="825"/>
      <c r="AP456" s="825"/>
      <c r="AQ456" s="825"/>
      <c r="AR456" s="825"/>
      <c r="AS456" s="825"/>
      <c r="AT456" s="825"/>
      <c r="AU456" s="825"/>
      <c r="AV456" s="825"/>
      <c r="AW456" s="825"/>
      <c r="AX456" s="825"/>
      <c r="BA456" s="825"/>
      <c r="BB456" s="825"/>
      <c r="BC456" s="825"/>
      <c r="BD456" s="825"/>
      <c r="BE456" s="825"/>
      <c r="BF456" s="825"/>
      <c r="BG456" s="825"/>
      <c r="BH456" s="825"/>
      <c r="BI456" s="825"/>
      <c r="BJ456" s="825"/>
      <c r="BK456" s="825"/>
      <c r="BL456" s="825"/>
      <c r="BM456" s="825"/>
      <c r="BN456" s="825"/>
      <c r="BO456" s="825"/>
      <c r="BP456" s="825"/>
      <c r="BQ456" s="825"/>
      <c r="BR456" s="825"/>
      <c r="BS456" s="825"/>
      <c r="BT456" s="825"/>
      <c r="BU456" s="825"/>
      <c r="BV456" s="825"/>
      <c r="BW456" s="825"/>
      <c r="BX456" s="825"/>
      <c r="BY456" s="825"/>
      <c r="BZ456" s="825"/>
      <c r="CA456" s="825"/>
      <c r="CB456" s="825"/>
      <c r="CC456" s="825"/>
    </row>
    <row r="457" spans="1:81" ht="51.8" customHeight="1" x14ac:dyDescent="0.25">
      <c r="A457" s="558"/>
      <c r="B457" s="672" t="s">
        <v>897</v>
      </c>
      <c r="C457" s="834" t="str">
        <f>'8. BASE  CONSOLIDADA'!E199</f>
        <v>4.8.4</v>
      </c>
      <c r="D457" s="1069" t="str">
        <f>'8. BASE  CONSOLIDADA'!F199</f>
        <v>Inscripción en el catastro forestal y en registros públicos</v>
      </c>
      <c r="E457" s="1069" t="str">
        <f>'8. BASE  CONSOLIDADA'!G199</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457" s="836" t="str">
        <f>'8. BASE  CONSOLIDADA'!C199</f>
        <v>Tierras sin categoría territorial asignada</v>
      </c>
      <c r="G457" s="1019" t="str">
        <f>VLOOKUP($C457,'8. BASE  CONSOLIDADA'!$E$7:$AS$308,13,FALSE)</f>
        <v>Ha. Inscritas</v>
      </c>
      <c r="H457" s="1109">
        <f>VLOOKUP($C457,'8. BASE  CONSOLIDADA'!$E$7:$AS$308,15,FALSE)</f>
        <v>47298.808366990103</v>
      </c>
      <c r="I457" s="1058">
        <f>VLOOKUP(C457,'8. BASE  CONSOLIDADA'!$E$7:$AS$308,20,FALSE)</f>
        <v>47298.808366990103</v>
      </c>
      <c r="J457" s="678">
        <f>I457*$J$6</f>
        <v>32.163189689553271</v>
      </c>
      <c r="K457" s="1020"/>
      <c r="L457" s="1045"/>
      <c r="M457" s="645" t="s">
        <v>489</v>
      </c>
      <c r="N457" s="730" t="str">
        <f>N141</f>
        <v>Otorgamiento inadecuado de títulos habilitantes que generan tráfico de tierras</v>
      </c>
      <c r="O457" s="837" t="str">
        <f t="shared" si="12"/>
        <v>Corrupción</v>
      </c>
      <c r="P457" s="546" t="e">
        <f>#REF!</f>
        <v>#REF!</v>
      </c>
      <c r="Q457" s="534" t="str">
        <f>AG16</f>
        <v xml:space="preserve">Transparencia en los procesos de otorgamiento de derechos en las tierras sin categoría territorial asignada </v>
      </c>
      <c r="R457" s="534" t="s">
        <v>859</v>
      </c>
      <c r="S457" s="534" t="s">
        <v>507</v>
      </c>
      <c r="T457" s="519" t="str">
        <f>AF16</f>
        <v>SCR8</v>
      </c>
      <c r="U457" s="628"/>
      <c r="V457" s="478"/>
      <c r="W457" s="478"/>
      <c r="X457" s="273"/>
      <c r="Y457" s="825"/>
      <c r="Z457" s="825"/>
      <c r="AA457" s="825"/>
      <c r="AB457" s="825"/>
      <c r="AC457" s="825"/>
      <c r="AD457" s="825"/>
      <c r="AE457" s="825"/>
      <c r="AF457" s="825"/>
      <c r="AG457" s="825"/>
      <c r="AH457" s="825"/>
      <c r="AI457" s="825"/>
      <c r="AJ457" s="825"/>
      <c r="AK457" s="825"/>
      <c r="AL457" s="825"/>
      <c r="AM457" s="825"/>
      <c r="AN457" s="825"/>
      <c r="AO457" s="825"/>
      <c r="AP457" s="825"/>
      <c r="AQ457" s="825"/>
      <c r="AR457" s="825"/>
      <c r="AS457" s="825"/>
      <c r="AT457" s="825"/>
      <c r="AU457" s="825"/>
      <c r="AV457" s="825"/>
      <c r="AW457" s="825"/>
      <c r="AX457" s="825"/>
      <c r="BA457" s="825"/>
      <c r="BB457" s="825"/>
      <c r="BC457" s="825"/>
      <c r="BD457" s="825"/>
      <c r="BE457" s="825"/>
      <c r="BF457" s="825"/>
      <c r="BG457" s="825"/>
      <c r="BH457" s="825"/>
      <c r="BI457" s="825"/>
      <c r="BJ457" s="825"/>
      <c r="BK457" s="825"/>
      <c r="BL457" s="825"/>
      <c r="BM457" s="825"/>
      <c r="BN457" s="825"/>
      <c r="BO457" s="825"/>
      <c r="BP457" s="825"/>
      <c r="BQ457" s="825"/>
      <c r="BR457" s="825"/>
      <c r="BS457" s="825"/>
      <c r="BT457" s="825"/>
      <c r="BU457" s="825"/>
      <c r="BV457" s="825"/>
      <c r="BW457" s="825"/>
      <c r="BX457" s="825"/>
      <c r="BY457" s="825"/>
      <c r="BZ457" s="825"/>
      <c r="CA457" s="825"/>
      <c r="CB457" s="825"/>
      <c r="CC457" s="825"/>
    </row>
    <row r="458" spans="1:81" ht="59.3" customHeight="1" x14ac:dyDescent="0.25">
      <c r="A458" s="558"/>
      <c r="B458" s="672" t="s">
        <v>897</v>
      </c>
      <c r="C458" s="834" t="str">
        <f>'8. BASE  CONSOLIDADA'!E160</f>
        <v>4.2.1</v>
      </c>
      <c r="D458" s="1069" t="str">
        <f>'8. BASE  CONSOLIDADA'!F160</f>
        <v>Otorgamiento de derechos sobre la tierra/bosques</v>
      </c>
      <c r="E458" s="1069" t="str">
        <f>'8. BASE  CONSOLIDADA'!G160</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458" s="836" t="str">
        <f>'8. BASE  CONSOLIDADA'!C160</f>
        <v>Predios privados para ganadería de leche y carne</v>
      </c>
      <c r="G458" s="1019" t="str">
        <f>VLOOKUP($C458,'8. BASE  CONSOLIDADA'!$E$7:$AS$308,13,FALSE)</f>
        <v>N° Títulos/Contratos otorgados</v>
      </c>
      <c r="H458" s="1109">
        <f>VLOOKUP($C458,'8. BASE  CONSOLIDADA'!$E$7:$AS$308,15,FALSE)</f>
        <v>129.97289734342351</v>
      </c>
      <c r="I458" s="1058">
        <f>VLOOKUP(C458,'8. BASE  CONSOLIDADA'!$E$7:$AS$308,20,FALSE)</f>
        <v>259945.79468684702</v>
      </c>
      <c r="J458" s="678">
        <f>I458*$J$6</f>
        <v>176.76314038705598</v>
      </c>
      <c r="K458" s="1020"/>
      <c r="L458" s="1045"/>
      <c r="M458" s="645" t="s">
        <v>489</v>
      </c>
      <c r="N458" s="730" t="str">
        <f>N8</f>
        <v>Otorgamiento de titulos de propiedad en tierras de aptitud forestal o protección con cobertura de bosques</v>
      </c>
      <c r="O458" s="837" t="str">
        <f t="shared" si="12"/>
        <v>Biodiversidad y recursos naturales</v>
      </c>
      <c r="P458" s="546" t="e">
        <f>#REF!</f>
        <v>#REF!</v>
      </c>
      <c r="Q458" s="534" t="str">
        <f>AA9</f>
        <v>Realizar estudios de suelos para determinar la capacidad de uso mayor de los suelos como parte de los procesos de formalización de la propiedad rural</v>
      </c>
      <c r="R458" s="534" t="s">
        <v>491</v>
      </c>
      <c r="S458" s="546" t="s">
        <v>492</v>
      </c>
      <c r="T458" s="519" t="str">
        <f>Z9</f>
        <v>SBRN1</v>
      </c>
      <c r="U458" s="628"/>
      <c r="V458" s="478"/>
      <c r="W458" s="478"/>
      <c r="X458" s="273"/>
      <c r="Y458" s="825"/>
      <c r="Z458" s="825"/>
      <c r="AA458" s="825"/>
      <c r="AB458" s="825"/>
      <c r="AC458" s="825"/>
      <c r="AD458" s="825"/>
      <c r="AE458" s="825"/>
      <c r="AF458" s="825"/>
      <c r="AG458" s="825"/>
      <c r="AH458" s="825"/>
      <c r="AI458" s="825"/>
      <c r="AJ458" s="825"/>
      <c r="AK458" s="825"/>
      <c r="AL458" s="825"/>
      <c r="AM458" s="825"/>
      <c r="AN458" s="825"/>
      <c r="AO458" s="825"/>
      <c r="AP458" s="825"/>
      <c r="AQ458" s="825"/>
      <c r="AR458" s="825"/>
      <c r="AS458" s="825"/>
      <c r="AT458" s="825"/>
      <c r="AU458" s="825"/>
      <c r="AV458" s="825"/>
      <c r="AW458" s="825"/>
      <c r="AX458" s="825"/>
      <c r="BA458" s="825"/>
      <c r="BB458" s="825"/>
      <c r="BC458" s="825"/>
      <c r="BD458" s="825"/>
      <c r="BE458" s="825"/>
      <c r="BF458" s="825"/>
      <c r="BG458" s="825"/>
      <c r="BH458" s="825"/>
      <c r="BI458" s="825"/>
      <c r="BJ458" s="825"/>
      <c r="BK458" s="825"/>
      <c r="BL458" s="825"/>
      <c r="BM458" s="825"/>
      <c r="BN458" s="825"/>
      <c r="BO458" s="825"/>
      <c r="BP458" s="825"/>
      <c r="BQ458" s="825"/>
      <c r="BR458" s="825"/>
      <c r="BS458" s="825"/>
      <c r="BT458" s="825"/>
      <c r="BU458" s="825"/>
      <c r="BV458" s="825"/>
      <c r="BW458" s="825"/>
      <c r="BX458" s="825"/>
      <c r="BY458" s="825"/>
      <c r="BZ458" s="825"/>
      <c r="CA458" s="825"/>
      <c r="CB458" s="825"/>
      <c r="CC458" s="825"/>
    </row>
    <row r="459" spans="1:81" s="548" customFormat="1" ht="33.799999999999997" customHeight="1" x14ac:dyDescent="0.25">
      <c r="A459" s="558"/>
      <c r="B459" s="672"/>
      <c r="C459" s="834"/>
      <c r="D459" s="1069"/>
      <c r="E459" s="1069"/>
      <c r="F459" s="836"/>
      <c r="G459" s="1089"/>
      <c r="H459" s="1110"/>
      <c r="I459" s="1059"/>
      <c r="J459" s="680"/>
      <c r="K459" s="1044"/>
      <c r="L459" s="1045"/>
      <c r="M459" s="645" t="s">
        <v>489</v>
      </c>
      <c r="N459" s="730" t="str">
        <f>N9</f>
        <v>Otorgamiento de titulos de propiedad en tierras de aptitud  A y C con cobertura de bosques</v>
      </c>
      <c r="O459" s="837" t="str">
        <f t="shared" si="12"/>
        <v>Biodiversidad y recursos naturales</v>
      </c>
      <c r="P459" s="546" t="e">
        <f>#REF!</f>
        <v>#REF!</v>
      </c>
      <c r="Q459" s="534" t="str">
        <f>AA10</f>
        <v>Implementar el procedimiento de cambio de uso actual de tierras A y C con cobertura de bosques para formalización de propiedad rural considerado en la Ley Forestal y de Fauna Silvestre (Ley No 29736)</v>
      </c>
      <c r="R459" s="534" t="s">
        <v>506</v>
      </c>
      <c r="S459" s="546" t="s">
        <v>507</v>
      </c>
      <c r="T459" s="519" t="str">
        <f>Z10</f>
        <v>SBRN2</v>
      </c>
      <c r="U459" s="628"/>
      <c r="V459" s="478"/>
      <c r="W459" s="478"/>
      <c r="X459" s="273"/>
      <c r="Y459" s="825"/>
      <c r="Z459" s="825"/>
      <c r="AA459" s="825"/>
      <c r="AB459" s="825"/>
      <c r="AC459" s="825"/>
      <c r="AD459" s="825"/>
      <c r="AE459" s="825"/>
      <c r="AF459" s="825"/>
      <c r="AG459" s="825"/>
      <c r="AH459" s="825"/>
      <c r="AI459" s="825"/>
      <c r="AJ459" s="825"/>
      <c r="AK459" s="825"/>
      <c r="AL459" s="825"/>
      <c r="AM459" s="825"/>
      <c r="AN459" s="825"/>
      <c r="AO459" s="825"/>
      <c r="AP459" s="825"/>
      <c r="AQ459" s="825"/>
      <c r="AR459" s="825"/>
      <c r="AS459" s="825"/>
      <c r="AT459" s="825"/>
      <c r="AU459" s="825"/>
      <c r="AV459" s="825"/>
      <c r="AW459" s="825"/>
      <c r="AX459" s="825"/>
      <c r="AY459" s="273"/>
      <c r="AZ459" s="273"/>
      <c r="BA459" s="825"/>
      <c r="BB459" s="825"/>
      <c r="BC459" s="825"/>
      <c r="BD459" s="825"/>
      <c r="BE459" s="825"/>
      <c r="BF459" s="825"/>
      <c r="BG459" s="825"/>
      <c r="BH459" s="825"/>
      <c r="BI459" s="825"/>
      <c r="BJ459" s="825"/>
      <c r="BK459" s="825"/>
      <c r="BL459" s="825"/>
      <c r="BM459" s="825"/>
      <c r="BN459" s="825"/>
      <c r="BO459" s="825"/>
      <c r="BP459" s="825"/>
      <c r="BQ459" s="825"/>
      <c r="BR459" s="825"/>
      <c r="BS459" s="825"/>
      <c r="BT459" s="825"/>
      <c r="BU459" s="825"/>
      <c r="BV459" s="825"/>
      <c r="BW459" s="825"/>
      <c r="BX459" s="825"/>
      <c r="BY459" s="825"/>
      <c r="BZ459" s="825"/>
      <c r="CA459" s="825"/>
      <c r="CB459" s="825"/>
      <c r="CC459" s="825"/>
    </row>
    <row r="460" spans="1:81" s="548" customFormat="1" ht="33.799999999999997" customHeight="1" x14ac:dyDescent="0.25">
      <c r="A460" s="558"/>
      <c r="B460" s="672"/>
      <c r="C460" s="834"/>
      <c r="D460" s="1069"/>
      <c r="E460" s="1069"/>
      <c r="F460" s="836"/>
      <c r="G460" s="1089"/>
      <c r="H460" s="1110"/>
      <c r="I460" s="1059"/>
      <c r="J460" s="680"/>
      <c r="K460" s="1044"/>
      <c r="L460" s="1045"/>
      <c r="M460" s="645" t="s">
        <v>489</v>
      </c>
      <c r="N460" s="730" t="str">
        <f>N9</f>
        <v>Otorgamiento de titulos de propiedad en tierras de aptitud  A y C con cobertura de bosques</v>
      </c>
      <c r="O460" s="837" t="str">
        <f t="shared" si="12"/>
        <v>Biodiversidad y recursos naturales</v>
      </c>
      <c r="P460" s="546" t="e">
        <f>#REF!</f>
        <v>#REF!</v>
      </c>
      <c r="Q460" s="534" t="str">
        <f>AA11</f>
        <v>Fortalecer las capacidades de la población local para que conozcan el marco legal sobre los derechos sobre la tierra y los bosques</v>
      </c>
      <c r="R460" s="534" t="s">
        <v>525</v>
      </c>
      <c r="S460" s="546" t="s">
        <v>526</v>
      </c>
      <c r="T460" s="519" t="str">
        <f>Z11</f>
        <v>SBRN3</v>
      </c>
      <c r="U460" s="628"/>
      <c r="V460" s="478"/>
      <c r="W460" s="478"/>
      <c r="X460" s="273"/>
      <c r="Y460" s="825"/>
      <c r="Z460" s="825"/>
      <c r="AA460" s="825"/>
      <c r="AB460" s="825"/>
      <c r="AC460" s="825"/>
      <c r="AD460" s="825"/>
      <c r="AE460" s="825"/>
      <c r="AF460" s="825"/>
      <c r="AG460" s="825"/>
      <c r="AH460" s="825"/>
      <c r="AI460" s="825"/>
      <c r="AJ460" s="825"/>
      <c r="AK460" s="825"/>
      <c r="AL460" s="825"/>
      <c r="AM460" s="825"/>
      <c r="AN460" s="825"/>
      <c r="AO460" s="825"/>
      <c r="AP460" s="825"/>
      <c r="AQ460" s="825"/>
      <c r="AR460" s="825"/>
      <c r="AS460" s="825"/>
      <c r="AT460" s="825"/>
      <c r="AU460" s="825"/>
      <c r="AV460" s="825"/>
      <c r="AW460" s="825"/>
      <c r="AX460" s="825"/>
      <c r="AY460" s="273"/>
      <c r="AZ460" s="273"/>
      <c r="BA460" s="825"/>
      <c r="BB460" s="825"/>
      <c r="BC460" s="825"/>
      <c r="BD460" s="825"/>
      <c r="BE460" s="825"/>
      <c r="BF460" s="825"/>
      <c r="BG460" s="825"/>
      <c r="BH460" s="825"/>
      <c r="BI460" s="825"/>
      <c r="BJ460" s="825"/>
      <c r="BK460" s="825"/>
      <c r="BL460" s="825"/>
      <c r="BM460" s="825"/>
      <c r="BN460" s="825"/>
      <c r="BO460" s="825"/>
      <c r="BP460" s="825"/>
      <c r="BQ460" s="825"/>
      <c r="BR460" s="825"/>
      <c r="BS460" s="825"/>
      <c r="BT460" s="825"/>
      <c r="BU460" s="825"/>
      <c r="BV460" s="825"/>
      <c r="BW460" s="825"/>
      <c r="BX460" s="825"/>
      <c r="BY460" s="825"/>
      <c r="BZ460" s="825"/>
      <c r="CA460" s="825"/>
      <c r="CB460" s="825"/>
      <c r="CC460" s="825"/>
    </row>
    <row r="461" spans="1:81" s="548" customFormat="1" ht="60.8" customHeight="1" x14ac:dyDescent="0.25">
      <c r="A461" s="558"/>
      <c r="B461" s="672"/>
      <c r="C461" s="834"/>
      <c r="D461" s="1069"/>
      <c r="E461" s="1069"/>
      <c r="F461" s="836"/>
      <c r="G461" s="1089"/>
      <c r="H461" s="1110"/>
      <c r="I461" s="1059"/>
      <c r="J461" s="680"/>
      <c r="K461" s="1044"/>
      <c r="L461" s="1045"/>
      <c r="M461" s="645" t="s">
        <v>489</v>
      </c>
      <c r="N461" s="730" t="str">
        <f>N10</f>
        <v>Superposición de áreas a ser tituladas individualmente con áreas solicitadas por pueblos indígenas</v>
      </c>
      <c r="O461" s="837" t="str">
        <f t="shared" si="12"/>
        <v>Derechos de los pueblos indígenas</v>
      </c>
      <c r="P461" s="546" t="str">
        <f>Z6</f>
        <v>DPI</v>
      </c>
      <c r="Q461" s="534" t="str">
        <f>AD9</f>
        <v>Evaluación de superposiciones de solicitudes de titulación de predios rurales con solicitudes de pueblos indígenas (como parte del proceso de titulación de un predio rural individual)</v>
      </c>
      <c r="R461" s="534" t="s">
        <v>840</v>
      </c>
      <c r="S461" s="546" t="s">
        <v>542</v>
      </c>
      <c r="T461" s="519" t="str">
        <f>AC9</f>
        <v>SDPI1</v>
      </c>
      <c r="U461" s="628"/>
      <c r="V461" s="478"/>
      <c r="W461" s="478"/>
      <c r="X461" s="273"/>
      <c r="Y461" s="825"/>
      <c r="Z461" s="825"/>
      <c r="AA461" s="825"/>
      <c r="AB461" s="825"/>
      <c r="AC461" s="825"/>
      <c r="AD461" s="825"/>
      <c r="AE461" s="825"/>
      <c r="AF461" s="825"/>
      <c r="AG461" s="825"/>
      <c r="AH461" s="825"/>
      <c r="AI461" s="825"/>
      <c r="AJ461" s="825"/>
      <c r="AK461" s="825"/>
      <c r="AL461" s="825"/>
      <c r="AM461" s="825"/>
      <c r="AN461" s="825"/>
      <c r="AO461" s="825"/>
      <c r="AP461" s="825"/>
      <c r="AQ461" s="825"/>
      <c r="AR461" s="825"/>
      <c r="AS461" s="825"/>
      <c r="AT461" s="825"/>
      <c r="AU461" s="825"/>
      <c r="AV461" s="825"/>
      <c r="AW461" s="825"/>
      <c r="AX461" s="825"/>
      <c r="AY461" s="273"/>
      <c r="AZ461" s="273"/>
      <c r="BA461" s="825"/>
      <c r="BB461" s="825"/>
      <c r="BC461" s="825"/>
      <c r="BD461" s="825"/>
      <c r="BE461" s="825"/>
      <c r="BF461" s="825"/>
      <c r="BG461" s="825"/>
      <c r="BH461" s="825"/>
      <c r="BI461" s="825"/>
      <c r="BJ461" s="825"/>
      <c r="BK461" s="825"/>
      <c r="BL461" s="825"/>
      <c r="BM461" s="825"/>
      <c r="BN461" s="825"/>
      <c r="BO461" s="825"/>
      <c r="BP461" s="825"/>
      <c r="BQ461" s="825"/>
      <c r="BR461" s="825"/>
      <c r="BS461" s="825"/>
      <c r="BT461" s="825"/>
      <c r="BU461" s="825"/>
      <c r="BV461" s="825"/>
      <c r="BW461" s="825"/>
      <c r="BX461" s="825"/>
      <c r="BY461" s="825"/>
      <c r="BZ461" s="825"/>
      <c r="CA461" s="825"/>
      <c r="CB461" s="825"/>
      <c r="CC461" s="825"/>
    </row>
    <row r="462" spans="1:81" s="548" customFormat="1" ht="45.7" customHeight="1" x14ac:dyDescent="0.25">
      <c r="A462" s="558"/>
      <c r="B462" s="672"/>
      <c r="C462" s="834"/>
      <c r="D462" s="1069"/>
      <c r="E462" s="1069"/>
      <c r="F462" s="836"/>
      <c r="G462" s="1089"/>
      <c r="H462" s="1110"/>
      <c r="I462" s="1059"/>
      <c r="J462" s="680"/>
      <c r="K462" s="1044"/>
      <c r="L462" s="1045"/>
      <c r="M462" s="645" t="s">
        <v>489</v>
      </c>
      <c r="N462" s="730" t="str">
        <f>N10</f>
        <v>Superposición de áreas a ser tituladas individualmente con áreas solicitadas por pueblos indígenas</v>
      </c>
      <c r="O462" s="837" t="str">
        <f t="shared" si="12"/>
        <v>Derechos de los pueblos indígenas</v>
      </c>
      <c r="P462" s="546" t="str">
        <f>Z6</f>
        <v>DPI</v>
      </c>
      <c r="Q462" s="534" t="str">
        <f>AD10</f>
        <v xml:space="preserve">Análisis de demandas de titulación de tierras a favor de comunidades nativas a nivel departamental con organizaciones indígenas </v>
      </c>
      <c r="R462" s="534" t="s">
        <v>555</v>
      </c>
      <c r="S462" s="546" t="s">
        <v>542</v>
      </c>
      <c r="T462" s="519" t="str">
        <f>AC10</f>
        <v>SDPI2</v>
      </c>
      <c r="U462" s="628"/>
      <c r="V462" s="478"/>
      <c r="W462" s="478"/>
      <c r="X462" s="273"/>
      <c r="Y462" s="825"/>
      <c r="Z462" s="825"/>
      <c r="AA462" s="825"/>
      <c r="AB462" s="825"/>
      <c r="AC462" s="825"/>
      <c r="AD462" s="825"/>
      <c r="AE462" s="825"/>
      <c r="AF462" s="825"/>
      <c r="AG462" s="825"/>
      <c r="AH462" s="825"/>
      <c r="AI462" s="825"/>
      <c r="AJ462" s="825"/>
      <c r="AK462" s="825"/>
      <c r="AL462" s="825"/>
      <c r="AM462" s="825"/>
      <c r="AN462" s="825"/>
      <c r="AO462" s="825"/>
      <c r="AP462" s="825"/>
      <c r="AQ462" s="825"/>
      <c r="AR462" s="825"/>
      <c r="AS462" s="825"/>
      <c r="AT462" s="825"/>
      <c r="AU462" s="825"/>
      <c r="AV462" s="825"/>
      <c r="AW462" s="825"/>
      <c r="AX462" s="825"/>
      <c r="AY462" s="273"/>
      <c r="AZ462" s="273"/>
      <c r="BA462" s="825"/>
      <c r="BB462" s="825"/>
      <c r="BC462" s="825"/>
      <c r="BD462" s="825"/>
      <c r="BE462" s="825"/>
      <c r="BF462" s="825"/>
      <c r="BG462" s="825"/>
      <c r="BH462" s="825"/>
      <c r="BI462" s="825"/>
      <c r="BJ462" s="825"/>
      <c r="BK462" s="825"/>
      <c r="BL462" s="825"/>
      <c r="BM462" s="825"/>
      <c r="BN462" s="825"/>
      <c r="BO462" s="825"/>
      <c r="BP462" s="825"/>
      <c r="BQ462" s="825"/>
      <c r="BR462" s="825"/>
      <c r="BS462" s="825"/>
      <c r="BT462" s="825"/>
      <c r="BU462" s="825"/>
      <c r="BV462" s="825"/>
      <c r="BW462" s="825"/>
      <c r="BX462" s="825"/>
      <c r="BY462" s="825"/>
      <c r="BZ462" s="825"/>
      <c r="CA462" s="825"/>
      <c r="CB462" s="825"/>
      <c r="CC462" s="825"/>
    </row>
    <row r="463" spans="1:81" s="548" customFormat="1" ht="33.799999999999997" customHeight="1" x14ac:dyDescent="0.25">
      <c r="A463" s="558"/>
      <c r="B463" s="672"/>
      <c r="C463" s="834"/>
      <c r="D463" s="1069"/>
      <c r="E463" s="1069"/>
      <c r="F463" s="836"/>
      <c r="G463" s="1089"/>
      <c r="H463" s="1110"/>
      <c r="I463" s="1059"/>
      <c r="J463" s="680"/>
      <c r="K463" s="1044"/>
      <c r="L463" s="1045"/>
      <c r="M463" s="645" t="s">
        <v>489</v>
      </c>
      <c r="N463" s="730" t="str">
        <f>N13</f>
        <v xml:space="preserve">Tráfico de títulos de propiedad y contratos de cesión en uso </v>
      </c>
      <c r="O463" s="837" t="str">
        <f t="shared" si="12"/>
        <v>Corrupción</v>
      </c>
      <c r="P463" s="546" t="e">
        <f>#REF!</f>
        <v>#REF!</v>
      </c>
      <c r="Q463" s="534" t="str">
        <f>AG9</f>
        <v xml:space="preserve">Transparencia en procesos de formalización de la propiedad rural y cesión en uso </v>
      </c>
      <c r="R463" s="534" t="s">
        <v>566</v>
      </c>
      <c r="S463" s="546" t="s">
        <v>526</v>
      </c>
      <c r="T463" s="519" t="str">
        <f>AF9</f>
        <v>SCR1</v>
      </c>
      <c r="U463" s="628"/>
      <c r="V463" s="478"/>
      <c r="W463" s="478"/>
      <c r="X463" s="273"/>
      <c r="Y463" s="825"/>
      <c r="Z463" s="825"/>
      <c r="AA463" s="825"/>
      <c r="AB463" s="825"/>
      <c r="AC463" s="825"/>
      <c r="AD463" s="825"/>
      <c r="AE463" s="825"/>
      <c r="AF463" s="825"/>
      <c r="AG463" s="825"/>
      <c r="AH463" s="825"/>
      <c r="AI463" s="825"/>
      <c r="AJ463" s="825"/>
      <c r="AK463" s="825"/>
      <c r="AL463" s="825"/>
      <c r="AM463" s="825"/>
      <c r="AN463" s="825"/>
      <c r="AO463" s="825"/>
      <c r="AP463" s="825"/>
      <c r="AQ463" s="825"/>
      <c r="AR463" s="825"/>
      <c r="AS463" s="825"/>
      <c r="AT463" s="825"/>
      <c r="AU463" s="825"/>
      <c r="AV463" s="825"/>
      <c r="AW463" s="825"/>
      <c r="AX463" s="825"/>
      <c r="AY463" s="273"/>
      <c r="AZ463" s="273"/>
      <c r="BA463" s="825"/>
      <c r="BB463" s="825"/>
      <c r="BC463" s="825"/>
      <c r="BD463" s="825"/>
      <c r="BE463" s="825"/>
      <c r="BF463" s="825"/>
      <c r="BG463" s="825"/>
      <c r="BH463" s="825"/>
      <c r="BI463" s="825"/>
      <c r="BJ463" s="825"/>
      <c r="BK463" s="825"/>
      <c r="BL463" s="825"/>
      <c r="BM463" s="825"/>
      <c r="BN463" s="825"/>
      <c r="BO463" s="825"/>
      <c r="BP463" s="825"/>
      <c r="BQ463" s="825"/>
      <c r="BR463" s="825"/>
      <c r="BS463" s="825"/>
      <c r="BT463" s="825"/>
      <c r="BU463" s="825"/>
      <c r="BV463" s="825"/>
      <c r="BW463" s="825"/>
      <c r="BX463" s="825"/>
      <c r="BY463" s="825"/>
      <c r="BZ463" s="825"/>
      <c r="CA463" s="825"/>
      <c r="CB463" s="825"/>
      <c r="CC463" s="825"/>
    </row>
    <row r="464" spans="1:81" s="548" customFormat="1" ht="33.799999999999997" customHeight="1" x14ac:dyDescent="0.25">
      <c r="A464" s="558"/>
      <c r="B464" s="672"/>
      <c r="C464" s="834"/>
      <c r="D464" s="1069"/>
      <c r="E464" s="1069"/>
      <c r="F464" s="836"/>
      <c r="G464" s="1089"/>
      <c r="H464" s="1110"/>
      <c r="I464" s="1059"/>
      <c r="J464" s="680"/>
      <c r="K464" s="1044"/>
      <c r="L464" s="1045"/>
      <c r="M464" s="645" t="s">
        <v>489</v>
      </c>
      <c r="N464" s="730" t="str">
        <f>N14</f>
        <v>Exclusión de mujeres propietarias en títulos de propiedad o contratos de cesión en uso</v>
      </c>
      <c r="O464" s="837" t="str">
        <f t="shared" si="12"/>
        <v>Género</v>
      </c>
      <c r="P464" s="546" t="str">
        <f>AC6</f>
        <v>GN</v>
      </c>
      <c r="Q464" s="534" t="str">
        <f>AJ9</f>
        <v xml:space="preserve">Incorporación de cónyuges o convivientes en títulos de propiedad y contratos de cesión en uso </v>
      </c>
      <c r="R464" s="534" t="s">
        <v>576</v>
      </c>
      <c r="S464" s="546" t="s">
        <v>507</v>
      </c>
      <c r="T464" s="519" t="str">
        <f>AI9</f>
        <v>SGN1</v>
      </c>
      <c r="U464" s="628"/>
      <c r="V464" s="478"/>
      <c r="W464" s="478"/>
      <c r="X464" s="273"/>
      <c r="Y464" s="825"/>
      <c r="Z464" s="825"/>
      <c r="AA464" s="825"/>
      <c r="AB464" s="825"/>
      <c r="AC464" s="825"/>
      <c r="AD464" s="825"/>
      <c r="AE464" s="825"/>
      <c r="AF464" s="825"/>
      <c r="AG464" s="825"/>
      <c r="AH464" s="825"/>
      <c r="AI464" s="825"/>
      <c r="AJ464" s="825"/>
      <c r="AK464" s="825"/>
      <c r="AL464" s="825"/>
      <c r="AM464" s="825"/>
      <c r="AN464" s="825"/>
      <c r="AO464" s="825"/>
      <c r="AP464" s="825"/>
      <c r="AQ464" s="825"/>
      <c r="AR464" s="825"/>
      <c r="AS464" s="825"/>
      <c r="AT464" s="825"/>
      <c r="AU464" s="825"/>
      <c r="AV464" s="825"/>
      <c r="AW464" s="825"/>
      <c r="AX464" s="825"/>
      <c r="AY464" s="273"/>
      <c r="AZ464" s="273"/>
      <c r="BA464" s="825"/>
      <c r="BB464" s="825"/>
      <c r="BC464" s="825"/>
      <c r="BD464" s="825"/>
      <c r="BE464" s="825"/>
      <c r="BF464" s="825"/>
      <c r="BG464" s="825"/>
      <c r="BH464" s="825"/>
      <c r="BI464" s="825"/>
      <c r="BJ464" s="825"/>
      <c r="BK464" s="825"/>
      <c r="BL464" s="825"/>
      <c r="BM464" s="825"/>
      <c r="BN464" s="825"/>
      <c r="BO464" s="825"/>
      <c r="BP464" s="825"/>
      <c r="BQ464" s="825"/>
      <c r="BR464" s="825"/>
      <c r="BS464" s="825"/>
      <c r="BT464" s="825"/>
      <c r="BU464" s="825"/>
      <c r="BV464" s="825"/>
      <c r="BW464" s="825"/>
      <c r="BX464" s="825"/>
      <c r="BY464" s="825"/>
      <c r="BZ464" s="825"/>
      <c r="CA464" s="825"/>
      <c r="CB464" s="825"/>
      <c r="CC464" s="825"/>
    </row>
    <row r="465" spans="1:81" s="548" customFormat="1" ht="42.8" customHeight="1" x14ac:dyDescent="0.25">
      <c r="A465" s="558"/>
      <c r="B465" s="672"/>
      <c r="C465" s="834"/>
      <c r="D465" s="1069"/>
      <c r="E465" s="1069"/>
      <c r="F465" s="836"/>
      <c r="G465" s="1089"/>
      <c r="H465" s="1110"/>
      <c r="I465" s="1059"/>
      <c r="J465" s="680"/>
      <c r="K465" s="1044"/>
      <c r="L465" s="1045"/>
      <c r="M465" s="645" t="s">
        <v>489</v>
      </c>
      <c r="N465" s="730" t="str">
        <f>N15</f>
        <v>Otorgamiento de derechos sobre la tierra / bosques en zonas con patrimonio cultural</v>
      </c>
      <c r="O465" s="837" t="str">
        <f t="shared" si="12"/>
        <v>Patrimonio cultural</v>
      </c>
      <c r="P465" s="546" t="str">
        <f>AI6</f>
        <v>PC</v>
      </c>
      <c r="Q465" s="534" t="str">
        <f>AV9</f>
        <v>Evaluación de superposición del área solicitada para titulación de predios rurales con áreas determinadas como patrimonio cultural</v>
      </c>
      <c r="R465" s="534" t="s">
        <v>586</v>
      </c>
      <c r="S465" s="546" t="s">
        <v>542</v>
      </c>
      <c r="T465" s="519" t="str">
        <f>AU9</f>
        <v>SPC1</v>
      </c>
      <c r="U465" s="628"/>
      <c r="V465" s="478"/>
      <c r="W465" s="478"/>
      <c r="X465" s="273"/>
      <c r="Y465" s="825"/>
      <c r="Z465" s="825"/>
      <c r="AA465" s="825"/>
      <c r="AB465" s="825"/>
      <c r="AC465" s="825"/>
      <c r="AD465" s="825"/>
      <c r="AE465" s="825"/>
      <c r="AF465" s="825"/>
      <c r="AG465" s="825"/>
      <c r="AH465" s="825"/>
      <c r="AI465" s="825"/>
      <c r="AJ465" s="825"/>
      <c r="AK465" s="825"/>
      <c r="AL465" s="825"/>
      <c r="AM465" s="825"/>
      <c r="AN465" s="825"/>
      <c r="AO465" s="825"/>
      <c r="AP465" s="825"/>
      <c r="AQ465" s="825"/>
      <c r="AR465" s="825"/>
      <c r="AS465" s="825"/>
      <c r="AT465" s="825"/>
      <c r="AU465" s="825"/>
      <c r="AV465" s="825"/>
      <c r="AW465" s="825"/>
      <c r="AX465" s="825"/>
      <c r="AY465" s="273"/>
      <c r="AZ465" s="273"/>
      <c r="BA465" s="825"/>
      <c r="BB465" s="825"/>
      <c r="BC465" s="825"/>
      <c r="BD465" s="825"/>
      <c r="BE465" s="825"/>
      <c r="BF465" s="825"/>
      <c r="BG465" s="825"/>
      <c r="BH465" s="825"/>
      <c r="BI465" s="825"/>
      <c r="BJ465" s="825"/>
      <c r="BK465" s="825"/>
      <c r="BL465" s="825"/>
      <c r="BM465" s="825"/>
      <c r="BN465" s="825"/>
      <c r="BO465" s="825"/>
      <c r="BP465" s="825"/>
      <c r="BQ465" s="825"/>
      <c r="BR465" s="825"/>
      <c r="BS465" s="825"/>
      <c r="BT465" s="825"/>
      <c r="BU465" s="825"/>
      <c r="BV465" s="825"/>
      <c r="BW465" s="825"/>
      <c r="BX465" s="825"/>
      <c r="BY465" s="825"/>
      <c r="BZ465" s="825"/>
      <c r="CA465" s="825"/>
      <c r="CB465" s="825"/>
      <c r="CC465" s="825"/>
    </row>
    <row r="466" spans="1:81" ht="89.35" customHeight="1" x14ac:dyDescent="0.25">
      <c r="A466" s="558"/>
      <c r="B466" s="672" t="s">
        <v>897</v>
      </c>
      <c r="C466" s="834" t="str">
        <f>'8. BASE  CONSOLIDADA'!E161</f>
        <v>4.2.2</v>
      </c>
      <c r="D466" s="1069" t="str">
        <f>'8. BASE  CONSOLIDADA'!F161</f>
        <v xml:space="preserve">Asistencia técnica para el mejoramiento de pastos y ganadería </v>
      </c>
      <c r="E466" s="1069" t="str">
        <f>'8. BASE  CONSOLIDADA'!G161</f>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F466" s="836" t="str">
        <f>'8. BASE  CONSOLIDADA'!C161</f>
        <v>Predios privados para ganadería de leche y carne</v>
      </c>
      <c r="G466" s="1019" t="str">
        <f>VLOOKUP($C466,'8. BASE  CONSOLIDADA'!$E$7:$AS$308,13,FALSE)</f>
        <v>Ganaderos asistidos</v>
      </c>
      <c r="H466" s="1109">
        <f>VLOOKUP($C466,'8. BASE  CONSOLIDADA'!$E$7:$AS$308,15,FALSE)</f>
        <v>1214</v>
      </c>
      <c r="I466" s="1058">
        <f>VLOOKUP(C466,'8. BASE  CONSOLIDADA'!$E$7:$AS$308,20,FALSE)</f>
        <v>679840</v>
      </c>
      <c r="J466" s="678">
        <f>I466*$J$6</f>
        <v>462.29120000000006</v>
      </c>
      <c r="K466" s="1020"/>
      <c r="L466" s="1045"/>
      <c r="M466" s="645" t="s">
        <v>489</v>
      </c>
      <c r="N466" s="730" t="str">
        <f>N16</f>
        <v>Exclusión de mujeres rurales en programas de asistencia técnica</v>
      </c>
      <c r="O466" s="837" t="str">
        <f t="shared" si="12"/>
        <v>Género</v>
      </c>
      <c r="P466" s="546" t="str">
        <f>AC6</f>
        <v>GN</v>
      </c>
      <c r="Q466" s="534" t="str">
        <f>AJ10</f>
        <v>Programas de asistencia técnica y proyectos específicos para mujeres rurales y mujeres indígenas</v>
      </c>
      <c r="R466" s="534" t="s">
        <v>596</v>
      </c>
      <c r="S466" s="546" t="s">
        <v>507</v>
      </c>
      <c r="T466" s="519" t="str">
        <f>AI10</f>
        <v>SGN2</v>
      </c>
      <c r="U466" s="628"/>
      <c r="V466" s="478"/>
      <c r="W466" s="478"/>
      <c r="X466" s="273"/>
      <c r="Y466" s="825"/>
      <c r="Z466" s="825"/>
      <c r="AA466" s="825"/>
      <c r="AB466" s="825"/>
      <c r="AC466" s="825"/>
      <c r="AD466" s="825"/>
      <c r="AE466" s="825"/>
      <c r="AF466" s="825"/>
      <c r="AG466" s="825"/>
      <c r="AH466" s="825"/>
      <c r="AI466" s="825"/>
      <c r="AJ466" s="825"/>
      <c r="AK466" s="825"/>
      <c r="AL466" s="825"/>
      <c r="AM466" s="825"/>
      <c r="AN466" s="825"/>
      <c r="AO466" s="825"/>
      <c r="AP466" s="825"/>
      <c r="AQ466" s="825"/>
      <c r="AR466" s="825"/>
      <c r="AS466" s="825"/>
      <c r="AT466" s="825"/>
      <c r="AU466" s="825"/>
      <c r="AV466" s="825"/>
      <c r="AW466" s="825"/>
      <c r="AX466" s="825"/>
      <c r="BA466" s="825"/>
      <c r="BB466" s="825"/>
      <c r="BC466" s="825"/>
      <c r="BD466" s="825"/>
      <c r="BE466" s="825"/>
      <c r="BF466" s="825"/>
      <c r="BG466" s="825"/>
      <c r="BH466" s="825"/>
      <c r="BI466" s="825"/>
      <c r="BJ466" s="825"/>
      <c r="BK466" s="825"/>
      <c r="BL466" s="825"/>
      <c r="BM466" s="825"/>
      <c r="BN466" s="825"/>
      <c r="BO466" s="825"/>
      <c r="BP466" s="825"/>
      <c r="BQ466" s="825"/>
      <c r="BR466" s="825"/>
      <c r="BS466" s="825"/>
      <c r="BT466" s="825"/>
      <c r="BU466" s="825"/>
      <c r="BV466" s="825"/>
      <c r="BW466" s="825"/>
      <c r="BX466" s="825"/>
      <c r="BY466" s="825"/>
      <c r="BZ466" s="825"/>
      <c r="CA466" s="825"/>
      <c r="CB466" s="825"/>
      <c r="CC466" s="825"/>
    </row>
    <row r="467" spans="1:81" ht="32.950000000000003" customHeight="1" x14ac:dyDescent="0.25">
      <c r="A467" s="558"/>
      <c r="B467" s="672" t="s">
        <v>897</v>
      </c>
      <c r="C467" s="834" t="str">
        <f>'8. BASE  CONSOLIDADA'!E163</f>
        <v>4.2.4</v>
      </c>
      <c r="D467" s="1069" t="str">
        <f>'8. BASE  CONSOLIDADA'!F163</f>
        <v>Mejoramiento genético de ganado bovino</v>
      </c>
      <c r="E467" s="1069" t="str">
        <f>'8. BASE  CONSOLIDADA'!G163</f>
        <v>Reactivación  , implementación y gestión de las postas de inseminación artificial, importación de material genético (pajillas de semen), capacitación y entrenamiento a inseminadores, transferencia de embriones.</v>
      </c>
      <c r="F467" s="836" t="str">
        <f>'8. BASE  CONSOLIDADA'!C163</f>
        <v>Predios privados para ganadería de leche y carne</v>
      </c>
      <c r="G467" s="1019" t="str">
        <f>VLOOKUP($C467,'8. BASE  CONSOLIDADA'!$E$7:$AS$308,13,FALSE)</f>
        <v>Postas activas y operativas</v>
      </c>
      <c r="H467" s="1109">
        <f>VLOOKUP($C467,'8. BASE  CONSOLIDADA'!$E$7:$AS$308,15,FALSE)</f>
        <v>3</v>
      </c>
      <c r="I467" s="1058">
        <f>VLOOKUP(C467,'8. BASE  CONSOLIDADA'!$E$7:$AS$308,20,FALSE)</f>
        <v>822000</v>
      </c>
      <c r="J467" s="678">
        <f>I467*$J$6</f>
        <v>558.96</v>
      </c>
      <c r="K467" s="1020"/>
      <c r="L467" s="1045"/>
      <c r="M467" s="645" t="s">
        <v>489</v>
      </c>
      <c r="N467" s="730" t="str">
        <f>N16</f>
        <v>Exclusión de mujeres rurales en programas de asistencia técnica</v>
      </c>
      <c r="O467" s="837" t="str">
        <f t="shared" si="12"/>
        <v>Género</v>
      </c>
      <c r="P467" s="546" t="str">
        <f>AC6</f>
        <v>GN</v>
      </c>
      <c r="Q467" s="534" t="str">
        <f>AJ11</f>
        <v xml:space="preserve">Cuotas de género y medición de participación efectiva de mujeres rurales </v>
      </c>
      <c r="R467" s="534" t="s">
        <v>689</v>
      </c>
      <c r="S467" s="546" t="s">
        <v>507</v>
      </c>
      <c r="T467" s="519" t="str">
        <f>AI11</f>
        <v>SGN3</v>
      </c>
      <c r="U467" s="628"/>
      <c r="V467" s="478"/>
      <c r="W467" s="478"/>
      <c r="X467" s="273"/>
      <c r="Y467" s="825"/>
      <c r="Z467" s="825"/>
      <c r="AA467" s="825"/>
      <c r="AB467" s="825"/>
      <c r="AC467" s="825"/>
      <c r="AD467" s="825"/>
      <c r="AE467" s="825"/>
      <c r="AF467" s="825"/>
      <c r="AG467" s="825"/>
      <c r="AH467" s="825"/>
      <c r="AI467" s="825"/>
      <c r="AJ467" s="825"/>
      <c r="AK467" s="825"/>
      <c r="AL467" s="825"/>
      <c r="AM467" s="825"/>
      <c r="AN467" s="825"/>
      <c r="AO467" s="825"/>
      <c r="AP467" s="825"/>
      <c r="AQ467" s="825"/>
      <c r="AR467" s="825"/>
      <c r="AS467" s="825"/>
      <c r="AT467" s="825"/>
      <c r="AU467" s="825"/>
      <c r="AV467" s="825"/>
      <c r="AW467" s="825"/>
      <c r="AX467" s="825"/>
      <c r="BA467" s="825"/>
      <c r="BB467" s="825"/>
      <c r="BC467" s="825"/>
      <c r="BD467" s="825"/>
      <c r="BE467" s="825"/>
      <c r="BF467" s="825"/>
      <c r="BG467" s="825"/>
      <c r="BH467" s="825"/>
      <c r="BI467" s="825"/>
      <c r="BJ467" s="825"/>
      <c r="BK467" s="825"/>
      <c r="BL467" s="825"/>
      <c r="BM467" s="825"/>
      <c r="BN467" s="825"/>
      <c r="BO467" s="825"/>
      <c r="BP467" s="825"/>
      <c r="BQ467" s="825"/>
      <c r="BR467" s="825"/>
      <c r="BS467" s="825"/>
      <c r="BT467" s="825"/>
      <c r="BU467" s="825"/>
      <c r="BV467" s="825"/>
      <c r="BW467" s="825"/>
      <c r="BX467" s="825"/>
      <c r="BY467" s="825"/>
      <c r="BZ467" s="825"/>
      <c r="CA467" s="825"/>
      <c r="CB467" s="825"/>
      <c r="CC467" s="825"/>
    </row>
    <row r="468" spans="1:81" s="548" customFormat="1" ht="43.5" customHeight="1" x14ac:dyDescent="0.25">
      <c r="A468" s="558"/>
      <c r="B468" s="672"/>
      <c r="C468" s="834"/>
      <c r="D468" s="1069"/>
      <c r="E468" s="1069"/>
      <c r="F468" s="836"/>
      <c r="G468" s="1089"/>
      <c r="H468" s="1110"/>
      <c r="I468" s="1059"/>
      <c r="J468" s="680"/>
      <c r="K468" s="1044"/>
      <c r="L468" s="1045"/>
      <c r="M468" s="645" t="s">
        <v>489</v>
      </c>
      <c r="N468" s="730" t="str">
        <f>N16</f>
        <v>Exclusión de mujeres rurales en programas de asistencia técnica</v>
      </c>
      <c r="O468" s="837" t="str">
        <f t="shared" si="12"/>
        <v>Género</v>
      </c>
      <c r="P468" s="546" t="str">
        <f>AC6</f>
        <v>GN</v>
      </c>
      <c r="Q468" s="534" t="str">
        <f>AJ10</f>
        <v>Programas de asistencia técnica y proyectos específicos para mujeres rurales y mujeres indígenas</v>
      </c>
      <c r="R468" s="534" t="s">
        <v>596</v>
      </c>
      <c r="S468" s="546" t="s">
        <v>507</v>
      </c>
      <c r="T468" s="519" t="str">
        <f>AI10</f>
        <v>SGN2</v>
      </c>
      <c r="U468" s="628"/>
      <c r="V468" s="478"/>
      <c r="W468" s="478"/>
      <c r="X468" s="273"/>
      <c r="Y468" s="825"/>
      <c r="Z468" s="825"/>
      <c r="AA468" s="825"/>
      <c r="AB468" s="825"/>
      <c r="AC468" s="825"/>
      <c r="AD468" s="825"/>
      <c r="AE468" s="825"/>
      <c r="AF468" s="825"/>
      <c r="AG468" s="825"/>
      <c r="AH468" s="825"/>
      <c r="AI468" s="825"/>
      <c r="AJ468" s="825"/>
      <c r="AK468" s="825"/>
      <c r="AL468" s="825"/>
      <c r="AM468" s="825"/>
      <c r="AN468" s="825"/>
      <c r="AO468" s="825"/>
      <c r="AP468" s="825"/>
      <c r="AQ468" s="825"/>
      <c r="AR468" s="825"/>
      <c r="AS468" s="825"/>
      <c r="AT468" s="825"/>
      <c r="AU468" s="825"/>
      <c r="AV468" s="825"/>
      <c r="AW468" s="825"/>
      <c r="AX468" s="825"/>
      <c r="AY468" s="273"/>
      <c r="AZ468" s="273"/>
      <c r="BA468" s="825"/>
      <c r="BB468" s="825"/>
      <c r="BC468" s="825"/>
      <c r="BD468" s="825"/>
      <c r="BE468" s="825"/>
      <c r="BF468" s="825"/>
      <c r="BG468" s="825"/>
      <c r="BH468" s="825"/>
      <c r="BI468" s="825"/>
      <c r="BJ468" s="825"/>
      <c r="BK468" s="825"/>
      <c r="BL468" s="825"/>
      <c r="BM468" s="825"/>
      <c r="BN468" s="825"/>
      <c r="BO468" s="825"/>
      <c r="BP468" s="825"/>
      <c r="BQ468" s="825"/>
      <c r="BR468" s="825"/>
      <c r="BS468" s="825"/>
      <c r="BT468" s="825"/>
      <c r="BU468" s="825"/>
      <c r="BV468" s="825"/>
      <c r="BW468" s="825"/>
      <c r="BX468" s="825"/>
      <c r="BY468" s="825"/>
      <c r="BZ468" s="825"/>
      <c r="CA468" s="825"/>
      <c r="CB468" s="825"/>
      <c r="CC468" s="825"/>
    </row>
    <row r="469" spans="1:81" ht="42.8" customHeight="1" x14ac:dyDescent="0.25">
      <c r="A469" s="558"/>
      <c r="B469" s="672" t="s">
        <v>897</v>
      </c>
      <c r="C469" s="1554" t="str">
        <f>'8. BASE  CONSOLIDADA'!E164</f>
        <v>4.2.5</v>
      </c>
      <c r="D469" s="1535" t="str">
        <f>'8. BASE  CONSOLIDADA'!F164</f>
        <v>Programa de acceso al financiamiento agropecuario condicionado</v>
      </c>
      <c r="E469" s="1535" t="str">
        <f>'8. BASE  CONSOLIDADA'!G164</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v>
      </c>
      <c r="F469" s="1554" t="str">
        <f>'8. BASE  CONSOLIDADA'!C164</f>
        <v>Predios privados para ganadería de leche y carne</v>
      </c>
      <c r="G469" s="1554" t="str">
        <f>VLOOKUP($C469,'8. BASE  CONSOLIDADA'!$E$7:$AS$308,13,FALSE)</f>
        <v>Créditos otorgados</v>
      </c>
      <c r="H469" s="1554">
        <f>VLOOKUP($C469,'8. BASE  CONSOLIDADA'!$E$7:$AS$308,15,FALSE)</f>
        <v>364.2</v>
      </c>
      <c r="I469" s="1554">
        <f>VLOOKUP(C469,'8. BASE  CONSOLIDADA'!$E$7:$AS$308,20,FALSE)</f>
        <v>3915150</v>
      </c>
      <c r="J469" s="1554">
        <f>I469*$J$6</f>
        <v>2662.3020000000001</v>
      </c>
      <c r="K469" s="1020"/>
      <c r="L469" s="1045"/>
      <c r="M469" s="645" t="s">
        <v>489</v>
      </c>
      <c r="N469" s="740" t="str">
        <f>N25</f>
        <v>Deforestación de nuevas áreas para implementar créditos o incentivos otorgados</v>
      </c>
      <c r="O469" s="837" t="str">
        <f t="shared" si="12"/>
        <v>Biodiversidad y recursos naturales</v>
      </c>
      <c r="P469" s="546" t="e">
        <f>#REF!</f>
        <v>#REF!</v>
      </c>
      <c r="Q469" s="534" t="str">
        <f>AA12</f>
        <v xml:space="preserve">Ordenamiento agroterritorial como estrategia para ordenar y promover el desarrollo agrario regional </v>
      </c>
      <c r="R469" s="534" t="s">
        <v>656</v>
      </c>
      <c r="S469" s="546" t="s">
        <v>492</v>
      </c>
      <c r="T469" s="519" t="str">
        <f>Z12</f>
        <v>SBRN4</v>
      </c>
      <c r="U469" s="628"/>
      <c r="V469" s="478"/>
      <c r="W469" s="478"/>
      <c r="X469" s="273"/>
      <c r="Y469" s="825"/>
      <c r="Z469" s="825"/>
      <c r="AA469" s="825"/>
      <c r="AB469" s="825"/>
      <c r="AC469" s="825"/>
      <c r="AD469" s="825"/>
      <c r="AE469" s="825"/>
      <c r="AF469" s="825"/>
      <c r="AG469" s="825"/>
      <c r="AH469" s="825"/>
      <c r="AI469" s="825"/>
      <c r="AJ469" s="825"/>
      <c r="AK469" s="825"/>
      <c r="AL469" s="825"/>
      <c r="AM469" s="825"/>
      <c r="AN469" s="825"/>
      <c r="AO469" s="825"/>
      <c r="AP469" s="825"/>
      <c r="AQ469" s="825"/>
      <c r="AR469" s="825"/>
      <c r="AS469" s="825"/>
      <c r="AT469" s="825"/>
      <c r="AU469" s="825"/>
      <c r="AV469" s="825"/>
      <c r="AW469" s="825"/>
      <c r="AX469" s="825"/>
      <c r="BA469" s="825"/>
      <c r="BB469" s="825"/>
      <c r="BC469" s="825"/>
      <c r="BD469" s="825"/>
      <c r="BE469" s="825"/>
      <c r="BF469" s="825"/>
      <c r="BG469" s="825"/>
      <c r="BH469" s="825"/>
      <c r="BI469" s="825"/>
      <c r="BJ469" s="825"/>
      <c r="BK469" s="825"/>
      <c r="BL469" s="825"/>
      <c r="BM469" s="825"/>
      <c r="BN469" s="825"/>
      <c r="BO469" s="825"/>
      <c r="BP469" s="825"/>
      <c r="BQ469" s="825"/>
      <c r="BR469" s="825"/>
      <c r="BS469" s="825"/>
      <c r="BT469" s="825"/>
      <c r="BU469" s="825"/>
      <c r="BV469" s="825"/>
      <c r="BW469" s="825"/>
      <c r="BX469" s="825"/>
      <c r="BY469" s="825"/>
      <c r="BZ469" s="825"/>
      <c r="CA469" s="825"/>
      <c r="CB469" s="825"/>
      <c r="CC469" s="825"/>
    </row>
    <row r="470" spans="1:81" s="548" customFormat="1" ht="32.950000000000003" customHeight="1" x14ac:dyDescent="0.25">
      <c r="A470" s="558"/>
      <c r="B470" s="672"/>
      <c r="C470" s="1555"/>
      <c r="D470" s="1536"/>
      <c r="E470" s="1536"/>
      <c r="F470" s="1555"/>
      <c r="G470" s="1555"/>
      <c r="H470" s="1555"/>
      <c r="I470" s="1555"/>
      <c r="J470" s="1555"/>
      <c r="K470" s="1024">
        <v>100</v>
      </c>
      <c r="L470" s="1024">
        <f>K470*H469</f>
        <v>36420</v>
      </c>
      <c r="M470" s="739" t="s">
        <v>672</v>
      </c>
      <c r="N470" s="740" t="str">
        <f>N25</f>
        <v>Deforestación de nuevas áreas para implementar créditos o incentivos otorgados</v>
      </c>
      <c r="O470" s="837" t="str">
        <f t="shared" si="12"/>
        <v>Biodiversidad y recursos naturales</v>
      </c>
      <c r="P470" s="546" t="e">
        <f>#REF!</f>
        <v>#REF!</v>
      </c>
      <c r="Q470" s="534" t="str">
        <f>AA14</f>
        <v>Desarrollo de incentivos financieros y no financieros condicionados con cláusulas de no deforestación</v>
      </c>
      <c r="R470" s="534" t="s">
        <v>673</v>
      </c>
      <c r="S470" s="534" t="s">
        <v>526</v>
      </c>
      <c r="T470" s="519" t="str">
        <f>Z14</f>
        <v>SBRN6</v>
      </c>
      <c r="U470" s="628"/>
      <c r="V470" s="478"/>
      <c r="W470" s="478"/>
      <c r="X470" s="273"/>
      <c r="Y470" s="825"/>
      <c r="Z470" s="825"/>
      <c r="AA470" s="825"/>
      <c r="AB470" s="825"/>
      <c r="AC470" s="825"/>
      <c r="AD470" s="825"/>
      <c r="AE470" s="825"/>
      <c r="AF470" s="825"/>
      <c r="AG470" s="825"/>
      <c r="AH470" s="825"/>
      <c r="AI470" s="825"/>
      <c r="AJ470" s="825"/>
      <c r="AK470" s="825"/>
      <c r="AL470" s="825"/>
      <c r="AM470" s="825"/>
      <c r="AN470" s="825"/>
      <c r="AO470" s="825"/>
      <c r="AP470" s="825"/>
      <c r="AQ470" s="825"/>
      <c r="AR470" s="825"/>
      <c r="AS470" s="825"/>
      <c r="AT470" s="825"/>
      <c r="AU470" s="825"/>
      <c r="AV470" s="825"/>
      <c r="AW470" s="825"/>
      <c r="AX470" s="825"/>
      <c r="AY470" s="273"/>
      <c r="AZ470" s="273"/>
      <c r="BA470" s="825"/>
      <c r="BB470" s="825"/>
      <c r="BC470" s="825"/>
      <c r="BD470" s="825"/>
      <c r="BE470" s="825"/>
      <c r="BF470" s="825"/>
      <c r="BG470" s="825"/>
      <c r="BH470" s="825"/>
      <c r="BI470" s="825"/>
      <c r="BJ470" s="825"/>
      <c r="BK470" s="825"/>
      <c r="BL470" s="825"/>
      <c r="BM470" s="825"/>
      <c r="BN470" s="825"/>
      <c r="BO470" s="825"/>
      <c r="BP470" s="825"/>
      <c r="BQ470" s="825"/>
      <c r="BR470" s="825"/>
      <c r="BS470" s="825"/>
      <c r="BT470" s="825"/>
      <c r="BU470" s="825"/>
      <c r="BV470" s="825"/>
      <c r="BW470" s="825"/>
      <c r="BX470" s="825"/>
      <c r="BY470" s="825"/>
      <c r="BZ470" s="825"/>
      <c r="CA470" s="825"/>
      <c r="CB470" s="825"/>
      <c r="CC470" s="825"/>
    </row>
    <row r="471" spans="1:81" s="548" customFormat="1" ht="32.950000000000003" customHeight="1" x14ac:dyDescent="0.25">
      <c r="A471" s="558"/>
      <c r="B471" s="672"/>
      <c r="C471" s="1555"/>
      <c r="D471" s="1536"/>
      <c r="E471" s="1536"/>
      <c r="F471" s="1555"/>
      <c r="G471" s="1555"/>
      <c r="H471" s="1555"/>
      <c r="I471" s="1555"/>
      <c r="J471" s="1555"/>
      <c r="K471" s="1044"/>
      <c r="L471" s="1045"/>
      <c r="M471" s="645" t="s">
        <v>489</v>
      </c>
      <c r="N471" s="724" t="str">
        <f>N17</f>
        <v>Especies exóticas o invasoras en bosques colindantes</v>
      </c>
      <c r="O471" s="837" t="str">
        <f t="shared" si="12"/>
        <v>Biodiversidad y recursos naturales</v>
      </c>
      <c r="P471" s="546" t="e">
        <f>#REF!</f>
        <v>#REF!</v>
      </c>
      <c r="Q471" s="534" t="str">
        <f>AA16</f>
        <v>Promoción del cultivo de especies nativas</v>
      </c>
      <c r="R471" s="534" t="s">
        <v>834</v>
      </c>
      <c r="S471" s="546" t="s">
        <v>492</v>
      </c>
      <c r="T471" s="519" t="str">
        <f>Z16</f>
        <v>SBRN8</v>
      </c>
      <c r="U471" s="628"/>
      <c r="V471" s="478"/>
      <c r="W471" s="478"/>
      <c r="X471" s="273"/>
      <c r="Y471" s="825"/>
      <c r="Z471" s="825"/>
      <c r="AA471" s="825"/>
      <c r="AB471" s="825"/>
      <c r="AC471" s="825"/>
      <c r="AD471" s="825"/>
      <c r="AE471" s="825"/>
      <c r="AF471" s="825"/>
      <c r="AG471" s="825"/>
      <c r="AH471" s="825"/>
      <c r="AI471" s="825"/>
      <c r="AJ471" s="825"/>
      <c r="AK471" s="825"/>
      <c r="AL471" s="825"/>
      <c r="AM471" s="825"/>
      <c r="AN471" s="825"/>
      <c r="AO471" s="825"/>
      <c r="AP471" s="825"/>
      <c r="AQ471" s="825"/>
      <c r="AR471" s="825"/>
      <c r="AS471" s="825"/>
      <c r="AT471" s="825"/>
      <c r="AU471" s="825"/>
      <c r="AV471" s="825"/>
      <c r="AW471" s="825"/>
      <c r="AX471" s="825"/>
      <c r="AY471" s="273"/>
      <c r="AZ471" s="273"/>
      <c r="BA471" s="825"/>
      <c r="BB471" s="825"/>
      <c r="BC471" s="825"/>
      <c r="BD471" s="825"/>
      <c r="BE471" s="825"/>
      <c r="BF471" s="825"/>
      <c r="BG471" s="825"/>
      <c r="BH471" s="825"/>
      <c r="BI471" s="825"/>
      <c r="BJ471" s="825"/>
      <c r="BK471" s="825"/>
      <c r="BL471" s="825"/>
      <c r="BM471" s="825"/>
      <c r="BN471" s="825"/>
      <c r="BO471" s="825"/>
      <c r="BP471" s="825"/>
      <c r="BQ471" s="825"/>
      <c r="BR471" s="825"/>
      <c r="BS471" s="825"/>
      <c r="BT471" s="825"/>
      <c r="BU471" s="825"/>
      <c r="BV471" s="825"/>
      <c r="BW471" s="825"/>
      <c r="BX471" s="825"/>
      <c r="BY471" s="825"/>
      <c r="BZ471" s="825"/>
      <c r="CA471" s="825"/>
      <c r="CB471" s="825"/>
      <c r="CC471" s="825"/>
    </row>
    <row r="472" spans="1:81" s="548" customFormat="1" ht="25.5" customHeight="1" x14ac:dyDescent="0.25">
      <c r="A472" s="558"/>
      <c r="B472" s="672"/>
      <c r="C472" s="1555"/>
      <c r="D472" s="1536"/>
      <c r="E472" s="1536"/>
      <c r="F472" s="1555"/>
      <c r="G472" s="1555"/>
      <c r="H472" s="1555"/>
      <c r="I472" s="1555"/>
      <c r="J472" s="1555"/>
      <c r="K472" s="1051"/>
      <c r="L472" s="1052"/>
      <c r="M472" s="645" t="s">
        <v>489</v>
      </c>
      <c r="N472" s="736" t="str">
        <f>N28</f>
        <v>Contaminación por residuos agropecuarios</v>
      </c>
      <c r="O472" s="837" t="str">
        <f t="shared" si="12"/>
        <v>Contaminación</v>
      </c>
      <c r="P472" s="552" t="e">
        <f>#REF!</f>
        <v>#REF!</v>
      </c>
      <c r="Q472" s="549" t="str">
        <f>AM10</f>
        <v>Control de residuos agropecuarios</v>
      </c>
      <c r="R472" s="549" t="s">
        <v>535</v>
      </c>
      <c r="S472" s="552" t="s">
        <v>492</v>
      </c>
      <c r="T472" s="519" t="str">
        <f>AL10</f>
        <v>SCT2</v>
      </c>
      <c r="U472" s="628"/>
      <c r="V472" s="478"/>
      <c r="W472" s="478"/>
      <c r="X472" s="273"/>
      <c r="Y472" s="825"/>
      <c r="Z472" s="825"/>
      <c r="AA472" s="825"/>
      <c r="AB472" s="825"/>
      <c r="AC472" s="825"/>
      <c r="AD472" s="825"/>
      <c r="AE472" s="825"/>
      <c r="AF472" s="825"/>
      <c r="AG472" s="825"/>
      <c r="AH472" s="825"/>
      <c r="AI472" s="825"/>
      <c r="AJ472" s="825"/>
      <c r="AK472" s="825"/>
      <c r="AL472" s="825"/>
      <c r="AM472" s="825"/>
      <c r="AN472" s="825"/>
      <c r="AO472" s="825"/>
      <c r="AP472" s="825"/>
      <c r="AQ472" s="825"/>
      <c r="AR472" s="825"/>
      <c r="AS472" s="825"/>
      <c r="AT472" s="825"/>
      <c r="AU472" s="825"/>
      <c r="AV472" s="825"/>
      <c r="AW472" s="825"/>
      <c r="AX472" s="825"/>
      <c r="AY472" s="273"/>
      <c r="AZ472" s="273"/>
      <c r="BA472" s="825"/>
      <c r="BB472" s="825"/>
      <c r="BC472" s="825"/>
      <c r="BD472" s="825"/>
      <c r="BE472" s="825"/>
      <c r="BF472" s="825"/>
      <c r="BG472" s="825"/>
      <c r="BH472" s="825"/>
      <c r="BI472" s="825"/>
      <c r="BJ472" s="825"/>
      <c r="BK472" s="825"/>
      <c r="BL472" s="825"/>
      <c r="BM472" s="825"/>
      <c r="BN472" s="825"/>
      <c r="BO472" s="825"/>
      <c r="BP472" s="825"/>
      <c r="BQ472" s="825"/>
      <c r="BR472" s="825"/>
      <c r="BS472" s="825"/>
      <c r="BT472" s="825"/>
      <c r="BU472" s="825"/>
      <c r="BV472" s="825"/>
      <c r="BW472" s="825"/>
      <c r="BX472" s="825"/>
      <c r="BY472" s="825"/>
      <c r="BZ472" s="825"/>
      <c r="CA472" s="825"/>
      <c r="CB472" s="825"/>
      <c r="CC472" s="825"/>
    </row>
    <row r="473" spans="1:81" s="548" customFormat="1" ht="43.5" customHeight="1" x14ac:dyDescent="0.25">
      <c r="A473" s="558"/>
      <c r="B473" s="672"/>
      <c r="C473" s="1555"/>
      <c r="D473" s="1536"/>
      <c r="E473" s="1536"/>
      <c r="F473" s="1555"/>
      <c r="G473" s="1555"/>
      <c r="H473" s="1555"/>
      <c r="I473" s="1555"/>
      <c r="J473" s="1555"/>
      <c r="K473" s="1044"/>
      <c r="L473" s="1045"/>
      <c r="M473" s="645" t="s">
        <v>489</v>
      </c>
      <c r="N473" s="730" t="str">
        <f>N29</f>
        <v xml:space="preserve">Otorgamiento inapropiado de incentivos </v>
      </c>
      <c r="O473" s="837" t="str">
        <f t="shared" si="12"/>
        <v>Corrupción</v>
      </c>
      <c r="P473" s="546" t="e">
        <f>#REF!</f>
        <v>#REF!</v>
      </c>
      <c r="Q473" s="534" t="str">
        <f>AG10</f>
        <v>Transparencia en incentivos financieros y obras públicas vinculadas a la ERDRBE</v>
      </c>
      <c r="R473" s="534" t="s">
        <v>687</v>
      </c>
      <c r="S473" s="547" t="s">
        <v>507</v>
      </c>
      <c r="T473" s="519" t="str">
        <f>AF10</f>
        <v>SCR2</v>
      </c>
      <c r="U473" s="618"/>
      <c r="V473" s="478"/>
      <c r="W473" s="478"/>
      <c r="X473" s="273"/>
      <c r="Y473" s="825"/>
      <c r="Z473" s="825"/>
      <c r="AA473" s="825"/>
      <c r="AB473" s="825"/>
      <c r="AC473" s="825"/>
      <c r="AD473" s="825"/>
      <c r="AE473" s="825"/>
      <c r="AF473" s="825"/>
      <c r="AG473" s="825"/>
      <c r="AH473" s="825"/>
      <c r="AI473" s="825"/>
      <c r="AJ473" s="825"/>
      <c r="AK473" s="825"/>
      <c r="AL473" s="825"/>
      <c r="AM473" s="825"/>
      <c r="AN473" s="825"/>
      <c r="AO473" s="825"/>
      <c r="AP473" s="825"/>
      <c r="AQ473" s="825"/>
      <c r="AR473" s="825"/>
      <c r="AS473" s="825"/>
      <c r="AT473" s="825"/>
      <c r="AU473" s="825"/>
      <c r="AV473" s="825"/>
      <c r="AW473" s="825"/>
      <c r="AX473" s="825"/>
      <c r="AY473" s="273"/>
      <c r="AZ473" s="273"/>
      <c r="BA473" s="825"/>
      <c r="BB473" s="825"/>
      <c r="BC473" s="825"/>
      <c r="BD473" s="825"/>
      <c r="BE473" s="825"/>
      <c r="BF473" s="825"/>
      <c r="BG473" s="825"/>
      <c r="BH473" s="825"/>
      <c r="BI473" s="825"/>
      <c r="BJ473" s="825"/>
      <c r="BK473" s="825"/>
      <c r="BL473" s="825"/>
      <c r="BM473" s="825"/>
      <c r="BN473" s="825"/>
      <c r="BO473" s="825"/>
      <c r="BP473" s="825"/>
      <c r="BQ473" s="825"/>
      <c r="BR473" s="825"/>
      <c r="BS473" s="825"/>
      <c r="BT473" s="825"/>
      <c r="BU473" s="825"/>
      <c r="BV473" s="825"/>
      <c r="BW473" s="825"/>
      <c r="BX473" s="825"/>
      <c r="BY473" s="825"/>
      <c r="BZ473" s="825"/>
      <c r="CA473" s="825"/>
      <c r="CB473" s="825"/>
      <c r="CC473" s="825"/>
    </row>
    <row r="474" spans="1:81" s="548" customFormat="1" ht="25.5" customHeight="1" x14ac:dyDescent="0.25">
      <c r="A474" s="558"/>
      <c r="B474" s="672"/>
      <c r="C474" s="1555"/>
      <c r="D474" s="1536"/>
      <c r="E474" s="1536"/>
      <c r="F474" s="1555"/>
      <c r="G474" s="1555"/>
      <c r="H474" s="1555"/>
      <c r="I474" s="1555"/>
      <c r="J474" s="1555"/>
      <c r="K474" s="1048"/>
      <c r="L474" s="1047"/>
      <c r="M474" s="645" t="s">
        <v>489</v>
      </c>
      <c r="N474" s="733" t="str">
        <f>N30</f>
        <v>Exclusión de productoras agrarias en sistemas de incentivos financieros</v>
      </c>
      <c r="O474" s="837" t="str">
        <f t="shared" si="12"/>
        <v>Género</v>
      </c>
      <c r="P474" s="556" t="str">
        <f>AC6</f>
        <v>GN</v>
      </c>
      <c r="Q474" s="535" t="str">
        <f>AJ11</f>
        <v xml:space="preserve">Cuotas de género y medición de participación efectiva de mujeres rurales </v>
      </c>
      <c r="R474" s="535" t="s">
        <v>689</v>
      </c>
      <c r="S474" s="546" t="s">
        <v>507</v>
      </c>
      <c r="T474" s="519" t="str">
        <f>AI11</f>
        <v>SGN3</v>
      </c>
      <c r="U474" s="618"/>
      <c r="V474" s="478"/>
      <c r="W474" s="478"/>
      <c r="X474" s="273"/>
      <c r="Y474" s="825"/>
      <c r="Z474" s="825"/>
      <c r="AA474" s="825"/>
      <c r="AB474" s="825"/>
      <c r="AC474" s="825"/>
      <c r="AD474" s="825"/>
      <c r="AE474" s="825"/>
      <c r="AF474" s="825"/>
      <c r="AG474" s="825"/>
      <c r="AH474" s="825"/>
      <c r="AI474" s="825"/>
      <c r="AJ474" s="825"/>
      <c r="AK474" s="825"/>
      <c r="AL474" s="825"/>
      <c r="AM474" s="825"/>
      <c r="AN474" s="825"/>
      <c r="AO474" s="825"/>
      <c r="AP474" s="825"/>
      <c r="AQ474" s="825"/>
      <c r="AR474" s="825"/>
      <c r="AS474" s="825"/>
      <c r="AT474" s="825"/>
      <c r="AU474" s="825"/>
      <c r="AV474" s="825"/>
      <c r="AW474" s="825"/>
      <c r="AX474" s="825"/>
      <c r="AY474" s="273"/>
      <c r="AZ474" s="273"/>
      <c r="BA474" s="825"/>
      <c r="BB474" s="825"/>
      <c r="BC474" s="825"/>
      <c r="BD474" s="825"/>
      <c r="BE474" s="825"/>
      <c r="BF474" s="825"/>
      <c r="BG474" s="825"/>
      <c r="BH474" s="825"/>
      <c r="BI474" s="825"/>
      <c r="BJ474" s="825"/>
      <c r="BK474" s="825"/>
      <c r="BL474" s="825"/>
      <c r="BM474" s="825"/>
      <c r="BN474" s="825"/>
      <c r="BO474" s="825"/>
      <c r="BP474" s="825"/>
      <c r="BQ474" s="825"/>
      <c r="BR474" s="825"/>
      <c r="BS474" s="825"/>
      <c r="BT474" s="825"/>
      <c r="BU474" s="825"/>
      <c r="BV474" s="825"/>
      <c r="BW474" s="825"/>
      <c r="BX474" s="825"/>
      <c r="BY474" s="825"/>
      <c r="BZ474" s="825"/>
      <c r="CA474" s="825"/>
      <c r="CB474" s="825"/>
      <c r="CC474" s="825"/>
    </row>
    <row r="475" spans="1:81" s="548" customFormat="1" ht="34.5" customHeight="1" x14ac:dyDescent="0.25">
      <c r="A475" s="558"/>
      <c r="B475" s="672"/>
      <c r="C475" s="1555"/>
      <c r="D475" s="1536"/>
      <c r="E475" s="1536"/>
      <c r="F475" s="1555"/>
      <c r="G475" s="1555"/>
      <c r="H475" s="1555"/>
      <c r="I475" s="1555"/>
      <c r="J475" s="1555"/>
      <c r="K475" s="1048"/>
      <c r="L475" s="1047"/>
      <c r="M475" s="645" t="s">
        <v>489</v>
      </c>
      <c r="N475" s="733" t="str">
        <f>N30</f>
        <v>Exclusión de productoras agrarias en sistemas de incentivos financieros</v>
      </c>
      <c r="O475" s="837" t="str">
        <f t="shared" si="12"/>
        <v>Género</v>
      </c>
      <c r="P475" s="556" t="str">
        <f>AC6</f>
        <v>GN</v>
      </c>
      <c r="Q475" s="535" t="str">
        <f>AJ12</f>
        <v>Criterios de evaluación de programas y proyectos con enfoque de género</v>
      </c>
      <c r="R475" s="535" t="s">
        <v>690</v>
      </c>
      <c r="S475" s="556" t="s">
        <v>507</v>
      </c>
      <c r="T475" s="519" t="str">
        <f>AI12</f>
        <v>SGN4</v>
      </c>
      <c r="U475" s="628"/>
      <c r="V475" s="478"/>
      <c r="W475" s="478"/>
      <c r="X475" s="273"/>
      <c r="Y475" s="825"/>
      <c r="Z475" s="825"/>
      <c r="AA475" s="825"/>
      <c r="AB475" s="825"/>
      <c r="AC475" s="825"/>
      <c r="AD475" s="825"/>
      <c r="AE475" s="825"/>
      <c r="AF475" s="825"/>
      <c r="AG475" s="825"/>
      <c r="AH475" s="825"/>
      <c r="AI475" s="825"/>
      <c r="AJ475" s="825"/>
      <c r="AK475" s="825"/>
      <c r="AL475" s="825"/>
      <c r="AM475" s="825"/>
      <c r="AN475" s="825"/>
      <c r="AO475" s="825"/>
      <c r="AP475" s="825"/>
      <c r="AQ475" s="825"/>
      <c r="AR475" s="825"/>
      <c r="AS475" s="825"/>
      <c r="AT475" s="825"/>
      <c r="AU475" s="825"/>
      <c r="AV475" s="825"/>
      <c r="AW475" s="825"/>
      <c r="AX475" s="825"/>
      <c r="AY475" s="273"/>
      <c r="AZ475" s="273"/>
      <c r="BA475" s="825"/>
      <c r="BB475" s="825"/>
      <c r="BC475" s="825"/>
      <c r="BD475" s="825"/>
      <c r="BE475" s="825"/>
      <c r="BF475" s="825"/>
      <c r="BG475" s="825"/>
      <c r="BH475" s="825"/>
      <c r="BI475" s="825"/>
      <c r="BJ475" s="825"/>
      <c r="BK475" s="825"/>
      <c r="BL475" s="825"/>
      <c r="BM475" s="825"/>
      <c r="BN475" s="825"/>
      <c r="BO475" s="825"/>
      <c r="BP475" s="825"/>
      <c r="BQ475" s="825"/>
      <c r="BR475" s="825"/>
      <c r="BS475" s="825"/>
      <c r="BT475" s="825"/>
      <c r="BU475" s="825"/>
      <c r="BV475" s="825"/>
      <c r="BW475" s="825"/>
      <c r="BX475" s="825"/>
      <c r="BY475" s="825"/>
      <c r="BZ475" s="825"/>
      <c r="CA475" s="825"/>
      <c r="CB475" s="825"/>
      <c r="CC475" s="825"/>
    </row>
    <row r="476" spans="1:81" s="548" customFormat="1" ht="26.35" customHeight="1" x14ac:dyDescent="0.25">
      <c r="A476" s="558"/>
      <c r="B476" s="672"/>
      <c r="C476" s="1555"/>
      <c r="D476" s="1536"/>
      <c r="E476" s="1536"/>
      <c r="F476" s="1555"/>
      <c r="G476" s="1555"/>
      <c r="H476" s="1555"/>
      <c r="I476" s="1555"/>
      <c r="J476" s="1555"/>
      <c r="K476" s="1044"/>
      <c r="L476" s="1045"/>
      <c r="M476" s="645" t="s">
        <v>489</v>
      </c>
      <c r="N476" s="730" t="str">
        <f>N30</f>
        <v>Exclusión de productoras agrarias en sistemas de incentivos financieros</v>
      </c>
      <c r="O476" s="837" t="str">
        <f t="shared" si="12"/>
        <v>Género</v>
      </c>
      <c r="P476" s="546" t="str">
        <f>AC6</f>
        <v>GN</v>
      </c>
      <c r="Q476" s="534" t="str">
        <f>AJ13</f>
        <v>Programas de incentivos financieros y no financieros para el desarrollo rural para mujeres rurales</v>
      </c>
      <c r="R476" s="534" t="s">
        <v>693</v>
      </c>
      <c r="S476" s="546" t="s">
        <v>492</v>
      </c>
      <c r="T476" s="519" t="str">
        <f>AI13</f>
        <v>SGN5</v>
      </c>
      <c r="U476" s="628"/>
      <c r="V476" s="478"/>
      <c r="W476" s="478"/>
      <c r="X476" s="273"/>
      <c r="Y476" s="825"/>
      <c r="Z476" s="825"/>
      <c r="AA476" s="825"/>
      <c r="AB476" s="825"/>
      <c r="AC476" s="825"/>
      <c r="AD476" s="825"/>
      <c r="AE476" s="825"/>
      <c r="AF476" s="825"/>
      <c r="AG476" s="825"/>
      <c r="AH476" s="825"/>
      <c r="AI476" s="825"/>
      <c r="AJ476" s="825"/>
      <c r="AK476" s="825"/>
      <c r="AL476" s="825"/>
      <c r="AM476" s="825"/>
      <c r="AN476" s="825"/>
      <c r="AO476" s="825"/>
      <c r="AP476" s="825"/>
      <c r="AQ476" s="825"/>
      <c r="AR476" s="825"/>
      <c r="AS476" s="825"/>
      <c r="AT476" s="825"/>
      <c r="AU476" s="825"/>
      <c r="AV476" s="825"/>
      <c r="AW476" s="825"/>
      <c r="AX476" s="825"/>
      <c r="AY476" s="273"/>
      <c r="AZ476" s="273"/>
      <c r="BA476" s="825"/>
      <c r="BB476" s="825"/>
      <c r="BC476" s="825"/>
      <c r="BD476" s="825"/>
      <c r="BE476" s="825"/>
      <c r="BF476" s="825"/>
      <c r="BG476" s="825"/>
      <c r="BH476" s="825"/>
      <c r="BI476" s="825"/>
      <c r="BJ476" s="825"/>
      <c r="BK476" s="825"/>
      <c r="BL476" s="825"/>
      <c r="BM476" s="825"/>
      <c r="BN476" s="825"/>
      <c r="BO476" s="825"/>
      <c r="BP476" s="825"/>
      <c r="BQ476" s="825"/>
      <c r="BR476" s="825"/>
      <c r="BS476" s="825"/>
      <c r="BT476" s="825"/>
      <c r="BU476" s="825"/>
      <c r="BV476" s="825"/>
      <c r="BW476" s="825"/>
      <c r="BX476" s="825"/>
      <c r="BY476" s="825"/>
      <c r="BZ476" s="825"/>
      <c r="CA476" s="825"/>
      <c r="CB476" s="825"/>
      <c r="CC476" s="825"/>
    </row>
    <row r="477" spans="1:81" s="548" customFormat="1" ht="41.95" customHeight="1" x14ac:dyDescent="0.25">
      <c r="A477" s="558"/>
      <c r="B477" s="672"/>
      <c r="C477" s="1556"/>
      <c r="D477" s="1543"/>
      <c r="E477" s="1543"/>
      <c r="F477" s="1556"/>
      <c r="G477" s="1556"/>
      <c r="H477" s="1556"/>
      <c r="I477" s="1556"/>
      <c r="J477" s="1556"/>
      <c r="K477" s="1044"/>
      <c r="L477" s="1045"/>
      <c r="M477" s="645" t="s">
        <v>489</v>
      </c>
      <c r="N477" s="730" t="str">
        <f>N33</f>
        <v>Actividad agropecuaria no se desarrolla de manera óptima debido a cambios en las condiciones agroecologicas por el cambio climático</v>
      </c>
      <c r="O477" s="837" t="str">
        <f t="shared" si="12"/>
        <v>Vulnerabilidad al cambio climático</v>
      </c>
      <c r="P477" s="546" t="e">
        <f>#REF!</f>
        <v>#REF!</v>
      </c>
      <c r="Q477" s="534" t="str">
        <f>AS11</f>
        <v>Análisis de rentabilidad de la actividad agropecuaria en los programas de reconversión productiva</v>
      </c>
      <c r="R477" s="534" t="s">
        <v>695</v>
      </c>
      <c r="S477" s="546" t="s">
        <v>507</v>
      </c>
      <c r="T477" s="519" t="str">
        <f>AR11</f>
        <v>SVCC3</v>
      </c>
      <c r="U477" s="628"/>
      <c r="V477" s="478"/>
      <c r="W477" s="478"/>
      <c r="X477" s="273"/>
      <c r="Y477" s="825"/>
      <c r="Z477" s="825"/>
      <c r="AA477" s="825"/>
      <c r="AB477" s="825"/>
      <c r="AC477" s="825"/>
      <c r="AD477" s="825"/>
      <c r="AE477" s="825"/>
      <c r="AF477" s="825"/>
      <c r="AG477" s="825"/>
      <c r="AH477" s="825"/>
      <c r="AI477" s="825"/>
      <c r="AJ477" s="825"/>
      <c r="AK477" s="825"/>
      <c r="AL477" s="825"/>
      <c r="AM477" s="825"/>
      <c r="AN477" s="825"/>
      <c r="AO477" s="825"/>
      <c r="AP477" s="825"/>
      <c r="AQ477" s="825"/>
      <c r="AR477" s="825"/>
      <c r="AS477" s="825"/>
      <c r="AT477" s="825"/>
      <c r="AU477" s="825"/>
      <c r="AV477" s="825"/>
      <c r="AW477" s="825"/>
      <c r="AX477" s="825"/>
      <c r="AY477" s="273"/>
      <c r="AZ477" s="273"/>
      <c r="BA477" s="825"/>
      <c r="BB477" s="825"/>
      <c r="BC477" s="825"/>
      <c r="BD477" s="825"/>
      <c r="BE477" s="825"/>
      <c r="BF477" s="825"/>
      <c r="BG477" s="825"/>
      <c r="BH477" s="825"/>
      <c r="BI477" s="825"/>
      <c r="BJ477" s="825"/>
      <c r="BK477" s="825"/>
      <c r="BL477" s="825"/>
      <c r="BM477" s="825"/>
      <c r="BN477" s="825"/>
      <c r="BO477" s="825"/>
      <c r="BP477" s="825"/>
      <c r="BQ477" s="825"/>
      <c r="BR477" s="825"/>
      <c r="BS477" s="825"/>
      <c r="BT477" s="825"/>
      <c r="BU477" s="825"/>
      <c r="BV477" s="825"/>
      <c r="BW477" s="825"/>
      <c r="BX477" s="825"/>
      <c r="BY477" s="825"/>
      <c r="BZ477" s="825"/>
      <c r="CA477" s="825"/>
      <c r="CB477" s="825"/>
      <c r="CC477" s="825"/>
    </row>
    <row r="478" spans="1:81" ht="132.80000000000001" customHeight="1" x14ac:dyDescent="0.25">
      <c r="A478" s="558"/>
      <c r="B478" s="672" t="s">
        <v>897</v>
      </c>
      <c r="C478" s="834" t="str">
        <f>'8. BASE  CONSOLIDADA'!E165</f>
        <v>4.2.6</v>
      </c>
      <c r="D478" s="1069" t="str">
        <f>'8. BASE  CONSOLIDADA'!F165</f>
        <v>Promoción de modelos asociativos sostenibles</v>
      </c>
      <c r="E478" s="1069" t="str">
        <f>'8. BASE  CONSOLIDADA'!G165</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478" s="836" t="str">
        <f>'8. BASE  CONSOLIDADA'!C165</f>
        <v>Predios privados para ganadería de leche y carne</v>
      </c>
      <c r="G478" s="1019" t="str">
        <f>VLOOKUP($C478,'8. BASE  CONSOLIDADA'!$E$7:$AS$308,13,FALSE)</f>
        <v>Organizaciones fortalecidas</v>
      </c>
      <c r="H478" s="1109">
        <f>VLOOKUP($C478,'8. BASE  CONSOLIDADA'!$E$7:$AS$308,15,FALSE)</f>
        <v>4</v>
      </c>
      <c r="I478" s="1058">
        <f>VLOOKUP(C478,'8. BASE  CONSOLIDADA'!$E$7:$AS$308,20,FALSE)</f>
        <v>2400000</v>
      </c>
      <c r="J478" s="678">
        <f>I478*$J$6</f>
        <v>1632.0000000000002</v>
      </c>
      <c r="K478" s="1020"/>
      <c r="L478" s="1045"/>
      <c r="M478" s="645" t="s">
        <v>489</v>
      </c>
      <c r="N478" s="730" t="str">
        <f>N16</f>
        <v>Exclusión de mujeres rurales en programas de asistencia técnica</v>
      </c>
      <c r="O478" s="837" t="str">
        <f t="shared" si="12"/>
        <v>Género</v>
      </c>
      <c r="P478" s="546" t="str">
        <f>AC6</f>
        <v>GN</v>
      </c>
      <c r="Q478" s="534" t="str">
        <f>AJ10</f>
        <v>Programas de asistencia técnica y proyectos específicos para mujeres rurales y mujeres indígenas</v>
      </c>
      <c r="R478" s="534" t="s">
        <v>596</v>
      </c>
      <c r="S478" s="546" t="s">
        <v>507</v>
      </c>
      <c r="T478" s="519" t="str">
        <f>AI10</f>
        <v>SGN2</v>
      </c>
      <c r="U478" s="628"/>
      <c r="V478" s="478"/>
      <c r="W478" s="478"/>
      <c r="X478" s="273"/>
      <c r="Y478" s="825"/>
      <c r="Z478" s="825"/>
      <c r="AA478" s="825"/>
      <c r="AB478" s="825"/>
      <c r="AC478" s="825"/>
      <c r="AD478" s="825"/>
      <c r="AE478" s="825"/>
      <c r="AF478" s="825"/>
      <c r="AG478" s="825"/>
      <c r="AH478" s="825"/>
      <c r="AI478" s="825"/>
      <c r="AJ478" s="825"/>
      <c r="AK478" s="825"/>
      <c r="AL478" s="825"/>
      <c r="AM478" s="825"/>
      <c r="AN478" s="825"/>
      <c r="AO478" s="825"/>
      <c r="AP478" s="825"/>
      <c r="AQ478" s="825"/>
      <c r="AR478" s="825"/>
      <c r="AS478" s="825"/>
      <c r="AT478" s="825"/>
      <c r="AU478" s="825"/>
      <c r="AV478" s="825"/>
      <c r="AW478" s="825"/>
      <c r="AX478" s="825"/>
      <c r="BA478" s="825"/>
      <c r="BB478" s="825"/>
      <c r="BC478" s="825"/>
      <c r="BD478" s="825"/>
      <c r="BE478" s="825"/>
      <c r="BF478" s="825"/>
      <c r="BG478" s="825"/>
      <c r="BH478" s="825"/>
      <c r="BI478" s="825"/>
      <c r="BJ478" s="825"/>
      <c r="BK478" s="825"/>
      <c r="BL478" s="825"/>
      <c r="BM478" s="825"/>
      <c r="BN478" s="825"/>
      <c r="BO478" s="825"/>
      <c r="BP478" s="825"/>
      <c r="BQ478" s="825"/>
      <c r="BR478" s="825"/>
      <c r="BS478" s="825"/>
      <c r="BT478" s="825"/>
      <c r="BU478" s="825"/>
      <c r="BV478" s="825"/>
      <c r="BW478" s="825"/>
      <c r="BX478" s="825"/>
      <c r="BY478" s="825"/>
      <c r="BZ478" s="825"/>
      <c r="CA478" s="825"/>
      <c r="CB478" s="825"/>
      <c r="CC478" s="825"/>
    </row>
    <row r="479" spans="1:81" ht="38.25" customHeight="1" x14ac:dyDescent="0.25">
      <c r="A479" s="558"/>
      <c r="B479" s="672" t="s">
        <v>897</v>
      </c>
      <c r="C479" s="1554" t="str">
        <f>'8. BASE  CONSOLIDADA'!E166</f>
        <v>4.2.7</v>
      </c>
      <c r="D479" s="1535" t="str">
        <f>'8. BASE  CONSOLIDADA'!F166</f>
        <v>Implementación de infraestructura productiva baja en emisiones</v>
      </c>
      <c r="E479" s="1535" t="str">
        <f>'8. BASE  CONSOLIDADA'!G166</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F479" s="1554" t="str">
        <f>'8. BASE  CONSOLIDADA'!C166</f>
        <v>Predios privados para ganadería de leche y carne</v>
      </c>
      <c r="G479" s="1554" t="str">
        <f>VLOOKUP($C479,'8. BASE  CONSOLIDADA'!$E$7:$AS$308,13,FALSE)</f>
        <v>Planes de negocios implementados</v>
      </c>
      <c r="H479" s="1554">
        <f>VLOOKUP($C479,'8. BASE  CONSOLIDADA'!$E$7:$AS$308,15,FALSE)</f>
        <v>6</v>
      </c>
      <c r="I479" s="1554">
        <f>VLOOKUP(C479,'8. BASE  CONSOLIDADA'!$E$7:$AS$308,20,FALSE)</f>
        <v>4800000</v>
      </c>
      <c r="J479" s="1554">
        <f>I479*$J$6</f>
        <v>3264.0000000000005</v>
      </c>
      <c r="K479" s="1554"/>
      <c r="L479" s="1554"/>
      <c r="M479" s="645" t="s">
        <v>489</v>
      </c>
      <c r="N479" s="730" t="str">
        <f>N34</f>
        <v>Incremento de la deforestación por demanda de insumos e instalación de infraestructura y vias de comunicación</v>
      </c>
      <c r="O479" s="837" t="str">
        <f t="shared" si="12"/>
        <v>Biodiversidad y recursos naturales</v>
      </c>
      <c r="P479" s="546" t="e">
        <f>#REF!</f>
        <v>#REF!</v>
      </c>
      <c r="Q479" s="534" t="str">
        <f>AA14</f>
        <v>Desarrollo de incentivos financieros y no financieros condicionados con cláusulas de no deforestación</v>
      </c>
      <c r="R479" s="534" t="s">
        <v>673</v>
      </c>
      <c r="S479" s="534" t="s">
        <v>526</v>
      </c>
      <c r="T479" s="519" t="str">
        <f>Z14</f>
        <v>SBRN6</v>
      </c>
      <c r="U479" s="628"/>
      <c r="V479" s="478"/>
      <c r="W479" s="478"/>
      <c r="X479" s="273"/>
      <c r="Y479" s="825"/>
      <c r="Z479" s="825"/>
      <c r="AA479" s="825"/>
      <c r="AB479" s="825"/>
      <c r="AC479" s="825"/>
      <c r="AD479" s="825"/>
      <c r="AE479" s="825"/>
      <c r="AF479" s="825"/>
      <c r="AG479" s="825"/>
      <c r="AH479" s="825"/>
      <c r="AI479" s="825"/>
      <c r="AJ479" s="825"/>
      <c r="AK479" s="825"/>
      <c r="AL479" s="825"/>
      <c r="AM479" s="825"/>
      <c r="AN479" s="825"/>
      <c r="AO479" s="825"/>
      <c r="AP479" s="825"/>
      <c r="AQ479" s="825"/>
      <c r="AR479" s="825"/>
      <c r="AS479" s="825"/>
      <c r="AT479" s="825"/>
      <c r="AU479" s="825"/>
      <c r="AV479" s="825"/>
      <c r="AW479" s="825"/>
      <c r="AX479" s="825"/>
      <c r="BA479" s="825"/>
      <c r="BB479" s="825"/>
      <c r="BC479" s="825"/>
      <c r="BD479" s="825"/>
      <c r="BE479" s="825"/>
      <c r="BF479" s="825"/>
      <c r="BG479" s="825"/>
      <c r="BH479" s="825"/>
      <c r="BI479" s="825"/>
      <c r="BJ479" s="825"/>
      <c r="BK479" s="825"/>
      <c r="BL479" s="825"/>
      <c r="BM479" s="825"/>
      <c r="BN479" s="825"/>
      <c r="BO479" s="825"/>
      <c r="BP479" s="825"/>
      <c r="BQ479" s="825"/>
      <c r="BR479" s="825"/>
      <c r="BS479" s="825"/>
      <c r="BT479" s="825"/>
      <c r="BU479" s="825"/>
      <c r="BV479" s="825"/>
      <c r="BW479" s="825"/>
      <c r="BX479" s="825"/>
      <c r="BY479" s="825"/>
      <c r="BZ479" s="825"/>
      <c r="CA479" s="825"/>
      <c r="CB479" s="825"/>
      <c r="CC479" s="825"/>
    </row>
    <row r="480" spans="1:81" s="548" customFormat="1" ht="21.1" customHeight="1" x14ac:dyDescent="0.25">
      <c r="A480" s="558"/>
      <c r="B480" s="672"/>
      <c r="C480" s="1555"/>
      <c r="D480" s="1536"/>
      <c r="E480" s="1536"/>
      <c r="F480" s="1555"/>
      <c r="G480" s="1555"/>
      <c r="H480" s="1555"/>
      <c r="I480" s="1555"/>
      <c r="J480" s="1555"/>
      <c r="K480" s="1555"/>
      <c r="L480" s="1555"/>
      <c r="M480" s="645" t="s">
        <v>489</v>
      </c>
      <c r="N480" s="730" t="str">
        <f>N28</f>
        <v>Contaminación por residuos agropecuarios</v>
      </c>
      <c r="O480" s="837" t="str">
        <f t="shared" si="12"/>
        <v>Contaminación</v>
      </c>
      <c r="P480" s="546" t="e">
        <f>#REF!</f>
        <v>#REF!</v>
      </c>
      <c r="Q480" s="534" t="str">
        <f>AM10</f>
        <v>Control de residuos agropecuarios</v>
      </c>
      <c r="R480" s="534" t="s">
        <v>535</v>
      </c>
      <c r="S480" s="546" t="s">
        <v>492</v>
      </c>
      <c r="T480" s="519" t="str">
        <f>AL10</f>
        <v>SCT2</v>
      </c>
      <c r="U480" s="628"/>
      <c r="V480" s="478"/>
      <c r="W480" s="478"/>
      <c r="X480" s="273"/>
      <c r="Y480" s="825"/>
      <c r="Z480" s="825"/>
      <c r="AA480" s="825"/>
      <c r="AB480" s="825"/>
      <c r="AC480" s="825"/>
      <c r="AD480" s="825"/>
      <c r="AE480" s="825"/>
      <c r="AF480" s="825"/>
      <c r="AG480" s="825"/>
      <c r="AH480" s="825"/>
      <c r="AI480" s="825"/>
      <c r="AJ480" s="825"/>
      <c r="AK480" s="825"/>
      <c r="AL480" s="825"/>
      <c r="AM480" s="825"/>
      <c r="AN480" s="825"/>
      <c r="AO480" s="825"/>
      <c r="AP480" s="825"/>
      <c r="AQ480" s="825"/>
      <c r="AR480" s="825"/>
      <c r="AS480" s="825"/>
      <c r="AT480" s="825"/>
      <c r="AU480" s="825"/>
      <c r="AV480" s="825"/>
      <c r="AW480" s="825"/>
      <c r="AX480" s="825"/>
      <c r="AY480" s="273"/>
      <c r="AZ480" s="273"/>
      <c r="BA480" s="825"/>
      <c r="BB480" s="825"/>
      <c r="BC480" s="825"/>
      <c r="BD480" s="825"/>
      <c r="BE480" s="825"/>
      <c r="BF480" s="825"/>
      <c r="BG480" s="825"/>
      <c r="BH480" s="825"/>
      <c r="BI480" s="825"/>
      <c r="BJ480" s="825"/>
      <c r="BK480" s="825"/>
      <c r="BL480" s="825"/>
      <c r="BM480" s="825"/>
      <c r="BN480" s="825"/>
      <c r="BO480" s="825"/>
      <c r="BP480" s="825"/>
      <c r="BQ480" s="825"/>
      <c r="BR480" s="825"/>
      <c r="BS480" s="825"/>
      <c r="BT480" s="825"/>
      <c r="BU480" s="825"/>
      <c r="BV480" s="825"/>
      <c r="BW480" s="825"/>
      <c r="BX480" s="825"/>
      <c r="BY480" s="825"/>
      <c r="BZ480" s="825"/>
      <c r="CA480" s="825"/>
      <c r="CB480" s="825"/>
      <c r="CC480" s="825"/>
    </row>
    <row r="481" spans="1:81" s="548" customFormat="1" ht="45.7" customHeight="1" x14ac:dyDescent="0.25">
      <c r="A481" s="558"/>
      <c r="B481" s="674"/>
      <c r="C481" s="1556"/>
      <c r="D481" s="1543"/>
      <c r="E481" s="1543"/>
      <c r="F481" s="1556"/>
      <c r="G481" s="1556"/>
      <c r="H481" s="1556"/>
      <c r="I481" s="1556"/>
      <c r="J481" s="1556"/>
      <c r="K481" s="1556"/>
      <c r="L481" s="1556"/>
      <c r="M481" s="645" t="s">
        <v>489</v>
      </c>
      <c r="N481" s="730" t="str">
        <f>N36</f>
        <v>Colución, Cohecho y negociación incompatible</v>
      </c>
      <c r="O481" s="837" t="str">
        <f t="shared" si="12"/>
        <v>Corrupción</v>
      </c>
      <c r="P481" s="546" t="e">
        <f>#REF!</f>
        <v>#REF!</v>
      </c>
      <c r="Q481" s="534" t="str">
        <f>AG10</f>
        <v>Transparencia en incentivos financieros y obras públicas vinculadas a la ERDRBE</v>
      </c>
      <c r="R481" s="534" t="s">
        <v>687</v>
      </c>
      <c r="S481" s="546" t="s">
        <v>507</v>
      </c>
      <c r="T481" s="519" t="str">
        <f>AF10</f>
        <v>SCR2</v>
      </c>
      <c r="U481" s="628"/>
      <c r="V481" s="478"/>
      <c r="W481" s="478"/>
      <c r="X481" s="273"/>
      <c r="Y481" s="825"/>
      <c r="Z481" s="825"/>
      <c r="AA481" s="825"/>
      <c r="AB481" s="825"/>
      <c r="AC481" s="825"/>
      <c r="AD481" s="825"/>
      <c r="AE481" s="825"/>
      <c r="AF481" s="825"/>
      <c r="AG481" s="825"/>
      <c r="AH481" s="825"/>
      <c r="AI481" s="825"/>
      <c r="AJ481" s="825"/>
      <c r="AK481" s="825"/>
      <c r="AL481" s="825"/>
      <c r="AM481" s="825"/>
      <c r="AN481" s="825"/>
      <c r="AO481" s="825"/>
      <c r="AP481" s="825"/>
      <c r="AQ481" s="825"/>
      <c r="AR481" s="825"/>
      <c r="AS481" s="825"/>
      <c r="AT481" s="825"/>
      <c r="AU481" s="825"/>
      <c r="AV481" s="825"/>
      <c r="AW481" s="825"/>
      <c r="AX481" s="825"/>
      <c r="AY481" s="273"/>
      <c r="AZ481" s="273"/>
      <c r="BA481" s="825"/>
      <c r="BB481" s="825"/>
      <c r="BC481" s="825"/>
      <c r="BD481" s="825"/>
      <c r="BE481" s="825"/>
      <c r="BF481" s="825"/>
      <c r="BG481" s="825"/>
      <c r="BH481" s="825"/>
      <c r="BI481" s="825"/>
      <c r="BJ481" s="825"/>
      <c r="BK481" s="825"/>
      <c r="BL481" s="825"/>
      <c r="BM481" s="825"/>
      <c r="BN481" s="825"/>
      <c r="BO481" s="825"/>
      <c r="BP481" s="825"/>
      <c r="BQ481" s="825"/>
      <c r="BR481" s="825"/>
      <c r="BS481" s="825"/>
      <c r="BT481" s="825"/>
      <c r="BU481" s="825"/>
      <c r="BV481" s="825"/>
      <c r="BW481" s="825"/>
      <c r="BX481" s="825"/>
      <c r="BY481" s="825"/>
      <c r="BZ481" s="825"/>
      <c r="CA481" s="825"/>
      <c r="CB481" s="825"/>
      <c r="CC481" s="825"/>
    </row>
    <row r="482" spans="1:81" ht="64.55" customHeight="1" x14ac:dyDescent="0.25">
      <c r="A482" s="558"/>
      <c r="B482" s="674" t="s">
        <v>897</v>
      </c>
      <c r="C482" s="1551" t="str">
        <f>'8. BASE  CONSOLIDADA'!E168</f>
        <v>4.3.1</v>
      </c>
      <c r="D482" s="1551" t="str">
        <f>'8. BASE  CONSOLIDADA'!F168</f>
        <v>Otorgamiento de derechos sobre la tierra/bosques</v>
      </c>
      <c r="E482" s="1551" t="str">
        <f>'8. BASE  CONSOLIDADA'!G168</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482" s="1551" t="str">
        <f>'8. BASE  CONSOLIDADA'!C168</f>
        <v>Empresas comercializadoras de palma y sus derivados.</v>
      </c>
      <c r="G482" s="1551" t="str">
        <f>VLOOKUP($C482,'8. BASE  CONSOLIDADA'!$E$7:$AS$308,13,FALSE)</f>
        <v>N° Títulos/Contratos otorgados</v>
      </c>
      <c r="H482" s="1551">
        <f>VLOOKUP($C482,'8. BASE  CONSOLIDADA'!$E$7:$AS$308,15,FALSE)</f>
        <v>199.47835784401499</v>
      </c>
      <c r="I482" s="1551">
        <f>VLOOKUP(C482,'8. BASE  CONSOLIDADA'!$E$7:$AS$308,20,FALSE)</f>
        <v>398956.71568803</v>
      </c>
      <c r="J482" s="678">
        <f>I482*$J$6</f>
        <v>271.29056666786045</v>
      </c>
      <c r="K482" s="1551"/>
      <c r="L482" s="1551"/>
      <c r="M482" s="645" t="s">
        <v>489</v>
      </c>
      <c r="N482" s="730" t="str">
        <f>N8</f>
        <v>Otorgamiento de titulos de propiedad en tierras de aptitud forestal o protección con cobertura de bosques</v>
      </c>
      <c r="O482" s="837" t="str">
        <f t="shared" si="12"/>
        <v>Biodiversidad y recursos naturales</v>
      </c>
      <c r="P482" s="546" t="e">
        <f>#REF!</f>
        <v>#REF!</v>
      </c>
      <c r="Q482" s="534" t="str">
        <f>AA9</f>
        <v>Realizar estudios de suelos para determinar la capacidad de uso mayor de los suelos como parte de los procesos de formalización de la propiedad rural</v>
      </c>
      <c r="R482" s="534" t="s">
        <v>491</v>
      </c>
      <c r="S482" s="546" t="s">
        <v>492</v>
      </c>
      <c r="T482" s="519" t="str">
        <f>Z9</f>
        <v>SBRN1</v>
      </c>
      <c r="U482" s="628"/>
      <c r="V482" s="478"/>
      <c r="W482" s="478"/>
      <c r="X482" s="273"/>
      <c r="Y482" s="825"/>
      <c r="Z482" s="825"/>
      <c r="AA482" s="825"/>
      <c r="AB482" s="825"/>
      <c r="AC482" s="825"/>
      <c r="AD482" s="825"/>
      <c r="AE482" s="825"/>
      <c r="AF482" s="825"/>
      <c r="AG482" s="825"/>
      <c r="AH482" s="825"/>
      <c r="AI482" s="825"/>
      <c r="AJ482" s="825"/>
      <c r="AK482" s="825"/>
      <c r="AL482" s="825"/>
      <c r="AM482" s="825"/>
      <c r="AN482" s="825"/>
      <c r="AO482" s="825"/>
      <c r="AP482" s="825"/>
      <c r="AQ482" s="825"/>
      <c r="AR482" s="825"/>
      <c r="AS482" s="825"/>
      <c r="AT482" s="825"/>
      <c r="AU482" s="825"/>
      <c r="AV482" s="825"/>
      <c r="AW482" s="825"/>
      <c r="AX482" s="825"/>
      <c r="BA482" s="825"/>
      <c r="BB482" s="825"/>
      <c r="BC482" s="825"/>
      <c r="BD482" s="825"/>
      <c r="BE482" s="825"/>
      <c r="BF482" s="825"/>
      <c r="BG482" s="825"/>
      <c r="BH482" s="825"/>
      <c r="BI482" s="825"/>
      <c r="BJ482" s="825"/>
      <c r="BK482" s="825"/>
      <c r="BL482" s="825"/>
      <c r="BM482" s="825"/>
      <c r="BN482" s="825"/>
      <c r="BO482" s="825"/>
      <c r="BP482" s="825"/>
      <c r="BQ482" s="825"/>
      <c r="BR482" s="825"/>
      <c r="BS482" s="825"/>
      <c r="BT482" s="825"/>
      <c r="BU482" s="825"/>
      <c r="BV482" s="825"/>
      <c r="BW482" s="825"/>
      <c r="BX482" s="825"/>
      <c r="BY482" s="825"/>
      <c r="BZ482" s="825"/>
      <c r="CA482" s="825"/>
      <c r="CB482" s="825"/>
      <c r="CC482" s="825"/>
    </row>
    <row r="483" spans="1:81" s="555" customFormat="1" ht="36.700000000000003" customHeight="1" x14ac:dyDescent="0.25">
      <c r="A483" s="558"/>
      <c r="B483" s="674"/>
      <c r="C483" s="1553"/>
      <c r="D483" s="1553"/>
      <c r="E483" s="1553"/>
      <c r="F483" s="1553"/>
      <c r="G483" s="1553"/>
      <c r="H483" s="1553"/>
      <c r="I483" s="1553"/>
      <c r="J483" s="680"/>
      <c r="K483" s="1553"/>
      <c r="L483" s="1553"/>
      <c r="M483" s="645" t="s">
        <v>489</v>
      </c>
      <c r="N483" s="730" t="str">
        <f>N9</f>
        <v>Otorgamiento de titulos de propiedad en tierras de aptitud  A y C con cobertura de bosques</v>
      </c>
      <c r="O483" s="837" t="str">
        <f t="shared" si="12"/>
        <v>Biodiversidad y recursos naturales</v>
      </c>
      <c r="P483" s="546" t="e">
        <f>#REF!</f>
        <v>#REF!</v>
      </c>
      <c r="Q483" s="534" t="str">
        <f>AA10</f>
        <v>Implementar el procedimiento de cambio de uso actual de tierras A y C con cobertura de bosques para formalización de propiedad rural considerado en la Ley Forestal y de Fauna Silvestre (Ley No 29736)</v>
      </c>
      <c r="R483" s="534" t="s">
        <v>506</v>
      </c>
      <c r="S483" s="546" t="s">
        <v>507</v>
      </c>
      <c r="T483" s="519" t="str">
        <f>Z10</f>
        <v>SBRN2</v>
      </c>
      <c r="U483" s="628"/>
      <c r="V483" s="478"/>
      <c r="W483" s="478"/>
      <c r="X483" s="273"/>
      <c r="Y483" s="825"/>
      <c r="Z483" s="825"/>
      <c r="AA483" s="825"/>
      <c r="AB483" s="825"/>
      <c r="AC483" s="825"/>
      <c r="AD483" s="825"/>
      <c r="AE483" s="825"/>
      <c r="AF483" s="825"/>
      <c r="AG483" s="825"/>
      <c r="AH483" s="825"/>
      <c r="AI483" s="825"/>
      <c r="AJ483" s="825"/>
      <c r="AK483" s="825"/>
      <c r="AL483" s="825"/>
      <c r="AM483" s="825"/>
      <c r="AN483" s="825"/>
      <c r="AO483" s="825"/>
      <c r="AP483" s="825"/>
      <c r="AQ483" s="825"/>
      <c r="AR483" s="825"/>
      <c r="AS483" s="825"/>
      <c r="AT483" s="825"/>
      <c r="AU483" s="825"/>
      <c r="AV483" s="825"/>
      <c r="AW483" s="825"/>
      <c r="AX483" s="825"/>
      <c r="AY483" s="273"/>
      <c r="AZ483" s="273"/>
      <c r="BA483" s="825"/>
      <c r="BB483" s="825"/>
      <c r="BC483" s="825"/>
      <c r="BD483" s="825"/>
      <c r="BE483" s="825"/>
      <c r="BF483" s="825"/>
      <c r="BG483" s="825"/>
      <c r="BH483" s="825"/>
      <c r="BI483" s="825"/>
      <c r="BJ483" s="825"/>
      <c r="BK483" s="825"/>
      <c r="BL483" s="825"/>
      <c r="BM483" s="825"/>
      <c r="BN483" s="825"/>
      <c r="BO483" s="825"/>
      <c r="BP483" s="825"/>
      <c r="BQ483" s="825"/>
      <c r="BR483" s="825"/>
      <c r="BS483" s="825"/>
      <c r="BT483" s="825"/>
      <c r="BU483" s="825"/>
      <c r="BV483" s="825"/>
      <c r="BW483" s="825"/>
      <c r="BX483" s="825"/>
      <c r="BY483" s="825"/>
      <c r="BZ483" s="825"/>
      <c r="CA483" s="825"/>
      <c r="CB483" s="825"/>
      <c r="CC483" s="825"/>
    </row>
    <row r="484" spans="1:81" s="555" customFormat="1" ht="43.5" x14ac:dyDescent="0.25">
      <c r="A484" s="558"/>
      <c r="B484" s="674"/>
      <c r="C484" s="1553"/>
      <c r="D484" s="1553"/>
      <c r="E484" s="1553"/>
      <c r="F484" s="1553"/>
      <c r="G484" s="1553"/>
      <c r="H484" s="1553"/>
      <c r="I484" s="1553"/>
      <c r="J484" s="680"/>
      <c r="K484" s="1553"/>
      <c r="L484" s="1553"/>
      <c r="M484" s="645" t="s">
        <v>489</v>
      </c>
      <c r="N484" s="730" t="str">
        <f>N9</f>
        <v>Otorgamiento de titulos de propiedad en tierras de aptitud  A y C con cobertura de bosques</v>
      </c>
      <c r="O484" s="837" t="str">
        <f t="shared" si="12"/>
        <v>Biodiversidad y recursos naturales</v>
      </c>
      <c r="P484" s="546" t="str">
        <f>Z6</f>
        <v>DPI</v>
      </c>
      <c r="Q484" s="534" t="str">
        <f>AA11</f>
        <v>Fortalecer las capacidades de la población local para que conozcan el marco legal sobre los derechos sobre la tierra y los bosques</v>
      </c>
      <c r="R484" s="534" t="s">
        <v>525</v>
      </c>
      <c r="S484" s="546" t="s">
        <v>526</v>
      </c>
      <c r="T484" s="519" t="str">
        <f>Z11</f>
        <v>SBRN3</v>
      </c>
      <c r="U484" s="628"/>
      <c r="V484" s="478"/>
      <c r="W484" s="478"/>
      <c r="X484" s="273"/>
      <c r="Y484" s="825"/>
      <c r="Z484" s="825"/>
      <c r="AA484" s="825"/>
      <c r="AB484" s="825"/>
      <c r="AC484" s="825"/>
      <c r="AD484" s="825"/>
      <c r="AE484" s="825"/>
      <c r="AF484" s="825"/>
      <c r="AG484" s="825"/>
      <c r="AH484" s="825"/>
      <c r="AI484" s="825"/>
      <c r="AJ484" s="825"/>
      <c r="AK484" s="825"/>
      <c r="AL484" s="825"/>
      <c r="AM484" s="825"/>
      <c r="AN484" s="825"/>
      <c r="AO484" s="825"/>
      <c r="AP484" s="825"/>
      <c r="AQ484" s="825"/>
      <c r="AR484" s="825"/>
      <c r="AS484" s="825"/>
      <c r="AT484" s="825"/>
      <c r="AU484" s="825"/>
      <c r="AV484" s="825"/>
      <c r="AW484" s="825"/>
      <c r="AX484" s="825"/>
      <c r="AY484" s="273"/>
      <c r="AZ484" s="273"/>
      <c r="BA484" s="825"/>
      <c r="BB484" s="825"/>
      <c r="BC484" s="825"/>
      <c r="BD484" s="825"/>
      <c r="BE484" s="825"/>
      <c r="BF484" s="825"/>
      <c r="BG484" s="825"/>
      <c r="BH484" s="825"/>
      <c r="BI484" s="825"/>
      <c r="BJ484" s="825"/>
      <c r="BK484" s="825"/>
      <c r="BL484" s="825"/>
      <c r="BM484" s="825"/>
      <c r="BN484" s="825"/>
      <c r="BO484" s="825"/>
      <c r="BP484" s="825"/>
      <c r="BQ484" s="825"/>
      <c r="BR484" s="825"/>
      <c r="BS484" s="825"/>
      <c r="BT484" s="825"/>
      <c r="BU484" s="825"/>
      <c r="BV484" s="825"/>
      <c r="BW484" s="825"/>
      <c r="BX484" s="825"/>
      <c r="BY484" s="825"/>
      <c r="BZ484" s="825"/>
      <c r="CA484" s="825"/>
      <c r="CB484" s="825"/>
      <c r="CC484" s="825"/>
    </row>
    <row r="485" spans="1:81" s="555" customFormat="1" ht="62.35" customHeight="1" x14ac:dyDescent="0.25">
      <c r="A485" s="558"/>
      <c r="B485" s="674"/>
      <c r="C485" s="1553"/>
      <c r="D485" s="1553"/>
      <c r="E485" s="1553"/>
      <c r="F485" s="1553"/>
      <c r="G485" s="1553"/>
      <c r="H485" s="1553"/>
      <c r="I485" s="1553"/>
      <c r="J485" s="680"/>
      <c r="K485" s="1553"/>
      <c r="L485" s="1553"/>
      <c r="M485" s="645" t="s">
        <v>489</v>
      </c>
      <c r="N485" s="730" t="str">
        <f>N10</f>
        <v>Superposición de áreas a ser tituladas individualmente con áreas solicitadas por pueblos indígenas</v>
      </c>
      <c r="O485" s="837" t="str">
        <f t="shared" si="12"/>
        <v>Derechos de los pueblos indígenas</v>
      </c>
      <c r="P485" s="546" t="str">
        <f>Z6</f>
        <v>DPI</v>
      </c>
      <c r="Q485" s="534" t="str">
        <f>AD9</f>
        <v>Evaluación de superposiciones de solicitudes de titulación de predios rurales con solicitudes de pueblos indígenas (como parte del proceso de titulación de un predio rural individual)</v>
      </c>
      <c r="R485" s="534" t="s">
        <v>541</v>
      </c>
      <c r="S485" s="546" t="s">
        <v>542</v>
      </c>
      <c r="T485" s="519" t="str">
        <f>AC9</f>
        <v>SDPI1</v>
      </c>
      <c r="U485" s="628"/>
      <c r="V485" s="478"/>
      <c r="W485" s="478"/>
      <c r="X485" s="273"/>
      <c r="Y485" s="825"/>
      <c r="Z485" s="825"/>
      <c r="AA485" s="825"/>
      <c r="AB485" s="825"/>
      <c r="AC485" s="825"/>
      <c r="AD485" s="825"/>
      <c r="AE485" s="825"/>
      <c r="AF485" s="825"/>
      <c r="AG485" s="825"/>
      <c r="AH485" s="825"/>
      <c r="AI485" s="825"/>
      <c r="AJ485" s="825"/>
      <c r="AK485" s="825"/>
      <c r="AL485" s="825"/>
      <c r="AM485" s="825"/>
      <c r="AN485" s="825"/>
      <c r="AO485" s="825"/>
      <c r="AP485" s="825"/>
      <c r="AQ485" s="825"/>
      <c r="AR485" s="825"/>
      <c r="AS485" s="825"/>
      <c r="AT485" s="825"/>
      <c r="AU485" s="825"/>
      <c r="AV485" s="825"/>
      <c r="AW485" s="825"/>
      <c r="AX485" s="825"/>
      <c r="AY485" s="273"/>
      <c r="AZ485" s="273"/>
      <c r="BA485" s="825"/>
      <c r="BB485" s="825"/>
      <c r="BC485" s="825"/>
      <c r="BD485" s="825"/>
      <c r="BE485" s="825"/>
      <c r="BF485" s="825"/>
      <c r="BG485" s="825"/>
      <c r="BH485" s="825"/>
      <c r="BI485" s="825"/>
      <c r="BJ485" s="825"/>
      <c r="BK485" s="825"/>
      <c r="BL485" s="825"/>
      <c r="BM485" s="825"/>
      <c r="BN485" s="825"/>
      <c r="BO485" s="825"/>
      <c r="BP485" s="825"/>
      <c r="BQ485" s="825"/>
      <c r="BR485" s="825"/>
      <c r="BS485" s="825"/>
      <c r="BT485" s="825"/>
      <c r="BU485" s="825"/>
      <c r="BV485" s="825"/>
      <c r="BW485" s="825"/>
      <c r="BX485" s="825"/>
      <c r="BY485" s="825"/>
      <c r="BZ485" s="825"/>
      <c r="CA485" s="825"/>
      <c r="CB485" s="825"/>
      <c r="CC485" s="825"/>
    </row>
    <row r="486" spans="1:81" s="555" customFormat="1" ht="43.5" x14ac:dyDescent="0.25">
      <c r="A486" s="558"/>
      <c r="B486" s="674"/>
      <c r="C486" s="1553"/>
      <c r="D486" s="1553"/>
      <c r="E486" s="1553"/>
      <c r="F486" s="1553"/>
      <c r="G486" s="1553"/>
      <c r="H486" s="1553"/>
      <c r="I486" s="1553"/>
      <c r="J486" s="680"/>
      <c r="K486" s="1553"/>
      <c r="L486" s="1553"/>
      <c r="M486" s="645" t="s">
        <v>489</v>
      </c>
      <c r="N486" s="730" t="str">
        <f>N10</f>
        <v>Superposición de áreas a ser tituladas individualmente con áreas solicitadas por pueblos indígenas</v>
      </c>
      <c r="O486" s="837" t="str">
        <f t="shared" si="12"/>
        <v>Derechos de los pueblos indígenas</v>
      </c>
      <c r="P486" s="546" t="str">
        <f>Z6</f>
        <v>DPI</v>
      </c>
      <c r="Q486" s="534" t="str">
        <f>AD10</f>
        <v xml:space="preserve">Análisis de demandas de titulación de tierras a favor de comunidades nativas a nivel departamental con organizaciones indígenas </v>
      </c>
      <c r="R486" s="534" t="s">
        <v>555</v>
      </c>
      <c r="S486" s="546" t="s">
        <v>507</v>
      </c>
      <c r="T486" s="519" t="str">
        <f>AC10</f>
        <v>SDPI2</v>
      </c>
      <c r="U486" s="628"/>
      <c r="V486" s="478"/>
      <c r="W486" s="478"/>
      <c r="X486" s="273"/>
      <c r="Y486" s="825"/>
      <c r="Z486" s="825"/>
      <c r="AA486" s="825"/>
      <c r="AB486" s="825"/>
      <c r="AC486" s="825"/>
      <c r="AD486" s="825"/>
      <c r="AE486" s="825"/>
      <c r="AF486" s="825"/>
      <c r="AG486" s="825"/>
      <c r="AH486" s="825"/>
      <c r="AI486" s="825"/>
      <c r="AJ486" s="825"/>
      <c r="AK486" s="825"/>
      <c r="AL486" s="825"/>
      <c r="AM486" s="825"/>
      <c r="AN486" s="825"/>
      <c r="AO486" s="825"/>
      <c r="AP486" s="825"/>
      <c r="AQ486" s="825"/>
      <c r="AR486" s="825"/>
      <c r="AS486" s="825"/>
      <c r="AT486" s="825"/>
      <c r="AU486" s="825"/>
      <c r="AV486" s="825"/>
      <c r="AW486" s="825"/>
      <c r="AX486" s="825"/>
      <c r="AY486" s="273"/>
      <c r="AZ486" s="273"/>
      <c r="BA486" s="825"/>
      <c r="BB486" s="825"/>
      <c r="BC486" s="825"/>
      <c r="BD486" s="825"/>
      <c r="BE486" s="825"/>
      <c r="BF486" s="825"/>
      <c r="BG486" s="825"/>
      <c r="BH486" s="825"/>
      <c r="BI486" s="825"/>
      <c r="BJ486" s="825"/>
      <c r="BK486" s="825"/>
      <c r="BL486" s="825"/>
      <c r="BM486" s="825"/>
      <c r="BN486" s="825"/>
      <c r="BO486" s="825"/>
      <c r="BP486" s="825"/>
      <c r="BQ486" s="825"/>
      <c r="BR486" s="825"/>
      <c r="BS486" s="825"/>
      <c r="BT486" s="825"/>
      <c r="BU486" s="825"/>
      <c r="BV486" s="825"/>
      <c r="BW486" s="825"/>
      <c r="BX486" s="825"/>
      <c r="BY486" s="825"/>
      <c r="BZ486" s="825"/>
      <c r="CA486" s="825"/>
      <c r="CB486" s="825"/>
      <c r="CC486" s="825"/>
    </row>
    <row r="487" spans="1:81" s="555" customFormat="1" ht="26.35" customHeight="1" x14ac:dyDescent="0.25">
      <c r="A487" s="558"/>
      <c r="B487" s="674"/>
      <c r="C487" s="1553"/>
      <c r="D487" s="1553"/>
      <c r="E487" s="1553"/>
      <c r="F487" s="1553"/>
      <c r="G487" s="1553"/>
      <c r="H487" s="1553"/>
      <c r="I487" s="1553"/>
      <c r="J487" s="680"/>
      <c r="K487" s="1553"/>
      <c r="L487" s="1553"/>
      <c r="M487" s="645" t="s">
        <v>489</v>
      </c>
      <c r="N487" s="730" t="str">
        <f>N13</f>
        <v xml:space="preserve">Tráfico de títulos de propiedad y contratos de cesión en uso </v>
      </c>
      <c r="O487" s="837" t="str">
        <f t="shared" si="12"/>
        <v>Corrupción</v>
      </c>
      <c r="P487" s="546" t="e">
        <f>#REF!</f>
        <v>#REF!</v>
      </c>
      <c r="Q487" s="534" t="str">
        <f>AG9</f>
        <v xml:space="preserve">Transparencia en procesos de formalización de la propiedad rural y cesión en uso </v>
      </c>
      <c r="R487" s="534" t="s">
        <v>566</v>
      </c>
      <c r="S487" s="546" t="s">
        <v>526</v>
      </c>
      <c r="T487" s="519" t="str">
        <f>AF9</f>
        <v>SCR1</v>
      </c>
      <c r="U487" s="628"/>
      <c r="V487" s="478"/>
      <c r="W487" s="478"/>
      <c r="X487" s="273"/>
      <c r="Y487" s="825"/>
      <c r="Z487" s="825"/>
      <c r="AA487" s="825"/>
      <c r="AB487" s="825"/>
      <c r="AC487" s="825"/>
      <c r="AD487" s="825"/>
      <c r="AE487" s="825"/>
      <c r="AF487" s="825"/>
      <c r="AG487" s="825"/>
      <c r="AH487" s="825"/>
      <c r="AI487" s="825"/>
      <c r="AJ487" s="825"/>
      <c r="AK487" s="825"/>
      <c r="AL487" s="825"/>
      <c r="AM487" s="825"/>
      <c r="AN487" s="825"/>
      <c r="AO487" s="825"/>
      <c r="AP487" s="825"/>
      <c r="AQ487" s="825"/>
      <c r="AR487" s="825"/>
      <c r="AS487" s="825"/>
      <c r="AT487" s="825"/>
      <c r="AU487" s="825"/>
      <c r="AV487" s="825"/>
      <c r="AW487" s="825"/>
      <c r="AX487" s="825"/>
      <c r="AY487" s="273"/>
      <c r="AZ487" s="273"/>
      <c r="BA487" s="825"/>
      <c r="BB487" s="825"/>
      <c r="BC487" s="825"/>
      <c r="BD487" s="825"/>
      <c r="BE487" s="825"/>
      <c r="BF487" s="825"/>
      <c r="BG487" s="825"/>
      <c r="BH487" s="825"/>
      <c r="BI487" s="825"/>
      <c r="BJ487" s="825"/>
      <c r="BK487" s="825"/>
      <c r="BL487" s="825"/>
      <c r="BM487" s="825"/>
      <c r="BN487" s="825"/>
      <c r="BO487" s="825"/>
      <c r="BP487" s="825"/>
      <c r="BQ487" s="825"/>
      <c r="BR487" s="825"/>
      <c r="BS487" s="825"/>
      <c r="BT487" s="825"/>
      <c r="BU487" s="825"/>
      <c r="BV487" s="825"/>
      <c r="BW487" s="825"/>
      <c r="BX487" s="825"/>
      <c r="BY487" s="825"/>
      <c r="BZ487" s="825"/>
      <c r="CA487" s="825"/>
      <c r="CB487" s="825"/>
      <c r="CC487" s="825"/>
    </row>
    <row r="488" spans="1:81" s="555" customFormat="1" ht="41.3" customHeight="1" x14ac:dyDescent="0.25">
      <c r="A488" s="558"/>
      <c r="B488" s="674"/>
      <c r="C488" s="1553"/>
      <c r="D488" s="1553"/>
      <c r="E488" s="1553"/>
      <c r="F488" s="1553"/>
      <c r="G488" s="1553"/>
      <c r="H488" s="1553"/>
      <c r="I488" s="1553"/>
      <c r="J488" s="680"/>
      <c r="K488" s="1553"/>
      <c r="L488" s="1553"/>
      <c r="M488" s="645" t="s">
        <v>489</v>
      </c>
      <c r="N488" s="730" t="str">
        <f>N14</f>
        <v>Exclusión de mujeres propietarias en títulos de propiedad o contratos de cesión en uso</v>
      </c>
      <c r="O488" s="837" t="str">
        <f t="shared" si="12"/>
        <v>Género</v>
      </c>
      <c r="P488" s="546" t="str">
        <f>AC6</f>
        <v>GN</v>
      </c>
      <c r="Q488" s="534" t="str">
        <f>AJ9</f>
        <v xml:space="preserve">Incorporación de cónyuges o convivientes en títulos de propiedad y contratos de cesión en uso </v>
      </c>
      <c r="R488" s="534" t="s">
        <v>576</v>
      </c>
      <c r="S488" s="546" t="s">
        <v>507</v>
      </c>
      <c r="T488" s="519" t="str">
        <f>AI9</f>
        <v>SGN1</v>
      </c>
      <c r="U488" s="628"/>
      <c r="V488" s="478"/>
      <c r="W488" s="478"/>
      <c r="X488" s="273"/>
      <c r="Y488" s="825"/>
      <c r="Z488" s="825"/>
      <c r="AA488" s="825"/>
      <c r="AB488" s="825"/>
      <c r="AC488" s="825"/>
      <c r="AD488" s="825"/>
      <c r="AE488" s="825"/>
      <c r="AF488" s="825"/>
      <c r="AG488" s="825"/>
      <c r="AH488" s="825"/>
      <c r="AI488" s="825"/>
      <c r="AJ488" s="825"/>
      <c r="AK488" s="825"/>
      <c r="AL488" s="825"/>
      <c r="AM488" s="825"/>
      <c r="AN488" s="825"/>
      <c r="AO488" s="825"/>
      <c r="AP488" s="825"/>
      <c r="AQ488" s="825"/>
      <c r="AR488" s="825"/>
      <c r="AS488" s="825"/>
      <c r="AT488" s="825"/>
      <c r="AU488" s="825"/>
      <c r="AV488" s="825"/>
      <c r="AW488" s="825"/>
      <c r="AX488" s="825"/>
      <c r="AY488" s="273"/>
      <c r="AZ488" s="273"/>
      <c r="BA488" s="825"/>
      <c r="BB488" s="825"/>
      <c r="BC488" s="825"/>
      <c r="BD488" s="825"/>
      <c r="BE488" s="825"/>
      <c r="BF488" s="825"/>
      <c r="BG488" s="825"/>
      <c r="BH488" s="825"/>
      <c r="BI488" s="825"/>
      <c r="BJ488" s="825"/>
      <c r="BK488" s="825"/>
      <c r="BL488" s="825"/>
      <c r="BM488" s="825"/>
      <c r="BN488" s="825"/>
      <c r="BO488" s="825"/>
      <c r="BP488" s="825"/>
      <c r="BQ488" s="825"/>
      <c r="BR488" s="825"/>
      <c r="BS488" s="825"/>
      <c r="BT488" s="825"/>
      <c r="BU488" s="825"/>
      <c r="BV488" s="825"/>
      <c r="BW488" s="825"/>
      <c r="BX488" s="825"/>
      <c r="BY488" s="825"/>
      <c r="BZ488" s="825"/>
      <c r="CA488" s="825"/>
      <c r="CB488" s="825"/>
      <c r="CC488" s="825"/>
    </row>
    <row r="489" spans="1:81" s="555" customFormat="1" ht="44.35" customHeight="1" x14ac:dyDescent="0.25">
      <c r="A489" s="558"/>
      <c r="B489" s="674"/>
      <c r="C489" s="1552"/>
      <c r="D489" s="1552"/>
      <c r="E489" s="1552"/>
      <c r="F489" s="1552"/>
      <c r="G489" s="1552"/>
      <c r="H489" s="1552"/>
      <c r="I489" s="1552"/>
      <c r="J489" s="680"/>
      <c r="K489" s="1552"/>
      <c r="L489" s="1552"/>
      <c r="M489" s="645" t="s">
        <v>489</v>
      </c>
      <c r="N489" s="730" t="str">
        <f>N15</f>
        <v>Otorgamiento de derechos sobre la tierra / bosques en zonas con patrimonio cultural</v>
      </c>
      <c r="O489" s="837" t="str">
        <f t="shared" si="12"/>
        <v>Patrimonio cultural</v>
      </c>
      <c r="P489" s="546" t="str">
        <f>AI6</f>
        <v>PC</v>
      </c>
      <c r="Q489" s="534" t="str">
        <f>AV9</f>
        <v>Evaluación de superposición del área solicitada para titulación de predios rurales con áreas determinadas como patrimonio cultural</v>
      </c>
      <c r="R489" s="534" t="s">
        <v>586</v>
      </c>
      <c r="S489" s="546" t="s">
        <v>542</v>
      </c>
      <c r="T489" s="519" t="str">
        <f>AU9</f>
        <v>SPC1</v>
      </c>
      <c r="U489" s="628"/>
      <c r="V489" s="478"/>
      <c r="W489" s="478"/>
      <c r="X489" s="273"/>
      <c r="Y489" s="825"/>
      <c r="Z489" s="825"/>
      <c r="AA489" s="825"/>
      <c r="AB489" s="825"/>
      <c r="AC489" s="825"/>
      <c r="AD489" s="825"/>
      <c r="AE489" s="825"/>
      <c r="AF489" s="825"/>
      <c r="AG489" s="825"/>
      <c r="AH489" s="825"/>
      <c r="AI489" s="825"/>
      <c r="AJ489" s="825"/>
      <c r="AK489" s="825"/>
      <c r="AL489" s="825"/>
      <c r="AM489" s="825"/>
      <c r="AN489" s="825"/>
      <c r="AO489" s="825"/>
      <c r="AP489" s="825"/>
      <c r="AQ489" s="825"/>
      <c r="AR489" s="825"/>
      <c r="AS489" s="825"/>
      <c r="AT489" s="825"/>
      <c r="AU489" s="825"/>
      <c r="AV489" s="825"/>
      <c r="AW489" s="825"/>
      <c r="AX489" s="825"/>
      <c r="AY489" s="273"/>
      <c r="AZ489" s="273"/>
      <c r="BA489" s="825"/>
      <c r="BB489" s="825"/>
      <c r="BC489" s="825"/>
      <c r="BD489" s="825"/>
      <c r="BE489" s="825"/>
      <c r="BF489" s="825"/>
      <c r="BG489" s="825"/>
      <c r="BH489" s="825"/>
      <c r="BI489" s="825"/>
      <c r="BJ489" s="825"/>
      <c r="BK489" s="825"/>
      <c r="BL489" s="825"/>
      <c r="BM489" s="825"/>
      <c r="BN489" s="825"/>
      <c r="BO489" s="825"/>
      <c r="BP489" s="825"/>
      <c r="BQ489" s="825"/>
      <c r="BR489" s="825"/>
      <c r="BS489" s="825"/>
      <c r="BT489" s="825"/>
      <c r="BU489" s="825"/>
      <c r="BV489" s="825"/>
      <c r="BW489" s="825"/>
      <c r="BX489" s="825"/>
      <c r="BY489" s="825"/>
      <c r="BZ489" s="825"/>
      <c r="CA489" s="825"/>
      <c r="CB489" s="825"/>
      <c r="CC489" s="825"/>
    </row>
    <row r="490" spans="1:81" ht="51.8" customHeight="1" x14ac:dyDescent="0.25">
      <c r="A490" s="558"/>
      <c r="B490" s="1622" t="s">
        <v>897</v>
      </c>
      <c r="C490" s="1624" t="str">
        <f>'8. BASE  CONSOLIDADA'!E169</f>
        <v>4.3.2</v>
      </c>
      <c r="D490" s="1602" t="str">
        <f>'8. BASE  CONSOLIDADA'!F169</f>
        <v>Acceso a financiamiento para modelos de asociación con pequeños productores</v>
      </c>
      <c r="E490" s="1602" t="str">
        <f>'8. BASE  CONSOLIDADA'!G169</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v>
      </c>
      <c r="F490" s="1540" t="str">
        <f>'8. BASE  CONSOLIDADA'!C169</f>
        <v>Empresas comercializadoras de palma y sus derivados.</v>
      </c>
      <c r="G490" s="1150" t="str">
        <f>VLOOKUP($C490,'8. BASE  CONSOLIDADA'!$E$7:$AS$308,13,FALSE)</f>
        <v>Productores atendidos</v>
      </c>
      <c r="H490" s="1151">
        <f>VLOOKUP($C490,'8. BASE  CONSOLIDADA'!$E$7:$AS$308,15,FALSE)</f>
        <v>648.29999999999995</v>
      </c>
      <c r="I490" s="1058">
        <f>VLOOKUP(C490,'8. BASE  CONSOLIDADA'!$E$7:$AS$308,20,FALSE)</f>
        <v>6969224.9999999991</v>
      </c>
      <c r="J490" s="678">
        <f>I490*$J$6</f>
        <v>4739.0729999999994</v>
      </c>
      <c r="K490" s="1020"/>
      <c r="L490" s="1030"/>
      <c r="M490" s="645" t="s">
        <v>489</v>
      </c>
      <c r="N490" s="730" t="str">
        <f>N16</f>
        <v>Exclusión de mujeres rurales en programas de asistencia técnica</v>
      </c>
      <c r="O490" s="837" t="str">
        <f t="shared" si="12"/>
        <v>Género</v>
      </c>
      <c r="P490" s="546" t="str">
        <f>AC6</f>
        <v>GN</v>
      </c>
      <c r="Q490" s="534" t="str">
        <f>AJ10</f>
        <v>Programas de asistencia técnica y proyectos específicos para mujeres rurales y mujeres indígenas</v>
      </c>
      <c r="R490" s="534" t="s">
        <v>596</v>
      </c>
      <c r="S490" s="546" t="s">
        <v>507</v>
      </c>
      <c r="T490" s="519" t="str">
        <f>AI10</f>
        <v>SGN2</v>
      </c>
      <c r="U490" s="628"/>
      <c r="V490" s="478"/>
      <c r="W490" s="478"/>
      <c r="X490" s="273"/>
      <c r="Y490" s="825"/>
      <c r="Z490" s="825"/>
      <c r="AA490" s="825"/>
      <c r="AB490" s="825"/>
      <c r="AC490" s="825"/>
      <c r="AD490" s="825"/>
      <c r="AE490" s="825"/>
      <c r="AF490" s="825"/>
      <c r="AG490" s="825"/>
      <c r="AH490" s="825"/>
      <c r="AI490" s="825"/>
      <c r="AJ490" s="825"/>
      <c r="AK490" s="825"/>
      <c r="AL490" s="825"/>
      <c r="AM490" s="825"/>
      <c r="AN490" s="825"/>
      <c r="AO490" s="825"/>
      <c r="AP490" s="825"/>
      <c r="AQ490" s="825"/>
      <c r="AR490" s="825"/>
      <c r="AS490" s="825"/>
      <c r="AT490" s="825"/>
      <c r="AU490" s="825"/>
      <c r="AV490" s="825"/>
      <c r="AW490" s="825"/>
      <c r="AX490" s="825"/>
      <c r="BA490" s="825"/>
      <c r="BB490" s="825"/>
      <c r="BC490" s="825"/>
      <c r="BD490" s="825"/>
      <c r="BE490" s="825"/>
      <c r="BF490" s="825"/>
      <c r="BG490" s="825"/>
      <c r="BH490" s="825"/>
      <c r="BI490" s="825"/>
      <c r="BJ490" s="825"/>
      <c r="BK490" s="825"/>
      <c r="BL490" s="825"/>
      <c r="BM490" s="825"/>
      <c r="BN490" s="825"/>
      <c r="BO490" s="825"/>
      <c r="BP490" s="825"/>
      <c r="BQ490" s="825"/>
      <c r="BR490" s="825"/>
      <c r="BS490" s="825"/>
      <c r="BT490" s="825"/>
      <c r="BU490" s="825"/>
      <c r="BV490" s="825"/>
      <c r="BW490" s="825"/>
      <c r="BX490" s="825"/>
      <c r="BY490" s="825"/>
      <c r="BZ490" s="825"/>
      <c r="CA490" s="825"/>
      <c r="CB490" s="825"/>
      <c r="CC490" s="825"/>
    </row>
    <row r="491" spans="1:81" s="596" customFormat="1" ht="122.95" customHeight="1" x14ac:dyDescent="0.25">
      <c r="A491" s="558"/>
      <c r="B491" s="1622"/>
      <c r="C491" s="1625"/>
      <c r="D491" s="1604"/>
      <c r="E491" s="1604"/>
      <c r="F491" s="1542"/>
      <c r="G491" s="1097"/>
      <c r="H491" s="1117"/>
      <c r="I491" s="1061"/>
      <c r="J491" s="679"/>
      <c r="K491" s="1021"/>
      <c r="L491" s="1029"/>
      <c r="M491" s="645" t="s">
        <v>489</v>
      </c>
      <c r="N491" s="730" t="s">
        <v>900</v>
      </c>
      <c r="O491" s="837" t="str">
        <f t="shared" si="12"/>
        <v>Biodiversidad y recursos naturales</v>
      </c>
      <c r="P491" s="546" t="e">
        <f>#REF!</f>
        <v>#REF!</v>
      </c>
      <c r="Q491" s="534" t="str">
        <f>AA18</f>
        <v>Elaboración, implementación y monitoreo de acuerdos de no ampliación de frontera agrícola y no deforestación de bosques primarios</v>
      </c>
      <c r="R491" s="534" t="s">
        <v>901</v>
      </c>
      <c r="S491" s="546" t="s">
        <v>526</v>
      </c>
      <c r="T491" s="519" t="str">
        <f>Z18</f>
        <v>SBRN10</v>
      </c>
      <c r="U491" s="628"/>
      <c r="V491" s="478"/>
      <c r="W491" s="478"/>
      <c r="X491" s="273"/>
      <c r="Y491" s="825"/>
      <c r="Z491" s="825"/>
      <c r="AA491" s="825"/>
      <c r="AB491" s="825"/>
      <c r="AC491" s="825"/>
      <c r="AD491" s="825"/>
      <c r="AE491" s="825"/>
      <c r="AF491" s="825"/>
      <c r="AG491" s="825"/>
      <c r="AH491" s="825"/>
      <c r="AI491" s="825"/>
      <c r="AJ491" s="825"/>
      <c r="AK491" s="825"/>
      <c r="AL491" s="825"/>
      <c r="AM491" s="825"/>
      <c r="AN491" s="825"/>
      <c r="AO491" s="825"/>
      <c r="AP491" s="825"/>
      <c r="AQ491" s="825"/>
      <c r="AR491" s="825"/>
      <c r="AS491" s="825"/>
      <c r="AT491" s="825"/>
      <c r="AU491" s="825"/>
      <c r="AV491" s="825"/>
      <c r="AW491" s="825"/>
      <c r="AX491" s="825"/>
      <c r="AY491" s="273"/>
      <c r="AZ491" s="273"/>
      <c r="BA491" s="825"/>
      <c r="BB491" s="825"/>
      <c r="BC491" s="825"/>
      <c r="BD491" s="825"/>
      <c r="BE491" s="825"/>
      <c r="BF491" s="825"/>
      <c r="BG491" s="825"/>
      <c r="BH491" s="825"/>
      <c r="BI491" s="825"/>
      <c r="BJ491" s="825"/>
      <c r="BK491" s="825"/>
      <c r="BL491" s="825"/>
      <c r="BM491" s="825"/>
      <c r="BN491" s="825"/>
      <c r="BO491" s="825"/>
      <c r="BP491" s="825"/>
      <c r="BQ491" s="825"/>
      <c r="BR491" s="825"/>
      <c r="BS491" s="825"/>
      <c r="BT491" s="825"/>
      <c r="BU491" s="825"/>
      <c r="BV491" s="825"/>
      <c r="BW491" s="825"/>
      <c r="BX491" s="825"/>
      <c r="BY491" s="825"/>
      <c r="BZ491" s="825"/>
      <c r="CA491" s="825"/>
      <c r="CB491" s="825"/>
      <c r="CC491" s="825"/>
    </row>
    <row r="492" spans="1:81" ht="59.95" customHeight="1" x14ac:dyDescent="0.25">
      <c r="A492" s="558"/>
      <c r="B492" s="674" t="s">
        <v>897</v>
      </c>
      <c r="C492" s="1157" t="str">
        <f>'8. BASE  CONSOLIDADA'!E170</f>
        <v>4.3.3</v>
      </c>
      <c r="D492" s="1158" t="str">
        <f>'8. BASE  CONSOLIDADA'!F170</f>
        <v>Acompañamiento de acuerdos comerciales entre empresas y medianos productores</v>
      </c>
      <c r="E492" s="1158" t="str">
        <f>'8. BASE  CONSOLIDADA'!G170</f>
        <v>Brindar asesoramiento y acompañamiento a los productores organizados y no organizados en sus procesos de negociación, este acompañamiento permitirá llegar a buenos acuerdos con las empresas y asegurar que los pequeños productores tengan acceso a precios justos.</v>
      </c>
      <c r="F492" s="635" t="str">
        <f>'8. BASE  CONSOLIDADA'!C170</f>
        <v>Empresas comercializadoras de palma y sus derivados.</v>
      </c>
      <c r="G492" s="1150" t="str">
        <f>VLOOKUP($C492,'8. BASE  CONSOLIDADA'!$E$7:$AS$308,13,FALSE)</f>
        <v>Especialistas</v>
      </c>
      <c r="H492" s="1151">
        <f>VLOOKUP($C492,'8. BASE  CONSOLIDADA'!$E$7:$AS$308,15,FALSE)</f>
        <v>2</v>
      </c>
      <c r="I492" s="1058">
        <f>VLOOKUP(C492,'8. BASE  CONSOLIDADA'!$E$7:$AS$308,20,FALSE)</f>
        <v>420000</v>
      </c>
      <c r="J492" s="678">
        <f>I492*$J$6</f>
        <v>285.60000000000002</v>
      </c>
      <c r="K492" s="1020"/>
      <c r="L492" s="1029"/>
      <c r="M492" s="645" t="s">
        <v>489</v>
      </c>
      <c r="N492" s="730" t="str">
        <f>N396</f>
        <v>Desventajas en los procesos de negociación</v>
      </c>
      <c r="O492" s="837" t="str">
        <f t="shared" si="12"/>
        <v>Corrupción</v>
      </c>
      <c r="P492" s="546" t="e">
        <f>#REF!</f>
        <v>#REF!</v>
      </c>
      <c r="Q492" s="534" t="str">
        <f>AG19</f>
        <v xml:space="preserve">Fortalecimiento a las partes para que los acuerdos comerciales entre empresa y productores rurales sean transparentes, justos y equitativos que beneficien a ambas partes </v>
      </c>
      <c r="R492" s="534" t="s">
        <v>891</v>
      </c>
      <c r="S492" s="546" t="s">
        <v>507</v>
      </c>
      <c r="T492" s="519" t="str">
        <f>AF19</f>
        <v>SCR11</v>
      </c>
      <c r="U492" s="628"/>
      <c r="V492" s="478"/>
      <c r="W492" s="478"/>
      <c r="X492" s="273"/>
      <c r="Y492" s="825"/>
      <c r="Z492" s="825"/>
      <c r="AA492" s="825"/>
      <c r="AB492" s="825"/>
      <c r="AC492" s="825"/>
      <c r="AD492" s="825"/>
      <c r="AE492" s="825"/>
      <c r="AF492" s="825"/>
      <c r="AG492" s="825"/>
      <c r="AH492" s="825"/>
      <c r="AI492" s="825"/>
      <c r="AJ492" s="825"/>
      <c r="AK492" s="825"/>
      <c r="AL492" s="825"/>
      <c r="AM492" s="825"/>
      <c r="AN492" s="825"/>
      <c r="AO492" s="825"/>
      <c r="AP492" s="825"/>
      <c r="AQ492" s="825"/>
      <c r="AR492" s="825"/>
      <c r="AS492" s="825"/>
      <c r="AT492" s="825"/>
      <c r="AU492" s="825"/>
      <c r="AV492" s="825"/>
      <c r="AW492" s="825"/>
      <c r="AX492" s="825"/>
      <c r="BA492" s="825"/>
      <c r="BB492" s="825"/>
      <c r="BC492" s="825"/>
      <c r="BD492" s="825"/>
      <c r="BE492" s="825"/>
      <c r="BF492" s="825"/>
      <c r="BG492" s="825"/>
      <c r="BH492" s="825"/>
      <c r="BI492" s="825"/>
      <c r="BJ492" s="825"/>
      <c r="BK492" s="825"/>
      <c r="BL492" s="825"/>
      <c r="BM492" s="825"/>
      <c r="BN492" s="825"/>
      <c r="BO492" s="825"/>
      <c r="BP492" s="825"/>
      <c r="BQ492" s="825"/>
      <c r="BR492" s="825"/>
      <c r="BS492" s="825"/>
      <c r="BT492" s="825"/>
      <c r="BU492" s="825"/>
      <c r="BV492" s="825"/>
      <c r="BW492" s="825"/>
      <c r="BX492" s="825"/>
      <c r="BY492" s="825"/>
      <c r="BZ492" s="825"/>
      <c r="CA492" s="825"/>
      <c r="CB492" s="825"/>
      <c r="CC492" s="825"/>
    </row>
    <row r="493" spans="1:81" ht="21.75" customHeight="1" x14ac:dyDescent="0.25">
      <c r="A493" s="558"/>
      <c r="B493" s="674"/>
      <c r="C493" s="1157" t="str">
        <f>'8. BASE  CONSOLIDADA'!E171</f>
        <v>4.3.4</v>
      </c>
      <c r="D493" s="1158" t="str">
        <f>'8. BASE  CONSOLIDADA'!F171</f>
        <v>Ampliación de estudios de HCS y HCV para nuevas áreas potenciales para asociación con pequeños productores</v>
      </c>
      <c r="E493" s="1158" t="str">
        <f>'8. BASE  CONSOLIDADA'!G171</f>
        <v>Promover el financiamiento para el desarrollo e implementación de estudios de umbrales de carbono en el suelo y en los bosques.</v>
      </c>
      <c r="F493" s="635" t="str">
        <f>'8. BASE  CONSOLIDADA'!C171</f>
        <v>Empresas comercializadoras de palma y sus derivados.</v>
      </c>
      <c r="G493" s="1150" t="str">
        <f>VLOOKUP($C493,'8. BASE  CONSOLIDADA'!$E$7:$AS$308,13,FALSE)</f>
        <v xml:space="preserve">Estudios </v>
      </c>
      <c r="H493" s="1151">
        <f>VLOOKUP($C493,'8. BASE  CONSOLIDADA'!$E$7:$AS$308,15,FALSE)</f>
        <v>2</v>
      </c>
      <c r="I493" s="1058">
        <f>VLOOKUP(C493,'8. BASE  CONSOLIDADA'!$E$7:$AS$308,20,FALSE)</f>
        <v>440800</v>
      </c>
      <c r="J493" s="678">
        <f>I493*$J$6</f>
        <v>299.74400000000003</v>
      </c>
      <c r="K493" s="1020"/>
      <c r="L493" s="1027"/>
      <c r="M493" s="645" t="s">
        <v>489</v>
      </c>
      <c r="N493" s="730" t="s">
        <v>902</v>
      </c>
      <c r="O493" s="837" t="str">
        <f t="shared" ref="O493:O556" si="13">VLOOKUP(T493,$AY$9:$BA$81,3,FALSE)</f>
        <v>Género</v>
      </c>
      <c r="P493" s="546" t="str">
        <f>AC6</f>
        <v>GN</v>
      </c>
      <c r="Q493" s="534" t="str">
        <f>AJ11</f>
        <v xml:space="preserve">Cuotas de género y medición de participación efectiva de mujeres rurales </v>
      </c>
      <c r="R493" s="534" t="s">
        <v>689</v>
      </c>
      <c r="S493" s="546" t="s">
        <v>507</v>
      </c>
      <c r="T493" s="519" t="str">
        <f>AI11</f>
        <v>SGN3</v>
      </c>
      <c r="U493" s="628"/>
      <c r="V493" s="478"/>
      <c r="W493" s="478"/>
      <c r="X493" s="273"/>
      <c r="Y493" s="825"/>
      <c r="Z493" s="825"/>
      <c r="AA493" s="825"/>
      <c r="AB493" s="825"/>
      <c r="AC493" s="825"/>
      <c r="AD493" s="825"/>
      <c r="AE493" s="825"/>
      <c r="AF493" s="825"/>
      <c r="AG493" s="825"/>
      <c r="AH493" s="825"/>
      <c r="AI493" s="825"/>
      <c r="AJ493" s="825"/>
      <c r="AK493" s="825"/>
      <c r="AL493" s="825"/>
      <c r="AM493" s="825"/>
      <c r="AN493" s="825"/>
      <c r="AO493" s="825"/>
      <c r="AP493" s="825"/>
      <c r="AQ493" s="825"/>
      <c r="AR493" s="825"/>
      <c r="AS493" s="825"/>
      <c r="AT493" s="825"/>
      <c r="AU493" s="825"/>
      <c r="AV493" s="825"/>
      <c r="AW493" s="825"/>
      <c r="AX493" s="825"/>
      <c r="BA493" s="825"/>
      <c r="BB493" s="825"/>
      <c r="BC493" s="825"/>
      <c r="BD493" s="825"/>
      <c r="BE493" s="825"/>
      <c r="BF493" s="825"/>
      <c r="BG493" s="825"/>
      <c r="BH493" s="825"/>
      <c r="BI493" s="825"/>
      <c r="BJ493" s="825"/>
      <c r="BK493" s="825"/>
      <c r="BL493" s="825"/>
      <c r="BM493" s="825"/>
      <c r="BN493" s="825"/>
      <c r="BO493" s="825"/>
      <c r="BP493" s="825"/>
      <c r="BQ493" s="825"/>
      <c r="BR493" s="825"/>
      <c r="BS493" s="825"/>
      <c r="BT493" s="825"/>
      <c r="BU493" s="825"/>
      <c r="BV493" s="825"/>
      <c r="BW493" s="825"/>
      <c r="BX493" s="825"/>
      <c r="BY493" s="825"/>
      <c r="BZ493" s="825"/>
      <c r="CA493" s="825"/>
      <c r="CB493" s="825"/>
      <c r="CC493" s="825"/>
    </row>
    <row r="494" spans="1:81" ht="30.1" customHeight="1" x14ac:dyDescent="0.25">
      <c r="A494" s="558"/>
      <c r="B494" s="674" t="s">
        <v>897</v>
      </c>
      <c r="C494" s="1657" t="str">
        <f>'8. BASE  CONSOLIDADA'!E172</f>
        <v>4.4.1</v>
      </c>
      <c r="D494" s="1660" t="str">
        <f>'8. BASE  CONSOLIDADA'!F172</f>
        <v xml:space="preserve">Concluir reconocimiento y titulación </v>
      </c>
      <c r="E494" s="1602" t="str">
        <f>'8. BASE  CONSOLIDADA'!G172</f>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
Saneamiento físico legal (georreferenciación, actualización gráfica, e inscripción en registros públicos), en concordancia con la R.M. 0370-2017-MINAGRI, de 2 comunidades nativas: MUSHUCK LLACTA DE CHIPAOTA y  CHARAPILLO.</v>
      </c>
      <c r="F494" s="1557" t="str">
        <f>'8. BASE  CONSOLIDADA'!C172</f>
        <v>Territorios de comunidades nativas</v>
      </c>
      <c r="G494" s="1557" t="str">
        <f>VLOOKUP($C494,'8. BASE  CONSOLIDADA'!$E$7:$AS$308,13,FALSE)</f>
        <v>Comunidades tituladas</v>
      </c>
      <c r="H494" s="1557">
        <f>VLOOKUP($C494,'8. BASE  CONSOLIDADA'!$E$7:$AS$308,15,FALSE)</f>
        <v>44</v>
      </c>
      <c r="I494" s="1557">
        <f>VLOOKUP(C494,'8. BASE  CONSOLIDADA'!$E$7:$AS$308,20,FALSE)</f>
        <v>3135000</v>
      </c>
      <c r="J494" s="1557">
        <f>I494*$J$6</f>
        <v>2131.8000000000002</v>
      </c>
      <c r="K494" s="1040"/>
      <c r="L494" s="1032"/>
      <c r="M494" s="744" t="s">
        <v>489</v>
      </c>
      <c r="N494" s="730" t="str">
        <f t="shared" ref="N494:N500" si="14">N37</f>
        <v>Conflictos sociales en procesos de titulación de pueblos indígenas</v>
      </c>
      <c r="O494" s="837" t="str">
        <f t="shared" si="13"/>
        <v>Derechos de los pueblos indígenas</v>
      </c>
      <c r="P494" s="546" t="str">
        <f>Z6</f>
        <v>DPI</v>
      </c>
      <c r="Q494" s="534" t="str">
        <f>AD11</f>
        <v>Soporte para solución de conflictos entre pueblos indígenas y terceros</v>
      </c>
      <c r="R494" s="534" t="s">
        <v>711</v>
      </c>
      <c r="S494" s="546" t="s">
        <v>492</v>
      </c>
      <c r="T494" s="519" t="str">
        <f>AC11</f>
        <v>SDPI3</v>
      </c>
      <c r="U494" s="628"/>
      <c r="V494" s="478"/>
      <c r="W494" s="478"/>
      <c r="X494" s="273"/>
      <c r="Y494" s="825"/>
      <c r="Z494" s="825"/>
      <c r="AA494" s="825"/>
      <c r="AB494" s="825"/>
      <c r="AC494" s="825"/>
      <c r="AD494" s="825"/>
      <c r="AE494" s="825"/>
      <c r="AF494" s="825"/>
      <c r="AG494" s="825"/>
      <c r="AH494" s="825"/>
      <c r="AI494" s="825"/>
      <c r="AJ494" s="825"/>
      <c r="AK494" s="825"/>
      <c r="AL494" s="825"/>
      <c r="AM494" s="825"/>
      <c r="AN494" s="825"/>
      <c r="AO494" s="825"/>
      <c r="AP494" s="825"/>
      <c r="AQ494" s="825"/>
      <c r="AR494" s="825"/>
      <c r="AS494" s="825"/>
      <c r="AT494" s="825"/>
      <c r="AU494" s="825"/>
      <c r="AV494" s="825"/>
      <c r="AW494" s="825"/>
      <c r="AX494" s="825"/>
      <c r="BA494" s="825"/>
      <c r="BB494" s="825"/>
      <c r="BC494" s="825"/>
      <c r="BD494" s="825"/>
      <c r="BE494" s="825"/>
      <c r="BF494" s="825"/>
      <c r="BG494" s="825"/>
      <c r="BH494" s="825"/>
      <c r="BI494" s="825"/>
      <c r="BJ494" s="825"/>
      <c r="BK494" s="825"/>
      <c r="BL494" s="825"/>
      <c r="BM494" s="825"/>
      <c r="BN494" s="825"/>
      <c r="BO494" s="825"/>
      <c r="BP494" s="825"/>
      <c r="BQ494" s="825"/>
      <c r="BR494" s="825"/>
      <c r="BS494" s="825"/>
      <c r="BT494" s="825"/>
      <c r="BU494" s="825"/>
      <c r="BV494" s="825"/>
      <c r="BW494" s="825"/>
      <c r="BX494" s="825"/>
      <c r="BY494" s="825"/>
      <c r="BZ494" s="825"/>
      <c r="CA494" s="825"/>
      <c r="CB494" s="825"/>
      <c r="CC494" s="825"/>
    </row>
    <row r="495" spans="1:81" s="548" customFormat="1" ht="76.599999999999994" customHeight="1" x14ac:dyDescent="0.25">
      <c r="A495" s="558"/>
      <c r="B495" s="674"/>
      <c r="C495" s="1658"/>
      <c r="D495" s="1661"/>
      <c r="E495" s="1603"/>
      <c r="F495" s="1558"/>
      <c r="G495" s="1558"/>
      <c r="H495" s="1558"/>
      <c r="I495" s="1558"/>
      <c r="J495" s="1558"/>
      <c r="K495" s="1028">
        <v>8000</v>
      </c>
      <c r="L495" s="1028">
        <f>K495*H494</f>
        <v>352000</v>
      </c>
      <c r="M495" s="745" t="s">
        <v>715</v>
      </c>
      <c r="N495" s="730" t="str">
        <f t="shared" si="14"/>
        <v>Comunidades no cuentan con representantes legales con poderes actualizados</v>
      </c>
      <c r="O495" s="837" t="str">
        <f t="shared" si="13"/>
        <v>Derechos de los pueblos indígenas</v>
      </c>
      <c r="P495" s="546" t="str">
        <f>Z6</f>
        <v>DPI</v>
      </c>
      <c r="Q495" s="534" t="str">
        <f>AD12</f>
        <v>Actualización en registros públicos de juntas directivas de las comunidades nativas</v>
      </c>
      <c r="R495" s="534" t="s">
        <v>717</v>
      </c>
      <c r="S495" s="546" t="s">
        <v>507</v>
      </c>
      <c r="T495" s="519" t="str">
        <f>AC12</f>
        <v>SDPI4</v>
      </c>
      <c r="U495" s="628"/>
      <c r="V495" s="478"/>
      <c r="W495" s="478"/>
      <c r="X495" s="273"/>
      <c r="Y495" s="825"/>
      <c r="Z495" s="825"/>
      <c r="AA495" s="825"/>
      <c r="AB495" s="825"/>
      <c r="AC495" s="825"/>
      <c r="AD495" s="825"/>
      <c r="AE495" s="825"/>
      <c r="AF495" s="825"/>
      <c r="AG495" s="825"/>
      <c r="AH495" s="825"/>
      <c r="AI495" s="825"/>
      <c r="AJ495" s="825"/>
      <c r="AK495" s="825"/>
      <c r="AL495" s="825"/>
      <c r="AM495" s="825"/>
      <c r="AN495" s="825"/>
      <c r="AO495" s="825"/>
      <c r="AP495" s="825"/>
      <c r="AQ495" s="825"/>
      <c r="AR495" s="825"/>
      <c r="AS495" s="825"/>
      <c r="AT495" s="825"/>
      <c r="AU495" s="825"/>
      <c r="AV495" s="825"/>
      <c r="AW495" s="825"/>
      <c r="AX495" s="825"/>
      <c r="AY495" s="273"/>
      <c r="AZ495" s="273"/>
      <c r="BA495" s="825"/>
      <c r="BB495" s="825"/>
      <c r="BC495" s="825"/>
      <c r="BD495" s="825"/>
      <c r="BE495" s="825"/>
      <c r="BF495" s="825"/>
      <c r="BG495" s="825"/>
      <c r="BH495" s="825"/>
      <c r="BI495" s="825"/>
      <c r="BJ495" s="825"/>
      <c r="BK495" s="825"/>
      <c r="BL495" s="825"/>
      <c r="BM495" s="825"/>
      <c r="BN495" s="825"/>
      <c r="BO495" s="825"/>
      <c r="BP495" s="825"/>
      <c r="BQ495" s="825"/>
      <c r="BR495" s="825"/>
      <c r="BS495" s="825"/>
      <c r="BT495" s="825"/>
      <c r="BU495" s="825"/>
      <c r="BV495" s="825"/>
      <c r="BW495" s="825"/>
      <c r="BX495" s="825"/>
      <c r="BY495" s="825"/>
      <c r="BZ495" s="825"/>
      <c r="CA495" s="825"/>
      <c r="CB495" s="825"/>
      <c r="CC495" s="825"/>
    </row>
    <row r="496" spans="1:81" s="548" customFormat="1" ht="23.95" customHeight="1" x14ac:dyDescent="0.25">
      <c r="A496" s="558"/>
      <c r="B496" s="674"/>
      <c r="C496" s="1658"/>
      <c r="D496" s="1661"/>
      <c r="E496" s="1603"/>
      <c r="F496" s="1558"/>
      <c r="G496" s="1558"/>
      <c r="H496" s="1558"/>
      <c r="I496" s="1558"/>
      <c r="J496" s="1558"/>
      <c r="K496" s="1028"/>
      <c r="L496" s="1027"/>
      <c r="M496" s="762" t="s">
        <v>489</v>
      </c>
      <c r="N496" s="730" t="str">
        <f t="shared" si="14"/>
        <v>Superposición de áreas solicitadas con otras unidades de ordenamiento forestal</v>
      </c>
      <c r="O496" s="837" t="str">
        <f t="shared" si="13"/>
        <v>Derechos de los pueblos indígenas</v>
      </c>
      <c r="P496" s="546" t="str">
        <f>Z6</f>
        <v>DPI</v>
      </c>
      <c r="Q496" s="534" t="str">
        <f>AD13</f>
        <v xml:space="preserve">Análisis y solución de superposiciones en tierras de comunidades nativas en proceso de titulación (como parte del proceso de titulación de una comunidad nativa) </v>
      </c>
      <c r="R496" s="534" t="s">
        <v>724</v>
      </c>
      <c r="S496" s="546" t="s">
        <v>492</v>
      </c>
      <c r="T496" s="519" t="str">
        <f>AC13</f>
        <v>SDPI5</v>
      </c>
      <c r="U496" s="628"/>
      <c r="V496" s="478"/>
      <c r="W496" s="478"/>
      <c r="X496" s="273"/>
      <c r="Y496" s="825"/>
      <c r="Z496" s="825"/>
      <c r="AA496" s="825"/>
      <c r="AB496" s="825"/>
      <c r="AC496" s="825"/>
      <c r="AD496" s="825"/>
      <c r="AE496" s="825"/>
      <c r="AF496" s="825"/>
      <c r="AG496" s="825"/>
      <c r="AH496" s="825"/>
      <c r="AI496" s="825"/>
      <c r="AJ496" s="825"/>
      <c r="AK496" s="825"/>
      <c r="AL496" s="825"/>
      <c r="AM496" s="825"/>
      <c r="AN496" s="825"/>
      <c r="AO496" s="825"/>
      <c r="AP496" s="825"/>
      <c r="AQ496" s="825"/>
      <c r="AR496" s="825"/>
      <c r="AS496" s="825"/>
      <c r="AT496" s="825"/>
      <c r="AU496" s="825"/>
      <c r="AV496" s="825"/>
      <c r="AW496" s="825"/>
      <c r="AX496" s="825"/>
      <c r="AY496" s="273"/>
      <c r="AZ496" s="273"/>
      <c r="BA496" s="825"/>
      <c r="BB496" s="825"/>
      <c r="BC496" s="825"/>
      <c r="BD496" s="825"/>
      <c r="BE496" s="825"/>
      <c r="BF496" s="825"/>
      <c r="BG496" s="825"/>
      <c r="BH496" s="825"/>
      <c r="BI496" s="825"/>
      <c r="BJ496" s="825"/>
      <c r="BK496" s="825"/>
      <c r="BL496" s="825"/>
      <c r="BM496" s="825"/>
      <c r="BN496" s="825"/>
      <c r="BO496" s="825"/>
      <c r="BP496" s="825"/>
      <c r="BQ496" s="825"/>
      <c r="BR496" s="825"/>
      <c r="BS496" s="825"/>
      <c r="BT496" s="825"/>
      <c r="BU496" s="825"/>
      <c r="BV496" s="825"/>
      <c r="BW496" s="825"/>
      <c r="BX496" s="825"/>
      <c r="BY496" s="825"/>
      <c r="BZ496" s="825"/>
      <c r="CA496" s="825"/>
      <c r="CB496" s="825"/>
      <c r="CC496" s="825"/>
    </row>
    <row r="497" spans="1:81" s="548" customFormat="1" ht="35.35" customHeight="1" x14ac:dyDescent="0.25">
      <c r="A497" s="558"/>
      <c r="B497" s="674"/>
      <c r="C497" s="1658"/>
      <c r="D497" s="1661"/>
      <c r="E497" s="1603"/>
      <c r="F497" s="1558"/>
      <c r="G497" s="1558"/>
      <c r="H497" s="1558"/>
      <c r="I497" s="1558"/>
      <c r="J497" s="1558"/>
      <c r="K497" s="1028"/>
      <c r="L497" s="1027"/>
      <c r="M497" s="762" t="s">
        <v>489</v>
      </c>
      <c r="N497" s="730" t="str">
        <f t="shared" si="14"/>
        <v>Conflictos por actualización de bases gráficas de títulos ya otorgados</v>
      </c>
      <c r="O497" s="837" t="str">
        <f t="shared" si="13"/>
        <v>Derechos de los pueblos indígenas</v>
      </c>
      <c r="P497" s="546" t="str">
        <f>Z6</f>
        <v>DPI</v>
      </c>
      <c r="Q497" s="534" t="str">
        <f>AD14</f>
        <v xml:space="preserve">Actualización de bases gráficas de tierras tituladas y cedidas en uso a favor de comunidades nativas </v>
      </c>
      <c r="R497" s="534" t="s">
        <v>730</v>
      </c>
      <c r="S497" s="546" t="s">
        <v>492</v>
      </c>
      <c r="T497" s="519" t="str">
        <f>AC14</f>
        <v>SDPI6</v>
      </c>
      <c r="U497" s="628"/>
      <c r="V497" s="478"/>
      <c r="W497" s="478"/>
      <c r="X497" s="273"/>
      <c r="Y497" s="825"/>
      <c r="Z497" s="825"/>
      <c r="AA497" s="825"/>
      <c r="AB497" s="825"/>
      <c r="AC497" s="825"/>
      <c r="AD497" s="825"/>
      <c r="AE497" s="825"/>
      <c r="AF497" s="825"/>
      <c r="AG497" s="825"/>
      <c r="AH497" s="825"/>
      <c r="AI497" s="825"/>
      <c r="AJ497" s="825"/>
      <c r="AK497" s="825"/>
      <c r="AL497" s="825"/>
      <c r="AM497" s="825"/>
      <c r="AN497" s="825"/>
      <c r="AO497" s="825"/>
      <c r="AP497" s="825"/>
      <c r="AQ497" s="825"/>
      <c r="AR497" s="825"/>
      <c r="AS497" s="825"/>
      <c r="AT497" s="825"/>
      <c r="AU497" s="825"/>
      <c r="AV497" s="825"/>
      <c r="AW497" s="825"/>
      <c r="AX497" s="825"/>
      <c r="AY497" s="273"/>
      <c r="AZ497" s="273"/>
      <c r="BA497" s="825"/>
      <c r="BB497" s="825"/>
      <c r="BC497" s="825"/>
      <c r="BD497" s="825"/>
      <c r="BE497" s="825"/>
      <c r="BF497" s="825"/>
      <c r="BG497" s="825"/>
      <c r="BH497" s="825"/>
      <c r="BI497" s="825"/>
      <c r="BJ497" s="825"/>
      <c r="BK497" s="825"/>
      <c r="BL497" s="825"/>
      <c r="BM497" s="825"/>
      <c r="BN497" s="825"/>
      <c r="BO497" s="825"/>
      <c r="BP497" s="825"/>
      <c r="BQ497" s="825"/>
      <c r="BR497" s="825"/>
      <c r="BS497" s="825"/>
      <c r="BT497" s="825"/>
      <c r="BU497" s="825"/>
      <c r="BV497" s="825"/>
      <c r="BW497" s="825"/>
      <c r="BX497" s="825"/>
      <c r="BY497" s="825"/>
      <c r="BZ497" s="825"/>
      <c r="CA497" s="825"/>
      <c r="CB497" s="825"/>
      <c r="CC497" s="825"/>
    </row>
    <row r="498" spans="1:81" s="548" customFormat="1" ht="35.35" customHeight="1" x14ac:dyDescent="0.25">
      <c r="A498" s="558"/>
      <c r="B498" s="674"/>
      <c r="C498" s="1658"/>
      <c r="D498" s="1661"/>
      <c r="E498" s="1603"/>
      <c r="F498" s="1558"/>
      <c r="G498" s="1558"/>
      <c r="H498" s="1558"/>
      <c r="I498" s="1558"/>
      <c r="J498" s="1558"/>
      <c r="K498" s="1028">
        <v>715</v>
      </c>
      <c r="L498" s="1028">
        <f>K498*H494</f>
        <v>31460</v>
      </c>
      <c r="M498" s="745" t="s">
        <v>735</v>
      </c>
      <c r="N498" s="730" t="str">
        <f t="shared" si="14"/>
        <v>Demoras excesivas en procesos de reconocimiento y titulación</v>
      </c>
      <c r="O498" s="837" t="str">
        <f t="shared" si="13"/>
        <v>Derechos de los pueblos indígenas</v>
      </c>
      <c r="P498" s="546" t="str">
        <f>Z6</f>
        <v>DPI</v>
      </c>
      <c r="Q498" s="534" t="str">
        <f>AD15</f>
        <v>Articulación interinstitucional para facilitar el reconocimiento y de titulación de comunidades nativas</v>
      </c>
      <c r="R498" s="534" t="s">
        <v>737</v>
      </c>
      <c r="S498" s="546" t="s">
        <v>526</v>
      </c>
      <c r="T498" s="519" t="str">
        <f>AC15</f>
        <v>SDPI7</v>
      </c>
      <c r="U498" s="628"/>
      <c r="V498" s="478"/>
      <c r="W498" s="478"/>
      <c r="X498" s="273"/>
      <c r="Y498" s="825"/>
      <c r="Z498" s="825"/>
      <c r="AA498" s="825"/>
      <c r="AB498" s="825"/>
      <c r="AC498" s="825"/>
      <c r="AD498" s="825"/>
      <c r="AE498" s="825"/>
      <c r="AF498" s="825"/>
      <c r="AG498" s="825"/>
      <c r="AH498" s="825"/>
      <c r="AI498" s="825"/>
      <c r="AJ498" s="825"/>
      <c r="AK498" s="825"/>
      <c r="AL498" s="825"/>
      <c r="AM498" s="825"/>
      <c r="AN498" s="825"/>
      <c r="AO498" s="825"/>
      <c r="AP498" s="825"/>
      <c r="AQ498" s="825"/>
      <c r="AR498" s="825"/>
      <c r="AS498" s="825"/>
      <c r="AT498" s="825"/>
      <c r="AU498" s="825"/>
      <c r="AV498" s="825"/>
      <c r="AW498" s="825"/>
      <c r="AX498" s="825"/>
      <c r="AY498" s="273"/>
      <c r="AZ498" s="273"/>
      <c r="BA498" s="825"/>
      <c r="BB498" s="825"/>
      <c r="BC498" s="825"/>
      <c r="BD498" s="825"/>
      <c r="BE498" s="825"/>
      <c r="BF498" s="825"/>
      <c r="BG498" s="825"/>
      <c r="BH498" s="825"/>
      <c r="BI498" s="825"/>
      <c r="BJ498" s="825"/>
      <c r="BK498" s="825"/>
      <c r="BL498" s="825"/>
      <c r="BM498" s="825"/>
      <c r="BN498" s="825"/>
      <c r="BO498" s="825"/>
      <c r="BP498" s="825"/>
      <c r="BQ498" s="825"/>
      <c r="BR498" s="825"/>
      <c r="BS498" s="825"/>
      <c r="BT498" s="825"/>
      <c r="BU498" s="825"/>
      <c r="BV498" s="825"/>
      <c r="BW498" s="825"/>
      <c r="BX498" s="825"/>
      <c r="BY498" s="825"/>
      <c r="BZ498" s="825"/>
      <c r="CA498" s="825"/>
      <c r="CB498" s="825"/>
      <c r="CC498" s="825"/>
    </row>
    <row r="499" spans="1:81" s="548" customFormat="1" ht="39.1" customHeight="1" x14ac:dyDescent="0.25">
      <c r="A499" s="558"/>
      <c r="B499" s="674"/>
      <c r="C499" s="1658"/>
      <c r="D499" s="1661"/>
      <c r="E499" s="1603"/>
      <c r="F499" s="1558"/>
      <c r="G499" s="1558"/>
      <c r="H499" s="1558"/>
      <c r="I499" s="1558"/>
      <c r="J499" s="1558"/>
      <c r="K499" s="1028"/>
      <c r="L499" s="1027"/>
      <c r="M499" s="762" t="s">
        <v>489</v>
      </c>
      <c r="N499" s="730" t="str">
        <f t="shared" si="14"/>
        <v>No se incorpora el conocimiento de las mujeres indígenas sobre el territorio</v>
      </c>
      <c r="O499" s="837" t="str">
        <f t="shared" si="13"/>
        <v>Género</v>
      </c>
      <c r="P499" s="546" t="str">
        <f>AC6</f>
        <v>GN</v>
      </c>
      <c r="Q499" s="534" t="str">
        <f>AJ14</f>
        <v xml:space="preserve">Incorporación de mujeres indígenas en brigadas de titulación de tierras de comunidades nativas </v>
      </c>
      <c r="R499" s="534" t="s">
        <v>742</v>
      </c>
      <c r="S499" s="546" t="s">
        <v>492</v>
      </c>
      <c r="T499" s="519" t="str">
        <f>AI14</f>
        <v>SGN6</v>
      </c>
      <c r="U499" s="628"/>
      <c r="V499" s="478"/>
      <c r="W499" s="478"/>
      <c r="X499" s="273"/>
      <c r="Y499" s="825"/>
      <c r="Z499" s="825"/>
      <c r="AA499" s="825"/>
      <c r="AB499" s="825"/>
      <c r="AC499" s="825"/>
      <c r="AD499" s="825"/>
      <c r="AE499" s="825"/>
      <c r="AF499" s="825"/>
      <c r="AG499" s="825"/>
      <c r="AH499" s="825"/>
      <c r="AI499" s="825"/>
      <c r="AJ499" s="825"/>
      <c r="AK499" s="825"/>
      <c r="AL499" s="825"/>
      <c r="AM499" s="825"/>
      <c r="AN499" s="825"/>
      <c r="AO499" s="825"/>
      <c r="AP499" s="825"/>
      <c r="AQ499" s="825"/>
      <c r="AR499" s="825"/>
      <c r="AS499" s="825"/>
      <c r="AT499" s="825"/>
      <c r="AU499" s="825"/>
      <c r="AV499" s="825"/>
      <c r="AW499" s="825"/>
      <c r="AX499" s="825"/>
      <c r="AY499" s="273"/>
      <c r="AZ499" s="273"/>
      <c r="BA499" s="825"/>
      <c r="BB499" s="825"/>
      <c r="BC499" s="825"/>
      <c r="BD499" s="825"/>
      <c r="BE499" s="825"/>
      <c r="BF499" s="825"/>
      <c r="BG499" s="825"/>
      <c r="BH499" s="825"/>
      <c r="BI499" s="825"/>
      <c r="BJ499" s="825"/>
      <c r="BK499" s="825"/>
      <c r="BL499" s="825"/>
      <c r="BM499" s="825"/>
      <c r="BN499" s="825"/>
      <c r="BO499" s="825"/>
      <c r="BP499" s="825"/>
      <c r="BQ499" s="825"/>
      <c r="BR499" s="825"/>
      <c r="BS499" s="825"/>
      <c r="BT499" s="825"/>
      <c r="BU499" s="825"/>
      <c r="BV499" s="825"/>
      <c r="BW499" s="825"/>
      <c r="BX499" s="825"/>
      <c r="BY499" s="825"/>
      <c r="BZ499" s="825"/>
      <c r="CA499" s="825"/>
      <c r="CB499" s="825"/>
      <c r="CC499" s="825"/>
    </row>
    <row r="500" spans="1:81" s="548" customFormat="1" ht="42.8" customHeight="1" x14ac:dyDescent="0.25">
      <c r="A500" s="558"/>
      <c r="B500" s="674"/>
      <c r="C500" s="1658"/>
      <c r="D500" s="1661"/>
      <c r="E500" s="1603"/>
      <c r="F500" s="1558"/>
      <c r="G500" s="1558"/>
      <c r="H500" s="1558"/>
      <c r="I500" s="1558"/>
      <c r="J500" s="1558"/>
      <c r="K500" s="1028"/>
      <c r="L500" s="1027"/>
      <c r="M500" s="645" t="s">
        <v>489</v>
      </c>
      <c r="N500" s="730" t="str">
        <f t="shared" si="14"/>
        <v>Desconfianza de las comunidades en actividades de titulación</v>
      </c>
      <c r="O500" s="837" t="str">
        <f t="shared" si="13"/>
        <v>Derechos de los pueblos indígenas</v>
      </c>
      <c r="P500" s="546" t="str">
        <f>Z6</f>
        <v>DPI</v>
      </c>
      <c r="Q500" s="534" t="str">
        <f>AD21</f>
        <v>Participación activa de organizaciones indígenas en procesos de titulación</v>
      </c>
      <c r="R500" s="534" t="s">
        <v>746</v>
      </c>
      <c r="S500" s="546" t="s">
        <v>492</v>
      </c>
      <c r="T500" s="519" t="str">
        <f>AC21</f>
        <v>SDPI13</v>
      </c>
      <c r="U500" s="628"/>
      <c r="V500" s="478"/>
      <c r="W500" s="478"/>
      <c r="X500" s="273"/>
      <c r="Y500" s="825"/>
      <c r="Z500" s="825"/>
      <c r="AA500" s="825"/>
      <c r="AB500" s="825"/>
      <c r="AC500" s="825"/>
      <c r="AD500" s="825"/>
      <c r="AE500" s="825"/>
      <c r="AF500" s="825"/>
      <c r="AG500" s="825"/>
      <c r="AH500" s="825"/>
      <c r="AI500" s="825"/>
      <c r="AJ500" s="825"/>
      <c r="AK500" s="825"/>
      <c r="AL500" s="825"/>
      <c r="AM500" s="825"/>
      <c r="AN500" s="825"/>
      <c r="AO500" s="825"/>
      <c r="AP500" s="825"/>
      <c r="AQ500" s="825"/>
      <c r="AR500" s="825"/>
      <c r="AS500" s="825"/>
      <c r="AT500" s="825"/>
      <c r="AU500" s="825"/>
      <c r="AV500" s="825"/>
      <c r="AW500" s="825"/>
      <c r="AX500" s="825"/>
      <c r="AY500" s="273"/>
      <c r="AZ500" s="273"/>
      <c r="BA500" s="825"/>
      <c r="BB500" s="825"/>
      <c r="BC500" s="825"/>
      <c r="BD500" s="825"/>
      <c r="BE500" s="825"/>
      <c r="BF500" s="825"/>
      <c r="BG500" s="825"/>
      <c r="BH500" s="825"/>
      <c r="BI500" s="825"/>
      <c r="BJ500" s="825"/>
      <c r="BK500" s="825"/>
      <c r="BL500" s="825"/>
      <c r="BM500" s="825"/>
      <c r="BN500" s="825"/>
      <c r="BO500" s="825"/>
      <c r="BP500" s="825"/>
      <c r="BQ500" s="825"/>
      <c r="BR500" s="825"/>
      <c r="BS500" s="825"/>
      <c r="BT500" s="825"/>
      <c r="BU500" s="825"/>
      <c r="BV500" s="825"/>
      <c r="BW500" s="825"/>
      <c r="BX500" s="825"/>
      <c r="BY500" s="825"/>
      <c r="BZ500" s="825"/>
      <c r="CA500" s="825"/>
      <c r="CB500" s="825"/>
      <c r="CC500" s="825"/>
    </row>
    <row r="501" spans="1:81" s="548" customFormat="1" ht="48.1" customHeight="1" x14ac:dyDescent="0.25">
      <c r="A501" s="558"/>
      <c r="B501" s="674"/>
      <c r="C501" s="1659"/>
      <c r="D501" s="1662"/>
      <c r="E501" s="1604"/>
      <c r="F501" s="1559"/>
      <c r="G501" s="1559"/>
      <c r="H501" s="1559"/>
      <c r="I501" s="1559"/>
      <c r="J501" s="1559"/>
      <c r="K501" s="1021"/>
      <c r="L501" s="1029"/>
      <c r="M501" s="645" t="s">
        <v>489</v>
      </c>
      <c r="N501" s="730" t="str">
        <f>N15</f>
        <v>Otorgamiento de derechos sobre la tierra / bosques en zonas con patrimonio cultural</v>
      </c>
      <c r="O501" s="837" t="str">
        <f t="shared" si="13"/>
        <v>Patrimonio cultural</v>
      </c>
      <c r="P501" s="546" t="str">
        <f>AI6</f>
        <v>PC</v>
      </c>
      <c r="Q501" s="534" t="str">
        <f>AV10</f>
        <v>Evaluación de superposición del área solicitada para titulación de comunidades nativas con áreas determinadas como patrimonio cultural</v>
      </c>
      <c r="R501" s="534" t="s">
        <v>750</v>
      </c>
      <c r="S501" s="546" t="s">
        <v>542</v>
      </c>
      <c r="T501" s="519" t="str">
        <f>AU10</f>
        <v>SPC2</v>
      </c>
      <c r="U501" s="628"/>
      <c r="V501" s="478"/>
      <c r="W501" s="478"/>
      <c r="X501" s="273"/>
      <c r="Y501" s="825"/>
      <c r="Z501" s="825"/>
      <c r="AA501" s="825"/>
      <c r="AB501" s="825"/>
      <c r="AC501" s="825"/>
      <c r="AD501" s="825"/>
      <c r="AE501" s="825"/>
      <c r="AF501" s="825"/>
      <c r="AG501" s="825"/>
      <c r="AH501" s="825"/>
      <c r="AI501" s="825"/>
      <c r="AJ501" s="825"/>
      <c r="AK501" s="825"/>
      <c r="AL501" s="825"/>
      <c r="AM501" s="825"/>
      <c r="AN501" s="825"/>
      <c r="AO501" s="825"/>
      <c r="AP501" s="825"/>
      <c r="AQ501" s="825"/>
      <c r="AR501" s="825"/>
      <c r="AS501" s="825"/>
      <c r="AT501" s="825"/>
      <c r="AU501" s="825"/>
      <c r="AV501" s="825"/>
      <c r="AW501" s="825"/>
      <c r="AX501" s="825"/>
      <c r="AY501" s="273"/>
      <c r="AZ501" s="273"/>
      <c r="BA501" s="825"/>
      <c r="BB501" s="825"/>
      <c r="BC501" s="825"/>
      <c r="BD501" s="825"/>
      <c r="BE501" s="825"/>
      <c r="BF501" s="825"/>
      <c r="BG501" s="825"/>
      <c r="BH501" s="825"/>
      <c r="BI501" s="825"/>
      <c r="BJ501" s="825"/>
      <c r="BK501" s="825"/>
      <c r="BL501" s="825"/>
      <c r="BM501" s="825"/>
      <c r="BN501" s="825"/>
      <c r="BO501" s="825"/>
      <c r="BP501" s="825"/>
      <c r="BQ501" s="825"/>
      <c r="BR501" s="825"/>
      <c r="BS501" s="825"/>
      <c r="BT501" s="825"/>
      <c r="BU501" s="825"/>
      <c r="BV501" s="825"/>
      <c r="BW501" s="825"/>
      <c r="BX501" s="825"/>
      <c r="BY501" s="825"/>
      <c r="BZ501" s="825"/>
      <c r="CA501" s="825"/>
      <c r="CB501" s="825"/>
      <c r="CC501" s="825"/>
    </row>
    <row r="502" spans="1:81" ht="66.75" customHeight="1" x14ac:dyDescent="0.25">
      <c r="A502" s="273"/>
      <c r="B502" s="672" t="s">
        <v>897</v>
      </c>
      <c r="C502" s="1571" t="str">
        <f>'8. BASE  CONSOLIDADA'!E173</f>
        <v>4.4.2</v>
      </c>
      <c r="D502" s="1564" t="str">
        <f>'8. BASE  CONSOLIDADA'!F173</f>
        <v xml:space="preserve">Asistencia técnica para el manejo agroforestal </v>
      </c>
      <c r="E502" s="1564" t="str">
        <f>'8. BASE  CONSOLIDADA'!G173</f>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v>
      </c>
      <c r="F502" s="1670" t="str">
        <f>'8. BASE  CONSOLIDADA'!C173</f>
        <v>Territorios de comunidades nativas</v>
      </c>
      <c r="G502" s="1019" t="str">
        <f>VLOOKUP($C502,'8. BASE  CONSOLIDADA'!$E$7:$AS$308,13,FALSE)</f>
        <v>Productor asistido</v>
      </c>
      <c r="H502" s="1109">
        <f>VLOOKUP($C502,'8. BASE  CONSOLIDADA'!$E$7:$AS$308,15,FALSE)</f>
        <v>4700</v>
      </c>
      <c r="I502" s="1058">
        <f>VLOOKUP(C502,'8. BASE  CONSOLIDADA'!$E$7:$AS$308,20,FALSE)</f>
        <v>2632000</v>
      </c>
      <c r="J502" s="678">
        <f>I502*$J$6</f>
        <v>1789.7600000000002</v>
      </c>
      <c r="K502" s="1020"/>
      <c r="L502" s="1030"/>
      <c r="M502" s="649" t="s">
        <v>489</v>
      </c>
      <c r="N502" s="730" t="str">
        <f t="shared" ref="N502:N507" si="15">N45</f>
        <v>Programas de asistencia técnica no recogen enfoque intercultural y metodologías apropiadas para pueblos indígenas</v>
      </c>
      <c r="O502" s="837" t="str">
        <f t="shared" si="13"/>
        <v>Derechos de los pueblos indígenas</v>
      </c>
      <c r="P502" s="546" t="str">
        <f>Z6</f>
        <v>DPI</v>
      </c>
      <c r="Q502" s="534" t="str">
        <f>AD17</f>
        <v>Programas de asistencia técnica y capacitación específicos para pueblos indígenas, con enfoque intercultural y metodologías apropiadas para pueblos indígenas</v>
      </c>
      <c r="R502" s="534" t="s">
        <v>755</v>
      </c>
      <c r="S502" s="546" t="s">
        <v>507</v>
      </c>
      <c r="T502" s="519" t="str">
        <f>AC17</f>
        <v>SDPI9</v>
      </c>
      <c r="U502" s="628"/>
      <c r="V502" s="478"/>
      <c r="W502" s="478"/>
      <c r="X502" s="273"/>
      <c r="Y502" s="825"/>
      <c r="Z502" s="825"/>
      <c r="AA502" s="825"/>
      <c r="AB502" s="825"/>
      <c r="AC502" s="825"/>
      <c r="AD502" s="825"/>
      <c r="AE502" s="825"/>
      <c r="AF502" s="825"/>
      <c r="AG502" s="825"/>
      <c r="AH502" s="825"/>
      <c r="AI502" s="825"/>
      <c r="AJ502" s="825"/>
      <c r="AK502" s="825"/>
      <c r="AL502" s="825"/>
      <c r="AM502" s="825"/>
      <c r="AN502" s="825"/>
      <c r="AO502" s="825"/>
      <c r="AP502" s="825"/>
      <c r="AQ502" s="825"/>
      <c r="AR502" s="825"/>
      <c r="AS502" s="825"/>
      <c r="AT502" s="825"/>
      <c r="AU502" s="825"/>
      <c r="AV502" s="825"/>
      <c r="AW502" s="825"/>
      <c r="AX502" s="825"/>
      <c r="BA502" s="825"/>
      <c r="BB502" s="825"/>
      <c r="BC502" s="825"/>
      <c r="BD502" s="825"/>
      <c r="BE502" s="825"/>
      <c r="BF502" s="825"/>
      <c r="BG502" s="825"/>
      <c r="BH502" s="825"/>
      <c r="BI502" s="825"/>
      <c r="BJ502" s="825"/>
      <c r="BK502" s="825"/>
      <c r="BL502" s="825"/>
      <c r="BM502" s="825"/>
      <c r="BN502" s="825"/>
      <c r="BO502" s="825"/>
      <c r="BP502" s="825"/>
      <c r="BQ502" s="825"/>
      <c r="BR502" s="825"/>
      <c r="BS502" s="825"/>
      <c r="BT502" s="825"/>
      <c r="BU502" s="825"/>
      <c r="BV502" s="825"/>
      <c r="BW502" s="825"/>
      <c r="BX502" s="825"/>
      <c r="BY502" s="825"/>
      <c r="BZ502" s="825"/>
      <c r="CA502" s="825"/>
      <c r="CB502" s="825"/>
      <c r="CC502" s="825"/>
    </row>
    <row r="503" spans="1:81" s="531" customFormat="1" ht="78.8" customHeight="1" x14ac:dyDescent="0.25">
      <c r="A503" s="273"/>
      <c r="B503" s="672"/>
      <c r="C503" s="1573"/>
      <c r="D503" s="1566"/>
      <c r="E503" s="1566"/>
      <c r="F503" s="1671"/>
      <c r="G503" s="1103"/>
      <c r="H503" s="1113"/>
      <c r="I503" s="1061"/>
      <c r="J503" s="679"/>
      <c r="K503" s="1021"/>
      <c r="L503" s="1029"/>
      <c r="M503" s="645" t="s">
        <v>489</v>
      </c>
      <c r="N503" s="730" t="str">
        <f t="shared" si="15"/>
        <v>Exclusión de mujeres rurales indígenas en programas de asistencia técnica</v>
      </c>
      <c r="O503" s="837" t="str">
        <f t="shared" si="13"/>
        <v>Género</v>
      </c>
      <c r="P503" s="546" t="str">
        <f>AC6</f>
        <v>GN</v>
      </c>
      <c r="Q503" s="534" t="str">
        <f>AJ15</f>
        <v>Programas de asistencia técnica y capacitación específicos para mujeres rurales indígenas</v>
      </c>
      <c r="R503" s="534" t="s">
        <v>758</v>
      </c>
      <c r="S503" s="546" t="s">
        <v>507</v>
      </c>
      <c r="T503" s="519" t="str">
        <f>AI15</f>
        <v>SGN7</v>
      </c>
      <c r="U503" s="628"/>
      <c r="V503" s="478"/>
      <c r="W503" s="478"/>
      <c r="X503" s="273"/>
      <c r="Y503" s="825"/>
      <c r="Z503" s="825"/>
      <c r="AA503" s="825"/>
      <c r="AB503" s="825"/>
      <c r="AC503" s="825"/>
      <c r="AD503" s="825"/>
      <c r="AE503" s="825"/>
      <c r="AF503" s="825"/>
      <c r="AG503" s="825"/>
      <c r="AH503" s="825"/>
      <c r="AI503" s="825"/>
      <c r="AJ503" s="825"/>
      <c r="AK503" s="825"/>
      <c r="AL503" s="825"/>
      <c r="AM503" s="825"/>
      <c r="AN503" s="825"/>
      <c r="AO503" s="825"/>
      <c r="AP503" s="825"/>
      <c r="AQ503" s="825"/>
      <c r="AR503" s="825"/>
      <c r="AS503" s="825"/>
      <c r="AT503" s="825"/>
      <c r="AU503" s="825"/>
      <c r="AV503" s="825"/>
      <c r="AW503" s="825"/>
      <c r="AX503" s="825"/>
      <c r="AY503" s="273"/>
      <c r="AZ503" s="273"/>
      <c r="BA503" s="825"/>
      <c r="BB503" s="825"/>
      <c r="BC503" s="825"/>
      <c r="BD503" s="825"/>
      <c r="BE503" s="825"/>
      <c r="BF503" s="825"/>
      <c r="BG503" s="825"/>
      <c r="BH503" s="825"/>
      <c r="BI503" s="825"/>
      <c r="BJ503" s="825"/>
      <c r="BK503" s="825"/>
      <c r="BL503" s="825"/>
      <c r="BM503" s="825"/>
      <c r="BN503" s="825"/>
      <c r="BO503" s="825"/>
      <c r="BP503" s="825"/>
      <c r="BQ503" s="825"/>
      <c r="BR503" s="825"/>
      <c r="BS503" s="825"/>
      <c r="BT503" s="825"/>
      <c r="BU503" s="825"/>
      <c r="BV503" s="825"/>
      <c r="BW503" s="825"/>
      <c r="BX503" s="825"/>
      <c r="BY503" s="825"/>
      <c r="BZ503" s="825"/>
      <c r="CA503" s="825"/>
      <c r="CB503" s="825"/>
      <c r="CC503" s="825"/>
    </row>
    <row r="504" spans="1:81" ht="36.700000000000003" customHeight="1" x14ac:dyDescent="0.25">
      <c r="A504" s="273"/>
      <c r="B504" s="672" t="s">
        <v>897</v>
      </c>
      <c r="C504" s="1571" t="str">
        <f>'8. BASE  CONSOLIDADA'!E174</f>
        <v>4.4.3</v>
      </c>
      <c r="D504" s="1564" t="str">
        <f>'8. BASE  CONSOLIDADA'!F174</f>
        <v xml:space="preserve">Promoción de Bionegocios con productos forestales no maderables </v>
      </c>
      <c r="E504" s="1564" t="str">
        <f>'8. BASE  CONSOLIDADA'!G174</f>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v>
      </c>
      <c r="F504" s="1535" t="str">
        <f>'8. BASE  CONSOLIDADA'!C174</f>
        <v>Territorios de comunidades nativas</v>
      </c>
      <c r="G504" s="1535" t="str">
        <f>VLOOKUP($C504,'8. BASE  CONSOLIDADA'!$E$7:$AS$308,13,FALSE)</f>
        <v>Planes de negocios</v>
      </c>
      <c r="H504" s="1535">
        <f>VLOOKUP($C504,'8. BASE  CONSOLIDADA'!$E$7:$AS$308,15,FALSE)</f>
        <v>60</v>
      </c>
      <c r="I504" s="1535">
        <f>VLOOKUP(C504,'8. BASE  CONSOLIDADA'!$E$7:$AS$308,20,FALSE)</f>
        <v>900000</v>
      </c>
      <c r="J504" s="1535">
        <f>I504*$J$6</f>
        <v>612</v>
      </c>
      <c r="K504" s="1020"/>
      <c r="L504" s="1030"/>
      <c r="M504" s="645" t="s">
        <v>489</v>
      </c>
      <c r="N504" s="730" t="str">
        <f t="shared" si="15"/>
        <v>Biopiratería de recursos genéticos y recursos biológicos en tierras de comunidades nativas</v>
      </c>
      <c r="O504" s="837" t="str">
        <f t="shared" si="13"/>
        <v>Derechos de los pueblos indígenas</v>
      </c>
      <c r="P504" s="546" t="str">
        <f>Z6</f>
        <v>DPI</v>
      </c>
      <c r="Q504" s="534" t="str">
        <f>AD18</f>
        <v>Fortalecimiento a comunidades nativas en procesos de negociación de bionegocios</v>
      </c>
      <c r="R504" s="534" t="s">
        <v>762</v>
      </c>
      <c r="S504" s="546" t="s">
        <v>507</v>
      </c>
      <c r="T504" s="519" t="str">
        <f>AC18</f>
        <v>SDPI10</v>
      </c>
      <c r="U504" s="628"/>
      <c r="V504" s="478"/>
      <c r="W504" s="478"/>
      <c r="X504" s="273"/>
      <c r="Y504" s="825"/>
      <c r="Z504" s="825"/>
      <c r="AA504" s="825"/>
      <c r="AB504" s="825"/>
      <c r="AC504" s="825"/>
      <c r="AD504" s="825"/>
      <c r="AE504" s="825"/>
      <c r="AF504" s="825"/>
      <c r="AG504" s="825"/>
      <c r="AH504" s="825"/>
      <c r="AI504" s="825"/>
      <c r="AJ504" s="825"/>
      <c r="AK504" s="825"/>
      <c r="AL504" s="825"/>
      <c r="AM504" s="825"/>
      <c r="AN504" s="825"/>
      <c r="AO504" s="825"/>
      <c r="AP504" s="825"/>
      <c r="AQ504" s="825"/>
      <c r="AR504" s="825"/>
      <c r="AS504" s="825"/>
      <c r="AT504" s="825"/>
      <c r="AU504" s="825"/>
      <c r="AV504" s="825"/>
      <c r="AW504" s="825"/>
      <c r="AX504" s="825"/>
      <c r="BA504" s="825"/>
      <c r="BB504" s="825"/>
      <c r="BC504" s="825"/>
      <c r="BD504" s="825"/>
      <c r="BE504" s="825"/>
      <c r="BF504" s="825"/>
      <c r="BG504" s="825"/>
      <c r="BH504" s="825"/>
      <c r="BI504" s="825"/>
      <c r="BJ504" s="825"/>
      <c r="BK504" s="825"/>
      <c r="BL504" s="825"/>
      <c r="BM504" s="825"/>
      <c r="BN504" s="825"/>
      <c r="BO504" s="825"/>
      <c r="BP504" s="825"/>
      <c r="BQ504" s="825"/>
      <c r="BR504" s="825"/>
      <c r="BS504" s="825"/>
      <c r="BT504" s="825"/>
      <c r="BU504" s="825"/>
      <c r="BV504" s="825"/>
      <c r="BW504" s="825"/>
      <c r="BX504" s="825"/>
      <c r="BY504" s="825"/>
      <c r="BZ504" s="825"/>
      <c r="CA504" s="825"/>
      <c r="CB504" s="825"/>
      <c r="CC504" s="825"/>
    </row>
    <row r="505" spans="1:81" s="548" customFormat="1" ht="43.5" customHeight="1" x14ac:dyDescent="0.25">
      <c r="A505" s="273"/>
      <c r="B505" s="672"/>
      <c r="C505" s="1572"/>
      <c r="D505" s="1565"/>
      <c r="E505" s="1565"/>
      <c r="F505" s="1536"/>
      <c r="G505" s="1536"/>
      <c r="H505" s="1536"/>
      <c r="I505" s="1536"/>
      <c r="J505" s="1536"/>
      <c r="K505" s="1028">
        <v>150</v>
      </c>
      <c r="L505" s="1028">
        <f>K505*H504</f>
        <v>9000</v>
      </c>
      <c r="M505" s="745" t="s">
        <v>766</v>
      </c>
      <c r="N505" s="730" t="str">
        <f t="shared" si="15"/>
        <v>Demora en trámites administrativos no contemplan condiciones vinculadas a los pueblos indígenas</v>
      </c>
      <c r="O505" s="837" t="str">
        <f t="shared" si="13"/>
        <v>Derechos de los pueblos indígenas</v>
      </c>
      <c r="P505" s="546" t="str">
        <f>Z6</f>
        <v>DPI</v>
      </c>
      <c r="Q505" s="534" t="str">
        <f>AD19</f>
        <v>Simplificación administrativa con enfoque intercultural</v>
      </c>
      <c r="R505" s="534" t="s">
        <v>768</v>
      </c>
      <c r="S505" s="546" t="s">
        <v>507</v>
      </c>
      <c r="T505" s="519" t="str">
        <f>AC19</f>
        <v>SDPI11</v>
      </c>
      <c r="U505" s="628"/>
      <c r="V505" s="478"/>
      <c r="W505" s="478"/>
      <c r="X505" s="273"/>
      <c r="Y505" s="825"/>
      <c r="Z505" s="825"/>
      <c r="AA505" s="825"/>
      <c r="AB505" s="825"/>
      <c r="AC505" s="825"/>
      <c r="AD505" s="825"/>
      <c r="AE505" s="825"/>
      <c r="AF505" s="825"/>
      <c r="AG505" s="825"/>
      <c r="AH505" s="825"/>
      <c r="AI505" s="825"/>
      <c r="AJ505" s="825"/>
      <c r="AK505" s="825"/>
      <c r="AL505" s="825"/>
      <c r="AM505" s="825"/>
      <c r="AN505" s="825"/>
      <c r="AO505" s="825"/>
      <c r="AP505" s="825"/>
      <c r="AQ505" s="825"/>
      <c r="AR505" s="825"/>
      <c r="AS505" s="825"/>
      <c r="AT505" s="825"/>
      <c r="AU505" s="825"/>
      <c r="AV505" s="825"/>
      <c r="AW505" s="825"/>
      <c r="AX505" s="825"/>
      <c r="AY505" s="273"/>
      <c r="AZ505" s="273"/>
      <c r="BA505" s="825"/>
      <c r="BB505" s="825"/>
      <c r="BC505" s="825"/>
      <c r="BD505" s="825"/>
      <c r="BE505" s="825"/>
      <c r="BF505" s="825"/>
      <c r="BG505" s="825"/>
      <c r="BH505" s="825"/>
      <c r="BI505" s="825"/>
      <c r="BJ505" s="825"/>
      <c r="BK505" s="825"/>
      <c r="BL505" s="825"/>
      <c r="BM505" s="825"/>
      <c r="BN505" s="825"/>
      <c r="BO505" s="825"/>
      <c r="BP505" s="825"/>
      <c r="BQ505" s="825"/>
      <c r="BR505" s="825"/>
      <c r="BS505" s="825"/>
      <c r="BT505" s="825"/>
      <c r="BU505" s="825"/>
      <c r="BV505" s="825"/>
      <c r="BW505" s="825"/>
      <c r="BX505" s="825"/>
      <c r="BY505" s="825"/>
      <c r="BZ505" s="825"/>
      <c r="CA505" s="825"/>
      <c r="CB505" s="825"/>
      <c r="CC505" s="825"/>
    </row>
    <row r="506" spans="1:81" s="548" customFormat="1" ht="22.6" customHeight="1" x14ac:dyDescent="0.25">
      <c r="A506" s="273"/>
      <c r="B506" s="672"/>
      <c r="C506" s="1572"/>
      <c r="D506" s="1565"/>
      <c r="E506" s="1565"/>
      <c r="F506" s="1536"/>
      <c r="G506" s="1536"/>
      <c r="H506" s="1536"/>
      <c r="I506" s="1536"/>
      <c r="J506" s="1536"/>
      <c r="K506" s="1028"/>
      <c r="L506" s="1027"/>
      <c r="M506" s="649" t="s">
        <v>489</v>
      </c>
      <c r="N506" s="730" t="str">
        <f t="shared" si="15"/>
        <v>Apropiación ilícita de conocimientos tradicionales</v>
      </c>
      <c r="O506" s="837" t="str">
        <f t="shared" si="13"/>
        <v>Derechos de los pueblos indígenas</v>
      </c>
      <c r="P506" s="546" t="str">
        <f>Z6</f>
        <v>DPI</v>
      </c>
      <c r="Q506" s="534" t="str">
        <f>AD20</f>
        <v>Registro de conocimientos tradicionales en INDECOPI</v>
      </c>
      <c r="R506" s="534" t="s">
        <v>774</v>
      </c>
      <c r="S506" s="546" t="s">
        <v>526</v>
      </c>
      <c r="T506" s="519" t="str">
        <f>AC20</f>
        <v>SDPI12</v>
      </c>
      <c r="U506" s="628"/>
      <c r="V506" s="478"/>
      <c r="W506" s="478"/>
      <c r="X506" s="273"/>
      <c r="Y506" s="825"/>
      <c r="Z506" s="825"/>
      <c r="AA506" s="825"/>
      <c r="AB506" s="825"/>
      <c r="AC506" s="825"/>
      <c r="AD506" s="825"/>
      <c r="AE506" s="825"/>
      <c r="AF506" s="825"/>
      <c r="AG506" s="825"/>
      <c r="AH506" s="825"/>
      <c r="AI506" s="825"/>
      <c r="AJ506" s="825"/>
      <c r="AK506" s="825"/>
      <c r="AL506" s="825"/>
      <c r="AM506" s="825"/>
      <c r="AN506" s="825"/>
      <c r="AO506" s="825"/>
      <c r="AP506" s="825"/>
      <c r="AQ506" s="825"/>
      <c r="AR506" s="825"/>
      <c r="AS506" s="825"/>
      <c r="AT506" s="825"/>
      <c r="AU506" s="825"/>
      <c r="AV506" s="825"/>
      <c r="AW506" s="825"/>
      <c r="AX506" s="825"/>
      <c r="AY506" s="273"/>
      <c r="AZ506" s="273"/>
      <c r="BA506" s="825"/>
      <c r="BB506" s="825"/>
      <c r="BC506" s="825"/>
      <c r="BD506" s="825"/>
      <c r="BE506" s="825"/>
      <c r="BF506" s="825"/>
      <c r="BG506" s="825"/>
      <c r="BH506" s="825"/>
      <c r="BI506" s="825"/>
      <c r="BJ506" s="825"/>
      <c r="BK506" s="825"/>
      <c r="BL506" s="825"/>
      <c r="BM506" s="825"/>
      <c r="BN506" s="825"/>
      <c r="BO506" s="825"/>
      <c r="BP506" s="825"/>
      <c r="BQ506" s="825"/>
      <c r="BR506" s="825"/>
      <c r="BS506" s="825"/>
      <c r="BT506" s="825"/>
      <c r="BU506" s="825"/>
      <c r="BV506" s="825"/>
      <c r="BW506" s="825"/>
      <c r="BX506" s="825"/>
      <c r="BY506" s="825"/>
      <c r="BZ506" s="825"/>
      <c r="CA506" s="825"/>
      <c r="CB506" s="825"/>
      <c r="CC506" s="825"/>
    </row>
    <row r="507" spans="1:81" s="548" customFormat="1" ht="22.6" customHeight="1" x14ac:dyDescent="0.25">
      <c r="A507" s="273"/>
      <c r="B507" s="672"/>
      <c r="C507" s="1572"/>
      <c r="D507" s="1565"/>
      <c r="E507" s="1565"/>
      <c r="F507" s="1536"/>
      <c r="G507" s="1536"/>
      <c r="H507" s="1536"/>
      <c r="I507" s="1536"/>
      <c r="J507" s="1536"/>
      <c r="K507" s="1028"/>
      <c r="L507" s="1027"/>
      <c r="M507" s="645" t="s">
        <v>489</v>
      </c>
      <c r="N507" s="730" t="str">
        <f t="shared" si="15"/>
        <v>Exclusión de mujeres indígenas en programa de biocomercio</v>
      </c>
      <c r="O507" s="837" t="str">
        <f t="shared" si="13"/>
        <v>Género</v>
      </c>
      <c r="P507" s="546" t="str">
        <f>AC6</f>
        <v>GN</v>
      </c>
      <c r="Q507" s="534" t="str">
        <f>AJ16</f>
        <v>Cuotas de género y medición de participación efectiva de mujeres indígenas</v>
      </c>
      <c r="R507" s="534" t="s">
        <v>689</v>
      </c>
      <c r="S507" s="546" t="s">
        <v>507</v>
      </c>
      <c r="T507" s="519" t="str">
        <f>AI16</f>
        <v>SGN8</v>
      </c>
      <c r="U507" s="628"/>
      <c r="V507" s="478"/>
      <c r="W507" s="478"/>
      <c r="X507" s="273"/>
      <c r="Y507" s="825"/>
      <c r="Z507" s="825"/>
      <c r="AA507" s="825"/>
      <c r="AB507" s="825"/>
      <c r="AC507" s="825"/>
      <c r="AD507" s="825"/>
      <c r="AE507" s="825"/>
      <c r="AF507" s="825"/>
      <c r="AG507" s="825"/>
      <c r="AH507" s="825"/>
      <c r="AI507" s="825"/>
      <c r="AJ507" s="825"/>
      <c r="AK507" s="825"/>
      <c r="AL507" s="825"/>
      <c r="AM507" s="825"/>
      <c r="AN507" s="825"/>
      <c r="AO507" s="825"/>
      <c r="AP507" s="825"/>
      <c r="AQ507" s="825"/>
      <c r="AR507" s="825"/>
      <c r="AS507" s="825"/>
      <c r="AT507" s="825"/>
      <c r="AU507" s="825"/>
      <c r="AV507" s="825"/>
      <c r="AW507" s="825"/>
      <c r="AX507" s="825"/>
      <c r="AY507" s="273"/>
      <c r="AZ507" s="273"/>
      <c r="BA507" s="825"/>
      <c r="BB507" s="825"/>
      <c r="BC507" s="825"/>
      <c r="BD507" s="825"/>
      <c r="BE507" s="825"/>
      <c r="BF507" s="825"/>
      <c r="BG507" s="825"/>
      <c r="BH507" s="825"/>
      <c r="BI507" s="825"/>
      <c r="BJ507" s="825"/>
      <c r="BK507" s="825"/>
      <c r="BL507" s="825"/>
      <c r="BM507" s="825"/>
      <c r="BN507" s="825"/>
      <c r="BO507" s="825"/>
      <c r="BP507" s="825"/>
      <c r="BQ507" s="825"/>
      <c r="BR507" s="825"/>
      <c r="BS507" s="825"/>
      <c r="BT507" s="825"/>
      <c r="BU507" s="825"/>
      <c r="BV507" s="825"/>
      <c r="BW507" s="825"/>
      <c r="BX507" s="825"/>
      <c r="BY507" s="825"/>
      <c r="BZ507" s="825"/>
      <c r="CA507" s="825"/>
      <c r="CB507" s="825"/>
      <c r="CC507" s="825"/>
    </row>
    <row r="508" spans="1:81" s="548" customFormat="1" ht="36" customHeight="1" x14ac:dyDescent="0.25">
      <c r="A508" s="273"/>
      <c r="B508" s="672"/>
      <c r="C508" s="1573"/>
      <c r="D508" s="1566"/>
      <c r="E508" s="1566"/>
      <c r="F508" s="1543"/>
      <c r="G508" s="1543"/>
      <c r="H508" s="1543"/>
      <c r="I508" s="1543"/>
      <c r="J508" s="1543"/>
      <c r="K508" s="1021"/>
      <c r="L508" s="1029"/>
      <c r="M508" s="645" t="s">
        <v>489</v>
      </c>
      <c r="N508" s="730" t="str">
        <f>N50</f>
        <v>Exclusión de mujeres indígenas en programa de biocomercio</v>
      </c>
      <c r="O508" s="837" t="str">
        <f t="shared" si="13"/>
        <v>Género</v>
      </c>
      <c r="P508" s="546" t="str">
        <f>AC6</f>
        <v>GN</v>
      </c>
      <c r="Q508" s="534" t="str">
        <f>AJ17</f>
        <v>Programas de biocomercio diseñados especialmente para mujeres indígenas</v>
      </c>
      <c r="R508" s="534" t="s">
        <v>782</v>
      </c>
      <c r="S508" s="534" t="s">
        <v>526</v>
      </c>
      <c r="T508" s="519" t="str">
        <f>AI17</f>
        <v>SGN9</v>
      </c>
      <c r="U508" s="628"/>
      <c r="V508" s="478"/>
      <c r="W508" s="478"/>
      <c r="X508" s="273"/>
      <c r="Y508" s="825"/>
      <c r="Z508" s="825"/>
      <c r="AA508" s="825"/>
      <c r="AB508" s="825"/>
      <c r="AC508" s="825"/>
      <c r="AD508" s="825"/>
      <c r="AE508" s="825"/>
      <c r="AF508" s="825"/>
      <c r="AG508" s="825"/>
      <c r="AH508" s="825"/>
      <c r="AI508" s="825"/>
      <c r="AJ508" s="825"/>
      <c r="AK508" s="825"/>
      <c r="AL508" s="825"/>
      <c r="AM508" s="825"/>
      <c r="AN508" s="825"/>
      <c r="AO508" s="825"/>
      <c r="AP508" s="825"/>
      <c r="AQ508" s="825"/>
      <c r="AR508" s="825"/>
      <c r="AS508" s="825"/>
      <c r="AT508" s="825"/>
      <c r="AU508" s="825"/>
      <c r="AV508" s="825"/>
      <c r="AW508" s="825"/>
      <c r="AX508" s="825"/>
      <c r="AY508" s="273"/>
      <c r="AZ508" s="273"/>
      <c r="BA508" s="825"/>
      <c r="BB508" s="825"/>
      <c r="BC508" s="825"/>
      <c r="BD508" s="825"/>
      <c r="BE508" s="825"/>
      <c r="BF508" s="825"/>
      <c r="BG508" s="825"/>
      <c r="BH508" s="825"/>
      <c r="BI508" s="825"/>
      <c r="BJ508" s="825"/>
      <c r="BK508" s="825"/>
      <c r="BL508" s="825"/>
      <c r="BM508" s="825"/>
      <c r="BN508" s="825"/>
      <c r="BO508" s="825"/>
      <c r="BP508" s="825"/>
      <c r="BQ508" s="825"/>
      <c r="BR508" s="825"/>
      <c r="BS508" s="825"/>
      <c r="BT508" s="825"/>
      <c r="BU508" s="825"/>
      <c r="BV508" s="825"/>
      <c r="BW508" s="825"/>
      <c r="BX508" s="825"/>
      <c r="BY508" s="825"/>
      <c r="BZ508" s="825"/>
      <c r="CA508" s="825"/>
      <c r="CB508" s="825"/>
      <c r="CC508" s="825"/>
    </row>
    <row r="509" spans="1:81" ht="45.7" customHeight="1" x14ac:dyDescent="0.25">
      <c r="A509" s="273"/>
      <c r="B509" s="672" t="s">
        <v>897</v>
      </c>
      <c r="C509" s="1571" t="str">
        <f>'8. BASE  CONSOLIDADA'!E175</f>
        <v>4.4.4</v>
      </c>
      <c r="D509" s="1564" t="str">
        <f>'8. BASE  CONSOLIDADA'!F175</f>
        <v>Fortalecimiento de capacidades</v>
      </c>
      <c r="E509" s="1564" t="str">
        <f>'8. BASE  CONSOLIDADA'!G175</f>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v>
      </c>
      <c r="F509" s="1535" t="str">
        <f>'8. BASE  CONSOLIDADA'!C175</f>
        <v>Territorios de comunidades nativas</v>
      </c>
      <c r="G509" s="1535" t="str">
        <f>VLOOKUP($C509,'8. BASE  CONSOLIDADA'!$E$7:$AS$308,13,FALSE)</f>
        <v>Comunidades fortalecidas</v>
      </c>
      <c r="H509" s="1535">
        <f>VLOOKUP($C509,'8. BASE  CONSOLIDADA'!$E$7:$AS$308,15,FALSE)</f>
        <v>27</v>
      </c>
      <c r="I509" s="1535">
        <f>VLOOKUP(C509,'8. BASE  CONSOLIDADA'!$E$7:$AS$308,20,FALSE)</f>
        <v>1440000</v>
      </c>
      <c r="J509" s="1535">
        <f>I509*$J$6</f>
        <v>979.2</v>
      </c>
      <c r="K509" s="1535"/>
      <c r="L509" s="1535"/>
      <c r="M509" s="649" t="s">
        <v>489</v>
      </c>
      <c r="N509" s="730" t="str">
        <f>N45</f>
        <v>Programas de asistencia técnica no recogen enfoque intercultural y metodologías apropiadas para pueblos indígenas</v>
      </c>
      <c r="O509" s="837" t="str">
        <f t="shared" si="13"/>
        <v>Derechos de los pueblos indígenas</v>
      </c>
      <c r="P509" s="546" t="str">
        <f>Z6</f>
        <v>DPI</v>
      </c>
      <c r="Q509" s="534" t="str">
        <f>AD17</f>
        <v>Programas de asistencia técnica y capacitación específicos para pueblos indígenas, con enfoque intercultural y metodologías apropiadas para pueblos indígenas</v>
      </c>
      <c r="R509" s="534" t="s">
        <v>755</v>
      </c>
      <c r="S509" s="546" t="s">
        <v>507</v>
      </c>
      <c r="T509" s="519" t="str">
        <f>AC17</f>
        <v>SDPI9</v>
      </c>
      <c r="U509" s="628"/>
      <c r="V509" s="478"/>
      <c r="W509" s="478"/>
      <c r="X509" s="273"/>
      <c r="Y509" s="825"/>
      <c r="Z509" s="825"/>
      <c r="AA509" s="825"/>
      <c r="AB509" s="825"/>
      <c r="AC509" s="825"/>
      <c r="AD509" s="825"/>
      <c r="AE509" s="825"/>
      <c r="AF509" s="825"/>
      <c r="AG509" s="825"/>
      <c r="AH509" s="825"/>
      <c r="AI509" s="825"/>
      <c r="AJ509" s="825"/>
      <c r="AK509" s="825"/>
      <c r="AL509" s="825"/>
      <c r="AM509" s="825"/>
      <c r="AN509" s="825"/>
      <c r="AO509" s="825"/>
      <c r="AP509" s="825"/>
      <c r="AQ509" s="825"/>
      <c r="AR509" s="825"/>
      <c r="AS509" s="825"/>
      <c r="AT509" s="825"/>
      <c r="AU509" s="825"/>
      <c r="AV509" s="825"/>
      <c r="AW509" s="825"/>
      <c r="AX509" s="825"/>
      <c r="BA509" s="825"/>
      <c r="BB509" s="825"/>
      <c r="BC509" s="825"/>
      <c r="BD509" s="825"/>
      <c r="BE509" s="825"/>
      <c r="BF509" s="825"/>
      <c r="BG509" s="825"/>
      <c r="BH509" s="825"/>
      <c r="BI509" s="825"/>
      <c r="BJ509" s="825"/>
      <c r="BK509" s="825"/>
      <c r="BL509" s="825"/>
      <c r="BM509" s="825"/>
      <c r="BN509" s="825"/>
      <c r="BO509" s="825"/>
      <c r="BP509" s="825"/>
      <c r="BQ509" s="825"/>
      <c r="BR509" s="825"/>
      <c r="BS509" s="825"/>
      <c r="BT509" s="825"/>
      <c r="BU509" s="825"/>
      <c r="BV509" s="825"/>
      <c r="BW509" s="825"/>
      <c r="BX509" s="825"/>
      <c r="BY509" s="825"/>
      <c r="BZ509" s="825"/>
      <c r="CA509" s="825"/>
      <c r="CB509" s="825"/>
      <c r="CC509" s="825"/>
    </row>
    <row r="510" spans="1:81" s="548" customFormat="1" ht="45.7" customHeight="1" x14ac:dyDescent="0.25">
      <c r="A510" s="273"/>
      <c r="B510" s="672"/>
      <c r="C510" s="1572"/>
      <c r="D510" s="1565"/>
      <c r="E510" s="1565"/>
      <c r="F510" s="1536"/>
      <c r="G510" s="1536"/>
      <c r="H510" s="1536"/>
      <c r="I510" s="1536"/>
      <c r="J510" s="1536"/>
      <c r="K510" s="1536"/>
      <c r="L510" s="1536"/>
      <c r="M510" s="645" t="s">
        <v>489</v>
      </c>
      <c r="N510" s="730" t="str">
        <f>N53</f>
        <v>Exclusión de mujeres rurales indígenas en programas de capacitación</v>
      </c>
      <c r="O510" s="837" t="str">
        <f t="shared" si="13"/>
        <v>Género</v>
      </c>
      <c r="P510" s="546" t="str">
        <f>AC6</f>
        <v>GN</v>
      </c>
      <c r="Q510" s="534" t="str">
        <f>AJ15</f>
        <v>Programas de asistencia técnica y capacitación específicos para mujeres rurales indígenas</v>
      </c>
      <c r="R510" s="534" t="s">
        <v>758</v>
      </c>
      <c r="S510" s="546" t="s">
        <v>507</v>
      </c>
      <c r="T510" s="519" t="str">
        <f>AI15</f>
        <v>SGN7</v>
      </c>
      <c r="U510" s="628"/>
      <c r="V510" s="478"/>
      <c r="W510" s="478"/>
      <c r="X510" s="273"/>
      <c r="Y510" s="825"/>
      <c r="Z510" s="825"/>
      <c r="AA510" s="825"/>
      <c r="AB510" s="825"/>
      <c r="AC510" s="825"/>
      <c r="AD510" s="825"/>
      <c r="AE510" s="825"/>
      <c r="AF510" s="825"/>
      <c r="AG510" s="825"/>
      <c r="AH510" s="825"/>
      <c r="AI510" s="825"/>
      <c r="AJ510" s="825"/>
      <c r="AK510" s="825"/>
      <c r="AL510" s="825"/>
      <c r="AM510" s="825"/>
      <c r="AN510" s="825"/>
      <c r="AO510" s="825"/>
      <c r="AP510" s="825"/>
      <c r="AQ510" s="825"/>
      <c r="AR510" s="825"/>
      <c r="AS510" s="825"/>
      <c r="AT510" s="825"/>
      <c r="AU510" s="825"/>
      <c r="AV510" s="825"/>
      <c r="AW510" s="825"/>
      <c r="AX510" s="825"/>
      <c r="AY510" s="273"/>
      <c r="AZ510" s="273"/>
      <c r="BA510" s="825"/>
      <c r="BB510" s="825"/>
      <c r="BC510" s="825"/>
      <c r="BD510" s="825"/>
      <c r="BE510" s="825"/>
      <c r="BF510" s="825"/>
      <c r="BG510" s="825"/>
      <c r="BH510" s="825"/>
      <c r="BI510" s="825"/>
      <c r="BJ510" s="825"/>
      <c r="BK510" s="825"/>
      <c r="BL510" s="825"/>
      <c r="BM510" s="825"/>
      <c r="BN510" s="825"/>
      <c r="BO510" s="825"/>
      <c r="BP510" s="825"/>
      <c r="BQ510" s="825"/>
      <c r="BR510" s="825"/>
      <c r="BS510" s="825"/>
      <c r="BT510" s="825"/>
      <c r="BU510" s="825"/>
      <c r="BV510" s="825"/>
      <c r="BW510" s="825"/>
      <c r="BX510" s="825"/>
      <c r="BY510" s="825"/>
      <c r="BZ510" s="825"/>
      <c r="CA510" s="825"/>
      <c r="CB510" s="825"/>
      <c r="CC510" s="825"/>
    </row>
    <row r="511" spans="1:81" ht="37.549999999999997" customHeight="1" x14ac:dyDescent="0.25">
      <c r="A511" s="273"/>
      <c r="B511" s="672" t="s">
        <v>897</v>
      </c>
      <c r="C511" s="1651" t="str">
        <f>'8. BASE  CONSOLIDADA'!E176</f>
        <v>4.4.5</v>
      </c>
      <c r="D511" s="1612" t="str">
        <f>'8. BASE  CONSOLIDADA'!F176</f>
        <v>Identificación y apertura de mercado para productos del bosque.</v>
      </c>
      <c r="E511" s="1612" t="str">
        <f>'8. BASE  CONSOLIDADA'!G176</f>
        <v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v>
      </c>
      <c r="F511" s="1537" t="str">
        <f>'8. BASE  CONSOLIDADA'!C176</f>
        <v>Territorios de comunidades nativas</v>
      </c>
      <c r="G511" s="1537" t="str">
        <f>VLOOKUP($C511,'8. BASE  CONSOLIDADA'!$E$7:$AS$308,13,FALSE)</f>
        <v>Especialistas</v>
      </c>
      <c r="H511" s="1537">
        <f>VLOOKUP($C511,'8. BASE  CONSOLIDADA'!$E$7:$AS$308,15,FALSE)</f>
        <v>3</v>
      </c>
      <c r="I511" s="1537">
        <f>VLOOKUP(C511,'8. BASE  CONSOLIDADA'!$E$7:$AS$308,20,FALSE)</f>
        <v>630000</v>
      </c>
      <c r="J511" s="1537">
        <f>I511*$J$6</f>
        <v>428.40000000000003</v>
      </c>
      <c r="K511" s="1537"/>
      <c r="L511" s="961"/>
      <c r="M511" s="645" t="s">
        <v>489</v>
      </c>
      <c r="N511" s="730" t="str">
        <f>N47</f>
        <v>Biopiratería de recursos genéticos y recursos biológicos en tierras de comunidades nativas</v>
      </c>
      <c r="O511" s="837" t="str">
        <f t="shared" si="13"/>
        <v>Derechos de los pueblos indígenas</v>
      </c>
      <c r="P511" s="546" t="str">
        <f>Z6</f>
        <v>DPI</v>
      </c>
      <c r="Q511" s="534" t="str">
        <f>AD18</f>
        <v>Fortalecimiento a comunidades nativas en procesos de negociación de bionegocios</v>
      </c>
      <c r="R511" s="534" t="s">
        <v>762</v>
      </c>
      <c r="S511" s="546" t="s">
        <v>507</v>
      </c>
      <c r="T511" s="519" t="str">
        <f>AC18</f>
        <v>SDPI10</v>
      </c>
      <c r="U511" s="628"/>
      <c r="V511" s="478"/>
      <c r="W511" s="478"/>
      <c r="X511" s="273"/>
      <c r="Y511" s="825"/>
      <c r="Z511" s="825"/>
      <c r="AA511" s="825"/>
      <c r="AB511" s="825"/>
      <c r="AC511" s="825"/>
      <c r="AD511" s="825"/>
      <c r="AE511" s="825"/>
      <c r="AF511" s="825"/>
      <c r="AG511" s="825"/>
      <c r="AH511" s="825"/>
      <c r="AI511" s="825"/>
      <c r="AJ511" s="825"/>
      <c r="AK511" s="825"/>
      <c r="AL511" s="825"/>
      <c r="AM511" s="825"/>
      <c r="AN511" s="825"/>
      <c r="AO511" s="825"/>
      <c r="AP511" s="825"/>
      <c r="AQ511" s="825"/>
      <c r="AR511" s="825"/>
      <c r="AS511" s="825"/>
      <c r="AT511" s="825"/>
      <c r="AU511" s="825"/>
      <c r="AV511" s="825"/>
      <c r="AW511" s="825"/>
      <c r="AX511" s="825"/>
      <c r="BA511" s="825"/>
      <c r="BB511" s="825"/>
      <c r="BC511" s="825"/>
      <c r="BD511" s="825"/>
      <c r="BE511" s="825"/>
      <c r="BF511" s="825"/>
      <c r="BG511" s="825"/>
      <c r="BH511" s="825"/>
      <c r="BI511" s="825"/>
      <c r="BJ511" s="825"/>
      <c r="BK511" s="825"/>
      <c r="BL511" s="825"/>
      <c r="BM511" s="825"/>
      <c r="BN511" s="825"/>
      <c r="BO511" s="825"/>
      <c r="BP511" s="825"/>
      <c r="BQ511" s="825"/>
      <c r="BR511" s="825"/>
      <c r="BS511" s="825"/>
      <c r="BT511" s="825"/>
      <c r="BU511" s="825"/>
      <c r="BV511" s="825"/>
      <c r="BW511" s="825"/>
      <c r="BX511" s="825"/>
      <c r="BY511" s="825"/>
      <c r="BZ511" s="825"/>
      <c r="CA511" s="825"/>
      <c r="CB511" s="825"/>
      <c r="CC511" s="825"/>
    </row>
    <row r="512" spans="1:81" s="555" customFormat="1" ht="37.549999999999997" customHeight="1" x14ac:dyDescent="0.25">
      <c r="A512" s="273"/>
      <c r="B512" s="672"/>
      <c r="C512" s="1651"/>
      <c r="D512" s="1612"/>
      <c r="E512" s="1612"/>
      <c r="F512" s="1537"/>
      <c r="G512" s="1537"/>
      <c r="H512" s="1537"/>
      <c r="I512" s="1537"/>
      <c r="J512" s="1537"/>
      <c r="K512" s="1537"/>
      <c r="L512" s="1029"/>
      <c r="M512" s="649" t="s">
        <v>489</v>
      </c>
      <c r="N512" s="730" t="str">
        <f>N49</f>
        <v>Apropiación ilícita de conocimientos tradicionales</v>
      </c>
      <c r="O512" s="837" t="str">
        <f t="shared" si="13"/>
        <v>Derechos de los pueblos indígenas</v>
      </c>
      <c r="P512" s="546" t="str">
        <f>Z6</f>
        <v>DPI</v>
      </c>
      <c r="Q512" s="534" t="str">
        <f>AD20</f>
        <v>Registro de conocimientos tradicionales en INDECOPI</v>
      </c>
      <c r="R512" s="534" t="s">
        <v>774</v>
      </c>
      <c r="S512" s="546" t="s">
        <v>526</v>
      </c>
      <c r="T512" s="519" t="str">
        <f>AC20</f>
        <v>SDPI12</v>
      </c>
      <c r="U512" s="628"/>
      <c r="V512" s="478"/>
      <c r="W512" s="478"/>
      <c r="X512" s="273"/>
      <c r="Y512" s="825"/>
      <c r="Z512" s="825"/>
      <c r="AA512" s="825"/>
      <c r="AB512" s="825"/>
      <c r="AC512" s="825"/>
      <c r="AD512" s="825"/>
      <c r="AE512" s="825"/>
      <c r="AF512" s="825"/>
      <c r="AG512" s="825"/>
      <c r="AH512" s="825"/>
      <c r="AI512" s="825"/>
      <c r="AJ512" s="825"/>
      <c r="AK512" s="825"/>
      <c r="AL512" s="825"/>
      <c r="AM512" s="825"/>
      <c r="AN512" s="825"/>
      <c r="AO512" s="825"/>
      <c r="AP512" s="825"/>
      <c r="AQ512" s="825"/>
      <c r="AR512" s="825"/>
      <c r="AS512" s="825"/>
      <c r="AT512" s="825"/>
      <c r="AU512" s="825"/>
      <c r="AV512" s="825"/>
      <c r="AW512" s="825"/>
      <c r="AX512" s="825"/>
      <c r="AY512" s="273"/>
      <c r="AZ512" s="273"/>
      <c r="BA512" s="825"/>
      <c r="BB512" s="825"/>
      <c r="BC512" s="825"/>
      <c r="BD512" s="825"/>
      <c r="BE512" s="825"/>
      <c r="BF512" s="825"/>
      <c r="BG512" s="825"/>
      <c r="BH512" s="825"/>
      <c r="BI512" s="825"/>
      <c r="BJ512" s="825"/>
      <c r="BK512" s="825"/>
      <c r="BL512" s="825"/>
      <c r="BM512" s="825"/>
      <c r="BN512" s="825"/>
      <c r="BO512" s="825"/>
      <c r="BP512" s="825"/>
      <c r="BQ512" s="825"/>
      <c r="BR512" s="825"/>
      <c r="BS512" s="825"/>
      <c r="BT512" s="825"/>
      <c r="BU512" s="825"/>
      <c r="BV512" s="825"/>
      <c r="BW512" s="825"/>
      <c r="BX512" s="825"/>
      <c r="BY512" s="825"/>
      <c r="BZ512" s="825"/>
      <c r="CA512" s="825"/>
      <c r="CB512" s="825"/>
      <c r="CC512" s="825"/>
    </row>
    <row r="513" spans="1:81" ht="44.35" customHeight="1" x14ac:dyDescent="0.25">
      <c r="A513" s="273"/>
      <c r="B513" s="672" t="s">
        <v>897</v>
      </c>
      <c r="C513" s="1651" t="str">
        <f>'8. BASE  CONSOLIDADA'!E177</f>
        <v>4.4.6</v>
      </c>
      <c r="D513" s="1612" t="str">
        <f>'8. BASE  CONSOLIDADA'!F177</f>
        <v>Transferencias de incentivos por conservación de bosques</v>
      </c>
      <c r="E513" s="1612" t="str">
        <f>'8. BASE  CONSOLIDADA'!G177</f>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v>
      </c>
      <c r="F513" s="1538" t="str">
        <f>'8. BASE  CONSOLIDADA'!C177</f>
        <v>Territorios de comunidades nativas</v>
      </c>
      <c r="G513" s="1538" t="str">
        <f>VLOOKUP($C513,'8. BASE  CONSOLIDADA'!$E$7:$AS$308,13,FALSE)</f>
        <v>Comunidades atendidas</v>
      </c>
      <c r="H513" s="1538">
        <f>VLOOKUP($C513,'8. BASE  CONSOLIDADA'!$E$7:$AS$308,15,FALSE)</f>
        <v>28.2</v>
      </c>
      <c r="I513" s="1538">
        <f>VLOOKUP(C513,'8. BASE  CONSOLIDADA'!$E$7:$AS$308,20,FALSE)</f>
        <v>705000</v>
      </c>
      <c r="J513" s="1538">
        <f>I513*$J$6</f>
        <v>479.40000000000003</v>
      </c>
      <c r="K513" s="1538"/>
      <c r="L513" s="1538"/>
      <c r="M513" s="649" t="s">
        <v>489</v>
      </c>
      <c r="N513" s="730" t="str">
        <f>N45</f>
        <v>Programas de asistencia técnica no recogen enfoque intercultural y metodologías apropiadas para pueblos indígenas</v>
      </c>
      <c r="O513" s="837" t="str">
        <f t="shared" si="13"/>
        <v>Derechos de los pueblos indígenas</v>
      </c>
      <c r="P513" s="546" t="str">
        <f>Z6</f>
        <v>DPI</v>
      </c>
      <c r="Q513" s="534" t="str">
        <f>AD17</f>
        <v>Programas de asistencia técnica y capacitación específicos para pueblos indígenas, con enfoque intercultural y metodologías apropiadas para pueblos indígenas</v>
      </c>
      <c r="R513" s="534" t="s">
        <v>755</v>
      </c>
      <c r="S513" s="546" t="s">
        <v>507</v>
      </c>
      <c r="T513" s="519" t="str">
        <f>AC17</f>
        <v>SDPI9</v>
      </c>
      <c r="U513" s="628"/>
      <c r="V513" s="478"/>
      <c r="W513" s="478"/>
      <c r="X513" s="273"/>
      <c r="Y513" s="825"/>
      <c r="Z513" s="825"/>
      <c r="AA513" s="825"/>
      <c r="AB513" s="825"/>
      <c r="AC513" s="825"/>
      <c r="AD513" s="825"/>
      <c r="AE513" s="825"/>
      <c r="AF513" s="825"/>
      <c r="AG513" s="825"/>
      <c r="AH513" s="825"/>
      <c r="AI513" s="825"/>
      <c r="AJ513" s="825"/>
      <c r="AK513" s="825"/>
      <c r="AL513" s="825"/>
      <c r="AM513" s="825"/>
      <c r="AN513" s="825"/>
      <c r="AO513" s="825"/>
      <c r="AP513" s="825"/>
      <c r="AQ513" s="825"/>
      <c r="AR513" s="825"/>
      <c r="AS513" s="825"/>
      <c r="AT513" s="825"/>
      <c r="AU513" s="825"/>
      <c r="AV513" s="825"/>
      <c r="AW513" s="825"/>
      <c r="AX513" s="825"/>
      <c r="BA513" s="825"/>
      <c r="BB513" s="825"/>
      <c r="BC513" s="825"/>
      <c r="BD513" s="825"/>
      <c r="BE513" s="825"/>
      <c r="BF513" s="825"/>
      <c r="BG513" s="825"/>
      <c r="BH513" s="825"/>
      <c r="BI513" s="825"/>
      <c r="BJ513" s="825"/>
      <c r="BK513" s="825"/>
      <c r="BL513" s="825"/>
      <c r="BM513" s="825"/>
      <c r="BN513" s="825"/>
      <c r="BO513" s="825"/>
      <c r="BP513" s="825"/>
      <c r="BQ513" s="825"/>
      <c r="BR513" s="825"/>
      <c r="BS513" s="825"/>
      <c r="BT513" s="825"/>
      <c r="BU513" s="825"/>
      <c r="BV513" s="825"/>
      <c r="BW513" s="825"/>
      <c r="BX513" s="825"/>
      <c r="BY513" s="825"/>
      <c r="BZ513" s="825"/>
      <c r="CA513" s="825"/>
      <c r="CB513" s="825"/>
      <c r="CC513" s="825"/>
    </row>
    <row r="514" spans="1:81" s="548" customFormat="1" ht="54.7" customHeight="1" x14ac:dyDescent="0.25">
      <c r="A514" s="273"/>
      <c r="B514" s="672"/>
      <c r="C514" s="1651"/>
      <c r="D514" s="1612"/>
      <c r="E514" s="1612"/>
      <c r="F514" s="1539"/>
      <c r="G514" s="1539"/>
      <c r="H514" s="1539"/>
      <c r="I514" s="1539"/>
      <c r="J514" s="1539"/>
      <c r="K514" s="1539"/>
      <c r="L514" s="1539"/>
      <c r="M514" s="645" t="s">
        <v>489</v>
      </c>
      <c r="N514" s="730" t="str">
        <f>N57</f>
        <v>Apropiación ilícita de los recursos de las transferencias directas condicionadas y adquisiciones inadecuadas</v>
      </c>
      <c r="O514" s="837" t="str">
        <f t="shared" si="13"/>
        <v>Derechos de los pueblos indígenas</v>
      </c>
      <c r="P514" s="546" t="str">
        <f>Z6</f>
        <v>DPI</v>
      </c>
      <c r="Q514" s="534" t="str">
        <f>AD22</f>
        <v>Fortalecimiento de organizaciones indígenas</v>
      </c>
      <c r="R514" s="534" t="s">
        <v>802</v>
      </c>
      <c r="S514" s="534" t="s">
        <v>526</v>
      </c>
      <c r="T514" s="519" t="str">
        <f>AC22</f>
        <v>SDPI14</v>
      </c>
      <c r="U514" s="628"/>
      <c r="V514" s="478"/>
      <c r="W514" s="478"/>
      <c r="X514" s="273"/>
      <c r="Y514" s="825"/>
      <c r="Z514" s="825"/>
      <c r="AA514" s="825"/>
      <c r="AB514" s="825"/>
      <c r="AC514" s="825"/>
      <c r="AD514" s="825"/>
      <c r="AE514" s="825"/>
      <c r="AF514" s="825"/>
      <c r="AG514" s="825"/>
      <c r="AH514" s="825"/>
      <c r="AI514" s="825"/>
      <c r="AJ514" s="825"/>
      <c r="AK514" s="825"/>
      <c r="AL514" s="825"/>
      <c r="AM514" s="825"/>
      <c r="AN514" s="825"/>
      <c r="AO514" s="825"/>
      <c r="AP514" s="825"/>
      <c r="AQ514" s="825"/>
      <c r="AR514" s="825"/>
      <c r="AS514" s="825"/>
      <c r="AT514" s="825"/>
      <c r="AU514" s="825"/>
      <c r="AV514" s="825"/>
      <c r="AW514" s="825"/>
      <c r="AX514" s="825"/>
      <c r="AY514" s="273"/>
      <c r="AZ514" s="273"/>
      <c r="BA514" s="825"/>
      <c r="BB514" s="825"/>
      <c r="BC514" s="825"/>
      <c r="BD514" s="825"/>
      <c r="BE514" s="825"/>
      <c r="BF514" s="825"/>
      <c r="BG514" s="825"/>
      <c r="BH514" s="825"/>
      <c r="BI514" s="825"/>
      <c r="BJ514" s="825"/>
      <c r="BK514" s="825"/>
      <c r="BL514" s="825"/>
      <c r="BM514" s="825"/>
      <c r="BN514" s="825"/>
      <c r="BO514" s="825"/>
      <c r="BP514" s="825"/>
      <c r="BQ514" s="825"/>
      <c r="BR514" s="825"/>
      <c r="BS514" s="825"/>
      <c r="BT514" s="825"/>
      <c r="BU514" s="825"/>
      <c r="BV514" s="825"/>
      <c r="BW514" s="825"/>
      <c r="BX514" s="825"/>
      <c r="BY514" s="825"/>
      <c r="BZ514" s="825"/>
      <c r="CA514" s="825"/>
      <c r="CB514" s="825"/>
      <c r="CC514" s="825"/>
    </row>
    <row r="515" spans="1:81" s="548" customFormat="1" ht="35.35" customHeight="1" x14ac:dyDescent="0.25">
      <c r="A515" s="273"/>
      <c r="B515" s="672"/>
      <c r="C515" s="1651"/>
      <c r="D515" s="1612"/>
      <c r="E515" s="1612"/>
      <c r="F515" s="1539"/>
      <c r="G515" s="1539"/>
      <c r="H515" s="1539"/>
      <c r="I515" s="1539"/>
      <c r="J515" s="1539"/>
      <c r="K515" s="1539"/>
      <c r="L515" s="1539"/>
      <c r="M515" s="645" t="s">
        <v>489</v>
      </c>
      <c r="N515" s="730" t="str">
        <f>N57</f>
        <v>Apropiación ilícita de los recursos de las transferencias directas condicionadas y adquisiciones inadecuadas</v>
      </c>
      <c r="O515" s="837" t="str">
        <f t="shared" si="13"/>
        <v>Corrupción</v>
      </c>
      <c r="P515" s="546" t="e">
        <f>#REF!</f>
        <v>#REF!</v>
      </c>
      <c r="Q515" s="534" t="str">
        <f>AG11</f>
        <v>Transparencia en las adquisiciones vinculadas a la ERDRBE</v>
      </c>
      <c r="R515" s="534" t="s">
        <v>805</v>
      </c>
      <c r="S515" s="534" t="s">
        <v>526</v>
      </c>
      <c r="T515" s="519" t="str">
        <f>AF11</f>
        <v>SCR3</v>
      </c>
      <c r="U515" s="628"/>
      <c r="V515" s="478"/>
      <c r="W515" s="478"/>
      <c r="X515" s="273"/>
      <c r="Y515" s="825"/>
      <c r="Z515" s="825"/>
      <c r="AA515" s="825"/>
      <c r="AB515" s="825"/>
      <c r="AC515" s="825"/>
      <c r="AD515" s="825"/>
      <c r="AE515" s="825"/>
      <c r="AF515" s="825"/>
      <c r="AG515" s="825"/>
      <c r="AH515" s="825"/>
      <c r="AI515" s="825"/>
      <c r="AJ515" s="825"/>
      <c r="AK515" s="825"/>
      <c r="AL515" s="825"/>
      <c r="AM515" s="825"/>
      <c r="AN515" s="825"/>
      <c r="AO515" s="825"/>
      <c r="AP515" s="825"/>
      <c r="AQ515" s="825"/>
      <c r="AR515" s="825"/>
      <c r="AS515" s="825"/>
      <c r="AT515" s="825"/>
      <c r="AU515" s="825"/>
      <c r="AV515" s="825"/>
      <c r="AW515" s="825"/>
      <c r="AX515" s="825"/>
      <c r="AY515" s="273"/>
      <c r="AZ515" s="273"/>
      <c r="BA515" s="825"/>
      <c r="BB515" s="825"/>
      <c r="BC515" s="825"/>
      <c r="BD515" s="825"/>
      <c r="BE515" s="825"/>
      <c r="BF515" s="825"/>
      <c r="BG515" s="825"/>
      <c r="BH515" s="825"/>
      <c r="BI515" s="825"/>
      <c r="BJ515" s="825"/>
      <c r="BK515" s="825"/>
      <c r="BL515" s="825"/>
      <c r="BM515" s="825"/>
      <c r="BN515" s="825"/>
      <c r="BO515" s="825"/>
      <c r="BP515" s="825"/>
      <c r="BQ515" s="825"/>
      <c r="BR515" s="825"/>
      <c r="BS515" s="825"/>
      <c r="BT515" s="825"/>
      <c r="BU515" s="825"/>
      <c r="BV515" s="825"/>
      <c r="BW515" s="825"/>
      <c r="BX515" s="825"/>
      <c r="BY515" s="825"/>
      <c r="BZ515" s="825"/>
      <c r="CA515" s="825"/>
      <c r="CB515" s="825"/>
      <c r="CC515" s="825"/>
    </row>
    <row r="516" spans="1:81" ht="42.8" customHeight="1" x14ac:dyDescent="0.25">
      <c r="A516" s="273"/>
      <c r="B516" s="672" t="s">
        <v>897</v>
      </c>
      <c r="C516" s="1571" t="str">
        <f>'8. BASE  CONSOLIDADA'!E179</f>
        <v>4.4.8</v>
      </c>
      <c r="D516" s="1564" t="str">
        <f>'8. BASE  CONSOLIDADA'!F179</f>
        <v>Servicios básicos de calidad</v>
      </c>
      <c r="E516" s="1564" t="str">
        <f>'8. BASE  CONSOLIDADA'!G179</f>
        <v xml:space="preserve">Implementación de proyectos enfocados a mejorar los servicios básicos de las comunidades nativas, dichos servicios deberán contar con profesionales bilingües, para asegurar y garantizar la adecuada transferencia de dichos servicios.  </v>
      </c>
      <c r="F516" s="1538" t="str">
        <f>'8. BASE  CONSOLIDADA'!C179</f>
        <v>Territorios de comunidades nativas</v>
      </c>
      <c r="G516" s="1538" t="str">
        <f>VLOOKUP($C516,'8. BASE  CONSOLIDADA'!$E$7:$AS$308,13,FALSE)</f>
        <v>Escuelas y postas médicas implementadas</v>
      </c>
      <c r="H516" s="1538">
        <f>VLOOKUP($C516,'8. BASE  CONSOLIDADA'!$E$7:$AS$308,15,FALSE)</f>
        <v>23.5</v>
      </c>
      <c r="I516" s="1538">
        <f>VLOOKUP(C516,'8. BASE  CONSOLIDADA'!$E$7:$AS$308,20,FALSE)</f>
        <v>17625000</v>
      </c>
      <c r="J516" s="1538">
        <f>I516*$J$6</f>
        <v>11985</v>
      </c>
      <c r="K516" s="1020"/>
      <c r="L516" s="1030"/>
      <c r="M516" s="645" t="s">
        <v>489</v>
      </c>
      <c r="N516" s="730" t="str">
        <f>N59</f>
        <v>Programas de servicios básicos de salud y educación diseñados sin enfoque intercultural</v>
      </c>
      <c r="O516" s="837" t="str">
        <f t="shared" si="13"/>
        <v>Derechos de los pueblos indígenas</v>
      </c>
      <c r="P516" s="546" t="str">
        <f>Z6</f>
        <v>DPI</v>
      </c>
      <c r="Q516" s="534" t="str">
        <f>AD16</f>
        <v>Diseño de servicios básicos con enfoque intercultural</v>
      </c>
      <c r="R516" s="534" t="s">
        <v>809</v>
      </c>
      <c r="S516" s="546" t="s">
        <v>507</v>
      </c>
      <c r="T516" s="519" t="str">
        <f>AC16</f>
        <v>SDPI8</v>
      </c>
      <c r="U516" s="628"/>
      <c r="V516" s="478"/>
      <c r="W516" s="478"/>
      <c r="X516" s="273"/>
      <c r="Y516" s="825"/>
      <c r="Z516" s="825"/>
      <c r="AA516" s="825"/>
      <c r="AB516" s="825"/>
      <c r="AC516" s="825"/>
      <c r="AD516" s="825"/>
      <c r="AE516" s="825"/>
      <c r="AF516" s="825"/>
      <c r="AG516" s="825"/>
      <c r="AH516" s="825"/>
      <c r="AI516" s="825"/>
      <c r="AJ516" s="825"/>
      <c r="AK516" s="825"/>
      <c r="AL516" s="825"/>
      <c r="AM516" s="825"/>
      <c r="AN516" s="825"/>
      <c r="AO516" s="825"/>
      <c r="AP516" s="825"/>
      <c r="AQ516" s="825"/>
      <c r="AR516" s="825"/>
      <c r="AS516" s="825"/>
      <c r="AT516" s="825"/>
      <c r="AU516" s="825"/>
      <c r="AV516" s="825"/>
      <c r="AW516" s="825"/>
      <c r="AX516" s="825"/>
      <c r="BA516" s="825"/>
      <c r="BB516" s="825"/>
      <c r="BC516" s="825"/>
      <c r="BD516" s="825"/>
      <c r="BE516" s="825"/>
      <c r="BF516" s="825"/>
      <c r="BG516" s="825"/>
      <c r="BH516" s="825"/>
      <c r="BI516" s="825"/>
      <c r="BJ516" s="825"/>
      <c r="BK516" s="825"/>
      <c r="BL516" s="825"/>
      <c r="BM516" s="825"/>
      <c r="BN516" s="825"/>
      <c r="BO516" s="825"/>
      <c r="BP516" s="825"/>
      <c r="BQ516" s="825"/>
      <c r="BR516" s="825"/>
      <c r="BS516" s="825"/>
      <c r="BT516" s="825"/>
      <c r="BU516" s="825"/>
      <c r="BV516" s="825"/>
      <c r="BW516" s="825"/>
      <c r="BX516" s="825"/>
      <c r="BY516" s="825"/>
      <c r="BZ516" s="825"/>
      <c r="CA516" s="825"/>
      <c r="CB516" s="825"/>
      <c r="CC516" s="825"/>
    </row>
    <row r="517" spans="1:81" s="548" customFormat="1" ht="42.8" customHeight="1" x14ac:dyDescent="0.25">
      <c r="A517" s="273"/>
      <c r="B517" s="672"/>
      <c r="C517" s="1572"/>
      <c r="D517" s="1565"/>
      <c r="E517" s="1565"/>
      <c r="F517" s="1539"/>
      <c r="G517" s="1539"/>
      <c r="H517" s="1539"/>
      <c r="I517" s="1539"/>
      <c r="J517" s="1539"/>
      <c r="K517" s="1028"/>
      <c r="L517" s="1027"/>
      <c r="M517" s="645" t="s">
        <v>489</v>
      </c>
      <c r="N517" s="730" t="str">
        <f>N60</f>
        <v>Exclusión de servicios básicos a mujeres indígenas</v>
      </c>
      <c r="O517" s="837" t="str">
        <f t="shared" si="13"/>
        <v>Género</v>
      </c>
      <c r="P517" s="546" t="str">
        <f>AC6</f>
        <v>GN</v>
      </c>
      <c r="Q517" s="534" t="str">
        <f>AJ18</f>
        <v>Diseño de servicios básicos de educación y salud adaptados a las necesidades de las mujeres indígenas</v>
      </c>
      <c r="R517" s="534" t="s">
        <v>811</v>
      </c>
      <c r="S517" s="546" t="s">
        <v>507</v>
      </c>
      <c r="T517" s="519" t="str">
        <f>AI18</f>
        <v>SGN10</v>
      </c>
      <c r="U517" s="628"/>
      <c r="V517" s="478"/>
      <c r="W517" s="478"/>
      <c r="X517" s="273"/>
      <c r="Y517" s="825"/>
      <c r="Z517" s="825"/>
      <c r="AA517" s="825"/>
      <c r="AB517" s="825"/>
      <c r="AC517" s="825"/>
      <c r="AD517" s="825"/>
      <c r="AE517" s="825"/>
      <c r="AF517" s="825"/>
      <c r="AG517" s="825"/>
      <c r="AH517" s="825"/>
      <c r="AI517" s="825"/>
      <c r="AJ517" s="825"/>
      <c r="AK517" s="825"/>
      <c r="AL517" s="825"/>
      <c r="AM517" s="825"/>
      <c r="AN517" s="825"/>
      <c r="AO517" s="825"/>
      <c r="AP517" s="825"/>
      <c r="AQ517" s="825"/>
      <c r="AR517" s="825"/>
      <c r="AS517" s="825"/>
      <c r="AT517" s="825"/>
      <c r="AU517" s="825"/>
      <c r="AV517" s="825"/>
      <c r="AW517" s="825"/>
      <c r="AX517" s="825"/>
      <c r="AY517" s="273"/>
      <c r="AZ517" s="273"/>
      <c r="BA517" s="825"/>
      <c r="BB517" s="825"/>
      <c r="BC517" s="825"/>
      <c r="BD517" s="825"/>
      <c r="BE517" s="825"/>
      <c r="BF517" s="825"/>
      <c r="BG517" s="825"/>
      <c r="BH517" s="825"/>
      <c r="BI517" s="825"/>
      <c r="BJ517" s="825"/>
      <c r="BK517" s="825"/>
      <c r="BL517" s="825"/>
      <c r="BM517" s="825"/>
      <c r="BN517" s="825"/>
      <c r="BO517" s="825"/>
      <c r="BP517" s="825"/>
      <c r="BQ517" s="825"/>
      <c r="BR517" s="825"/>
      <c r="BS517" s="825"/>
      <c r="BT517" s="825"/>
      <c r="BU517" s="825"/>
      <c r="BV517" s="825"/>
      <c r="BW517" s="825"/>
      <c r="BX517" s="825"/>
      <c r="BY517" s="825"/>
      <c r="BZ517" s="825"/>
      <c r="CA517" s="825"/>
      <c r="CB517" s="825"/>
      <c r="CC517" s="825"/>
    </row>
    <row r="518" spans="1:81" s="548" customFormat="1" ht="42.8" customHeight="1" x14ac:dyDescent="0.25">
      <c r="A518" s="273"/>
      <c r="B518" s="672"/>
      <c r="C518" s="1572"/>
      <c r="D518" s="1565"/>
      <c r="E518" s="1565"/>
      <c r="F518" s="1539"/>
      <c r="G518" s="1539"/>
      <c r="H518" s="1539"/>
      <c r="I518" s="1539"/>
      <c r="J518" s="1539"/>
      <c r="K518" s="1028"/>
      <c r="L518" s="1027"/>
      <c r="M518" s="649" t="s">
        <v>489</v>
      </c>
      <c r="N518" s="730" t="str">
        <f>N199</f>
        <v>Restricción de disponibilidad y acceso a servicios básicos</v>
      </c>
      <c r="O518" s="837" t="str">
        <f t="shared" si="13"/>
        <v>Derechos humanos</v>
      </c>
      <c r="P518" s="546" t="str">
        <f>AF6</f>
        <v>DH</v>
      </c>
      <c r="Q518" s="534" t="str">
        <f>AP9</f>
        <v xml:space="preserve">Adecuado acceso a servicios básicos de salud y educación </v>
      </c>
      <c r="R518" s="534" t="s">
        <v>813</v>
      </c>
      <c r="S518" s="546" t="s">
        <v>526</v>
      </c>
      <c r="T518" s="519" t="str">
        <f>AO9</f>
        <v>SDH1</v>
      </c>
      <c r="U518" s="628"/>
      <c r="V518" s="478"/>
      <c r="W518" s="478"/>
      <c r="X518" s="273"/>
      <c r="Y518" s="825"/>
      <c r="Z518" s="825"/>
      <c r="AA518" s="825"/>
      <c r="AB518" s="825"/>
      <c r="AC518" s="825"/>
      <c r="AD518" s="825"/>
      <c r="AE518" s="825"/>
      <c r="AF518" s="825"/>
      <c r="AG518" s="825"/>
      <c r="AH518" s="825"/>
      <c r="AI518" s="825"/>
      <c r="AJ518" s="825"/>
      <c r="AK518" s="825"/>
      <c r="AL518" s="825"/>
      <c r="AM518" s="825"/>
      <c r="AN518" s="825"/>
      <c r="AO518" s="825"/>
      <c r="AP518" s="825"/>
      <c r="AQ518" s="825"/>
      <c r="AR518" s="825"/>
      <c r="AS518" s="825"/>
      <c r="AT518" s="825"/>
      <c r="AU518" s="825"/>
      <c r="AV518" s="825"/>
      <c r="AW518" s="825"/>
      <c r="AX518" s="825"/>
      <c r="AY518" s="273"/>
      <c r="AZ518" s="273"/>
      <c r="BA518" s="825"/>
      <c r="BB518" s="825"/>
      <c r="BC518" s="825"/>
      <c r="BD518" s="825"/>
      <c r="BE518" s="825"/>
      <c r="BF518" s="825"/>
      <c r="BG518" s="825"/>
      <c r="BH518" s="825"/>
      <c r="BI518" s="825"/>
      <c r="BJ518" s="825"/>
      <c r="BK518" s="825"/>
      <c r="BL518" s="825"/>
      <c r="BM518" s="825"/>
      <c r="BN518" s="825"/>
      <c r="BO518" s="825"/>
      <c r="BP518" s="825"/>
      <c r="BQ518" s="825"/>
      <c r="BR518" s="825"/>
      <c r="BS518" s="825"/>
      <c r="BT518" s="825"/>
      <c r="BU518" s="825"/>
      <c r="BV518" s="825"/>
      <c r="BW518" s="825"/>
      <c r="BX518" s="825"/>
      <c r="BY518" s="825"/>
      <c r="BZ518" s="825"/>
      <c r="CA518" s="825"/>
      <c r="CB518" s="825"/>
      <c r="CC518" s="825"/>
    </row>
    <row r="519" spans="1:81" ht="43.5" customHeight="1" x14ac:dyDescent="0.25">
      <c r="A519" s="273"/>
      <c r="B519" s="672" t="s">
        <v>897</v>
      </c>
      <c r="C519" s="1651" t="str">
        <f>'8. BASE  CONSOLIDADA'!E184</f>
        <v>4.6.1</v>
      </c>
      <c r="D519" s="1612" t="str">
        <f>'8. BASE  CONSOLIDADA'!F184</f>
        <v>Fortalecer el control y vigilancia</v>
      </c>
      <c r="E519" s="1612" t="str">
        <f>'8. BASE  CONSOLIDADA'!G184</f>
        <v>Implementar con recursos necesarios al ente que administra el área, con la finalidad de aumentar el número de personas (guardaparques) que contribuyan a realizar acciones de control y vigilancia.</v>
      </c>
      <c r="F519" s="1537" t="str">
        <f>'8. BASE  CONSOLIDADA'!C184</f>
        <v xml:space="preserve">ACR Cordillera Escalera </v>
      </c>
      <c r="G519" s="1537" t="str">
        <f>VLOOKUP($C519,'8. BASE  CONSOLIDADA'!$E$7:$AS$308,13,FALSE)</f>
        <v>Número de guardaparques</v>
      </c>
      <c r="H519" s="1537">
        <f>VLOOKUP($C519,'8. BASE  CONSOLIDADA'!$E$7:$AS$308,15,FALSE)</f>
        <v>5</v>
      </c>
      <c r="I519" s="1537">
        <f>VLOOKUP(C519,'8. BASE  CONSOLIDADA'!$E$7:$AS$308,20,FALSE)</f>
        <v>600000</v>
      </c>
      <c r="J519" s="1537">
        <f>I519*$J$6</f>
        <v>408.00000000000006</v>
      </c>
      <c r="K519" s="1537"/>
      <c r="L519" s="1537"/>
      <c r="M519" s="649" t="s">
        <v>489</v>
      </c>
      <c r="N519" s="730" t="str">
        <f>N62</f>
        <v>Cohecho en el control y vigilancia de recursos naturales</v>
      </c>
      <c r="O519" s="837" t="str">
        <f t="shared" si="13"/>
        <v>Corrupción</v>
      </c>
      <c r="P519" s="546" t="e">
        <f>#REF!</f>
        <v>#REF!</v>
      </c>
      <c r="Q519" s="534" t="str">
        <f>AG12</f>
        <v>Implementación de sistema anticorrupción en coordinación con el Ministerio Público</v>
      </c>
      <c r="R519" s="534" t="s">
        <v>778</v>
      </c>
      <c r="S519" s="546" t="s">
        <v>526</v>
      </c>
      <c r="T519" s="519" t="str">
        <f>AF12</f>
        <v>SCR4</v>
      </c>
      <c r="U519" s="628"/>
      <c r="V519" s="478"/>
      <c r="W519" s="478"/>
      <c r="X519" s="273"/>
      <c r="Y519" s="825"/>
      <c r="Z519" s="825"/>
      <c r="AA519" s="825"/>
      <c r="AB519" s="825"/>
      <c r="AC519" s="825"/>
      <c r="AD519" s="825"/>
      <c r="AE519" s="825"/>
      <c r="AF519" s="825"/>
      <c r="AG519" s="825"/>
      <c r="AH519" s="825"/>
      <c r="AI519" s="825"/>
      <c r="AJ519" s="825"/>
      <c r="AK519" s="825"/>
      <c r="AL519" s="825"/>
      <c r="AM519" s="825"/>
      <c r="AN519" s="825"/>
      <c r="AO519" s="825"/>
      <c r="AP519" s="825"/>
      <c r="AQ519" s="825"/>
      <c r="AR519" s="825"/>
      <c r="AS519" s="825"/>
      <c r="AT519" s="825"/>
      <c r="AU519" s="825"/>
      <c r="AV519" s="825"/>
      <c r="AW519" s="825"/>
      <c r="AX519" s="825"/>
      <c r="BA519" s="825"/>
      <c r="BB519" s="825"/>
      <c r="BC519" s="825"/>
      <c r="BD519" s="825"/>
      <c r="BE519" s="825"/>
      <c r="BF519" s="825"/>
      <c r="BG519" s="825"/>
      <c r="BH519" s="825"/>
      <c r="BI519" s="825"/>
      <c r="BJ519" s="825"/>
      <c r="BK519" s="825"/>
      <c r="BL519" s="825"/>
      <c r="BM519" s="825"/>
      <c r="BN519" s="825"/>
      <c r="BO519" s="825"/>
      <c r="BP519" s="825"/>
      <c r="BQ519" s="825"/>
      <c r="BR519" s="825"/>
      <c r="BS519" s="825"/>
      <c r="BT519" s="825"/>
      <c r="BU519" s="825"/>
      <c r="BV519" s="825"/>
      <c r="BW519" s="825"/>
      <c r="BX519" s="825"/>
      <c r="BY519" s="825"/>
      <c r="BZ519" s="825"/>
      <c r="CA519" s="825"/>
      <c r="CB519" s="825"/>
      <c r="CC519" s="825"/>
    </row>
    <row r="520" spans="1:81" s="548" customFormat="1" ht="26.35" customHeight="1" x14ac:dyDescent="0.25">
      <c r="A520" s="273"/>
      <c r="B520" s="672"/>
      <c r="C520" s="1651"/>
      <c r="D520" s="1612"/>
      <c r="E520" s="1612"/>
      <c r="F520" s="1537"/>
      <c r="G520" s="1537"/>
      <c r="H520" s="1537"/>
      <c r="I520" s="1537"/>
      <c r="J520" s="1537"/>
      <c r="K520" s="1537"/>
      <c r="L520" s="1537"/>
      <c r="M520" s="649" t="s">
        <v>489</v>
      </c>
      <c r="N520" s="730" t="str">
        <f>N62</f>
        <v>Cohecho en el control y vigilancia de recursos naturales</v>
      </c>
      <c r="O520" s="837" t="str">
        <f t="shared" si="13"/>
        <v>Corrupción</v>
      </c>
      <c r="P520" s="546" t="e">
        <f>#REF!</f>
        <v>#REF!</v>
      </c>
      <c r="Q520" s="534" t="str">
        <f>AG13</f>
        <v xml:space="preserve">Inclusión de población local y rondas en sistemas de control y vigilancia para reducir la deforestación </v>
      </c>
      <c r="R520" s="534" t="s">
        <v>816</v>
      </c>
      <c r="S520" s="546" t="s">
        <v>526</v>
      </c>
      <c r="T520" s="519" t="str">
        <f>AF13</f>
        <v>SCR5</v>
      </c>
      <c r="U520" s="628"/>
      <c r="V520" s="478"/>
      <c r="W520" s="478"/>
      <c r="X520" s="273"/>
      <c r="Y520" s="825"/>
      <c r="Z520" s="825"/>
      <c r="AA520" s="825"/>
      <c r="AB520" s="825"/>
      <c r="AC520" s="825"/>
      <c r="AD520" s="825"/>
      <c r="AE520" s="825"/>
      <c r="AF520" s="825"/>
      <c r="AG520" s="825"/>
      <c r="AH520" s="825"/>
      <c r="AI520" s="825"/>
      <c r="AJ520" s="825"/>
      <c r="AK520" s="825"/>
      <c r="AL520" s="825"/>
      <c r="AM520" s="825"/>
      <c r="AN520" s="825"/>
      <c r="AO520" s="825"/>
      <c r="AP520" s="825"/>
      <c r="AQ520" s="825"/>
      <c r="AR520" s="825"/>
      <c r="AS520" s="825"/>
      <c r="AT520" s="825"/>
      <c r="AU520" s="825"/>
      <c r="AV520" s="825"/>
      <c r="AW520" s="825"/>
      <c r="AX520" s="825"/>
      <c r="AY520" s="273"/>
      <c r="AZ520" s="273"/>
      <c r="BA520" s="825"/>
      <c r="BB520" s="825"/>
      <c r="BC520" s="825"/>
      <c r="BD520" s="825"/>
      <c r="BE520" s="825"/>
      <c r="BF520" s="825"/>
      <c r="BG520" s="825"/>
      <c r="BH520" s="825"/>
      <c r="BI520" s="825"/>
      <c r="BJ520" s="825"/>
      <c r="BK520" s="825"/>
      <c r="BL520" s="825"/>
      <c r="BM520" s="825"/>
      <c r="BN520" s="825"/>
      <c r="BO520" s="825"/>
      <c r="BP520" s="825"/>
      <c r="BQ520" s="825"/>
      <c r="BR520" s="825"/>
      <c r="BS520" s="825"/>
      <c r="BT520" s="825"/>
      <c r="BU520" s="825"/>
      <c r="BV520" s="825"/>
      <c r="BW520" s="825"/>
      <c r="BX520" s="825"/>
      <c r="BY520" s="825"/>
      <c r="BZ520" s="825"/>
      <c r="CA520" s="825"/>
      <c r="CB520" s="825"/>
      <c r="CC520" s="825"/>
    </row>
    <row r="521" spans="1:81" s="548" customFormat="1" ht="32.299999999999997" customHeight="1" x14ac:dyDescent="0.25">
      <c r="A521" s="273"/>
      <c r="B521" s="672"/>
      <c r="C521" s="1651"/>
      <c r="D521" s="1612"/>
      <c r="E521" s="1612"/>
      <c r="F521" s="1537"/>
      <c r="G521" s="1537"/>
      <c r="H521" s="1537"/>
      <c r="I521" s="1537"/>
      <c r="J521" s="1537"/>
      <c r="K521" s="1537"/>
      <c r="L521" s="1537"/>
      <c r="M521" s="833" t="s">
        <v>489</v>
      </c>
      <c r="N521" s="730" t="str">
        <f>N64</f>
        <v>Adquisición inadecuada de recursos para el control y vigilancia</v>
      </c>
      <c r="O521" s="837" t="str">
        <f t="shared" si="13"/>
        <v>Corrupción</v>
      </c>
      <c r="P521" s="546" t="e">
        <f>#REF!</f>
        <v>#REF!</v>
      </c>
      <c r="Q521" s="534" t="str">
        <f>AG11</f>
        <v>Transparencia en las adquisiciones vinculadas a la ERDRBE</v>
      </c>
      <c r="R521" s="534" t="s">
        <v>805</v>
      </c>
      <c r="S521" s="546" t="s">
        <v>526</v>
      </c>
      <c r="T521" s="519" t="str">
        <f>AF11</f>
        <v>SCR3</v>
      </c>
      <c r="U521" s="628"/>
      <c r="V521" s="478"/>
      <c r="W521" s="478"/>
      <c r="X521" s="273"/>
      <c r="Y521" s="825"/>
      <c r="Z521" s="825"/>
      <c r="AA521" s="825"/>
      <c r="AB521" s="825"/>
      <c r="AC521" s="825"/>
      <c r="AD521" s="825"/>
      <c r="AE521" s="825"/>
      <c r="AF521" s="825"/>
      <c r="AG521" s="825"/>
      <c r="AH521" s="825"/>
      <c r="AI521" s="825"/>
      <c r="AJ521" s="825"/>
      <c r="AK521" s="825"/>
      <c r="AL521" s="825"/>
      <c r="AM521" s="825"/>
      <c r="AN521" s="825"/>
      <c r="AO521" s="825"/>
      <c r="AP521" s="825"/>
      <c r="AQ521" s="825"/>
      <c r="AR521" s="825"/>
      <c r="AS521" s="825"/>
      <c r="AT521" s="825"/>
      <c r="AU521" s="825"/>
      <c r="AV521" s="825"/>
      <c r="AW521" s="825"/>
      <c r="AX521" s="825"/>
      <c r="AY521" s="273"/>
      <c r="AZ521" s="273"/>
      <c r="BA521" s="825"/>
      <c r="BB521" s="825"/>
      <c r="BC521" s="825"/>
      <c r="BD521" s="825"/>
      <c r="BE521" s="825"/>
      <c r="BF521" s="825"/>
      <c r="BG521" s="825"/>
      <c r="BH521" s="825"/>
      <c r="BI521" s="825"/>
      <c r="BJ521" s="825"/>
      <c r="BK521" s="825"/>
      <c r="BL521" s="825"/>
      <c r="BM521" s="825"/>
      <c r="BN521" s="825"/>
      <c r="BO521" s="825"/>
      <c r="BP521" s="825"/>
      <c r="BQ521" s="825"/>
      <c r="BR521" s="825"/>
      <c r="BS521" s="825"/>
      <c r="BT521" s="825"/>
      <c r="BU521" s="825"/>
      <c r="BV521" s="825"/>
      <c r="BW521" s="825"/>
      <c r="BX521" s="825"/>
      <c r="BY521" s="825"/>
      <c r="BZ521" s="825"/>
      <c r="CA521" s="825"/>
      <c r="CB521" s="825"/>
      <c r="CC521" s="825"/>
    </row>
    <row r="522" spans="1:81" s="548" customFormat="1" ht="32.299999999999997" customHeight="1" x14ac:dyDescent="0.25">
      <c r="A522" s="273"/>
      <c r="B522" s="672"/>
      <c r="C522" s="1651"/>
      <c r="D522" s="1612"/>
      <c r="E522" s="1612"/>
      <c r="F522" s="1537"/>
      <c r="G522" s="1537"/>
      <c r="H522" s="1537"/>
      <c r="I522" s="1537"/>
      <c r="J522" s="1537"/>
      <c r="K522" s="1537"/>
      <c r="L522" s="1537"/>
      <c r="M522" s="649" t="s">
        <v>489</v>
      </c>
      <c r="N522" s="730" t="str">
        <f>N65</f>
        <v>Exclusión de mujeres rurales en iniciativas de control y vigilancia</v>
      </c>
      <c r="O522" s="837" t="str">
        <f t="shared" si="13"/>
        <v>Género</v>
      </c>
      <c r="P522" s="546" t="str">
        <f>AC6</f>
        <v>GN</v>
      </c>
      <c r="Q522" s="534" t="str">
        <f>AJ19</f>
        <v xml:space="preserve">Inclusión de mujeres rurales y sus organizaciones en iniciativas de control y vigilancia de la deforestación </v>
      </c>
      <c r="R522" s="534" t="s">
        <v>820</v>
      </c>
      <c r="S522" s="546" t="s">
        <v>507</v>
      </c>
      <c r="T522" s="519" t="str">
        <f>AI19</f>
        <v>SGN11</v>
      </c>
      <c r="U522" s="628"/>
      <c r="V522" s="478"/>
      <c r="W522" s="478"/>
      <c r="X522" s="273"/>
      <c r="Y522" s="825"/>
      <c r="Z522" s="825"/>
      <c r="AA522" s="825"/>
      <c r="AB522" s="825"/>
      <c r="AC522" s="825"/>
      <c r="AD522" s="825"/>
      <c r="AE522" s="825"/>
      <c r="AF522" s="825"/>
      <c r="AG522" s="825"/>
      <c r="AH522" s="825"/>
      <c r="AI522" s="825"/>
      <c r="AJ522" s="825"/>
      <c r="AK522" s="825"/>
      <c r="AL522" s="825"/>
      <c r="AM522" s="825"/>
      <c r="AN522" s="825"/>
      <c r="AO522" s="825"/>
      <c r="AP522" s="825"/>
      <c r="AQ522" s="825"/>
      <c r="AR522" s="825"/>
      <c r="AS522" s="825"/>
      <c r="AT522" s="825"/>
      <c r="AU522" s="825"/>
      <c r="AV522" s="825"/>
      <c r="AW522" s="825"/>
      <c r="AX522" s="825"/>
      <c r="AY522" s="273"/>
      <c r="AZ522" s="273"/>
      <c r="BA522" s="825"/>
      <c r="BB522" s="825"/>
      <c r="BC522" s="825"/>
      <c r="BD522" s="825"/>
      <c r="BE522" s="825"/>
      <c r="BF522" s="825"/>
      <c r="BG522" s="825"/>
      <c r="BH522" s="825"/>
      <c r="BI522" s="825"/>
      <c r="BJ522" s="825"/>
      <c r="BK522" s="825"/>
      <c r="BL522" s="825"/>
      <c r="BM522" s="825"/>
      <c r="BN522" s="825"/>
      <c r="BO522" s="825"/>
      <c r="BP522" s="825"/>
      <c r="BQ522" s="825"/>
      <c r="BR522" s="825"/>
      <c r="BS522" s="825"/>
      <c r="BT522" s="825"/>
      <c r="BU522" s="825"/>
      <c r="BV522" s="825"/>
      <c r="BW522" s="825"/>
      <c r="BX522" s="825"/>
      <c r="BY522" s="825"/>
      <c r="BZ522" s="825"/>
      <c r="CA522" s="825"/>
      <c r="CB522" s="825"/>
      <c r="CC522" s="825"/>
    </row>
    <row r="523" spans="1:81" ht="54.7" customHeight="1" x14ac:dyDescent="0.25">
      <c r="A523" s="273"/>
      <c r="B523" s="672" t="s">
        <v>897</v>
      </c>
      <c r="C523" s="1571" t="str">
        <f>'8. BASE  CONSOLIDADA'!E185</f>
        <v>4.6.2</v>
      </c>
      <c r="D523" s="1564" t="str">
        <f>'8. BASE  CONSOLIDADA'!F185</f>
        <v>Sensibilización para el fortalecimiento del control y vigilancia en zona de amortiguamiento</v>
      </c>
      <c r="E523" s="1564" t="str">
        <f>'8. BASE  CONSOLIDADA'!G185</f>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v>
      </c>
      <c r="F523" s="1535" t="str">
        <f>'8. BASE  CONSOLIDADA'!C185</f>
        <v xml:space="preserve">ACR Cordillera Escalera </v>
      </c>
      <c r="G523" s="1535" t="str">
        <f>VLOOKUP($C523,'8. BASE  CONSOLIDADA'!$E$7:$AS$308,13,FALSE)</f>
        <v>Campañas de sensibilización</v>
      </c>
      <c r="H523" s="1535">
        <f>VLOOKUP($C523,'8. BASE  CONSOLIDADA'!$E$7:$AS$308,15,FALSE)</f>
        <v>45</v>
      </c>
      <c r="I523" s="1535">
        <f>VLOOKUP(C523,'8. BASE  CONSOLIDADA'!$E$7:$AS$308,20,FALSE)</f>
        <v>1800000</v>
      </c>
      <c r="J523" s="1535">
        <f>I523*$J$6</f>
        <v>1224</v>
      </c>
      <c r="K523" s="1535"/>
      <c r="L523" s="1535"/>
      <c r="M523" s="649" t="s">
        <v>489</v>
      </c>
      <c r="N523" s="730" t="str">
        <f>N62</f>
        <v>Cohecho en el control y vigilancia de recursos naturales</v>
      </c>
      <c r="O523" s="837" t="str">
        <f t="shared" si="13"/>
        <v>Corrupción</v>
      </c>
      <c r="P523" s="546" t="e">
        <f>#REF!</f>
        <v>#REF!</v>
      </c>
      <c r="Q523" s="534" t="str">
        <f>AG12</f>
        <v>Implementación de sistema anticorrupción en coordinación con el Ministerio Público</v>
      </c>
      <c r="R523" s="534" t="s">
        <v>778</v>
      </c>
      <c r="S523" s="546" t="s">
        <v>526</v>
      </c>
      <c r="T523" s="519" t="str">
        <f>AF12</f>
        <v>SCR4</v>
      </c>
      <c r="U523" s="628"/>
      <c r="V523" s="478"/>
      <c r="W523" s="478"/>
      <c r="X523" s="273"/>
      <c r="Y523" s="825"/>
      <c r="Z523" s="825"/>
      <c r="AA523" s="825"/>
      <c r="AB523" s="825"/>
      <c r="AC523" s="825"/>
      <c r="AD523" s="825"/>
      <c r="AE523" s="825"/>
      <c r="AF523" s="825"/>
      <c r="AG523" s="825"/>
      <c r="AH523" s="825"/>
      <c r="AI523" s="825"/>
      <c r="AJ523" s="825"/>
      <c r="AK523" s="825"/>
      <c r="AL523" s="825"/>
      <c r="AM523" s="825"/>
      <c r="AN523" s="825"/>
      <c r="AO523" s="825"/>
      <c r="AP523" s="825"/>
      <c r="AQ523" s="825"/>
      <c r="AR523" s="825"/>
      <c r="AS523" s="825"/>
      <c r="AT523" s="825"/>
      <c r="AU523" s="825"/>
      <c r="AV523" s="825"/>
      <c r="AW523" s="825"/>
      <c r="AX523" s="825"/>
      <c r="BA523" s="825"/>
      <c r="BB523" s="825"/>
      <c r="BC523" s="825"/>
      <c r="BD523" s="825"/>
      <c r="BE523" s="825"/>
      <c r="BF523" s="825"/>
      <c r="BG523" s="825"/>
      <c r="BH523" s="825"/>
      <c r="BI523" s="825"/>
      <c r="BJ523" s="825"/>
      <c r="BK523" s="825"/>
      <c r="BL523" s="825"/>
      <c r="BM523" s="825"/>
      <c r="BN523" s="825"/>
      <c r="BO523" s="825"/>
      <c r="BP523" s="825"/>
      <c r="BQ523" s="825"/>
      <c r="BR523" s="825"/>
      <c r="BS523" s="825"/>
      <c r="BT523" s="825"/>
      <c r="BU523" s="825"/>
      <c r="BV523" s="825"/>
      <c r="BW523" s="825"/>
      <c r="BX523" s="825"/>
      <c r="BY523" s="825"/>
      <c r="BZ523" s="825"/>
      <c r="CA523" s="825"/>
      <c r="CB523" s="825"/>
      <c r="CC523" s="825"/>
    </row>
    <row r="524" spans="1:81" s="555" customFormat="1" ht="25.5" customHeight="1" x14ac:dyDescent="0.25">
      <c r="A524" s="273"/>
      <c r="B524" s="672"/>
      <c r="C524" s="1572"/>
      <c r="D524" s="1565"/>
      <c r="E524" s="1565"/>
      <c r="F524" s="1536"/>
      <c r="G524" s="1536"/>
      <c r="H524" s="1536"/>
      <c r="I524" s="1536"/>
      <c r="J524" s="1536"/>
      <c r="K524" s="1536"/>
      <c r="L524" s="1536"/>
      <c r="M524" s="649" t="s">
        <v>489</v>
      </c>
      <c r="N524" s="730" t="str">
        <f>N62</f>
        <v>Cohecho en el control y vigilancia de recursos naturales</v>
      </c>
      <c r="O524" s="837" t="str">
        <f t="shared" si="13"/>
        <v>Corrupción</v>
      </c>
      <c r="P524" s="546" t="e">
        <f>#REF!</f>
        <v>#REF!</v>
      </c>
      <c r="Q524" s="534" t="str">
        <f>AG13</f>
        <v xml:space="preserve">Inclusión de población local y rondas en sistemas de control y vigilancia para reducir la deforestación </v>
      </c>
      <c r="R524" s="534" t="s">
        <v>816</v>
      </c>
      <c r="S524" s="546" t="s">
        <v>526</v>
      </c>
      <c r="T524" s="519" t="str">
        <f>AF13</f>
        <v>SCR5</v>
      </c>
      <c r="U524" s="628"/>
      <c r="V524" s="478"/>
      <c r="W524" s="478"/>
      <c r="X524" s="273"/>
      <c r="Y524" s="825"/>
      <c r="Z524" s="825"/>
      <c r="AA524" s="825"/>
      <c r="AB524" s="825"/>
      <c r="AC524" s="825"/>
      <c r="AD524" s="825"/>
      <c r="AE524" s="825"/>
      <c r="AF524" s="825"/>
      <c r="AG524" s="825"/>
      <c r="AH524" s="825"/>
      <c r="AI524" s="825"/>
      <c r="AJ524" s="825"/>
      <c r="AK524" s="825"/>
      <c r="AL524" s="825"/>
      <c r="AM524" s="825"/>
      <c r="AN524" s="825"/>
      <c r="AO524" s="825"/>
      <c r="AP524" s="825"/>
      <c r="AQ524" s="825"/>
      <c r="AR524" s="825"/>
      <c r="AS524" s="825"/>
      <c r="AT524" s="825"/>
      <c r="AU524" s="825"/>
      <c r="AV524" s="825"/>
      <c r="AW524" s="825"/>
      <c r="AX524" s="825"/>
      <c r="AY524" s="273"/>
      <c r="AZ524" s="273"/>
      <c r="BA524" s="825"/>
      <c r="BB524" s="825"/>
      <c r="BC524" s="825"/>
      <c r="BD524" s="825"/>
      <c r="BE524" s="825"/>
      <c r="BF524" s="825"/>
      <c r="BG524" s="825"/>
      <c r="BH524" s="825"/>
      <c r="BI524" s="825"/>
      <c r="BJ524" s="825"/>
      <c r="BK524" s="825"/>
      <c r="BL524" s="825"/>
      <c r="BM524" s="825"/>
      <c r="BN524" s="825"/>
      <c r="BO524" s="825"/>
      <c r="BP524" s="825"/>
      <c r="BQ524" s="825"/>
      <c r="BR524" s="825"/>
      <c r="BS524" s="825"/>
      <c r="BT524" s="825"/>
      <c r="BU524" s="825"/>
      <c r="BV524" s="825"/>
      <c r="BW524" s="825"/>
      <c r="BX524" s="825"/>
      <c r="BY524" s="825"/>
      <c r="BZ524" s="825"/>
      <c r="CA524" s="825"/>
      <c r="CB524" s="825"/>
      <c r="CC524" s="825"/>
    </row>
    <row r="525" spans="1:81" s="555" customFormat="1" ht="36" customHeight="1" x14ac:dyDescent="0.25">
      <c r="A525" s="273"/>
      <c r="B525" s="672"/>
      <c r="C525" s="1572"/>
      <c r="D525" s="1565"/>
      <c r="E525" s="1565"/>
      <c r="F525" s="1536"/>
      <c r="G525" s="1536"/>
      <c r="H525" s="1536"/>
      <c r="I525" s="1536"/>
      <c r="J525" s="1536"/>
      <c r="K525" s="1536"/>
      <c r="L525" s="1536"/>
      <c r="M525" s="833" t="s">
        <v>489</v>
      </c>
      <c r="N525" s="730" t="str">
        <f>N64</f>
        <v>Adquisición inadecuada de recursos para el control y vigilancia</v>
      </c>
      <c r="O525" s="837" t="str">
        <f t="shared" si="13"/>
        <v>Corrupción</v>
      </c>
      <c r="P525" s="546" t="e">
        <f>#REF!</f>
        <v>#REF!</v>
      </c>
      <c r="Q525" s="534" t="str">
        <f>AG11</f>
        <v>Transparencia en las adquisiciones vinculadas a la ERDRBE</v>
      </c>
      <c r="R525" s="534" t="s">
        <v>805</v>
      </c>
      <c r="S525" s="546" t="s">
        <v>526</v>
      </c>
      <c r="T525" s="519" t="str">
        <f>AF11</f>
        <v>SCR3</v>
      </c>
      <c r="U525" s="628"/>
      <c r="V525" s="478"/>
      <c r="W525" s="478"/>
      <c r="X525" s="273"/>
      <c r="Y525" s="825"/>
      <c r="Z525" s="825"/>
      <c r="AA525" s="825"/>
      <c r="AB525" s="825"/>
      <c r="AC525" s="825"/>
      <c r="AD525" s="825"/>
      <c r="AE525" s="825"/>
      <c r="AF525" s="825"/>
      <c r="AG525" s="825"/>
      <c r="AH525" s="825"/>
      <c r="AI525" s="825"/>
      <c r="AJ525" s="825"/>
      <c r="AK525" s="825"/>
      <c r="AL525" s="825"/>
      <c r="AM525" s="825"/>
      <c r="AN525" s="825"/>
      <c r="AO525" s="825"/>
      <c r="AP525" s="825"/>
      <c r="AQ525" s="825"/>
      <c r="AR525" s="825"/>
      <c r="AS525" s="825"/>
      <c r="AT525" s="825"/>
      <c r="AU525" s="825"/>
      <c r="AV525" s="825"/>
      <c r="AW525" s="825"/>
      <c r="AX525" s="825"/>
      <c r="AY525" s="273"/>
      <c r="AZ525" s="273"/>
      <c r="BA525" s="825"/>
      <c r="BB525" s="825"/>
      <c r="BC525" s="825"/>
      <c r="BD525" s="825"/>
      <c r="BE525" s="825"/>
      <c r="BF525" s="825"/>
      <c r="BG525" s="825"/>
      <c r="BH525" s="825"/>
      <c r="BI525" s="825"/>
      <c r="BJ525" s="825"/>
      <c r="BK525" s="825"/>
      <c r="BL525" s="825"/>
      <c r="BM525" s="825"/>
      <c r="BN525" s="825"/>
      <c r="BO525" s="825"/>
      <c r="BP525" s="825"/>
      <c r="BQ525" s="825"/>
      <c r="BR525" s="825"/>
      <c r="BS525" s="825"/>
      <c r="BT525" s="825"/>
      <c r="BU525" s="825"/>
      <c r="BV525" s="825"/>
      <c r="BW525" s="825"/>
      <c r="BX525" s="825"/>
      <c r="BY525" s="825"/>
      <c r="BZ525" s="825"/>
      <c r="CA525" s="825"/>
      <c r="CB525" s="825"/>
      <c r="CC525" s="825"/>
    </row>
    <row r="526" spans="1:81" s="555" customFormat="1" ht="36" customHeight="1" x14ac:dyDescent="0.25">
      <c r="A526" s="273"/>
      <c r="B526" s="672"/>
      <c r="C526" s="1573"/>
      <c r="D526" s="1566"/>
      <c r="E526" s="1566"/>
      <c r="F526" s="1543"/>
      <c r="G526" s="1543"/>
      <c r="H526" s="1543"/>
      <c r="I526" s="1543"/>
      <c r="J526" s="1543"/>
      <c r="K526" s="1543"/>
      <c r="L526" s="1543"/>
      <c r="M526" s="649" t="s">
        <v>489</v>
      </c>
      <c r="N526" s="730" t="str">
        <f>N65</f>
        <v>Exclusión de mujeres rurales en iniciativas de control y vigilancia</v>
      </c>
      <c r="O526" s="837" t="str">
        <f t="shared" si="13"/>
        <v>Género</v>
      </c>
      <c r="P526" s="546" t="str">
        <f>AC6</f>
        <v>GN</v>
      </c>
      <c r="Q526" s="534" t="str">
        <f>AJ19</f>
        <v xml:space="preserve">Inclusión de mujeres rurales y sus organizaciones en iniciativas de control y vigilancia de la deforestación </v>
      </c>
      <c r="R526" s="534" t="s">
        <v>820</v>
      </c>
      <c r="S526" s="546" t="s">
        <v>507</v>
      </c>
      <c r="T526" s="519" t="str">
        <f>AI19</f>
        <v>SGN11</v>
      </c>
      <c r="U526" s="628"/>
      <c r="V526" s="478"/>
      <c r="W526" s="478"/>
      <c r="X526" s="273"/>
      <c r="Y526" s="825"/>
      <c r="Z526" s="825"/>
      <c r="AA526" s="825"/>
      <c r="AB526" s="825"/>
      <c r="AC526" s="825"/>
      <c r="AD526" s="825"/>
      <c r="AE526" s="825"/>
      <c r="AF526" s="825"/>
      <c r="AG526" s="825"/>
      <c r="AH526" s="825"/>
      <c r="AI526" s="825"/>
      <c r="AJ526" s="825"/>
      <c r="AK526" s="825"/>
      <c r="AL526" s="825"/>
      <c r="AM526" s="825"/>
      <c r="AN526" s="825"/>
      <c r="AO526" s="825"/>
      <c r="AP526" s="825"/>
      <c r="AQ526" s="825"/>
      <c r="AR526" s="825"/>
      <c r="AS526" s="825"/>
      <c r="AT526" s="825"/>
      <c r="AU526" s="825"/>
      <c r="AV526" s="825"/>
      <c r="AW526" s="825"/>
      <c r="AX526" s="825"/>
      <c r="AY526" s="273"/>
      <c r="AZ526" s="273"/>
      <c r="BA526" s="825"/>
      <c r="BB526" s="825"/>
      <c r="BC526" s="825"/>
      <c r="BD526" s="825"/>
      <c r="BE526" s="825"/>
      <c r="BF526" s="825"/>
      <c r="BG526" s="825"/>
      <c r="BH526" s="825"/>
      <c r="BI526" s="825"/>
      <c r="BJ526" s="825"/>
      <c r="BK526" s="825"/>
      <c r="BL526" s="825"/>
      <c r="BM526" s="825"/>
      <c r="BN526" s="825"/>
      <c r="BO526" s="825"/>
      <c r="BP526" s="825"/>
      <c r="BQ526" s="825"/>
      <c r="BR526" s="825"/>
      <c r="BS526" s="825"/>
      <c r="BT526" s="825"/>
      <c r="BU526" s="825"/>
      <c r="BV526" s="825"/>
      <c r="BW526" s="825"/>
      <c r="BX526" s="825"/>
      <c r="BY526" s="825"/>
      <c r="BZ526" s="825"/>
      <c r="CA526" s="825"/>
      <c r="CB526" s="825"/>
      <c r="CC526" s="825"/>
    </row>
    <row r="527" spans="1:81" ht="36.700000000000003" customHeight="1" x14ac:dyDescent="0.25">
      <c r="A527" s="273"/>
      <c r="B527" s="674" t="s">
        <v>897</v>
      </c>
      <c r="C527" s="1637" t="str">
        <f>'8. BASE  CONSOLIDADA'!E187</f>
        <v>4.6.4</v>
      </c>
      <c r="D527" s="1602" t="str">
        <f>'8. BASE  CONSOLIDADA'!F187</f>
        <v>Promoción y difusión de circuitos turísticos en zona de amortiguamiento</v>
      </c>
      <c r="E527" s="1602" t="str">
        <f>'8. BASE  CONSOLIDADA'!G187</f>
        <v>Campañas de promoción y difusión en el ámbito regional y nacional de los circuitos turísticos que existen en la zona de amortiguamiento.</v>
      </c>
      <c r="F527" s="1535" t="str">
        <f>'8. BASE  CONSOLIDADA'!C187</f>
        <v xml:space="preserve">ACR Cordillera Escalera </v>
      </c>
      <c r="G527" s="1019" t="str">
        <f>VLOOKUP($C527,'8. BASE  CONSOLIDADA'!$E$7:$AS$308,13,FALSE)</f>
        <v>Campañas de promoción</v>
      </c>
      <c r="H527" s="1109">
        <f>VLOOKUP($C527,'8. BASE  CONSOLIDADA'!$E$7:$AS$308,15,FALSE)</f>
        <v>12</v>
      </c>
      <c r="I527" s="1058">
        <f>VLOOKUP(C527,'8. BASE  CONSOLIDADA'!$E$7:$AS$308,20,FALSE)</f>
        <v>240000</v>
      </c>
      <c r="J527" s="678">
        <f>I527*$J$6</f>
        <v>163.20000000000002</v>
      </c>
      <c r="K527" s="1020"/>
      <c r="L527" s="1030"/>
      <c r="M527" s="645" t="s">
        <v>489</v>
      </c>
      <c r="N527" s="730" t="str">
        <f>N68</f>
        <v>Impacto negativo sobre la biodiversidad por infraestructura o visitantes</v>
      </c>
      <c r="O527" s="837" t="str">
        <f t="shared" si="13"/>
        <v>Biodiversidad y recursos naturales</v>
      </c>
      <c r="P527" s="546" t="e">
        <f>#REF!</f>
        <v>#REF!</v>
      </c>
      <c r="Q527" s="534" t="str">
        <f>AA15</f>
        <v>Evaluación de impacto de actividades turísticas e implementación de buenas prácticas para mitigar el impacto directo e indirecto de la actividad</v>
      </c>
      <c r="R527" s="534" t="s">
        <v>825</v>
      </c>
      <c r="S527" s="546" t="s">
        <v>526</v>
      </c>
      <c r="T527" s="519" t="str">
        <f>Z15</f>
        <v>SBRN7</v>
      </c>
      <c r="U527" s="628"/>
      <c r="V527" s="478"/>
      <c r="W527" s="478"/>
      <c r="X527" s="273"/>
      <c r="Y527" s="825"/>
      <c r="Z527" s="825"/>
      <c r="AA527" s="825"/>
      <c r="AB527" s="825"/>
      <c r="AC527" s="825"/>
      <c r="AD527" s="825"/>
      <c r="AE527" s="825"/>
      <c r="AF527" s="825"/>
      <c r="AG527" s="825"/>
      <c r="AH527" s="825"/>
      <c r="AI527" s="825"/>
      <c r="AJ527" s="825"/>
      <c r="AK527" s="825"/>
      <c r="AL527" s="825"/>
      <c r="AM527" s="825"/>
      <c r="AN527" s="825"/>
      <c r="AO527" s="825"/>
      <c r="AP527" s="825"/>
      <c r="AQ527" s="825"/>
      <c r="AR527" s="825"/>
      <c r="AS527" s="825"/>
      <c r="AT527" s="825"/>
      <c r="AU527" s="825"/>
      <c r="AV527" s="825"/>
      <c r="AW527" s="825"/>
      <c r="AX527" s="825"/>
      <c r="BA527" s="825"/>
      <c r="BB527" s="825"/>
      <c r="BC527" s="825"/>
      <c r="BD527" s="825"/>
      <c r="BE527" s="825"/>
      <c r="BF527" s="825"/>
      <c r="BG527" s="825"/>
      <c r="BH527" s="825"/>
      <c r="BI527" s="825"/>
      <c r="BJ527" s="825"/>
      <c r="BK527" s="825"/>
      <c r="BL527" s="825"/>
      <c r="BM527" s="825"/>
      <c r="BN527" s="825"/>
      <c r="BO527" s="825"/>
      <c r="BP527" s="825"/>
      <c r="BQ527" s="825"/>
      <c r="BR527" s="825"/>
      <c r="BS527" s="825"/>
      <c r="BT527" s="825"/>
      <c r="BU527" s="825"/>
      <c r="BV527" s="825"/>
      <c r="BW527" s="825"/>
      <c r="BX527" s="825"/>
      <c r="BY527" s="825"/>
      <c r="BZ527" s="825"/>
      <c r="CA527" s="825"/>
      <c r="CB527" s="825"/>
      <c r="CC527" s="825"/>
    </row>
    <row r="528" spans="1:81" s="555" customFormat="1" ht="54" customHeight="1" x14ac:dyDescent="0.25">
      <c r="A528" s="273"/>
      <c r="B528" s="674"/>
      <c r="C528" s="1638"/>
      <c r="D528" s="1604"/>
      <c r="E528" s="1604"/>
      <c r="F528" s="1543"/>
      <c r="G528" s="1091"/>
      <c r="H528" s="1112"/>
      <c r="I528" s="1061"/>
      <c r="J528" s="679"/>
      <c r="K528" s="1021"/>
      <c r="L528" s="1029"/>
      <c r="M528" s="645" t="s">
        <v>489</v>
      </c>
      <c r="N528" s="730" t="str">
        <f>N69</f>
        <v>Exclusión de mujeres rurales en programas de turismo comunitario</v>
      </c>
      <c r="O528" s="837" t="str">
        <f t="shared" si="13"/>
        <v>Género</v>
      </c>
      <c r="P528" s="546" t="str">
        <f>AC6</f>
        <v>GN</v>
      </c>
      <c r="Q528" s="534" t="str">
        <f>AJ21</f>
        <v>Inclusión de mujeres rurales en actividades de turismo comunitario en ANPs y sus zonas de amortiguamiento</v>
      </c>
      <c r="R528" s="534" t="s">
        <v>827</v>
      </c>
      <c r="S528" s="546" t="s">
        <v>526</v>
      </c>
      <c r="T528" s="519" t="str">
        <f>AI21</f>
        <v>SGN13</v>
      </c>
      <c r="U528" s="628"/>
      <c r="V528" s="478"/>
      <c r="W528" s="478"/>
      <c r="X528" s="273"/>
      <c r="Y528" s="825"/>
      <c r="Z528" s="825"/>
      <c r="AA528" s="825"/>
      <c r="AB528" s="825"/>
      <c r="AC528" s="825"/>
      <c r="AD528" s="825"/>
      <c r="AE528" s="825"/>
      <c r="AF528" s="825"/>
      <c r="AG528" s="825"/>
      <c r="AH528" s="825"/>
      <c r="AI528" s="825"/>
      <c r="AJ528" s="825"/>
      <c r="AK528" s="825"/>
      <c r="AL528" s="825"/>
      <c r="AM528" s="825"/>
      <c r="AN528" s="825"/>
      <c r="AO528" s="825"/>
      <c r="AP528" s="825"/>
      <c r="AQ528" s="825"/>
      <c r="AR528" s="825"/>
      <c r="AS528" s="825"/>
      <c r="AT528" s="825"/>
      <c r="AU528" s="825"/>
      <c r="AV528" s="825"/>
      <c r="AW528" s="825"/>
      <c r="AX528" s="825"/>
      <c r="AY528" s="273"/>
      <c r="AZ528" s="273"/>
      <c r="BA528" s="825"/>
      <c r="BB528" s="825"/>
      <c r="BC528" s="825"/>
      <c r="BD528" s="825"/>
      <c r="BE528" s="825"/>
      <c r="BF528" s="825"/>
      <c r="BG528" s="825"/>
      <c r="BH528" s="825"/>
      <c r="BI528" s="825"/>
      <c r="BJ528" s="825"/>
      <c r="BK528" s="825"/>
      <c r="BL528" s="825"/>
      <c r="BM528" s="825"/>
      <c r="BN528" s="825"/>
      <c r="BO528" s="825"/>
      <c r="BP528" s="825"/>
      <c r="BQ528" s="825"/>
      <c r="BR528" s="825"/>
      <c r="BS528" s="825"/>
      <c r="BT528" s="825"/>
      <c r="BU528" s="825"/>
      <c r="BV528" s="825"/>
      <c r="BW528" s="825"/>
      <c r="BX528" s="825"/>
      <c r="BY528" s="825"/>
      <c r="BZ528" s="825"/>
      <c r="CA528" s="825"/>
      <c r="CB528" s="825"/>
      <c r="CC528" s="825"/>
    </row>
    <row r="529" spans="1:81" ht="37.549999999999997" customHeight="1" x14ac:dyDescent="0.25">
      <c r="A529" s="273"/>
      <c r="B529" s="674" t="s">
        <v>897</v>
      </c>
      <c r="C529" s="653" t="str">
        <f>'8. BASE  CONSOLIDADA'!E188</f>
        <v>4.6.5</v>
      </c>
      <c r="D529" s="1158" t="str">
        <f>'8. BASE  CONSOLIDADA'!F188</f>
        <v>Promoción de agroforestería sostenible en zona de amortiguamiento</v>
      </c>
      <c r="E529" s="1158" t="str">
        <f>'8. BASE  CONSOLIDADA'!G188</f>
        <v>Pasantías regionales con productores con la finalidad de conocer  los diferentes sistemas productivos sostenibles a ser replicados en las comunidades.</v>
      </c>
      <c r="F529" s="635" t="str">
        <f>'8. BASE  CONSOLIDADA'!C188</f>
        <v xml:space="preserve">ACR Cordillera Escalera </v>
      </c>
      <c r="G529" s="1150" t="str">
        <f>VLOOKUP($C529,'8. BASE  CONSOLIDADA'!$E$7:$AS$308,13,FALSE)</f>
        <v>Pasantías</v>
      </c>
      <c r="H529" s="1151">
        <f>VLOOKUP($C529,'8. BASE  CONSOLIDADA'!$E$7:$AS$308,15,FALSE)</f>
        <v>6</v>
      </c>
      <c r="I529" s="1159">
        <f>VLOOKUP(C529,'8. BASE  CONSOLIDADA'!$E$7:$AS$308,20,FALSE)</f>
        <v>75000</v>
      </c>
      <c r="J529" s="1160">
        <f>I529*$J$6</f>
        <v>51.000000000000007</v>
      </c>
      <c r="K529" s="1161"/>
      <c r="L529" s="1162"/>
      <c r="M529" s="762" t="s">
        <v>489</v>
      </c>
      <c r="N529" s="730" t="str">
        <f>N70</f>
        <v xml:space="preserve">Exclusión de mujeres en las pasantías </v>
      </c>
      <c r="O529" s="964" t="str">
        <f t="shared" si="13"/>
        <v>Género</v>
      </c>
      <c r="P529" s="546" t="str">
        <f>AC6</f>
        <v>GN</v>
      </c>
      <c r="Q529" s="534" t="str">
        <f>AJ11</f>
        <v xml:space="preserve">Cuotas de género y medición de participación efectiva de mujeres rurales </v>
      </c>
      <c r="R529" s="534" t="s">
        <v>689</v>
      </c>
      <c r="S529" s="546" t="s">
        <v>507</v>
      </c>
      <c r="T529" s="519" t="str">
        <f>AI11</f>
        <v>SGN3</v>
      </c>
      <c r="U529" s="628"/>
      <c r="V529" s="478"/>
      <c r="W529" s="478"/>
      <c r="X529" s="273"/>
      <c r="Y529" s="825"/>
      <c r="Z529" s="825"/>
      <c r="AA529" s="825"/>
      <c r="AB529" s="825"/>
      <c r="AC529" s="825"/>
      <c r="AD529" s="825"/>
      <c r="AE529" s="825"/>
      <c r="AF529" s="825"/>
      <c r="AG529" s="825"/>
      <c r="AH529" s="825"/>
      <c r="AI529" s="825"/>
      <c r="AJ529" s="825"/>
      <c r="AK529" s="825"/>
      <c r="AL529" s="825"/>
      <c r="AM529" s="825"/>
      <c r="AN529" s="825"/>
      <c r="AO529" s="825"/>
      <c r="AP529" s="825"/>
      <c r="AQ529" s="825"/>
      <c r="AR529" s="825"/>
      <c r="AS529" s="825"/>
      <c r="AT529" s="825"/>
      <c r="AU529" s="825"/>
      <c r="AV529" s="825"/>
      <c r="AW529" s="825"/>
      <c r="AX529" s="825"/>
      <c r="BA529" s="825"/>
      <c r="BB529" s="825"/>
      <c r="BC529" s="825"/>
      <c r="BD529" s="825"/>
      <c r="BE529" s="825"/>
      <c r="BF529" s="825"/>
      <c r="BG529" s="825"/>
      <c r="BH529" s="825"/>
      <c r="BI529" s="825"/>
      <c r="BJ529" s="825"/>
      <c r="BK529" s="825"/>
      <c r="BL529" s="825"/>
      <c r="BM529" s="825"/>
      <c r="BN529" s="825"/>
      <c r="BO529" s="825"/>
      <c r="BP529" s="825"/>
      <c r="BQ529" s="825"/>
      <c r="BR529" s="825"/>
      <c r="BS529" s="825"/>
      <c r="BT529" s="825"/>
      <c r="BU529" s="825"/>
      <c r="BV529" s="825"/>
      <c r="BW529" s="825"/>
      <c r="BX529" s="825"/>
      <c r="BY529" s="825"/>
      <c r="BZ529" s="825"/>
      <c r="CA529" s="825"/>
      <c r="CB529" s="825"/>
      <c r="CC529" s="825"/>
    </row>
    <row r="530" spans="1:81" ht="62.35" customHeight="1" x14ac:dyDescent="0.25">
      <c r="A530" s="273"/>
      <c r="B530" s="674" t="s">
        <v>897</v>
      </c>
      <c r="C530" s="1624" t="str">
        <f>'8. BASE  CONSOLIDADA'!E189</f>
        <v>4.6.6</v>
      </c>
      <c r="D530" s="1602" t="str">
        <f>'8. BASE  CONSOLIDADA'!F189</f>
        <v>Recuperación de la red hídrica en la zona de influencia de la ACR</v>
      </c>
      <c r="E530" s="1602" t="str">
        <f>'8. BASE  CONSOLIDADA'!G189</f>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v>
      </c>
      <c r="F530" s="1540" t="str">
        <f>'8. BASE  CONSOLIDADA'!C189</f>
        <v xml:space="preserve">ACR Cordillera Escalera </v>
      </c>
      <c r="G530" s="1540" t="str">
        <f>VLOOKUP($C530,'8. BASE  CONSOLIDADA'!$E$7:$AS$308,13,FALSE)</f>
        <v>Proyectos ejecutados</v>
      </c>
      <c r="H530" s="1540">
        <f>VLOOKUP($C530,'8. BASE  CONSOLIDADA'!$E$7:$AS$308,15,FALSE)</f>
        <v>1</v>
      </c>
      <c r="I530" s="1540">
        <f>VLOOKUP(C530,'8. BASE  CONSOLIDADA'!$E$7:$AS$308,20,FALSE)</f>
        <v>47000000</v>
      </c>
      <c r="J530" s="1540">
        <f>I530*$J$6</f>
        <v>31960.000000000004</v>
      </c>
      <c r="K530" s="1540"/>
      <c r="L530" s="1540"/>
      <c r="M530" s="762" t="s">
        <v>489</v>
      </c>
      <c r="N530" s="730" t="str">
        <f>N327</f>
        <v>Incremento de la deforestación por instalación de infraestructura y vias de comunicación</v>
      </c>
      <c r="O530" s="964" t="str">
        <f t="shared" si="13"/>
        <v>Biodiversidad y recursos naturales</v>
      </c>
      <c r="P530" s="546" t="e">
        <f>#REF!</f>
        <v>#REF!</v>
      </c>
      <c r="Q530" s="534" t="str">
        <f>AA11</f>
        <v>Fortalecer las capacidades de la población local para que conozcan el marco legal sobre los derechos sobre la tierra y los bosques</v>
      </c>
      <c r="R530" s="534" t="s">
        <v>882</v>
      </c>
      <c r="S530" s="546" t="s">
        <v>526</v>
      </c>
      <c r="T530" s="519" t="str">
        <f>Z11</f>
        <v>SBRN3</v>
      </c>
      <c r="U530" s="628"/>
      <c r="V530" s="478"/>
      <c r="W530" s="478"/>
      <c r="X530" s="273"/>
      <c r="Y530" s="825"/>
      <c r="Z530" s="825"/>
      <c r="AA530" s="825"/>
      <c r="AB530" s="825"/>
      <c r="AC530" s="825"/>
      <c r="AD530" s="825"/>
      <c r="AE530" s="825"/>
      <c r="AF530" s="825"/>
      <c r="AG530" s="825"/>
      <c r="AH530" s="825"/>
      <c r="AI530" s="825"/>
      <c r="AJ530" s="825"/>
      <c r="AK530" s="825"/>
      <c r="AL530" s="825"/>
      <c r="AM530" s="825"/>
      <c r="AN530" s="825"/>
      <c r="AO530" s="825"/>
      <c r="AP530" s="825"/>
      <c r="AQ530" s="825"/>
      <c r="AR530" s="825"/>
      <c r="AS530" s="825"/>
      <c r="AT530" s="825"/>
      <c r="AU530" s="825"/>
      <c r="AV530" s="825"/>
      <c r="AW530" s="825"/>
      <c r="AX530" s="825"/>
      <c r="BA530" s="825"/>
      <c r="BB530" s="825"/>
      <c r="BC530" s="825"/>
      <c r="BD530" s="825"/>
      <c r="BE530" s="825"/>
      <c r="BF530" s="825"/>
      <c r="BG530" s="825"/>
      <c r="BH530" s="825"/>
      <c r="BI530" s="825"/>
      <c r="BJ530" s="825"/>
      <c r="BK530" s="825"/>
      <c r="BL530" s="825"/>
      <c r="BM530" s="825"/>
      <c r="BN530" s="825"/>
      <c r="BO530" s="825"/>
      <c r="BP530" s="825"/>
      <c r="BQ530" s="825"/>
      <c r="BR530" s="825"/>
      <c r="BS530" s="825"/>
      <c r="BT530" s="825"/>
      <c r="BU530" s="825"/>
      <c r="BV530" s="825"/>
      <c r="BW530" s="825"/>
      <c r="BX530" s="825"/>
      <c r="BY530" s="825"/>
      <c r="BZ530" s="825"/>
      <c r="CA530" s="825"/>
      <c r="CB530" s="825"/>
      <c r="CC530" s="825"/>
    </row>
    <row r="531" spans="1:81" s="555" customFormat="1" ht="31.6" customHeight="1" x14ac:dyDescent="0.25">
      <c r="A531" s="273"/>
      <c r="B531" s="674"/>
      <c r="C531" s="1652"/>
      <c r="D531" s="1603"/>
      <c r="E531" s="1603"/>
      <c r="F531" s="1541"/>
      <c r="G531" s="1541"/>
      <c r="H531" s="1541"/>
      <c r="I531" s="1541"/>
      <c r="J531" s="1541"/>
      <c r="K531" s="1541"/>
      <c r="L531" s="1541"/>
      <c r="M531" s="762" t="s">
        <v>489</v>
      </c>
      <c r="N531" s="730" t="str">
        <f>N328</f>
        <v>Efluentes vertidos a cuerpos de agua naturales</v>
      </c>
      <c r="O531" s="964" t="str">
        <f t="shared" si="13"/>
        <v>Contaminación</v>
      </c>
      <c r="P531" s="546" t="e">
        <f>#REF!</f>
        <v>#REF!</v>
      </c>
      <c r="Q531" s="534" t="str">
        <f>AM9</f>
        <v xml:space="preserve">Control de aguas residuales de sistemas productivos agrarios a cuerpos de agua naturales </v>
      </c>
      <c r="R531" s="534" t="s">
        <v>647</v>
      </c>
      <c r="S531" s="546" t="s">
        <v>492</v>
      </c>
      <c r="T531" s="519" t="str">
        <f>AL9</f>
        <v>SCT1</v>
      </c>
      <c r="U531" s="628"/>
      <c r="V531" s="478"/>
      <c r="W531" s="478"/>
      <c r="X531" s="273"/>
      <c r="Y531" s="825"/>
      <c r="Z531" s="825"/>
      <c r="AA531" s="825"/>
      <c r="AB531" s="825"/>
      <c r="AC531" s="825"/>
      <c r="AD531" s="825"/>
      <c r="AE531" s="825"/>
      <c r="AF531" s="825"/>
      <c r="AG531" s="825"/>
      <c r="AH531" s="825"/>
      <c r="AI531" s="825"/>
      <c r="AJ531" s="825"/>
      <c r="AK531" s="825"/>
      <c r="AL531" s="825"/>
      <c r="AM531" s="825"/>
      <c r="AN531" s="825"/>
      <c r="AO531" s="825"/>
      <c r="AP531" s="825"/>
      <c r="AQ531" s="825"/>
      <c r="AR531" s="825"/>
      <c r="AS531" s="825"/>
      <c r="AT531" s="825"/>
      <c r="AU531" s="825"/>
      <c r="AV531" s="825"/>
      <c r="AW531" s="825"/>
      <c r="AX531" s="825"/>
      <c r="AY531" s="273"/>
      <c r="AZ531" s="273"/>
      <c r="BA531" s="825"/>
      <c r="BB531" s="825"/>
      <c r="BC531" s="825"/>
      <c r="BD531" s="825"/>
      <c r="BE531" s="825"/>
      <c r="BF531" s="825"/>
      <c r="BG531" s="825"/>
      <c r="BH531" s="825"/>
      <c r="BI531" s="825"/>
      <c r="BJ531" s="825"/>
      <c r="BK531" s="825"/>
      <c r="BL531" s="825"/>
      <c r="BM531" s="825"/>
      <c r="BN531" s="825"/>
      <c r="BO531" s="825"/>
      <c r="BP531" s="825"/>
      <c r="BQ531" s="825"/>
      <c r="BR531" s="825"/>
      <c r="BS531" s="825"/>
      <c r="BT531" s="825"/>
      <c r="BU531" s="825"/>
      <c r="BV531" s="825"/>
      <c r="BW531" s="825"/>
      <c r="BX531" s="825"/>
      <c r="BY531" s="825"/>
      <c r="BZ531" s="825"/>
      <c r="CA531" s="825"/>
      <c r="CB531" s="825"/>
      <c r="CC531" s="825"/>
    </row>
    <row r="532" spans="1:81" s="555" customFormat="1" ht="31.6" customHeight="1" x14ac:dyDescent="0.25">
      <c r="A532" s="273"/>
      <c r="B532" s="674"/>
      <c r="C532" s="1652"/>
      <c r="D532" s="1603"/>
      <c r="E532" s="1603"/>
      <c r="F532" s="1541"/>
      <c r="G532" s="1541"/>
      <c r="H532" s="1541"/>
      <c r="I532" s="1541"/>
      <c r="J532" s="1541"/>
      <c r="K532" s="1541"/>
      <c r="L532" s="1541"/>
      <c r="M532" s="762" t="s">
        <v>489</v>
      </c>
      <c r="N532" s="730" t="str">
        <f>N36</f>
        <v>Colución, Cohecho y negociación incompatible</v>
      </c>
      <c r="O532" s="964" t="str">
        <f t="shared" si="13"/>
        <v>Corrupción</v>
      </c>
      <c r="P532" s="546" t="e">
        <f>#REF!</f>
        <v>#REF!</v>
      </c>
      <c r="Q532" s="534" t="str">
        <f>AG10</f>
        <v>Transparencia en incentivos financieros y obras públicas vinculadas a la ERDRBE</v>
      </c>
      <c r="R532" s="534" t="s">
        <v>687</v>
      </c>
      <c r="S532" s="546" t="s">
        <v>507</v>
      </c>
      <c r="T532" s="519" t="str">
        <f>AF10</f>
        <v>SCR2</v>
      </c>
      <c r="U532" s="628"/>
      <c r="V532" s="478"/>
      <c r="W532" s="478"/>
      <c r="X532" s="273"/>
      <c r="Y532" s="825"/>
      <c r="Z532" s="825"/>
      <c r="AA532" s="825"/>
      <c r="AB532" s="825"/>
      <c r="AC532" s="825"/>
      <c r="AD532" s="825"/>
      <c r="AE532" s="825"/>
      <c r="AF532" s="825"/>
      <c r="AG532" s="825"/>
      <c r="AH532" s="825"/>
      <c r="AI532" s="825"/>
      <c r="AJ532" s="825"/>
      <c r="AK532" s="825"/>
      <c r="AL532" s="825"/>
      <c r="AM532" s="825"/>
      <c r="AN532" s="825"/>
      <c r="AO532" s="825"/>
      <c r="AP532" s="825"/>
      <c r="AQ532" s="825"/>
      <c r="AR532" s="825"/>
      <c r="AS532" s="825"/>
      <c r="AT532" s="825"/>
      <c r="AU532" s="825"/>
      <c r="AV532" s="825"/>
      <c r="AW532" s="825"/>
      <c r="AX532" s="825"/>
      <c r="AY532" s="273"/>
      <c r="AZ532" s="273"/>
      <c r="BA532" s="825"/>
      <c r="BB532" s="825"/>
      <c r="BC532" s="825"/>
      <c r="BD532" s="825"/>
      <c r="BE532" s="825"/>
      <c r="BF532" s="825"/>
      <c r="BG532" s="825"/>
      <c r="BH532" s="825"/>
      <c r="BI532" s="825"/>
      <c r="BJ532" s="825"/>
      <c r="BK532" s="825"/>
      <c r="BL532" s="825"/>
      <c r="BM532" s="825"/>
      <c r="BN532" s="825"/>
      <c r="BO532" s="825"/>
      <c r="BP532" s="825"/>
      <c r="BQ532" s="825"/>
      <c r="BR532" s="825"/>
      <c r="BS532" s="825"/>
      <c r="BT532" s="825"/>
      <c r="BU532" s="825"/>
      <c r="BV532" s="825"/>
      <c r="BW532" s="825"/>
      <c r="BX532" s="825"/>
      <c r="BY532" s="825"/>
      <c r="BZ532" s="825"/>
      <c r="CA532" s="825"/>
      <c r="CB532" s="825"/>
      <c r="CC532" s="825"/>
    </row>
    <row r="533" spans="1:81" s="555" customFormat="1" ht="31.6" customHeight="1" x14ac:dyDescent="0.25">
      <c r="A533" s="273"/>
      <c r="B533" s="674"/>
      <c r="C533" s="1652"/>
      <c r="D533" s="1603"/>
      <c r="E533" s="1603"/>
      <c r="F533" s="1541"/>
      <c r="G533" s="1541"/>
      <c r="H533" s="1541"/>
      <c r="I533" s="1541"/>
      <c r="J533" s="1541"/>
      <c r="K533" s="1541"/>
      <c r="L533" s="1541"/>
      <c r="M533" s="762" t="s">
        <v>489</v>
      </c>
      <c r="N533" s="730" t="str">
        <f>N330</f>
        <v>Falta de socialización de las actividades a desarrollar</v>
      </c>
      <c r="O533" s="964" t="str">
        <f t="shared" si="13"/>
        <v>Corrupción</v>
      </c>
      <c r="P533" s="546" t="e">
        <f>#REF!</f>
        <v>#REF!</v>
      </c>
      <c r="Q533" s="534" t="str">
        <f>AG17</f>
        <v>Socialización con colindantes de las áreas de conservación regional (ACR), ubicados en el ACR y en sus zonas de amortiguamiento</v>
      </c>
      <c r="R533" s="534" t="s">
        <v>885</v>
      </c>
      <c r="S533" s="546" t="s">
        <v>526</v>
      </c>
      <c r="T533" s="519" t="str">
        <f>AF17</f>
        <v>SCR9</v>
      </c>
      <c r="U533" s="628"/>
      <c r="V533" s="478"/>
      <c r="W533" s="478"/>
      <c r="X533" s="273"/>
      <c r="Y533" s="825"/>
      <c r="Z533" s="825"/>
      <c r="AA533" s="825"/>
      <c r="AB533" s="825"/>
      <c r="AC533" s="825"/>
      <c r="AD533" s="825"/>
      <c r="AE533" s="825"/>
      <c r="AF533" s="825"/>
      <c r="AG533" s="825"/>
      <c r="AH533" s="825"/>
      <c r="AI533" s="825"/>
      <c r="AJ533" s="825"/>
      <c r="AK533" s="825"/>
      <c r="AL533" s="825"/>
      <c r="AM533" s="825"/>
      <c r="AN533" s="825"/>
      <c r="AO533" s="825"/>
      <c r="AP533" s="825"/>
      <c r="AQ533" s="825"/>
      <c r="AR533" s="825"/>
      <c r="AS533" s="825"/>
      <c r="AT533" s="825"/>
      <c r="AU533" s="825"/>
      <c r="AV533" s="825"/>
      <c r="AW533" s="825"/>
      <c r="AX533" s="825"/>
      <c r="AY533" s="273"/>
      <c r="AZ533" s="273"/>
      <c r="BA533" s="825"/>
      <c r="BB533" s="825"/>
      <c r="BC533" s="825"/>
      <c r="BD533" s="825"/>
      <c r="BE533" s="825"/>
      <c r="BF533" s="825"/>
      <c r="BG533" s="825"/>
      <c r="BH533" s="825"/>
      <c r="BI533" s="825"/>
      <c r="BJ533" s="825"/>
      <c r="BK533" s="825"/>
      <c r="BL533" s="825"/>
      <c r="BM533" s="825"/>
      <c r="BN533" s="825"/>
      <c r="BO533" s="825"/>
      <c r="BP533" s="825"/>
      <c r="BQ533" s="825"/>
      <c r="BR533" s="825"/>
      <c r="BS533" s="825"/>
      <c r="BT533" s="825"/>
      <c r="BU533" s="825"/>
      <c r="BV533" s="825"/>
      <c r="BW533" s="825"/>
      <c r="BX533" s="825"/>
      <c r="BY533" s="825"/>
      <c r="BZ533" s="825"/>
      <c r="CA533" s="825"/>
      <c r="CB533" s="825"/>
      <c r="CC533" s="825"/>
    </row>
    <row r="534" spans="1:81" s="555" customFormat="1" ht="31.6" customHeight="1" x14ac:dyDescent="0.25">
      <c r="A534" s="273"/>
      <c r="B534" s="674"/>
      <c r="C534" s="1652"/>
      <c r="D534" s="1603"/>
      <c r="E534" s="1603"/>
      <c r="F534" s="1541"/>
      <c r="G534" s="1541"/>
      <c r="H534" s="1541"/>
      <c r="I534" s="1541"/>
      <c r="J534" s="1541"/>
      <c r="K534" s="1541"/>
      <c r="L534" s="1541"/>
      <c r="M534" s="762" t="s">
        <v>489</v>
      </c>
      <c r="N534" s="730" t="str">
        <f>N331</f>
        <v>Exclusión de mujeres rurales en las actividades de recuperación de la red hídrica del ACR</v>
      </c>
      <c r="O534" s="964" t="str">
        <f t="shared" si="13"/>
        <v>Género</v>
      </c>
      <c r="P534" s="546" t="str">
        <f>AC6</f>
        <v>GN</v>
      </c>
      <c r="Q534" s="534" t="str">
        <f>AJ11</f>
        <v xml:space="preserve">Cuotas de género y medición de participación efectiva de mujeres rurales </v>
      </c>
      <c r="R534" s="534" t="s">
        <v>887</v>
      </c>
      <c r="S534" s="546" t="s">
        <v>507</v>
      </c>
      <c r="T534" s="519" t="str">
        <f>AI11</f>
        <v>SGN3</v>
      </c>
      <c r="U534" s="628"/>
      <c r="V534" s="478"/>
      <c r="W534" s="478"/>
      <c r="X534" s="273"/>
      <c r="Y534" s="825"/>
      <c r="Z534" s="825"/>
      <c r="AA534" s="825"/>
      <c r="AB534" s="825"/>
      <c r="AC534" s="825"/>
      <c r="AD534" s="825"/>
      <c r="AE534" s="825"/>
      <c r="AF534" s="825"/>
      <c r="AG534" s="825"/>
      <c r="AH534" s="825"/>
      <c r="AI534" s="825"/>
      <c r="AJ534" s="825"/>
      <c r="AK534" s="825"/>
      <c r="AL534" s="825"/>
      <c r="AM534" s="825"/>
      <c r="AN534" s="825"/>
      <c r="AO534" s="825"/>
      <c r="AP534" s="825"/>
      <c r="AQ534" s="825"/>
      <c r="AR534" s="825"/>
      <c r="AS534" s="825"/>
      <c r="AT534" s="825"/>
      <c r="AU534" s="825"/>
      <c r="AV534" s="825"/>
      <c r="AW534" s="825"/>
      <c r="AX534" s="825"/>
      <c r="AY534" s="273"/>
      <c r="AZ534" s="273"/>
      <c r="BA534" s="825"/>
      <c r="BB534" s="825"/>
      <c r="BC534" s="825"/>
      <c r="BD534" s="825"/>
      <c r="BE534" s="825"/>
      <c r="BF534" s="825"/>
      <c r="BG534" s="825"/>
      <c r="BH534" s="825"/>
      <c r="BI534" s="825"/>
      <c r="BJ534" s="825"/>
      <c r="BK534" s="825"/>
      <c r="BL534" s="825"/>
      <c r="BM534" s="825"/>
      <c r="BN534" s="825"/>
      <c r="BO534" s="825"/>
      <c r="BP534" s="825"/>
      <c r="BQ534" s="825"/>
      <c r="BR534" s="825"/>
      <c r="BS534" s="825"/>
      <c r="BT534" s="825"/>
      <c r="BU534" s="825"/>
      <c r="BV534" s="825"/>
      <c r="BW534" s="825"/>
      <c r="BX534" s="825"/>
      <c r="BY534" s="825"/>
      <c r="BZ534" s="825"/>
      <c r="CA534" s="825"/>
      <c r="CB534" s="825"/>
      <c r="CC534" s="825"/>
    </row>
    <row r="535" spans="1:81" s="555" customFormat="1" ht="31.6" customHeight="1" x14ac:dyDescent="0.25">
      <c r="A535" s="273"/>
      <c r="B535" s="674"/>
      <c r="C535" s="1625"/>
      <c r="D535" s="1604"/>
      <c r="E535" s="1604"/>
      <c r="F535" s="1542"/>
      <c r="G535" s="1542"/>
      <c r="H535" s="1542"/>
      <c r="I535" s="1542"/>
      <c r="J535" s="1542"/>
      <c r="K535" s="1542"/>
      <c r="L535" s="1542"/>
      <c r="M535" s="762" t="s">
        <v>489</v>
      </c>
      <c r="N535" s="730" t="str">
        <f>N332</f>
        <v>Falta de consideración del lenguaje intercultural en el proceso</v>
      </c>
      <c r="O535" s="964" t="str">
        <f t="shared" si="13"/>
        <v>Derechos de los pueblos indígenas</v>
      </c>
      <c r="P535" s="546" t="str">
        <f>Z6</f>
        <v>DPI</v>
      </c>
      <c r="Q535" s="534" t="str">
        <f>AD23</f>
        <v>Uso apropiado del lenguaje intercultural y respeto de usos y costumbres</v>
      </c>
      <c r="R535" s="534" t="s">
        <v>889</v>
      </c>
      <c r="S535" s="546" t="s">
        <v>492</v>
      </c>
      <c r="T535" s="519" t="str">
        <f>AC23</f>
        <v>SDPI15</v>
      </c>
      <c r="U535" s="628"/>
      <c r="V535" s="478"/>
      <c r="W535" s="478"/>
      <c r="X535" s="273"/>
      <c r="Y535" s="825"/>
      <c r="Z535" s="825"/>
      <c r="AA535" s="825"/>
      <c r="AB535" s="825"/>
      <c r="AC535" s="825"/>
      <c r="AD535" s="825"/>
      <c r="AE535" s="825"/>
      <c r="AF535" s="825"/>
      <c r="AG535" s="825"/>
      <c r="AH535" s="825"/>
      <c r="AI535" s="825"/>
      <c r="AJ535" s="825"/>
      <c r="AK535" s="825"/>
      <c r="AL535" s="825"/>
      <c r="AM535" s="825"/>
      <c r="AN535" s="825"/>
      <c r="AO535" s="825"/>
      <c r="AP535" s="825"/>
      <c r="AQ535" s="825"/>
      <c r="AR535" s="825"/>
      <c r="AS535" s="825"/>
      <c r="AT535" s="825"/>
      <c r="AU535" s="825"/>
      <c r="AV535" s="825"/>
      <c r="AW535" s="825"/>
      <c r="AX535" s="825"/>
      <c r="AY535" s="273"/>
      <c r="AZ535" s="273"/>
      <c r="BA535" s="825"/>
      <c r="BB535" s="825"/>
      <c r="BC535" s="825"/>
      <c r="BD535" s="825"/>
      <c r="BE535" s="825"/>
      <c r="BF535" s="825"/>
      <c r="BG535" s="825"/>
      <c r="BH535" s="825"/>
      <c r="BI535" s="825"/>
      <c r="BJ535" s="825"/>
      <c r="BK535" s="825"/>
      <c r="BL535" s="825"/>
      <c r="BM535" s="825"/>
      <c r="BN535" s="825"/>
      <c r="BO535" s="825"/>
      <c r="BP535" s="825"/>
      <c r="BQ535" s="825"/>
      <c r="BR535" s="825"/>
      <c r="BS535" s="825"/>
      <c r="BT535" s="825"/>
      <c r="BU535" s="825"/>
      <c r="BV535" s="825"/>
      <c r="BW535" s="825"/>
      <c r="BX535" s="825"/>
      <c r="BY535" s="825"/>
      <c r="BZ535" s="825"/>
      <c r="CA535" s="825"/>
      <c r="CB535" s="825"/>
      <c r="CC535" s="825"/>
    </row>
    <row r="536" spans="1:81" ht="36.700000000000003" customHeight="1" x14ac:dyDescent="0.25">
      <c r="A536" s="273"/>
      <c r="B536" s="674" t="s">
        <v>897</v>
      </c>
      <c r="C536" s="1624" t="str">
        <f>'8. BASE  CONSOLIDADA'!E190</f>
        <v>4.6.7</v>
      </c>
      <c r="D536" s="1158" t="str">
        <f>'8. BASE  CONSOLIDADA'!F190</f>
        <v>Incentivos financieros para promoción del ecoturismo y turismo comunitario</v>
      </c>
      <c r="E536" s="1602" t="str">
        <f>'8. BASE  CONSOLIDADA'!G190</f>
        <v>Implementación de planes de negocios para el desarrollo de rutas turísticas, turismo vivencial comunitario, y otras modalidades de servicios que sean generadoras de ingresos económicos, respetando el medio ambiente.</v>
      </c>
      <c r="F536" s="1551" t="str">
        <f>'8. BASE  CONSOLIDADA'!C190</f>
        <v xml:space="preserve">ACR Cordillera Escalera </v>
      </c>
      <c r="G536" s="1150" t="str">
        <f>VLOOKUP($C536,'8. BASE  CONSOLIDADA'!$E$7:$AS$308,13,FALSE)</f>
        <v>Planes de negocios</v>
      </c>
      <c r="H536" s="1151">
        <f>VLOOKUP($C536,'8. BASE  CONSOLIDADA'!$E$7:$AS$308,15,FALSE)</f>
        <v>5</v>
      </c>
      <c r="I536" s="1159">
        <f>VLOOKUP(C536,'8. BASE  CONSOLIDADA'!$E$7:$AS$308,20,FALSE)</f>
        <v>500000</v>
      </c>
      <c r="J536" s="1160">
        <f>I536*$J$6</f>
        <v>340</v>
      </c>
      <c r="K536" s="1161"/>
      <c r="L536" s="1163"/>
      <c r="M536" s="762" t="s">
        <v>489</v>
      </c>
      <c r="N536" s="730" t="str">
        <f>N68</f>
        <v>Impacto negativo sobre la biodiversidad por infraestructura o visitantes</v>
      </c>
      <c r="O536" s="964" t="str">
        <f t="shared" si="13"/>
        <v>Biodiversidad y recursos naturales</v>
      </c>
      <c r="P536" s="546" t="e">
        <f>#REF!</f>
        <v>#REF!</v>
      </c>
      <c r="Q536" s="534" t="str">
        <f>AA15</f>
        <v>Evaluación de impacto de actividades turísticas e implementación de buenas prácticas para mitigar el impacto directo e indirecto de la actividad</v>
      </c>
      <c r="R536" s="534" t="s">
        <v>831</v>
      </c>
      <c r="S536" s="546" t="s">
        <v>526</v>
      </c>
      <c r="T536" s="519" t="str">
        <f>Z15</f>
        <v>SBRN7</v>
      </c>
      <c r="U536" s="628"/>
      <c r="V536" s="478"/>
      <c r="W536" s="478"/>
      <c r="X536" s="273"/>
      <c r="Y536" s="825"/>
      <c r="Z536" s="825"/>
      <c r="AA536" s="825"/>
      <c r="AB536" s="825"/>
      <c r="AC536" s="825"/>
      <c r="AD536" s="825"/>
      <c r="AE536" s="825"/>
      <c r="AF536" s="825"/>
      <c r="AG536" s="825"/>
      <c r="AH536" s="825"/>
      <c r="AI536" s="825"/>
      <c r="AJ536" s="825"/>
      <c r="AK536" s="825"/>
      <c r="AL536" s="825"/>
      <c r="AM536" s="825"/>
      <c r="AN536" s="825"/>
      <c r="AO536" s="825"/>
      <c r="AP536" s="825"/>
      <c r="AQ536" s="825"/>
      <c r="AR536" s="825"/>
      <c r="AS536" s="825"/>
      <c r="AT536" s="825"/>
      <c r="AU536" s="825"/>
      <c r="AV536" s="825"/>
      <c r="AW536" s="825"/>
      <c r="AX536" s="825"/>
      <c r="BA536" s="825"/>
      <c r="BB536" s="825"/>
      <c r="BC536" s="825"/>
      <c r="BD536" s="825"/>
      <c r="BE536" s="825"/>
      <c r="BF536" s="825"/>
      <c r="BG536" s="825"/>
      <c r="BH536" s="825"/>
      <c r="BI536" s="825"/>
      <c r="BJ536" s="825"/>
      <c r="BK536" s="825"/>
      <c r="BL536" s="825"/>
      <c r="BM536" s="825"/>
      <c r="BN536" s="825"/>
      <c r="BO536" s="825"/>
      <c r="BP536" s="825"/>
      <c r="BQ536" s="825"/>
      <c r="BR536" s="825"/>
      <c r="BS536" s="825"/>
      <c r="BT536" s="825"/>
      <c r="BU536" s="825"/>
      <c r="BV536" s="825"/>
      <c r="BW536" s="825"/>
      <c r="BX536" s="825"/>
      <c r="BY536" s="825"/>
      <c r="BZ536" s="825"/>
      <c r="CA536" s="825"/>
      <c r="CB536" s="825"/>
      <c r="CC536" s="825"/>
    </row>
    <row r="537" spans="1:81" s="555" customFormat="1" ht="55.55" customHeight="1" x14ac:dyDescent="0.25">
      <c r="A537" s="273"/>
      <c r="B537" s="674"/>
      <c r="C537" s="1625"/>
      <c r="D537" s="1158"/>
      <c r="E537" s="1604"/>
      <c r="F537" s="1552"/>
      <c r="G537" s="1101"/>
      <c r="H537" s="1120"/>
      <c r="I537" s="1164"/>
      <c r="J537" s="1165"/>
      <c r="K537" s="1166"/>
      <c r="L537" s="1162"/>
      <c r="M537" s="762" t="s">
        <v>489</v>
      </c>
      <c r="N537" s="730" t="str">
        <f>N130</f>
        <v xml:space="preserve">Exclusión de mujeres rurales en los incentivos financieros </v>
      </c>
      <c r="O537" s="964" t="str">
        <f t="shared" si="13"/>
        <v>Género</v>
      </c>
      <c r="P537" s="546" t="str">
        <f>AC6</f>
        <v>GN</v>
      </c>
      <c r="Q537" s="534" t="str">
        <f>AJ26</f>
        <v>Inclusión de mujeres rurales en actividades de turismo comunitario en el ACR y sus zonas de amortiguamiento</v>
      </c>
      <c r="R537" s="534" t="s">
        <v>827</v>
      </c>
      <c r="S537" s="546" t="s">
        <v>526</v>
      </c>
      <c r="T537" s="519" t="str">
        <f>AI26</f>
        <v>SGN18</v>
      </c>
      <c r="U537" s="628"/>
      <c r="V537" s="478"/>
      <c r="W537" s="478"/>
      <c r="X537" s="273"/>
      <c r="Y537" s="825"/>
      <c r="Z537" s="825"/>
      <c r="AA537" s="825"/>
      <c r="AB537" s="825"/>
      <c r="AC537" s="825"/>
      <c r="AD537" s="825"/>
      <c r="AE537" s="825"/>
      <c r="AF537" s="825"/>
      <c r="AG537" s="825"/>
      <c r="AH537" s="825"/>
      <c r="AI537" s="825"/>
      <c r="AJ537" s="825"/>
      <c r="AK537" s="825"/>
      <c r="AL537" s="825"/>
      <c r="AM537" s="825"/>
      <c r="AN537" s="825"/>
      <c r="AO537" s="825"/>
      <c r="AP537" s="825"/>
      <c r="AQ537" s="825"/>
      <c r="AR537" s="825"/>
      <c r="AS537" s="825"/>
      <c r="AT537" s="825"/>
      <c r="AU537" s="825"/>
      <c r="AV537" s="825"/>
      <c r="AW537" s="825"/>
      <c r="AX537" s="825"/>
      <c r="AY537" s="273"/>
      <c r="AZ537" s="273"/>
      <c r="BA537" s="825"/>
      <c r="BB537" s="825"/>
      <c r="BC537" s="825"/>
      <c r="BD537" s="825"/>
      <c r="BE537" s="825"/>
      <c r="BF537" s="825"/>
      <c r="BG537" s="825"/>
      <c r="BH537" s="825"/>
      <c r="BI537" s="825"/>
      <c r="BJ537" s="825"/>
      <c r="BK537" s="825"/>
      <c r="BL537" s="825"/>
      <c r="BM537" s="825"/>
      <c r="BN537" s="825"/>
      <c r="BO537" s="825"/>
      <c r="BP537" s="825"/>
      <c r="BQ537" s="825"/>
      <c r="BR537" s="825"/>
      <c r="BS537" s="825"/>
      <c r="BT537" s="825"/>
      <c r="BU537" s="825"/>
      <c r="BV537" s="825"/>
      <c r="BW537" s="825"/>
      <c r="BX537" s="825"/>
      <c r="BY537" s="825"/>
      <c r="BZ537" s="825"/>
      <c r="CA537" s="825"/>
      <c r="CB537" s="825"/>
      <c r="CC537" s="825"/>
    </row>
    <row r="538" spans="1:81" ht="44.35" customHeight="1" x14ac:dyDescent="0.25">
      <c r="A538" s="273"/>
      <c r="B538" s="674" t="s">
        <v>897</v>
      </c>
      <c r="C538" s="1624" t="str">
        <f>'8. BASE  CONSOLIDADA'!E191</f>
        <v>4.6.8</v>
      </c>
      <c r="D538" s="1602" t="str">
        <f>'8. BASE  CONSOLIDADA'!F191</f>
        <v>Asistencia técnica para el desarrollo agroforestal diseñados e implementados</v>
      </c>
      <c r="E538" s="1602" t="str">
        <f>'8. BASE  CONSOLIDADA'!G191</f>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v>
      </c>
      <c r="F538" s="1551" t="str">
        <f>'8. BASE  CONSOLIDADA'!C191</f>
        <v xml:space="preserve">ACR Cordillera Escalera </v>
      </c>
      <c r="G538" s="1150" t="str">
        <f>VLOOKUP($C538,'8. BASE  CONSOLIDADA'!$E$7:$AS$308,13,FALSE)</f>
        <v>Especialistas</v>
      </c>
      <c r="H538" s="1151">
        <f>VLOOKUP($C538,'8. BASE  CONSOLIDADA'!$E$7:$AS$308,15,FALSE)</f>
        <v>8</v>
      </c>
      <c r="I538" s="1159">
        <f>VLOOKUP(C538,'8. BASE  CONSOLIDADA'!$E$7:$AS$308,20,FALSE)</f>
        <v>1680000</v>
      </c>
      <c r="J538" s="1160">
        <f>I538*$J$6</f>
        <v>1142.4000000000001</v>
      </c>
      <c r="K538" s="1161"/>
      <c r="L538" s="1163"/>
      <c r="M538" s="762" t="s">
        <v>489</v>
      </c>
      <c r="N538" s="730" t="str">
        <f>N16</f>
        <v>Exclusión de mujeres rurales en programas de asistencia técnica</v>
      </c>
      <c r="O538" s="964" t="str">
        <f t="shared" si="13"/>
        <v>Género</v>
      </c>
      <c r="P538" s="546" t="str">
        <f>AC6</f>
        <v>GN</v>
      </c>
      <c r="Q538" s="534" t="str">
        <f>AJ10</f>
        <v>Programas de asistencia técnica y proyectos específicos para mujeres rurales y mujeres indígenas</v>
      </c>
      <c r="R538" s="534" t="s">
        <v>596</v>
      </c>
      <c r="S538" s="546" t="s">
        <v>507</v>
      </c>
      <c r="T538" s="519" t="str">
        <f>AI10</f>
        <v>SGN2</v>
      </c>
      <c r="U538" s="628"/>
      <c r="V538" s="478"/>
      <c r="W538" s="478"/>
      <c r="X538" s="273"/>
      <c r="Y538" s="825"/>
      <c r="Z538" s="825"/>
      <c r="AA538" s="825"/>
      <c r="AB538" s="825"/>
      <c r="AC538" s="825"/>
      <c r="AD538" s="825"/>
      <c r="AE538" s="825"/>
      <c r="AF538" s="825"/>
      <c r="AG538" s="825"/>
      <c r="AH538" s="825"/>
      <c r="AI538" s="825"/>
      <c r="AJ538" s="825"/>
      <c r="AK538" s="825"/>
      <c r="AL538" s="825"/>
      <c r="AM538" s="825"/>
      <c r="AN538" s="825"/>
      <c r="AO538" s="825"/>
      <c r="AP538" s="825"/>
      <c r="AQ538" s="825"/>
      <c r="AR538" s="825"/>
      <c r="AS538" s="825"/>
      <c r="AT538" s="825"/>
      <c r="AU538" s="825"/>
      <c r="AV538" s="825"/>
      <c r="AW538" s="825"/>
      <c r="AX538" s="825"/>
      <c r="BA538" s="825"/>
      <c r="BB538" s="825"/>
      <c r="BC538" s="825"/>
      <c r="BD538" s="825"/>
      <c r="BE538" s="825"/>
      <c r="BF538" s="825"/>
      <c r="BG538" s="825"/>
      <c r="BH538" s="825"/>
      <c r="BI538" s="825"/>
      <c r="BJ538" s="825"/>
      <c r="BK538" s="825"/>
      <c r="BL538" s="825"/>
      <c r="BM538" s="825"/>
      <c r="BN538" s="825"/>
      <c r="BO538" s="825"/>
      <c r="BP538" s="825"/>
      <c r="BQ538" s="825"/>
      <c r="BR538" s="825"/>
      <c r="BS538" s="825"/>
      <c r="BT538" s="825"/>
      <c r="BU538" s="825"/>
      <c r="BV538" s="825"/>
      <c r="BW538" s="825"/>
      <c r="BX538" s="825"/>
      <c r="BY538" s="825"/>
      <c r="BZ538" s="825"/>
      <c r="CA538" s="825"/>
      <c r="CB538" s="825"/>
      <c r="CC538" s="825"/>
    </row>
    <row r="539" spans="1:81" s="555" customFormat="1" ht="57.75" customHeight="1" x14ac:dyDescent="0.25">
      <c r="A539" s="273"/>
      <c r="B539" s="674"/>
      <c r="C539" s="1625"/>
      <c r="D539" s="1604"/>
      <c r="E539" s="1604"/>
      <c r="F539" s="1552"/>
      <c r="G539" s="1101"/>
      <c r="H539" s="1120"/>
      <c r="I539" s="1164"/>
      <c r="J539" s="1165"/>
      <c r="K539" s="1166"/>
      <c r="L539" s="1162"/>
      <c r="M539" s="728" t="s">
        <v>489</v>
      </c>
      <c r="N539" s="730" t="str">
        <f>N45</f>
        <v>Programas de asistencia técnica no recogen enfoque intercultural y metodologías apropiadas para pueblos indígenas</v>
      </c>
      <c r="O539" s="964" t="str">
        <f t="shared" si="13"/>
        <v>Derechos de los pueblos indígenas</v>
      </c>
      <c r="P539" s="546" t="str">
        <f>Z6</f>
        <v>DPI</v>
      </c>
      <c r="Q539" s="534" t="str">
        <f>AD17</f>
        <v>Programas de asistencia técnica y capacitación específicos para pueblos indígenas, con enfoque intercultural y metodologías apropiadas para pueblos indígenas</v>
      </c>
      <c r="R539" s="534" t="s">
        <v>755</v>
      </c>
      <c r="S539" s="546" t="s">
        <v>507</v>
      </c>
      <c r="T539" s="519" t="str">
        <f>AC17</f>
        <v>SDPI9</v>
      </c>
      <c r="U539" s="628"/>
      <c r="V539" s="478"/>
      <c r="W539" s="478"/>
      <c r="X539" s="273"/>
      <c r="Y539" s="825"/>
      <c r="Z539" s="825"/>
      <c r="AA539" s="825"/>
      <c r="AB539" s="825"/>
      <c r="AC539" s="825"/>
      <c r="AD539" s="825"/>
      <c r="AE539" s="825"/>
      <c r="AF539" s="825"/>
      <c r="AG539" s="825"/>
      <c r="AH539" s="825"/>
      <c r="AI539" s="825"/>
      <c r="AJ539" s="825"/>
      <c r="AK539" s="825"/>
      <c r="AL539" s="825"/>
      <c r="AM539" s="825"/>
      <c r="AN539" s="825"/>
      <c r="AO539" s="825"/>
      <c r="AP539" s="825"/>
      <c r="AQ539" s="825"/>
      <c r="AR539" s="825"/>
      <c r="AS539" s="825"/>
      <c r="AT539" s="825"/>
      <c r="AU539" s="825"/>
      <c r="AV539" s="825"/>
      <c r="AW539" s="825"/>
      <c r="AX539" s="825"/>
      <c r="AY539" s="273"/>
      <c r="AZ539" s="273"/>
      <c r="BA539" s="825"/>
      <c r="BB539" s="825"/>
      <c r="BC539" s="825"/>
      <c r="BD539" s="825"/>
      <c r="BE539" s="825"/>
      <c r="BF539" s="825"/>
      <c r="BG539" s="825"/>
      <c r="BH539" s="825"/>
      <c r="BI539" s="825"/>
      <c r="BJ539" s="825"/>
      <c r="BK539" s="825"/>
      <c r="BL539" s="825"/>
      <c r="BM539" s="825"/>
      <c r="BN539" s="825"/>
      <c r="BO539" s="825"/>
      <c r="BP539" s="825"/>
      <c r="BQ539" s="825"/>
      <c r="BR539" s="825"/>
      <c r="BS539" s="825"/>
      <c r="BT539" s="825"/>
      <c r="BU539" s="825"/>
      <c r="BV539" s="825"/>
      <c r="BW539" s="825"/>
      <c r="BX539" s="825"/>
      <c r="BY539" s="825"/>
      <c r="BZ539" s="825"/>
      <c r="CA539" s="825"/>
      <c r="CB539" s="825"/>
      <c r="CC539" s="825"/>
    </row>
    <row r="540" spans="1:81" ht="56.25" customHeight="1" x14ac:dyDescent="0.25">
      <c r="A540" s="273"/>
      <c r="B540" s="674" t="s">
        <v>897</v>
      </c>
      <c r="C540" s="1637" t="str">
        <f>'8. BASE  CONSOLIDADA'!E201</f>
        <v>4.9.1</v>
      </c>
      <c r="D540" s="1602" t="str">
        <f>'8. BASE  CONSOLIDADA'!F201</f>
        <v>Acuerdos con rondas campesinas y rondas nativas para cumplimiento de compromisos de no deforestación y tráfico de tierras e invasiones</v>
      </c>
      <c r="E540" s="1602" t="str">
        <f>'8. BASE  CONSOLIDADA'!G201</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F540" s="1540" t="str">
        <f>'8. BASE  CONSOLIDADA'!C201</f>
        <v>Intervenciones Transversales x UDT</v>
      </c>
      <c r="G540" s="1150" t="str">
        <f>VLOOKUP($C540,'8. BASE  CONSOLIDADA'!$E$7:$AS$308,13,FALSE)</f>
        <v>Acuerdos con rondas campesinas</v>
      </c>
      <c r="H540" s="1151">
        <f>VLOOKUP($C540,'8. BASE  CONSOLIDADA'!$E$7:$AS$308,15,FALSE)</f>
        <v>19</v>
      </c>
      <c r="I540" s="1159">
        <f>VLOOKUP(C540,'8. BASE  CONSOLIDADA'!$E$7:$AS$308,20,FALSE)</f>
        <v>237500</v>
      </c>
      <c r="J540" s="1160">
        <f>I540*$J$6</f>
        <v>161.5</v>
      </c>
      <c r="K540" s="1161"/>
      <c r="L540" s="1162"/>
      <c r="M540" s="762" t="s">
        <v>489</v>
      </c>
      <c r="N540" s="730" t="str">
        <f>N146</f>
        <v>Exclusión de mujeres para el cumplimiento de compromisos de no deforestación y tráfico de tierras e invasiones</v>
      </c>
      <c r="O540" s="964" t="str">
        <f t="shared" si="13"/>
        <v>Género</v>
      </c>
      <c r="P540" s="546" t="str">
        <f>AC6</f>
        <v>GN</v>
      </c>
      <c r="Q540" s="534" t="str">
        <f>AJ11</f>
        <v xml:space="preserve">Cuotas de género y medición de participación efectiva de mujeres rurales </v>
      </c>
      <c r="R540" s="534" t="s">
        <v>689</v>
      </c>
      <c r="S540" s="546" t="s">
        <v>507</v>
      </c>
      <c r="T540" s="519" t="str">
        <f>AI11</f>
        <v>SGN3</v>
      </c>
      <c r="U540" s="628"/>
      <c r="V540" s="478"/>
      <c r="W540" s="478"/>
      <c r="X540" s="273"/>
      <c r="Y540" s="825"/>
      <c r="Z540" s="825"/>
      <c r="AA540" s="825"/>
      <c r="AB540" s="825"/>
      <c r="AC540" s="825"/>
      <c r="AD540" s="825"/>
      <c r="AE540" s="825"/>
      <c r="AF540" s="825"/>
      <c r="AG540" s="825"/>
      <c r="AH540" s="825"/>
      <c r="AI540" s="825"/>
      <c r="AJ540" s="825"/>
      <c r="AK540" s="825"/>
      <c r="AL540" s="825"/>
      <c r="AM540" s="825"/>
      <c r="AN540" s="825"/>
      <c r="AO540" s="825"/>
      <c r="AP540" s="825"/>
      <c r="AQ540" s="825"/>
      <c r="AR540" s="825"/>
      <c r="AS540" s="825"/>
      <c r="AT540" s="825"/>
      <c r="AU540" s="825"/>
      <c r="AV540" s="825"/>
      <c r="AW540" s="825"/>
      <c r="AX540" s="825"/>
      <c r="BA540" s="825"/>
      <c r="BB540" s="825"/>
      <c r="BC540" s="825"/>
      <c r="BD540" s="825"/>
      <c r="BE540" s="825"/>
      <c r="BF540" s="825"/>
      <c r="BG540" s="825"/>
      <c r="BH540" s="825"/>
      <c r="BI540" s="825"/>
      <c r="BJ540" s="825"/>
      <c r="BK540" s="825"/>
      <c r="BL540" s="825"/>
      <c r="BM540" s="825"/>
      <c r="BN540" s="825"/>
      <c r="BO540" s="825"/>
      <c r="BP540" s="825"/>
      <c r="BQ540" s="825"/>
      <c r="BR540" s="825"/>
      <c r="BS540" s="825"/>
      <c r="BT540" s="825"/>
      <c r="BU540" s="825"/>
      <c r="BV540" s="825"/>
      <c r="BW540" s="825"/>
      <c r="BX540" s="825"/>
      <c r="BY540" s="825"/>
      <c r="BZ540" s="825"/>
      <c r="CA540" s="825"/>
      <c r="CB540" s="825"/>
      <c r="CC540" s="825"/>
    </row>
    <row r="541" spans="1:81" s="548" customFormat="1" ht="72" customHeight="1" x14ac:dyDescent="0.25">
      <c r="A541" s="273"/>
      <c r="B541" s="674"/>
      <c r="C541" s="1638"/>
      <c r="D541" s="1604"/>
      <c r="E541" s="1604"/>
      <c r="F541" s="1542"/>
      <c r="G541" s="1097"/>
      <c r="H541" s="1117"/>
      <c r="I541" s="1164"/>
      <c r="J541" s="1167"/>
      <c r="K541" s="1166"/>
      <c r="L541" s="1162"/>
      <c r="M541" s="762" t="s">
        <v>489</v>
      </c>
      <c r="N541" s="730" t="str">
        <f>N146</f>
        <v>Exclusión de mujeres para el cumplimiento de compromisos de no deforestación y tráfico de tierras e invasiones</v>
      </c>
      <c r="O541" s="964" t="str">
        <f t="shared" si="13"/>
        <v>Género</v>
      </c>
      <c r="P541" s="546" t="str">
        <f>AC6</f>
        <v>GN</v>
      </c>
      <c r="Q541" s="534" t="str">
        <f>AJ19</f>
        <v xml:space="preserve">Inclusión de mujeres rurales y sus organizaciones en iniciativas de control y vigilancia de la deforestación </v>
      </c>
      <c r="R541" s="534" t="s">
        <v>861</v>
      </c>
      <c r="S541" s="546" t="s">
        <v>526</v>
      </c>
      <c r="T541" s="519" t="str">
        <f>AI19</f>
        <v>SGN11</v>
      </c>
      <c r="U541" s="628"/>
      <c r="V541" s="478"/>
      <c r="W541" s="478"/>
      <c r="X541" s="273"/>
      <c r="Y541" s="825"/>
      <c r="Z541" s="825"/>
      <c r="AA541" s="825"/>
      <c r="AB541" s="825"/>
      <c r="AC541" s="825"/>
      <c r="AD541" s="825"/>
      <c r="AE541" s="825"/>
      <c r="AF541" s="825"/>
      <c r="AG541" s="825"/>
      <c r="AH541" s="825"/>
      <c r="AI541" s="825"/>
      <c r="AJ541" s="825"/>
      <c r="AK541" s="825"/>
      <c r="AL541" s="825"/>
      <c r="AM541" s="825"/>
      <c r="AN541" s="825"/>
      <c r="AO541" s="825"/>
      <c r="AP541" s="825"/>
      <c r="AQ541" s="825"/>
      <c r="AR541" s="825"/>
      <c r="AS541" s="825"/>
      <c r="AT541" s="825"/>
      <c r="AU541" s="825"/>
      <c r="AV541" s="825"/>
      <c r="AW541" s="825"/>
      <c r="AX541" s="825"/>
      <c r="AY541" s="273"/>
      <c r="AZ541" s="273"/>
      <c r="BA541" s="825"/>
      <c r="BB541" s="825"/>
      <c r="BC541" s="825"/>
      <c r="BD541" s="825"/>
      <c r="BE541" s="825"/>
      <c r="BF541" s="825"/>
      <c r="BG541" s="825"/>
      <c r="BH541" s="825"/>
      <c r="BI541" s="825"/>
      <c r="BJ541" s="825"/>
      <c r="BK541" s="825"/>
      <c r="BL541" s="825"/>
      <c r="BM541" s="825"/>
      <c r="BN541" s="825"/>
      <c r="BO541" s="825"/>
      <c r="BP541" s="825"/>
      <c r="BQ541" s="825"/>
      <c r="BR541" s="825"/>
      <c r="BS541" s="825"/>
      <c r="BT541" s="825"/>
      <c r="BU541" s="825"/>
      <c r="BV541" s="825"/>
      <c r="BW541" s="825"/>
      <c r="BX541" s="825"/>
      <c r="BY541" s="825"/>
      <c r="BZ541" s="825"/>
      <c r="CA541" s="825"/>
      <c r="CB541" s="825"/>
      <c r="CC541" s="825"/>
    </row>
    <row r="542" spans="1:81" ht="134.35" customHeight="1" x14ac:dyDescent="0.25">
      <c r="A542" s="273"/>
      <c r="B542" s="674" t="s">
        <v>897</v>
      </c>
      <c r="C542" s="962" t="str">
        <f>'8. BASE  CONSOLIDADA'!E202</f>
        <v>4.9.2</v>
      </c>
      <c r="D542" s="1168" t="str">
        <f>'8. BASE  CONSOLIDADA'!F202</f>
        <v>Mejoramiento de vías de acceso</v>
      </c>
      <c r="E542" s="1168" t="str">
        <f>'8. BASE  CONSOLIDADA'!G202</f>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v>
      </c>
      <c r="F542" s="963" t="str">
        <f>'8. BASE  CONSOLIDADA'!C202</f>
        <v>Intervenciones Transversales x UDT</v>
      </c>
      <c r="G542" s="1150" t="str">
        <f>VLOOKUP($C542,'8. BASE  CONSOLIDADA'!$E$7:$AS$308,13,FALSE)</f>
        <v>Kilómetros mejorados</v>
      </c>
      <c r="H542" s="1151">
        <f>VLOOKUP($C542,'8. BASE  CONSOLIDADA'!$E$7:$AS$308,15,FALSE)</f>
        <v>32.800000000000004</v>
      </c>
      <c r="I542" s="1159">
        <f>VLOOKUP(C542,'8. BASE  CONSOLIDADA'!$E$7:$AS$308,20,FALSE)</f>
        <v>26240000.000000004</v>
      </c>
      <c r="J542" s="1160">
        <f>I542*$J$6</f>
        <v>17843.200000000004</v>
      </c>
      <c r="K542" s="1161"/>
      <c r="L542" s="1162"/>
      <c r="M542" s="762" t="s">
        <v>489</v>
      </c>
      <c r="N542" s="730" t="str">
        <f>N148</f>
        <v>Deforestación de nuevas áreas por el mejoramiento de vías de acceso, sobre áreas adyacentes</v>
      </c>
      <c r="O542" s="964" t="str">
        <f t="shared" si="13"/>
        <v>Biodiversidad y recursos naturales</v>
      </c>
      <c r="P542" s="546" t="e">
        <f>#REF!</f>
        <v>#REF!</v>
      </c>
      <c r="Q542" s="534" t="str">
        <f>AA17</f>
        <v>Elaboración, implementación y monitoreo de acuerdos de conservación</v>
      </c>
      <c r="R542" s="534" t="s">
        <v>863</v>
      </c>
      <c r="S542" s="546" t="s">
        <v>526</v>
      </c>
      <c r="T542" s="519" t="str">
        <f>Z17</f>
        <v>SBRN9</v>
      </c>
      <c r="U542" s="628"/>
      <c r="V542" s="478"/>
      <c r="W542" s="478"/>
      <c r="X542" s="273"/>
      <c r="Y542" s="825"/>
      <c r="Z542" s="825"/>
      <c r="AA542" s="825"/>
      <c r="AB542" s="825"/>
      <c r="AC542" s="825"/>
      <c r="AD542" s="825"/>
      <c r="AE542" s="825"/>
      <c r="AF542" s="825"/>
      <c r="AG542" s="825"/>
      <c r="AH542" s="825"/>
      <c r="AI542" s="825"/>
      <c r="AJ542" s="825"/>
      <c r="AK542" s="825"/>
      <c r="AL542" s="825"/>
      <c r="AM542" s="825"/>
      <c r="AN542" s="825"/>
      <c r="AO542" s="825"/>
      <c r="AP542" s="825"/>
      <c r="AQ542" s="825"/>
      <c r="AR542" s="825"/>
      <c r="AS542" s="825"/>
      <c r="AT542" s="825"/>
      <c r="AU542" s="825"/>
      <c r="AV542" s="825"/>
      <c r="AW542" s="825"/>
      <c r="AX542" s="825"/>
      <c r="BA542" s="825"/>
      <c r="BB542" s="825"/>
      <c r="BC542" s="825"/>
      <c r="BD542" s="825"/>
      <c r="BE542" s="825"/>
      <c r="BF542" s="825"/>
      <c r="BG542" s="825"/>
      <c r="BH542" s="825"/>
      <c r="BI542" s="825"/>
      <c r="BJ542" s="825"/>
      <c r="BK542" s="825"/>
      <c r="BL542" s="825"/>
      <c r="BM542" s="825"/>
      <c r="BN542" s="825"/>
      <c r="BO542" s="825"/>
      <c r="BP542" s="825"/>
      <c r="BQ542" s="825"/>
      <c r="BR542" s="825"/>
      <c r="BS542" s="825"/>
      <c r="BT542" s="825"/>
      <c r="BU542" s="825"/>
      <c r="BV542" s="825"/>
      <c r="BW542" s="825"/>
      <c r="BX542" s="825"/>
      <c r="BY542" s="825"/>
      <c r="BZ542" s="825"/>
      <c r="CA542" s="825"/>
      <c r="CB542" s="825"/>
      <c r="CC542" s="825"/>
    </row>
    <row r="543" spans="1:81" ht="116.35" customHeight="1" x14ac:dyDescent="0.25">
      <c r="A543" s="273"/>
      <c r="B543" s="674" t="s">
        <v>897</v>
      </c>
      <c r="C543" s="653" t="str">
        <f>'8. BASE  CONSOLIDADA'!E204</f>
        <v>4.9.4</v>
      </c>
      <c r="D543" s="1158" t="str">
        <f>'8. BASE  CONSOLIDADA'!F204</f>
        <v>Mejor cobertura y calidad de servicios de educación y salud</v>
      </c>
      <c r="E543" s="1158" t="str">
        <f>'8. BASE  CONSOLIDADA'!G204</f>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v>
      </c>
      <c r="F543" s="635" t="str">
        <f>'8. BASE  CONSOLIDADA'!C204</f>
        <v>Intervenciones Transversales x UDT</v>
      </c>
      <c r="G543" s="1150" t="str">
        <f>VLOOKUP($C543,'8. BASE  CONSOLIDADA'!$E$7:$AS$308,13,FALSE)</f>
        <v>Centros de salud y colegios implementados</v>
      </c>
      <c r="H543" s="1151">
        <f>VLOOKUP($C543,'8. BASE  CONSOLIDADA'!$E$7:$AS$308,15,FALSE)</f>
        <v>2</v>
      </c>
      <c r="I543" s="1159">
        <f>VLOOKUP(C543,'8. BASE  CONSOLIDADA'!$E$7:$AS$308,20,FALSE)</f>
        <v>7000000</v>
      </c>
      <c r="J543" s="1160">
        <f>I543*$J$6</f>
        <v>4760</v>
      </c>
      <c r="K543" s="1161"/>
      <c r="L543" s="1162"/>
      <c r="M543" s="762" t="s">
        <v>489</v>
      </c>
      <c r="N543" s="730" t="str">
        <f>N149</f>
        <v>Exclusión de mujeres en el otorgamiento de servicios de educación y salud</v>
      </c>
      <c r="O543" s="964" t="str">
        <f t="shared" si="13"/>
        <v>Género</v>
      </c>
      <c r="P543" s="546" t="str">
        <f>AC6</f>
        <v>GN</v>
      </c>
      <c r="Q543" s="534" t="str">
        <f>AJ11</f>
        <v xml:space="preserve">Cuotas de género y medición de participación efectiva de mujeres rurales </v>
      </c>
      <c r="R543" s="534" t="s">
        <v>689</v>
      </c>
      <c r="S543" s="546" t="s">
        <v>507</v>
      </c>
      <c r="T543" s="519" t="str">
        <f>AI11</f>
        <v>SGN3</v>
      </c>
      <c r="U543" s="628"/>
      <c r="V543" s="478"/>
      <c r="W543" s="478"/>
      <c r="X543" s="273"/>
      <c r="Y543" s="825"/>
      <c r="Z543" s="825"/>
      <c r="AA543" s="825"/>
      <c r="AB543" s="825"/>
      <c r="AC543" s="825"/>
      <c r="AD543" s="825"/>
      <c r="AE543" s="825"/>
      <c r="AF543" s="825"/>
      <c r="AG543" s="825"/>
      <c r="AH543" s="825"/>
      <c r="AI543" s="825"/>
      <c r="AJ543" s="825"/>
      <c r="AK543" s="825"/>
      <c r="AL543" s="825"/>
      <c r="AM543" s="825"/>
      <c r="AN543" s="825"/>
      <c r="AO543" s="825"/>
      <c r="AP543" s="825"/>
      <c r="AQ543" s="825"/>
      <c r="AR543" s="825"/>
      <c r="AS543" s="825"/>
      <c r="AT543" s="825"/>
      <c r="AU543" s="825"/>
      <c r="AV543" s="825"/>
      <c r="AW543" s="825"/>
      <c r="AX543" s="825"/>
      <c r="BA543" s="825"/>
      <c r="BB543" s="825"/>
      <c r="BC543" s="825"/>
      <c r="BD543" s="825"/>
      <c r="BE543" s="825"/>
      <c r="BF543" s="825"/>
      <c r="BG543" s="825"/>
      <c r="BH543" s="825"/>
      <c r="BI543" s="825"/>
      <c r="BJ543" s="825"/>
      <c r="BK543" s="825"/>
      <c r="BL543" s="825"/>
      <c r="BM543" s="825"/>
      <c r="BN543" s="825"/>
      <c r="BO543" s="825"/>
      <c r="BP543" s="825"/>
      <c r="BQ543" s="825"/>
      <c r="BR543" s="825"/>
      <c r="BS543" s="825"/>
      <c r="BT543" s="825"/>
      <c r="BU543" s="825"/>
      <c r="BV543" s="825"/>
      <c r="BW543" s="825"/>
      <c r="BX543" s="825"/>
      <c r="BY543" s="825"/>
      <c r="BZ543" s="825"/>
      <c r="CA543" s="825"/>
      <c r="CB543" s="825"/>
      <c r="CC543" s="825"/>
    </row>
    <row r="544" spans="1:81" ht="95.3" customHeight="1" x14ac:dyDescent="0.25">
      <c r="A544" s="273"/>
      <c r="B544" s="674" t="s">
        <v>897</v>
      </c>
      <c r="C544" s="653" t="str">
        <f>'8. BASE  CONSOLIDADA'!E205</f>
        <v>4.9.5</v>
      </c>
      <c r="D544" s="1158" t="str">
        <f>'8. BASE  CONSOLIDADA'!F205</f>
        <v>Programa de servicios públicos móviles</v>
      </c>
      <c r="E544" s="1158" t="str">
        <f>'8. BASE  CONSOLIDADA'!G205</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v>
      </c>
      <c r="F544" s="635" t="str">
        <f>'8. BASE  CONSOLIDADA'!C205</f>
        <v>Intervenciones Transversales x UDT</v>
      </c>
      <c r="G544" s="1150" t="str">
        <f>VLOOKUP($C544,'8. BASE  CONSOLIDADA'!$E$7:$AS$308,13,FALSE)</f>
        <v>N° campañas</v>
      </c>
      <c r="H544" s="1151">
        <f>VLOOKUP($C544,'8. BASE  CONSOLIDADA'!$E$7:$AS$308,15,FALSE)</f>
        <v>135.52500000000001</v>
      </c>
      <c r="I544" s="1159">
        <f>VLOOKUP(C544,'8. BASE  CONSOLIDADA'!$E$7:$AS$308,20,FALSE)</f>
        <v>3388125</v>
      </c>
      <c r="J544" s="1160">
        <f>I544*$J$6</f>
        <v>2303.9250000000002</v>
      </c>
      <c r="K544" s="1161"/>
      <c r="L544" s="1162"/>
      <c r="M544" s="762" t="s">
        <v>489</v>
      </c>
      <c r="N544" s="730" t="str">
        <f>N150</f>
        <v>Exclusión de mujeres en el otorgamiento de servicios móviles</v>
      </c>
      <c r="O544" s="964" t="str">
        <f t="shared" si="13"/>
        <v>Género</v>
      </c>
      <c r="P544" s="546" t="str">
        <f>AC6</f>
        <v>GN</v>
      </c>
      <c r="Q544" s="534" t="str">
        <f>AJ11</f>
        <v xml:space="preserve">Cuotas de género y medición de participación efectiva de mujeres rurales </v>
      </c>
      <c r="R544" s="534" t="s">
        <v>689</v>
      </c>
      <c r="S544" s="546" t="s">
        <v>507</v>
      </c>
      <c r="T544" s="519" t="str">
        <f>AI11</f>
        <v>SGN3</v>
      </c>
      <c r="U544" s="628"/>
      <c r="V544" s="478"/>
      <c r="W544" s="478"/>
      <c r="X544" s="273"/>
      <c r="Y544" s="825"/>
      <c r="Z544" s="825"/>
      <c r="AA544" s="825"/>
      <c r="AB544" s="825"/>
      <c r="AC544" s="825"/>
      <c r="AD544" s="825"/>
      <c r="AE544" s="825"/>
      <c r="AF544" s="825"/>
      <c r="AG544" s="825"/>
      <c r="AH544" s="825"/>
      <c r="AI544" s="825"/>
      <c r="AJ544" s="825"/>
      <c r="AK544" s="825"/>
      <c r="AL544" s="825"/>
      <c r="AM544" s="825"/>
      <c r="AN544" s="825"/>
      <c r="AO544" s="825"/>
      <c r="AP544" s="825"/>
      <c r="AQ544" s="825"/>
      <c r="AR544" s="825"/>
      <c r="AS544" s="825"/>
      <c r="AT544" s="825"/>
      <c r="AU544" s="825"/>
      <c r="AV544" s="825"/>
      <c r="AW544" s="825"/>
      <c r="AX544" s="825"/>
      <c r="BA544" s="825"/>
      <c r="BB544" s="825"/>
      <c r="BC544" s="825"/>
      <c r="BD544" s="825"/>
      <c r="BE544" s="825"/>
      <c r="BF544" s="825"/>
      <c r="BG544" s="825"/>
      <c r="BH544" s="825"/>
      <c r="BI544" s="825"/>
      <c r="BJ544" s="825"/>
      <c r="BK544" s="825"/>
      <c r="BL544" s="825"/>
      <c r="BM544" s="825"/>
      <c r="BN544" s="825"/>
      <c r="BO544" s="825"/>
      <c r="BP544" s="825"/>
      <c r="BQ544" s="825"/>
      <c r="BR544" s="825"/>
      <c r="BS544" s="825"/>
      <c r="BT544" s="825"/>
      <c r="BU544" s="825"/>
      <c r="BV544" s="825"/>
      <c r="BW544" s="825"/>
      <c r="BX544" s="825"/>
      <c r="BY544" s="825"/>
      <c r="BZ544" s="825"/>
      <c r="CA544" s="825"/>
      <c r="CB544" s="825"/>
      <c r="CC544" s="825"/>
    </row>
    <row r="545" spans="1:81" ht="90" customHeight="1" x14ac:dyDescent="0.25">
      <c r="A545" s="273"/>
      <c r="B545" s="1623" t="s">
        <v>903</v>
      </c>
      <c r="C545" s="1626">
        <f>'8. BASE  CONSOLIDADA'!E270</f>
        <v>1</v>
      </c>
      <c r="D545" s="1636" t="str">
        <f>'8. BASE  CONSOLIDADA'!F270</f>
        <v>Zonificación Agroecológica</v>
      </c>
      <c r="E545" s="1611" t="str">
        <f>'8. BASE  CONSOLIDADA'!G270</f>
        <v xml:space="preserve">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v>
      </c>
      <c r="F545" s="1550" t="str">
        <f>'8. BASE  CONSOLIDADA'!C270</f>
        <v>Intervenciones Transversales X Región</v>
      </c>
      <c r="G545" s="1550" t="str">
        <f>VLOOKUP($C545,'8. BASE  CONSOLIDADA'!$E$7:$AS$308,13,FALSE)</f>
        <v>Plan de Ordenamiento Agroteritorial implementado</v>
      </c>
      <c r="H545" s="1550">
        <f>VLOOKUP($C545,'8. BASE  CONSOLIDADA'!$E$7:$AS$308,15,FALSE)</f>
        <v>1</v>
      </c>
      <c r="I545" s="1550">
        <f>VLOOKUP(C545,'8. BASE  CONSOLIDADA'!$E$7:$AS$308,20,FALSE)</f>
        <v>9082000</v>
      </c>
      <c r="J545" s="1550">
        <f>I545*$J$6</f>
        <v>6175.76</v>
      </c>
      <c r="K545" s="1550"/>
      <c r="L545" s="1162"/>
      <c r="M545" s="762" t="s">
        <v>489</v>
      </c>
      <c r="N545" s="730" t="s">
        <v>904</v>
      </c>
      <c r="O545" s="964" t="str">
        <f t="shared" si="13"/>
        <v>Vulnerabilidad al cambio climático</v>
      </c>
      <c r="P545" s="546" t="e">
        <f>#REF!</f>
        <v>#REF!</v>
      </c>
      <c r="Q545" s="534" t="str">
        <f>AS12</f>
        <v xml:space="preserve">Planteamiento de escenarios frente al cambio climático de manera transversal en la implementación de la ERDRBE </v>
      </c>
      <c r="R545" s="534" t="s">
        <v>905</v>
      </c>
      <c r="S545" s="546" t="s">
        <v>492</v>
      </c>
      <c r="T545" s="519" t="str">
        <f>AR12</f>
        <v>SVCC4</v>
      </c>
      <c r="U545" s="631" t="s">
        <v>701</v>
      </c>
      <c r="V545" s="842"/>
      <c r="W545" s="842"/>
      <c r="X545" s="503"/>
      <c r="Y545" s="562"/>
      <c r="Z545" s="825"/>
      <c r="AA545" s="825"/>
      <c r="AB545" s="825"/>
      <c r="AC545" s="825"/>
      <c r="AD545" s="825"/>
      <c r="AE545" s="825"/>
      <c r="AF545" s="825"/>
      <c r="AG545" s="825"/>
      <c r="AH545" s="825"/>
      <c r="AI545" s="825"/>
      <c r="AJ545" s="825"/>
      <c r="AK545" s="825"/>
      <c r="AL545" s="825"/>
      <c r="AM545" s="825"/>
      <c r="AN545" s="825"/>
      <c r="AO545" s="825"/>
      <c r="AP545" s="825"/>
      <c r="AQ545" s="825"/>
      <c r="AR545" s="825"/>
      <c r="AS545" s="825"/>
      <c r="AT545" s="825"/>
      <c r="AU545" s="825"/>
      <c r="AV545" s="825"/>
      <c r="AW545" s="825"/>
      <c r="AX545" s="825"/>
      <c r="BA545" s="825"/>
      <c r="BB545" s="825"/>
      <c r="BC545" s="825"/>
      <c r="BD545" s="825"/>
      <c r="BE545" s="825"/>
      <c r="BF545" s="825"/>
      <c r="BG545" s="825"/>
      <c r="BH545" s="825"/>
      <c r="BI545" s="825"/>
      <c r="BJ545" s="825"/>
      <c r="BK545" s="825"/>
      <c r="BL545" s="825"/>
      <c r="BM545" s="825"/>
      <c r="BN545" s="825"/>
      <c r="BO545" s="825"/>
      <c r="BP545" s="825"/>
      <c r="BQ545" s="825"/>
      <c r="BR545" s="825"/>
      <c r="BS545" s="825"/>
      <c r="BT545" s="825"/>
      <c r="BU545" s="825"/>
      <c r="BV545" s="825"/>
      <c r="BW545" s="825"/>
      <c r="BX545" s="825"/>
      <c r="BY545" s="825"/>
      <c r="BZ545" s="825"/>
      <c r="CA545" s="825"/>
      <c r="CB545" s="825"/>
      <c r="CC545" s="825"/>
    </row>
    <row r="546" spans="1:81" s="637" customFormat="1" ht="90" customHeight="1" x14ac:dyDescent="0.25">
      <c r="A546" s="273"/>
      <c r="B546" s="1623"/>
      <c r="C546" s="1626"/>
      <c r="D546" s="1636"/>
      <c r="E546" s="1611"/>
      <c r="F546" s="1550"/>
      <c r="G546" s="1550"/>
      <c r="H546" s="1550"/>
      <c r="I546" s="1550"/>
      <c r="J546" s="1550"/>
      <c r="K546" s="1550"/>
      <c r="L546" s="1162"/>
      <c r="M546" s="762" t="s">
        <v>489</v>
      </c>
      <c r="N546" s="730" t="s">
        <v>906</v>
      </c>
      <c r="O546" s="1097" t="s">
        <v>358</v>
      </c>
      <c r="P546" s="546" t="str">
        <f>Z6</f>
        <v>DPI</v>
      </c>
      <c r="Q546" s="534" t="str">
        <f>AD28</f>
        <v>Promoción de productos de tierras y bosques de pueblos indígenas</v>
      </c>
      <c r="R546" s="534" t="s">
        <v>907</v>
      </c>
      <c r="S546" s="546" t="s">
        <v>492</v>
      </c>
      <c r="T546" s="519" t="str">
        <f>AC28</f>
        <v>SDPI20</v>
      </c>
      <c r="U546" s="631"/>
      <c r="V546" s="842"/>
      <c r="W546" s="842"/>
      <c r="X546" s="503"/>
      <c r="Y546" s="562"/>
      <c r="Z546" s="825"/>
      <c r="AA546" s="825"/>
      <c r="AB546" s="825"/>
      <c r="AC546" s="825"/>
      <c r="AD546" s="825"/>
      <c r="AE546" s="825"/>
      <c r="AF546" s="825"/>
      <c r="AG546" s="825"/>
      <c r="AH546" s="825"/>
      <c r="AI546" s="825"/>
      <c r="AJ546" s="825"/>
      <c r="AK546" s="825"/>
      <c r="AL546" s="825"/>
      <c r="AM546" s="825"/>
      <c r="AN546" s="825"/>
      <c r="AO546" s="825"/>
      <c r="AP546" s="825"/>
      <c r="AQ546" s="825"/>
      <c r="AR546" s="825"/>
      <c r="AS546" s="825"/>
      <c r="AT546" s="825"/>
      <c r="AU546" s="825"/>
      <c r="AV546" s="825"/>
      <c r="AW546" s="825"/>
      <c r="AX546" s="825"/>
      <c r="AY546" s="273"/>
      <c r="AZ546" s="273"/>
      <c r="BA546" s="825"/>
      <c r="BB546" s="825"/>
      <c r="BC546" s="825"/>
      <c r="BD546" s="825"/>
      <c r="BE546" s="825"/>
      <c r="BF546" s="825"/>
      <c r="BG546" s="825"/>
      <c r="BH546" s="825"/>
      <c r="BI546" s="825"/>
      <c r="BJ546" s="825"/>
      <c r="BK546" s="825"/>
      <c r="BL546" s="825"/>
      <c r="BM546" s="825"/>
      <c r="BN546" s="825"/>
      <c r="BO546" s="825"/>
      <c r="BP546" s="825"/>
      <c r="BQ546" s="825"/>
      <c r="BR546" s="825"/>
      <c r="BS546" s="825"/>
      <c r="BT546" s="825"/>
      <c r="BU546" s="825"/>
      <c r="BV546" s="825"/>
      <c r="BW546" s="825"/>
      <c r="BX546" s="825"/>
      <c r="BY546" s="825"/>
      <c r="BZ546" s="825"/>
      <c r="CA546" s="825"/>
      <c r="CB546" s="825"/>
      <c r="CC546" s="825"/>
    </row>
    <row r="547" spans="1:81" s="570" customFormat="1" ht="84.75" customHeight="1" x14ac:dyDescent="0.25">
      <c r="A547" s="273"/>
      <c r="B547" s="1623" t="s">
        <v>903</v>
      </c>
      <c r="C547" s="1626">
        <f>'8. BASE  CONSOLIDADA'!E271</f>
        <v>2</v>
      </c>
      <c r="D547" s="1611" t="str">
        <f>'8. BASE  CONSOLIDADA'!F271</f>
        <v>Zonificación forestal, bosques sin categoría asignada, incluyendo ZOCREs actuales y propuestas.</v>
      </c>
      <c r="E547" s="1611" t="str">
        <f>'8. BASE  CONSOLIDADA'!G271</f>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v>
      </c>
      <c r="F547" s="1545" t="str">
        <f>'8. BASE  CONSOLIDADA'!C271</f>
        <v>Intervenciones Transversales X Región</v>
      </c>
      <c r="G547" s="1545" t="str">
        <f>VLOOKUP($C547,'8. BASE  CONSOLIDADA'!$E$7:$AS$308,13,FALSE)</f>
        <v>Hectárea</v>
      </c>
      <c r="H547" s="1545">
        <f>VLOOKUP($C547,'8. BASE  CONSOLIDADA'!$E$7:$AS$308,15,FALSE)</f>
        <v>395356.07</v>
      </c>
      <c r="I547" s="1545">
        <f>VLOOKUP(C547,'8. BASE  CONSOLIDADA'!$E$7:$AS$308,20,FALSE)</f>
        <v>6325697.1200000001</v>
      </c>
      <c r="J547" s="1545">
        <f>I547*$J$6</f>
        <v>4301.4740416000004</v>
      </c>
      <c r="K547" s="1545"/>
      <c r="L547" s="1545"/>
      <c r="M547" s="762" t="s">
        <v>489</v>
      </c>
      <c r="N547" s="730" t="s">
        <v>908</v>
      </c>
      <c r="O547" s="964" t="str">
        <f t="shared" si="13"/>
        <v>Derechos de los pueblos indígenas</v>
      </c>
      <c r="P547" s="546" t="str">
        <f>Z6</f>
        <v>DPI</v>
      </c>
      <c r="Q547" s="534" t="str">
        <f>AD25</f>
        <v>Evaluación de superposiciones de solicitudes de títulos habilitantes forestales y de fauna silvestre con solicitudes de reconocimiento, titulación y ampliación de tierras de comunidades nativas durante el proceso de ordenamiento forestal</v>
      </c>
      <c r="R547" s="534" t="s">
        <v>909</v>
      </c>
      <c r="S547" s="546" t="s">
        <v>507</v>
      </c>
      <c r="T547" s="519" t="str">
        <f>AC25</f>
        <v>SDPI17</v>
      </c>
      <c r="U547" s="631" t="s">
        <v>701</v>
      </c>
      <c r="V547" s="842"/>
      <c r="W547" s="842"/>
      <c r="X547" s="562"/>
      <c r="Y547" s="562"/>
      <c r="Z547" s="825"/>
      <c r="AA547" s="825"/>
      <c r="AB547" s="825"/>
      <c r="AC547" s="825"/>
      <c r="AD547" s="825"/>
      <c r="AE547" s="825"/>
      <c r="AF547" s="825"/>
      <c r="AG547" s="825"/>
      <c r="AH547" s="825"/>
      <c r="AI547" s="825"/>
      <c r="AJ547" s="825"/>
      <c r="AK547" s="825"/>
      <c r="AL547" s="825"/>
      <c r="AM547" s="825"/>
      <c r="AN547" s="825"/>
      <c r="AO547" s="825"/>
      <c r="AP547" s="825"/>
      <c r="AQ547" s="825"/>
      <c r="AR547" s="825"/>
      <c r="AS547" s="825"/>
      <c r="AT547" s="825"/>
      <c r="AU547" s="825"/>
      <c r="AV547" s="825"/>
      <c r="AW547" s="825"/>
      <c r="AX547" s="825"/>
      <c r="AY547" s="273"/>
      <c r="AZ547" s="273"/>
      <c r="BA547" s="825"/>
      <c r="BB547" s="825"/>
      <c r="BC547" s="825"/>
      <c r="BD547" s="825"/>
      <c r="BE547" s="825"/>
      <c r="BF547" s="825"/>
      <c r="BG547" s="825"/>
      <c r="BH547" s="825"/>
      <c r="BI547" s="825"/>
      <c r="BJ547" s="825"/>
      <c r="BK547" s="825"/>
      <c r="BL547" s="825"/>
      <c r="BM547" s="825"/>
      <c r="BN547" s="825"/>
      <c r="BO547" s="825"/>
      <c r="BP547" s="825"/>
      <c r="BQ547" s="825"/>
      <c r="BR547" s="825"/>
      <c r="BS547" s="825"/>
      <c r="BT547" s="825"/>
      <c r="BU547" s="825"/>
      <c r="BV547" s="825"/>
      <c r="BW547" s="825"/>
      <c r="BX547" s="825"/>
      <c r="BY547" s="825"/>
      <c r="BZ547" s="825"/>
      <c r="CA547" s="825"/>
      <c r="CB547" s="825"/>
      <c r="CC547" s="825"/>
    </row>
    <row r="548" spans="1:81" s="570" customFormat="1" ht="47.25" customHeight="1" x14ac:dyDescent="0.25">
      <c r="A548" s="273"/>
      <c r="B548" s="1623"/>
      <c r="C548" s="1626"/>
      <c r="D548" s="1611"/>
      <c r="E548" s="1611"/>
      <c r="F548" s="1545"/>
      <c r="G548" s="1545"/>
      <c r="H548" s="1545"/>
      <c r="I548" s="1545"/>
      <c r="J548" s="1545"/>
      <c r="K548" s="1545"/>
      <c r="L548" s="1545"/>
      <c r="M548" s="762" t="s">
        <v>489</v>
      </c>
      <c r="N548" s="730" t="str">
        <f>N547</f>
        <v>Superposición de áreas a ser otorgadas con áreas solicitadas por pueblos indígenas</v>
      </c>
      <c r="O548" s="964" t="str">
        <f t="shared" si="13"/>
        <v>Derechos de los pueblos indígenas</v>
      </c>
      <c r="P548" s="546" t="str">
        <f>Z6</f>
        <v>DPI</v>
      </c>
      <c r="Q548" s="534" t="str">
        <f>AD10</f>
        <v xml:space="preserve">Análisis de demandas de titulación de tierras a favor de comunidades nativas a nivel departamental con organizaciones indígenas </v>
      </c>
      <c r="R548" s="534" t="s">
        <v>910</v>
      </c>
      <c r="S548" s="546" t="s">
        <v>507</v>
      </c>
      <c r="T548" s="519" t="str">
        <f>AC10</f>
        <v>SDPI2</v>
      </c>
      <c r="U548" s="631"/>
      <c r="V548" s="842"/>
      <c r="W548" s="842"/>
      <c r="X548" s="503"/>
      <c r="Y548" s="562"/>
      <c r="Z548" s="825"/>
      <c r="AA548" s="825"/>
      <c r="AB548" s="825"/>
      <c r="AC548" s="825"/>
      <c r="AD548" s="825"/>
      <c r="AE548" s="825"/>
      <c r="AF548" s="825"/>
      <c r="AG548" s="825"/>
      <c r="AH548" s="825"/>
      <c r="AI548" s="825"/>
      <c r="AJ548" s="825"/>
      <c r="AK548" s="825"/>
      <c r="AL548" s="825"/>
      <c r="AM548" s="825"/>
      <c r="AN548" s="825"/>
      <c r="AO548" s="825"/>
      <c r="AP548" s="825"/>
      <c r="AQ548" s="825"/>
      <c r="AR548" s="825"/>
      <c r="AS548" s="825"/>
      <c r="AT548" s="825"/>
      <c r="AU548" s="825"/>
      <c r="AV548" s="825"/>
      <c r="AW548" s="825"/>
      <c r="AX548" s="825"/>
      <c r="AY548" s="273"/>
      <c r="AZ548" s="273"/>
      <c r="BA548" s="825"/>
      <c r="BB548" s="825"/>
      <c r="BC548" s="825"/>
      <c r="BD548" s="825"/>
      <c r="BE548" s="825"/>
      <c r="BF548" s="825"/>
      <c r="BG548" s="825"/>
      <c r="BH548" s="825"/>
      <c r="BI548" s="825"/>
      <c r="BJ548" s="825"/>
      <c r="BK548" s="825"/>
      <c r="BL548" s="825"/>
      <c r="BM548" s="825"/>
      <c r="BN548" s="825"/>
      <c r="BO548" s="825"/>
      <c r="BP548" s="825"/>
      <c r="BQ548" s="825"/>
      <c r="BR548" s="825"/>
      <c r="BS548" s="825"/>
      <c r="BT548" s="825"/>
      <c r="BU548" s="825"/>
      <c r="BV548" s="825"/>
      <c r="BW548" s="825"/>
      <c r="BX548" s="825"/>
      <c r="BY548" s="825"/>
      <c r="BZ548" s="825"/>
      <c r="CA548" s="825"/>
      <c r="CB548" s="825"/>
      <c r="CC548" s="825"/>
    </row>
    <row r="549" spans="1:81" s="570" customFormat="1" ht="39.1" customHeight="1" x14ac:dyDescent="0.25">
      <c r="A549" s="273"/>
      <c r="B549" s="1623"/>
      <c r="C549" s="1626"/>
      <c r="D549" s="1611"/>
      <c r="E549" s="1611"/>
      <c r="F549" s="1545"/>
      <c r="G549" s="1545"/>
      <c r="H549" s="1545"/>
      <c r="I549" s="1545"/>
      <c r="J549" s="1545"/>
      <c r="K549" s="1545"/>
      <c r="L549" s="1545"/>
      <c r="M549" s="762" t="s">
        <v>489</v>
      </c>
      <c r="N549" s="730" t="s">
        <v>911</v>
      </c>
      <c r="O549" s="964" t="str">
        <f t="shared" si="13"/>
        <v>Corrupción</v>
      </c>
      <c r="P549" s="546" t="e">
        <f>#REF!</f>
        <v>#REF!</v>
      </c>
      <c r="Q549" s="534" t="str">
        <f>AG20</f>
        <v>Transparencia en los procesos de otorgamiento de derechos sobre títulos habilitantes forestales y de fauna silvestre</v>
      </c>
      <c r="R549" s="534" t="s">
        <v>912</v>
      </c>
      <c r="S549" s="546" t="s">
        <v>492</v>
      </c>
      <c r="T549" s="519" t="str">
        <f>AF20</f>
        <v>SCR12</v>
      </c>
      <c r="U549" s="631"/>
      <c r="V549" s="842"/>
      <c r="W549" s="842"/>
      <c r="X549" s="503"/>
      <c r="Y549" s="562"/>
      <c r="Z549" s="825"/>
      <c r="AA549" s="825"/>
      <c r="AB549" s="825"/>
      <c r="AC549" s="825"/>
      <c r="AD549" s="825"/>
      <c r="AE549" s="825"/>
      <c r="AF549" s="825"/>
      <c r="AG549" s="825"/>
      <c r="AH549" s="825"/>
      <c r="AI549" s="825"/>
      <c r="AJ549" s="825"/>
      <c r="AK549" s="825"/>
      <c r="AL549" s="825"/>
      <c r="AM549" s="825"/>
      <c r="AN549" s="825"/>
      <c r="AO549" s="825"/>
      <c r="AP549" s="825"/>
      <c r="AQ549" s="825"/>
      <c r="AR549" s="825"/>
      <c r="AS549" s="825"/>
      <c r="AT549" s="825"/>
      <c r="AU549" s="825"/>
      <c r="AV549" s="825"/>
      <c r="AW549" s="825"/>
      <c r="AX549" s="825"/>
      <c r="AY549" s="273"/>
      <c r="AZ549" s="273"/>
      <c r="BA549" s="825"/>
      <c r="BB549" s="825"/>
      <c r="BC549" s="825"/>
      <c r="BD549" s="825"/>
      <c r="BE549" s="825"/>
      <c r="BF549" s="825"/>
      <c r="BG549" s="825"/>
      <c r="BH549" s="825"/>
      <c r="BI549" s="825"/>
      <c r="BJ549" s="825"/>
      <c r="BK549" s="825"/>
      <c r="BL549" s="825"/>
      <c r="BM549" s="825"/>
      <c r="BN549" s="825"/>
      <c r="BO549" s="825"/>
      <c r="BP549" s="825"/>
      <c r="BQ549" s="825"/>
      <c r="BR549" s="825"/>
      <c r="BS549" s="825"/>
      <c r="BT549" s="825"/>
      <c r="BU549" s="825"/>
      <c r="BV549" s="825"/>
      <c r="BW549" s="825"/>
      <c r="BX549" s="825"/>
      <c r="BY549" s="825"/>
      <c r="BZ549" s="825"/>
      <c r="CA549" s="825"/>
      <c r="CB549" s="825"/>
      <c r="CC549" s="825"/>
    </row>
    <row r="550" spans="1:81" s="570" customFormat="1" ht="22.6" customHeight="1" x14ac:dyDescent="0.25">
      <c r="A550" s="273"/>
      <c r="B550" s="1623"/>
      <c r="C550" s="1626"/>
      <c r="D550" s="1611"/>
      <c r="E550" s="1611"/>
      <c r="F550" s="1545"/>
      <c r="G550" s="1545"/>
      <c r="H550" s="1545"/>
      <c r="I550" s="1545"/>
      <c r="J550" s="1545"/>
      <c r="K550" s="1545"/>
      <c r="L550" s="1545"/>
      <c r="M550" s="762" t="s">
        <v>489</v>
      </c>
      <c r="N550" s="730" t="s">
        <v>913</v>
      </c>
      <c r="O550" s="964" t="str">
        <f t="shared" si="13"/>
        <v>Género</v>
      </c>
      <c r="P550" s="546" t="str">
        <f>AC6</f>
        <v>GN</v>
      </c>
      <c r="Q550" s="534" t="str">
        <f>AJ27</f>
        <v>Incorporación de cónyuges o convivientes en títulos habilitantes forestales y de fauna silvestre</v>
      </c>
      <c r="R550" s="534" t="s">
        <v>914</v>
      </c>
      <c r="S550" s="546" t="s">
        <v>492</v>
      </c>
      <c r="T550" s="519" t="str">
        <f>AI27</f>
        <v>SGN19</v>
      </c>
      <c r="U550" s="631"/>
      <c r="V550" s="842"/>
      <c r="W550" s="842"/>
      <c r="X550" s="503"/>
      <c r="Y550" s="562"/>
      <c r="Z550" s="825"/>
      <c r="AA550" s="825"/>
      <c r="AB550" s="825"/>
      <c r="AC550" s="825"/>
      <c r="AD550" s="825"/>
      <c r="AE550" s="825"/>
      <c r="AF550" s="825"/>
      <c r="AG550" s="825"/>
      <c r="AH550" s="825"/>
      <c r="AI550" s="825"/>
      <c r="AJ550" s="825"/>
      <c r="AK550" s="825"/>
      <c r="AL550" s="825"/>
      <c r="AM550" s="825"/>
      <c r="AN550" s="825"/>
      <c r="AO550" s="825"/>
      <c r="AP550" s="825"/>
      <c r="AQ550" s="825"/>
      <c r="AR550" s="825"/>
      <c r="AS550" s="825"/>
      <c r="AT550" s="825"/>
      <c r="AU550" s="825"/>
      <c r="AV550" s="825"/>
      <c r="AW550" s="825"/>
      <c r="AX550" s="825"/>
      <c r="AY550" s="273"/>
      <c r="AZ550" s="273"/>
      <c r="BA550" s="825"/>
      <c r="BB550" s="825"/>
      <c r="BC550" s="825"/>
      <c r="BD550" s="825"/>
      <c r="BE550" s="825"/>
      <c r="BF550" s="825"/>
      <c r="BG550" s="825"/>
      <c r="BH550" s="825"/>
      <c r="BI550" s="825"/>
      <c r="BJ550" s="825"/>
      <c r="BK550" s="825"/>
      <c r="BL550" s="825"/>
      <c r="BM550" s="825"/>
      <c r="BN550" s="825"/>
      <c r="BO550" s="825"/>
      <c r="BP550" s="825"/>
      <c r="BQ550" s="825"/>
      <c r="BR550" s="825"/>
      <c r="BS550" s="825"/>
      <c r="BT550" s="825"/>
      <c r="BU550" s="825"/>
      <c r="BV550" s="825"/>
      <c r="BW550" s="825"/>
      <c r="BX550" s="825"/>
      <c r="BY550" s="825"/>
      <c r="BZ550" s="825"/>
      <c r="CA550" s="825"/>
      <c r="CB550" s="825"/>
      <c r="CC550" s="825"/>
    </row>
    <row r="551" spans="1:81" s="570" customFormat="1" ht="50.3" customHeight="1" x14ac:dyDescent="0.25">
      <c r="A551" s="273"/>
      <c r="B551" s="1623"/>
      <c r="C551" s="1626"/>
      <c r="D551" s="1611"/>
      <c r="E551" s="1611"/>
      <c r="F551" s="1545"/>
      <c r="G551" s="1545"/>
      <c r="H551" s="1545"/>
      <c r="I551" s="1545"/>
      <c r="J551" s="1545"/>
      <c r="K551" s="1545"/>
      <c r="L551" s="1545"/>
      <c r="M551" s="762" t="s">
        <v>489</v>
      </c>
      <c r="N551" s="730" t="s">
        <v>915</v>
      </c>
      <c r="O551" s="964" t="str">
        <f t="shared" si="13"/>
        <v>Patrimonio cultural</v>
      </c>
      <c r="P551" s="546" t="str">
        <f>AI6</f>
        <v>PC</v>
      </c>
      <c r="Q551" s="534" t="str">
        <f>AV11</f>
        <v>Evaluación de superposición del área solicitada para títulos habilitantes con áreas determinadas como patrimonio cultural</v>
      </c>
      <c r="R551" s="534" t="s">
        <v>916</v>
      </c>
      <c r="S551" s="546" t="s">
        <v>507</v>
      </c>
      <c r="T551" s="519" t="str">
        <f>AU11</f>
        <v>SPC3</v>
      </c>
      <c r="U551" s="631"/>
      <c r="V551" s="842"/>
      <c r="W551" s="842"/>
      <c r="X551" s="503"/>
      <c r="Y551" s="562"/>
      <c r="Z551" s="825"/>
      <c r="AA551" s="825"/>
      <c r="AB551" s="825"/>
      <c r="AC551" s="825"/>
      <c r="AD551" s="825"/>
      <c r="AE551" s="825"/>
      <c r="AF551" s="825"/>
      <c r="AG551" s="825"/>
      <c r="AH551" s="825"/>
      <c r="AI551" s="825"/>
      <c r="AJ551" s="825"/>
      <c r="AK551" s="825"/>
      <c r="AL551" s="825"/>
      <c r="AM551" s="825"/>
      <c r="AN551" s="825"/>
      <c r="AO551" s="825"/>
      <c r="AP551" s="825"/>
      <c r="AQ551" s="825"/>
      <c r="AR551" s="825"/>
      <c r="AS551" s="825"/>
      <c r="AT551" s="825"/>
      <c r="AU551" s="825"/>
      <c r="AV551" s="825"/>
      <c r="AW551" s="825"/>
      <c r="AX551" s="825"/>
      <c r="AY551" s="273"/>
      <c r="AZ551" s="273"/>
      <c r="BA551" s="825"/>
      <c r="BB551" s="825"/>
      <c r="BC551" s="825"/>
      <c r="BD551" s="825"/>
      <c r="BE551" s="825"/>
      <c r="BF551" s="825"/>
      <c r="BG551" s="825"/>
      <c r="BH551" s="825"/>
      <c r="BI551" s="825"/>
      <c r="BJ551" s="825"/>
      <c r="BK551" s="825"/>
      <c r="BL551" s="825"/>
      <c r="BM551" s="825"/>
      <c r="BN551" s="825"/>
      <c r="BO551" s="825"/>
      <c r="BP551" s="825"/>
      <c r="BQ551" s="825"/>
      <c r="BR551" s="825"/>
      <c r="BS551" s="825"/>
      <c r="BT551" s="825"/>
      <c r="BU551" s="825"/>
      <c r="BV551" s="825"/>
      <c r="BW551" s="825"/>
      <c r="BX551" s="825"/>
      <c r="BY551" s="825"/>
      <c r="BZ551" s="825"/>
      <c r="CA551" s="825"/>
      <c r="CB551" s="825"/>
      <c r="CC551" s="825"/>
    </row>
    <row r="552" spans="1:81" ht="36" customHeight="1" x14ac:dyDescent="0.25">
      <c r="A552" s="273"/>
      <c r="B552" s="1623" t="s">
        <v>903</v>
      </c>
      <c r="C552" s="1627">
        <f>'8. BASE  CONSOLIDADA'!E272</f>
        <v>3</v>
      </c>
      <c r="D552" s="1611" t="str">
        <f>'8. BASE  CONSOLIDADA'!F272</f>
        <v>Promoción de actividad agrícola, pecuaria y acuícola adaptada al cambio climático.</v>
      </c>
      <c r="E552" s="1611" t="str">
        <f>'8. BASE  CONSOLIDADA'!G272</f>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v>
      </c>
      <c r="F552" s="1544" t="str">
        <f>'8. BASE  CONSOLIDADA'!C272</f>
        <v>Intervenciones Transversales X Región</v>
      </c>
      <c r="G552" s="1544" t="str">
        <f>VLOOKUP($C552,'8. BASE  CONSOLIDADA'!$E$7:$AS$308,13,FALSE)</f>
        <v>Proyectos viables</v>
      </c>
      <c r="H552" s="1544">
        <f>VLOOKUP($C552,'8. BASE  CONSOLIDADA'!$E$7:$AS$308,15,FALSE)</f>
        <v>15</v>
      </c>
      <c r="I552" s="1544">
        <f>VLOOKUP(C552,'8. BASE  CONSOLIDADA'!$E$7:$AS$308,20,FALSE)</f>
        <v>60000000</v>
      </c>
      <c r="J552" s="1544">
        <f>I552*$J$6</f>
        <v>40800</v>
      </c>
      <c r="K552" s="1544"/>
      <c r="L552" s="1544"/>
      <c r="M552" s="762" t="s">
        <v>489</v>
      </c>
      <c r="N552" s="730" t="str">
        <f>N17</f>
        <v>Especies exóticas o invasoras en bosques colindantes</v>
      </c>
      <c r="O552" s="964" t="str">
        <f t="shared" si="13"/>
        <v>Biodiversidad y recursos naturales</v>
      </c>
      <c r="P552" s="546" t="e">
        <f>#REF!</f>
        <v>#REF!</v>
      </c>
      <c r="Q552" s="534" t="str">
        <f>AA16</f>
        <v>Promoción del cultivo de especies nativas</v>
      </c>
      <c r="R552" s="534" t="s">
        <v>917</v>
      </c>
      <c r="S552" s="546" t="s">
        <v>492</v>
      </c>
      <c r="T552" s="519" t="str">
        <f>Z16</f>
        <v>SBRN8</v>
      </c>
      <c r="U552" s="631"/>
      <c r="V552" s="842"/>
      <c r="W552" s="842"/>
      <c r="X552" s="503"/>
      <c r="Y552" s="562"/>
      <c r="Z552" s="825"/>
      <c r="AA552" s="825"/>
      <c r="AB552" s="825"/>
      <c r="AC552" s="825"/>
      <c r="AD552" s="825"/>
      <c r="AE552" s="825"/>
      <c r="AF552" s="825"/>
      <c r="AG552" s="825"/>
      <c r="AH552" s="825"/>
      <c r="AI552" s="825"/>
      <c r="AJ552" s="825"/>
      <c r="AK552" s="825"/>
      <c r="AL552" s="825"/>
      <c r="AM552" s="825"/>
      <c r="AN552" s="825"/>
      <c r="AO552" s="825"/>
      <c r="AP552" s="825"/>
      <c r="AQ552" s="825"/>
      <c r="AR552" s="825"/>
      <c r="AS552" s="825"/>
      <c r="AT552" s="825"/>
      <c r="AU552" s="825"/>
      <c r="AV552" s="825"/>
      <c r="AW552" s="825"/>
      <c r="AX552" s="825"/>
      <c r="BA552" s="825"/>
      <c r="BB552" s="825"/>
      <c r="BC552" s="825"/>
      <c r="BD552" s="825"/>
      <c r="BE552" s="825"/>
      <c r="BF552" s="825"/>
      <c r="BG552" s="825"/>
      <c r="BH552" s="825"/>
      <c r="BI552" s="825"/>
      <c r="BJ552" s="825"/>
      <c r="BK552" s="825"/>
      <c r="BL552" s="825"/>
      <c r="BM552" s="825"/>
      <c r="BN552" s="825"/>
      <c r="BO552" s="825"/>
      <c r="BP552" s="825"/>
      <c r="BQ552" s="825"/>
      <c r="BR552" s="825"/>
      <c r="BS552" s="825"/>
      <c r="BT552" s="825"/>
      <c r="BU552" s="825"/>
      <c r="BV552" s="825"/>
      <c r="BW552" s="825"/>
      <c r="BX552" s="825"/>
      <c r="BY552" s="825"/>
      <c r="BZ552" s="825"/>
      <c r="CA552" s="825"/>
      <c r="CB552" s="825"/>
      <c r="CC552" s="825"/>
    </row>
    <row r="553" spans="1:81" s="561" customFormat="1" ht="59.95" customHeight="1" x14ac:dyDescent="0.25">
      <c r="A553" s="273"/>
      <c r="B553" s="1623"/>
      <c r="C553" s="1627"/>
      <c r="D553" s="1611"/>
      <c r="E553" s="1611"/>
      <c r="F553" s="1544"/>
      <c r="G553" s="1544"/>
      <c r="H553" s="1544"/>
      <c r="I553" s="1544"/>
      <c r="J553" s="1544"/>
      <c r="K553" s="1544"/>
      <c r="L553" s="1544"/>
      <c r="M553" s="748" t="s">
        <v>489</v>
      </c>
      <c r="N553" s="730" t="s">
        <v>918</v>
      </c>
      <c r="O553" s="964" t="str">
        <f t="shared" si="13"/>
        <v>Género</v>
      </c>
      <c r="P553" s="546" t="str">
        <f>AC6</f>
        <v>GN</v>
      </c>
      <c r="Q553" s="534" t="str">
        <f>AJ10</f>
        <v>Programas de asistencia técnica y proyectos específicos para mujeres rurales y mujeres indígenas</v>
      </c>
      <c r="R553" s="534" t="s">
        <v>919</v>
      </c>
      <c r="S553" s="546" t="s">
        <v>507</v>
      </c>
      <c r="T553" s="519" t="str">
        <f>AI10</f>
        <v>SGN2</v>
      </c>
      <c r="U553" s="631"/>
      <c r="V553" s="842"/>
      <c r="W553" s="842"/>
      <c r="X553" s="503"/>
      <c r="Y553" s="562"/>
      <c r="Z553" s="825"/>
      <c r="AA553" s="825"/>
      <c r="AB553" s="825"/>
      <c r="AC553" s="825"/>
      <c r="AD553" s="825"/>
      <c r="AE553" s="825"/>
      <c r="AF553" s="825"/>
      <c r="AG553" s="825"/>
      <c r="AH553" s="825"/>
      <c r="AI553" s="825"/>
      <c r="AJ553" s="825"/>
      <c r="AK553" s="825"/>
      <c r="AL553" s="825"/>
      <c r="AM553" s="825"/>
      <c r="AN553" s="825"/>
      <c r="AO553" s="825"/>
      <c r="AP553" s="825"/>
      <c r="AQ553" s="825"/>
      <c r="AR553" s="825"/>
      <c r="AS553" s="825"/>
      <c r="AT553" s="825"/>
      <c r="AU553" s="825"/>
      <c r="AV553" s="825"/>
      <c r="AW553" s="825"/>
      <c r="AX553" s="825"/>
      <c r="AY553" s="273"/>
      <c r="AZ553" s="273"/>
      <c r="BA553" s="825"/>
      <c r="BB553" s="825"/>
      <c r="BC553" s="825"/>
      <c r="BD553" s="825"/>
      <c r="BE553" s="825"/>
      <c r="BF553" s="825"/>
      <c r="BG553" s="825"/>
      <c r="BH553" s="825"/>
      <c r="BI553" s="825"/>
      <c r="BJ553" s="825"/>
      <c r="BK553" s="825"/>
      <c r="BL553" s="825"/>
      <c r="BM553" s="825"/>
      <c r="BN553" s="825"/>
      <c r="BO553" s="825"/>
      <c r="BP553" s="825"/>
      <c r="BQ553" s="825"/>
      <c r="BR553" s="825"/>
      <c r="BS553" s="825"/>
      <c r="BT553" s="825"/>
      <c r="BU553" s="825"/>
      <c r="BV553" s="825"/>
      <c r="BW553" s="825"/>
      <c r="BX553" s="825"/>
      <c r="BY553" s="825"/>
      <c r="BZ553" s="825"/>
      <c r="CA553" s="825"/>
      <c r="CB553" s="825"/>
      <c r="CC553" s="825"/>
    </row>
    <row r="554" spans="1:81" s="575" customFormat="1" ht="64.55" customHeight="1" x14ac:dyDescent="0.25">
      <c r="A554" s="273"/>
      <c r="B554" s="1623"/>
      <c r="C554" s="1627"/>
      <c r="D554" s="1611"/>
      <c r="E554" s="1611"/>
      <c r="F554" s="1544"/>
      <c r="G554" s="1544"/>
      <c r="H554" s="1544"/>
      <c r="I554" s="1544"/>
      <c r="J554" s="1544"/>
      <c r="K554" s="1544"/>
      <c r="L554" s="1544"/>
      <c r="M554" s="739" t="s">
        <v>489</v>
      </c>
      <c r="N554" s="730" t="s">
        <v>920</v>
      </c>
      <c r="O554" s="964" t="str">
        <f t="shared" si="13"/>
        <v>Derechos de los pueblos indígenas</v>
      </c>
      <c r="P554" s="546" t="str">
        <f>Z6</f>
        <v>DPI</v>
      </c>
      <c r="Q554" s="534" t="str">
        <f>AD26</f>
        <v>Programas de asistencia técnica específicos para pueblos indígenas</v>
      </c>
      <c r="R554" s="534" t="s">
        <v>921</v>
      </c>
      <c r="S554" s="546" t="s">
        <v>507</v>
      </c>
      <c r="T554" s="519" t="str">
        <f>AC26</f>
        <v>SDPI18</v>
      </c>
      <c r="U554" s="631"/>
      <c r="V554" s="842"/>
      <c r="W554" s="842"/>
      <c r="X554" s="503"/>
      <c r="Y554" s="562"/>
      <c r="Z554" s="825"/>
      <c r="AA554" s="825"/>
      <c r="AB554" s="825"/>
      <c r="AC554" s="825"/>
      <c r="AD554" s="825"/>
      <c r="AE554" s="825"/>
      <c r="AF554" s="825"/>
      <c r="AG554" s="825"/>
      <c r="AH554" s="825"/>
      <c r="AI554" s="825"/>
      <c r="AJ554" s="825"/>
      <c r="AK554" s="825"/>
      <c r="AL554" s="825"/>
      <c r="AM554" s="825"/>
      <c r="AN554" s="825"/>
      <c r="AO554" s="825"/>
      <c r="AP554" s="825"/>
      <c r="AQ554" s="825"/>
      <c r="AR554" s="825"/>
      <c r="AS554" s="825"/>
      <c r="AT554" s="825"/>
      <c r="AU554" s="825"/>
      <c r="AV554" s="825"/>
      <c r="AW554" s="825"/>
      <c r="AX554" s="825"/>
      <c r="AY554" s="273"/>
      <c r="AZ554" s="273"/>
      <c r="BA554" s="825"/>
      <c r="BB554" s="825"/>
      <c r="BC554" s="825"/>
      <c r="BD554" s="825"/>
      <c r="BE554" s="825"/>
      <c r="BF554" s="825"/>
      <c r="BG554" s="825"/>
      <c r="BH554" s="825"/>
      <c r="BI554" s="825"/>
      <c r="BJ554" s="825"/>
      <c r="BK554" s="825"/>
      <c r="BL554" s="825"/>
      <c r="BM554" s="825"/>
      <c r="BN554" s="825"/>
      <c r="BO554" s="825"/>
      <c r="BP554" s="825"/>
      <c r="BQ554" s="825"/>
      <c r="BR554" s="825"/>
      <c r="BS554" s="825"/>
      <c r="BT554" s="825"/>
      <c r="BU554" s="825"/>
      <c r="BV554" s="825"/>
      <c r="BW554" s="825"/>
      <c r="BX554" s="825"/>
      <c r="BY554" s="825"/>
      <c r="BZ554" s="825"/>
      <c r="CA554" s="825"/>
      <c r="CB554" s="825"/>
      <c r="CC554" s="825"/>
    </row>
    <row r="555" spans="1:81" s="575" customFormat="1" ht="53.35" customHeight="1" x14ac:dyDescent="0.25">
      <c r="A555" s="273"/>
      <c r="B555" s="1623"/>
      <c r="C555" s="1627"/>
      <c r="D555" s="1611"/>
      <c r="E555" s="1611"/>
      <c r="F555" s="1544"/>
      <c r="G555" s="1544"/>
      <c r="H555" s="1544"/>
      <c r="I555" s="1544"/>
      <c r="J555" s="1544"/>
      <c r="K555" s="1544"/>
      <c r="L555" s="1544"/>
      <c r="M555" s="762" t="s">
        <v>489</v>
      </c>
      <c r="N555" s="730" t="s">
        <v>922</v>
      </c>
      <c r="O555" s="964" t="str">
        <f t="shared" si="13"/>
        <v>Corrupción</v>
      </c>
      <c r="P555" s="546" t="e">
        <f>#REF!</f>
        <v>#REF!</v>
      </c>
      <c r="Q555" s="534" t="str">
        <f>AG21</f>
        <v>Transparencia en el proceso de formulación y ejecución de proyectos productivos asociados a la ERDRBE</v>
      </c>
      <c r="R555" s="534" t="s">
        <v>687</v>
      </c>
      <c r="S555" s="546" t="s">
        <v>507</v>
      </c>
      <c r="T555" s="519" t="str">
        <f>AF21</f>
        <v>SCR13</v>
      </c>
      <c r="U555" s="631"/>
      <c r="V555" s="842"/>
      <c r="W555" s="842"/>
      <c r="X555" s="503"/>
      <c r="Y555" s="562"/>
      <c r="Z555" s="825"/>
      <c r="AA555" s="825"/>
      <c r="AB555" s="825"/>
      <c r="AC555" s="825"/>
      <c r="AD555" s="825"/>
      <c r="AE555" s="825"/>
      <c r="AF555" s="825"/>
      <c r="AG555" s="825"/>
      <c r="AH555" s="825"/>
      <c r="AI555" s="825"/>
      <c r="AJ555" s="825"/>
      <c r="AK555" s="825"/>
      <c r="AL555" s="825"/>
      <c r="AM555" s="825"/>
      <c r="AN555" s="825"/>
      <c r="AO555" s="825"/>
      <c r="AP555" s="825"/>
      <c r="AQ555" s="825"/>
      <c r="AR555" s="825"/>
      <c r="AS555" s="825"/>
      <c r="AT555" s="825"/>
      <c r="AU555" s="825"/>
      <c r="AV555" s="825"/>
      <c r="AW555" s="825"/>
      <c r="AX555" s="825"/>
      <c r="AY555" s="273"/>
      <c r="AZ555" s="273"/>
      <c r="BA555" s="825"/>
      <c r="BB555" s="825"/>
      <c r="BC555" s="825"/>
      <c r="BD555" s="825"/>
      <c r="BE555" s="825"/>
      <c r="BF555" s="825"/>
      <c r="BG555" s="825"/>
      <c r="BH555" s="825"/>
      <c r="BI555" s="825"/>
      <c r="BJ555" s="825"/>
      <c r="BK555" s="825"/>
      <c r="BL555" s="825"/>
      <c r="BM555" s="825"/>
      <c r="BN555" s="825"/>
      <c r="BO555" s="825"/>
      <c r="BP555" s="825"/>
      <c r="BQ555" s="825"/>
      <c r="BR555" s="825"/>
      <c r="BS555" s="825"/>
      <c r="BT555" s="825"/>
      <c r="BU555" s="825"/>
      <c r="BV555" s="825"/>
      <c r="BW555" s="825"/>
      <c r="BX555" s="825"/>
      <c r="BY555" s="825"/>
      <c r="BZ555" s="825"/>
      <c r="CA555" s="825"/>
      <c r="CB555" s="825"/>
      <c r="CC555" s="825"/>
    </row>
    <row r="556" spans="1:81" ht="35.35" customHeight="1" x14ac:dyDescent="0.25">
      <c r="A556" s="273"/>
      <c r="B556" s="1623" t="s">
        <v>903</v>
      </c>
      <c r="C556" s="1626">
        <f>'8. BASE  CONSOLIDADA'!E273</f>
        <v>4</v>
      </c>
      <c r="D556" s="1611" t="str">
        <f>'8. BASE  CONSOLIDADA'!F273</f>
        <v>Aprovechamiento del recurso forestal maderable, provenientes de sistemas agroforestales sostenibles.</v>
      </c>
      <c r="E556" s="1611" t="str">
        <f>'8. BASE  CONSOLIDADA'!G273</f>
        <v xml:space="preserve">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v>
      </c>
      <c r="F556" s="1546" t="str">
        <f>'8. BASE  CONSOLIDADA'!C273</f>
        <v>Intervenciones Transversales X Región</v>
      </c>
      <c r="G556" s="1546" t="str">
        <f>VLOOKUP($C556,'8. BASE  CONSOLIDADA'!$E$7:$AS$308,13,FALSE)</f>
        <v>Módulos implementados.</v>
      </c>
      <c r="H556" s="1546">
        <f>VLOOKUP($C556,'8. BASE  CONSOLIDADA'!$E$7:$AS$308,15,FALSE)</f>
        <v>10</v>
      </c>
      <c r="I556" s="1546">
        <f>VLOOKUP(C556,'8. BASE  CONSOLIDADA'!$E$7:$AS$308,20,FALSE)</f>
        <v>2000000</v>
      </c>
      <c r="J556" s="1546">
        <f>I556*$J$6</f>
        <v>1360</v>
      </c>
      <c r="K556" s="1546"/>
      <c r="L556" s="1546"/>
      <c r="M556" s="748" t="s">
        <v>489</v>
      </c>
      <c r="N556" s="730" t="s">
        <v>923</v>
      </c>
      <c r="O556" s="964" t="str">
        <f t="shared" si="13"/>
        <v>Género</v>
      </c>
      <c r="P556" s="546" t="str">
        <f>AC6</f>
        <v>GN</v>
      </c>
      <c r="Q556" s="534" t="str">
        <f>AJ11</f>
        <v xml:space="preserve">Cuotas de género y medición de participación efectiva de mujeres rurales </v>
      </c>
      <c r="R556" s="534" t="s">
        <v>689</v>
      </c>
      <c r="S556" s="546" t="s">
        <v>507</v>
      </c>
      <c r="T556" s="519" t="str">
        <f>AI11</f>
        <v>SGN3</v>
      </c>
      <c r="U556" s="631"/>
      <c r="V556" s="842"/>
      <c r="W556" s="842"/>
      <c r="X556" s="503"/>
      <c r="Y556" s="562"/>
      <c r="Z556" s="825"/>
      <c r="AA556" s="825"/>
      <c r="AB556" s="825"/>
      <c r="AC556" s="825"/>
      <c r="AD556" s="825"/>
      <c r="AE556" s="825"/>
      <c r="AF556" s="825"/>
      <c r="AG556" s="825"/>
      <c r="AH556" s="825"/>
      <c r="AI556" s="825"/>
      <c r="AJ556" s="825"/>
      <c r="AK556" s="825"/>
      <c r="AL556" s="825"/>
      <c r="AM556" s="825"/>
      <c r="AN556" s="825"/>
      <c r="AO556" s="825"/>
      <c r="AP556" s="825"/>
      <c r="AQ556" s="825"/>
      <c r="AR556" s="825"/>
      <c r="AS556" s="825"/>
      <c r="AT556" s="825"/>
      <c r="AU556" s="825"/>
      <c r="AV556" s="825"/>
      <c r="AW556" s="825"/>
      <c r="AX556" s="825"/>
      <c r="BA556" s="825"/>
      <c r="BB556" s="825"/>
      <c r="BC556" s="825"/>
      <c r="BD556" s="825"/>
      <c r="BE556" s="825"/>
      <c r="BF556" s="825"/>
      <c r="BG556" s="825"/>
      <c r="BH556" s="825"/>
      <c r="BI556" s="825"/>
      <c r="BJ556" s="825"/>
      <c r="BK556" s="825"/>
      <c r="BL556" s="825"/>
      <c r="BM556" s="825"/>
      <c r="BN556" s="825"/>
      <c r="BO556" s="825"/>
      <c r="BP556" s="825"/>
      <c r="BQ556" s="825"/>
      <c r="BR556" s="825"/>
      <c r="BS556" s="825"/>
      <c r="BT556" s="825"/>
      <c r="BU556" s="825"/>
      <c r="BV556" s="825"/>
      <c r="BW556" s="825"/>
      <c r="BX556" s="825"/>
      <c r="BY556" s="825"/>
      <c r="BZ556" s="825"/>
      <c r="CA556" s="825"/>
      <c r="CB556" s="825"/>
      <c r="CC556" s="825"/>
    </row>
    <row r="557" spans="1:81" s="575" customFormat="1" ht="26.35" customHeight="1" x14ac:dyDescent="0.25">
      <c r="A557" s="273"/>
      <c r="B557" s="1623"/>
      <c r="C557" s="1626"/>
      <c r="D557" s="1611"/>
      <c r="E557" s="1611"/>
      <c r="F557" s="1546"/>
      <c r="G557" s="1546"/>
      <c r="H557" s="1546"/>
      <c r="I557" s="1546"/>
      <c r="J557" s="1546"/>
      <c r="K557" s="1546"/>
      <c r="L557" s="1546"/>
      <c r="M557" s="739" t="s">
        <v>489</v>
      </c>
      <c r="N557" s="730" t="str">
        <f>N17</f>
        <v>Especies exóticas o invasoras en bosques colindantes</v>
      </c>
      <c r="O557" s="964" t="str">
        <f t="shared" ref="O557:O604" si="16">VLOOKUP(T557,$AY$9:$BA$81,3,FALSE)</f>
        <v>Biodiversidad y recursos naturales</v>
      </c>
      <c r="P557" s="546" t="e">
        <f>#REF!</f>
        <v>#REF!</v>
      </c>
      <c r="Q557" s="534" t="str">
        <f>AA16</f>
        <v>Promoción del cultivo de especies nativas</v>
      </c>
      <c r="R557" s="534" t="s">
        <v>917</v>
      </c>
      <c r="S557" s="546" t="s">
        <v>492</v>
      </c>
      <c r="T557" s="519" t="str">
        <f>Z16</f>
        <v>SBRN8</v>
      </c>
      <c r="U557" s="631"/>
      <c r="V557" s="842"/>
      <c r="W557" s="842"/>
      <c r="X557" s="503"/>
      <c r="Y557" s="562"/>
      <c r="Z557" s="825"/>
      <c r="AA557" s="825"/>
      <c r="AB557" s="825"/>
      <c r="AC557" s="825"/>
      <c r="AD557" s="825"/>
      <c r="AE557" s="825"/>
      <c r="AF557" s="825"/>
      <c r="AG557" s="825"/>
      <c r="AH557" s="825"/>
      <c r="AI557" s="825"/>
      <c r="AJ557" s="825"/>
      <c r="AK557" s="825"/>
      <c r="AL557" s="825"/>
      <c r="AM557" s="825"/>
      <c r="AN557" s="825"/>
      <c r="AO557" s="825"/>
      <c r="AP557" s="825"/>
      <c r="AQ557" s="825"/>
      <c r="AR557" s="825"/>
      <c r="AS557" s="825"/>
      <c r="AT557" s="825"/>
      <c r="AU557" s="825"/>
      <c r="AV557" s="825"/>
      <c r="AW557" s="825"/>
      <c r="AX557" s="825"/>
      <c r="AY557" s="273"/>
      <c r="AZ557" s="273"/>
      <c r="BA557" s="825"/>
      <c r="BB557" s="825"/>
      <c r="BC557" s="825"/>
      <c r="BD557" s="825"/>
      <c r="BE557" s="825"/>
      <c r="BF557" s="825"/>
      <c r="BG557" s="825"/>
      <c r="BH557" s="825"/>
      <c r="BI557" s="825"/>
      <c r="BJ557" s="825"/>
      <c r="BK557" s="825"/>
      <c r="BL557" s="825"/>
      <c r="BM557" s="825"/>
      <c r="BN557" s="825"/>
      <c r="BO557" s="825"/>
      <c r="BP557" s="825"/>
      <c r="BQ557" s="825"/>
      <c r="BR557" s="825"/>
      <c r="BS557" s="825"/>
      <c r="BT557" s="825"/>
      <c r="BU557" s="825"/>
      <c r="BV557" s="825"/>
      <c r="BW557" s="825"/>
      <c r="BX557" s="825"/>
      <c r="BY557" s="825"/>
      <c r="BZ557" s="825"/>
      <c r="CA557" s="825"/>
      <c r="CB557" s="825"/>
      <c r="CC557" s="825"/>
    </row>
    <row r="558" spans="1:81" s="575" customFormat="1" ht="41.3" customHeight="1" x14ac:dyDescent="0.25">
      <c r="A558" s="273"/>
      <c r="B558" s="1623"/>
      <c r="C558" s="1626"/>
      <c r="D558" s="1611"/>
      <c r="E558" s="1611"/>
      <c r="F558" s="1546"/>
      <c r="G558" s="1546"/>
      <c r="H558" s="1546"/>
      <c r="I558" s="1546"/>
      <c r="J558" s="1546"/>
      <c r="K558" s="1546"/>
      <c r="L558" s="1546"/>
      <c r="M558" s="762" t="s">
        <v>489</v>
      </c>
      <c r="N558" s="730" t="str">
        <f>N36</f>
        <v>Colución, Cohecho y negociación incompatible</v>
      </c>
      <c r="O558" s="964" t="str">
        <f t="shared" si="16"/>
        <v>Corrupción</v>
      </c>
      <c r="P558" s="546" t="e">
        <f>#REF!</f>
        <v>#REF!</v>
      </c>
      <c r="Q558" s="534" t="str">
        <f>AG10</f>
        <v>Transparencia en incentivos financieros y obras públicas vinculadas a la ERDRBE</v>
      </c>
      <c r="R558" s="534" t="s">
        <v>687</v>
      </c>
      <c r="S558" s="546" t="s">
        <v>507</v>
      </c>
      <c r="T558" s="519" t="str">
        <f>AF21</f>
        <v>SCR13</v>
      </c>
      <c r="U558" s="631"/>
      <c r="V558" s="842"/>
      <c r="W558" s="842"/>
      <c r="X558" s="503"/>
      <c r="Y558" s="562"/>
      <c r="Z558" s="825"/>
      <c r="AA558" s="825"/>
      <c r="AB558" s="825"/>
      <c r="AC558" s="825"/>
      <c r="AD558" s="825"/>
      <c r="AE558" s="825"/>
      <c r="AF558" s="825"/>
      <c r="AG558" s="825"/>
      <c r="AH558" s="825"/>
      <c r="AI558" s="825"/>
      <c r="AJ558" s="825"/>
      <c r="AK558" s="825"/>
      <c r="AL558" s="825"/>
      <c r="AM558" s="825"/>
      <c r="AN558" s="825"/>
      <c r="AO558" s="825"/>
      <c r="AP558" s="825"/>
      <c r="AQ558" s="825"/>
      <c r="AR558" s="825"/>
      <c r="AS558" s="825"/>
      <c r="AT558" s="825"/>
      <c r="AU558" s="825"/>
      <c r="AV558" s="825"/>
      <c r="AW558" s="825"/>
      <c r="AX558" s="825"/>
      <c r="AY558" s="273"/>
      <c r="AZ558" s="273"/>
      <c r="BA558" s="825"/>
      <c r="BB558" s="825"/>
      <c r="BC558" s="825"/>
      <c r="BD558" s="825"/>
      <c r="BE558" s="825"/>
      <c r="BF558" s="825"/>
      <c r="BG558" s="825"/>
      <c r="BH558" s="825"/>
      <c r="BI558" s="825"/>
      <c r="BJ558" s="825"/>
      <c r="BK558" s="825"/>
      <c r="BL558" s="825"/>
      <c r="BM558" s="825"/>
      <c r="BN558" s="825"/>
      <c r="BO558" s="825"/>
      <c r="BP558" s="825"/>
      <c r="BQ558" s="825"/>
      <c r="BR558" s="825"/>
      <c r="BS558" s="825"/>
      <c r="BT558" s="825"/>
      <c r="BU558" s="825"/>
      <c r="BV558" s="825"/>
      <c r="BW558" s="825"/>
      <c r="BX558" s="825"/>
      <c r="BY558" s="825"/>
      <c r="BZ558" s="825"/>
      <c r="CA558" s="825"/>
      <c r="CB558" s="825"/>
      <c r="CC558" s="825"/>
    </row>
    <row r="559" spans="1:81" s="575" customFormat="1" ht="56.25" customHeight="1" x14ac:dyDescent="0.25">
      <c r="A559" s="273"/>
      <c r="B559" s="1623"/>
      <c r="C559" s="1626"/>
      <c r="D559" s="1611"/>
      <c r="E559" s="1611"/>
      <c r="F559" s="1546"/>
      <c r="G559" s="1546"/>
      <c r="H559" s="1546"/>
      <c r="I559" s="1546"/>
      <c r="J559" s="1546"/>
      <c r="K559" s="1546"/>
      <c r="L559" s="1546"/>
      <c r="M559" s="762" t="s">
        <v>489</v>
      </c>
      <c r="N559" s="730" t="s">
        <v>924</v>
      </c>
      <c r="O559" s="964" t="str">
        <f t="shared" si="16"/>
        <v>Derechos de los pueblos indígenas</v>
      </c>
      <c r="P559" s="546" t="str">
        <f>Z6</f>
        <v>DPI</v>
      </c>
      <c r="Q559" s="534" t="str">
        <f>AD26</f>
        <v>Programas de asistencia técnica específicos para pueblos indígenas</v>
      </c>
      <c r="R559" s="534" t="s">
        <v>921</v>
      </c>
      <c r="S559" s="546" t="s">
        <v>507</v>
      </c>
      <c r="T559" s="519" t="str">
        <f>AC26</f>
        <v>SDPI18</v>
      </c>
      <c r="U559" s="631"/>
      <c r="V559" s="842"/>
      <c r="W559" s="842"/>
      <c r="X559" s="503"/>
      <c r="Y559" s="562"/>
      <c r="Z559" s="825"/>
      <c r="AA559" s="825"/>
      <c r="AB559" s="825"/>
      <c r="AC559" s="825"/>
      <c r="AD559" s="825"/>
      <c r="AE559" s="825"/>
      <c r="AF559" s="825"/>
      <c r="AG559" s="825"/>
      <c r="AH559" s="825"/>
      <c r="AI559" s="825"/>
      <c r="AJ559" s="825"/>
      <c r="AK559" s="825"/>
      <c r="AL559" s="825"/>
      <c r="AM559" s="825"/>
      <c r="AN559" s="825"/>
      <c r="AO559" s="825"/>
      <c r="AP559" s="825"/>
      <c r="AQ559" s="825"/>
      <c r="AR559" s="825"/>
      <c r="AS559" s="825"/>
      <c r="AT559" s="825"/>
      <c r="AU559" s="825"/>
      <c r="AV559" s="825"/>
      <c r="AW559" s="825"/>
      <c r="AX559" s="825"/>
      <c r="AY559" s="273"/>
      <c r="AZ559" s="273"/>
      <c r="BA559" s="825"/>
      <c r="BB559" s="825"/>
      <c r="BC559" s="825"/>
      <c r="BD559" s="825"/>
      <c r="BE559" s="825"/>
      <c r="BF559" s="825"/>
      <c r="BG559" s="825"/>
      <c r="BH559" s="825"/>
      <c r="BI559" s="825"/>
      <c r="BJ559" s="825"/>
      <c r="BK559" s="825"/>
      <c r="BL559" s="825"/>
      <c r="BM559" s="825"/>
      <c r="BN559" s="825"/>
      <c r="BO559" s="825"/>
      <c r="BP559" s="825"/>
      <c r="BQ559" s="825"/>
      <c r="BR559" s="825"/>
      <c r="BS559" s="825"/>
      <c r="BT559" s="825"/>
      <c r="BU559" s="825"/>
      <c r="BV559" s="825"/>
      <c r="BW559" s="825"/>
      <c r="BX559" s="825"/>
      <c r="BY559" s="825"/>
      <c r="BZ559" s="825"/>
      <c r="CA559" s="825"/>
      <c r="CB559" s="825"/>
      <c r="CC559" s="825"/>
    </row>
    <row r="560" spans="1:81" ht="52.5" customHeight="1" x14ac:dyDescent="0.25">
      <c r="A560" s="273"/>
      <c r="B560" s="1623" t="s">
        <v>903</v>
      </c>
      <c r="C560" s="1626">
        <f>'8. BASE  CONSOLIDADA'!E278</f>
        <v>9</v>
      </c>
      <c r="D560" s="1611" t="str">
        <f>'8. BASE  CONSOLIDADA'!F278</f>
        <v>Fortalecimiento de la equidad de género y poblaciones vulnerables</v>
      </c>
      <c r="E560" s="1611" t="str">
        <f>'8. BASE  CONSOLIDADA'!G278</f>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v>
      </c>
      <c r="F560" s="1547" t="str">
        <f>'8. BASE  CONSOLIDADA'!C278</f>
        <v>Intervenciones Transversales X Región</v>
      </c>
      <c r="G560" s="1547" t="str">
        <f>VLOOKUP($C560,'8. BASE  CONSOLIDADA'!$E$7:$AS$308,13,FALSE)</f>
        <v>Centros Informativos implementados</v>
      </c>
      <c r="H560" s="1547">
        <f>VLOOKUP($C560,'8. BASE  CONSOLIDADA'!$E$7:$AS$308,15,FALSE)</f>
        <v>50</v>
      </c>
      <c r="I560" s="1547">
        <f>VLOOKUP(C560,'8. BASE  CONSOLIDADA'!$E$7:$AS$308,20,FALSE)</f>
        <v>1250000</v>
      </c>
      <c r="J560" s="1547">
        <f>I560*$J$6</f>
        <v>850.00000000000011</v>
      </c>
      <c r="K560" s="1547"/>
      <c r="L560" s="1547"/>
      <c r="M560" s="762" t="s">
        <v>489</v>
      </c>
      <c r="N560" s="730" t="s">
        <v>925</v>
      </c>
      <c r="O560" s="964" t="str">
        <f t="shared" si="16"/>
        <v>Género</v>
      </c>
      <c r="P560" s="546" t="str">
        <f>AC6</f>
        <v>GN</v>
      </c>
      <c r="Q560" s="534" t="str">
        <f>AJ11</f>
        <v xml:space="preserve">Cuotas de género y medición de participación efectiva de mujeres rurales </v>
      </c>
      <c r="R560" s="534" t="s">
        <v>689</v>
      </c>
      <c r="S560" s="546" t="s">
        <v>507</v>
      </c>
      <c r="T560" s="519" t="str">
        <f>AI11</f>
        <v>SGN3</v>
      </c>
      <c r="U560" s="631"/>
      <c r="V560" s="842"/>
      <c r="W560" s="842"/>
      <c r="X560" s="503"/>
      <c r="Y560" s="562"/>
      <c r="Z560" s="825"/>
      <c r="AA560" s="825"/>
      <c r="AB560" s="825"/>
      <c r="AC560" s="825"/>
      <c r="AD560" s="825"/>
      <c r="AE560" s="825"/>
      <c r="AF560" s="825"/>
      <c r="AG560" s="825"/>
      <c r="AH560" s="825"/>
      <c r="AI560" s="825"/>
      <c r="AJ560" s="825"/>
      <c r="AK560" s="825"/>
      <c r="AL560" s="825"/>
      <c r="AM560" s="825"/>
      <c r="AN560" s="825"/>
      <c r="AO560" s="825"/>
      <c r="AP560" s="825"/>
      <c r="AQ560" s="825"/>
      <c r="AR560" s="825"/>
      <c r="AS560" s="825"/>
      <c r="AT560" s="825"/>
      <c r="AU560" s="825"/>
      <c r="AV560" s="825"/>
      <c r="AW560" s="825"/>
      <c r="AX560" s="825"/>
      <c r="BA560" s="825"/>
      <c r="BB560" s="825"/>
      <c r="BC560" s="825"/>
      <c r="BD560" s="825"/>
      <c r="BE560" s="825"/>
      <c r="BF560" s="825"/>
      <c r="BG560" s="825"/>
      <c r="BH560" s="825"/>
      <c r="BI560" s="825"/>
      <c r="BJ560" s="825"/>
      <c r="BK560" s="825"/>
      <c r="BL560" s="825"/>
      <c r="BM560" s="825"/>
      <c r="BN560" s="825"/>
      <c r="BO560" s="825"/>
      <c r="BP560" s="825"/>
      <c r="BQ560" s="825"/>
      <c r="BR560" s="825"/>
      <c r="BS560" s="825"/>
      <c r="BT560" s="825"/>
      <c r="BU560" s="825"/>
      <c r="BV560" s="825"/>
      <c r="BW560" s="825"/>
      <c r="BX560" s="825"/>
      <c r="BY560" s="825"/>
      <c r="BZ560" s="825"/>
      <c r="CA560" s="825"/>
      <c r="CB560" s="825"/>
      <c r="CC560" s="825"/>
    </row>
    <row r="561" spans="1:81" s="596" customFormat="1" ht="52.5" customHeight="1" x14ac:dyDescent="0.25">
      <c r="A561" s="273"/>
      <c r="B561" s="1623"/>
      <c r="C561" s="1626"/>
      <c r="D561" s="1611"/>
      <c r="E561" s="1611"/>
      <c r="F561" s="1548"/>
      <c r="G561" s="1548"/>
      <c r="H561" s="1548"/>
      <c r="I561" s="1548"/>
      <c r="J561" s="1548"/>
      <c r="K561" s="1548"/>
      <c r="L561" s="1548"/>
      <c r="M561" s="762" t="s">
        <v>489</v>
      </c>
      <c r="N561" s="730" t="str">
        <f>N560</f>
        <v xml:space="preserve">Débil participación de mujeres </v>
      </c>
      <c r="O561" s="964" t="str">
        <f t="shared" si="16"/>
        <v>Género</v>
      </c>
      <c r="P561" s="546" t="str">
        <f>AC6</f>
        <v>GN</v>
      </c>
      <c r="Q561" s="534" t="str">
        <f>AJ10</f>
        <v>Programas de asistencia técnica y proyectos específicos para mujeres rurales y mujeres indígenas</v>
      </c>
      <c r="R561" s="534" t="s">
        <v>926</v>
      </c>
      <c r="S561" s="546" t="s">
        <v>507</v>
      </c>
      <c r="T561" s="519" t="str">
        <f>AI10</f>
        <v>SGN2</v>
      </c>
      <c r="U561" s="631"/>
      <c r="V561" s="842"/>
      <c r="W561" s="842"/>
      <c r="X561" s="503"/>
      <c r="Y561" s="562"/>
      <c r="Z561" s="825"/>
      <c r="AA561" s="825"/>
      <c r="AB561" s="825"/>
      <c r="AC561" s="825"/>
      <c r="AD561" s="825"/>
      <c r="AE561" s="825"/>
      <c r="AF561" s="825"/>
      <c r="AG561" s="825"/>
      <c r="AH561" s="825"/>
      <c r="AI561" s="825"/>
      <c r="AJ561" s="825"/>
      <c r="AK561" s="825"/>
      <c r="AL561" s="825"/>
      <c r="AM561" s="825"/>
      <c r="AN561" s="825"/>
      <c r="AO561" s="825"/>
      <c r="AP561" s="825"/>
      <c r="AQ561" s="825"/>
      <c r="AR561" s="825"/>
      <c r="AS561" s="825"/>
      <c r="AT561" s="825"/>
      <c r="AU561" s="825"/>
      <c r="AV561" s="825"/>
      <c r="AW561" s="825"/>
      <c r="AX561" s="825"/>
      <c r="AY561" s="273"/>
      <c r="AZ561" s="273"/>
      <c r="BA561" s="825"/>
      <c r="BB561" s="825"/>
      <c r="BC561" s="825"/>
      <c r="BD561" s="825"/>
      <c r="BE561" s="825"/>
      <c r="BF561" s="825"/>
      <c r="BG561" s="825"/>
      <c r="BH561" s="825"/>
      <c r="BI561" s="825"/>
      <c r="BJ561" s="825"/>
      <c r="BK561" s="825"/>
      <c r="BL561" s="825"/>
      <c r="BM561" s="825"/>
      <c r="BN561" s="825"/>
      <c r="BO561" s="825"/>
      <c r="BP561" s="825"/>
      <c r="BQ561" s="825"/>
      <c r="BR561" s="825"/>
      <c r="BS561" s="825"/>
      <c r="BT561" s="825"/>
      <c r="BU561" s="825"/>
      <c r="BV561" s="825"/>
      <c r="BW561" s="825"/>
      <c r="BX561" s="825"/>
      <c r="BY561" s="825"/>
      <c r="BZ561" s="825"/>
      <c r="CA561" s="825"/>
      <c r="CB561" s="825"/>
      <c r="CC561" s="825"/>
    </row>
    <row r="562" spans="1:81" s="596" customFormat="1" ht="52.5" customHeight="1" x14ac:dyDescent="0.25">
      <c r="A562" s="273"/>
      <c r="B562" s="1623"/>
      <c r="C562" s="1626"/>
      <c r="D562" s="1611"/>
      <c r="E562" s="1611"/>
      <c r="F562" s="1549"/>
      <c r="G562" s="1549"/>
      <c r="H562" s="1549"/>
      <c r="I562" s="1549"/>
      <c r="J562" s="1549"/>
      <c r="K562" s="1549"/>
      <c r="L562" s="1549"/>
      <c r="M562" s="762" t="s">
        <v>489</v>
      </c>
      <c r="N562" s="730" t="s">
        <v>927</v>
      </c>
      <c r="O562" s="964" t="str">
        <f t="shared" si="16"/>
        <v>Derechos de los pueblos indígenas</v>
      </c>
      <c r="P562" s="546" t="str">
        <f>Z6</f>
        <v>DPI</v>
      </c>
      <c r="Q562" s="534" t="str">
        <f>AD24</f>
        <v>Diseño de lineamientos para el desarrollo rural (productivo, manejo de bosques, entre otros) con enfoque intercultural</v>
      </c>
      <c r="R562" s="534" t="s">
        <v>928</v>
      </c>
      <c r="S562" s="546" t="s">
        <v>507</v>
      </c>
      <c r="T562" s="519" t="str">
        <f>AC24</f>
        <v>SDPI16</v>
      </c>
      <c r="U562" s="631"/>
      <c r="V562" s="842"/>
      <c r="W562" s="842"/>
      <c r="X562" s="503"/>
      <c r="Y562" s="562"/>
      <c r="Z562" s="825"/>
      <c r="AA562" s="825"/>
      <c r="AB562" s="825"/>
      <c r="AC562" s="825"/>
      <c r="AD562" s="825"/>
      <c r="AE562" s="825"/>
      <c r="AF562" s="825"/>
      <c r="AG562" s="825"/>
      <c r="AH562" s="825"/>
      <c r="AI562" s="825"/>
      <c r="AJ562" s="825"/>
      <c r="AK562" s="825"/>
      <c r="AL562" s="825"/>
      <c r="AM562" s="825"/>
      <c r="AN562" s="825"/>
      <c r="AO562" s="825"/>
      <c r="AP562" s="825"/>
      <c r="AQ562" s="825"/>
      <c r="AR562" s="825"/>
      <c r="AS562" s="825"/>
      <c r="AT562" s="825"/>
      <c r="AU562" s="825"/>
      <c r="AV562" s="825"/>
      <c r="AW562" s="825"/>
      <c r="AX562" s="825"/>
      <c r="AY562" s="273"/>
      <c r="AZ562" s="273"/>
      <c r="BA562" s="825"/>
      <c r="BB562" s="825"/>
      <c r="BC562" s="825"/>
      <c r="BD562" s="825"/>
      <c r="BE562" s="825"/>
      <c r="BF562" s="825"/>
      <c r="BG562" s="825"/>
      <c r="BH562" s="825"/>
      <c r="BI562" s="825"/>
      <c r="BJ562" s="825"/>
      <c r="BK562" s="825"/>
      <c r="BL562" s="825"/>
      <c r="BM562" s="825"/>
      <c r="BN562" s="825"/>
      <c r="BO562" s="825"/>
      <c r="BP562" s="825"/>
      <c r="BQ562" s="825"/>
      <c r="BR562" s="825"/>
      <c r="BS562" s="825"/>
      <c r="BT562" s="825"/>
      <c r="BU562" s="825"/>
      <c r="BV562" s="825"/>
      <c r="BW562" s="825"/>
      <c r="BX562" s="825"/>
      <c r="BY562" s="825"/>
      <c r="BZ562" s="825"/>
      <c r="CA562" s="825"/>
      <c r="CB562" s="825"/>
      <c r="CC562" s="825"/>
    </row>
    <row r="563" spans="1:81" ht="45" customHeight="1" x14ac:dyDescent="0.25">
      <c r="A563" s="273"/>
      <c r="B563" s="1623" t="s">
        <v>903</v>
      </c>
      <c r="C563" s="1627">
        <f>'8. BASE  CONSOLIDADA'!E279</f>
        <v>10</v>
      </c>
      <c r="D563" s="1611" t="str">
        <f>'8. BASE  CONSOLIDADA'!F279</f>
        <v>Programa de emprendimiento rural juvenil, para promover el empalme generacional.</v>
      </c>
      <c r="E563" s="1611" t="str">
        <f>'8. BASE  CONSOLIDADA'!G279</f>
        <v>Financiamiento de emprendimientos rurales juveniles para incentivar el empalme generacional y el empleo formal juvenil (incluye fondo de capital semilla para emprendimientos). Promover y financiar emprendimientos orientados a la reducción de emisiones.</v>
      </c>
      <c r="F563" s="1550" t="str">
        <f>'8. BASE  CONSOLIDADA'!C279</f>
        <v>Intervenciones Transversales X Región</v>
      </c>
      <c r="G563" s="1550" t="str">
        <f>VLOOKUP($C563,'8. BASE  CONSOLIDADA'!$E$7:$AS$308,13,FALSE)</f>
        <v>Planes de negocios</v>
      </c>
      <c r="H563" s="1550">
        <f>VLOOKUP($C563,'8. BASE  CONSOLIDADA'!$E$7:$AS$308,15,FALSE)</f>
        <v>250</v>
      </c>
      <c r="I563" s="1550">
        <f>VLOOKUP(C563,'8. BASE  CONSOLIDADA'!$E$7:$AS$308,20,FALSE)</f>
        <v>7500000</v>
      </c>
      <c r="J563" s="1550">
        <f>I563*$J$6</f>
        <v>5100</v>
      </c>
      <c r="K563" s="1550"/>
      <c r="L563" s="1550"/>
      <c r="M563" s="762" t="s">
        <v>489</v>
      </c>
      <c r="N563" s="730" t="str">
        <f>N560</f>
        <v xml:space="preserve">Débil participación de mujeres </v>
      </c>
      <c r="O563" s="964" t="str">
        <f t="shared" si="16"/>
        <v>Género</v>
      </c>
      <c r="P563" s="546" t="str">
        <f>AC6</f>
        <v>GN</v>
      </c>
      <c r="Q563" s="534" t="str">
        <f>AJ11</f>
        <v xml:space="preserve">Cuotas de género y medición de participación efectiva de mujeres rurales </v>
      </c>
      <c r="R563" s="534" t="s">
        <v>689</v>
      </c>
      <c r="S563" s="546" t="s">
        <v>507</v>
      </c>
      <c r="T563" s="519" t="str">
        <f>AI11</f>
        <v>SGN3</v>
      </c>
      <c r="U563" s="631"/>
      <c r="V563" s="842"/>
      <c r="W563" s="842"/>
      <c r="X563" s="503"/>
      <c r="Y563" s="562"/>
      <c r="Z563" s="825"/>
      <c r="AA563" s="825"/>
      <c r="AB563" s="825"/>
      <c r="AC563" s="825"/>
      <c r="AD563" s="825"/>
      <c r="AE563" s="825"/>
      <c r="AF563" s="825"/>
      <c r="AG563" s="825"/>
      <c r="AH563" s="825"/>
      <c r="AI563" s="825"/>
      <c r="AJ563" s="825"/>
      <c r="AK563" s="825"/>
      <c r="AL563" s="825"/>
      <c r="AM563" s="825"/>
      <c r="AN563" s="825"/>
      <c r="AO563" s="825"/>
      <c r="AP563" s="825"/>
      <c r="AQ563" s="825"/>
      <c r="AR563" s="825"/>
      <c r="AS563" s="825"/>
      <c r="AT563" s="825"/>
      <c r="AU563" s="825"/>
      <c r="AV563" s="825"/>
      <c r="AW563" s="825"/>
      <c r="AX563" s="825"/>
      <c r="BA563" s="825"/>
      <c r="BB563" s="825"/>
      <c r="BC563" s="825"/>
      <c r="BD563" s="825"/>
      <c r="BE563" s="825"/>
      <c r="BF563" s="825"/>
      <c r="BG563" s="825"/>
      <c r="BH563" s="825"/>
      <c r="BI563" s="825"/>
      <c r="BJ563" s="825"/>
      <c r="BK563" s="825"/>
      <c r="BL563" s="825"/>
      <c r="BM563" s="825"/>
      <c r="BN563" s="825"/>
      <c r="BO563" s="825"/>
      <c r="BP563" s="825"/>
      <c r="BQ563" s="825"/>
      <c r="BR563" s="825"/>
      <c r="BS563" s="825"/>
      <c r="BT563" s="825"/>
      <c r="BU563" s="825"/>
      <c r="BV563" s="825"/>
      <c r="BW563" s="825"/>
      <c r="BX563" s="825"/>
      <c r="BY563" s="825"/>
      <c r="BZ563" s="825"/>
      <c r="CA563" s="825"/>
      <c r="CB563" s="825"/>
      <c r="CC563" s="825"/>
    </row>
    <row r="564" spans="1:81" s="596" customFormat="1" ht="45" customHeight="1" x14ac:dyDescent="0.25">
      <c r="A564" s="273"/>
      <c r="B564" s="1623"/>
      <c r="C564" s="1627"/>
      <c r="D564" s="1611"/>
      <c r="E564" s="1611"/>
      <c r="F564" s="1550"/>
      <c r="G564" s="1550"/>
      <c r="H564" s="1550"/>
      <c r="I564" s="1550"/>
      <c r="J564" s="1550"/>
      <c r="K564" s="1550"/>
      <c r="L564" s="1550"/>
      <c r="M564" s="762" t="s">
        <v>489</v>
      </c>
      <c r="N564" s="730" t="str">
        <f>N560</f>
        <v xml:space="preserve">Débil participación de mujeres </v>
      </c>
      <c r="O564" s="964" t="str">
        <f t="shared" si="16"/>
        <v>Género</v>
      </c>
      <c r="P564" s="546" t="str">
        <f>AC6</f>
        <v>GN</v>
      </c>
      <c r="Q564" s="534" t="str">
        <f>AJ10</f>
        <v>Programas de asistencia técnica y proyectos específicos para mujeres rurales y mujeres indígenas</v>
      </c>
      <c r="R564" s="534" t="s">
        <v>926</v>
      </c>
      <c r="S564" s="546" t="s">
        <v>507</v>
      </c>
      <c r="T564" s="519" t="str">
        <f>AI10</f>
        <v>SGN2</v>
      </c>
      <c r="U564" s="631"/>
      <c r="V564" s="842"/>
      <c r="W564" s="842"/>
      <c r="X564" s="503"/>
      <c r="Y564" s="562"/>
      <c r="Z564" s="825"/>
      <c r="AA564" s="825"/>
      <c r="AB564" s="825"/>
      <c r="AC564" s="825"/>
      <c r="AD564" s="825"/>
      <c r="AE564" s="825"/>
      <c r="AF564" s="825"/>
      <c r="AG564" s="825"/>
      <c r="AH564" s="825"/>
      <c r="AI564" s="825"/>
      <c r="AJ564" s="825"/>
      <c r="AK564" s="825"/>
      <c r="AL564" s="825"/>
      <c r="AM564" s="825"/>
      <c r="AN564" s="825"/>
      <c r="AO564" s="825"/>
      <c r="AP564" s="825"/>
      <c r="AQ564" s="825"/>
      <c r="AR564" s="825"/>
      <c r="AS564" s="825"/>
      <c r="AT564" s="825"/>
      <c r="AU564" s="825"/>
      <c r="AV564" s="825"/>
      <c r="AW564" s="825"/>
      <c r="AX564" s="825"/>
      <c r="AY564" s="273"/>
      <c r="AZ564" s="273"/>
      <c r="BA564" s="825"/>
      <c r="BB564" s="825"/>
      <c r="BC564" s="825"/>
      <c r="BD564" s="825"/>
      <c r="BE564" s="825"/>
      <c r="BF564" s="825"/>
      <c r="BG564" s="825"/>
      <c r="BH564" s="825"/>
      <c r="BI564" s="825"/>
      <c r="BJ564" s="825"/>
      <c r="BK564" s="825"/>
      <c r="BL564" s="825"/>
      <c r="BM564" s="825"/>
      <c r="BN564" s="825"/>
      <c r="BO564" s="825"/>
      <c r="BP564" s="825"/>
      <c r="BQ564" s="825"/>
      <c r="BR564" s="825"/>
      <c r="BS564" s="825"/>
      <c r="BT564" s="825"/>
      <c r="BU564" s="825"/>
      <c r="BV564" s="825"/>
      <c r="BW564" s="825"/>
      <c r="BX564" s="825"/>
      <c r="BY564" s="825"/>
      <c r="BZ564" s="825"/>
      <c r="CA564" s="825"/>
      <c r="CB564" s="825"/>
      <c r="CC564" s="825"/>
    </row>
    <row r="565" spans="1:81" s="596" customFormat="1" ht="39.1" customHeight="1" x14ac:dyDescent="0.25">
      <c r="A565" s="273"/>
      <c r="B565" s="1623"/>
      <c r="C565" s="1627"/>
      <c r="D565" s="1611"/>
      <c r="E565" s="1611"/>
      <c r="F565" s="1550"/>
      <c r="G565" s="1550"/>
      <c r="H565" s="1550"/>
      <c r="I565" s="1550"/>
      <c r="J565" s="1550"/>
      <c r="K565" s="1550"/>
      <c r="L565" s="1550"/>
      <c r="M565" s="762" t="s">
        <v>489</v>
      </c>
      <c r="N565" s="730" t="str">
        <f>N562</f>
        <v>Diseño de programas no consideran enfoque intercultural</v>
      </c>
      <c r="O565" s="964" t="str">
        <f t="shared" si="16"/>
        <v>Derechos de los pueblos indígenas</v>
      </c>
      <c r="P565" s="546" t="str">
        <f>Z6</f>
        <v>DPI</v>
      </c>
      <c r="Q565" s="534" t="str">
        <f>AD24</f>
        <v>Diseño de lineamientos para el desarrollo rural (productivo, manejo de bosques, entre otros) con enfoque intercultural</v>
      </c>
      <c r="R565" s="534" t="s">
        <v>928</v>
      </c>
      <c r="S565" s="546" t="s">
        <v>507</v>
      </c>
      <c r="T565" s="519" t="str">
        <f>AC24</f>
        <v>SDPI16</v>
      </c>
      <c r="U565" s="631"/>
      <c r="V565" s="842"/>
      <c r="W565" s="842"/>
      <c r="X565" s="503"/>
      <c r="Y565" s="562"/>
      <c r="Z565" s="825"/>
      <c r="AA565" s="825"/>
      <c r="AB565" s="825"/>
      <c r="AC565" s="825"/>
      <c r="AD565" s="825"/>
      <c r="AE565" s="825"/>
      <c r="AF565" s="825"/>
      <c r="AG565" s="825"/>
      <c r="AH565" s="825"/>
      <c r="AI565" s="825"/>
      <c r="AJ565" s="825"/>
      <c r="AK565" s="825"/>
      <c r="AL565" s="825"/>
      <c r="AM565" s="825"/>
      <c r="AN565" s="825"/>
      <c r="AO565" s="825"/>
      <c r="AP565" s="825"/>
      <c r="AQ565" s="825"/>
      <c r="AR565" s="825"/>
      <c r="AS565" s="825"/>
      <c r="AT565" s="825"/>
      <c r="AU565" s="825"/>
      <c r="AV565" s="825"/>
      <c r="AW565" s="825"/>
      <c r="AX565" s="825"/>
      <c r="AY565" s="273"/>
      <c r="AZ565" s="273"/>
      <c r="BA565" s="825"/>
      <c r="BB565" s="825"/>
      <c r="BC565" s="825"/>
      <c r="BD565" s="825"/>
      <c r="BE565" s="825"/>
      <c r="BF565" s="825"/>
      <c r="BG565" s="825"/>
      <c r="BH565" s="825"/>
      <c r="BI565" s="825"/>
      <c r="BJ565" s="825"/>
      <c r="BK565" s="825"/>
      <c r="BL565" s="825"/>
      <c r="BM565" s="825"/>
      <c r="BN565" s="825"/>
      <c r="BO565" s="825"/>
      <c r="BP565" s="825"/>
      <c r="BQ565" s="825"/>
      <c r="BR565" s="825"/>
      <c r="BS565" s="825"/>
      <c r="BT565" s="825"/>
      <c r="BU565" s="825"/>
      <c r="BV565" s="825"/>
      <c r="BW565" s="825"/>
      <c r="BX565" s="825"/>
      <c r="BY565" s="825"/>
      <c r="BZ565" s="825"/>
      <c r="CA565" s="825"/>
      <c r="CB565" s="825"/>
      <c r="CC565" s="825"/>
    </row>
    <row r="566" spans="1:81" ht="83.25" customHeight="1" x14ac:dyDescent="0.25">
      <c r="A566" s="273"/>
      <c r="B566" s="1623" t="s">
        <v>903</v>
      </c>
      <c r="C566" s="1626">
        <f>'8. BASE  CONSOLIDADA'!E280</f>
        <v>11</v>
      </c>
      <c r="D566" s="1611" t="str">
        <f>'8. BASE  CONSOLIDADA'!F280</f>
        <v>Mejorar la competitividad de la oferta e identificación de la demanda turística.</v>
      </c>
      <c r="E566" s="1611" t="str">
        <f>'8. BASE  CONSOLIDADA'!G280</f>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
El programa debe regirse según las normas vigentes para  disminuir la informalidad en el sector, así mismo lograr la satisfacción plena de los turistas que visitan la región.</v>
      </c>
      <c r="F566" s="1550" t="str">
        <f>'8. BASE  CONSOLIDADA'!C280</f>
        <v>Intervenciones Transversales X Región</v>
      </c>
      <c r="G566" s="1550" t="str">
        <f>VLOOKUP($C566,'8. BASE  CONSOLIDADA'!$E$7:$AS$308,13,FALSE)</f>
        <v>Programas  de capacitación</v>
      </c>
      <c r="H566" s="1550">
        <f>VLOOKUP($C566,'8. BASE  CONSOLIDADA'!$E$7:$AS$308,15,FALSE)</f>
        <v>50</v>
      </c>
      <c r="I566" s="1550">
        <f>VLOOKUP(C566,'8. BASE  CONSOLIDADA'!$E$7:$AS$308,20,FALSE)</f>
        <v>560000</v>
      </c>
      <c r="J566" s="1550">
        <f>I566*$J$6</f>
        <v>380.8</v>
      </c>
      <c r="K566" s="1550"/>
      <c r="L566" s="1550"/>
      <c r="M566" s="762" t="s">
        <v>489</v>
      </c>
      <c r="N566" s="730" t="str">
        <f>N560</f>
        <v xml:space="preserve">Débil participación de mujeres </v>
      </c>
      <c r="O566" s="964" t="str">
        <f t="shared" si="16"/>
        <v>Género</v>
      </c>
      <c r="P566" s="546" t="str">
        <f>AC6</f>
        <v>GN</v>
      </c>
      <c r="Q566" s="534" t="str">
        <f>AJ11</f>
        <v xml:space="preserve">Cuotas de género y medición de participación efectiva de mujeres rurales </v>
      </c>
      <c r="R566" s="534" t="s">
        <v>689</v>
      </c>
      <c r="S566" s="546" t="s">
        <v>507</v>
      </c>
      <c r="T566" s="519" t="str">
        <f>AI11</f>
        <v>SGN3</v>
      </c>
      <c r="U566" s="631"/>
      <c r="V566" s="842"/>
      <c r="W566" s="842"/>
      <c r="X566" s="503"/>
      <c r="Y566" s="562"/>
      <c r="Z566" s="825"/>
      <c r="AA566" s="825"/>
      <c r="AB566" s="825"/>
      <c r="AC566" s="825"/>
      <c r="AD566" s="825"/>
      <c r="AE566" s="825"/>
      <c r="AF566" s="825"/>
      <c r="AG566" s="825"/>
      <c r="AH566" s="825"/>
      <c r="AI566" s="825"/>
      <c r="AJ566" s="825"/>
      <c r="AK566" s="825"/>
      <c r="AL566" s="825"/>
      <c r="AM566" s="825"/>
      <c r="AN566" s="825"/>
      <c r="AO566" s="825"/>
      <c r="AP566" s="825"/>
      <c r="AQ566" s="825"/>
      <c r="AR566" s="825"/>
      <c r="AS566" s="825"/>
      <c r="AT566" s="825"/>
      <c r="AU566" s="825"/>
      <c r="AV566" s="825"/>
      <c r="AW566" s="825"/>
      <c r="AX566" s="825"/>
      <c r="BA566" s="825"/>
      <c r="BB566" s="825"/>
      <c r="BC566" s="825"/>
      <c r="BD566" s="825"/>
      <c r="BE566" s="825"/>
      <c r="BF566" s="825"/>
      <c r="BG566" s="825"/>
      <c r="BH566" s="825"/>
      <c r="BI566" s="825"/>
      <c r="BJ566" s="825"/>
      <c r="BK566" s="825"/>
      <c r="BL566" s="825"/>
      <c r="BM566" s="825"/>
      <c r="BN566" s="825"/>
      <c r="BO566" s="825"/>
      <c r="BP566" s="825"/>
      <c r="BQ566" s="825"/>
      <c r="BR566" s="825"/>
      <c r="BS566" s="825"/>
      <c r="BT566" s="825"/>
      <c r="BU566" s="825"/>
      <c r="BV566" s="825"/>
      <c r="BW566" s="825"/>
      <c r="BX566" s="825"/>
      <c r="BY566" s="825"/>
      <c r="BZ566" s="825"/>
      <c r="CA566" s="825"/>
      <c r="CB566" s="825"/>
      <c r="CC566" s="825"/>
    </row>
    <row r="567" spans="1:81" s="596" customFormat="1" ht="45.7" customHeight="1" x14ac:dyDescent="0.25">
      <c r="A567" s="273"/>
      <c r="B567" s="1623"/>
      <c r="C567" s="1626"/>
      <c r="D567" s="1611"/>
      <c r="E567" s="1611"/>
      <c r="F567" s="1550"/>
      <c r="G567" s="1550"/>
      <c r="H567" s="1550"/>
      <c r="I567" s="1550"/>
      <c r="J567" s="1550"/>
      <c r="K567" s="1550"/>
      <c r="L567" s="1550"/>
      <c r="M567" s="762" t="s">
        <v>489</v>
      </c>
      <c r="N567" s="730" t="str">
        <f>N560</f>
        <v xml:space="preserve">Débil participación de mujeres </v>
      </c>
      <c r="O567" s="964" t="str">
        <f t="shared" si="16"/>
        <v>Género</v>
      </c>
      <c r="P567" s="546" t="str">
        <f>AC6</f>
        <v>GN</v>
      </c>
      <c r="Q567" s="534" t="str">
        <f>AJ10</f>
        <v>Programas de asistencia técnica y proyectos específicos para mujeres rurales y mujeres indígenas</v>
      </c>
      <c r="R567" s="534" t="s">
        <v>926</v>
      </c>
      <c r="S567" s="546" t="s">
        <v>507</v>
      </c>
      <c r="T567" s="519" t="str">
        <f>AI10</f>
        <v>SGN2</v>
      </c>
      <c r="U567" s="634"/>
      <c r="V567" s="842"/>
      <c r="W567" s="842"/>
      <c r="X567" s="503"/>
      <c r="Y567" s="562"/>
      <c r="Z567" s="825"/>
      <c r="AA567" s="825"/>
      <c r="AB567" s="825"/>
      <c r="AC567" s="825"/>
      <c r="AD567" s="825"/>
      <c r="AE567" s="825"/>
      <c r="AF567" s="825"/>
      <c r="AG567" s="825"/>
      <c r="AH567" s="825"/>
      <c r="AI567" s="825"/>
      <c r="AJ567" s="825"/>
      <c r="AK567" s="825"/>
      <c r="AL567" s="825"/>
      <c r="AM567" s="825"/>
      <c r="AN567" s="825"/>
      <c r="AO567" s="825"/>
      <c r="AP567" s="825"/>
      <c r="AQ567" s="825"/>
      <c r="AR567" s="825"/>
      <c r="AS567" s="825"/>
      <c r="AT567" s="825"/>
      <c r="AU567" s="825"/>
      <c r="AV567" s="825"/>
      <c r="AW567" s="825"/>
      <c r="AX567" s="825"/>
      <c r="AY567" s="273"/>
      <c r="AZ567" s="273"/>
      <c r="BA567" s="825"/>
      <c r="BB567" s="825"/>
      <c r="BC567" s="825"/>
      <c r="BD567" s="825"/>
      <c r="BE567" s="825"/>
      <c r="BF567" s="825"/>
      <c r="BG567" s="825"/>
      <c r="BH567" s="825"/>
      <c r="BI567" s="825"/>
      <c r="BJ567" s="825"/>
      <c r="BK567" s="825"/>
      <c r="BL567" s="825"/>
      <c r="BM567" s="825"/>
      <c r="BN567" s="825"/>
      <c r="BO567" s="825"/>
      <c r="BP567" s="825"/>
      <c r="BQ567" s="825"/>
      <c r="BR567" s="825"/>
      <c r="BS567" s="825"/>
      <c r="BT567" s="825"/>
      <c r="BU567" s="825"/>
      <c r="BV567" s="825"/>
      <c r="BW567" s="825"/>
      <c r="BX567" s="825"/>
      <c r="BY567" s="825"/>
      <c r="BZ567" s="825"/>
      <c r="CA567" s="825"/>
      <c r="CB567" s="825"/>
      <c r="CC567" s="825"/>
    </row>
    <row r="568" spans="1:81" s="596" customFormat="1" ht="28.55" customHeight="1" x14ac:dyDescent="0.25">
      <c r="A568" s="273"/>
      <c r="B568" s="1623"/>
      <c r="C568" s="1626"/>
      <c r="D568" s="1611"/>
      <c r="E568" s="1611"/>
      <c r="F568" s="1550"/>
      <c r="G568" s="1550"/>
      <c r="H568" s="1550"/>
      <c r="I568" s="1550"/>
      <c r="J568" s="1550"/>
      <c r="K568" s="1550"/>
      <c r="L568" s="1550"/>
      <c r="M568" s="762" t="s">
        <v>489</v>
      </c>
      <c r="N568" s="730" t="str">
        <f>N562</f>
        <v>Diseño de programas no consideran enfoque intercultural</v>
      </c>
      <c r="O568" s="964" t="str">
        <f t="shared" si="16"/>
        <v>Derechos de los pueblos indígenas</v>
      </c>
      <c r="P568" s="546" t="str">
        <f>Z6</f>
        <v>DPI</v>
      </c>
      <c r="Q568" s="534" t="str">
        <f>AD24</f>
        <v>Diseño de lineamientos para el desarrollo rural (productivo, manejo de bosques, entre otros) con enfoque intercultural</v>
      </c>
      <c r="R568" s="534" t="s">
        <v>928</v>
      </c>
      <c r="S568" s="546" t="s">
        <v>507</v>
      </c>
      <c r="T568" s="519" t="str">
        <f>AC24</f>
        <v>SDPI16</v>
      </c>
      <c r="U568" s="634"/>
      <c r="V568" s="842"/>
      <c r="W568" s="842"/>
      <c r="X568" s="503"/>
      <c r="Y568" s="562"/>
      <c r="Z568" s="825"/>
      <c r="AA568" s="825"/>
      <c r="AB568" s="825"/>
      <c r="AC568" s="825"/>
      <c r="AD568" s="825"/>
      <c r="AE568" s="825"/>
      <c r="AF568" s="825"/>
      <c r="AG568" s="825"/>
      <c r="AH568" s="825"/>
      <c r="AI568" s="825"/>
      <c r="AJ568" s="825"/>
      <c r="AK568" s="825"/>
      <c r="AL568" s="825"/>
      <c r="AM568" s="825"/>
      <c r="AN568" s="825"/>
      <c r="AO568" s="825"/>
      <c r="AP568" s="825"/>
      <c r="AQ568" s="825"/>
      <c r="AR568" s="825"/>
      <c r="AS568" s="825"/>
      <c r="AT568" s="825"/>
      <c r="AU568" s="825"/>
      <c r="AV568" s="825"/>
      <c r="AW568" s="825"/>
      <c r="AX568" s="825"/>
      <c r="AY568" s="273"/>
      <c r="AZ568" s="273"/>
      <c r="BA568" s="825"/>
      <c r="BB568" s="825"/>
      <c r="BC568" s="825"/>
      <c r="BD568" s="825"/>
      <c r="BE568" s="825"/>
      <c r="BF568" s="825"/>
      <c r="BG568" s="825"/>
      <c r="BH568" s="825"/>
      <c r="BI568" s="825"/>
      <c r="BJ568" s="825"/>
      <c r="BK568" s="825"/>
      <c r="BL568" s="825"/>
      <c r="BM568" s="825"/>
      <c r="BN568" s="825"/>
      <c r="BO568" s="825"/>
      <c r="BP568" s="825"/>
      <c r="BQ568" s="825"/>
      <c r="BR568" s="825"/>
      <c r="BS568" s="825"/>
      <c r="BT568" s="825"/>
      <c r="BU568" s="825"/>
      <c r="BV568" s="825"/>
      <c r="BW568" s="825"/>
      <c r="BX568" s="825"/>
      <c r="BY568" s="825"/>
      <c r="BZ568" s="825"/>
      <c r="CA568" s="825"/>
      <c r="CB568" s="825"/>
      <c r="CC568" s="825"/>
    </row>
    <row r="569" spans="1:81" ht="45" customHeight="1" x14ac:dyDescent="0.25">
      <c r="A569" s="273"/>
      <c r="B569" s="1623" t="s">
        <v>903</v>
      </c>
      <c r="C569" s="1626">
        <f>'8. BASE  CONSOLIDADA'!E281</f>
        <v>12</v>
      </c>
      <c r="D569" s="1611" t="str">
        <f>'8. BASE  CONSOLIDADA'!F281</f>
        <v>Promoción de la planificación comunal en centros poblados.</v>
      </c>
      <c r="E569" s="1611" t="str">
        <f>'8. BASE  CONSOLIDADA'!G281</f>
        <v>Promover el desarrollo comunitario mediante la identificación y cuantificación de recursos disponibles en una determinada jurisdicción, promoviendo la participación activa de todos los actores clave y su articulación a los planes de desarrollo local.</v>
      </c>
      <c r="F569" s="1550" t="str">
        <f>'8. BASE  CONSOLIDADA'!C281</f>
        <v>Intervenciones Transversales X Región</v>
      </c>
      <c r="G569" s="1550" t="str">
        <f>VLOOKUP($C569,'8. BASE  CONSOLIDADA'!$E$7:$AS$308,13,FALSE)</f>
        <v>PDC</v>
      </c>
      <c r="H569" s="1550">
        <f>VLOOKUP($C569,'8. BASE  CONSOLIDADA'!$E$7:$AS$308,15,FALSE)</f>
        <v>100</v>
      </c>
      <c r="I569" s="1550">
        <f>VLOOKUP(C569,'8. BASE  CONSOLIDADA'!$E$7:$AS$308,20,FALSE)</f>
        <v>2000000</v>
      </c>
      <c r="J569" s="1550">
        <f>I569*$J$6</f>
        <v>1360</v>
      </c>
      <c r="K569" s="1550"/>
      <c r="L569" s="1550"/>
      <c r="M569" s="762" t="s">
        <v>489</v>
      </c>
      <c r="N569" s="730" t="str">
        <f>N560</f>
        <v xml:space="preserve">Débil participación de mujeres </v>
      </c>
      <c r="O569" s="964" t="str">
        <f t="shared" si="16"/>
        <v>Género</v>
      </c>
      <c r="P569" s="546" t="str">
        <f>AC6</f>
        <v>GN</v>
      </c>
      <c r="Q569" s="534" t="str">
        <f>AJ25</f>
        <v>Inclusión de mujeres rurales en la toma de decisiones</v>
      </c>
      <c r="R569" s="534" t="s">
        <v>689</v>
      </c>
      <c r="S569" s="546" t="s">
        <v>507</v>
      </c>
      <c r="T569" s="519" t="str">
        <f>AI25</f>
        <v>SGN17</v>
      </c>
      <c r="U569" s="634"/>
      <c r="V569" s="842"/>
      <c r="W569" s="842"/>
      <c r="X569" s="503"/>
      <c r="Y569" s="562"/>
      <c r="Z569" s="825"/>
      <c r="AA569" s="825"/>
      <c r="AB569" s="825"/>
      <c r="AC569" s="825"/>
      <c r="AD569" s="825"/>
      <c r="AE569" s="825"/>
      <c r="AF569" s="825"/>
      <c r="AG569" s="825"/>
      <c r="AH569" s="825"/>
      <c r="AI569" s="825"/>
      <c r="AJ569" s="825"/>
      <c r="AK569" s="825"/>
      <c r="AL569" s="825"/>
      <c r="AM569" s="825"/>
      <c r="AN569" s="825"/>
      <c r="AO569" s="825"/>
      <c r="AP569" s="825"/>
      <c r="AQ569" s="825"/>
      <c r="AR569" s="825"/>
      <c r="AS569" s="825"/>
      <c r="AT569" s="825"/>
      <c r="AU569" s="825"/>
      <c r="AV569" s="825"/>
      <c r="AW569" s="825"/>
      <c r="AX569" s="825"/>
      <c r="BA569" s="825"/>
      <c r="BB569" s="825"/>
      <c r="BC569" s="825"/>
      <c r="BD569" s="825"/>
      <c r="BE569" s="825"/>
      <c r="BF569" s="825"/>
      <c r="BG569" s="825"/>
      <c r="BH569" s="825"/>
      <c r="BI569" s="825"/>
      <c r="BJ569" s="825"/>
      <c r="BK569" s="825"/>
      <c r="BL569" s="825"/>
      <c r="BM569" s="825"/>
      <c r="BN569" s="825"/>
      <c r="BO569" s="825"/>
      <c r="BP569" s="825"/>
      <c r="BQ569" s="825"/>
      <c r="BR569" s="825"/>
      <c r="BS569" s="825"/>
      <c r="BT569" s="825"/>
      <c r="BU569" s="825"/>
      <c r="BV569" s="825"/>
      <c r="BW569" s="825"/>
      <c r="BX569" s="825"/>
      <c r="BY569" s="825"/>
      <c r="BZ569" s="825"/>
      <c r="CA569" s="825"/>
      <c r="CB569" s="825"/>
      <c r="CC569" s="825"/>
    </row>
    <row r="570" spans="1:81" s="596" customFormat="1" ht="35.35" customHeight="1" x14ac:dyDescent="0.25">
      <c r="A570" s="273"/>
      <c r="B570" s="1623"/>
      <c r="C570" s="1626"/>
      <c r="D570" s="1611"/>
      <c r="E570" s="1611"/>
      <c r="F570" s="1550"/>
      <c r="G570" s="1550"/>
      <c r="H570" s="1550"/>
      <c r="I570" s="1550"/>
      <c r="J570" s="1550"/>
      <c r="K570" s="1550"/>
      <c r="L570" s="1550"/>
      <c r="M570" s="762" t="s">
        <v>489</v>
      </c>
      <c r="N570" s="730" t="str">
        <f>N560</f>
        <v xml:space="preserve">Débil participación de mujeres </v>
      </c>
      <c r="O570" s="964" t="str">
        <f t="shared" si="16"/>
        <v>Género</v>
      </c>
      <c r="P570" s="546" t="str">
        <f>AC6</f>
        <v>GN</v>
      </c>
      <c r="Q570" s="534" t="str">
        <f>AJ20</f>
        <v>Diseño de mecanismos de participación apropiados para mujeres rurales</v>
      </c>
      <c r="R570" s="534" t="s">
        <v>929</v>
      </c>
      <c r="S570" s="546" t="s">
        <v>507</v>
      </c>
      <c r="T570" s="519" t="str">
        <f>AI20</f>
        <v>SGN12</v>
      </c>
      <c r="U570" s="634"/>
      <c r="V570" s="842"/>
      <c r="W570" s="842"/>
      <c r="X570" s="503"/>
      <c r="Y570" s="562"/>
      <c r="Z570" s="825"/>
      <c r="AA570" s="825"/>
      <c r="AB570" s="825"/>
      <c r="AC570" s="825"/>
      <c r="AD570" s="825"/>
      <c r="AE570" s="825"/>
      <c r="AF570" s="825"/>
      <c r="AG570" s="825"/>
      <c r="AH570" s="825"/>
      <c r="AI570" s="825"/>
      <c r="AJ570" s="825"/>
      <c r="AK570" s="825"/>
      <c r="AL570" s="825"/>
      <c r="AM570" s="825"/>
      <c r="AN570" s="825"/>
      <c r="AO570" s="825"/>
      <c r="AP570" s="825"/>
      <c r="AQ570" s="825"/>
      <c r="AR570" s="825"/>
      <c r="AS570" s="825"/>
      <c r="AT570" s="825"/>
      <c r="AU570" s="825"/>
      <c r="AV570" s="825"/>
      <c r="AW570" s="825"/>
      <c r="AX570" s="825"/>
      <c r="AY570" s="273"/>
      <c r="AZ570" s="273"/>
      <c r="BA570" s="825"/>
      <c r="BB570" s="825"/>
      <c r="BC570" s="825"/>
      <c r="BD570" s="825"/>
      <c r="BE570" s="825"/>
      <c r="BF570" s="825"/>
      <c r="BG570" s="825"/>
      <c r="BH570" s="825"/>
      <c r="BI570" s="825"/>
      <c r="BJ570" s="825"/>
      <c r="BK570" s="825"/>
      <c r="BL570" s="825"/>
      <c r="BM570" s="825"/>
      <c r="BN570" s="825"/>
      <c r="BO570" s="825"/>
      <c r="BP570" s="825"/>
      <c r="BQ570" s="825"/>
      <c r="BR570" s="825"/>
      <c r="BS570" s="825"/>
      <c r="BT570" s="825"/>
      <c r="BU570" s="825"/>
      <c r="BV570" s="825"/>
      <c r="BW570" s="825"/>
      <c r="BX570" s="825"/>
      <c r="BY570" s="825"/>
      <c r="BZ570" s="825"/>
      <c r="CA570" s="825"/>
      <c r="CB570" s="825"/>
      <c r="CC570" s="825"/>
    </row>
    <row r="571" spans="1:81" ht="49.6" customHeight="1" x14ac:dyDescent="0.25">
      <c r="A571" s="273"/>
      <c r="B571" s="1623" t="s">
        <v>903</v>
      </c>
      <c r="C571" s="1627">
        <f>'8. BASE  CONSOLIDADA'!E282</f>
        <v>13</v>
      </c>
      <c r="D571" s="1611" t="str">
        <f>'8. BASE  CONSOLIDADA'!F282</f>
        <v>Fortalecer los procesos de Investigación, innovación, y transferencia tecnológica para la producción baja en emisiones.</v>
      </c>
      <c r="E571" s="1611" t="str">
        <f>'8. BASE  CONSOLIDADA'!G282</f>
        <v xml:space="preserve">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v>
      </c>
      <c r="F571" s="1547" t="str">
        <f>'8. BASE  CONSOLIDADA'!C282</f>
        <v>Intervenciones Transversales X Región</v>
      </c>
      <c r="G571" s="1547" t="str">
        <f>VLOOKUP($C571,'8. BASE  CONSOLIDADA'!$E$7:$AS$308,13,FALSE)</f>
        <v>Nº de proyectos ejecutados alineados a las prioridades de investigación e innovación regionales</v>
      </c>
      <c r="H571" s="1547">
        <f>VLOOKUP($C571,'8. BASE  CONSOLIDADA'!$E$7:$AS$308,15,FALSE)</f>
        <v>10</v>
      </c>
      <c r="I571" s="1547">
        <f>VLOOKUP(C571,'8. BASE  CONSOLIDADA'!$E$7:$AS$308,20,FALSE)</f>
        <v>720000</v>
      </c>
      <c r="J571" s="1547">
        <f>I571*$J$6</f>
        <v>489.6</v>
      </c>
      <c r="K571" s="1547"/>
      <c r="L571" s="1547"/>
      <c r="M571" s="762" t="s">
        <v>489</v>
      </c>
      <c r="N571" s="730" t="str">
        <f>N560</f>
        <v xml:space="preserve">Débil participación de mujeres </v>
      </c>
      <c r="O571" s="964" t="str">
        <f t="shared" si="16"/>
        <v>Género</v>
      </c>
      <c r="P571" s="546" t="str">
        <f>AC6</f>
        <v>GN</v>
      </c>
      <c r="Q571" s="534" t="str">
        <f>AJ11</f>
        <v xml:space="preserve">Cuotas de género y medición de participación efectiva de mujeres rurales </v>
      </c>
      <c r="R571" s="534" t="s">
        <v>689</v>
      </c>
      <c r="S571" s="546" t="s">
        <v>507</v>
      </c>
      <c r="T571" s="519" t="str">
        <f>AI11</f>
        <v>SGN3</v>
      </c>
      <c r="U571" s="634"/>
      <c r="V571" s="842"/>
      <c r="W571" s="842"/>
      <c r="X571" s="503"/>
      <c r="Y571" s="562"/>
      <c r="Z571" s="825"/>
      <c r="AA571" s="825"/>
      <c r="AB571" s="825"/>
      <c r="AC571" s="825"/>
      <c r="AD571" s="825"/>
      <c r="AE571" s="825"/>
      <c r="AF571" s="825"/>
      <c r="AG571" s="825"/>
      <c r="AH571" s="825"/>
      <c r="AI571" s="825"/>
      <c r="AJ571" s="825"/>
      <c r="AK571" s="825"/>
      <c r="AL571" s="825"/>
      <c r="AM571" s="825"/>
      <c r="AN571" s="825"/>
      <c r="AO571" s="825"/>
      <c r="AP571" s="825"/>
      <c r="AQ571" s="825"/>
      <c r="AR571" s="825"/>
      <c r="AS571" s="825"/>
      <c r="AT571" s="825"/>
      <c r="AU571" s="825"/>
      <c r="AV571" s="825"/>
      <c r="AW571" s="825"/>
      <c r="AX571" s="825"/>
      <c r="BA571" s="825"/>
      <c r="BB571" s="825"/>
      <c r="BC571" s="825"/>
      <c r="BD571" s="825"/>
      <c r="BE571" s="825"/>
      <c r="BF571" s="825"/>
      <c r="BG571" s="825"/>
      <c r="BH571" s="825"/>
      <c r="BI571" s="825"/>
      <c r="BJ571" s="825"/>
      <c r="BK571" s="825"/>
      <c r="BL571" s="825"/>
      <c r="BM571" s="825"/>
      <c r="BN571" s="825"/>
      <c r="BO571" s="825"/>
      <c r="BP571" s="825"/>
      <c r="BQ571" s="825"/>
      <c r="BR571" s="825"/>
      <c r="BS571" s="825"/>
      <c r="BT571" s="825"/>
      <c r="BU571" s="825"/>
      <c r="BV571" s="825"/>
      <c r="BW571" s="825"/>
      <c r="BX571" s="825"/>
      <c r="BY571" s="825"/>
      <c r="BZ571" s="825"/>
      <c r="CA571" s="825"/>
      <c r="CB571" s="825"/>
      <c r="CC571" s="825"/>
    </row>
    <row r="572" spans="1:81" s="596" customFormat="1" ht="39.75" customHeight="1" x14ac:dyDescent="0.25">
      <c r="A572" s="273"/>
      <c r="B572" s="1623"/>
      <c r="C572" s="1627"/>
      <c r="D572" s="1611"/>
      <c r="E572" s="1611"/>
      <c r="F572" s="1548"/>
      <c r="G572" s="1548"/>
      <c r="H572" s="1548"/>
      <c r="I572" s="1548"/>
      <c r="J572" s="1548"/>
      <c r="K572" s="1548"/>
      <c r="L572" s="1548"/>
      <c r="M572" s="762" t="s">
        <v>489</v>
      </c>
      <c r="N572" s="730" t="str">
        <f>N560</f>
        <v xml:space="preserve">Débil participación de mujeres </v>
      </c>
      <c r="O572" s="964" t="str">
        <f t="shared" si="16"/>
        <v>Género</v>
      </c>
      <c r="P572" s="546" t="str">
        <f>AC6</f>
        <v>GN</v>
      </c>
      <c r="Q572" s="534" t="str">
        <f>AJ10</f>
        <v>Programas de asistencia técnica y proyectos específicos para mujeres rurales y mujeres indígenas</v>
      </c>
      <c r="R572" s="534" t="s">
        <v>926</v>
      </c>
      <c r="S572" s="546" t="s">
        <v>507</v>
      </c>
      <c r="T572" s="519" t="str">
        <f>AI10</f>
        <v>SGN2</v>
      </c>
      <c r="U572" s="634"/>
      <c r="V572" s="842"/>
      <c r="W572" s="842"/>
      <c r="X572" s="503"/>
      <c r="Y572" s="562"/>
      <c r="Z572" s="825"/>
      <c r="AA572" s="825"/>
      <c r="AB572" s="825"/>
      <c r="AC572" s="825"/>
      <c r="AD572" s="825"/>
      <c r="AE572" s="825"/>
      <c r="AF572" s="825"/>
      <c r="AG572" s="825"/>
      <c r="AH572" s="825"/>
      <c r="AI572" s="825"/>
      <c r="AJ572" s="825"/>
      <c r="AK572" s="825"/>
      <c r="AL572" s="825"/>
      <c r="AM572" s="825"/>
      <c r="AN572" s="825"/>
      <c r="AO572" s="825"/>
      <c r="AP572" s="825"/>
      <c r="AQ572" s="825"/>
      <c r="AR572" s="825"/>
      <c r="AS572" s="825"/>
      <c r="AT572" s="825"/>
      <c r="AU572" s="825"/>
      <c r="AV572" s="825"/>
      <c r="AW572" s="825"/>
      <c r="AX572" s="825"/>
      <c r="AY572" s="273"/>
      <c r="AZ572" s="273"/>
      <c r="BA572" s="825"/>
      <c r="BB572" s="825"/>
      <c r="BC572" s="825"/>
      <c r="BD572" s="825"/>
      <c r="BE572" s="825"/>
      <c r="BF572" s="825"/>
      <c r="BG572" s="825"/>
      <c r="BH572" s="825"/>
      <c r="BI572" s="825"/>
      <c r="BJ572" s="825"/>
      <c r="BK572" s="825"/>
      <c r="BL572" s="825"/>
      <c r="BM572" s="825"/>
      <c r="BN572" s="825"/>
      <c r="BO572" s="825"/>
      <c r="BP572" s="825"/>
      <c r="BQ572" s="825"/>
      <c r="BR572" s="825"/>
      <c r="BS572" s="825"/>
      <c r="BT572" s="825"/>
      <c r="BU572" s="825"/>
      <c r="BV572" s="825"/>
      <c r="BW572" s="825"/>
      <c r="BX572" s="825"/>
      <c r="BY572" s="825"/>
      <c r="BZ572" s="825"/>
      <c r="CA572" s="825"/>
      <c r="CB572" s="825"/>
      <c r="CC572" s="825"/>
    </row>
    <row r="573" spans="1:81" s="596" customFormat="1" ht="118.55" customHeight="1" x14ac:dyDescent="0.25">
      <c r="A573" s="273"/>
      <c r="B573" s="1623"/>
      <c r="C573" s="1627"/>
      <c r="D573" s="1611"/>
      <c r="E573" s="1611"/>
      <c r="F573" s="1549"/>
      <c r="G573" s="1549"/>
      <c r="H573" s="1549"/>
      <c r="I573" s="1549"/>
      <c r="J573" s="1549"/>
      <c r="K573" s="1549"/>
      <c r="L573" s="1549"/>
      <c r="M573" s="762" t="s">
        <v>489</v>
      </c>
      <c r="N573" s="730" t="s">
        <v>930</v>
      </c>
      <c r="O573" s="964" t="str">
        <f t="shared" si="16"/>
        <v>Derechos de los pueblos indígenas</v>
      </c>
      <c r="P573" s="546" t="str">
        <f>Z6</f>
        <v>DPI</v>
      </c>
      <c r="Q573" s="534" t="str">
        <f>AD24</f>
        <v>Diseño de lineamientos para el desarrollo rural (productivo, manejo de bosques, entre otros) con enfoque intercultural</v>
      </c>
      <c r="R573" s="534" t="s">
        <v>928</v>
      </c>
      <c r="S573" s="546" t="s">
        <v>507</v>
      </c>
      <c r="T573" s="519" t="str">
        <f>AC24</f>
        <v>SDPI16</v>
      </c>
      <c r="U573" s="634"/>
      <c r="V573" s="842"/>
      <c r="W573" s="842"/>
      <c r="X573" s="503"/>
      <c r="Y573" s="562"/>
      <c r="Z573" s="825"/>
      <c r="AA573" s="825"/>
      <c r="AB573" s="825"/>
      <c r="AC573" s="825"/>
      <c r="AD573" s="825"/>
      <c r="AE573" s="825"/>
      <c r="AF573" s="825"/>
      <c r="AG573" s="825"/>
      <c r="AH573" s="825"/>
      <c r="AI573" s="825"/>
      <c r="AJ573" s="825"/>
      <c r="AK573" s="825"/>
      <c r="AL573" s="825"/>
      <c r="AM573" s="825"/>
      <c r="AN573" s="825"/>
      <c r="AO573" s="825"/>
      <c r="AP573" s="825"/>
      <c r="AQ573" s="825"/>
      <c r="AR573" s="825"/>
      <c r="AS573" s="825"/>
      <c r="AT573" s="825"/>
      <c r="AU573" s="825"/>
      <c r="AV573" s="825"/>
      <c r="AW573" s="825"/>
      <c r="AX573" s="825"/>
      <c r="AY573" s="273"/>
      <c r="AZ573" s="273"/>
      <c r="BA573" s="825"/>
      <c r="BB573" s="825"/>
      <c r="BC573" s="825"/>
      <c r="BD573" s="825"/>
      <c r="BE573" s="825"/>
      <c r="BF573" s="825"/>
      <c r="BG573" s="825"/>
      <c r="BH573" s="825"/>
      <c r="BI573" s="825"/>
      <c r="BJ573" s="825"/>
      <c r="BK573" s="825"/>
      <c r="BL573" s="825"/>
      <c r="BM573" s="825"/>
      <c r="BN573" s="825"/>
      <c r="BO573" s="825"/>
      <c r="BP573" s="825"/>
      <c r="BQ573" s="825"/>
      <c r="BR573" s="825"/>
      <c r="BS573" s="825"/>
      <c r="BT573" s="825"/>
      <c r="BU573" s="825"/>
      <c r="BV573" s="825"/>
      <c r="BW573" s="825"/>
      <c r="BX573" s="825"/>
      <c r="BY573" s="825"/>
      <c r="BZ573" s="825"/>
      <c r="CA573" s="825"/>
      <c r="CB573" s="825"/>
      <c r="CC573" s="825"/>
    </row>
    <row r="574" spans="1:81" ht="44.35" customHeight="1" x14ac:dyDescent="0.25">
      <c r="A574" s="273"/>
      <c r="B574" s="1623" t="s">
        <v>903</v>
      </c>
      <c r="C574" s="1626">
        <f>'8. BASE  CONSOLIDADA'!E283</f>
        <v>14</v>
      </c>
      <c r="D574" s="1611" t="str">
        <f>'8. BASE  CONSOLIDADA'!F283</f>
        <v xml:space="preserve">
Promoción de emprendimientos agroindustriales de la pequeña empresa sobre la base de los productos del biocomercio </v>
      </c>
      <c r="E574" s="1611" t="str">
        <f>'8. BASE  CONSOLIDADA'!G283</f>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
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574" s="1545" t="str">
        <f>'8. BASE  CONSOLIDADA'!C283</f>
        <v>Intervenciones Transversales X Región</v>
      </c>
      <c r="G574" s="1545" t="str">
        <f>VLOOKUP($C574,'8. BASE  CONSOLIDADA'!$E$7:$AS$308,13,FALSE)</f>
        <v>Planes de negocios</v>
      </c>
      <c r="H574" s="1545">
        <f>VLOOKUP($C574,'8. BASE  CONSOLIDADA'!$E$7:$AS$308,15,FALSE)</f>
        <v>25</v>
      </c>
      <c r="I574" s="1545">
        <f>VLOOKUP(C574,'8. BASE  CONSOLIDADA'!$E$7:$AS$308,20,FALSE)</f>
        <v>2000000</v>
      </c>
      <c r="J574" s="1545">
        <f>I574*$J$6</f>
        <v>1360</v>
      </c>
      <c r="K574" s="1545"/>
      <c r="L574" s="1545"/>
      <c r="M574" s="762" t="s">
        <v>489</v>
      </c>
      <c r="N574" s="730" t="s">
        <v>931</v>
      </c>
      <c r="O574" s="964" t="str">
        <f t="shared" si="16"/>
        <v>Género</v>
      </c>
      <c r="P574" s="546" t="str">
        <f>AC6</f>
        <v>GN</v>
      </c>
      <c r="Q574" s="534" t="str">
        <f>AJ16</f>
        <v>Cuotas de género y medición de participación efectiva de mujeres indígenas</v>
      </c>
      <c r="R574" s="534" t="s">
        <v>689</v>
      </c>
      <c r="S574" s="546" t="s">
        <v>507</v>
      </c>
      <c r="T574" s="519" t="str">
        <f>AI16</f>
        <v>SGN8</v>
      </c>
      <c r="U574" s="631"/>
      <c r="V574" s="842"/>
      <c r="W574" s="842"/>
      <c r="X574" s="503"/>
      <c r="Y574" s="562"/>
      <c r="Z574" s="825"/>
      <c r="AA574" s="825"/>
      <c r="AB574" s="825"/>
      <c r="AC574" s="825"/>
      <c r="AD574" s="825"/>
      <c r="AE574" s="825"/>
      <c r="AF574" s="825"/>
      <c r="AG574" s="825"/>
      <c r="AH574" s="825"/>
      <c r="AI574" s="825"/>
      <c r="AJ574" s="825"/>
      <c r="AK574" s="825"/>
      <c r="AL574" s="825"/>
      <c r="AM574" s="825"/>
      <c r="AN574" s="825"/>
      <c r="AO574" s="825"/>
      <c r="AP574" s="825"/>
      <c r="AQ574" s="825"/>
      <c r="AR574" s="825"/>
      <c r="AS574" s="825"/>
      <c r="AT574" s="825"/>
      <c r="AU574" s="825"/>
      <c r="AV574" s="825"/>
      <c r="AW574" s="825"/>
      <c r="AX574" s="825"/>
      <c r="BA574" s="825"/>
      <c r="BB574" s="825"/>
      <c r="BC574" s="825"/>
      <c r="BD574" s="825"/>
      <c r="BE574" s="825"/>
      <c r="BF574" s="825"/>
      <c r="BG574" s="825"/>
      <c r="BH574" s="825"/>
      <c r="BI574" s="825"/>
      <c r="BJ574" s="825"/>
      <c r="BK574" s="825"/>
      <c r="BL574" s="825"/>
      <c r="BM574" s="825"/>
      <c r="BN574" s="825"/>
      <c r="BO574" s="825"/>
      <c r="BP574" s="825"/>
      <c r="BQ574" s="825"/>
      <c r="BR574" s="825"/>
      <c r="BS574" s="825"/>
      <c r="BT574" s="825"/>
      <c r="BU574" s="825"/>
      <c r="BV574" s="825"/>
      <c r="BW574" s="825"/>
      <c r="BX574" s="825"/>
      <c r="BY574" s="825"/>
      <c r="BZ574" s="825"/>
      <c r="CA574" s="825"/>
      <c r="CB574" s="825"/>
      <c r="CC574" s="825"/>
    </row>
    <row r="575" spans="1:81" s="596" customFormat="1" ht="59.95" customHeight="1" x14ac:dyDescent="0.25">
      <c r="A575" s="273"/>
      <c r="B575" s="1623"/>
      <c r="C575" s="1626"/>
      <c r="D575" s="1611"/>
      <c r="E575" s="1611"/>
      <c r="F575" s="1545"/>
      <c r="G575" s="1545"/>
      <c r="H575" s="1545"/>
      <c r="I575" s="1545"/>
      <c r="J575" s="1545"/>
      <c r="K575" s="1545"/>
      <c r="L575" s="1545"/>
      <c r="M575" s="762" t="s">
        <v>489</v>
      </c>
      <c r="N575" s="730" t="str">
        <f>N574</f>
        <v>Exclusión de mujeres rurales en programas de biocomercio</v>
      </c>
      <c r="O575" s="964" t="str">
        <f t="shared" si="16"/>
        <v>Género</v>
      </c>
      <c r="P575" s="546" t="str">
        <f>AC6</f>
        <v>GN</v>
      </c>
      <c r="Q575" s="534" t="str">
        <f>AJ10</f>
        <v>Programas de asistencia técnica y proyectos específicos para mujeres rurales y mujeres indígenas</v>
      </c>
      <c r="R575" s="534" t="s">
        <v>926</v>
      </c>
      <c r="S575" s="546" t="s">
        <v>492</v>
      </c>
      <c r="T575" s="519" t="str">
        <f>AI10</f>
        <v>SGN2</v>
      </c>
      <c r="U575" s="631"/>
      <c r="V575" s="842"/>
      <c r="W575" s="842"/>
      <c r="X575" s="503"/>
      <c r="Y575" s="562"/>
      <c r="Z575" s="825"/>
      <c r="AA575" s="825"/>
      <c r="AB575" s="825"/>
      <c r="AC575" s="825"/>
      <c r="AD575" s="825"/>
      <c r="AE575" s="825"/>
      <c r="AF575" s="825"/>
      <c r="AG575" s="825"/>
      <c r="AH575" s="825"/>
      <c r="AI575" s="825"/>
      <c r="AJ575" s="825"/>
      <c r="AK575" s="825"/>
      <c r="AL575" s="825"/>
      <c r="AM575" s="825"/>
      <c r="AN575" s="825"/>
      <c r="AO575" s="825"/>
      <c r="AP575" s="825"/>
      <c r="AQ575" s="825"/>
      <c r="AR575" s="825"/>
      <c r="AS575" s="825"/>
      <c r="AT575" s="825"/>
      <c r="AU575" s="825"/>
      <c r="AV575" s="825"/>
      <c r="AW575" s="825"/>
      <c r="AX575" s="825"/>
      <c r="AY575" s="273"/>
      <c r="AZ575" s="273"/>
      <c r="BA575" s="825"/>
      <c r="BB575" s="825"/>
      <c r="BC575" s="825"/>
      <c r="BD575" s="825"/>
      <c r="BE575" s="825"/>
      <c r="BF575" s="825"/>
      <c r="BG575" s="825"/>
      <c r="BH575" s="825"/>
      <c r="BI575" s="825"/>
      <c r="BJ575" s="825"/>
      <c r="BK575" s="825"/>
      <c r="BL575" s="825"/>
      <c r="BM575" s="825"/>
      <c r="BN575" s="825"/>
      <c r="BO575" s="825"/>
      <c r="BP575" s="825"/>
      <c r="BQ575" s="825"/>
      <c r="BR575" s="825"/>
      <c r="BS575" s="825"/>
      <c r="BT575" s="825"/>
      <c r="BU575" s="825"/>
      <c r="BV575" s="825"/>
      <c r="BW575" s="825"/>
      <c r="BX575" s="825"/>
      <c r="BY575" s="825"/>
      <c r="BZ575" s="825"/>
      <c r="CA575" s="825"/>
      <c r="CB575" s="825"/>
      <c r="CC575" s="825"/>
    </row>
    <row r="576" spans="1:81" s="575" customFormat="1" ht="41.95" customHeight="1" x14ac:dyDescent="0.25">
      <c r="A576" s="273"/>
      <c r="B576" s="1623"/>
      <c r="C576" s="1626"/>
      <c r="D576" s="1611"/>
      <c r="E576" s="1611"/>
      <c r="F576" s="1545"/>
      <c r="G576" s="1545"/>
      <c r="H576" s="1545"/>
      <c r="I576" s="1545"/>
      <c r="J576" s="1545"/>
      <c r="K576" s="1545"/>
      <c r="L576" s="1545"/>
      <c r="M576" s="762" t="s">
        <v>489</v>
      </c>
      <c r="N576" s="730" t="str">
        <f>N47</f>
        <v>Biopiratería de recursos genéticos y recursos biológicos en tierras de comunidades nativas</v>
      </c>
      <c r="O576" s="964" t="str">
        <f t="shared" si="16"/>
        <v>Derechos de los pueblos indígenas</v>
      </c>
      <c r="P576" s="546" t="str">
        <f>Z6</f>
        <v>DPI</v>
      </c>
      <c r="Q576" s="534" t="str">
        <f>AD18</f>
        <v>Fortalecimiento a comunidades nativas en procesos de negociación de bionegocios</v>
      </c>
      <c r="R576" s="534" t="s">
        <v>762</v>
      </c>
      <c r="S576" s="546" t="s">
        <v>507</v>
      </c>
      <c r="T576" s="519" t="str">
        <f>AC18</f>
        <v>SDPI10</v>
      </c>
      <c r="U576" s="631"/>
      <c r="V576" s="842"/>
      <c r="W576" s="842"/>
      <c r="X576" s="503"/>
      <c r="Y576" s="562"/>
      <c r="Z576" s="825"/>
      <c r="AA576" s="825"/>
      <c r="AB576" s="825"/>
      <c r="AC576" s="825"/>
      <c r="AD576" s="825"/>
      <c r="AE576" s="825"/>
      <c r="AF576" s="825"/>
      <c r="AG576" s="825"/>
      <c r="AH576" s="825"/>
      <c r="AI576" s="825"/>
      <c r="AJ576" s="825"/>
      <c r="AK576" s="825"/>
      <c r="AL576" s="825"/>
      <c r="AM576" s="825"/>
      <c r="AN576" s="825"/>
      <c r="AO576" s="825"/>
      <c r="AP576" s="825"/>
      <c r="AQ576" s="825"/>
      <c r="AR576" s="825"/>
      <c r="AS576" s="825"/>
      <c r="AT576" s="825"/>
      <c r="AU576" s="825"/>
      <c r="AV576" s="825"/>
      <c r="AW576" s="825"/>
      <c r="AX576" s="825"/>
      <c r="AY576" s="273"/>
      <c r="AZ576" s="273"/>
      <c r="BA576" s="825"/>
      <c r="BB576" s="825"/>
      <c r="BC576" s="825"/>
      <c r="BD576" s="825"/>
      <c r="BE576" s="825"/>
      <c r="BF576" s="825"/>
      <c r="BG576" s="825"/>
      <c r="BH576" s="825"/>
      <c r="BI576" s="825"/>
      <c r="BJ576" s="825"/>
      <c r="BK576" s="825"/>
      <c r="BL576" s="825"/>
      <c r="BM576" s="825"/>
      <c r="BN576" s="825"/>
      <c r="BO576" s="825"/>
      <c r="BP576" s="825"/>
      <c r="BQ576" s="825"/>
      <c r="BR576" s="825"/>
      <c r="BS576" s="825"/>
      <c r="BT576" s="825"/>
      <c r="BU576" s="825"/>
      <c r="BV576" s="825"/>
      <c r="BW576" s="825"/>
      <c r="BX576" s="825"/>
      <c r="BY576" s="825"/>
      <c r="BZ576" s="825"/>
      <c r="CA576" s="825"/>
      <c r="CB576" s="825"/>
      <c r="CC576" s="825"/>
    </row>
    <row r="577" spans="1:81" s="575" customFormat="1" ht="54.7" customHeight="1" x14ac:dyDescent="0.25">
      <c r="A577" s="273"/>
      <c r="B577" s="1623"/>
      <c r="C577" s="1626"/>
      <c r="D577" s="1611"/>
      <c r="E577" s="1611"/>
      <c r="F577" s="1545"/>
      <c r="G577" s="1545"/>
      <c r="H577" s="1545"/>
      <c r="I577" s="1545"/>
      <c r="J577" s="1545"/>
      <c r="K577" s="1545"/>
      <c r="L577" s="1545"/>
      <c r="M577" s="762" t="s">
        <v>489</v>
      </c>
      <c r="N577" s="730" t="str">
        <f>N49</f>
        <v>Apropiación ilícita de conocimientos tradicionales</v>
      </c>
      <c r="O577" s="964" t="str">
        <f t="shared" si="16"/>
        <v>Derechos de los pueblos indígenas</v>
      </c>
      <c r="P577" s="546" t="str">
        <f>Z6</f>
        <v>DPI</v>
      </c>
      <c r="Q577" s="534" t="str">
        <f>AD20</f>
        <v>Registro de conocimientos tradicionales en INDECOPI</v>
      </c>
      <c r="R577" s="534" t="s">
        <v>774</v>
      </c>
      <c r="S577" s="546" t="s">
        <v>526</v>
      </c>
      <c r="T577" s="519" t="str">
        <f>AC20</f>
        <v>SDPI12</v>
      </c>
      <c r="U577" s="631"/>
      <c r="V577" s="842"/>
      <c r="W577" s="842"/>
      <c r="X577" s="503"/>
      <c r="Y577" s="562"/>
      <c r="Z577" s="825"/>
      <c r="AA577" s="825"/>
      <c r="AB577" s="825"/>
      <c r="AC577" s="825"/>
      <c r="AD577" s="825"/>
      <c r="AE577" s="825"/>
      <c r="AF577" s="825"/>
      <c r="AG577" s="825"/>
      <c r="AH577" s="825"/>
      <c r="AI577" s="825"/>
      <c r="AJ577" s="825"/>
      <c r="AK577" s="825"/>
      <c r="AL577" s="825"/>
      <c r="AM577" s="825"/>
      <c r="AN577" s="825"/>
      <c r="AO577" s="825"/>
      <c r="AP577" s="825"/>
      <c r="AQ577" s="825"/>
      <c r="AR577" s="825"/>
      <c r="AS577" s="825"/>
      <c r="AT577" s="825"/>
      <c r="AU577" s="825"/>
      <c r="AV577" s="825"/>
      <c r="AW577" s="825"/>
      <c r="AX577" s="825"/>
      <c r="AY577" s="273"/>
      <c r="AZ577" s="273"/>
      <c r="BA577" s="825"/>
      <c r="BB577" s="825"/>
      <c r="BC577" s="825"/>
      <c r="BD577" s="825"/>
      <c r="BE577" s="825"/>
      <c r="BF577" s="825"/>
      <c r="BG577" s="825"/>
      <c r="BH577" s="825"/>
      <c r="BI577" s="825"/>
      <c r="BJ577" s="825"/>
      <c r="BK577" s="825"/>
      <c r="BL577" s="825"/>
      <c r="BM577" s="825"/>
      <c r="BN577" s="825"/>
      <c r="BO577" s="825"/>
      <c r="BP577" s="825"/>
      <c r="BQ577" s="825"/>
      <c r="BR577" s="825"/>
      <c r="BS577" s="825"/>
      <c r="BT577" s="825"/>
      <c r="BU577" s="825"/>
      <c r="BV577" s="825"/>
      <c r="BW577" s="825"/>
      <c r="BX577" s="825"/>
      <c r="BY577" s="825"/>
      <c r="BZ577" s="825"/>
      <c r="CA577" s="825"/>
      <c r="CB577" s="825"/>
      <c r="CC577" s="825"/>
    </row>
    <row r="578" spans="1:81" s="596" customFormat="1" ht="54.7" customHeight="1" x14ac:dyDescent="0.25">
      <c r="A578" s="273"/>
      <c r="B578" s="1623" t="s">
        <v>903</v>
      </c>
      <c r="C578" s="1626">
        <f>'8. BASE  CONSOLIDADA'!E284</f>
        <v>15</v>
      </c>
      <c r="D578" s="1611" t="str">
        <f>'8. BASE  CONSOLIDADA'!F284</f>
        <v>Promoción de productos derivados y gestión de calidad</v>
      </c>
      <c r="E578" s="1611" t="str">
        <f>'8. BASE  CONSOLIDADA'!G284</f>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v>
      </c>
      <c r="F578" s="1550" t="str">
        <f>'8. BASE  CONSOLIDADA'!C284</f>
        <v>Intervenciones Transversales X Región</v>
      </c>
      <c r="G578" s="1550" t="str">
        <f>VLOOKUP($C578,'8. BASE  CONSOLIDADA'!$E$7:$AS$308,13,FALSE)</f>
        <v>Empresas y organizaciones atendidas</v>
      </c>
      <c r="H578" s="1550">
        <f>VLOOKUP($C578,'8. BASE  CONSOLIDADA'!$E$7:$AS$308,15,FALSE)</f>
        <v>30</v>
      </c>
      <c r="I578" s="1550">
        <f>VLOOKUP(C578,'8. BASE  CONSOLIDADA'!$E$7:$AS$308,20,FALSE)</f>
        <v>6750000</v>
      </c>
      <c r="J578" s="1550">
        <f>I578*$J$6</f>
        <v>4590</v>
      </c>
      <c r="K578" s="1550"/>
      <c r="L578" s="1550"/>
      <c r="M578" s="762" t="s">
        <v>489</v>
      </c>
      <c r="N578" s="730" t="s">
        <v>932</v>
      </c>
      <c r="O578" s="964" t="str">
        <f t="shared" si="16"/>
        <v>Derechos de los pueblos indígenas</v>
      </c>
      <c r="P578" s="546" t="str">
        <f>Z6</f>
        <v>DPI</v>
      </c>
      <c r="Q578" s="534" t="str">
        <f>AD24</f>
        <v>Diseño de lineamientos para el desarrollo rural (productivo, manejo de bosques, entre otros) con enfoque intercultural</v>
      </c>
      <c r="R578" s="534" t="s">
        <v>933</v>
      </c>
      <c r="S578" s="546" t="s">
        <v>526</v>
      </c>
      <c r="T578" s="519" t="str">
        <f>AC24</f>
        <v>SDPI16</v>
      </c>
      <c r="U578" s="631"/>
      <c r="V578" s="842"/>
      <c r="W578" s="842"/>
      <c r="X578" s="503"/>
      <c r="Y578" s="562"/>
      <c r="Z578" s="825"/>
      <c r="AA578" s="825"/>
      <c r="AB578" s="825"/>
      <c r="AC578" s="825"/>
      <c r="AD578" s="825"/>
      <c r="AE578" s="825"/>
      <c r="AF578" s="825"/>
      <c r="AG578" s="825"/>
      <c r="AH578" s="825"/>
      <c r="AI578" s="825"/>
      <c r="AJ578" s="825"/>
      <c r="AK578" s="825"/>
      <c r="AL578" s="825"/>
      <c r="AM578" s="825"/>
      <c r="AN578" s="825"/>
      <c r="AO578" s="825"/>
      <c r="AP578" s="825"/>
      <c r="AQ578" s="825"/>
      <c r="AR578" s="825"/>
      <c r="AS578" s="825"/>
      <c r="AT578" s="825"/>
      <c r="AU578" s="825"/>
      <c r="AV578" s="825"/>
      <c r="AW578" s="825"/>
      <c r="AX578" s="825"/>
      <c r="AY578" s="273"/>
      <c r="AZ578" s="273"/>
      <c r="BA578" s="825"/>
      <c r="BB578" s="825"/>
      <c r="BC578" s="825"/>
      <c r="BD578" s="825"/>
      <c r="BE578" s="825"/>
      <c r="BF578" s="825"/>
      <c r="BG578" s="825"/>
      <c r="BH578" s="825"/>
      <c r="BI578" s="825"/>
      <c r="BJ578" s="825"/>
      <c r="BK578" s="825"/>
      <c r="BL578" s="825"/>
      <c r="BM578" s="825"/>
      <c r="BN578" s="825"/>
      <c r="BO578" s="825"/>
      <c r="BP578" s="825"/>
      <c r="BQ578" s="825"/>
      <c r="BR578" s="825"/>
      <c r="BS578" s="825"/>
      <c r="BT578" s="825"/>
      <c r="BU578" s="825"/>
      <c r="BV578" s="825"/>
      <c r="BW578" s="825"/>
      <c r="BX578" s="825"/>
      <c r="BY578" s="825"/>
      <c r="BZ578" s="825"/>
      <c r="CA578" s="825"/>
      <c r="CB578" s="825"/>
      <c r="CC578" s="825"/>
    </row>
    <row r="579" spans="1:81" s="596" customFormat="1" ht="54.7" customHeight="1" x14ac:dyDescent="0.25">
      <c r="A579" s="273"/>
      <c r="B579" s="1623"/>
      <c r="C579" s="1626"/>
      <c r="D579" s="1611"/>
      <c r="E579" s="1611"/>
      <c r="F579" s="1550"/>
      <c r="G579" s="1550"/>
      <c r="H579" s="1550"/>
      <c r="I579" s="1550"/>
      <c r="J579" s="1550"/>
      <c r="K579" s="1550"/>
      <c r="L579" s="1550"/>
      <c r="M579" s="762" t="s">
        <v>489</v>
      </c>
      <c r="N579" s="730" t="str">
        <f>N560</f>
        <v xml:space="preserve">Débil participación de mujeres </v>
      </c>
      <c r="O579" s="964" t="str">
        <f t="shared" si="16"/>
        <v>Género</v>
      </c>
      <c r="P579" s="546" t="str">
        <f>AC6</f>
        <v>GN</v>
      </c>
      <c r="Q579" s="534" t="str">
        <f>AJ10</f>
        <v>Programas de asistencia técnica y proyectos específicos para mujeres rurales y mujeres indígenas</v>
      </c>
      <c r="R579" s="534" t="s">
        <v>934</v>
      </c>
      <c r="S579" s="546" t="s">
        <v>526</v>
      </c>
      <c r="T579" s="519" t="str">
        <f>AI10</f>
        <v>SGN2</v>
      </c>
      <c r="U579" s="631"/>
      <c r="V579" s="842"/>
      <c r="W579" s="842"/>
      <c r="X579" s="503"/>
      <c r="Y579" s="562"/>
      <c r="Z579" s="825"/>
      <c r="AA579" s="825"/>
      <c r="AB579" s="825"/>
      <c r="AC579" s="825"/>
      <c r="AD579" s="825"/>
      <c r="AE579" s="825"/>
      <c r="AF579" s="825"/>
      <c r="AG579" s="825"/>
      <c r="AH579" s="825"/>
      <c r="AI579" s="825"/>
      <c r="AJ579" s="825"/>
      <c r="AK579" s="825"/>
      <c r="AL579" s="825"/>
      <c r="AM579" s="825"/>
      <c r="AN579" s="825"/>
      <c r="AO579" s="825"/>
      <c r="AP579" s="825"/>
      <c r="AQ579" s="825"/>
      <c r="AR579" s="825"/>
      <c r="AS579" s="825"/>
      <c r="AT579" s="825"/>
      <c r="AU579" s="825"/>
      <c r="AV579" s="825"/>
      <c r="AW579" s="825"/>
      <c r="AX579" s="825"/>
      <c r="AY579" s="273"/>
      <c r="AZ579" s="273"/>
      <c r="BA579" s="825"/>
      <c r="BB579" s="825"/>
      <c r="BC579" s="825"/>
      <c r="BD579" s="825"/>
      <c r="BE579" s="825"/>
      <c r="BF579" s="825"/>
      <c r="BG579" s="825"/>
      <c r="BH579" s="825"/>
      <c r="BI579" s="825"/>
      <c r="BJ579" s="825"/>
      <c r="BK579" s="825"/>
      <c r="BL579" s="825"/>
      <c r="BM579" s="825"/>
      <c r="BN579" s="825"/>
      <c r="BO579" s="825"/>
      <c r="BP579" s="825"/>
      <c r="BQ579" s="825"/>
      <c r="BR579" s="825"/>
      <c r="BS579" s="825"/>
      <c r="BT579" s="825"/>
      <c r="BU579" s="825"/>
      <c r="BV579" s="825"/>
      <c r="BW579" s="825"/>
      <c r="BX579" s="825"/>
      <c r="BY579" s="825"/>
      <c r="BZ579" s="825"/>
      <c r="CA579" s="825"/>
      <c r="CB579" s="825"/>
      <c r="CC579" s="825"/>
    </row>
    <row r="580" spans="1:81" ht="113.95" customHeight="1" x14ac:dyDescent="0.25">
      <c r="A580" s="273"/>
      <c r="B580" s="1623"/>
      <c r="C580" s="1626"/>
      <c r="D580" s="1611"/>
      <c r="E580" s="1611"/>
      <c r="F580" s="1550"/>
      <c r="G580" s="1550"/>
      <c r="H580" s="1550"/>
      <c r="I580" s="1550"/>
      <c r="J580" s="1550"/>
      <c r="K580" s="1550"/>
      <c r="L580" s="1550"/>
      <c r="M580" s="762" t="s">
        <v>489</v>
      </c>
      <c r="N580" s="730" t="str">
        <f>N560</f>
        <v xml:space="preserve">Débil participación de mujeres </v>
      </c>
      <c r="O580" s="964" t="str">
        <f t="shared" si="16"/>
        <v>Género</v>
      </c>
      <c r="P580" s="546" t="str">
        <f>AC6</f>
        <v>GN</v>
      </c>
      <c r="Q580" s="534" t="str">
        <f>AJ11</f>
        <v xml:space="preserve">Cuotas de género y medición de participación efectiva de mujeres rurales </v>
      </c>
      <c r="R580" s="534" t="s">
        <v>689</v>
      </c>
      <c r="S580" s="546" t="s">
        <v>507</v>
      </c>
      <c r="T580" s="519" t="str">
        <f>AI11</f>
        <v>SGN3</v>
      </c>
      <c r="U580" s="631"/>
      <c r="V580" s="842"/>
      <c r="W580" s="842"/>
      <c r="X580" s="503"/>
      <c r="Y580" s="562"/>
      <c r="Z580" s="825"/>
      <c r="AA580" s="825"/>
      <c r="AB580" s="825"/>
      <c r="AC580" s="825"/>
      <c r="AD580" s="825"/>
      <c r="AE580" s="825"/>
      <c r="AF580" s="825"/>
      <c r="AG580" s="825"/>
      <c r="AH580" s="825"/>
      <c r="AI580" s="825"/>
      <c r="AJ580" s="825"/>
      <c r="AK580" s="825"/>
      <c r="AL580" s="825"/>
      <c r="AM580" s="825"/>
      <c r="AN580" s="825"/>
      <c r="AO580" s="825"/>
      <c r="AP580" s="825"/>
      <c r="AQ580" s="825"/>
      <c r="AR580" s="825"/>
      <c r="AS580" s="825"/>
      <c r="AT580" s="825"/>
      <c r="AU580" s="825"/>
      <c r="AV580" s="825"/>
      <c r="AW580" s="825"/>
      <c r="AX580" s="825"/>
      <c r="BA580" s="825"/>
      <c r="BB580" s="825"/>
      <c r="BC580" s="825"/>
      <c r="BD580" s="825"/>
      <c r="BE580" s="825"/>
      <c r="BF580" s="825"/>
      <c r="BG580" s="825"/>
      <c r="BH580" s="825"/>
      <c r="BI580" s="825"/>
      <c r="BJ580" s="825"/>
      <c r="BK580" s="825"/>
      <c r="BL580" s="825"/>
      <c r="BM580" s="825"/>
      <c r="BN580" s="825"/>
      <c r="BO580" s="825"/>
      <c r="BP580" s="825"/>
      <c r="BQ580" s="825"/>
      <c r="BR580" s="825"/>
      <c r="BS580" s="825"/>
      <c r="BT580" s="825"/>
      <c r="BU580" s="825"/>
      <c r="BV580" s="825"/>
      <c r="BW580" s="825"/>
      <c r="BX580" s="825"/>
      <c r="BY580" s="825"/>
      <c r="BZ580" s="825"/>
      <c r="CA580" s="825"/>
      <c r="CB580" s="825"/>
      <c r="CC580" s="825"/>
    </row>
    <row r="581" spans="1:81" ht="52.5" customHeight="1" x14ac:dyDescent="0.25">
      <c r="A581" s="273"/>
      <c r="B581" s="1623" t="s">
        <v>903</v>
      </c>
      <c r="C581" s="1626">
        <f>'8. BASE  CONSOLIDADA'!E285</f>
        <v>16</v>
      </c>
      <c r="D581" s="1611" t="str">
        <f>'8. BASE  CONSOLIDADA'!F285</f>
        <v>Implementación del Sistema de formalización del uso de la tierra y Recursos Naturales.</v>
      </c>
      <c r="E581" s="1611" t="str">
        <f>'8. BASE  CONSOLIDADA'!G285</f>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v>
      </c>
      <c r="F581" s="1544" t="str">
        <f>'8. BASE  CONSOLIDADA'!C285</f>
        <v>Intervenciones Transversales X Región</v>
      </c>
      <c r="G581" s="1544" t="str">
        <f>VLOOKUP($C581,'8. BASE  CONSOLIDADA'!$E$7:$AS$308,13,FALSE)</f>
        <v>Títulos registrados</v>
      </c>
      <c r="H581" s="1544">
        <f>VLOOKUP($C581,'8. BASE  CONSOLIDADA'!$E$7:$AS$308,15,FALSE)</f>
        <v>1</v>
      </c>
      <c r="I581" s="1544">
        <f>VLOOKUP(C581,'8. BASE  CONSOLIDADA'!$E$7:$AS$308,20,FALSE)</f>
        <v>105000</v>
      </c>
      <c r="J581" s="1544">
        <f>I581*$J$6</f>
        <v>71.400000000000006</v>
      </c>
      <c r="K581" s="1544"/>
      <c r="L581" s="1544"/>
      <c r="M581" s="762" t="s">
        <v>489</v>
      </c>
      <c r="N581" s="730" t="str">
        <f>N13</f>
        <v xml:space="preserve">Tráfico de títulos de propiedad y contratos de cesión en uso </v>
      </c>
      <c r="O581" s="964" t="str">
        <f t="shared" si="16"/>
        <v>Corrupción</v>
      </c>
      <c r="P581" s="546" t="e">
        <f>#REF!</f>
        <v>#REF!</v>
      </c>
      <c r="Q581" s="534" t="str">
        <f>AG9</f>
        <v xml:space="preserve">Transparencia en procesos de formalización de la propiedad rural y cesión en uso </v>
      </c>
      <c r="R581" s="534" t="s">
        <v>566</v>
      </c>
      <c r="S581" s="546" t="s">
        <v>526</v>
      </c>
      <c r="T581" s="519" t="str">
        <f>AF9</f>
        <v>SCR1</v>
      </c>
      <c r="U581" s="631"/>
      <c r="V581" s="842"/>
      <c r="W581" s="842"/>
      <c r="X581" s="503"/>
      <c r="Y581" s="562"/>
      <c r="Z581" s="825"/>
      <c r="AA581" s="825"/>
      <c r="AB581" s="825"/>
      <c r="AC581" s="825"/>
      <c r="AD581" s="825"/>
      <c r="AE581" s="825"/>
      <c r="AF581" s="825"/>
      <c r="AG581" s="825"/>
      <c r="AH581" s="825"/>
      <c r="AI581" s="825"/>
      <c r="AJ581" s="825"/>
      <c r="AK581" s="825"/>
      <c r="AL581" s="825"/>
      <c r="AM581" s="825"/>
      <c r="AN581" s="825"/>
      <c r="AO581" s="825"/>
      <c r="AP581" s="825"/>
      <c r="AQ581" s="825"/>
      <c r="AR581" s="825"/>
      <c r="AS581" s="825"/>
      <c r="AT581" s="825"/>
      <c r="AU581" s="825"/>
      <c r="AV581" s="825"/>
      <c r="AW581" s="825"/>
      <c r="AX581" s="825"/>
      <c r="BA581" s="825"/>
      <c r="BB581" s="825"/>
      <c r="BC581" s="825"/>
      <c r="BD581" s="825"/>
      <c r="BE581" s="825"/>
      <c r="BF581" s="825"/>
      <c r="BG581" s="825"/>
      <c r="BH581" s="825"/>
      <c r="BI581" s="825"/>
      <c r="BJ581" s="825"/>
      <c r="BK581" s="825"/>
      <c r="BL581" s="825"/>
      <c r="BM581" s="825"/>
      <c r="BN581" s="825"/>
      <c r="BO581" s="825"/>
      <c r="BP581" s="825"/>
      <c r="BQ581" s="825"/>
      <c r="BR581" s="825"/>
      <c r="BS581" s="825"/>
      <c r="BT581" s="825"/>
      <c r="BU581" s="825"/>
      <c r="BV581" s="825"/>
      <c r="BW581" s="825"/>
      <c r="BX581" s="825"/>
      <c r="BY581" s="825"/>
      <c r="BZ581" s="825"/>
      <c r="CA581" s="825"/>
      <c r="CB581" s="825"/>
      <c r="CC581" s="825"/>
    </row>
    <row r="582" spans="1:81" s="575" customFormat="1" ht="52.5" customHeight="1" x14ac:dyDescent="0.25">
      <c r="A582" s="273"/>
      <c r="B582" s="1623"/>
      <c r="C582" s="1626"/>
      <c r="D582" s="1611"/>
      <c r="E582" s="1611"/>
      <c r="F582" s="1544"/>
      <c r="G582" s="1544"/>
      <c r="H582" s="1544"/>
      <c r="I582" s="1544"/>
      <c r="J582" s="1544"/>
      <c r="K582" s="1544"/>
      <c r="L582" s="1544"/>
      <c r="M582" s="762" t="s">
        <v>489</v>
      </c>
      <c r="N582" s="730" t="s">
        <v>935</v>
      </c>
      <c r="O582" s="964" t="str">
        <f t="shared" si="16"/>
        <v>Derechos de los pueblos indígenas</v>
      </c>
      <c r="P582" s="546" t="str">
        <f>Z6</f>
        <v>DPI</v>
      </c>
      <c r="Q582" s="534" t="str">
        <f>AD23</f>
        <v>Uso apropiado del lenguaje intercultural y respeto de usos y costumbres</v>
      </c>
      <c r="R582" s="534" t="s">
        <v>936</v>
      </c>
      <c r="S582" s="546" t="s">
        <v>526</v>
      </c>
      <c r="T582" s="519" t="str">
        <f>AC23</f>
        <v>SDPI15</v>
      </c>
      <c r="U582" s="631"/>
      <c r="V582" s="842"/>
      <c r="W582" s="842"/>
      <c r="X582" s="503"/>
      <c r="Y582" s="562"/>
      <c r="Z582" s="825"/>
      <c r="AA582" s="825"/>
      <c r="AB582" s="825"/>
      <c r="AC582" s="825"/>
      <c r="AD582" s="825"/>
      <c r="AE582" s="825"/>
      <c r="AF582" s="825"/>
      <c r="AG582" s="825"/>
      <c r="AH582" s="825"/>
      <c r="AI582" s="825"/>
      <c r="AJ582" s="825"/>
      <c r="AK582" s="825"/>
      <c r="AL582" s="825"/>
      <c r="AM582" s="825"/>
      <c r="AN582" s="825"/>
      <c r="AO582" s="825"/>
      <c r="AP582" s="825"/>
      <c r="AQ582" s="825"/>
      <c r="AR582" s="825"/>
      <c r="AS582" s="825"/>
      <c r="AT582" s="825"/>
      <c r="AU582" s="825"/>
      <c r="AV582" s="825"/>
      <c r="AW582" s="825"/>
      <c r="AX582" s="825"/>
      <c r="AY582" s="273"/>
      <c r="AZ582" s="273"/>
      <c r="BA582" s="825"/>
      <c r="BB582" s="825"/>
      <c r="BC582" s="825"/>
      <c r="BD582" s="825"/>
      <c r="BE582" s="825"/>
      <c r="BF582" s="825"/>
      <c r="BG582" s="825"/>
      <c r="BH582" s="825"/>
      <c r="BI582" s="825"/>
      <c r="BJ582" s="825"/>
      <c r="BK582" s="825"/>
      <c r="BL582" s="825"/>
      <c r="BM582" s="825"/>
      <c r="BN582" s="825"/>
      <c r="BO582" s="825"/>
      <c r="BP582" s="825"/>
      <c r="BQ582" s="825"/>
      <c r="BR582" s="825"/>
      <c r="BS582" s="825"/>
      <c r="BT582" s="825"/>
      <c r="BU582" s="825"/>
      <c r="BV582" s="825"/>
      <c r="BW582" s="825"/>
      <c r="BX582" s="825"/>
      <c r="BY582" s="825"/>
      <c r="BZ582" s="825"/>
      <c r="CA582" s="825"/>
      <c r="CB582" s="825"/>
      <c r="CC582" s="825"/>
    </row>
    <row r="583" spans="1:81" ht="30.1" customHeight="1" x14ac:dyDescent="0.25">
      <c r="A583" s="273"/>
      <c r="B583" s="1623" t="s">
        <v>903</v>
      </c>
      <c r="C583" s="1626">
        <f>'8. BASE  CONSOLIDADA'!E286</f>
        <v>17</v>
      </c>
      <c r="D583" s="1611" t="str">
        <f>'8. BASE  CONSOLIDADA'!F286</f>
        <v>Promover servicios de asesoramiento empresarial en inversiones y facilitación del crédito</v>
      </c>
      <c r="E583" s="1611" t="str">
        <f>'8. BASE  CONSOLIDADA'!G286</f>
        <v xml:space="preserve">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v>
      </c>
      <c r="F583" s="1550" t="str">
        <f>'8. BASE  CONSOLIDADA'!C286</f>
        <v>Intervenciones Transversales X Región</v>
      </c>
      <c r="G583" s="1550" t="str">
        <f>VLOOKUP($C583,'8. BASE  CONSOLIDADA'!$E$7:$AS$308,13,FALSE)</f>
        <v>Convocatorias / créditos</v>
      </c>
      <c r="H583" s="1550">
        <f>VLOOKUP($C583,'8. BASE  CONSOLIDADA'!$E$7:$AS$308,15,FALSE)</f>
        <v>5</v>
      </c>
      <c r="I583" s="1550">
        <f>VLOOKUP(C583,'8. BASE  CONSOLIDADA'!$E$7:$AS$308,20,FALSE)</f>
        <v>7500000</v>
      </c>
      <c r="J583" s="1550">
        <f>I583*$J$6</f>
        <v>5100</v>
      </c>
      <c r="K583" s="1550"/>
      <c r="L583" s="1550"/>
      <c r="M583" s="762" t="s">
        <v>489</v>
      </c>
      <c r="N583" s="730" t="str">
        <f>N560</f>
        <v xml:space="preserve">Débil participación de mujeres </v>
      </c>
      <c r="O583" s="964" t="str">
        <f t="shared" si="16"/>
        <v>Género</v>
      </c>
      <c r="P583" s="546" t="str">
        <f>AC6</f>
        <v>GN</v>
      </c>
      <c r="Q583" s="534" t="str">
        <f>AJ11</f>
        <v xml:space="preserve">Cuotas de género y medición de participación efectiva de mujeres rurales </v>
      </c>
      <c r="R583" s="534" t="s">
        <v>689</v>
      </c>
      <c r="S583" s="546" t="s">
        <v>507</v>
      </c>
      <c r="T583" s="519" t="str">
        <f>AI11</f>
        <v>SGN3</v>
      </c>
      <c r="U583" s="631"/>
      <c r="V583" s="842"/>
      <c r="W583" s="842"/>
      <c r="X583" s="503"/>
      <c r="Y583" s="562"/>
      <c r="Z583" s="825"/>
      <c r="AA583" s="825"/>
      <c r="AB583" s="825"/>
      <c r="AC583" s="825"/>
      <c r="AD583" s="825"/>
      <c r="AE583" s="825"/>
      <c r="AF583" s="825"/>
      <c r="AG583" s="825"/>
      <c r="AH583" s="825"/>
      <c r="AI583" s="825"/>
      <c r="AJ583" s="825"/>
      <c r="AK583" s="825"/>
      <c r="AL583" s="825"/>
      <c r="AM583" s="825"/>
      <c r="AN583" s="825"/>
      <c r="AO583" s="825"/>
      <c r="AP583" s="825"/>
      <c r="AQ583" s="825"/>
      <c r="AR583" s="825"/>
      <c r="AS583" s="825"/>
      <c r="AT583" s="825"/>
      <c r="AU583" s="825"/>
      <c r="AV583" s="825"/>
      <c r="AW583" s="825"/>
      <c r="AX583" s="825"/>
      <c r="BA583" s="825"/>
      <c r="BB583" s="825"/>
      <c r="BC583" s="825"/>
      <c r="BD583" s="825"/>
      <c r="BE583" s="825"/>
      <c r="BF583" s="825"/>
      <c r="BG583" s="825"/>
      <c r="BH583" s="825"/>
      <c r="BI583" s="825"/>
      <c r="BJ583" s="825"/>
      <c r="BK583" s="825"/>
      <c r="BL583" s="825"/>
      <c r="BM583" s="825"/>
      <c r="BN583" s="825"/>
      <c r="BO583" s="825"/>
      <c r="BP583" s="825"/>
      <c r="BQ583" s="825"/>
      <c r="BR583" s="825"/>
      <c r="BS583" s="825"/>
      <c r="BT583" s="825"/>
      <c r="BU583" s="825"/>
      <c r="BV583" s="825"/>
      <c r="BW583" s="825"/>
      <c r="BX583" s="825"/>
      <c r="BY583" s="825"/>
      <c r="BZ583" s="825"/>
      <c r="CA583" s="825"/>
      <c r="CB583" s="825"/>
      <c r="CC583" s="825"/>
    </row>
    <row r="584" spans="1:81" s="596" customFormat="1" ht="30.1" customHeight="1" x14ac:dyDescent="0.25">
      <c r="A584" s="273"/>
      <c r="B584" s="1623"/>
      <c r="C584" s="1626"/>
      <c r="D584" s="1611"/>
      <c r="E584" s="1611"/>
      <c r="F584" s="1550"/>
      <c r="G584" s="1550"/>
      <c r="H584" s="1550"/>
      <c r="I584" s="1550"/>
      <c r="J584" s="1550"/>
      <c r="K584" s="1550"/>
      <c r="L584" s="1550"/>
      <c r="M584" s="762" t="s">
        <v>489</v>
      </c>
      <c r="N584" s="730" t="str">
        <f>N560</f>
        <v xml:space="preserve">Débil participación de mujeres </v>
      </c>
      <c r="O584" s="964" t="str">
        <f t="shared" si="16"/>
        <v>Género</v>
      </c>
      <c r="P584" s="546" t="str">
        <f>AC6</f>
        <v>GN</v>
      </c>
      <c r="Q584" s="534" t="str">
        <f>AJ10</f>
        <v>Programas de asistencia técnica y proyectos específicos para mujeres rurales y mujeres indígenas</v>
      </c>
      <c r="R584" s="534" t="s">
        <v>937</v>
      </c>
      <c r="S584" s="546" t="s">
        <v>507</v>
      </c>
      <c r="T584" s="519" t="str">
        <f>AI10</f>
        <v>SGN2</v>
      </c>
      <c r="U584" s="631"/>
      <c r="V584" s="842"/>
      <c r="W584" s="842"/>
      <c r="X584" s="503"/>
      <c r="Y584" s="562"/>
      <c r="Z584" s="825"/>
      <c r="AA584" s="825"/>
      <c r="AB584" s="825"/>
      <c r="AC584" s="825"/>
      <c r="AD584" s="825"/>
      <c r="AE584" s="825"/>
      <c r="AF584" s="825"/>
      <c r="AG584" s="825"/>
      <c r="AH584" s="825"/>
      <c r="AI584" s="825"/>
      <c r="AJ584" s="825"/>
      <c r="AK584" s="825"/>
      <c r="AL584" s="825"/>
      <c r="AM584" s="825"/>
      <c r="AN584" s="825"/>
      <c r="AO584" s="825"/>
      <c r="AP584" s="825"/>
      <c r="AQ584" s="825"/>
      <c r="AR584" s="825"/>
      <c r="AS584" s="825"/>
      <c r="AT584" s="825"/>
      <c r="AU584" s="825"/>
      <c r="AV584" s="825"/>
      <c r="AW584" s="825"/>
      <c r="AX584" s="825"/>
      <c r="AY584" s="273"/>
      <c r="AZ584" s="273"/>
      <c r="BA584" s="825"/>
      <c r="BB584" s="825"/>
      <c r="BC584" s="825"/>
      <c r="BD584" s="825"/>
      <c r="BE584" s="825"/>
      <c r="BF584" s="825"/>
      <c r="BG584" s="825"/>
      <c r="BH584" s="825"/>
      <c r="BI584" s="825"/>
      <c r="BJ584" s="825"/>
      <c r="BK584" s="825"/>
      <c r="BL584" s="825"/>
      <c r="BM584" s="825"/>
      <c r="BN584" s="825"/>
      <c r="BO584" s="825"/>
      <c r="BP584" s="825"/>
      <c r="BQ584" s="825"/>
      <c r="BR584" s="825"/>
      <c r="BS584" s="825"/>
      <c r="BT584" s="825"/>
      <c r="BU584" s="825"/>
      <c r="BV584" s="825"/>
      <c r="BW584" s="825"/>
      <c r="BX584" s="825"/>
      <c r="BY584" s="825"/>
      <c r="BZ584" s="825"/>
      <c r="CA584" s="825"/>
      <c r="CB584" s="825"/>
      <c r="CC584" s="825"/>
    </row>
    <row r="585" spans="1:81" s="596" customFormat="1" ht="41.95" customHeight="1" x14ac:dyDescent="0.25">
      <c r="A585" s="273"/>
      <c r="B585" s="1623"/>
      <c r="C585" s="1626"/>
      <c r="D585" s="1611"/>
      <c r="E585" s="1611"/>
      <c r="F585" s="1550"/>
      <c r="G585" s="1550"/>
      <c r="H585" s="1550"/>
      <c r="I585" s="1550"/>
      <c r="J585" s="1550"/>
      <c r="K585" s="1550"/>
      <c r="L585" s="1550"/>
      <c r="M585" s="762" t="s">
        <v>489</v>
      </c>
      <c r="N585" s="730" t="s">
        <v>938</v>
      </c>
      <c r="O585" s="964" t="str">
        <f t="shared" si="16"/>
        <v>Derechos de los pueblos indígenas</v>
      </c>
      <c r="P585" s="546" t="str">
        <f>Z6</f>
        <v>DPI</v>
      </c>
      <c r="Q585" s="534" t="str">
        <f>AD24</f>
        <v>Diseño de lineamientos para el desarrollo rural (productivo, manejo de bosques, entre otros) con enfoque intercultural</v>
      </c>
      <c r="R585" s="534" t="s">
        <v>939</v>
      </c>
      <c r="S585" s="546" t="s">
        <v>507</v>
      </c>
      <c r="T585" s="519" t="str">
        <f>AC24</f>
        <v>SDPI16</v>
      </c>
      <c r="U585" s="631"/>
      <c r="V585" s="842"/>
      <c r="W585" s="842"/>
      <c r="X585" s="503"/>
      <c r="Y585" s="562"/>
      <c r="Z585" s="825"/>
      <c r="AA585" s="825"/>
      <c r="AB585" s="825"/>
      <c r="AC585" s="825"/>
      <c r="AD585" s="825"/>
      <c r="AE585" s="825"/>
      <c r="AF585" s="825"/>
      <c r="AG585" s="825"/>
      <c r="AH585" s="825"/>
      <c r="AI585" s="825"/>
      <c r="AJ585" s="825"/>
      <c r="AK585" s="825"/>
      <c r="AL585" s="825"/>
      <c r="AM585" s="825"/>
      <c r="AN585" s="825"/>
      <c r="AO585" s="825"/>
      <c r="AP585" s="825"/>
      <c r="AQ585" s="825"/>
      <c r="AR585" s="825"/>
      <c r="AS585" s="825"/>
      <c r="AT585" s="825"/>
      <c r="AU585" s="825"/>
      <c r="AV585" s="825"/>
      <c r="AW585" s="825"/>
      <c r="AX585" s="825"/>
      <c r="AY585" s="273"/>
      <c r="AZ585" s="273"/>
      <c r="BA585" s="825"/>
      <c r="BB585" s="825"/>
      <c r="BC585" s="825"/>
      <c r="BD585" s="825"/>
      <c r="BE585" s="825"/>
      <c r="BF585" s="825"/>
      <c r="BG585" s="825"/>
      <c r="BH585" s="825"/>
      <c r="BI585" s="825"/>
      <c r="BJ585" s="825"/>
      <c r="BK585" s="825"/>
      <c r="BL585" s="825"/>
      <c r="BM585" s="825"/>
      <c r="BN585" s="825"/>
      <c r="BO585" s="825"/>
      <c r="BP585" s="825"/>
      <c r="BQ585" s="825"/>
      <c r="BR585" s="825"/>
      <c r="BS585" s="825"/>
      <c r="BT585" s="825"/>
      <c r="BU585" s="825"/>
      <c r="BV585" s="825"/>
      <c r="BW585" s="825"/>
      <c r="BX585" s="825"/>
      <c r="BY585" s="825"/>
      <c r="BZ585" s="825"/>
      <c r="CA585" s="825"/>
      <c r="CB585" s="825"/>
      <c r="CC585" s="825"/>
    </row>
    <row r="586" spans="1:81" s="575" customFormat="1" ht="41.95" customHeight="1" x14ac:dyDescent="0.25">
      <c r="A586" s="273"/>
      <c r="B586" s="1623"/>
      <c r="C586" s="1626"/>
      <c r="D586" s="1611"/>
      <c r="E586" s="1611"/>
      <c r="F586" s="1550"/>
      <c r="G586" s="1550"/>
      <c r="H586" s="1550"/>
      <c r="I586" s="1550"/>
      <c r="J586" s="1550"/>
      <c r="K586" s="1550"/>
      <c r="L586" s="1550"/>
      <c r="M586" s="762" t="s">
        <v>489</v>
      </c>
      <c r="N586" s="730" t="s">
        <v>940</v>
      </c>
      <c r="O586" s="964" t="str">
        <f t="shared" si="16"/>
        <v>Corrupción</v>
      </c>
      <c r="P586" s="546" t="e">
        <f>#REF!</f>
        <v>#REF!</v>
      </c>
      <c r="Q586" s="534" t="str">
        <f>AG10</f>
        <v>Transparencia en incentivos financieros y obras públicas vinculadas a la ERDRBE</v>
      </c>
      <c r="R586" s="534" t="s">
        <v>687</v>
      </c>
      <c r="S586" s="546" t="s">
        <v>526</v>
      </c>
      <c r="T586" s="519" t="str">
        <f>AF9</f>
        <v>SCR1</v>
      </c>
      <c r="U586" s="631"/>
      <c r="V586" s="842"/>
      <c r="W586" s="842"/>
      <c r="X586" s="503"/>
      <c r="Y586" s="562"/>
      <c r="Z586" s="825"/>
      <c r="AA586" s="825"/>
      <c r="AB586" s="825"/>
      <c r="AC586" s="825"/>
      <c r="AD586" s="825"/>
      <c r="AE586" s="825"/>
      <c r="AF586" s="825"/>
      <c r="AG586" s="825"/>
      <c r="AH586" s="825"/>
      <c r="AI586" s="825"/>
      <c r="AJ586" s="825"/>
      <c r="AK586" s="825"/>
      <c r="AL586" s="825"/>
      <c r="AM586" s="825"/>
      <c r="AN586" s="825"/>
      <c r="AO586" s="825"/>
      <c r="AP586" s="825"/>
      <c r="AQ586" s="825"/>
      <c r="AR586" s="825"/>
      <c r="AS586" s="825"/>
      <c r="AT586" s="825"/>
      <c r="AU586" s="825"/>
      <c r="AV586" s="825"/>
      <c r="AW586" s="825"/>
      <c r="AX586" s="825"/>
      <c r="AY586" s="273"/>
      <c r="AZ586" s="273"/>
      <c r="BA586" s="825"/>
      <c r="BB586" s="825"/>
      <c r="BC586" s="825"/>
      <c r="BD586" s="825"/>
      <c r="BE586" s="825"/>
      <c r="BF586" s="825"/>
      <c r="BG586" s="825"/>
      <c r="BH586" s="825"/>
      <c r="BI586" s="825"/>
      <c r="BJ586" s="825"/>
      <c r="BK586" s="825"/>
      <c r="BL586" s="825"/>
      <c r="BM586" s="825"/>
      <c r="BN586" s="825"/>
      <c r="BO586" s="825"/>
      <c r="BP586" s="825"/>
      <c r="BQ586" s="825"/>
      <c r="BR586" s="825"/>
      <c r="BS586" s="825"/>
      <c r="BT586" s="825"/>
      <c r="BU586" s="825"/>
      <c r="BV586" s="825"/>
      <c r="BW586" s="825"/>
      <c r="BX586" s="825"/>
      <c r="BY586" s="825"/>
      <c r="BZ586" s="825"/>
      <c r="CA586" s="825"/>
      <c r="CB586" s="825"/>
      <c r="CC586" s="825"/>
    </row>
    <row r="587" spans="1:81" s="596" customFormat="1" ht="49.6" customHeight="1" x14ac:dyDescent="0.25">
      <c r="A587" s="273"/>
      <c r="B587" s="1623" t="s">
        <v>903</v>
      </c>
      <c r="C587" s="1626">
        <f>'8. BASE  CONSOLIDADA'!E287</f>
        <v>18</v>
      </c>
      <c r="D587" s="1611" t="str">
        <f>'8. BASE  CONSOLIDADA'!F287</f>
        <v>Diseño de productos financieros para la producción baja en emisiones</v>
      </c>
      <c r="E587" s="1611" t="str">
        <f>'8. BASE  CONSOLIDADA'!G287</f>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v>
      </c>
      <c r="F587" s="1550" t="str">
        <f>'8. BASE  CONSOLIDADA'!C287</f>
        <v>Intervenciones Transversales X Región</v>
      </c>
      <c r="G587" s="1550" t="str">
        <f>VLOOKUP($C587,'8. BASE  CONSOLIDADA'!$E$7:$AS$308,13,FALSE)</f>
        <v>Productos financieros específicos para cada cadena implementados</v>
      </c>
      <c r="H587" s="1550">
        <f>VLOOKUP($C587,'8. BASE  CONSOLIDADA'!$E$7:$AS$308,15,FALSE)</f>
        <v>10</v>
      </c>
      <c r="I587" s="1550">
        <f>VLOOKUP(C587,'8. BASE  CONSOLIDADA'!$E$7:$AS$308,20,FALSE)</f>
        <v>350000</v>
      </c>
      <c r="J587" s="1550">
        <f>I587*$J$6</f>
        <v>238.00000000000003</v>
      </c>
      <c r="K587" s="1550"/>
      <c r="L587" s="1550"/>
      <c r="M587" s="762" t="s">
        <v>489</v>
      </c>
      <c r="N587" s="730" t="s">
        <v>941</v>
      </c>
      <c r="O587" s="964" t="str">
        <f t="shared" si="16"/>
        <v>Biodiversidad y recursos naturales</v>
      </c>
      <c r="P587" s="546" t="e">
        <f>#REF!</f>
        <v>#REF!</v>
      </c>
      <c r="Q587" s="534" t="str">
        <f>AA18</f>
        <v>Elaboración, implementación y monitoreo de acuerdos de no ampliación de frontera agrícola y no deforestación de bosques primarios</v>
      </c>
      <c r="R587" s="534" t="s">
        <v>942</v>
      </c>
      <c r="S587" s="546" t="s">
        <v>526</v>
      </c>
      <c r="T587" s="519" t="str">
        <f>Z18</f>
        <v>SBRN10</v>
      </c>
      <c r="U587" s="631"/>
      <c r="V587" s="842"/>
      <c r="W587" s="842"/>
      <c r="X587" s="503"/>
      <c r="Y587" s="562"/>
      <c r="Z587" s="825"/>
      <c r="AA587" s="825"/>
      <c r="AB587" s="825"/>
      <c r="AC587" s="825"/>
      <c r="AD587" s="825"/>
      <c r="AE587" s="825"/>
      <c r="AF587" s="825"/>
      <c r="AG587" s="825"/>
      <c r="AH587" s="825"/>
      <c r="AI587" s="825"/>
      <c r="AJ587" s="825"/>
      <c r="AK587" s="825"/>
      <c r="AL587" s="825"/>
      <c r="AM587" s="825"/>
      <c r="AN587" s="825"/>
      <c r="AO587" s="825"/>
      <c r="AP587" s="825"/>
      <c r="AQ587" s="825"/>
      <c r="AR587" s="825"/>
      <c r="AS587" s="825"/>
      <c r="AT587" s="825"/>
      <c r="AU587" s="825"/>
      <c r="AV587" s="825"/>
      <c r="AW587" s="825"/>
      <c r="AX587" s="825"/>
      <c r="AY587" s="273"/>
      <c r="AZ587" s="273"/>
      <c r="BA587" s="825"/>
      <c r="BB587" s="825"/>
      <c r="BC587" s="825"/>
      <c r="BD587" s="825"/>
      <c r="BE587" s="825"/>
      <c r="BF587" s="825"/>
      <c r="BG587" s="825"/>
      <c r="BH587" s="825"/>
      <c r="BI587" s="825"/>
      <c r="BJ587" s="825"/>
      <c r="BK587" s="825"/>
      <c r="BL587" s="825"/>
      <c r="BM587" s="825"/>
      <c r="BN587" s="825"/>
      <c r="BO587" s="825"/>
      <c r="BP587" s="825"/>
      <c r="BQ587" s="825"/>
      <c r="BR587" s="825"/>
      <c r="BS587" s="825"/>
      <c r="BT587" s="825"/>
      <c r="BU587" s="825"/>
      <c r="BV587" s="825"/>
      <c r="BW587" s="825"/>
      <c r="BX587" s="825"/>
      <c r="BY587" s="825"/>
      <c r="BZ587" s="825"/>
      <c r="CA587" s="825"/>
      <c r="CB587" s="825"/>
      <c r="CC587" s="825"/>
    </row>
    <row r="588" spans="1:81" s="596" customFormat="1" ht="41.95" customHeight="1" x14ac:dyDescent="0.25">
      <c r="A588" s="273"/>
      <c r="B588" s="1623"/>
      <c r="C588" s="1626"/>
      <c r="D588" s="1611"/>
      <c r="E588" s="1611"/>
      <c r="F588" s="1550"/>
      <c r="G588" s="1550"/>
      <c r="H588" s="1550"/>
      <c r="I588" s="1550"/>
      <c r="J588" s="1550"/>
      <c r="K588" s="1550"/>
      <c r="L588" s="1550"/>
      <c r="M588" s="762" t="s">
        <v>489</v>
      </c>
      <c r="N588" s="730" t="s">
        <v>943</v>
      </c>
      <c r="O588" s="964" t="str">
        <f t="shared" si="16"/>
        <v>Vulnerabilidad al cambio climático</v>
      </c>
      <c r="P588" s="546" t="e">
        <f>#REF!</f>
        <v>#REF!</v>
      </c>
      <c r="Q588" s="534" t="str">
        <f>AS12</f>
        <v xml:space="preserve">Planteamiento de escenarios frente al cambio climático de manera transversal en la implementación de la ERDRBE </v>
      </c>
      <c r="R588" s="534" t="s">
        <v>944</v>
      </c>
      <c r="S588" s="546" t="s">
        <v>526</v>
      </c>
      <c r="T588" s="519" t="str">
        <f>AR12</f>
        <v>SVCC4</v>
      </c>
      <c r="U588" s="631"/>
      <c r="V588" s="842"/>
      <c r="W588" s="842"/>
      <c r="X588" s="503"/>
      <c r="Y588" s="562"/>
      <c r="Z588" s="825"/>
      <c r="AA588" s="825"/>
      <c r="AB588" s="825"/>
      <c r="AC588" s="825"/>
      <c r="AD588" s="825"/>
      <c r="AE588" s="825"/>
      <c r="AF588" s="825"/>
      <c r="AG588" s="825"/>
      <c r="AH588" s="825"/>
      <c r="AI588" s="825"/>
      <c r="AJ588" s="825"/>
      <c r="AK588" s="825"/>
      <c r="AL588" s="825"/>
      <c r="AM588" s="825"/>
      <c r="AN588" s="825"/>
      <c r="AO588" s="825"/>
      <c r="AP588" s="825"/>
      <c r="AQ588" s="825"/>
      <c r="AR588" s="825"/>
      <c r="AS588" s="825"/>
      <c r="AT588" s="825"/>
      <c r="AU588" s="825"/>
      <c r="AV588" s="825"/>
      <c r="AW588" s="825"/>
      <c r="AX588" s="825"/>
      <c r="AY588" s="273"/>
      <c r="AZ588" s="273"/>
      <c r="BA588" s="825"/>
      <c r="BB588" s="825"/>
      <c r="BC588" s="825"/>
      <c r="BD588" s="825"/>
      <c r="BE588" s="825"/>
      <c r="BF588" s="825"/>
      <c r="BG588" s="825"/>
      <c r="BH588" s="825"/>
      <c r="BI588" s="825"/>
      <c r="BJ588" s="825"/>
      <c r="BK588" s="825"/>
      <c r="BL588" s="825"/>
      <c r="BM588" s="825"/>
      <c r="BN588" s="825"/>
      <c r="BO588" s="825"/>
      <c r="BP588" s="825"/>
      <c r="BQ588" s="825"/>
      <c r="BR588" s="825"/>
      <c r="BS588" s="825"/>
      <c r="BT588" s="825"/>
      <c r="BU588" s="825"/>
      <c r="BV588" s="825"/>
      <c r="BW588" s="825"/>
      <c r="BX588" s="825"/>
      <c r="BY588" s="825"/>
      <c r="BZ588" s="825"/>
      <c r="CA588" s="825"/>
      <c r="CB588" s="825"/>
      <c r="CC588" s="825"/>
    </row>
    <row r="589" spans="1:81" s="596" customFormat="1" ht="41.95" customHeight="1" x14ac:dyDescent="0.25">
      <c r="A589" s="273"/>
      <c r="B589" s="1623"/>
      <c r="C589" s="1626"/>
      <c r="D589" s="1611"/>
      <c r="E589" s="1611"/>
      <c r="F589" s="1550"/>
      <c r="G589" s="1550"/>
      <c r="H589" s="1550"/>
      <c r="I589" s="1550"/>
      <c r="J589" s="1550"/>
      <c r="K589" s="1550"/>
      <c r="L589" s="1550"/>
      <c r="M589" s="762" t="s">
        <v>489</v>
      </c>
      <c r="N589" s="730" t="s">
        <v>945</v>
      </c>
      <c r="O589" s="964" t="str">
        <f t="shared" si="16"/>
        <v>Derechos de los pueblos indígenas</v>
      </c>
      <c r="P589" s="546" t="str">
        <f>Z6</f>
        <v>DPI</v>
      </c>
      <c r="Q589" s="534" t="str">
        <f>AD24</f>
        <v>Diseño de lineamientos para el desarrollo rural (productivo, manejo de bosques, entre otros) con enfoque intercultural</v>
      </c>
      <c r="R589" s="534" t="s">
        <v>946</v>
      </c>
      <c r="S589" s="546" t="s">
        <v>526</v>
      </c>
      <c r="T589" s="519" t="str">
        <f>AC24</f>
        <v>SDPI16</v>
      </c>
      <c r="U589" s="631"/>
      <c r="V589" s="842"/>
      <c r="W589" s="842"/>
      <c r="X589" s="503"/>
      <c r="Y589" s="562"/>
      <c r="Z589" s="825"/>
      <c r="AA589" s="825"/>
      <c r="AB589" s="825"/>
      <c r="AC589" s="825"/>
      <c r="AD589" s="825"/>
      <c r="AE589" s="825"/>
      <c r="AF589" s="825"/>
      <c r="AG589" s="825"/>
      <c r="AH589" s="825"/>
      <c r="AI589" s="825"/>
      <c r="AJ589" s="825"/>
      <c r="AK589" s="825"/>
      <c r="AL589" s="825"/>
      <c r="AM589" s="825"/>
      <c r="AN589" s="825"/>
      <c r="AO589" s="825"/>
      <c r="AP589" s="825"/>
      <c r="AQ589" s="825"/>
      <c r="AR589" s="825"/>
      <c r="AS589" s="825"/>
      <c r="AT589" s="825"/>
      <c r="AU589" s="825"/>
      <c r="AV589" s="825"/>
      <c r="AW589" s="825"/>
      <c r="AX589" s="825"/>
      <c r="AY589" s="273"/>
      <c r="AZ589" s="273"/>
      <c r="BA589" s="825"/>
      <c r="BB589" s="825"/>
      <c r="BC589" s="825"/>
      <c r="BD589" s="825"/>
      <c r="BE589" s="825"/>
      <c r="BF589" s="825"/>
      <c r="BG589" s="825"/>
      <c r="BH589" s="825"/>
      <c r="BI589" s="825"/>
      <c r="BJ589" s="825"/>
      <c r="BK589" s="825"/>
      <c r="BL589" s="825"/>
      <c r="BM589" s="825"/>
      <c r="BN589" s="825"/>
      <c r="BO589" s="825"/>
      <c r="BP589" s="825"/>
      <c r="BQ589" s="825"/>
      <c r="BR589" s="825"/>
      <c r="BS589" s="825"/>
      <c r="BT589" s="825"/>
      <c r="BU589" s="825"/>
      <c r="BV589" s="825"/>
      <c r="BW589" s="825"/>
      <c r="BX589" s="825"/>
      <c r="BY589" s="825"/>
      <c r="BZ589" s="825"/>
      <c r="CA589" s="825"/>
      <c r="CB589" s="825"/>
      <c r="CC589" s="825"/>
    </row>
    <row r="590" spans="1:81" ht="98.35" customHeight="1" x14ac:dyDescent="0.25">
      <c r="A590" s="273"/>
      <c r="B590" s="1623"/>
      <c r="C590" s="1626"/>
      <c r="D590" s="1611"/>
      <c r="E590" s="1611"/>
      <c r="F590" s="1550"/>
      <c r="G590" s="1550"/>
      <c r="H590" s="1550"/>
      <c r="I590" s="1550"/>
      <c r="J590" s="1550"/>
      <c r="K590" s="1550"/>
      <c r="L590" s="1550"/>
      <c r="M590" s="762" t="s">
        <v>489</v>
      </c>
      <c r="N590" s="730" t="str">
        <f>N560</f>
        <v xml:space="preserve">Débil participación de mujeres </v>
      </c>
      <c r="O590" s="964" t="str">
        <f t="shared" si="16"/>
        <v>Género</v>
      </c>
      <c r="P590" s="546" t="str">
        <f>AC6</f>
        <v>GN</v>
      </c>
      <c r="Q590" s="534" t="str">
        <f>AJ11</f>
        <v xml:space="preserve">Cuotas de género y medición de participación efectiva de mujeres rurales </v>
      </c>
      <c r="R590" s="534" t="s">
        <v>947</v>
      </c>
      <c r="S590" s="546" t="s">
        <v>492</v>
      </c>
      <c r="T590" s="519" t="str">
        <f>AI11</f>
        <v>SGN3</v>
      </c>
      <c r="U590" s="631"/>
      <c r="V590" s="842"/>
      <c r="W590" s="842"/>
      <c r="X590" s="503"/>
      <c r="Y590" s="562"/>
      <c r="Z590" s="825"/>
      <c r="AA590" s="825"/>
      <c r="AB590" s="825"/>
      <c r="AC590" s="825"/>
      <c r="AD590" s="825"/>
      <c r="AE590" s="825"/>
      <c r="AF590" s="825"/>
      <c r="AG590" s="825"/>
      <c r="AH590" s="825"/>
      <c r="AI590" s="825"/>
      <c r="AJ590" s="825"/>
      <c r="AK590" s="825"/>
      <c r="AL590" s="825"/>
      <c r="AM590" s="825"/>
      <c r="AN590" s="825"/>
      <c r="AO590" s="825"/>
      <c r="AP590" s="825"/>
      <c r="AQ590" s="825"/>
      <c r="AR590" s="825"/>
      <c r="AS590" s="825"/>
      <c r="AT590" s="825"/>
      <c r="AU590" s="825"/>
      <c r="AV590" s="825"/>
      <c r="AW590" s="825"/>
      <c r="AX590" s="825"/>
      <c r="BA590" s="825"/>
      <c r="BB590" s="825"/>
      <c r="BC590" s="825"/>
      <c r="BD590" s="825"/>
      <c r="BE590" s="825"/>
      <c r="BF590" s="825"/>
      <c r="BG590" s="825"/>
      <c r="BH590" s="825"/>
      <c r="BI590" s="825"/>
      <c r="BJ590" s="825"/>
      <c r="BK590" s="825"/>
      <c r="BL590" s="825"/>
      <c r="BM590" s="825"/>
      <c r="BN590" s="825"/>
      <c r="BO590" s="825"/>
      <c r="BP590" s="825"/>
      <c r="BQ590" s="825"/>
      <c r="BR590" s="825"/>
      <c r="BS590" s="825"/>
      <c r="BT590" s="825"/>
      <c r="BU590" s="825"/>
      <c r="BV590" s="825"/>
      <c r="BW590" s="825"/>
      <c r="BX590" s="825"/>
      <c r="BY590" s="825"/>
      <c r="BZ590" s="825"/>
      <c r="CA590" s="825"/>
      <c r="CB590" s="825"/>
      <c r="CC590" s="825"/>
    </row>
    <row r="591" spans="1:81" ht="40.6" customHeight="1" x14ac:dyDescent="0.25">
      <c r="A591" s="273"/>
      <c r="B591" s="1623" t="s">
        <v>903</v>
      </c>
      <c r="C591" s="1626">
        <f>'8. BASE  CONSOLIDADA'!E288</f>
        <v>19</v>
      </c>
      <c r="D591" s="1611" t="str">
        <f>'8. BASE  CONSOLIDADA'!F288</f>
        <v>Promoción y Desarrollo de alianzas comerciales entre grandes, medianas, pequeñas empresas y productores organizados y no organizados para producción baja en emisiones.</v>
      </c>
      <c r="E591" s="1611" t="str">
        <f>'8. BASE  CONSOLIDADA'!G288</f>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v>
      </c>
      <c r="F591" s="1544" t="str">
        <f>'8. BASE  CONSOLIDADA'!C288</f>
        <v>Intervenciones Transversales X Región</v>
      </c>
      <c r="G591" s="1150" t="str">
        <f>VLOOKUP($C591,'8. BASE  CONSOLIDADA'!$E$7:$AS$308,13,FALSE)</f>
        <v>Alianzas privadas entre empresas y productores.</v>
      </c>
      <c r="H591" s="1151">
        <f>VLOOKUP($C591,'8. BASE  CONSOLIDADA'!$E$7:$AS$308,15,FALSE)</f>
        <v>50</v>
      </c>
      <c r="I591" s="1159">
        <f>VLOOKUP(C591,'8. BASE  CONSOLIDADA'!$E$7:$AS$308,20,FALSE)</f>
        <v>1200000</v>
      </c>
      <c r="J591" s="1160">
        <f>I591*$J$6</f>
        <v>816.00000000000011</v>
      </c>
      <c r="K591" s="1161"/>
      <c r="L591" s="1173"/>
      <c r="M591" s="762" t="s">
        <v>489</v>
      </c>
      <c r="N591" s="730" t="s">
        <v>948</v>
      </c>
      <c r="O591" s="964" t="str">
        <f t="shared" si="16"/>
        <v>Género</v>
      </c>
      <c r="P591" s="546" t="str">
        <f>AC6</f>
        <v>GN</v>
      </c>
      <c r="Q591" s="534" t="str">
        <f>AJ11</f>
        <v xml:space="preserve">Cuotas de género y medición de participación efectiva de mujeres rurales </v>
      </c>
      <c r="R591" s="534" t="s">
        <v>689</v>
      </c>
      <c r="S591" s="546" t="s">
        <v>507</v>
      </c>
      <c r="T591" s="519" t="str">
        <f>AI11</f>
        <v>SGN3</v>
      </c>
      <c r="U591" s="631"/>
      <c r="V591" s="842"/>
      <c r="W591" s="842"/>
      <c r="X591" s="503"/>
      <c r="Y591" s="562"/>
      <c r="Z591" s="825"/>
      <c r="AA591" s="825"/>
      <c r="AB591" s="825"/>
      <c r="AC591" s="825"/>
      <c r="AD591" s="825"/>
      <c r="AE591" s="825"/>
      <c r="AF591" s="825"/>
      <c r="AG591" s="825"/>
      <c r="AH591" s="825"/>
      <c r="AI591" s="825"/>
      <c r="AJ591" s="825"/>
      <c r="AK591" s="825"/>
      <c r="AL591" s="825"/>
      <c r="AM591" s="825"/>
      <c r="AN591" s="825"/>
      <c r="AO591" s="825"/>
      <c r="AP591" s="825"/>
      <c r="AQ591" s="825"/>
      <c r="AR591" s="825"/>
      <c r="AS591" s="825"/>
      <c r="AT591" s="825"/>
      <c r="AU591" s="825"/>
      <c r="AV591" s="825"/>
      <c r="AW591" s="825"/>
      <c r="AX591" s="825"/>
      <c r="BA591" s="825"/>
      <c r="BB591" s="825"/>
      <c r="BC591" s="825"/>
      <c r="BD591" s="825"/>
      <c r="BE591" s="825"/>
      <c r="BF591" s="825"/>
      <c r="BG591" s="825"/>
      <c r="BH591" s="825"/>
      <c r="BI591" s="825"/>
      <c r="BJ591" s="825"/>
      <c r="BK591" s="825"/>
      <c r="BL591" s="825"/>
      <c r="BM591" s="825"/>
      <c r="BN591" s="825"/>
      <c r="BO591" s="825"/>
      <c r="BP591" s="825"/>
      <c r="BQ591" s="825"/>
      <c r="BR591" s="825"/>
      <c r="BS591" s="825"/>
      <c r="BT591" s="825"/>
      <c r="BU591" s="825"/>
      <c r="BV591" s="825"/>
      <c r="BW591" s="825"/>
      <c r="BX591" s="825"/>
      <c r="BY591" s="825"/>
      <c r="BZ591" s="825"/>
      <c r="CA591" s="825"/>
      <c r="CB591" s="825"/>
      <c r="CC591" s="825"/>
    </row>
    <row r="592" spans="1:81" s="596" customFormat="1" ht="40.6" customHeight="1" x14ac:dyDescent="0.25">
      <c r="A592" s="273"/>
      <c r="B592" s="1623"/>
      <c r="C592" s="1626"/>
      <c r="D592" s="1611"/>
      <c r="E592" s="1611"/>
      <c r="F592" s="1544"/>
      <c r="G592" s="1169"/>
      <c r="H592" s="1170"/>
      <c r="I592" s="1171"/>
      <c r="J592" s="1172"/>
      <c r="K592" s="1174"/>
      <c r="L592" s="1173"/>
      <c r="M592" s="762" t="s">
        <v>489</v>
      </c>
      <c r="N592" s="730" t="s">
        <v>949</v>
      </c>
      <c r="O592" s="1189" t="s">
        <v>358</v>
      </c>
      <c r="P592" s="546" t="str">
        <f>Z6</f>
        <v>DPI</v>
      </c>
      <c r="Q592" s="534" t="str">
        <f>AD28</f>
        <v>Promoción de productos de tierras y bosques de pueblos indígenas</v>
      </c>
      <c r="R592" s="534" t="s">
        <v>950</v>
      </c>
      <c r="S592" s="546" t="s">
        <v>526</v>
      </c>
      <c r="T592" s="519" t="str">
        <f>AC28</f>
        <v>SDPI20</v>
      </c>
      <c r="U592" s="631"/>
      <c r="V592" s="842"/>
      <c r="W592" s="842"/>
      <c r="X592" s="503"/>
      <c r="Y592" s="562"/>
      <c r="Z592" s="825"/>
      <c r="AA592" s="825"/>
      <c r="AB592" s="825"/>
      <c r="AC592" s="825"/>
      <c r="AD592" s="825"/>
      <c r="AE592" s="825"/>
      <c r="AF592" s="825"/>
      <c r="AG592" s="825"/>
      <c r="AH592" s="825"/>
      <c r="AI592" s="825"/>
      <c r="AJ592" s="825"/>
      <c r="AK592" s="825"/>
      <c r="AL592" s="825"/>
      <c r="AM592" s="825"/>
      <c r="AN592" s="825"/>
      <c r="AO592" s="825"/>
      <c r="AP592" s="825"/>
      <c r="AQ592" s="825"/>
      <c r="AR592" s="825"/>
      <c r="AS592" s="825"/>
      <c r="AT592" s="825"/>
      <c r="AU592" s="825"/>
      <c r="AV592" s="825"/>
      <c r="AW592" s="825"/>
      <c r="AX592" s="825"/>
      <c r="AY592" s="273"/>
      <c r="AZ592" s="273"/>
      <c r="BA592" s="825"/>
      <c r="BB592" s="825"/>
      <c r="BC592" s="825"/>
      <c r="BD592" s="825"/>
      <c r="BE592" s="825"/>
      <c r="BF592" s="825"/>
      <c r="BG592" s="825"/>
      <c r="BH592" s="825"/>
      <c r="BI592" s="825"/>
      <c r="BJ592" s="825"/>
      <c r="BK592" s="825"/>
      <c r="BL592" s="825"/>
      <c r="BM592" s="825"/>
      <c r="BN592" s="825"/>
      <c r="BO592" s="825"/>
      <c r="BP592" s="825"/>
      <c r="BQ592" s="825"/>
      <c r="BR592" s="825"/>
      <c r="BS592" s="825"/>
      <c r="BT592" s="825"/>
      <c r="BU592" s="825"/>
      <c r="BV592" s="825"/>
      <c r="BW592" s="825"/>
      <c r="BX592" s="825"/>
      <c r="BY592" s="825"/>
      <c r="BZ592" s="825"/>
      <c r="CA592" s="825"/>
      <c r="CB592" s="825"/>
      <c r="CC592" s="825"/>
    </row>
    <row r="593" spans="1:81" s="575" customFormat="1" ht="74.25" customHeight="1" x14ac:dyDescent="0.25">
      <c r="A593" s="273"/>
      <c r="B593" s="1623"/>
      <c r="C593" s="1626"/>
      <c r="D593" s="1611"/>
      <c r="E593" s="1611"/>
      <c r="F593" s="1544"/>
      <c r="G593" s="1169"/>
      <c r="H593" s="1170"/>
      <c r="I593" s="1171"/>
      <c r="J593" s="1172"/>
      <c r="K593" s="1174"/>
      <c r="L593" s="1173"/>
      <c r="M593" s="762" t="s">
        <v>489</v>
      </c>
      <c r="N593" s="730" t="str">
        <f>N36</f>
        <v>Colución, Cohecho y negociación incompatible</v>
      </c>
      <c r="O593" s="964" t="str">
        <f t="shared" si="16"/>
        <v>Corrupción</v>
      </c>
      <c r="P593" s="546" t="e">
        <f>#REF!</f>
        <v>#REF!</v>
      </c>
      <c r="Q593" s="534" t="str">
        <f>AG22</f>
        <v xml:space="preserve">Transparencia en las alianzas comerciales entre empresas y productores </v>
      </c>
      <c r="R593" s="534" t="s">
        <v>951</v>
      </c>
      <c r="S593" s="546" t="s">
        <v>492</v>
      </c>
      <c r="T593" s="519" t="str">
        <f>AF22</f>
        <v>SCR14</v>
      </c>
      <c r="U593" s="631"/>
      <c r="V593" s="842"/>
      <c r="W593" s="842"/>
      <c r="X593" s="503"/>
      <c r="Y593" s="562"/>
      <c r="Z593" s="825"/>
      <c r="AA593" s="825"/>
      <c r="AB593" s="825"/>
      <c r="AC593" s="825"/>
      <c r="AD593" s="825"/>
      <c r="AE593" s="825"/>
      <c r="AF593" s="825"/>
      <c r="AG593" s="825"/>
      <c r="AH593" s="825"/>
      <c r="AI593" s="825"/>
      <c r="AJ593" s="825"/>
      <c r="AK593" s="825"/>
      <c r="AL593" s="825"/>
      <c r="AM593" s="825"/>
      <c r="AN593" s="825"/>
      <c r="AO593" s="825"/>
      <c r="AP593" s="825"/>
      <c r="AQ593" s="825"/>
      <c r="AR593" s="825"/>
      <c r="AS593" s="825"/>
      <c r="AT593" s="825"/>
      <c r="AU593" s="825"/>
      <c r="AV593" s="825"/>
      <c r="AW593" s="825"/>
      <c r="AX593" s="825"/>
      <c r="AY593" s="273"/>
      <c r="AZ593" s="273"/>
      <c r="BA593" s="825"/>
      <c r="BB593" s="825"/>
      <c r="BC593" s="825"/>
      <c r="BD593" s="825"/>
      <c r="BE593" s="825"/>
      <c r="BF593" s="825"/>
      <c r="BG593" s="825"/>
      <c r="BH593" s="825"/>
      <c r="BI593" s="825"/>
      <c r="BJ593" s="825"/>
      <c r="BK593" s="825"/>
      <c r="BL593" s="825"/>
      <c r="BM593" s="825"/>
      <c r="BN593" s="825"/>
      <c r="BO593" s="825"/>
      <c r="BP593" s="825"/>
      <c r="BQ593" s="825"/>
      <c r="BR593" s="825"/>
      <c r="BS593" s="825"/>
      <c r="BT593" s="825"/>
      <c r="BU593" s="825"/>
      <c r="BV593" s="825"/>
      <c r="BW593" s="825"/>
      <c r="BX593" s="825"/>
      <c r="BY593" s="825"/>
      <c r="BZ593" s="825"/>
      <c r="CA593" s="825"/>
      <c r="CB593" s="825"/>
      <c r="CC593" s="825"/>
    </row>
    <row r="594" spans="1:81" ht="22.6" customHeight="1" x14ac:dyDescent="0.25">
      <c r="A594" s="273"/>
      <c r="B594" s="1623" t="s">
        <v>903</v>
      </c>
      <c r="C594" s="1626">
        <f>'8. BASE  CONSOLIDADA'!E289</f>
        <v>20</v>
      </c>
      <c r="D594" s="1611" t="str">
        <f>'8. BASE  CONSOLIDADA'!F289</f>
        <v>Estrategia de promoción de productos regionales bajos en emisiones.</v>
      </c>
      <c r="E594" s="1611" t="str">
        <f>'8. BASE  CONSOLIDADA'!G289</f>
        <v xml:space="preserve">
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v>
      </c>
      <c r="F594" s="1546" t="e">
        <f>'8. BASE  CONSOLIDADA'!#REF!</f>
        <v>#REF!</v>
      </c>
      <c r="G594" s="1546" t="str">
        <f>VLOOKUP($C594,'8. BASE  CONSOLIDADA'!$E$7:$AS$308,13,FALSE)</f>
        <v>Estudios de mercado</v>
      </c>
      <c r="H594" s="1546">
        <f>VLOOKUP($C594,'8. BASE  CONSOLIDADA'!$E$7:$AS$308,15,FALSE)</f>
        <v>8</v>
      </c>
      <c r="I594" s="1546">
        <f>VLOOKUP(C594,'8. BASE  CONSOLIDADA'!$E$7:$AS$308,20,FALSE)</f>
        <v>480000</v>
      </c>
      <c r="J594" s="1546">
        <f>I594*$J$6</f>
        <v>326.40000000000003</v>
      </c>
      <c r="K594" s="1546"/>
      <c r="L594" s="1546"/>
      <c r="M594" s="762" t="s">
        <v>489</v>
      </c>
      <c r="N594" s="730" t="str">
        <f>N560</f>
        <v xml:space="preserve">Débil participación de mujeres </v>
      </c>
      <c r="O594" s="964" t="str">
        <f t="shared" si="16"/>
        <v>Género</v>
      </c>
      <c r="P594" s="546" t="str">
        <f>AC6</f>
        <v>GN</v>
      </c>
      <c r="Q594" s="534" t="str">
        <f>AJ11</f>
        <v xml:space="preserve">Cuotas de género y medición de participación efectiva de mujeres rurales </v>
      </c>
      <c r="R594" s="534" t="s">
        <v>689</v>
      </c>
      <c r="S594" s="546" t="s">
        <v>507</v>
      </c>
      <c r="T594" s="519" t="str">
        <f>AI11</f>
        <v>SGN3</v>
      </c>
      <c r="U594" s="631"/>
      <c r="V594" s="842"/>
      <c r="W594" s="842"/>
      <c r="X594" s="503"/>
      <c r="Y594" s="562"/>
      <c r="Z594" s="825"/>
      <c r="AA594" s="825"/>
      <c r="AB594" s="825"/>
      <c r="AC594" s="825"/>
      <c r="AD594" s="825"/>
      <c r="AE594" s="825"/>
      <c r="AF594" s="825"/>
      <c r="AG594" s="825"/>
      <c r="AH594" s="825"/>
      <c r="AI594" s="825"/>
      <c r="AJ594" s="825"/>
      <c r="AK594" s="825"/>
      <c r="AL594" s="825"/>
      <c r="AM594" s="825"/>
      <c r="AN594" s="825"/>
      <c r="AO594" s="825"/>
      <c r="AP594" s="825"/>
      <c r="AQ594" s="825"/>
      <c r="AR594" s="825"/>
      <c r="AS594" s="825"/>
      <c r="AT594" s="825"/>
      <c r="AU594" s="825"/>
      <c r="AV594" s="825"/>
      <c r="AW594" s="825"/>
      <c r="AX594" s="825"/>
      <c r="BA594" s="825"/>
      <c r="BB594" s="825"/>
      <c r="BC594" s="825"/>
      <c r="BD594" s="825"/>
      <c r="BE594" s="825"/>
      <c r="BF594" s="825"/>
      <c r="BG594" s="825"/>
      <c r="BH594" s="825"/>
      <c r="BI594" s="825"/>
      <c r="BJ594" s="825"/>
      <c r="BK594" s="825"/>
      <c r="BL594" s="825"/>
      <c r="BM594" s="825"/>
      <c r="BN594" s="825"/>
      <c r="BO594" s="825"/>
      <c r="BP594" s="825"/>
      <c r="BQ594" s="825"/>
      <c r="BR594" s="825"/>
      <c r="BS594" s="825"/>
      <c r="BT594" s="825"/>
      <c r="BU594" s="825"/>
      <c r="BV594" s="825"/>
      <c r="BW594" s="825"/>
      <c r="BX594" s="825"/>
      <c r="BY594" s="825"/>
      <c r="BZ594" s="825"/>
      <c r="CA594" s="825"/>
      <c r="CB594" s="825"/>
      <c r="CC594" s="825"/>
    </row>
    <row r="595" spans="1:81" s="596" customFormat="1" ht="32.299999999999997" customHeight="1" x14ac:dyDescent="0.25">
      <c r="A595" s="273"/>
      <c r="B595" s="1623"/>
      <c r="C595" s="1626"/>
      <c r="D595" s="1611"/>
      <c r="E595" s="1611"/>
      <c r="F595" s="1546"/>
      <c r="G595" s="1546"/>
      <c r="H595" s="1546"/>
      <c r="I595" s="1546"/>
      <c r="J595" s="1546"/>
      <c r="K595" s="1546"/>
      <c r="L595" s="1546"/>
      <c r="M595" s="762" t="s">
        <v>489</v>
      </c>
      <c r="N595" s="730" t="s">
        <v>952</v>
      </c>
      <c r="O595" s="1189" t="s">
        <v>358</v>
      </c>
      <c r="P595" s="546" t="str">
        <f>Z6</f>
        <v>DPI</v>
      </c>
      <c r="Q595" s="534" t="str">
        <f>AD28</f>
        <v>Promoción de productos de tierras y bosques de pueblos indígenas</v>
      </c>
      <c r="R595" s="534" t="s">
        <v>953</v>
      </c>
      <c r="S595" s="546" t="s">
        <v>492</v>
      </c>
      <c r="T595" s="519" t="str">
        <f>AC28</f>
        <v>SDPI20</v>
      </c>
      <c r="U595" s="631"/>
      <c r="V595" s="842"/>
      <c r="W595" s="842"/>
      <c r="X595" s="503"/>
      <c r="Y595" s="562"/>
      <c r="Z595" s="825"/>
      <c r="AA595" s="825"/>
      <c r="AB595" s="825"/>
      <c r="AC595" s="825"/>
      <c r="AD595" s="825"/>
      <c r="AE595" s="825"/>
      <c r="AF595" s="825"/>
      <c r="AG595" s="825"/>
      <c r="AH595" s="825"/>
      <c r="AI595" s="825"/>
      <c r="AJ595" s="825"/>
      <c r="AK595" s="825"/>
      <c r="AL595" s="825"/>
      <c r="AM595" s="825"/>
      <c r="AN595" s="825"/>
      <c r="AO595" s="825"/>
      <c r="AP595" s="825"/>
      <c r="AQ595" s="825"/>
      <c r="AR595" s="825"/>
      <c r="AS595" s="825"/>
      <c r="AT595" s="825"/>
      <c r="AU595" s="825"/>
      <c r="AV595" s="825"/>
      <c r="AW595" s="825"/>
      <c r="AX595" s="825"/>
      <c r="AY595" s="273"/>
      <c r="AZ595" s="273"/>
      <c r="BA595" s="825"/>
      <c r="BB595" s="825"/>
      <c r="BC595" s="825"/>
      <c r="BD595" s="825"/>
      <c r="BE595" s="825"/>
      <c r="BF595" s="825"/>
      <c r="BG595" s="825"/>
      <c r="BH595" s="825"/>
      <c r="BI595" s="825"/>
      <c r="BJ595" s="825"/>
      <c r="BK595" s="825"/>
      <c r="BL595" s="825"/>
      <c r="BM595" s="825"/>
      <c r="BN595" s="825"/>
      <c r="BO595" s="825"/>
      <c r="BP595" s="825"/>
      <c r="BQ595" s="825"/>
      <c r="BR595" s="825"/>
      <c r="BS595" s="825"/>
      <c r="BT595" s="825"/>
      <c r="BU595" s="825"/>
      <c r="BV595" s="825"/>
      <c r="BW595" s="825"/>
      <c r="BX595" s="825"/>
      <c r="BY595" s="825"/>
      <c r="BZ595" s="825"/>
      <c r="CA595" s="825"/>
      <c r="CB595" s="825"/>
      <c r="CC595" s="825"/>
    </row>
    <row r="596" spans="1:81" s="575" customFormat="1" ht="44.35" customHeight="1" x14ac:dyDescent="0.25">
      <c r="A596" s="273"/>
      <c r="B596" s="1623"/>
      <c r="C596" s="1626"/>
      <c r="D596" s="1611"/>
      <c r="E596" s="1611"/>
      <c r="F596" s="1546"/>
      <c r="G596" s="1546"/>
      <c r="H596" s="1546"/>
      <c r="I596" s="1546"/>
      <c r="J596" s="1546"/>
      <c r="K596" s="1546"/>
      <c r="L596" s="1546"/>
      <c r="M596" s="762" t="s">
        <v>489</v>
      </c>
      <c r="N596" s="730" t="s">
        <v>954</v>
      </c>
      <c r="O596" s="964" t="str">
        <f t="shared" si="16"/>
        <v>Corrupción</v>
      </c>
      <c r="P596" s="546" t="e">
        <f>#REF!</f>
        <v>#REF!</v>
      </c>
      <c r="Q596" s="534" t="str">
        <f>AG10</f>
        <v>Transparencia en incentivos financieros y obras públicas vinculadas a la ERDRBE</v>
      </c>
      <c r="R596" s="534" t="s">
        <v>687</v>
      </c>
      <c r="S596" s="546" t="s">
        <v>526</v>
      </c>
      <c r="T596" s="519" t="str">
        <f>AF10</f>
        <v>SCR2</v>
      </c>
      <c r="U596" s="631"/>
      <c r="V596" s="842"/>
      <c r="W596" s="842"/>
      <c r="X596" s="503"/>
      <c r="Y596" s="562"/>
      <c r="Z596" s="825"/>
      <c r="AA596" s="825"/>
      <c r="AB596" s="825"/>
      <c r="AC596" s="825"/>
      <c r="AD596" s="825"/>
      <c r="AE596" s="825"/>
      <c r="AF596" s="825"/>
      <c r="AG596" s="825"/>
      <c r="AH596" s="825"/>
      <c r="AI596" s="825"/>
      <c r="AJ596" s="825"/>
      <c r="AK596" s="825"/>
      <c r="AL596" s="825"/>
      <c r="AM596" s="825"/>
      <c r="AN596" s="825"/>
      <c r="AO596" s="825"/>
      <c r="AP596" s="825"/>
      <c r="AQ596" s="825"/>
      <c r="AR596" s="825"/>
      <c r="AS596" s="825"/>
      <c r="AT596" s="825"/>
      <c r="AU596" s="825"/>
      <c r="AV596" s="825"/>
      <c r="AW596" s="825"/>
      <c r="AX596" s="825"/>
      <c r="AY596" s="273"/>
      <c r="AZ596" s="273"/>
      <c r="BA596" s="825"/>
      <c r="BB596" s="825"/>
      <c r="BC596" s="825"/>
      <c r="BD596" s="825"/>
      <c r="BE596" s="825"/>
      <c r="BF596" s="825"/>
      <c r="BG596" s="825"/>
      <c r="BH596" s="825"/>
      <c r="BI596" s="825"/>
      <c r="BJ596" s="825"/>
      <c r="BK596" s="825"/>
      <c r="BL596" s="825"/>
      <c r="BM596" s="825"/>
      <c r="BN596" s="825"/>
      <c r="BO596" s="825"/>
      <c r="BP596" s="825"/>
      <c r="BQ596" s="825"/>
      <c r="BR596" s="825"/>
      <c r="BS596" s="825"/>
      <c r="BT596" s="825"/>
      <c r="BU596" s="825"/>
      <c r="BV596" s="825"/>
      <c r="BW596" s="825"/>
      <c r="BX596" s="825"/>
      <c r="BY596" s="825"/>
      <c r="BZ596" s="825"/>
      <c r="CA596" s="825"/>
      <c r="CB596" s="825"/>
      <c r="CC596" s="825"/>
    </row>
    <row r="597" spans="1:81" ht="44.35" customHeight="1" x14ac:dyDescent="0.25">
      <c r="A597" s="273"/>
      <c r="B597" s="1623" t="s">
        <v>903</v>
      </c>
      <c r="C597" s="1626">
        <f>'8. BASE  CONSOLIDADA'!E292</f>
        <v>23</v>
      </c>
      <c r="D597" s="1611" t="str">
        <f>'8. BASE  CONSOLIDADA'!F292</f>
        <v>Simplificación administrativa de tramites de derechos sobre la tierra y los recursos naturales.</v>
      </c>
      <c r="E597" s="1611" t="str">
        <f>'8. BASE  CONSOLIDADA'!G292</f>
        <v>Mejora de los TUPAs (incluye proceso integrado para clasificación de suelos + uso actual de la ley forestal), material de difusión, y capacitaciones periódicas a usuarios</v>
      </c>
      <c r="F597" s="1551" t="str">
        <f>'8. BASE  CONSOLIDADA'!C292</f>
        <v>Intervenciones Transversales X Región</v>
      </c>
      <c r="G597" s="1551" t="str">
        <f>VLOOKUP($C597,'8. BASE  CONSOLIDADA'!$E$7:$AS$308,13,FALSE)</f>
        <v xml:space="preserve">TUPA  mejorado </v>
      </c>
      <c r="H597" s="1547">
        <f>VLOOKUP($C597,'8. BASE  CONSOLIDADA'!$E$7:$AS$308,15,FALSE)</f>
        <v>1</v>
      </c>
      <c r="I597" s="1547">
        <f>VLOOKUP(C597,'8. BASE  CONSOLIDADA'!$E$7:$AS$308,20,FALSE)</f>
        <v>150000</v>
      </c>
      <c r="J597" s="1547">
        <f>I597*$J$6</f>
        <v>102.00000000000001</v>
      </c>
      <c r="K597" s="1547"/>
      <c r="L597" s="1547"/>
      <c r="M597" s="762" t="s">
        <v>489</v>
      </c>
      <c r="N597" s="730" t="s">
        <v>955</v>
      </c>
      <c r="O597" s="964" t="str">
        <f t="shared" si="16"/>
        <v>Derechos de los pueblos indígenas</v>
      </c>
      <c r="P597" s="546" t="str">
        <f>Z6</f>
        <v>DPI</v>
      </c>
      <c r="Q597" s="534" t="str">
        <f>AD19</f>
        <v>Simplificación administrativa con enfoque intercultural</v>
      </c>
      <c r="R597" s="534" t="s">
        <v>768</v>
      </c>
      <c r="S597" s="546" t="s">
        <v>507</v>
      </c>
      <c r="T597" s="519" t="str">
        <f>AC19</f>
        <v>SDPI11</v>
      </c>
      <c r="U597" s="631"/>
      <c r="V597" s="842"/>
      <c r="W597" s="842"/>
      <c r="X597" s="503"/>
      <c r="Y597" s="562"/>
      <c r="Z597" s="825"/>
      <c r="AA597" s="825"/>
      <c r="AB597" s="825"/>
      <c r="AC597" s="825"/>
      <c r="AD597" s="825"/>
      <c r="AE597" s="825"/>
      <c r="AF597" s="825"/>
      <c r="AG597" s="825"/>
      <c r="AH597" s="825"/>
      <c r="AI597" s="825"/>
      <c r="AJ597" s="825"/>
      <c r="AK597" s="825"/>
      <c r="AL597" s="825"/>
      <c r="AM597" s="825"/>
      <c r="AN597" s="825"/>
      <c r="AO597" s="825"/>
      <c r="AP597" s="825"/>
      <c r="AQ597" s="825"/>
      <c r="AR597" s="825"/>
      <c r="AS597" s="825"/>
      <c r="AT597" s="825"/>
      <c r="AU597" s="825"/>
      <c r="AV597" s="825"/>
      <c r="AW597" s="825"/>
      <c r="AX597" s="825"/>
      <c r="BA597" s="825"/>
      <c r="BB597" s="825"/>
      <c r="BC597" s="825"/>
      <c r="BD597" s="825"/>
      <c r="BE597" s="825"/>
      <c r="BF597" s="825"/>
      <c r="BG597" s="825"/>
      <c r="BH597" s="825"/>
      <c r="BI597" s="825"/>
      <c r="BJ597" s="825"/>
      <c r="BK597" s="825"/>
      <c r="BL597" s="825"/>
      <c r="BM597" s="825"/>
      <c r="BN597" s="825"/>
      <c r="BO597" s="825"/>
      <c r="BP597" s="825"/>
      <c r="BQ597" s="825"/>
      <c r="BR597" s="825"/>
      <c r="BS597" s="825"/>
      <c r="BT597" s="825"/>
      <c r="BU597" s="825"/>
      <c r="BV597" s="825"/>
      <c r="BW597" s="825"/>
      <c r="BX597" s="825"/>
      <c r="BY597" s="825"/>
      <c r="BZ597" s="825"/>
      <c r="CA597" s="825"/>
      <c r="CB597" s="825"/>
      <c r="CC597" s="825"/>
    </row>
    <row r="598" spans="1:81" s="575" customFormat="1" ht="68.95" customHeight="1" x14ac:dyDescent="0.25">
      <c r="A598" s="273"/>
      <c r="B598" s="1623"/>
      <c r="C598" s="1626"/>
      <c r="D598" s="1611"/>
      <c r="E598" s="1611"/>
      <c r="F598" s="1552"/>
      <c r="G598" s="1552"/>
      <c r="H598" s="1549"/>
      <c r="I598" s="1549"/>
      <c r="J598" s="1549"/>
      <c r="K598" s="1549"/>
      <c r="L598" s="1549"/>
      <c r="M598" s="762" t="s">
        <v>489</v>
      </c>
      <c r="N598" s="730" t="s">
        <v>956</v>
      </c>
      <c r="O598" s="964" t="str">
        <f t="shared" si="16"/>
        <v>Derechos de los pueblos indígenas</v>
      </c>
      <c r="P598" s="546" t="str">
        <f>Z6</f>
        <v>DPI</v>
      </c>
      <c r="Q598" s="534" t="str">
        <f>AD23</f>
        <v>Uso apropiado del lenguaje intercultural y respeto de usos y costumbres</v>
      </c>
      <c r="R598" s="534" t="s">
        <v>957</v>
      </c>
      <c r="S598" s="546" t="s">
        <v>526</v>
      </c>
      <c r="T598" s="519" t="str">
        <f>AC23</f>
        <v>SDPI15</v>
      </c>
      <c r="U598" s="631"/>
      <c r="V598" s="842"/>
      <c r="W598" s="842"/>
      <c r="X598" s="503"/>
      <c r="Y598" s="562"/>
      <c r="Z598" s="825"/>
      <c r="AA598" s="825"/>
      <c r="AB598" s="825"/>
      <c r="AC598" s="825"/>
      <c r="AD598" s="825"/>
      <c r="AE598" s="825"/>
      <c r="AF598" s="825"/>
      <c r="AG598" s="825"/>
      <c r="AH598" s="825"/>
      <c r="AI598" s="825"/>
      <c r="AJ598" s="825"/>
      <c r="AK598" s="825"/>
      <c r="AL598" s="825"/>
      <c r="AM598" s="825"/>
      <c r="AN598" s="825"/>
      <c r="AO598" s="825"/>
      <c r="AP598" s="825"/>
      <c r="AQ598" s="825"/>
      <c r="AR598" s="825"/>
      <c r="AS598" s="825"/>
      <c r="AT598" s="825"/>
      <c r="AU598" s="825"/>
      <c r="AV598" s="825"/>
      <c r="AW598" s="825"/>
      <c r="AX598" s="825"/>
      <c r="AY598" s="273"/>
      <c r="AZ598" s="273"/>
      <c r="BA598" s="825"/>
      <c r="BB598" s="825"/>
      <c r="BC598" s="825"/>
      <c r="BD598" s="825"/>
      <c r="BE598" s="825"/>
      <c r="BF598" s="825"/>
      <c r="BG598" s="825"/>
      <c r="BH598" s="825"/>
      <c r="BI598" s="825"/>
      <c r="BJ598" s="825"/>
      <c r="BK598" s="825"/>
      <c r="BL598" s="825"/>
      <c r="BM598" s="825"/>
      <c r="BN598" s="825"/>
      <c r="BO598" s="825"/>
      <c r="BP598" s="825"/>
      <c r="BQ598" s="825"/>
      <c r="BR598" s="825"/>
      <c r="BS598" s="825"/>
      <c r="BT598" s="825"/>
      <c r="BU598" s="825"/>
      <c r="BV598" s="825"/>
      <c r="BW598" s="825"/>
      <c r="BX598" s="825"/>
      <c r="BY598" s="825"/>
      <c r="BZ598" s="825"/>
      <c r="CA598" s="825"/>
      <c r="CB598" s="825"/>
      <c r="CC598" s="825"/>
    </row>
    <row r="599" spans="1:81" s="596" customFormat="1" ht="68.95" customHeight="1" x14ac:dyDescent="0.25">
      <c r="A599" s="273"/>
      <c r="B599" s="1623" t="s">
        <v>903</v>
      </c>
      <c r="C599" s="1626">
        <f>'8. BASE  CONSOLIDADA'!E297</f>
        <v>28</v>
      </c>
      <c r="D599" s="1611" t="str">
        <f>'8. BASE  CONSOLIDADA'!F297</f>
        <v>Capacitación a comunidades nativas, campesinas y custodios forestales.</v>
      </c>
      <c r="E599" s="1544" t="str">
        <f>'8. BASE  CONSOLIDADA'!G297</f>
        <v xml:space="preserve">1 capacitación de una semana en el ámbito cercano al trabajo de la comunidad (puede ser una capacitación espaciada) </v>
      </c>
      <c r="F599" s="1544" t="str">
        <f>'8. BASE  CONSOLIDADA'!C297</f>
        <v>Intervenciones Transversales X Región</v>
      </c>
      <c r="G599" s="1544" t="str">
        <f>VLOOKUP($C599,'8. BASE  CONSOLIDADA'!$E$7:$AS$308,13,FALSE)</f>
        <v xml:space="preserve">Ronderos y custodios que aprueban evaluación de capacitación </v>
      </c>
      <c r="H599" s="1544">
        <f>VLOOKUP($C599,'8. BASE  CONSOLIDADA'!$E$7:$AS$308,15,FALSE)</f>
        <v>250</v>
      </c>
      <c r="I599" s="1544">
        <f>VLOOKUP(C599,'8. BASE  CONSOLIDADA'!$E$7:$AS$308,20,FALSE)</f>
        <v>37500</v>
      </c>
      <c r="J599" s="1544">
        <f>I599*$J$6</f>
        <v>25.500000000000004</v>
      </c>
      <c r="K599" s="1544"/>
      <c r="L599" s="1544"/>
      <c r="M599" s="762" t="s">
        <v>489</v>
      </c>
      <c r="N599" s="730" t="s">
        <v>958</v>
      </c>
      <c r="O599" s="964" t="str">
        <f t="shared" si="16"/>
        <v>Derechos de los pueblos indígenas</v>
      </c>
      <c r="P599" s="546" t="str">
        <f>Z6</f>
        <v>DPI</v>
      </c>
      <c r="Q599" s="534" t="str">
        <f>AD17</f>
        <v>Programas de asistencia técnica y capacitación específicos para pueblos indígenas, con enfoque intercultural y metodologías apropiadas para pueblos indígenas</v>
      </c>
      <c r="R599" s="534" t="s">
        <v>959</v>
      </c>
      <c r="S599" s="546" t="s">
        <v>507</v>
      </c>
      <c r="T599" s="519" t="str">
        <f>AC17</f>
        <v>SDPI9</v>
      </c>
      <c r="U599" s="632"/>
      <c r="V599" s="838"/>
      <c r="W599" s="838"/>
      <c r="X599" s="503"/>
      <c r="Y599" s="562"/>
      <c r="Z599" s="825"/>
      <c r="AA599" s="825"/>
      <c r="AB599" s="825"/>
      <c r="AC599" s="825"/>
      <c r="AD599" s="825"/>
      <c r="AE599" s="825"/>
      <c r="AF599" s="825"/>
      <c r="AG599" s="825"/>
      <c r="AH599" s="825"/>
      <c r="AI599" s="825"/>
      <c r="AJ599" s="825"/>
      <c r="AK599" s="825"/>
      <c r="AL599" s="825"/>
      <c r="AM599" s="825"/>
      <c r="AN599" s="825"/>
      <c r="AO599" s="825"/>
      <c r="AP599" s="825"/>
      <c r="AQ599" s="825"/>
      <c r="AR599" s="825"/>
      <c r="AS599" s="825"/>
      <c r="AT599" s="825"/>
      <c r="AU599" s="825"/>
      <c r="AV599" s="825"/>
      <c r="AW599" s="825"/>
      <c r="AX599" s="825"/>
      <c r="AY599" s="273"/>
      <c r="AZ599" s="273"/>
      <c r="BA599" s="825"/>
      <c r="BB599" s="825"/>
      <c r="BC599" s="825"/>
      <c r="BD599" s="825"/>
      <c r="BE599" s="825"/>
      <c r="BF599" s="825"/>
      <c r="BG599" s="825"/>
      <c r="BH599" s="825"/>
      <c r="BI599" s="825"/>
      <c r="BJ599" s="825"/>
      <c r="BK599" s="825"/>
      <c r="BL599" s="825"/>
      <c r="BM599" s="825"/>
      <c r="BN599" s="825"/>
      <c r="BO599" s="825"/>
      <c r="BP599" s="825"/>
      <c r="BQ599" s="825"/>
      <c r="BR599" s="825"/>
      <c r="BS599" s="825"/>
      <c r="BT599" s="825"/>
      <c r="BU599" s="825"/>
      <c r="BV599" s="825"/>
      <c r="BW599" s="825"/>
      <c r="BX599" s="825"/>
      <c r="BY599" s="825"/>
      <c r="BZ599" s="825"/>
      <c r="CA599" s="825"/>
      <c r="CB599" s="825"/>
      <c r="CC599" s="825"/>
    </row>
    <row r="600" spans="1:81" s="596" customFormat="1" ht="68.95" customHeight="1" x14ac:dyDescent="0.25">
      <c r="A600" s="273"/>
      <c r="B600" s="1623"/>
      <c r="C600" s="1626"/>
      <c r="D600" s="1611"/>
      <c r="E600" s="1544"/>
      <c r="F600" s="1544"/>
      <c r="G600" s="1544"/>
      <c r="H600" s="1544"/>
      <c r="I600" s="1544"/>
      <c r="J600" s="1544"/>
      <c r="K600" s="1544"/>
      <c r="L600" s="1544"/>
      <c r="M600" s="762" t="s">
        <v>489</v>
      </c>
      <c r="N600" s="730" t="s">
        <v>960</v>
      </c>
      <c r="O600" s="964" t="str">
        <f t="shared" si="16"/>
        <v>Derechos de los pueblos indígenas</v>
      </c>
      <c r="P600" s="546" t="str">
        <f>AC6</f>
        <v>GN</v>
      </c>
      <c r="Q600" s="534" t="str">
        <f>AD17</f>
        <v>Programas de asistencia técnica y capacitación específicos para pueblos indígenas, con enfoque intercultural y metodologías apropiadas para pueblos indígenas</v>
      </c>
      <c r="R600" s="534" t="s">
        <v>961</v>
      </c>
      <c r="S600" s="546" t="s">
        <v>507</v>
      </c>
      <c r="T600" s="519" t="str">
        <f>AC17</f>
        <v>SDPI9</v>
      </c>
      <c r="U600" s="632"/>
      <c r="V600" s="838"/>
      <c r="W600" s="838"/>
      <c r="X600" s="503"/>
      <c r="Y600" s="562"/>
      <c r="Z600" s="825"/>
      <c r="AA600" s="825"/>
      <c r="AB600" s="825"/>
      <c r="AC600" s="825"/>
      <c r="AD600" s="825"/>
      <c r="AE600" s="825"/>
      <c r="AF600" s="825"/>
      <c r="AG600" s="825"/>
      <c r="AH600" s="825"/>
      <c r="AI600" s="825"/>
      <c r="AJ600" s="825"/>
      <c r="AK600" s="825"/>
      <c r="AL600" s="825"/>
      <c r="AM600" s="825"/>
      <c r="AN600" s="825"/>
      <c r="AO600" s="825"/>
      <c r="AP600" s="825"/>
      <c r="AQ600" s="825"/>
      <c r="AR600" s="825"/>
      <c r="AS600" s="825"/>
      <c r="AT600" s="825"/>
      <c r="AU600" s="825"/>
      <c r="AV600" s="825"/>
      <c r="AW600" s="825"/>
      <c r="AX600" s="825"/>
      <c r="AY600" s="273"/>
      <c r="AZ600" s="273"/>
      <c r="BA600" s="825"/>
      <c r="BB600" s="825"/>
      <c r="BC600" s="825"/>
      <c r="BD600" s="825"/>
      <c r="BE600" s="825"/>
      <c r="BF600" s="825"/>
      <c r="BG600" s="825"/>
      <c r="BH600" s="825"/>
      <c r="BI600" s="825"/>
      <c r="BJ600" s="825"/>
      <c r="BK600" s="825"/>
      <c r="BL600" s="825"/>
      <c r="BM600" s="825"/>
      <c r="BN600" s="825"/>
      <c r="BO600" s="825"/>
      <c r="BP600" s="825"/>
      <c r="BQ600" s="825"/>
      <c r="BR600" s="825"/>
      <c r="BS600" s="825"/>
      <c r="BT600" s="825"/>
      <c r="BU600" s="825"/>
      <c r="BV600" s="825"/>
      <c r="BW600" s="825"/>
      <c r="BX600" s="825"/>
      <c r="BY600" s="825"/>
      <c r="BZ600" s="825"/>
      <c r="CA600" s="825"/>
      <c r="CB600" s="825"/>
      <c r="CC600" s="825"/>
    </row>
    <row r="601" spans="1:81" ht="37.549999999999997" customHeight="1" x14ac:dyDescent="0.25">
      <c r="A601" s="273"/>
      <c r="B601" s="1623"/>
      <c r="C601" s="1626"/>
      <c r="D601" s="1611"/>
      <c r="E601" s="1544"/>
      <c r="F601" s="1544"/>
      <c r="G601" s="1544"/>
      <c r="H601" s="1544"/>
      <c r="I601" s="1544"/>
      <c r="J601" s="1544"/>
      <c r="K601" s="1544"/>
      <c r="L601" s="1544"/>
      <c r="M601" s="762" t="s">
        <v>489</v>
      </c>
      <c r="N601" s="730" t="str">
        <f>N560</f>
        <v xml:space="preserve">Débil participación de mujeres </v>
      </c>
      <c r="O601" s="964" t="str">
        <f t="shared" si="16"/>
        <v>Género</v>
      </c>
      <c r="P601" s="546" t="str">
        <f>AC6</f>
        <v>GN</v>
      </c>
      <c r="Q601" s="534" t="str">
        <f>AJ11</f>
        <v xml:space="preserve">Cuotas de género y medición de participación efectiva de mujeres rurales </v>
      </c>
      <c r="R601" s="534" t="s">
        <v>689</v>
      </c>
      <c r="S601" s="546" t="s">
        <v>507</v>
      </c>
      <c r="T601" s="519" t="str">
        <f>AI11</f>
        <v>SGN3</v>
      </c>
      <c r="U601" s="632"/>
      <c r="V601" s="838"/>
      <c r="W601" s="838"/>
      <c r="X601" s="503"/>
      <c r="Y601" s="562"/>
      <c r="Z601" s="825"/>
      <c r="AA601" s="825"/>
      <c r="AB601" s="825"/>
      <c r="AC601" s="825"/>
      <c r="AD601" s="825"/>
      <c r="AE601" s="825"/>
      <c r="AF601" s="825"/>
      <c r="AG601" s="825"/>
      <c r="AH601" s="825"/>
      <c r="AI601" s="825"/>
      <c r="AJ601" s="825"/>
      <c r="AK601" s="825"/>
      <c r="AL601" s="825"/>
      <c r="AM601" s="825"/>
      <c r="AN601" s="825"/>
      <c r="AO601" s="825"/>
      <c r="AP601" s="825"/>
      <c r="AQ601" s="825"/>
      <c r="AR601" s="825"/>
      <c r="AS601" s="825"/>
      <c r="AT601" s="825"/>
      <c r="AU601" s="825"/>
      <c r="AV601" s="825"/>
      <c r="AW601" s="825"/>
      <c r="AX601" s="825"/>
      <c r="BA601" s="825"/>
      <c r="BB601" s="825"/>
      <c r="BC601" s="825"/>
      <c r="BD601" s="825"/>
      <c r="BE601" s="825"/>
      <c r="BF601" s="825"/>
      <c r="BG601" s="825"/>
      <c r="BH601" s="825"/>
      <c r="BI601" s="825"/>
      <c r="BJ601" s="825"/>
      <c r="BK601" s="825"/>
      <c r="BL601" s="825"/>
      <c r="BM601" s="825"/>
      <c r="BN601" s="825"/>
      <c r="BO601" s="825"/>
      <c r="BP601" s="825"/>
      <c r="BQ601" s="825"/>
      <c r="BR601" s="825"/>
      <c r="BS601" s="825"/>
      <c r="BT601" s="825"/>
      <c r="BU601" s="825"/>
      <c r="BV601" s="825"/>
      <c r="BW601" s="825"/>
      <c r="BX601" s="825"/>
      <c r="BY601" s="825"/>
      <c r="BZ601" s="825"/>
      <c r="CA601" s="825"/>
      <c r="CB601" s="825"/>
      <c r="CC601" s="825"/>
    </row>
    <row r="602" spans="1:81" ht="27.7" customHeight="1" x14ac:dyDescent="0.25">
      <c r="A602" s="273"/>
      <c r="B602" s="1623" t="s">
        <v>903</v>
      </c>
      <c r="C602" s="1626">
        <f>'8. BASE  CONSOLIDADA'!E298</f>
        <v>29</v>
      </c>
      <c r="D602" s="1611" t="str">
        <f>'8. BASE  CONSOLIDADA'!F298</f>
        <v>Equipamiento a rondas y custodios forestales.</v>
      </c>
      <c r="E602" s="1611" t="str">
        <f>'8. BASE  CONSOLIDADA'!G298</f>
        <v>Uniforme básico, GPS por brigadas,  1 dron por comunidad, equipos de radio por comunidad (radio corta portátil)</v>
      </c>
      <c r="F602" s="1545" t="str">
        <f>'8. BASE  CONSOLIDADA'!C298</f>
        <v>Intervenciones Transversales X Región</v>
      </c>
      <c r="G602" s="1545" t="str">
        <f>VLOOKUP($C602,'8. BASE  CONSOLIDADA'!$E$7:$AS$308,13,FALSE)</f>
        <v>Ronderos y custodios equipados</v>
      </c>
      <c r="H602" s="1545">
        <f>VLOOKUP($C602,'8. BASE  CONSOLIDADA'!$E$7:$AS$308,15,FALSE)</f>
        <v>250</v>
      </c>
      <c r="I602" s="1545">
        <f>VLOOKUP(C602,'8. BASE  CONSOLIDADA'!$E$7:$AS$308,20,FALSE)</f>
        <v>486250</v>
      </c>
      <c r="J602" s="1545">
        <f>I602*$J$6</f>
        <v>330.65000000000003</v>
      </c>
      <c r="K602" s="1545"/>
      <c r="L602" s="1545"/>
      <c r="M602" s="762" t="s">
        <v>489</v>
      </c>
      <c r="N602" s="730" t="str">
        <f>N560</f>
        <v xml:space="preserve">Débil participación de mujeres </v>
      </c>
      <c r="O602" s="964" t="str">
        <f t="shared" si="16"/>
        <v>Género</v>
      </c>
      <c r="P602" s="546" t="str">
        <f>AC6</f>
        <v>GN</v>
      </c>
      <c r="Q602" s="534" t="str">
        <f>AJ11</f>
        <v xml:space="preserve">Cuotas de género y medición de participación efectiva de mujeres rurales </v>
      </c>
      <c r="R602" s="534" t="s">
        <v>689</v>
      </c>
      <c r="S602" s="546" t="s">
        <v>507</v>
      </c>
      <c r="T602" s="519" t="str">
        <f>AI11</f>
        <v>SGN3</v>
      </c>
      <c r="U602" s="631"/>
      <c r="V602" s="842"/>
      <c r="W602" s="842"/>
      <c r="X602" s="503"/>
      <c r="Y602" s="562"/>
      <c r="Z602" s="825"/>
      <c r="AA602" s="825"/>
      <c r="AB602" s="825"/>
      <c r="AC602" s="825"/>
      <c r="AD602" s="825"/>
      <c r="AE602" s="825"/>
      <c r="AF602" s="825"/>
      <c r="AG602" s="825"/>
      <c r="AH602" s="825"/>
      <c r="AI602" s="825"/>
      <c r="AJ602" s="825"/>
      <c r="AK602" s="825"/>
      <c r="AL602" s="825"/>
      <c r="AM602" s="825"/>
      <c r="AN602" s="825"/>
      <c r="AO602" s="825"/>
      <c r="AP602" s="825"/>
      <c r="AQ602" s="825"/>
      <c r="AR602" s="825"/>
      <c r="AS602" s="825"/>
      <c r="AT602" s="825"/>
      <c r="AU602" s="825"/>
      <c r="AV602" s="825"/>
      <c r="AW602" s="825"/>
      <c r="AX602" s="825"/>
      <c r="BA602" s="825"/>
      <c r="BB602" s="825"/>
      <c r="BC602" s="825"/>
      <c r="BD602" s="825"/>
      <c r="BE602" s="825"/>
      <c r="BF602" s="825"/>
      <c r="BG602" s="825"/>
      <c r="BH602" s="825"/>
      <c r="BI602" s="825"/>
      <c r="BJ602" s="825"/>
      <c r="BK602" s="825"/>
      <c r="BL602" s="825"/>
      <c r="BM602" s="825"/>
      <c r="BN602" s="825"/>
      <c r="BO602" s="825"/>
      <c r="BP602" s="825"/>
      <c r="BQ602" s="825"/>
      <c r="BR602" s="825"/>
      <c r="BS602" s="825"/>
      <c r="BT602" s="825"/>
      <c r="BU602" s="825"/>
      <c r="BV602" s="825"/>
      <c r="BW602" s="825"/>
      <c r="BX602" s="825"/>
      <c r="BY602" s="825"/>
      <c r="BZ602" s="825"/>
      <c r="CA602" s="825"/>
      <c r="CB602" s="825"/>
      <c r="CC602" s="825"/>
    </row>
    <row r="603" spans="1:81" s="575" customFormat="1" ht="44.35" customHeight="1" x14ac:dyDescent="0.25">
      <c r="A603" s="273"/>
      <c r="B603" s="1623"/>
      <c r="C603" s="1626"/>
      <c r="D603" s="1611"/>
      <c r="E603" s="1611"/>
      <c r="F603" s="1545"/>
      <c r="G603" s="1545"/>
      <c r="H603" s="1545"/>
      <c r="I603" s="1545"/>
      <c r="J603" s="1545"/>
      <c r="K603" s="1545"/>
      <c r="L603" s="1545"/>
      <c r="M603" s="762" t="s">
        <v>489</v>
      </c>
      <c r="N603" s="730" t="s">
        <v>962</v>
      </c>
      <c r="O603" s="1189" t="str">
        <f t="shared" si="16"/>
        <v>Corrupción</v>
      </c>
      <c r="P603" s="546" t="e">
        <f>#REF!</f>
        <v>#REF!</v>
      </c>
      <c r="Q603" s="534" t="str">
        <f>AG10</f>
        <v>Transparencia en incentivos financieros y obras públicas vinculadas a la ERDRBE</v>
      </c>
      <c r="R603" s="534" t="s">
        <v>687</v>
      </c>
      <c r="S603" s="546" t="s">
        <v>526</v>
      </c>
      <c r="T603" s="519" t="s">
        <v>531</v>
      </c>
      <c r="U603" s="631"/>
      <c r="V603" s="842"/>
      <c r="W603" s="842"/>
      <c r="X603" s="503"/>
      <c r="Y603" s="562"/>
      <c r="Z603" s="825"/>
      <c r="AA603" s="825"/>
      <c r="AB603" s="825"/>
      <c r="AC603" s="825"/>
      <c r="AD603" s="825"/>
      <c r="AE603" s="825"/>
      <c r="AF603" s="825"/>
      <c r="AG603" s="825"/>
      <c r="AH603" s="825"/>
      <c r="AI603" s="825"/>
      <c r="AJ603" s="825"/>
      <c r="AK603" s="825"/>
      <c r="AL603" s="825"/>
      <c r="AM603" s="825"/>
      <c r="AN603" s="825"/>
      <c r="AO603" s="825"/>
      <c r="AP603" s="825"/>
      <c r="AQ603" s="825"/>
      <c r="AR603" s="825"/>
      <c r="AS603" s="825"/>
      <c r="AT603" s="825"/>
      <c r="AU603" s="825"/>
      <c r="AV603" s="825"/>
      <c r="AW603" s="825"/>
      <c r="AX603" s="825"/>
      <c r="AY603" s="273"/>
      <c r="AZ603" s="273"/>
      <c r="BA603" s="825"/>
      <c r="BB603" s="825"/>
      <c r="BC603" s="825"/>
      <c r="BD603" s="825"/>
      <c r="BE603" s="825"/>
      <c r="BF603" s="825"/>
      <c r="BG603" s="825"/>
      <c r="BH603" s="825"/>
      <c r="BI603" s="825"/>
      <c r="BJ603" s="825"/>
      <c r="BK603" s="825"/>
      <c r="BL603" s="825"/>
      <c r="BM603" s="825"/>
      <c r="BN603" s="825"/>
      <c r="BO603" s="825"/>
      <c r="BP603" s="825"/>
      <c r="BQ603" s="825"/>
      <c r="BR603" s="825"/>
      <c r="BS603" s="825"/>
      <c r="BT603" s="825"/>
      <c r="BU603" s="825"/>
      <c r="BV603" s="825"/>
      <c r="BW603" s="825"/>
      <c r="BX603" s="825"/>
      <c r="BY603" s="825"/>
      <c r="BZ603" s="825"/>
      <c r="CA603" s="825"/>
      <c r="CB603" s="825"/>
      <c r="CC603" s="825"/>
    </row>
    <row r="604" spans="1:81" s="599" customFormat="1" ht="34.5" customHeight="1" x14ac:dyDescent="0.25">
      <c r="A604" s="601"/>
      <c r="B604" s="1623"/>
      <c r="C604" s="1626"/>
      <c r="D604" s="1611"/>
      <c r="E604" s="1611"/>
      <c r="F604" s="1545"/>
      <c r="G604" s="1545"/>
      <c r="H604" s="1545"/>
      <c r="I604" s="1545"/>
      <c r="J604" s="1545"/>
      <c r="K604" s="1545"/>
      <c r="L604" s="1545"/>
      <c r="M604" s="762" t="s">
        <v>489</v>
      </c>
      <c r="N604" s="730" t="s">
        <v>963</v>
      </c>
      <c r="O604" s="964" t="str">
        <f t="shared" si="16"/>
        <v>Corrupción</v>
      </c>
      <c r="P604" s="546" t="e">
        <f>#REF!</f>
        <v>#REF!</v>
      </c>
      <c r="Q604" s="534" t="str">
        <f>AG11</f>
        <v>Transparencia en las adquisiciones vinculadas a la ERDRBE</v>
      </c>
      <c r="R604" s="534" t="s">
        <v>805</v>
      </c>
      <c r="S604" s="546" t="s">
        <v>526</v>
      </c>
      <c r="T604" s="519" t="str">
        <f>AF11</f>
        <v>SCR3</v>
      </c>
      <c r="U604" s="633"/>
      <c r="V604" s="590"/>
      <c r="W604" s="590"/>
      <c r="X604" s="602"/>
      <c r="Y604" s="603"/>
      <c r="AY604" s="601"/>
      <c r="AZ604" s="601"/>
    </row>
    <row r="605" spans="1:81" x14ac:dyDescent="0.25">
      <c r="A605" s="825"/>
      <c r="B605" s="674"/>
      <c r="C605" s="1175"/>
      <c r="D605" s="1065"/>
      <c r="E605" s="1066"/>
      <c r="F605" s="511"/>
      <c r="G605" s="1104"/>
      <c r="H605" s="1122"/>
      <c r="I605" s="1056"/>
      <c r="J605" s="676"/>
      <c r="K605" s="1024"/>
      <c r="L605" s="1026"/>
      <c r="M605" s="741"/>
      <c r="N605" s="734"/>
      <c r="O605" s="513"/>
      <c r="P605" s="513"/>
      <c r="Q605" s="755"/>
      <c r="R605" s="273"/>
      <c r="S605" s="273"/>
      <c r="T605" s="518"/>
      <c r="U605" s="610"/>
      <c r="V605" s="273"/>
      <c r="W605" s="273"/>
      <c r="X605" s="825"/>
      <c r="Y605" s="825"/>
      <c r="Z605" s="825"/>
      <c r="AA605" s="825"/>
      <c r="AB605" s="825"/>
      <c r="AC605" s="825"/>
      <c r="AD605" s="825"/>
      <c r="AE605" s="825"/>
      <c r="AF605" s="825"/>
      <c r="AG605" s="825"/>
      <c r="AH605" s="825"/>
      <c r="AI605" s="825"/>
      <c r="AJ605" s="825"/>
      <c r="AK605" s="825"/>
      <c r="AL605" s="825"/>
      <c r="AM605" s="825"/>
      <c r="AN605" s="825"/>
      <c r="AO605" s="825"/>
      <c r="AP605" s="825"/>
      <c r="AQ605" s="825"/>
      <c r="AR605" s="825"/>
      <c r="AS605" s="825"/>
      <c r="AT605" s="825"/>
      <c r="AU605" s="825"/>
      <c r="AV605" s="825"/>
      <c r="AW605" s="825"/>
      <c r="AX605" s="825"/>
      <c r="BA605" s="825"/>
      <c r="BB605" s="825"/>
      <c r="BC605" s="825"/>
      <c r="BD605" s="825"/>
      <c r="BE605" s="825"/>
      <c r="BF605" s="825"/>
      <c r="BG605" s="825"/>
      <c r="BH605" s="825"/>
      <c r="BI605" s="825"/>
      <c r="BJ605" s="825"/>
      <c r="BK605" s="825"/>
      <c r="BL605" s="825"/>
      <c r="BM605" s="825"/>
      <c r="BN605" s="825"/>
      <c r="BO605" s="825"/>
      <c r="BP605" s="825"/>
      <c r="BQ605" s="825"/>
      <c r="BR605" s="825"/>
      <c r="BS605" s="825"/>
      <c r="BT605" s="825"/>
      <c r="BU605" s="825"/>
      <c r="BV605" s="825"/>
      <c r="BW605" s="825"/>
      <c r="BX605" s="825"/>
      <c r="BY605" s="825"/>
      <c r="BZ605" s="825"/>
      <c r="CA605" s="825"/>
      <c r="CB605" s="825"/>
      <c r="CC605" s="825"/>
    </row>
    <row r="606" spans="1:81" x14ac:dyDescent="0.25">
      <c r="A606" s="825"/>
      <c r="B606" s="1176"/>
      <c r="C606" s="1177"/>
      <c r="I606" s="1195"/>
      <c r="J606" s="1196"/>
      <c r="K606" s="1197"/>
      <c r="L606" s="1198"/>
      <c r="M606" s="1199"/>
      <c r="N606" s="735"/>
      <c r="R606" s="825"/>
      <c r="S606" s="825"/>
      <c r="V606" s="825"/>
      <c r="W606" s="825"/>
      <c r="X606" s="825"/>
      <c r="Y606" s="825"/>
      <c r="Z606" s="825"/>
      <c r="AA606" s="825"/>
      <c r="AB606" s="825"/>
      <c r="AC606" s="825"/>
      <c r="AD606" s="825"/>
      <c r="AE606" s="825"/>
      <c r="AF606" s="825"/>
      <c r="AG606" s="825"/>
      <c r="AH606" s="825"/>
      <c r="AI606" s="825"/>
      <c r="AJ606" s="825"/>
      <c r="AK606" s="825"/>
      <c r="AL606" s="825"/>
      <c r="AM606" s="825"/>
      <c r="AN606" s="825"/>
      <c r="AO606" s="825"/>
      <c r="AP606" s="825"/>
      <c r="AQ606" s="825"/>
      <c r="AR606" s="825"/>
      <c r="AS606" s="825"/>
      <c r="AT606" s="825"/>
      <c r="AU606" s="825"/>
      <c r="AV606" s="825"/>
      <c r="AW606" s="825"/>
      <c r="AX606" s="825"/>
      <c r="BA606" s="825"/>
      <c r="BB606" s="825"/>
      <c r="BC606" s="825"/>
      <c r="BD606" s="825"/>
      <c r="BE606" s="825"/>
      <c r="BF606" s="825"/>
      <c r="BG606" s="825"/>
      <c r="BH606" s="825"/>
      <c r="BI606" s="825"/>
      <c r="BJ606" s="825"/>
      <c r="BK606" s="825"/>
      <c r="BL606" s="825"/>
      <c r="BM606" s="825"/>
      <c r="BN606" s="825"/>
      <c r="BO606" s="825"/>
      <c r="BP606" s="825"/>
      <c r="BQ606" s="825"/>
      <c r="BR606" s="825"/>
      <c r="BS606" s="825"/>
      <c r="BT606" s="825"/>
      <c r="BU606" s="825"/>
      <c r="BV606" s="825"/>
      <c r="BW606" s="825"/>
      <c r="BX606" s="825"/>
      <c r="BY606" s="825"/>
      <c r="BZ606" s="825"/>
      <c r="CA606" s="825"/>
      <c r="CB606" s="825"/>
      <c r="CC606" s="825"/>
    </row>
    <row r="607" spans="1:81" x14ac:dyDescent="0.25">
      <c r="A607" s="825"/>
      <c r="B607" s="1176"/>
      <c r="C607" s="1177"/>
      <c r="I607" s="1200">
        <f>SUM(I8:I605)</f>
        <v>2206101558.0905809</v>
      </c>
      <c r="J607" s="1201">
        <f>SUM(J8:J604)</f>
        <v>1500149.0595015949</v>
      </c>
      <c r="K607" s="1202"/>
      <c r="L607" s="1203">
        <f>SUM(L8:L604)</f>
        <v>7214227.5599999987</v>
      </c>
      <c r="M607" s="1204"/>
      <c r="N607" s="825"/>
      <c r="R607" s="825"/>
      <c r="S607" s="825"/>
      <c r="V607" s="825"/>
      <c r="W607" s="825"/>
      <c r="X607" s="825"/>
      <c r="Y607" s="825"/>
      <c r="Z607" s="825"/>
      <c r="AA607" s="825"/>
      <c r="AB607" s="825"/>
      <c r="AC607" s="825"/>
      <c r="AD607" s="825"/>
      <c r="AE607" s="825"/>
      <c r="AF607" s="825"/>
      <c r="AG607" s="825"/>
      <c r="AH607" s="825"/>
      <c r="AI607" s="825"/>
      <c r="AJ607" s="825"/>
      <c r="AK607" s="825"/>
      <c r="AL607" s="825"/>
      <c r="AM607" s="825"/>
      <c r="AN607" s="825"/>
      <c r="AO607" s="825"/>
      <c r="AP607" s="825"/>
      <c r="AQ607" s="825"/>
      <c r="AR607" s="825"/>
      <c r="AS607" s="825"/>
      <c r="AT607" s="825"/>
      <c r="AU607" s="825"/>
      <c r="AV607" s="825"/>
      <c r="AW607" s="825"/>
      <c r="AX607" s="825"/>
      <c r="BA607" s="825"/>
      <c r="BB607" s="825"/>
      <c r="BC607" s="825"/>
      <c r="BD607" s="825"/>
      <c r="BE607" s="825"/>
      <c r="BF607" s="825"/>
      <c r="BG607" s="825"/>
      <c r="BH607" s="825"/>
      <c r="BI607" s="825"/>
      <c r="BJ607" s="825"/>
      <c r="BK607" s="825"/>
      <c r="BL607" s="825"/>
      <c r="BM607" s="825"/>
      <c r="BN607" s="825"/>
      <c r="BO607" s="825"/>
      <c r="BP607" s="825"/>
      <c r="BQ607" s="825"/>
      <c r="BR607" s="825"/>
      <c r="BS607" s="825"/>
      <c r="BT607" s="825"/>
      <c r="BU607" s="825"/>
      <c r="BV607" s="825"/>
      <c r="BW607" s="825"/>
      <c r="BX607" s="825"/>
      <c r="BY607" s="825"/>
      <c r="BZ607" s="825"/>
      <c r="CA607" s="825"/>
      <c r="CB607" s="825"/>
      <c r="CC607" s="825"/>
    </row>
    <row r="608" spans="1:81" x14ac:dyDescent="0.25">
      <c r="A608" s="825"/>
      <c r="B608" s="1176"/>
      <c r="C608" s="1177"/>
      <c r="I608" s="1195"/>
      <c r="J608" s="1205">
        <f>+J607/I607</f>
        <v>6.7999999999999994E-4</v>
      </c>
      <c r="K608" s="1196"/>
      <c r="L608" s="1199">
        <f>+AE59</f>
        <v>15105890.316</v>
      </c>
      <c r="M608" s="1199"/>
      <c r="N608" s="825"/>
      <c r="R608" s="825"/>
      <c r="S608" s="825"/>
      <c r="V608" s="825"/>
      <c r="W608" s="825"/>
      <c r="X608" s="825"/>
      <c r="Y608" s="825"/>
      <c r="Z608" s="825"/>
      <c r="AA608" s="825"/>
      <c r="AB608" s="825"/>
      <c r="AC608" s="825"/>
      <c r="AD608" s="825"/>
      <c r="AE608" s="825"/>
      <c r="AF608" s="825"/>
      <c r="AG608" s="825"/>
      <c r="AH608" s="825"/>
      <c r="AI608" s="825"/>
      <c r="AJ608" s="825"/>
      <c r="AK608" s="825"/>
      <c r="AL608" s="825"/>
      <c r="AM608" s="825"/>
      <c r="AN608" s="825"/>
      <c r="AO608" s="825"/>
      <c r="AP608" s="825"/>
      <c r="AQ608" s="825"/>
      <c r="AR608" s="825"/>
      <c r="AS608" s="825"/>
      <c r="AT608" s="825"/>
      <c r="AU608" s="825"/>
      <c r="AV608" s="825"/>
      <c r="AW608" s="825"/>
      <c r="AX608" s="825"/>
      <c r="BA608" s="825"/>
      <c r="BB608" s="825"/>
      <c r="BC608" s="825"/>
      <c r="BD608" s="825"/>
      <c r="BE608" s="825"/>
      <c r="BF608" s="825"/>
      <c r="BG608" s="825"/>
      <c r="BH608" s="825"/>
      <c r="BI608" s="825"/>
      <c r="BJ608" s="825"/>
      <c r="BK608" s="825"/>
      <c r="BL608" s="825"/>
      <c r="BM608" s="825"/>
      <c r="BN608" s="825"/>
      <c r="BO608" s="825"/>
      <c r="BP608" s="825"/>
      <c r="BQ608" s="825"/>
      <c r="BR608" s="825"/>
      <c r="BS608" s="825"/>
      <c r="BT608" s="825"/>
      <c r="BU608" s="825"/>
      <c r="BV608" s="825"/>
      <c r="BW608" s="825"/>
      <c r="BX608" s="825"/>
      <c r="BY608" s="825"/>
      <c r="BZ608" s="825"/>
      <c r="CA608" s="825"/>
      <c r="CB608" s="825"/>
      <c r="CC608" s="825"/>
    </row>
    <row r="609" spans="1:81" x14ac:dyDescent="0.25">
      <c r="A609" s="825"/>
      <c r="B609" s="1176"/>
      <c r="C609" s="1177"/>
      <c r="I609" s="1195"/>
      <c r="J609" s="1196"/>
      <c r="K609" s="1196"/>
      <c r="L609" s="1206">
        <f>+L608/I607</f>
        <v>6.8473231708672602E-3</v>
      </c>
      <c r="M609" s="1199" t="s">
        <v>2613</v>
      </c>
      <c r="N609" s="825"/>
      <c r="R609" s="825"/>
      <c r="S609" s="825"/>
      <c r="V609" s="825"/>
      <c r="W609" s="825"/>
      <c r="X609" s="825"/>
      <c r="Y609" s="825"/>
      <c r="Z609" s="825"/>
      <c r="AA609" s="825"/>
      <c r="AB609" s="825"/>
      <c r="AC609" s="825"/>
      <c r="AD609" s="825"/>
      <c r="AE609" s="825"/>
      <c r="AF609" s="825"/>
      <c r="AG609" s="825"/>
      <c r="AH609" s="825"/>
      <c r="AI609" s="825"/>
      <c r="AJ609" s="825"/>
      <c r="AK609" s="825"/>
      <c r="AL609" s="825"/>
      <c r="AM609" s="825"/>
      <c r="AN609" s="825"/>
      <c r="AO609" s="825"/>
      <c r="AP609" s="825"/>
      <c r="AQ609" s="825"/>
      <c r="AR609" s="825"/>
      <c r="AS609" s="825"/>
      <c r="AT609" s="825"/>
      <c r="AU609" s="825"/>
      <c r="AV609" s="825"/>
      <c r="AW609" s="825"/>
      <c r="AX609" s="825"/>
      <c r="BA609" s="825"/>
      <c r="BB609" s="825"/>
      <c r="BC609" s="825"/>
      <c r="BD609" s="825"/>
      <c r="BE609" s="825"/>
      <c r="BF609" s="825"/>
      <c r="BG609" s="825"/>
      <c r="BH609" s="825"/>
      <c r="BI609" s="825"/>
      <c r="BJ609" s="825"/>
      <c r="BK609" s="825"/>
      <c r="BL609" s="825"/>
      <c r="BM609" s="825"/>
      <c r="BN609" s="825"/>
      <c r="BO609" s="825"/>
      <c r="BP609" s="825"/>
      <c r="BQ609" s="825"/>
      <c r="BR609" s="825"/>
      <c r="BS609" s="825"/>
      <c r="BT609" s="825"/>
      <c r="BU609" s="825"/>
      <c r="BV609" s="825"/>
      <c r="BW609" s="825"/>
      <c r="BX609" s="825"/>
      <c r="BY609" s="825"/>
      <c r="BZ609" s="825"/>
      <c r="CA609" s="825"/>
      <c r="CB609" s="825"/>
      <c r="CC609" s="825"/>
    </row>
    <row r="610" spans="1:81" x14ac:dyDescent="0.25">
      <c r="A610" s="825"/>
      <c r="B610" s="1176"/>
      <c r="C610" s="1177"/>
      <c r="I610" s="1195"/>
      <c r="J610" s="1196"/>
      <c r="K610" s="1197"/>
      <c r="L610" s="1207">
        <f>+L608/GETPIVOTDATA("2025 S/",'11. Presup x Progra-Componente'!$B$9)</f>
        <v>5.0974928562561375E-3</v>
      </c>
      <c r="M610" s="1199" t="s">
        <v>2614</v>
      </c>
      <c r="N610" s="825"/>
      <c r="R610" s="825"/>
      <c r="S610" s="825"/>
      <c r="V610" s="825"/>
      <c r="W610" s="825"/>
      <c r="X610" s="825"/>
      <c r="Y610" s="825"/>
      <c r="Z610" s="825"/>
      <c r="AA610" s="825"/>
      <c r="AB610" s="825"/>
      <c r="AC610" s="825"/>
      <c r="AD610" s="825"/>
      <c r="AE610" s="825"/>
      <c r="AF610" s="825"/>
      <c r="AG610" s="825"/>
      <c r="AH610" s="825"/>
      <c r="AI610" s="825"/>
      <c r="AJ610" s="825"/>
      <c r="AK610" s="825"/>
      <c r="AL610" s="825"/>
      <c r="AM610" s="825"/>
      <c r="AN610" s="825"/>
      <c r="AO610" s="825"/>
      <c r="AP610" s="825"/>
      <c r="AQ610" s="825"/>
      <c r="AR610" s="825"/>
      <c r="AS610" s="825"/>
      <c r="AT610" s="825"/>
      <c r="AU610" s="825"/>
      <c r="AV610" s="825"/>
      <c r="AW610" s="825"/>
      <c r="AX610" s="825"/>
      <c r="BA610" s="825"/>
      <c r="BB610" s="825"/>
      <c r="BC610" s="825"/>
      <c r="BD610" s="825"/>
      <c r="BE610" s="825"/>
      <c r="BF610" s="825"/>
      <c r="BG610" s="825"/>
      <c r="BH610" s="825"/>
      <c r="BI610" s="825"/>
      <c r="BJ610" s="825"/>
      <c r="BK610" s="825"/>
      <c r="BL610" s="825"/>
      <c r="BM610" s="825"/>
      <c r="BN610" s="825"/>
      <c r="BO610" s="825"/>
      <c r="BP610" s="825"/>
      <c r="BQ610" s="825"/>
      <c r="BR610" s="825"/>
      <c r="BS610" s="825"/>
      <c r="BT610" s="825"/>
      <c r="BU610" s="825"/>
      <c r="BV610" s="825"/>
      <c r="BW610" s="825"/>
      <c r="BX610" s="825"/>
      <c r="BY610" s="825"/>
      <c r="BZ610" s="825"/>
      <c r="CA610" s="825"/>
      <c r="CB610" s="825"/>
      <c r="CC610" s="825"/>
    </row>
    <row r="611" spans="1:81" x14ac:dyDescent="0.25">
      <c r="A611" s="825"/>
      <c r="B611" s="1176"/>
      <c r="C611" s="1177"/>
      <c r="K611" s="1024"/>
      <c r="L611" s="1026"/>
      <c r="N611" s="825"/>
      <c r="R611" s="825"/>
      <c r="S611" s="825"/>
      <c r="V611" s="825"/>
      <c r="W611" s="825"/>
      <c r="X611" s="825"/>
      <c r="Y611" s="825"/>
      <c r="Z611" s="825"/>
      <c r="AA611" s="825"/>
      <c r="AB611" s="825"/>
      <c r="AC611" s="825"/>
      <c r="AD611" s="825"/>
      <c r="AE611" s="825"/>
      <c r="AF611" s="825"/>
      <c r="AG611" s="825"/>
      <c r="AH611" s="825"/>
      <c r="AI611" s="825"/>
      <c r="AJ611" s="825"/>
      <c r="AK611" s="825"/>
      <c r="AL611" s="825"/>
      <c r="AM611" s="825"/>
      <c r="AN611" s="825"/>
      <c r="AO611" s="825"/>
      <c r="AP611" s="825"/>
      <c r="AQ611" s="825"/>
      <c r="AR611" s="825"/>
      <c r="AS611" s="825"/>
      <c r="AT611" s="825"/>
      <c r="AU611" s="825"/>
      <c r="AV611" s="825"/>
      <c r="AW611" s="825"/>
      <c r="AX611" s="825"/>
      <c r="BA611" s="825"/>
      <c r="BB611" s="825"/>
      <c r="BC611" s="825"/>
      <c r="BD611" s="825"/>
      <c r="BE611" s="825"/>
      <c r="BF611" s="825"/>
      <c r="BG611" s="825"/>
      <c r="BH611" s="825"/>
      <c r="BI611" s="825"/>
      <c r="BJ611" s="825"/>
      <c r="BK611" s="825"/>
      <c r="BL611" s="825"/>
      <c r="BM611" s="825"/>
      <c r="BN611" s="825"/>
      <c r="BO611" s="825"/>
      <c r="BP611" s="825"/>
      <c r="BQ611" s="825"/>
      <c r="BR611" s="825"/>
      <c r="BS611" s="825"/>
      <c r="BT611" s="825"/>
      <c r="BU611" s="825"/>
      <c r="BV611" s="825"/>
      <c r="BW611" s="825"/>
      <c r="BX611" s="825"/>
      <c r="BY611" s="825"/>
      <c r="BZ611" s="825"/>
      <c r="CA611" s="825"/>
      <c r="CB611" s="825"/>
      <c r="CC611" s="825"/>
    </row>
    <row r="612" spans="1:81" x14ac:dyDescent="0.25">
      <c r="A612" s="825"/>
      <c r="B612" s="1176"/>
      <c r="C612" s="1177"/>
      <c r="K612" s="1025"/>
      <c r="L612" s="1026"/>
      <c r="N612" s="825"/>
      <c r="R612" s="825"/>
      <c r="S612" s="825"/>
      <c r="V612" s="825"/>
      <c r="W612" s="825"/>
      <c r="X612" s="825"/>
      <c r="Y612" s="825"/>
      <c r="Z612" s="825"/>
      <c r="AA612" s="825"/>
      <c r="AB612" s="825"/>
      <c r="AC612" s="825"/>
      <c r="AD612" s="825"/>
      <c r="AE612" s="825"/>
      <c r="AF612" s="825"/>
      <c r="AG612" s="825"/>
      <c r="AH612" s="825"/>
      <c r="AI612" s="825"/>
      <c r="AJ612" s="825"/>
      <c r="AK612" s="825"/>
      <c r="AL612" s="825"/>
      <c r="AM612" s="825"/>
      <c r="AN612" s="825"/>
      <c r="AO612" s="825"/>
      <c r="AP612" s="825"/>
      <c r="AQ612" s="825"/>
      <c r="AR612" s="825"/>
      <c r="AS612" s="825"/>
      <c r="AT612" s="825"/>
      <c r="AU612" s="825"/>
      <c r="AV612" s="825"/>
      <c r="AW612" s="825"/>
      <c r="AX612" s="825"/>
      <c r="BA612" s="825"/>
      <c r="BB612" s="825"/>
      <c r="BC612" s="825"/>
      <c r="BD612" s="825"/>
      <c r="BE612" s="825"/>
      <c r="BF612" s="825"/>
      <c r="BG612" s="825"/>
      <c r="BH612" s="825"/>
      <c r="BI612" s="825"/>
      <c r="BJ612" s="825"/>
      <c r="BK612" s="825"/>
      <c r="BL612" s="825"/>
      <c r="BM612" s="825"/>
      <c r="BN612" s="825"/>
      <c r="BO612" s="825"/>
      <c r="BP612" s="825"/>
      <c r="BQ612" s="825"/>
      <c r="BR612" s="825"/>
      <c r="BS612" s="825"/>
      <c r="BT612" s="825"/>
      <c r="BU612" s="825"/>
      <c r="BV612" s="825"/>
      <c r="BW612" s="825"/>
      <c r="BX612" s="825"/>
      <c r="BY612" s="825"/>
      <c r="BZ612" s="825"/>
      <c r="CA612" s="825"/>
      <c r="CB612" s="825"/>
      <c r="CC612" s="825"/>
    </row>
    <row r="613" spans="1:81" x14ac:dyDescent="0.25">
      <c r="A613" s="825"/>
      <c r="B613" s="1176"/>
      <c r="C613" s="1177"/>
      <c r="K613" s="1024"/>
      <c r="L613" s="1026"/>
      <c r="N613" s="825"/>
      <c r="R613" s="825"/>
      <c r="S613" s="825"/>
      <c r="V613" s="825"/>
      <c r="W613" s="825"/>
      <c r="X613" s="825"/>
      <c r="Y613" s="825"/>
      <c r="Z613" s="825"/>
      <c r="AA613" s="825"/>
      <c r="AB613" s="825"/>
      <c r="AC613" s="825"/>
      <c r="AD613" s="825"/>
      <c r="AE613" s="825"/>
      <c r="AF613" s="825"/>
      <c r="AG613" s="825"/>
      <c r="AH613" s="825"/>
      <c r="AI613" s="825"/>
      <c r="AJ613" s="825"/>
      <c r="AK613" s="825"/>
      <c r="AL613" s="825"/>
      <c r="AM613" s="825"/>
      <c r="AN613" s="825"/>
      <c r="AO613" s="825"/>
      <c r="AP613" s="825"/>
      <c r="AQ613" s="825"/>
      <c r="AR613" s="825"/>
      <c r="AS613" s="825"/>
      <c r="AT613" s="825"/>
      <c r="AU613" s="825"/>
      <c r="AV613" s="825"/>
      <c r="AW613" s="825"/>
      <c r="AX613" s="825"/>
      <c r="BA613" s="825"/>
      <c r="BB613" s="825"/>
      <c r="BC613" s="825"/>
      <c r="BD613" s="825"/>
      <c r="BE613" s="825"/>
      <c r="BF613" s="825"/>
      <c r="BG613" s="825"/>
      <c r="BH613" s="825"/>
      <c r="BI613" s="825"/>
      <c r="BJ613" s="825"/>
      <c r="BK613" s="825"/>
      <c r="BL613" s="825"/>
      <c r="BM613" s="825"/>
      <c r="BN613" s="825"/>
      <c r="BO613" s="825"/>
      <c r="BP613" s="825"/>
      <c r="BQ613" s="825"/>
      <c r="BR613" s="825"/>
      <c r="BS613" s="825"/>
      <c r="BT613" s="825"/>
      <c r="BU613" s="825"/>
      <c r="BV613" s="825"/>
      <c r="BW613" s="825"/>
      <c r="BX613" s="825"/>
      <c r="BY613" s="825"/>
      <c r="BZ613" s="825"/>
      <c r="CA613" s="825"/>
      <c r="CB613" s="825"/>
      <c r="CC613" s="825"/>
    </row>
    <row r="614" spans="1:81" x14ac:dyDescent="0.25">
      <c r="A614" s="825"/>
      <c r="B614" s="1176"/>
      <c r="C614" s="1177"/>
      <c r="E614" s="331"/>
      <c r="K614" s="1024"/>
      <c r="L614" s="1026"/>
      <c r="N614" s="825"/>
      <c r="R614" s="825"/>
      <c r="S614" s="825"/>
      <c r="V614" s="825"/>
      <c r="W614" s="825"/>
      <c r="X614" s="825"/>
      <c r="Y614" s="825"/>
      <c r="Z614" s="825"/>
      <c r="AA614" s="825"/>
      <c r="AB614" s="825"/>
      <c r="AC614" s="825"/>
      <c r="AD614" s="825"/>
      <c r="AE614" s="825"/>
      <c r="AF614" s="825"/>
      <c r="AG614" s="825"/>
      <c r="AH614" s="825"/>
      <c r="AI614" s="825"/>
      <c r="AJ614" s="825"/>
      <c r="AK614" s="825"/>
      <c r="AL614" s="825"/>
      <c r="AM614" s="825"/>
      <c r="AN614" s="825"/>
      <c r="AO614" s="825"/>
      <c r="AP614" s="825"/>
      <c r="AQ614" s="825"/>
      <c r="AR614" s="825"/>
      <c r="AS614" s="825"/>
      <c r="AT614" s="825"/>
      <c r="AU614" s="825"/>
      <c r="AV614" s="825"/>
      <c r="AW614" s="825"/>
      <c r="AX614" s="825"/>
      <c r="BA614" s="825"/>
      <c r="BB614" s="825"/>
      <c r="BC614" s="825"/>
      <c r="BD614" s="825"/>
      <c r="BE614" s="825"/>
      <c r="BF614" s="825"/>
      <c r="BG614" s="825"/>
      <c r="BH614" s="825"/>
      <c r="BI614" s="825"/>
      <c r="BJ614" s="825"/>
      <c r="BK614" s="825"/>
      <c r="BL614" s="825"/>
      <c r="BM614" s="825"/>
      <c r="BN614" s="825"/>
      <c r="BO614" s="825"/>
      <c r="BP614" s="825"/>
      <c r="BQ614" s="825"/>
      <c r="BR614" s="825"/>
      <c r="BS614" s="825"/>
      <c r="BT614" s="825"/>
      <c r="BU614" s="825"/>
      <c r="BV614" s="825"/>
      <c r="BW614" s="825"/>
      <c r="BX614" s="825"/>
      <c r="BY614" s="825"/>
      <c r="BZ614" s="825"/>
      <c r="CA614" s="825"/>
      <c r="CB614" s="825"/>
      <c r="CC614" s="825"/>
    </row>
    <row r="615" spans="1:81" x14ac:dyDescent="0.25">
      <c r="A615" s="825"/>
      <c r="B615" s="1176"/>
      <c r="C615" s="1177"/>
      <c r="K615" s="676"/>
      <c r="L615" s="640"/>
      <c r="N615" s="825"/>
      <c r="R615" s="825"/>
      <c r="S615" s="825"/>
      <c r="V615" s="825"/>
      <c r="W615" s="825"/>
      <c r="X615" s="825"/>
      <c r="Y615" s="825"/>
      <c r="Z615" s="825"/>
      <c r="AA615" s="825"/>
      <c r="AB615" s="825"/>
      <c r="AC615" s="825"/>
      <c r="AD615" s="825"/>
      <c r="AE615" s="825"/>
      <c r="AF615" s="825"/>
      <c r="AG615" s="825"/>
      <c r="AH615" s="825"/>
      <c r="AI615" s="825"/>
      <c r="AJ615" s="825"/>
      <c r="AK615" s="825"/>
      <c r="AL615" s="825"/>
      <c r="AM615" s="825"/>
      <c r="AN615" s="825"/>
      <c r="AO615" s="825"/>
      <c r="AP615" s="825"/>
      <c r="AQ615" s="825"/>
      <c r="AR615" s="825"/>
      <c r="AS615" s="825"/>
      <c r="AT615" s="825"/>
      <c r="AU615" s="825"/>
      <c r="AV615" s="825"/>
      <c r="AW615" s="825"/>
      <c r="AX615" s="825"/>
      <c r="BA615" s="825"/>
      <c r="BB615" s="825"/>
      <c r="BC615" s="825"/>
      <c r="BD615" s="825"/>
      <c r="BE615" s="825"/>
      <c r="BF615" s="825"/>
      <c r="BG615" s="825"/>
      <c r="BH615" s="825"/>
      <c r="BI615" s="825"/>
      <c r="BJ615" s="825"/>
      <c r="BK615" s="825"/>
      <c r="BL615" s="825"/>
      <c r="BM615" s="825"/>
      <c r="BN615" s="825"/>
      <c r="BO615" s="825"/>
      <c r="BP615" s="825"/>
      <c r="BQ615" s="825"/>
      <c r="BR615" s="825"/>
      <c r="BS615" s="825"/>
      <c r="BT615" s="825"/>
      <c r="BU615" s="825"/>
      <c r="BV615" s="825"/>
      <c r="BW615" s="825"/>
      <c r="BX615" s="825"/>
      <c r="BY615" s="825"/>
      <c r="BZ615" s="825"/>
      <c r="CA615" s="825"/>
      <c r="CB615" s="825"/>
      <c r="CC615" s="825"/>
    </row>
    <row r="616" spans="1:81" x14ac:dyDescent="0.25">
      <c r="A616" s="825"/>
      <c r="B616" s="1176"/>
      <c r="C616" s="1177"/>
      <c r="N616" s="825"/>
      <c r="R616" s="825"/>
      <c r="S616" s="825"/>
      <c r="V616" s="825"/>
      <c r="W616" s="825"/>
      <c r="X616" s="825"/>
      <c r="Y616" s="825"/>
      <c r="Z616" s="825"/>
      <c r="AA616" s="825"/>
      <c r="AB616" s="825"/>
      <c r="AC616" s="825"/>
      <c r="AD616" s="825"/>
      <c r="AE616" s="825"/>
      <c r="AF616" s="825"/>
      <c r="AG616" s="825"/>
      <c r="AH616" s="825"/>
      <c r="AI616" s="825"/>
      <c r="AJ616" s="825"/>
      <c r="AK616" s="825"/>
      <c r="AL616" s="825"/>
      <c r="AM616" s="825"/>
      <c r="AN616" s="825"/>
      <c r="AO616" s="825"/>
      <c r="AP616" s="825"/>
      <c r="AQ616" s="825"/>
      <c r="AR616" s="825"/>
      <c r="AS616" s="825"/>
      <c r="AT616" s="825"/>
      <c r="AU616" s="825"/>
      <c r="AV616" s="825"/>
      <c r="AW616" s="825"/>
      <c r="AX616" s="825"/>
      <c r="BA616" s="825"/>
      <c r="BB616" s="825"/>
      <c r="BC616" s="825"/>
      <c r="BD616" s="825"/>
      <c r="BE616" s="825"/>
      <c r="BF616" s="825"/>
      <c r="BG616" s="825"/>
      <c r="BH616" s="825"/>
      <c r="BI616" s="825"/>
      <c r="BJ616" s="825"/>
      <c r="BK616" s="825"/>
      <c r="BL616" s="825"/>
      <c r="BM616" s="825"/>
      <c r="BN616" s="825"/>
      <c r="BO616" s="825"/>
      <c r="BP616" s="825"/>
      <c r="BQ616" s="825"/>
      <c r="BR616" s="825"/>
      <c r="BS616" s="825"/>
      <c r="BT616" s="825"/>
      <c r="BU616" s="825"/>
      <c r="BV616" s="825"/>
      <c r="BW616" s="825"/>
      <c r="BX616" s="825"/>
      <c r="BY616" s="825"/>
      <c r="BZ616" s="825"/>
      <c r="CA616" s="825"/>
      <c r="CB616" s="825"/>
      <c r="CC616" s="825"/>
    </row>
    <row r="617" spans="1:81" x14ac:dyDescent="0.25">
      <c r="A617" s="825"/>
      <c r="B617" s="1176"/>
      <c r="C617" s="1177"/>
      <c r="N617" s="825"/>
      <c r="R617" s="825"/>
      <c r="S617" s="825"/>
      <c r="V617" s="825"/>
      <c r="W617" s="825"/>
      <c r="X617" s="825"/>
      <c r="Y617" s="825"/>
      <c r="Z617" s="825"/>
      <c r="AA617" s="825"/>
      <c r="AB617" s="825"/>
      <c r="AC617" s="825"/>
      <c r="AD617" s="825"/>
      <c r="AE617" s="825"/>
      <c r="AF617" s="825"/>
      <c r="AG617" s="825"/>
      <c r="AH617" s="825"/>
      <c r="AI617" s="825"/>
      <c r="AJ617" s="825"/>
      <c r="AK617" s="825"/>
      <c r="AL617" s="825"/>
      <c r="AM617" s="825"/>
      <c r="AN617" s="825"/>
      <c r="AO617" s="825"/>
      <c r="AP617" s="825"/>
      <c r="AQ617" s="825"/>
      <c r="AR617" s="825"/>
      <c r="AS617" s="825"/>
      <c r="AT617" s="825"/>
      <c r="AU617" s="825"/>
      <c r="AV617" s="825"/>
      <c r="AW617" s="825"/>
      <c r="AX617" s="825"/>
      <c r="BA617" s="825"/>
      <c r="BB617" s="825"/>
      <c r="BC617" s="825"/>
      <c r="BD617" s="825"/>
      <c r="BE617" s="825"/>
      <c r="BF617" s="825"/>
      <c r="BG617" s="825"/>
      <c r="BH617" s="825"/>
      <c r="BI617" s="825"/>
      <c r="BJ617" s="825"/>
      <c r="BK617" s="825"/>
      <c r="BL617" s="825"/>
      <c r="BM617" s="825"/>
      <c r="BN617" s="825"/>
      <c r="BO617" s="825"/>
      <c r="BP617" s="825"/>
      <c r="BQ617" s="825"/>
      <c r="BR617" s="825"/>
      <c r="BS617" s="825"/>
      <c r="BT617" s="825"/>
      <c r="BU617" s="825"/>
      <c r="BV617" s="825"/>
      <c r="BW617" s="825"/>
      <c r="BX617" s="825"/>
      <c r="BY617" s="825"/>
      <c r="BZ617" s="825"/>
      <c r="CA617" s="825"/>
      <c r="CB617" s="825"/>
      <c r="CC617" s="825"/>
    </row>
    <row r="618" spans="1:81" x14ac:dyDescent="0.25">
      <c r="A618" s="825"/>
      <c r="B618" s="1176"/>
      <c r="C618" s="1177"/>
      <c r="N618" s="825"/>
      <c r="R618" s="825"/>
      <c r="S618" s="825"/>
      <c r="V618" s="825"/>
      <c r="W618" s="825"/>
      <c r="X618" s="825"/>
      <c r="Y618" s="825"/>
      <c r="Z618" s="825"/>
      <c r="AA618" s="825"/>
      <c r="AB618" s="825"/>
      <c r="AC618" s="825"/>
      <c r="AD618" s="825"/>
      <c r="AE618" s="825"/>
      <c r="AF618" s="825"/>
      <c r="AG618" s="825"/>
      <c r="AH618" s="825"/>
      <c r="AI618" s="825"/>
      <c r="AJ618" s="825"/>
      <c r="AK618" s="825"/>
      <c r="AL618" s="825"/>
      <c r="AM618" s="825"/>
      <c r="AN618" s="825"/>
      <c r="AO618" s="825"/>
      <c r="AP618" s="825"/>
      <c r="AQ618" s="825"/>
      <c r="AR618" s="825"/>
      <c r="AS618" s="825"/>
      <c r="AT618" s="825"/>
      <c r="AU618" s="825"/>
      <c r="AV618" s="825"/>
      <c r="AW618" s="825"/>
      <c r="AX618" s="825"/>
      <c r="BA618" s="825"/>
      <c r="BB618" s="825"/>
      <c r="BC618" s="825"/>
      <c r="BD618" s="825"/>
      <c r="BE618" s="825"/>
      <c r="BF618" s="825"/>
      <c r="BG618" s="825"/>
      <c r="BH618" s="825"/>
      <c r="BI618" s="825"/>
      <c r="BJ618" s="825"/>
      <c r="BK618" s="825"/>
      <c r="BL618" s="825"/>
      <c r="BM618" s="825"/>
      <c r="BN618" s="825"/>
      <c r="BO618" s="825"/>
      <c r="BP618" s="825"/>
      <c r="BQ618" s="825"/>
      <c r="BR618" s="825"/>
      <c r="BS618" s="825"/>
      <c r="BT618" s="825"/>
      <c r="BU618" s="825"/>
      <c r="BV618" s="825"/>
      <c r="BW618" s="825"/>
      <c r="BX618" s="825"/>
      <c r="BY618" s="825"/>
      <c r="BZ618" s="825"/>
      <c r="CA618" s="825"/>
      <c r="CB618" s="825"/>
      <c r="CC618" s="825"/>
    </row>
    <row r="619" spans="1:81" x14ac:dyDescent="0.25">
      <c r="A619" s="825"/>
      <c r="B619" s="1176"/>
      <c r="C619" s="1177"/>
      <c r="N619" s="825"/>
      <c r="R619" s="825"/>
      <c r="S619" s="825"/>
      <c r="V619" s="825"/>
      <c r="W619" s="825"/>
      <c r="X619" s="825"/>
      <c r="Y619" s="825"/>
      <c r="Z619" s="825"/>
      <c r="AA619" s="825"/>
      <c r="AB619" s="825"/>
      <c r="AC619" s="825"/>
      <c r="AD619" s="825"/>
      <c r="AE619" s="825"/>
      <c r="AF619" s="825"/>
      <c r="AG619" s="825"/>
      <c r="AH619" s="825"/>
      <c r="AI619" s="825"/>
      <c r="AJ619" s="825"/>
      <c r="AK619" s="825"/>
      <c r="AL619" s="825"/>
      <c r="AM619" s="825"/>
      <c r="AN619" s="825"/>
      <c r="AO619" s="825"/>
      <c r="AP619" s="825"/>
      <c r="AQ619" s="825"/>
      <c r="AR619" s="825"/>
      <c r="AS619" s="825"/>
      <c r="AT619" s="825"/>
      <c r="AU619" s="825"/>
      <c r="AV619" s="825"/>
      <c r="AW619" s="825"/>
      <c r="AX619" s="825"/>
      <c r="BA619" s="825"/>
      <c r="BB619" s="825"/>
      <c r="BC619" s="825"/>
      <c r="BD619" s="825"/>
      <c r="BE619" s="825"/>
      <c r="BF619" s="825"/>
      <c r="BG619" s="825"/>
      <c r="BH619" s="825"/>
      <c r="BI619" s="825"/>
      <c r="BJ619" s="825"/>
      <c r="BK619" s="825"/>
      <c r="BL619" s="825"/>
      <c r="BM619" s="825"/>
      <c r="BN619" s="825"/>
      <c r="BO619" s="825"/>
      <c r="BP619" s="825"/>
      <c r="BQ619" s="825"/>
      <c r="BR619" s="825"/>
      <c r="BS619" s="825"/>
      <c r="BT619" s="825"/>
      <c r="BU619" s="825"/>
      <c r="BV619" s="825"/>
      <c r="BW619" s="825"/>
      <c r="BX619" s="825"/>
      <c r="BY619" s="825"/>
      <c r="BZ619" s="825"/>
      <c r="CA619" s="825"/>
      <c r="CB619" s="825"/>
      <c r="CC619" s="825"/>
    </row>
    <row r="620" spans="1:81" x14ac:dyDescent="0.25">
      <c r="A620" s="825"/>
      <c r="B620" s="1176"/>
      <c r="C620" s="1177"/>
      <c r="N620" s="825"/>
      <c r="R620" s="825"/>
      <c r="S620" s="825"/>
      <c r="V620" s="825"/>
      <c r="W620" s="825"/>
      <c r="X620" s="825"/>
      <c r="Y620" s="825"/>
      <c r="Z620" s="825"/>
      <c r="AA620" s="825"/>
      <c r="AB620" s="825"/>
      <c r="AC620" s="825"/>
      <c r="AD620" s="825"/>
      <c r="AE620" s="825"/>
      <c r="AF620" s="825"/>
      <c r="AG620" s="825"/>
      <c r="AH620" s="825"/>
      <c r="AI620" s="825"/>
      <c r="AJ620" s="825"/>
      <c r="AK620" s="825"/>
      <c r="AL620" s="825"/>
      <c r="AM620" s="825"/>
      <c r="AN620" s="825"/>
      <c r="AO620" s="825"/>
      <c r="AP620" s="825"/>
      <c r="AQ620" s="825"/>
      <c r="AR620" s="825"/>
      <c r="AS620" s="825"/>
      <c r="AT620" s="825"/>
      <c r="AU620" s="825"/>
      <c r="AV620" s="825"/>
      <c r="AW620" s="825"/>
      <c r="AX620" s="825"/>
      <c r="BA620" s="825"/>
      <c r="BB620" s="825"/>
      <c r="BC620" s="825"/>
      <c r="BD620" s="825"/>
      <c r="BE620" s="825"/>
      <c r="BF620" s="825"/>
      <c r="BG620" s="825"/>
      <c r="BH620" s="825"/>
      <c r="BI620" s="825"/>
      <c r="BJ620" s="825"/>
      <c r="BK620" s="825"/>
      <c r="BL620" s="825"/>
      <c r="BM620" s="825"/>
      <c r="BN620" s="825"/>
      <c r="BO620" s="825"/>
      <c r="BP620" s="825"/>
      <c r="BQ620" s="825"/>
      <c r="BR620" s="825"/>
      <c r="BS620" s="825"/>
      <c r="BT620" s="825"/>
      <c r="BU620" s="825"/>
      <c r="BV620" s="825"/>
      <c r="BW620" s="825"/>
      <c r="BX620" s="825"/>
      <c r="BY620" s="825"/>
      <c r="BZ620" s="825"/>
      <c r="CA620" s="825"/>
      <c r="CB620" s="825"/>
      <c r="CC620" s="825"/>
    </row>
    <row r="621" spans="1:81" x14ac:dyDescent="0.25">
      <c r="A621" s="825"/>
      <c r="B621" s="1176"/>
      <c r="C621" s="1177"/>
      <c r="N621" s="825"/>
      <c r="R621" s="825"/>
      <c r="S621" s="825"/>
      <c r="V621" s="825"/>
      <c r="W621" s="825"/>
      <c r="X621" s="825"/>
      <c r="Y621" s="825"/>
      <c r="Z621" s="825"/>
      <c r="AA621" s="825"/>
      <c r="AB621" s="825"/>
      <c r="AC621" s="825"/>
      <c r="AD621" s="825"/>
      <c r="AE621" s="825"/>
      <c r="AF621" s="825"/>
      <c r="AG621" s="825"/>
      <c r="AH621" s="825"/>
      <c r="AI621" s="825"/>
      <c r="AJ621" s="825"/>
      <c r="AK621" s="825"/>
      <c r="AL621" s="825"/>
      <c r="AM621" s="825"/>
      <c r="AN621" s="825"/>
      <c r="AO621" s="825"/>
      <c r="AP621" s="825"/>
      <c r="AQ621" s="825"/>
      <c r="AR621" s="825"/>
      <c r="AS621" s="825"/>
      <c r="AT621" s="825"/>
      <c r="AU621" s="825"/>
      <c r="AV621" s="825"/>
      <c r="AW621" s="825"/>
      <c r="AX621" s="825"/>
      <c r="BA621" s="825"/>
      <c r="BB621" s="825"/>
      <c r="BC621" s="825"/>
      <c r="BD621" s="825"/>
      <c r="BE621" s="825"/>
      <c r="BF621" s="825"/>
      <c r="BG621" s="825"/>
      <c r="BH621" s="825"/>
      <c r="BI621" s="825"/>
      <c r="BJ621" s="825"/>
      <c r="BK621" s="825"/>
      <c r="BL621" s="825"/>
      <c r="BM621" s="825"/>
      <c r="BN621" s="825"/>
      <c r="BO621" s="825"/>
      <c r="BP621" s="825"/>
      <c r="BQ621" s="825"/>
      <c r="BR621" s="825"/>
      <c r="BS621" s="825"/>
      <c r="BT621" s="825"/>
      <c r="BU621" s="825"/>
      <c r="BV621" s="825"/>
      <c r="BW621" s="825"/>
      <c r="BX621" s="825"/>
      <c r="BY621" s="825"/>
      <c r="BZ621" s="825"/>
      <c r="CA621" s="825"/>
      <c r="CB621" s="825"/>
      <c r="CC621" s="825"/>
    </row>
    <row r="622" spans="1:81" x14ac:dyDescent="0.25">
      <c r="A622" s="825"/>
      <c r="B622" s="1176"/>
      <c r="C622" s="1177"/>
      <c r="N622" s="825"/>
      <c r="R622" s="825"/>
      <c r="S622" s="825"/>
      <c r="V622" s="825"/>
      <c r="W622" s="825"/>
      <c r="X622" s="825"/>
      <c r="Y622" s="825"/>
      <c r="Z622" s="825"/>
      <c r="AA622" s="825"/>
      <c r="AB622" s="825"/>
      <c r="AC622" s="825"/>
      <c r="AD622" s="825"/>
      <c r="AE622" s="825"/>
      <c r="AF622" s="825"/>
      <c r="AG622" s="825"/>
      <c r="AH622" s="825"/>
      <c r="AI622" s="825"/>
      <c r="AJ622" s="825"/>
      <c r="AK622" s="825"/>
      <c r="AL622" s="825"/>
      <c r="AM622" s="825"/>
      <c r="AN622" s="825"/>
      <c r="AO622" s="825"/>
      <c r="AP622" s="825"/>
      <c r="AQ622" s="825"/>
      <c r="AR622" s="825"/>
      <c r="AS622" s="825"/>
      <c r="AT622" s="825"/>
      <c r="AU622" s="825"/>
      <c r="AV622" s="825"/>
      <c r="AW622" s="825"/>
      <c r="AX622" s="825"/>
      <c r="BA622" s="825"/>
      <c r="BB622" s="825"/>
      <c r="BC622" s="825"/>
      <c r="BD622" s="825"/>
      <c r="BE622" s="825"/>
      <c r="BF622" s="825"/>
      <c r="BG622" s="825"/>
      <c r="BH622" s="825"/>
      <c r="BI622" s="825"/>
      <c r="BJ622" s="825"/>
      <c r="BK622" s="825"/>
      <c r="BL622" s="825"/>
      <c r="BM622" s="825"/>
      <c r="BN622" s="825"/>
      <c r="BO622" s="825"/>
      <c r="BP622" s="825"/>
      <c r="BQ622" s="825"/>
      <c r="BR622" s="825"/>
      <c r="BS622" s="825"/>
      <c r="BT622" s="825"/>
      <c r="BU622" s="825"/>
      <c r="BV622" s="825"/>
      <c r="BW622" s="825"/>
      <c r="BX622" s="825"/>
      <c r="BY622" s="825"/>
      <c r="BZ622" s="825"/>
      <c r="CA622" s="825"/>
      <c r="CB622" s="825"/>
      <c r="CC622" s="825"/>
    </row>
    <row r="623" spans="1:81" x14ac:dyDescent="0.25">
      <c r="A623" s="825"/>
      <c r="B623" s="1176"/>
      <c r="C623" s="1177"/>
      <c r="N623" s="825"/>
      <c r="R623" s="825"/>
      <c r="S623" s="825"/>
      <c r="V623" s="825"/>
      <c r="W623" s="825"/>
      <c r="X623" s="825"/>
      <c r="Y623" s="825"/>
      <c r="Z623" s="825"/>
      <c r="AA623" s="825"/>
      <c r="AB623" s="825"/>
      <c r="AC623" s="825"/>
      <c r="AD623" s="825"/>
      <c r="AE623" s="825"/>
      <c r="AF623" s="825"/>
      <c r="AG623" s="825"/>
      <c r="AH623" s="825"/>
      <c r="AI623" s="825"/>
      <c r="AJ623" s="825"/>
      <c r="AK623" s="825"/>
      <c r="AL623" s="825"/>
      <c r="AM623" s="825"/>
      <c r="AN623" s="825"/>
      <c r="AO623" s="825"/>
      <c r="AP623" s="825"/>
      <c r="AQ623" s="825"/>
      <c r="AR623" s="825"/>
      <c r="AS623" s="825"/>
      <c r="AT623" s="825"/>
      <c r="AU623" s="825"/>
      <c r="AV623" s="825"/>
      <c r="AW623" s="825"/>
      <c r="AX623" s="825"/>
      <c r="BA623" s="825"/>
      <c r="BB623" s="825"/>
      <c r="BC623" s="825"/>
      <c r="BD623" s="825"/>
      <c r="BE623" s="825"/>
      <c r="BF623" s="825"/>
      <c r="BG623" s="825"/>
      <c r="BH623" s="825"/>
      <c r="BI623" s="825"/>
      <c r="BJ623" s="825"/>
      <c r="BK623" s="825"/>
      <c r="BL623" s="825"/>
      <c r="BM623" s="825"/>
      <c r="BN623" s="825"/>
      <c r="BO623" s="825"/>
      <c r="BP623" s="825"/>
      <c r="BQ623" s="825"/>
      <c r="BR623" s="825"/>
      <c r="BS623" s="825"/>
      <c r="BT623" s="825"/>
      <c r="BU623" s="825"/>
      <c r="BV623" s="825"/>
      <c r="BW623" s="825"/>
      <c r="BX623" s="825"/>
      <c r="BY623" s="825"/>
      <c r="BZ623" s="825"/>
      <c r="CA623" s="825"/>
      <c r="CB623" s="825"/>
      <c r="CC623" s="825"/>
    </row>
    <row r="624" spans="1:81" x14ac:dyDescent="0.25">
      <c r="A624" s="825"/>
      <c r="B624" s="1176"/>
      <c r="C624" s="1177"/>
      <c r="N624" s="825"/>
      <c r="R624" s="825"/>
      <c r="S624" s="825"/>
      <c r="V624" s="825"/>
      <c r="W624" s="825"/>
      <c r="X624" s="825"/>
      <c r="Y624" s="825"/>
      <c r="Z624" s="825"/>
      <c r="AA624" s="825"/>
      <c r="AB624" s="825"/>
      <c r="AC624" s="825"/>
      <c r="AD624" s="825"/>
      <c r="AE624" s="825"/>
      <c r="AF624" s="825"/>
      <c r="AG624" s="825"/>
      <c r="AH624" s="825"/>
      <c r="AI624" s="825"/>
      <c r="AJ624" s="825"/>
      <c r="AK624" s="825"/>
      <c r="AL624" s="825"/>
      <c r="AM624" s="825"/>
      <c r="AN624" s="825"/>
      <c r="AO624" s="825"/>
      <c r="AP624" s="825"/>
      <c r="AQ624" s="825"/>
      <c r="AR624" s="825"/>
      <c r="AS624" s="825"/>
      <c r="AT624" s="825"/>
      <c r="AU624" s="825"/>
      <c r="AV624" s="825"/>
      <c r="AW624" s="825"/>
      <c r="AX624" s="825"/>
      <c r="BA624" s="825"/>
      <c r="BB624" s="825"/>
      <c r="BC624" s="825"/>
      <c r="BD624" s="825"/>
      <c r="BE624" s="825"/>
      <c r="BF624" s="825"/>
      <c r="BG624" s="825"/>
      <c r="BH624" s="825"/>
      <c r="BI624" s="825"/>
      <c r="BJ624" s="825"/>
      <c r="BK624" s="825"/>
      <c r="BL624" s="825"/>
      <c r="BM624" s="825"/>
      <c r="BN624" s="825"/>
      <c r="BO624" s="825"/>
      <c r="BP624" s="825"/>
      <c r="BQ624" s="825"/>
      <c r="BR624" s="825"/>
      <c r="BS624" s="825"/>
      <c r="BT624" s="825"/>
      <c r="BU624" s="825"/>
      <c r="BV624" s="825"/>
      <c r="BW624" s="825"/>
      <c r="BX624" s="825"/>
      <c r="BY624" s="825"/>
      <c r="BZ624" s="825"/>
      <c r="CA624" s="825"/>
      <c r="CB624" s="825"/>
      <c r="CC624" s="825"/>
    </row>
    <row r="625" spans="1:81" x14ac:dyDescent="0.25">
      <c r="A625" s="825"/>
      <c r="B625" s="1176"/>
      <c r="C625" s="1177"/>
      <c r="N625" s="825"/>
      <c r="R625" s="825"/>
      <c r="S625" s="825"/>
      <c r="V625" s="825"/>
      <c r="W625" s="825"/>
      <c r="X625" s="825"/>
      <c r="Y625" s="825"/>
      <c r="Z625" s="825"/>
      <c r="AA625" s="825"/>
      <c r="AB625" s="825"/>
      <c r="AC625" s="825"/>
      <c r="AD625" s="825"/>
      <c r="AE625" s="825"/>
      <c r="AF625" s="825"/>
      <c r="AG625" s="825"/>
      <c r="AH625" s="825"/>
      <c r="AI625" s="825"/>
      <c r="AJ625" s="825"/>
      <c r="AK625" s="825"/>
      <c r="AL625" s="825"/>
      <c r="AM625" s="825"/>
      <c r="AN625" s="825"/>
      <c r="AO625" s="825"/>
      <c r="AP625" s="825"/>
      <c r="AQ625" s="825"/>
      <c r="AR625" s="825"/>
      <c r="AS625" s="825"/>
      <c r="AT625" s="825"/>
      <c r="AU625" s="825"/>
      <c r="AV625" s="825"/>
      <c r="AW625" s="825"/>
      <c r="AX625" s="825"/>
      <c r="BA625" s="825"/>
      <c r="BB625" s="825"/>
      <c r="BC625" s="825"/>
      <c r="BD625" s="825"/>
      <c r="BE625" s="825"/>
      <c r="BF625" s="825"/>
      <c r="BG625" s="825"/>
      <c r="BH625" s="825"/>
      <c r="BI625" s="825"/>
      <c r="BJ625" s="825"/>
      <c r="BK625" s="825"/>
      <c r="BL625" s="825"/>
      <c r="BM625" s="825"/>
      <c r="BN625" s="825"/>
      <c r="BO625" s="825"/>
      <c r="BP625" s="825"/>
      <c r="BQ625" s="825"/>
      <c r="BR625" s="825"/>
      <c r="BS625" s="825"/>
      <c r="BT625" s="825"/>
      <c r="BU625" s="825"/>
      <c r="BV625" s="825"/>
      <c r="BW625" s="825"/>
      <c r="BX625" s="825"/>
      <c r="BY625" s="825"/>
      <c r="BZ625" s="825"/>
      <c r="CA625" s="825"/>
      <c r="CB625" s="825"/>
      <c r="CC625" s="825"/>
    </row>
    <row r="626" spans="1:81" x14ac:dyDescent="0.25">
      <c r="A626" s="825"/>
      <c r="B626" s="1176"/>
      <c r="C626" s="1177"/>
      <c r="N626" s="825"/>
      <c r="R626" s="825"/>
      <c r="S626" s="825"/>
      <c r="V626" s="825"/>
      <c r="W626" s="825"/>
      <c r="X626" s="825"/>
      <c r="Y626" s="825"/>
      <c r="Z626" s="825"/>
      <c r="AA626" s="825"/>
      <c r="AB626" s="825"/>
      <c r="AC626" s="825"/>
      <c r="AD626" s="825"/>
      <c r="AE626" s="825"/>
      <c r="AF626" s="825"/>
      <c r="AG626" s="825"/>
      <c r="AH626" s="825"/>
      <c r="AI626" s="825"/>
      <c r="AJ626" s="825"/>
      <c r="AK626" s="825"/>
      <c r="AL626" s="825"/>
      <c r="AM626" s="825"/>
      <c r="AN626" s="825"/>
      <c r="AO626" s="825"/>
      <c r="AP626" s="825"/>
      <c r="AQ626" s="825"/>
      <c r="AR626" s="825"/>
      <c r="AS626" s="825"/>
      <c r="AT626" s="825"/>
      <c r="AU626" s="825"/>
      <c r="AV626" s="825"/>
      <c r="AW626" s="825"/>
      <c r="AX626" s="825"/>
      <c r="BA626" s="825"/>
      <c r="BB626" s="825"/>
      <c r="BC626" s="825"/>
      <c r="BD626" s="825"/>
      <c r="BE626" s="825"/>
      <c r="BF626" s="825"/>
      <c r="BG626" s="825"/>
      <c r="BH626" s="825"/>
      <c r="BI626" s="825"/>
      <c r="BJ626" s="825"/>
      <c r="BK626" s="825"/>
      <c r="BL626" s="825"/>
      <c r="BM626" s="825"/>
      <c r="BN626" s="825"/>
      <c r="BO626" s="825"/>
      <c r="BP626" s="825"/>
      <c r="BQ626" s="825"/>
      <c r="BR626" s="825"/>
      <c r="BS626" s="825"/>
      <c r="BT626" s="825"/>
      <c r="BU626" s="825"/>
      <c r="BV626" s="825"/>
      <c r="BW626" s="825"/>
      <c r="BX626" s="825"/>
      <c r="BY626" s="825"/>
      <c r="BZ626" s="825"/>
      <c r="CA626" s="825"/>
      <c r="CB626" s="825"/>
      <c r="CC626" s="825"/>
    </row>
    <row r="627" spans="1:81" x14ac:dyDescent="0.25">
      <c r="A627" s="825"/>
      <c r="B627" s="1176"/>
      <c r="C627" s="1177"/>
      <c r="N627" s="825"/>
      <c r="R627" s="825"/>
      <c r="S627" s="825"/>
      <c r="V627" s="825"/>
      <c r="W627" s="825"/>
      <c r="X627" s="825"/>
      <c r="Y627" s="825"/>
      <c r="Z627" s="825"/>
      <c r="AA627" s="825"/>
      <c r="AB627" s="825"/>
      <c r="AC627" s="825"/>
      <c r="AD627" s="825"/>
      <c r="AE627" s="825"/>
      <c r="AF627" s="825"/>
      <c r="AG627" s="825"/>
      <c r="AH627" s="825"/>
      <c r="AI627" s="825"/>
      <c r="AJ627" s="825"/>
      <c r="AK627" s="825"/>
      <c r="AL627" s="825"/>
      <c r="AM627" s="825"/>
      <c r="AN627" s="825"/>
      <c r="AO627" s="825"/>
      <c r="AP627" s="825"/>
      <c r="AQ627" s="825"/>
      <c r="AR627" s="825"/>
      <c r="AS627" s="825"/>
      <c r="AT627" s="825"/>
      <c r="AU627" s="825"/>
      <c r="AV627" s="825"/>
      <c r="AW627" s="825"/>
      <c r="AX627" s="825"/>
      <c r="BA627" s="825"/>
      <c r="BB627" s="825"/>
      <c r="BC627" s="825"/>
      <c r="BD627" s="825"/>
      <c r="BE627" s="825"/>
      <c r="BF627" s="825"/>
      <c r="BG627" s="825"/>
      <c r="BH627" s="825"/>
      <c r="BI627" s="825"/>
      <c r="BJ627" s="825"/>
      <c r="BK627" s="825"/>
      <c r="BL627" s="825"/>
      <c r="BM627" s="825"/>
      <c r="BN627" s="825"/>
      <c r="BO627" s="825"/>
      <c r="BP627" s="825"/>
      <c r="BQ627" s="825"/>
      <c r="BR627" s="825"/>
      <c r="BS627" s="825"/>
      <c r="BT627" s="825"/>
      <c r="BU627" s="825"/>
      <c r="BV627" s="825"/>
      <c r="BW627" s="825"/>
      <c r="BX627" s="825"/>
      <c r="BY627" s="825"/>
      <c r="BZ627" s="825"/>
      <c r="CA627" s="825"/>
      <c r="CB627" s="825"/>
      <c r="CC627" s="825"/>
    </row>
    <row r="628" spans="1:81" x14ac:dyDescent="0.25">
      <c r="A628" s="825"/>
      <c r="B628" s="1176"/>
      <c r="C628" s="1177"/>
      <c r="N628" s="825"/>
      <c r="R628" s="825"/>
      <c r="S628" s="825"/>
      <c r="V628" s="825"/>
      <c r="W628" s="825"/>
      <c r="X628" s="825"/>
      <c r="Y628" s="825"/>
      <c r="Z628" s="825"/>
      <c r="AA628" s="825"/>
      <c r="AB628" s="825"/>
      <c r="AC628" s="825"/>
      <c r="AD628" s="825"/>
      <c r="AE628" s="825"/>
      <c r="AF628" s="825"/>
      <c r="AG628" s="825"/>
      <c r="AH628" s="825"/>
      <c r="AI628" s="825"/>
      <c r="AJ628" s="825"/>
      <c r="AK628" s="825"/>
      <c r="AL628" s="825"/>
      <c r="AM628" s="825"/>
      <c r="AN628" s="825"/>
      <c r="AO628" s="825"/>
      <c r="AP628" s="825"/>
      <c r="AQ628" s="825"/>
      <c r="AR628" s="825"/>
      <c r="AS628" s="825"/>
      <c r="AT628" s="825"/>
      <c r="AU628" s="825"/>
      <c r="AV628" s="825"/>
      <c r="AW628" s="825"/>
      <c r="AX628" s="825"/>
      <c r="BA628" s="825"/>
      <c r="BB628" s="825"/>
      <c r="BC628" s="825"/>
      <c r="BD628" s="825"/>
      <c r="BE628" s="825"/>
      <c r="BF628" s="825"/>
      <c r="BG628" s="825"/>
      <c r="BH628" s="825"/>
      <c r="BI628" s="825"/>
      <c r="BJ628" s="825"/>
      <c r="BK628" s="825"/>
      <c r="BL628" s="825"/>
      <c r="BM628" s="825"/>
      <c r="BN628" s="825"/>
      <c r="BO628" s="825"/>
      <c r="BP628" s="825"/>
      <c r="BQ628" s="825"/>
      <c r="BR628" s="825"/>
      <c r="BS628" s="825"/>
      <c r="BT628" s="825"/>
      <c r="BU628" s="825"/>
      <c r="BV628" s="825"/>
      <c r="BW628" s="825"/>
      <c r="BX628" s="825"/>
      <c r="BY628" s="825"/>
      <c r="BZ628" s="825"/>
      <c r="CA628" s="825"/>
      <c r="CB628" s="825"/>
      <c r="CC628" s="825"/>
    </row>
    <row r="629" spans="1:81" x14ac:dyDescent="0.25">
      <c r="A629" s="825"/>
      <c r="B629" s="1176"/>
      <c r="C629" s="1177"/>
      <c r="N629" s="825"/>
      <c r="R629" s="825"/>
      <c r="S629" s="825"/>
      <c r="V629" s="825"/>
      <c r="W629" s="825"/>
      <c r="X629" s="825"/>
      <c r="Y629" s="825"/>
      <c r="Z629" s="825"/>
      <c r="AA629" s="825"/>
      <c r="AB629" s="825"/>
      <c r="AC629" s="825"/>
      <c r="AD629" s="825"/>
      <c r="AE629" s="825"/>
      <c r="AF629" s="825"/>
      <c r="AG629" s="825"/>
      <c r="AH629" s="825"/>
      <c r="AI629" s="825"/>
      <c r="AJ629" s="825"/>
      <c r="AK629" s="825"/>
      <c r="AL629" s="825"/>
      <c r="AM629" s="825"/>
      <c r="AN629" s="825"/>
      <c r="AO629" s="825"/>
      <c r="AP629" s="825"/>
      <c r="AQ629" s="825"/>
      <c r="AR629" s="825"/>
      <c r="AS629" s="825"/>
      <c r="AT629" s="825"/>
      <c r="AU629" s="825"/>
      <c r="AV629" s="825"/>
      <c r="AW629" s="825"/>
      <c r="AX629" s="825"/>
      <c r="BA629" s="825"/>
      <c r="BB629" s="825"/>
      <c r="BC629" s="825"/>
      <c r="BD629" s="825"/>
      <c r="BE629" s="825"/>
      <c r="BF629" s="825"/>
      <c r="BG629" s="825"/>
      <c r="BH629" s="825"/>
      <c r="BI629" s="825"/>
      <c r="BJ629" s="825"/>
      <c r="BK629" s="825"/>
      <c r="BL629" s="825"/>
      <c r="BM629" s="825"/>
      <c r="BN629" s="825"/>
      <c r="BO629" s="825"/>
      <c r="BP629" s="825"/>
      <c r="BQ629" s="825"/>
      <c r="BR629" s="825"/>
      <c r="BS629" s="825"/>
      <c r="BT629" s="825"/>
      <c r="BU629" s="825"/>
      <c r="BV629" s="825"/>
      <c r="BW629" s="825"/>
      <c r="BX629" s="825"/>
      <c r="BY629" s="825"/>
      <c r="BZ629" s="825"/>
      <c r="CA629" s="825"/>
      <c r="CB629" s="825"/>
      <c r="CC629" s="825"/>
    </row>
    <row r="630" spans="1:81" x14ac:dyDescent="0.25">
      <c r="A630" s="825"/>
      <c r="B630" s="1176"/>
      <c r="C630" s="1177"/>
      <c r="N630" s="825"/>
      <c r="R630" s="825"/>
      <c r="S630" s="825"/>
      <c r="V630" s="825"/>
      <c r="W630" s="825"/>
      <c r="X630" s="825"/>
      <c r="Y630" s="825"/>
      <c r="Z630" s="825"/>
      <c r="AA630" s="825"/>
      <c r="AB630" s="825"/>
      <c r="AC630" s="825"/>
      <c r="AD630" s="825"/>
      <c r="AE630" s="825"/>
      <c r="AF630" s="825"/>
      <c r="AG630" s="825"/>
      <c r="AH630" s="825"/>
      <c r="AI630" s="825"/>
      <c r="AJ630" s="825"/>
      <c r="AK630" s="825"/>
      <c r="AL630" s="825"/>
      <c r="AM630" s="825"/>
      <c r="AN630" s="825"/>
      <c r="AO630" s="825"/>
      <c r="AP630" s="825"/>
      <c r="AQ630" s="825"/>
      <c r="AR630" s="825"/>
      <c r="AS630" s="825"/>
      <c r="AT630" s="825"/>
      <c r="AU630" s="825"/>
      <c r="AV630" s="825"/>
      <c r="AW630" s="825"/>
      <c r="AX630" s="825"/>
      <c r="BA630" s="825"/>
      <c r="BB630" s="825"/>
      <c r="BC630" s="825"/>
      <c r="BD630" s="825"/>
      <c r="BE630" s="825"/>
      <c r="BF630" s="825"/>
      <c r="BG630" s="825"/>
      <c r="BH630" s="825"/>
      <c r="BI630" s="825"/>
      <c r="BJ630" s="825"/>
      <c r="BK630" s="825"/>
      <c r="BL630" s="825"/>
      <c r="BM630" s="825"/>
      <c r="BN630" s="825"/>
      <c r="BO630" s="825"/>
      <c r="BP630" s="825"/>
      <c r="BQ630" s="825"/>
      <c r="BR630" s="825"/>
      <c r="BS630" s="825"/>
      <c r="BT630" s="825"/>
      <c r="BU630" s="825"/>
      <c r="BV630" s="825"/>
      <c r="BW630" s="825"/>
      <c r="BX630" s="825"/>
      <c r="BY630" s="825"/>
      <c r="BZ630" s="825"/>
      <c r="CA630" s="825"/>
      <c r="CB630" s="825"/>
      <c r="CC630" s="825"/>
    </row>
    <row r="631" spans="1:81" x14ac:dyDescent="0.25">
      <c r="A631" s="825"/>
      <c r="B631" s="1176"/>
      <c r="C631" s="1177"/>
      <c r="N631" s="825"/>
      <c r="R631" s="825"/>
      <c r="S631" s="825"/>
      <c r="V631" s="825"/>
      <c r="W631" s="825"/>
      <c r="X631" s="825"/>
      <c r="Y631" s="825"/>
      <c r="Z631" s="825"/>
      <c r="AA631" s="825"/>
      <c r="AB631" s="825"/>
      <c r="AC631" s="825"/>
      <c r="AD631" s="825"/>
      <c r="AE631" s="825"/>
      <c r="AF631" s="825"/>
      <c r="AG631" s="825"/>
      <c r="AH631" s="825"/>
      <c r="AI631" s="825"/>
      <c r="AJ631" s="825"/>
      <c r="AK631" s="825"/>
      <c r="AL631" s="825"/>
      <c r="AM631" s="825"/>
      <c r="AN631" s="825"/>
      <c r="AO631" s="825"/>
      <c r="AP631" s="825"/>
      <c r="AQ631" s="825"/>
      <c r="AR631" s="825"/>
      <c r="AS631" s="825"/>
      <c r="AT631" s="825"/>
      <c r="AU631" s="825"/>
      <c r="AV631" s="825"/>
      <c r="AW631" s="825"/>
      <c r="AX631" s="825"/>
      <c r="BA631" s="825"/>
      <c r="BB631" s="825"/>
      <c r="BC631" s="825"/>
      <c r="BD631" s="825"/>
      <c r="BE631" s="825"/>
      <c r="BF631" s="825"/>
      <c r="BG631" s="825"/>
      <c r="BH631" s="825"/>
      <c r="BI631" s="825"/>
      <c r="BJ631" s="825"/>
      <c r="BK631" s="825"/>
      <c r="BL631" s="825"/>
      <c r="BM631" s="825"/>
      <c r="BN631" s="825"/>
      <c r="BO631" s="825"/>
      <c r="BP631" s="825"/>
      <c r="BQ631" s="825"/>
      <c r="BR631" s="825"/>
      <c r="BS631" s="825"/>
      <c r="BT631" s="825"/>
      <c r="BU631" s="825"/>
      <c r="BV631" s="825"/>
      <c r="BW631" s="825"/>
      <c r="BX631" s="825"/>
      <c r="BY631" s="825"/>
      <c r="BZ631" s="825"/>
      <c r="CA631" s="825"/>
      <c r="CB631" s="825"/>
      <c r="CC631" s="825"/>
    </row>
    <row r="632" spans="1:81" x14ac:dyDescent="0.25">
      <c r="A632" s="825"/>
      <c r="B632" s="1176"/>
      <c r="C632" s="1177"/>
      <c r="N632" s="825"/>
      <c r="R632" s="825"/>
      <c r="S632" s="825"/>
      <c r="V632" s="825"/>
      <c r="W632" s="825"/>
      <c r="X632" s="825"/>
      <c r="Y632" s="825"/>
      <c r="Z632" s="825"/>
      <c r="AA632" s="825"/>
      <c r="AB632" s="825"/>
      <c r="AC632" s="825"/>
      <c r="AD632" s="825"/>
      <c r="AE632" s="825"/>
      <c r="AF632" s="825"/>
      <c r="AG632" s="825"/>
      <c r="AH632" s="825"/>
      <c r="AI632" s="825"/>
      <c r="AJ632" s="825"/>
      <c r="AK632" s="825"/>
      <c r="AL632" s="825"/>
      <c r="AM632" s="825"/>
      <c r="AN632" s="825"/>
      <c r="AO632" s="825"/>
      <c r="AP632" s="825"/>
      <c r="AQ632" s="825"/>
      <c r="AR632" s="825"/>
      <c r="AS632" s="825"/>
      <c r="AT632" s="825"/>
      <c r="AU632" s="825"/>
      <c r="AV632" s="825"/>
      <c r="AW632" s="825"/>
      <c r="AX632" s="825"/>
      <c r="BA632" s="825"/>
      <c r="BB632" s="825"/>
      <c r="BC632" s="825"/>
      <c r="BD632" s="825"/>
      <c r="BE632" s="825"/>
      <c r="BF632" s="825"/>
      <c r="BG632" s="825"/>
      <c r="BH632" s="825"/>
      <c r="BI632" s="825"/>
      <c r="BJ632" s="825"/>
      <c r="BK632" s="825"/>
      <c r="BL632" s="825"/>
      <c r="BM632" s="825"/>
      <c r="BN632" s="825"/>
      <c r="BO632" s="825"/>
      <c r="BP632" s="825"/>
      <c r="BQ632" s="825"/>
      <c r="BR632" s="825"/>
      <c r="BS632" s="825"/>
      <c r="BT632" s="825"/>
      <c r="BU632" s="825"/>
      <c r="BV632" s="825"/>
      <c r="BW632" s="825"/>
      <c r="BX632" s="825"/>
      <c r="BY632" s="825"/>
      <c r="BZ632" s="825"/>
      <c r="CA632" s="825"/>
      <c r="CB632" s="825"/>
      <c r="CC632" s="825"/>
    </row>
    <row r="633" spans="1:81" x14ac:dyDescent="0.25">
      <c r="A633" s="825"/>
      <c r="N633" s="825"/>
      <c r="R633" s="825"/>
      <c r="S633" s="825"/>
      <c r="V633" s="825"/>
      <c r="W633" s="825"/>
      <c r="X633" s="825"/>
      <c r="Y633" s="825"/>
      <c r="Z633" s="825"/>
      <c r="AA633" s="825"/>
      <c r="AB633" s="825"/>
      <c r="AC633" s="825"/>
      <c r="AD633" s="825"/>
      <c r="AE633" s="825"/>
      <c r="AF633" s="825"/>
      <c r="AG633" s="825"/>
      <c r="AH633" s="825"/>
      <c r="AI633" s="825"/>
      <c r="AJ633" s="825"/>
      <c r="AK633" s="825"/>
      <c r="AL633" s="825"/>
      <c r="AM633" s="825"/>
      <c r="AN633" s="825"/>
      <c r="AO633" s="825"/>
      <c r="AP633" s="825"/>
      <c r="AQ633" s="825"/>
      <c r="AR633" s="825"/>
      <c r="AS633" s="825"/>
      <c r="AT633" s="825"/>
      <c r="AU633" s="825"/>
      <c r="AV633" s="825"/>
      <c r="AW633" s="825"/>
      <c r="AX633" s="825"/>
      <c r="BA633" s="825"/>
      <c r="BB633" s="825"/>
      <c r="BC633" s="825"/>
      <c r="BD633" s="825"/>
      <c r="BE633" s="825"/>
      <c r="BF633" s="825"/>
      <c r="BG633" s="825"/>
      <c r="BH633" s="825"/>
      <c r="BI633" s="825"/>
      <c r="BJ633" s="825"/>
      <c r="BK633" s="825"/>
      <c r="BL633" s="825"/>
      <c r="BM633" s="825"/>
      <c r="BN633" s="825"/>
      <c r="BO633" s="825"/>
      <c r="BP633" s="825"/>
      <c r="BQ633" s="825"/>
      <c r="BR633" s="825"/>
      <c r="BS633" s="825"/>
      <c r="BT633" s="825"/>
      <c r="BU633" s="825"/>
      <c r="BV633" s="825"/>
      <c r="BW633" s="825"/>
      <c r="BX633" s="825"/>
      <c r="BY633" s="825"/>
      <c r="BZ633" s="825"/>
      <c r="CA633" s="825"/>
      <c r="CB633" s="825"/>
      <c r="CC633" s="825"/>
    </row>
    <row r="634" spans="1:81" x14ac:dyDescent="0.25">
      <c r="A634" s="825"/>
      <c r="N634" s="825"/>
      <c r="R634" s="825"/>
      <c r="S634" s="825"/>
      <c r="V634" s="825"/>
      <c r="W634" s="825"/>
      <c r="X634" s="825"/>
      <c r="Y634" s="825"/>
      <c r="Z634" s="825"/>
      <c r="AA634" s="825"/>
      <c r="AB634" s="825"/>
      <c r="AC634" s="825"/>
      <c r="AD634" s="825"/>
      <c r="AE634" s="825"/>
      <c r="AF634" s="825"/>
      <c r="AG634" s="825"/>
      <c r="AH634" s="825"/>
      <c r="AI634" s="825"/>
      <c r="AJ634" s="825"/>
      <c r="AK634" s="825"/>
      <c r="AL634" s="825"/>
      <c r="AM634" s="825"/>
      <c r="AN634" s="825"/>
      <c r="AO634" s="825"/>
      <c r="AP634" s="825"/>
      <c r="AQ634" s="825"/>
      <c r="AR634" s="825"/>
      <c r="AS634" s="825"/>
      <c r="AT634" s="825"/>
      <c r="AU634" s="825"/>
      <c r="AV634" s="825"/>
      <c r="AW634" s="825"/>
      <c r="AX634" s="825"/>
      <c r="BA634" s="825"/>
      <c r="BB634" s="825"/>
      <c r="BC634" s="825"/>
      <c r="BD634" s="825"/>
      <c r="BE634" s="825"/>
      <c r="BF634" s="825"/>
      <c r="BG634" s="825"/>
      <c r="BH634" s="825"/>
      <c r="BI634" s="825"/>
      <c r="BJ634" s="825"/>
      <c r="BK634" s="825"/>
      <c r="BL634" s="825"/>
      <c r="BM634" s="825"/>
      <c r="BN634" s="825"/>
      <c r="BO634" s="825"/>
      <c r="BP634" s="825"/>
      <c r="BQ634" s="825"/>
      <c r="BR634" s="825"/>
      <c r="BS634" s="825"/>
      <c r="BT634" s="825"/>
      <c r="BU634" s="825"/>
      <c r="BV634" s="825"/>
      <c r="BW634" s="825"/>
      <c r="BX634" s="825"/>
      <c r="BY634" s="825"/>
      <c r="BZ634" s="825"/>
      <c r="CA634" s="825"/>
      <c r="CB634" s="825"/>
      <c r="CC634" s="825"/>
    </row>
    <row r="635" spans="1:81" x14ac:dyDescent="0.25">
      <c r="A635" s="825"/>
      <c r="N635" s="825"/>
      <c r="R635" s="825"/>
      <c r="S635" s="825"/>
      <c r="V635" s="825"/>
      <c r="W635" s="825"/>
      <c r="X635" s="825"/>
      <c r="Y635" s="825"/>
      <c r="Z635" s="825"/>
      <c r="AA635" s="825"/>
      <c r="AB635" s="825"/>
      <c r="AC635" s="825"/>
      <c r="AD635" s="825"/>
      <c r="AE635" s="825"/>
      <c r="AF635" s="825"/>
      <c r="AG635" s="825"/>
      <c r="AH635" s="825"/>
      <c r="AI635" s="825"/>
      <c r="AJ635" s="825"/>
      <c r="AK635" s="825"/>
      <c r="AL635" s="825"/>
      <c r="AM635" s="825"/>
      <c r="AN635" s="825"/>
      <c r="AO635" s="825"/>
      <c r="AP635" s="825"/>
      <c r="AQ635" s="825"/>
      <c r="AR635" s="825"/>
      <c r="AS635" s="825"/>
      <c r="AT635" s="825"/>
      <c r="AU635" s="825"/>
      <c r="AV635" s="825"/>
      <c r="AW635" s="825"/>
      <c r="AX635" s="825"/>
      <c r="BA635" s="825"/>
      <c r="BB635" s="825"/>
      <c r="BC635" s="825"/>
      <c r="BD635" s="825"/>
      <c r="BE635" s="825"/>
      <c r="BF635" s="825"/>
      <c r="BG635" s="825"/>
      <c r="BH635" s="825"/>
      <c r="BI635" s="825"/>
      <c r="BJ635" s="825"/>
      <c r="BK635" s="825"/>
      <c r="BL635" s="825"/>
      <c r="BM635" s="825"/>
      <c r="BN635" s="825"/>
      <c r="BO635" s="825"/>
      <c r="BP635" s="825"/>
      <c r="BQ635" s="825"/>
      <c r="BR635" s="825"/>
      <c r="BS635" s="825"/>
      <c r="BT635" s="825"/>
      <c r="BU635" s="825"/>
      <c r="BV635" s="825"/>
      <c r="BW635" s="825"/>
      <c r="BX635" s="825"/>
      <c r="BY635" s="825"/>
      <c r="BZ635" s="825"/>
      <c r="CA635" s="825"/>
      <c r="CB635" s="825"/>
      <c r="CC635" s="825"/>
    </row>
    <row r="636" spans="1:81" x14ac:dyDescent="0.25">
      <c r="A636" s="825"/>
      <c r="N636" s="825"/>
      <c r="R636" s="825"/>
      <c r="S636" s="825"/>
      <c r="V636" s="825"/>
      <c r="W636" s="825"/>
      <c r="X636" s="825"/>
      <c r="Y636" s="825"/>
      <c r="Z636" s="825"/>
      <c r="AA636" s="825"/>
      <c r="AB636" s="825"/>
      <c r="AC636" s="825"/>
      <c r="AD636" s="825"/>
      <c r="AE636" s="825"/>
      <c r="AF636" s="825"/>
      <c r="AG636" s="825"/>
      <c r="AH636" s="825"/>
      <c r="AI636" s="825"/>
      <c r="AJ636" s="825"/>
      <c r="AK636" s="825"/>
      <c r="AL636" s="825"/>
      <c r="AM636" s="825"/>
      <c r="AN636" s="825"/>
      <c r="AO636" s="825"/>
      <c r="AP636" s="825"/>
      <c r="AQ636" s="825"/>
      <c r="AR636" s="825"/>
      <c r="AS636" s="825"/>
      <c r="AT636" s="825"/>
      <c r="AU636" s="825"/>
      <c r="AV636" s="825"/>
      <c r="AW636" s="825"/>
      <c r="AX636" s="825"/>
      <c r="BA636" s="825"/>
      <c r="BB636" s="825"/>
      <c r="BC636" s="825"/>
      <c r="BD636" s="825"/>
      <c r="BE636" s="825"/>
      <c r="BF636" s="825"/>
      <c r="BG636" s="825"/>
      <c r="BH636" s="825"/>
      <c r="BI636" s="825"/>
      <c r="BJ636" s="825"/>
      <c r="BK636" s="825"/>
      <c r="BL636" s="825"/>
      <c r="BM636" s="825"/>
      <c r="BN636" s="825"/>
      <c r="BO636" s="825"/>
      <c r="BP636" s="825"/>
      <c r="BQ636" s="825"/>
      <c r="BR636" s="825"/>
      <c r="BS636" s="825"/>
      <c r="BT636" s="825"/>
      <c r="BU636" s="825"/>
      <c r="BV636" s="825"/>
      <c r="BW636" s="825"/>
      <c r="BX636" s="825"/>
      <c r="BY636" s="825"/>
      <c r="BZ636" s="825"/>
      <c r="CA636" s="825"/>
      <c r="CB636" s="825"/>
      <c r="CC636" s="825"/>
    </row>
    <row r="637" spans="1:81" x14ac:dyDescent="0.25">
      <c r="A637" s="825"/>
      <c r="N637" s="825"/>
      <c r="R637" s="825"/>
      <c r="S637" s="825"/>
      <c r="V637" s="825"/>
      <c r="W637" s="825"/>
      <c r="X637" s="825"/>
      <c r="Y637" s="825"/>
      <c r="Z637" s="825"/>
      <c r="AA637" s="825"/>
      <c r="AB637" s="825"/>
      <c r="AC637" s="825"/>
      <c r="AD637" s="825"/>
      <c r="AE637" s="825"/>
      <c r="AF637" s="825"/>
      <c r="AG637" s="825"/>
      <c r="AH637" s="825"/>
      <c r="AI637" s="825"/>
      <c r="AJ637" s="825"/>
      <c r="AK637" s="825"/>
      <c r="AL637" s="825"/>
      <c r="AM637" s="825"/>
      <c r="AN637" s="825"/>
      <c r="AO637" s="825"/>
      <c r="AP637" s="825"/>
      <c r="AQ637" s="825"/>
      <c r="AR637" s="825"/>
      <c r="AS637" s="825"/>
      <c r="AT637" s="825"/>
      <c r="AU637" s="825"/>
      <c r="AV637" s="825"/>
      <c r="AW637" s="825"/>
      <c r="AX637" s="825"/>
      <c r="BA637" s="825"/>
      <c r="BB637" s="825"/>
      <c r="BC637" s="825"/>
      <c r="BD637" s="825"/>
      <c r="BE637" s="825"/>
      <c r="BF637" s="825"/>
      <c r="BG637" s="825"/>
      <c r="BH637" s="825"/>
      <c r="BI637" s="825"/>
      <c r="BJ637" s="825"/>
      <c r="BK637" s="825"/>
      <c r="BL637" s="825"/>
      <c r="BM637" s="825"/>
      <c r="BN637" s="825"/>
      <c r="BO637" s="825"/>
      <c r="BP637" s="825"/>
      <c r="BQ637" s="825"/>
      <c r="BR637" s="825"/>
      <c r="BS637" s="825"/>
      <c r="BT637" s="825"/>
      <c r="BU637" s="825"/>
      <c r="BV637" s="825"/>
      <c r="BW637" s="825"/>
      <c r="BX637" s="825"/>
      <c r="BY637" s="825"/>
      <c r="BZ637" s="825"/>
      <c r="CA637" s="825"/>
      <c r="CB637" s="825"/>
      <c r="CC637" s="825"/>
    </row>
    <row r="638" spans="1:81" x14ac:dyDescent="0.25">
      <c r="A638" s="825"/>
      <c r="N638" s="825"/>
      <c r="R638" s="825"/>
      <c r="S638" s="825"/>
      <c r="V638" s="825"/>
      <c r="W638" s="825"/>
      <c r="X638" s="825"/>
      <c r="Y638" s="825"/>
      <c r="Z638" s="825"/>
      <c r="AA638" s="825"/>
      <c r="AB638" s="825"/>
      <c r="AC638" s="825"/>
      <c r="AD638" s="825"/>
      <c r="AE638" s="825"/>
      <c r="AF638" s="825"/>
      <c r="AG638" s="825"/>
      <c r="AH638" s="825"/>
      <c r="AI638" s="825"/>
      <c r="AJ638" s="825"/>
      <c r="AK638" s="825"/>
      <c r="AL638" s="825"/>
      <c r="AM638" s="825"/>
      <c r="AN638" s="825"/>
      <c r="AO638" s="825"/>
      <c r="AP638" s="825"/>
      <c r="AQ638" s="825"/>
      <c r="AR638" s="825"/>
      <c r="AS638" s="825"/>
      <c r="AT638" s="825"/>
      <c r="AU638" s="825"/>
      <c r="AV638" s="825"/>
      <c r="AW638" s="825"/>
      <c r="AX638" s="825"/>
      <c r="BA638" s="825"/>
      <c r="BB638" s="825"/>
      <c r="BC638" s="825"/>
      <c r="BD638" s="825"/>
      <c r="BE638" s="825"/>
      <c r="BF638" s="825"/>
      <c r="BG638" s="825"/>
      <c r="BH638" s="825"/>
      <c r="BI638" s="825"/>
      <c r="BJ638" s="825"/>
      <c r="BK638" s="825"/>
      <c r="BL638" s="825"/>
      <c r="BM638" s="825"/>
      <c r="BN638" s="825"/>
      <c r="BO638" s="825"/>
      <c r="BP638" s="825"/>
      <c r="BQ638" s="825"/>
      <c r="BR638" s="825"/>
      <c r="BS638" s="825"/>
      <c r="BT638" s="825"/>
      <c r="BU638" s="825"/>
      <c r="BV638" s="825"/>
      <c r="BW638" s="825"/>
      <c r="BX638" s="825"/>
      <c r="BY638" s="825"/>
      <c r="BZ638" s="825"/>
      <c r="CA638" s="825"/>
      <c r="CB638" s="825"/>
      <c r="CC638" s="825"/>
    </row>
    <row r="639" spans="1:81" x14ac:dyDescent="0.25">
      <c r="A639" s="825"/>
      <c r="N639" s="825"/>
      <c r="R639" s="825"/>
      <c r="S639" s="825"/>
      <c r="V639" s="825"/>
      <c r="W639" s="825"/>
      <c r="X639" s="825"/>
      <c r="Y639" s="825"/>
      <c r="Z639" s="825"/>
      <c r="AA639" s="825"/>
      <c r="AB639" s="825"/>
      <c r="AC639" s="825"/>
      <c r="AD639" s="825"/>
      <c r="AE639" s="825"/>
      <c r="AF639" s="825"/>
      <c r="AG639" s="825"/>
      <c r="AH639" s="825"/>
      <c r="AI639" s="825"/>
      <c r="AJ639" s="825"/>
      <c r="AK639" s="825"/>
      <c r="AL639" s="825"/>
      <c r="AM639" s="825"/>
      <c r="AN639" s="825"/>
      <c r="AO639" s="825"/>
      <c r="AP639" s="825"/>
      <c r="AQ639" s="825"/>
      <c r="AR639" s="825"/>
      <c r="AS639" s="825"/>
      <c r="AT639" s="825"/>
      <c r="AU639" s="825"/>
      <c r="AV639" s="825"/>
      <c r="AW639" s="825"/>
      <c r="AX639" s="825"/>
      <c r="BA639" s="825"/>
      <c r="BB639" s="825"/>
      <c r="BC639" s="825"/>
      <c r="BD639" s="825"/>
      <c r="BE639" s="825"/>
      <c r="BF639" s="825"/>
      <c r="BG639" s="825"/>
      <c r="BH639" s="825"/>
      <c r="BI639" s="825"/>
      <c r="BJ639" s="825"/>
      <c r="BK639" s="825"/>
      <c r="BL639" s="825"/>
      <c r="BM639" s="825"/>
      <c r="BN639" s="825"/>
      <c r="BO639" s="825"/>
      <c r="BP639" s="825"/>
      <c r="BQ639" s="825"/>
      <c r="BR639" s="825"/>
      <c r="BS639" s="825"/>
      <c r="BT639" s="825"/>
      <c r="BU639" s="825"/>
      <c r="BV639" s="825"/>
      <c r="BW639" s="825"/>
      <c r="BX639" s="825"/>
      <c r="BY639" s="825"/>
      <c r="BZ639" s="825"/>
      <c r="CA639" s="825"/>
      <c r="CB639" s="825"/>
      <c r="CC639" s="825"/>
    </row>
    <row r="640" spans="1:81" x14ac:dyDescent="0.25">
      <c r="A640" s="825"/>
      <c r="N640" s="825"/>
      <c r="R640" s="825"/>
      <c r="S640" s="825"/>
      <c r="V640" s="825"/>
      <c r="W640" s="825"/>
      <c r="X640" s="825"/>
      <c r="Y640" s="825"/>
      <c r="Z640" s="825"/>
      <c r="AA640" s="825"/>
      <c r="AB640" s="825"/>
      <c r="AC640" s="825"/>
      <c r="AD640" s="825"/>
      <c r="AE640" s="825"/>
      <c r="AF640" s="825"/>
      <c r="AG640" s="825"/>
      <c r="AH640" s="825"/>
      <c r="AI640" s="825"/>
      <c r="AJ640" s="825"/>
      <c r="AK640" s="825"/>
      <c r="AL640" s="825"/>
      <c r="AM640" s="825"/>
      <c r="AN640" s="825"/>
      <c r="AO640" s="825"/>
      <c r="AP640" s="825"/>
      <c r="AQ640" s="825"/>
      <c r="AR640" s="825"/>
      <c r="AS640" s="825"/>
      <c r="AT640" s="825"/>
      <c r="AU640" s="825"/>
      <c r="AV640" s="825"/>
      <c r="AW640" s="825"/>
      <c r="AX640" s="825"/>
      <c r="BA640" s="825"/>
      <c r="BB640" s="825"/>
      <c r="BC640" s="825"/>
      <c r="BD640" s="825"/>
      <c r="BE640" s="825"/>
      <c r="BF640" s="825"/>
      <c r="BG640" s="825"/>
      <c r="BH640" s="825"/>
      <c r="BI640" s="825"/>
      <c r="BJ640" s="825"/>
      <c r="BK640" s="825"/>
      <c r="BL640" s="825"/>
      <c r="BM640" s="825"/>
      <c r="BN640" s="825"/>
      <c r="BO640" s="825"/>
      <c r="BP640" s="825"/>
      <c r="BQ640" s="825"/>
      <c r="BR640" s="825"/>
      <c r="BS640" s="825"/>
      <c r="BT640" s="825"/>
      <c r="BU640" s="825"/>
      <c r="BV640" s="825"/>
      <c r="BW640" s="825"/>
      <c r="BX640" s="825"/>
      <c r="BY640" s="825"/>
      <c r="BZ640" s="825"/>
      <c r="CA640" s="825"/>
      <c r="CB640" s="825"/>
      <c r="CC640" s="825"/>
    </row>
    <row r="641" spans="1:81" x14ac:dyDescent="0.25">
      <c r="A641" s="825"/>
      <c r="N641" s="825"/>
      <c r="R641" s="825"/>
      <c r="S641" s="825"/>
      <c r="V641" s="825"/>
      <c r="W641" s="825"/>
      <c r="X641" s="825"/>
      <c r="Y641" s="825"/>
      <c r="Z641" s="825"/>
      <c r="AA641" s="825"/>
      <c r="AB641" s="825"/>
      <c r="AC641" s="825"/>
      <c r="AD641" s="825"/>
      <c r="AE641" s="825"/>
      <c r="AF641" s="825"/>
      <c r="AG641" s="825"/>
      <c r="AH641" s="825"/>
      <c r="AI641" s="825"/>
      <c r="AJ641" s="825"/>
      <c r="AK641" s="825"/>
      <c r="AL641" s="825"/>
      <c r="AM641" s="825"/>
      <c r="AN641" s="825"/>
      <c r="AO641" s="825"/>
      <c r="AP641" s="825"/>
      <c r="AQ641" s="825"/>
      <c r="AR641" s="825"/>
      <c r="AS641" s="825"/>
      <c r="AT641" s="825"/>
      <c r="AU641" s="825"/>
      <c r="AV641" s="825"/>
      <c r="AW641" s="825"/>
      <c r="AX641" s="825"/>
      <c r="BA641" s="825"/>
      <c r="BB641" s="825"/>
      <c r="BC641" s="825"/>
      <c r="BD641" s="825"/>
      <c r="BE641" s="825"/>
      <c r="BF641" s="825"/>
      <c r="BG641" s="825"/>
      <c r="BH641" s="825"/>
      <c r="BI641" s="825"/>
      <c r="BJ641" s="825"/>
      <c r="BK641" s="825"/>
      <c r="BL641" s="825"/>
      <c r="BM641" s="825"/>
      <c r="BN641" s="825"/>
      <c r="BO641" s="825"/>
      <c r="BP641" s="825"/>
      <c r="BQ641" s="825"/>
      <c r="BR641" s="825"/>
      <c r="BS641" s="825"/>
      <c r="BT641" s="825"/>
      <c r="BU641" s="825"/>
      <c r="BV641" s="825"/>
      <c r="BW641" s="825"/>
      <c r="BX641" s="825"/>
      <c r="BY641" s="825"/>
      <c r="BZ641" s="825"/>
      <c r="CA641" s="825"/>
      <c r="CB641" s="825"/>
      <c r="CC641" s="825"/>
    </row>
    <row r="642" spans="1:81" x14ac:dyDescent="0.25">
      <c r="A642" s="825"/>
      <c r="N642" s="825"/>
      <c r="R642" s="825"/>
      <c r="S642" s="825"/>
      <c r="V642" s="825"/>
      <c r="W642" s="825"/>
      <c r="X642" s="825"/>
      <c r="Y642" s="825"/>
      <c r="Z642" s="825"/>
      <c r="AA642" s="825"/>
      <c r="AB642" s="825"/>
      <c r="AC642" s="825"/>
      <c r="AD642" s="825"/>
      <c r="AE642" s="825"/>
      <c r="AF642" s="825"/>
      <c r="AG642" s="825"/>
      <c r="AH642" s="825"/>
      <c r="AI642" s="825"/>
      <c r="AJ642" s="825"/>
      <c r="AK642" s="825"/>
      <c r="AL642" s="825"/>
      <c r="AM642" s="825"/>
      <c r="AN642" s="825"/>
      <c r="AO642" s="825"/>
      <c r="AP642" s="825"/>
      <c r="AQ642" s="825"/>
      <c r="AR642" s="825"/>
      <c r="AS642" s="825"/>
      <c r="AT642" s="825"/>
      <c r="AU642" s="825"/>
      <c r="AV642" s="825"/>
      <c r="AW642" s="825"/>
      <c r="AX642" s="825"/>
      <c r="BA642" s="825"/>
      <c r="BB642" s="825"/>
      <c r="BC642" s="825"/>
      <c r="BD642" s="825"/>
      <c r="BE642" s="825"/>
      <c r="BF642" s="825"/>
      <c r="BG642" s="825"/>
      <c r="BH642" s="825"/>
      <c r="BI642" s="825"/>
      <c r="BJ642" s="825"/>
      <c r="BK642" s="825"/>
      <c r="BL642" s="825"/>
      <c r="BM642" s="825"/>
      <c r="BN642" s="825"/>
      <c r="BO642" s="825"/>
      <c r="BP642" s="825"/>
      <c r="BQ642" s="825"/>
      <c r="BR642" s="825"/>
      <c r="BS642" s="825"/>
      <c r="BT642" s="825"/>
      <c r="BU642" s="825"/>
      <c r="BV642" s="825"/>
      <c r="BW642" s="825"/>
      <c r="BX642" s="825"/>
      <c r="BY642" s="825"/>
      <c r="BZ642" s="825"/>
      <c r="CA642" s="825"/>
      <c r="CB642" s="825"/>
      <c r="CC642" s="825"/>
    </row>
    <row r="643" spans="1:81" x14ac:dyDescent="0.25">
      <c r="A643" s="825"/>
      <c r="N643" s="825"/>
      <c r="R643" s="825"/>
      <c r="S643" s="825"/>
      <c r="V643" s="825"/>
      <c r="W643" s="825"/>
      <c r="X643" s="825"/>
      <c r="Y643" s="825"/>
      <c r="Z643" s="825"/>
      <c r="AA643" s="825"/>
      <c r="AB643" s="825"/>
      <c r="AC643" s="825"/>
      <c r="AD643" s="825"/>
      <c r="AE643" s="825"/>
      <c r="AF643" s="825"/>
      <c r="AG643" s="825"/>
      <c r="AH643" s="825"/>
      <c r="AI643" s="825"/>
      <c r="AJ643" s="825"/>
      <c r="AK643" s="825"/>
      <c r="AL643" s="825"/>
      <c r="AM643" s="825"/>
      <c r="AN643" s="825"/>
      <c r="AO643" s="825"/>
      <c r="AP643" s="825"/>
      <c r="AQ643" s="825"/>
      <c r="AR643" s="825"/>
      <c r="AS643" s="825"/>
      <c r="AT643" s="825"/>
      <c r="AU643" s="825"/>
      <c r="AV643" s="825"/>
      <c r="AW643" s="825"/>
      <c r="AX643" s="825"/>
      <c r="BA643" s="825"/>
      <c r="BB643" s="825"/>
      <c r="BC643" s="825"/>
      <c r="BD643" s="825"/>
      <c r="BE643" s="825"/>
      <c r="BF643" s="825"/>
      <c r="BG643" s="825"/>
      <c r="BH643" s="825"/>
      <c r="BI643" s="825"/>
      <c r="BJ643" s="825"/>
      <c r="BK643" s="825"/>
      <c r="BL643" s="825"/>
      <c r="BM643" s="825"/>
      <c r="BN643" s="825"/>
      <c r="BO643" s="825"/>
      <c r="BP643" s="825"/>
      <c r="BQ643" s="825"/>
      <c r="BR643" s="825"/>
      <c r="BS643" s="825"/>
      <c r="BT643" s="825"/>
      <c r="BU643" s="825"/>
      <c r="BV643" s="825"/>
      <c r="BW643" s="825"/>
      <c r="BX643" s="825"/>
      <c r="BY643" s="825"/>
      <c r="BZ643" s="825"/>
      <c r="CA643" s="825"/>
      <c r="CB643" s="825"/>
      <c r="CC643" s="825"/>
    </row>
    <row r="644" spans="1:81" x14ac:dyDescent="0.25">
      <c r="A644" s="825"/>
      <c r="N644" s="825"/>
      <c r="R644" s="825"/>
      <c r="S644" s="825"/>
      <c r="V644" s="825"/>
      <c r="W644" s="825"/>
      <c r="X644" s="825"/>
      <c r="Y644" s="825"/>
      <c r="Z644" s="825"/>
      <c r="AA644" s="825"/>
      <c r="AB644" s="825"/>
      <c r="AC644" s="825"/>
      <c r="AD644" s="825"/>
      <c r="AE644" s="825"/>
      <c r="AF644" s="825"/>
      <c r="AG644" s="825"/>
      <c r="AH644" s="825"/>
      <c r="AI644" s="825"/>
      <c r="AJ644" s="825"/>
      <c r="AK644" s="825"/>
      <c r="AL644" s="825"/>
      <c r="AM644" s="825"/>
      <c r="AN644" s="825"/>
      <c r="AO644" s="825"/>
      <c r="AP644" s="825"/>
      <c r="AQ644" s="825"/>
      <c r="AR644" s="825"/>
      <c r="AS644" s="825"/>
      <c r="AT644" s="825"/>
      <c r="AU644" s="825"/>
      <c r="AV644" s="825"/>
      <c r="AW644" s="825"/>
      <c r="AX644" s="825"/>
      <c r="BA644" s="825"/>
      <c r="BB644" s="825"/>
      <c r="BC644" s="825"/>
      <c r="BD644" s="825"/>
      <c r="BE644" s="825"/>
      <c r="BF644" s="825"/>
      <c r="BG644" s="825"/>
      <c r="BH644" s="825"/>
      <c r="BI644" s="825"/>
      <c r="BJ644" s="825"/>
      <c r="BK644" s="825"/>
      <c r="BL644" s="825"/>
      <c r="BM644" s="825"/>
      <c r="BN644" s="825"/>
      <c r="BO644" s="825"/>
      <c r="BP644" s="825"/>
      <c r="BQ644" s="825"/>
      <c r="BR644" s="825"/>
      <c r="BS644" s="825"/>
      <c r="BT644" s="825"/>
      <c r="BU644" s="825"/>
      <c r="BV644" s="825"/>
      <c r="BW644" s="825"/>
      <c r="BX644" s="825"/>
      <c r="BY644" s="825"/>
      <c r="BZ644" s="825"/>
      <c r="CA644" s="825"/>
      <c r="CB644" s="825"/>
      <c r="CC644" s="825"/>
    </row>
    <row r="645" spans="1:81" x14ac:dyDescent="0.25">
      <c r="A645" s="825"/>
      <c r="N645" s="825"/>
      <c r="R645" s="825"/>
      <c r="S645" s="825"/>
      <c r="V645" s="825"/>
      <c r="W645" s="825"/>
      <c r="X645" s="825"/>
      <c r="Y645" s="825"/>
      <c r="Z645" s="825"/>
      <c r="AA645" s="825"/>
      <c r="AB645" s="825"/>
      <c r="AC645" s="825"/>
      <c r="AD645" s="825"/>
      <c r="AE645" s="825"/>
      <c r="AF645" s="825"/>
      <c r="AG645" s="825"/>
      <c r="AH645" s="825"/>
      <c r="AI645" s="825"/>
      <c r="AJ645" s="825"/>
      <c r="AK645" s="825"/>
      <c r="AL645" s="825"/>
      <c r="AM645" s="825"/>
      <c r="AN645" s="825"/>
      <c r="AO645" s="825"/>
      <c r="AP645" s="825"/>
      <c r="AQ645" s="825"/>
      <c r="AR645" s="825"/>
      <c r="AS645" s="825"/>
      <c r="AT645" s="825"/>
      <c r="AU645" s="825"/>
      <c r="AV645" s="825"/>
      <c r="AW645" s="825"/>
      <c r="AX645" s="825"/>
      <c r="BA645" s="825"/>
      <c r="BB645" s="825"/>
      <c r="BC645" s="825"/>
      <c r="BD645" s="825"/>
      <c r="BE645" s="825"/>
      <c r="BF645" s="825"/>
      <c r="BG645" s="825"/>
      <c r="BH645" s="825"/>
      <c r="BI645" s="825"/>
      <c r="BJ645" s="825"/>
      <c r="BK645" s="825"/>
      <c r="BL645" s="825"/>
      <c r="BM645" s="825"/>
      <c r="BN645" s="825"/>
      <c r="BO645" s="825"/>
      <c r="BP645" s="825"/>
      <c r="BQ645" s="825"/>
      <c r="BR645" s="825"/>
      <c r="BS645" s="825"/>
      <c r="BT645" s="825"/>
      <c r="BU645" s="825"/>
      <c r="BV645" s="825"/>
      <c r="BW645" s="825"/>
      <c r="BX645" s="825"/>
      <c r="BY645" s="825"/>
      <c r="BZ645" s="825"/>
      <c r="CA645" s="825"/>
      <c r="CB645" s="825"/>
      <c r="CC645" s="825"/>
    </row>
    <row r="646" spans="1:81" x14ac:dyDescent="0.25">
      <c r="A646" s="825"/>
      <c r="N646" s="825"/>
      <c r="R646" s="825"/>
      <c r="S646" s="825"/>
      <c r="V646" s="825"/>
      <c r="W646" s="825"/>
      <c r="X646" s="825"/>
      <c r="Y646" s="825"/>
      <c r="Z646" s="825"/>
      <c r="AA646" s="825"/>
      <c r="AB646" s="825"/>
      <c r="AC646" s="825"/>
      <c r="AD646" s="825"/>
      <c r="AE646" s="825"/>
      <c r="AF646" s="825"/>
      <c r="AG646" s="825"/>
      <c r="AH646" s="825"/>
      <c r="AI646" s="825"/>
      <c r="AJ646" s="825"/>
      <c r="AK646" s="825"/>
      <c r="AL646" s="825"/>
      <c r="AM646" s="825"/>
      <c r="AN646" s="825"/>
      <c r="AO646" s="825"/>
      <c r="AP646" s="825"/>
      <c r="AQ646" s="825"/>
      <c r="AR646" s="825"/>
      <c r="AS646" s="825"/>
      <c r="AT646" s="825"/>
      <c r="AU646" s="825"/>
      <c r="AV646" s="825"/>
      <c r="AW646" s="825"/>
      <c r="AX646" s="825"/>
      <c r="BA646" s="825"/>
      <c r="BB646" s="825"/>
      <c r="BC646" s="825"/>
      <c r="BD646" s="825"/>
      <c r="BE646" s="825"/>
      <c r="BF646" s="825"/>
      <c r="BG646" s="825"/>
      <c r="BH646" s="825"/>
      <c r="BI646" s="825"/>
      <c r="BJ646" s="825"/>
      <c r="BK646" s="825"/>
      <c r="BL646" s="825"/>
      <c r="BM646" s="825"/>
      <c r="BN646" s="825"/>
      <c r="BO646" s="825"/>
      <c r="BP646" s="825"/>
      <c r="BQ646" s="825"/>
      <c r="BR646" s="825"/>
      <c r="BS646" s="825"/>
      <c r="BT646" s="825"/>
      <c r="BU646" s="825"/>
      <c r="BV646" s="825"/>
      <c r="BW646" s="825"/>
      <c r="BX646" s="825"/>
      <c r="BY646" s="825"/>
      <c r="BZ646" s="825"/>
      <c r="CA646" s="825"/>
      <c r="CB646" s="825"/>
      <c r="CC646" s="825"/>
    </row>
    <row r="647" spans="1:81" x14ac:dyDescent="0.25">
      <c r="A647" s="825"/>
      <c r="N647" s="825"/>
      <c r="R647" s="825"/>
      <c r="S647" s="825"/>
      <c r="V647" s="825"/>
      <c r="W647" s="825"/>
      <c r="X647" s="825"/>
      <c r="Y647" s="825"/>
      <c r="Z647" s="825"/>
      <c r="AA647" s="825"/>
      <c r="AB647" s="825"/>
      <c r="AC647" s="825"/>
      <c r="AD647" s="825"/>
      <c r="AE647" s="825"/>
      <c r="AF647" s="825"/>
      <c r="AG647" s="825"/>
      <c r="AH647" s="825"/>
      <c r="AI647" s="825"/>
      <c r="AJ647" s="825"/>
      <c r="AK647" s="825"/>
      <c r="AL647" s="825"/>
      <c r="AM647" s="825"/>
      <c r="AN647" s="825"/>
      <c r="AO647" s="825"/>
      <c r="AP647" s="825"/>
      <c r="AQ647" s="825"/>
      <c r="AR647" s="825"/>
      <c r="AS647" s="825"/>
      <c r="AT647" s="825"/>
      <c r="AU647" s="825"/>
      <c r="AV647" s="825"/>
      <c r="AW647" s="825"/>
      <c r="AX647" s="825"/>
      <c r="BA647" s="825"/>
      <c r="BB647" s="825"/>
      <c r="BC647" s="825"/>
      <c r="BD647" s="825"/>
      <c r="BE647" s="825"/>
      <c r="BF647" s="825"/>
      <c r="BG647" s="825"/>
      <c r="BH647" s="825"/>
      <c r="BI647" s="825"/>
      <c r="BJ647" s="825"/>
      <c r="BK647" s="825"/>
      <c r="BL647" s="825"/>
      <c r="BM647" s="825"/>
      <c r="BN647" s="825"/>
      <c r="BO647" s="825"/>
      <c r="BP647" s="825"/>
      <c r="BQ647" s="825"/>
      <c r="BR647" s="825"/>
      <c r="BS647" s="825"/>
      <c r="BT647" s="825"/>
      <c r="BU647" s="825"/>
      <c r="BV647" s="825"/>
      <c r="BW647" s="825"/>
      <c r="BX647" s="825"/>
      <c r="BY647" s="825"/>
      <c r="BZ647" s="825"/>
      <c r="CA647" s="825"/>
      <c r="CB647" s="825"/>
      <c r="CC647" s="825"/>
    </row>
    <row r="648" spans="1:81" x14ac:dyDescent="0.25">
      <c r="A648" s="825"/>
      <c r="N648" s="825"/>
      <c r="R648" s="825"/>
      <c r="S648" s="825"/>
      <c r="V648" s="825"/>
      <c r="W648" s="825"/>
      <c r="X648" s="825"/>
      <c r="Y648" s="825"/>
      <c r="Z648" s="825"/>
      <c r="AA648" s="825"/>
      <c r="AB648" s="825"/>
      <c r="AC648" s="825"/>
      <c r="AD648" s="825"/>
      <c r="AE648" s="825"/>
      <c r="AF648" s="825"/>
      <c r="AG648" s="825"/>
      <c r="AH648" s="825"/>
      <c r="AI648" s="825"/>
      <c r="AJ648" s="825"/>
      <c r="AK648" s="825"/>
      <c r="AL648" s="825"/>
      <c r="AM648" s="825"/>
      <c r="AN648" s="825"/>
      <c r="AO648" s="825"/>
      <c r="AP648" s="825"/>
      <c r="AQ648" s="825"/>
      <c r="AR648" s="825"/>
      <c r="AS648" s="825"/>
      <c r="AT648" s="825"/>
      <c r="AU648" s="825"/>
      <c r="AV648" s="825"/>
      <c r="AW648" s="825"/>
      <c r="AX648" s="825"/>
      <c r="BA648" s="825"/>
      <c r="BB648" s="825"/>
      <c r="BC648" s="825"/>
      <c r="BD648" s="825"/>
      <c r="BE648" s="825"/>
      <c r="BF648" s="825"/>
      <c r="BG648" s="825"/>
      <c r="BH648" s="825"/>
      <c r="BI648" s="825"/>
      <c r="BJ648" s="825"/>
      <c r="BK648" s="825"/>
      <c r="BL648" s="825"/>
      <c r="BM648" s="825"/>
      <c r="BN648" s="825"/>
      <c r="BO648" s="825"/>
      <c r="BP648" s="825"/>
      <c r="BQ648" s="825"/>
      <c r="BR648" s="825"/>
      <c r="BS648" s="825"/>
      <c r="BT648" s="825"/>
      <c r="BU648" s="825"/>
      <c r="BV648" s="825"/>
      <c r="BW648" s="825"/>
      <c r="BX648" s="825"/>
      <c r="BY648" s="825"/>
      <c r="BZ648" s="825"/>
      <c r="CA648" s="825"/>
      <c r="CB648" s="825"/>
      <c r="CC648" s="825"/>
    </row>
    <row r="649" spans="1:81" x14ac:dyDescent="0.25">
      <c r="A649" s="825"/>
      <c r="N649" s="825"/>
      <c r="R649" s="825"/>
      <c r="S649" s="825"/>
      <c r="V649" s="825"/>
      <c r="W649" s="825"/>
      <c r="X649" s="825"/>
      <c r="Y649" s="825"/>
      <c r="Z649" s="825"/>
      <c r="AA649" s="825"/>
      <c r="AB649" s="825"/>
      <c r="AC649" s="825"/>
      <c r="AD649" s="825"/>
      <c r="AE649" s="825"/>
      <c r="AF649" s="825"/>
      <c r="AG649" s="825"/>
      <c r="AH649" s="825"/>
      <c r="AI649" s="825"/>
      <c r="AJ649" s="825"/>
      <c r="AK649" s="825"/>
      <c r="AL649" s="825"/>
      <c r="AM649" s="825"/>
      <c r="AN649" s="825"/>
      <c r="AO649" s="825"/>
      <c r="AP649" s="825"/>
      <c r="AQ649" s="825"/>
      <c r="AR649" s="825"/>
      <c r="AS649" s="825"/>
      <c r="AT649" s="825"/>
      <c r="AU649" s="825"/>
      <c r="AV649" s="825"/>
      <c r="AW649" s="825"/>
      <c r="AX649" s="825"/>
      <c r="BA649" s="825"/>
      <c r="BB649" s="825"/>
      <c r="BC649" s="825"/>
      <c r="BD649" s="825"/>
      <c r="BE649" s="825"/>
      <c r="BF649" s="825"/>
      <c r="BG649" s="825"/>
      <c r="BH649" s="825"/>
      <c r="BI649" s="825"/>
      <c r="BJ649" s="825"/>
      <c r="BK649" s="825"/>
      <c r="BL649" s="825"/>
      <c r="BM649" s="825"/>
      <c r="BN649" s="825"/>
      <c r="BO649" s="825"/>
      <c r="BP649" s="825"/>
      <c r="BQ649" s="825"/>
      <c r="BR649" s="825"/>
      <c r="BS649" s="825"/>
      <c r="BT649" s="825"/>
      <c r="BU649" s="825"/>
      <c r="BV649" s="825"/>
      <c r="BW649" s="825"/>
      <c r="BX649" s="825"/>
      <c r="BY649" s="825"/>
      <c r="BZ649" s="825"/>
      <c r="CA649" s="825"/>
      <c r="CB649" s="825"/>
      <c r="CC649" s="825"/>
    </row>
    <row r="650" spans="1:81" x14ac:dyDescent="0.25">
      <c r="A650" s="825"/>
      <c r="N650" s="825"/>
      <c r="R650" s="825"/>
      <c r="S650" s="825"/>
      <c r="V650" s="825"/>
      <c r="W650" s="825"/>
      <c r="X650" s="825"/>
      <c r="Y650" s="825"/>
      <c r="Z650" s="825"/>
      <c r="AA650" s="825"/>
      <c r="AB650" s="825"/>
      <c r="AC650" s="825"/>
      <c r="AD650" s="825"/>
      <c r="AE650" s="825"/>
      <c r="AF650" s="825"/>
      <c r="AG650" s="825"/>
      <c r="AH650" s="825"/>
      <c r="AI650" s="825"/>
      <c r="AJ650" s="825"/>
      <c r="AK650" s="825"/>
      <c r="AL650" s="825"/>
      <c r="AM650" s="825"/>
      <c r="AN650" s="825"/>
      <c r="AO650" s="825"/>
      <c r="AP650" s="825"/>
      <c r="AQ650" s="825"/>
      <c r="AR650" s="825"/>
      <c r="AS650" s="825"/>
      <c r="AT650" s="825"/>
      <c r="AU650" s="825"/>
      <c r="AV650" s="825"/>
      <c r="AW650" s="825"/>
      <c r="AX650" s="825"/>
      <c r="BA650" s="825"/>
      <c r="BB650" s="825"/>
      <c r="BC650" s="825"/>
      <c r="BD650" s="825"/>
      <c r="BE650" s="825"/>
      <c r="BF650" s="825"/>
      <c r="BG650" s="825"/>
      <c r="BH650" s="825"/>
      <c r="BI650" s="825"/>
      <c r="BJ650" s="825"/>
      <c r="BK650" s="825"/>
      <c r="BL650" s="825"/>
      <c r="BM650" s="825"/>
      <c r="BN650" s="825"/>
      <c r="BO650" s="825"/>
      <c r="BP650" s="825"/>
      <c r="BQ650" s="825"/>
      <c r="BR650" s="825"/>
      <c r="BS650" s="825"/>
      <c r="BT650" s="825"/>
      <c r="BU650" s="825"/>
      <c r="BV650" s="825"/>
      <c r="BW650" s="825"/>
      <c r="BX650" s="825"/>
      <c r="BY650" s="825"/>
      <c r="BZ650" s="825"/>
      <c r="CA650" s="825"/>
      <c r="CB650" s="825"/>
      <c r="CC650" s="825"/>
    </row>
    <row r="651" spans="1:81" x14ac:dyDescent="0.25">
      <c r="A651" s="825"/>
      <c r="N651" s="825"/>
      <c r="R651" s="825"/>
      <c r="S651" s="825"/>
      <c r="V651" s="825"/>
      <c r="W651" s="825"/>
      <c r="X651" s="825"/>
      <c r="Y651" s="825"/>
      <c r="Z651" s="825"/>
      <c r="AA651" s="825"/>
      <c r="AB651" s="825"/>
      <c r="AC651" s="825"/>
      <c r="AD651" s="825"/>
      <c r="AE651" s="825"/>
      <c r="AF651" s="825"/>
      <c r="AG651" s="825"/>
      <c r="AH651" s="825"/>
      <c r="AI651" s="825"/>
      <c r="AJ651" s="825"/>
      <c r="AK651" s="825"/>
      <c r="AL651" s="825"/>
      <c r="AM651" s="825"/>
      <c r="AN651" s="825"/>
      <c r="AO651" s="825"/>
      <c r="AP651" s="825"/>
      <c r="AQ651" s="825"/>
      <c r="AR651" s="825"/>
      <c r="AS651" s="825"/>
      <c r="AT651" s="825"/>
      <c r="AU651" s="825"/>
      <c r="AV651" s="825"/>
      <c r="AW651" s="825"/>
      <c r="AX651" s="825"/>
      <c r="BA651" s="825"/>
      <c r="BB651" s="825"/>
      <c r="BC651" s="825"/>
      <c r="BD651" s="825"/>
      <c r="BE651" s="825"/>
      <c r="BF651" s="825"/>
      <c r="BG651" s="825"/>
      <c r="BH651" s="825"/>
      <c r="BI651" s="825"/>
      <c r="BJ651" s="825"/>
      <c r="BK651" s="825"/>
      <c r="BL651" s="825"/>
      <c r="BM651" s="825"/>
      <c r="BN651" s="825"/>
      <c r="BO651" s="825"/>
      <c r="BP651" s="825"/>
      <c r="BQ651" s="825"/>
      <c r="BR651" s="825"/>
      <c r="BS651" s="825"/>
      <c r="BT651" s="825"/>
      <c r="BU651" s="825"/>
      <c r="BV651" s="825"/>
      <c r="BW651" s="825"/>
      <c r="BX651" s="825"/>
      <c r="BY651" s="825"/>
      <c r="BZ651" s="825"/>
      <c r="CA651" s="825"/>
      <c r="CB651" s="825"/>
      <c r="CC651" s="825"/>
    </row>
    <row r="652" spans="1:81" x14ac:dyDescent="0.25">
      <c r="A652" s="825"/>
      <c r="N652" s="825"/>
      <c r="R652" s="825"/>
      <c r="S652" s="825"/>
      <c r="V652" s="825"/>
      <c r="W652" s="825"/>
      <c r="X652" s="825"/>
      <c r="Y652" s="825"/>
      <c r="Z652" s="825"/>
      <c r="AA652" s="825"/>
      <c r="AB652" s="825"/>
      <c r="AC652" s="825"/>
      <c r="AD652" s="825"/>
      <c r="AE652" s="825"/>
      <c r="AF652" s="825"/>
      <c r="AG652" s="825"/>
      <c r="AH652" s="825"/>
      <c r="AI652" s="825"/>
      <c r="AJ652" s="825"/>
      <c r="AK652" s="825"/>
      <c r="AL652" s="825"/>
      <c r="AM652" s="825"/>
      <c r="AN652" s="825"/>
      <c r="AO652" s="825"/>
      <c r="AP652" s="825"/>
      <c r="AQ652" s="825"/>
      <c r="AR652" s="825"/>
      <c r="AS652" s="825"/>
      <c r="AT652" s="825"/>
      <c r="AU652" s="825"/>
      <c r="AV652" s="825"/>
      <c r="AW652" s="825"/>
      <c r="AX652" s="825"/>
      <c r="BA652" s="825"/>
      <c r="BB652" s="825"/>
      <c r="BC652" s="825"/>
      <c r="BD652" s="825"/>
      <c r="BE652" s="825"/>
      <c r="BF652" s="825"/>
      <c r="BG652" s="825"/>
      <c r="BH652" s="825"/>
      <c r="BI652" s="825"/>
      <c r="BJ652" s="825"/>
      <c r="BK652" s="825"/>
      <c r="BL652" s="825"/>
      <c r="BM652" s="825"/>
      <c r="BN652" s="825"/>
      <c r="BO652" s="825"/>
      <c r="BP652" s="825"/>
      <c r="BQ652" s="825"/>
      <c r="BR652" s="825"/>
      <c r="BS652" s="825"/>
      <c r="BT652" s="825"/>
      <c r="BU652" s="825"/>
      <c r="BV652" s="825"/>
      <c r="BW652" s="825"/>
      <c r="BX652" s="825"/>
      <c r="BY652" s="825"/>
      <c r="BZ652" s="825"/>
      <c r="CA652" s="825"/>
      <c r="CB652" s="825"/>
      <c r="CC652" s="825"/>
    </row>
    <row r="653" spans="1:81" x14ac:dyDescent="0.25">
      <c r="A653" s="825"/>
      <c r="N653" s="825"/>
      <c r="R653" s="825"/>
      <c r="S653" s="825"/>
      <c r="V653" s="825"/>
      <c r="W653" s="825"/>
      <c r="X653" s="825"/>
      <c r="Y653" s="825"/>
      <c r="Z653" s="825"/>
      <c r="AA653" s="825"/>
      <c r="AB653" s="825"/>
      <c r="AC653" s="825"/>
      <c r="AD653" s="825"/>
      <c r="AE653" s="825"/>
      <c r="AF653" s="825"/>
      <c r="AG653" s="825"/>
      <c r="AH653" s="825"/>
      <c r="AI653" s="825"/>
      <c r="AJ653" s="825"/>
      <c r="AK653" s="825"/>
      <c r="AL653" s="825"/>
      <c r="AM653" s="825"/>
      <c r="AN653" s="825"/>
      <c r="AO653" s="825"/>
      <c r="AP653" s="825"/>
      <c r="AQ653" s="825"/>
      <c r="AR653" s="825"/>
      <c r="AS653" s="825"/>
      <c r="AT653" s="825"/>
      <c r="AU653" s="825"/>
      <c r="AV653" s="825"/>
      <c r="AW653" s="825"/>
      <c r="AX653" s="825"/>
      <c r="BA653" s="825"/>
      <c r="BB653" s="825"/>
      <c r="BC653" s="825"/>
      <c r="BD653" s="825"/>
      <c r="BE653" s="825"/>
      <c r="BF653" s="825"/>
      <c r="BG653" s="825"/>
      <c r="BH653" s="825"/>
      <c r="BI653" s="825"/>
      <c r="BJ653" s="825"/>
      <c r="BK653" s="825"/>
      <c r="BL653" s="825"/>
      <c r="BM653" s="825"/>
      <c r="BN653" s="825"/>
      <c r="BO653" s="825"/>
      <c r="BP653" s="825"/>
      <c r="BQ653" s="825"/>
      <c r="BR653" s="825"/>
      <c r="BS653" s="825"/>
      <c r="BT653" s="825"/>
      <c r="BU653" s="825"/>
      <c r="BV653" s="825"/>
      <c r="BW653" s="825"/>
      <c r="BX653" s="825"/>
      <c r="BY653" s="825"/>
      <c r="BZ653" s="825"/>
      <c r="CA653" s="825"/>
      <c r="CB653" s="825"/>
      <c r="CC653" s="825"/>
    </row>
    <row r="654" spans="1:81" x14ac:dyDescent="0.25">
      <c r="A654" s="825"/>
      <c r="N654" s="825"/>
      <c r="R654" s="825"/>
      <c r="S654" s="825"/>
      <c r="V654" s="825"/>
      <c r="W654" s="825"/>
      <c r="X654" s="825"/>
      <c r="Y654" s="825"/>
      <c r="Z654" s="825"/>
      <c r="AA654" s="825"/>
      <c r="AB654" s="825"/>
      <c r="AC654" s="825"/>
      <c r="AD654" s="825"/>
      <c r="AE654" s="825"/>
      <c r="AF654" s="825"/>
      <c r="AG654" s="825"/>
      <c r="AH654" s="825"/>
      <c r="AI654" s="825"/>
      <c r="AJ654" s="825"/>
      <c r="AK654" s="825"/>
      <c r="AL654" s="825"/>
      <c r="AM654" s="825"/>
      <c r="AN654" s="825"/>
      <c r="AO654" s="825"/>
      <c r="AP654" s="825"/>
      <c r="AQ654" s="825"/>
      <c r="AR654" s="825"/>
      <c r="AS654" s="825"/>
      <c r="AT654" s="825"/>
      <c r="AU654" s="825"/>
      <c r="AV654" s="825"/>
      <c r="AW654" s="825"/>
      <c r="AX654" s="825"/>
      <c r="BA654" s="825"/>
      <c r="BB654" s="825"/>
      <c r="BC654" s="825"/>
      <c r="BD654" s="825"/>
      <c r="BE654" s="825"/>
      <c r="BF654" s="825"/>
      <c r="BG654" s="825"/>
      <c r="BH654" s="825"/>
      <c r="BI654" s="825"/>
      <c r="BJ654" s="825"/>
      <c r="BK654" s="825"/>
      <c r="BL654" s="825"/>
      <c r="BM654" s="825"/>
      <c r="BN654" s="825"/>
      <c r="BO654" s="825"/>
      <c r="BP654" s="825"/>
      <c r="BQ654" s="825"/>
      <c r="BR654" s="825"/>
      <c r="BS654" s="825"/>
      <c r="BT654" s="825"/>
      <c r="BU654" s="825"/>
      <c r="BV654" s="825"/>
      <c r="BW654" s="825"/>
      <c r="BX654" s="825"/>
      <c r="BY654" s="825"/>
      <c r="BZ654" s="825"/>
      <c r="CA654" s="825"/>
      <c r="CB654" s="825"/>
      <c r="CC654" s="825"/>
    </row>
    <row r="655" spans="1:81" x14ac:dyDescent="0.25">
      <c r="A655" s="825"/>
      <c r="N655" s="825"/>
      <c r="R655" s="825"/>
      <c r="S655" s="825"/>
      <c r="V655" s="825"/>
      <c r="W655" s="825"/>
      <c r="X655" s="825"/>
      <c r="Y655" s="825"/>
      <c r="Z655" s="825"/>
      <c r="AA655" s="825"/>
      <c r="AB655" s="825"/>
      <c r="AC655" s="825"/>
      <c r="AD655" s="825"/>
      <c r="AE655" s="825"/>
      <c r="AF655" s="825"/>
      <c r="AG655" s="825"/>
      <c r="AH655" s="825"/>
      <c r="AI655" s="825"/>
      <c r="AJ655" s="825"/>
      <c r="AK655" s="825"/>
      <c r="AL655" s="825"/>
      <c r="AM655" s="825"/>
      <c r="AN655" s="825"/>
      <c r="AO655" s="825"/>
      <c r="AP655" s="825"/>
      <c r="AQ655" s="825"/>
      <c r="AR655" s="825"/>
      <c r="AS655" s="825"/>
      <c r="AT655" s="825"/>
      <c r="AU655" s="825"/>
      <c r="AV655" s="825"/>
      <c r="AW655" s="825"/>
      <c r="AX655" s="825"/>
      <c r="BA655" s="825"/>
      <c r="BB655" s="825"/>
      <c r="BC655" s="825"/>
      <c r="BD655" s="825"/>
      <c r="BE655" s="825"/>
      <c r="BF655" s="825"/>
      <c r="BG655" s="825"/>
      <c r="BH655" s="825"/>
      <c r="BI655" s="825"/>
      <c r="BJ655" s="825"/>
      <c r="BK655" s="825"/>
      <c r="BL655" s="825"/>
      <c r="BM655" s="825"/>
      <c r="BN655" s="825"/>
      <c r="BO655" s="825"/>
      <c r="BP655" s="825"/>
      <c r="BQ655" s="825"/>
      <c r="BR655" s="825"/>
      <c r="BS655" s="825"/>
      <c r="BT655" s="825"/>
      <c r="BU655" s="825"/>
      <c r="BV655" s="825"/>
      <c r="BW655" s="825"/>
      <c r="BX655" s="825"/>
      <c r="BY655" s="825"/>
      <c r="BZ655" s="825"/>
      <c r="CA655" s="825"/>
      <c r="CB655" s="825"/>
      <c r="CC655" s="825"/>
    </row>
    <row r="656" spans="1:81" x14ac:dyDescent="0.25">
      <c r="A656" s="825"/>
      <c r="N656" s="825"/>
      <c r="R656" s="825"/>
      <c r="S656" s="825"/>
      <c r="V656" s="825"/>
      <c r="W656" s="825"/>
      <c r="X656" s="825"/>
      <c r="Y656" s="825"/>
      <c r="Z656" s="825"/>
      <c r="AA656" s="825"/>
      <c r="AB656" s="825"/>
      <c r="AC656" s="825"/>
      <c r="AD656" s="825"/>
      <c r="AE656" s="825"/>
      <c r="AF656" s="825"/>
      <c r="AG656" s="825"/>
      <c r="AH656" s="825"/>
      <c r="AI656" s="825"/>
      <c r="AJ656" s="825"/>
      <c r="AK656" s="825"/>
      <c r="AL656" s="825"/>
      <c r="AM656" s="825"/>
      <c r="AN656" s="825"/>
      <c r="AO656" s="825"/>
      <c r="AP656" s="825"/>
      <c r="AQ656" s="825"/>
      <c r="AR656" s="825"/>
      <c r="AS656" s="825"/>
      <c r="AT656" s="825"/>
      <c r="AU656" s="825"/>
      <c r="AV656" s="825"/>
      <c r="AW656" s="825"/>
      <c r="AX656" s="825"/>
      <c r="BA656" s="825"/>
      <c r="BB656" s="825"/>
      <c r="BC656" s="825"/>
      <c r="BD656" s="825"/>
      <c r="BE656" s="825"/>
      <c r="BF656" s="825"/>
      <c r="BG656" s="825"/>
      <c r="BH656" s="825"/>
      <c r="BI656" s="825"/>
      <c r="BJ656" s="825"/>
      <c r="BK656" s="825"/>
      <c r="BL656" s="825"/>
      <c r="BM656" s="825"/>
      <c r="BN656" s="825"/>
      <c r="BO656" s="825"/>
      <c r="BP656" s="825"/>
      <c r="BQ656" s="825"/>
      <c r="BR656" s="825"/>
      <c r="BS656" s="825"/>
      <c r="BT656" s="825"/>
      <c r="BU656" s="825"/>
      <c r="BV656" s="825"/>
      <c r="BW656" s="825"/>
      <c r="BX656" s="825"/>
      <c r="BY656" s="825"/>
      <c r="BZ656" s="825"/>
      <c r="CA656" s="825"/>
      <c r="CB656" s="825"/>
      <c r="CC656" s="825"/>
    </row>
    <row r="657" spans="1:81" x14ac:dyDescent="0.25">
      <c r="A657" s="825"/>
      <c r="N657" s="825"/>
      <c r="R657" s="825"/>
      <c r="S657" s="825"/>
      <c r="V657" s="825"/>
      <c r="W657" s="825"/>
      <c r="X657" s="825"/>
      <c r="Y657" s="825"/>
      <c r="Z657" s="825"/>
      <c r="AA657" s="825"/>
      <c r="AB657" s="825"/>
      <c r="AC657" s="825"/>
      <c r="AD657" s="825"/>
      <c r="AE657" s="825"/>
      <c r="AF657" s="825"/>
      <c r="AG657" s="825"/>
      <c r="AH657" s="825"/>
      <c r="AI657" s="825"/>
      <c r="AJ657" s="825"/>
      <c r="AK657" s="825"/>
      <c r="AL657" s="825"/>
      <c r="AM657" s="825"/>
      <c r="AN657" s="825"/>
      <c r="AO657" s="825"/>
      <c r="AP657" s="825"/>
      <c r="AQ657" s="825"/>
      <c r="AR657" s="825"/>
      <c r="AS657" s="825"/>
      <c r="AT657" s="825"/>
      <c r="AU657" s="825"/>
      <c r="AV657" s="825"/>
      <c r="AW657" s="825"/>
      <c r="AX657" s="825"/>
      <c r="BA657" s="825"/>
      <c r="BB657" s="825"/>
      <c r="BC657" s="825"/>
      <c r="BD657" s="825"/>
      <c r="BE657" s="825"/>
      <c r="BF657" s="825"/>
      <c r="BG657" s="825"/>
      <c r="BH657" s="825"/>
      <c r="BI657" s="825"/>
      <c r="BJ657" s="825"/>
      <c r="BK657" s="825"/>
      <c r="BL657" s="825"/>
      <c r="BM657" s="825"/>
      <c r="BN657" s="825"/>
      <c r="BO657" s="825"/>
      <c r="BP657" s="825"/>
      <c r="BQ657" s="825"/>
      <c r="BR657" s="825"/>
      <c r="BS657" s="825"/>
      <c r="BT657" s="825"/>
      <c r="BU657" s="825"/>
      <c r="BV657" s="825"/>
      <c r="BW657" s="825"/>
      <c r="BX657" s="825"/>
      <c r="BY657" s="825"/>
      <c r="BZ657" s="825"/>
      <c r="CA657" s="825"/>
      <c r="CB657" s="825"/>
      <c r="CC657" s="825"/>
    </row>
    <row r="658" spans="1:81" x14ac:dyDescent="0.25">
      <c r="A658" s="825"/>
      <c r="N658" s="825"/>
      <c r="R658" s="825"/>
      <c r="S658" s="825"/>
      <c r="V658" s="825"/>
      <c r="W658" s="825"/>
      <c r="X658" s="825"/>
      <c r="Y658" s="825"/>
      <c r="Z658" s="825"/>
      <c r="AA658" s="825"/>
      <c r="AB658" s="825"/>
      <c r="AC658" s="825"/>
      <c r="AD658" s="825"/>
      <c r="AE658" s="825"/>
      <c r="AF658" s="825"/>
      <c r="AG658" s="825"/>
      <c r="AH658" s="825"/>
      <c r="AI658" s="825"/>
      <c r="AJ658" s="825"/>
      <c r="AK658" s="825"/>
      <c r="AL658" s="825"/>
      <c r="AM658" s="825"/>
      <c r="AN658" s="825"/>
      <c r="AO658" s="825"/>
      <c r="AP658" s="825"/>
      <c r="AQ658" s="825"/>
      <c r="AR658" s="825"/>
      <c r="AS658" s="825"/>
      <c r="AT658" s="825"/>
      <c r="AU658" s="825"/>
      <c r="AV658" s="825"/>
      <c r="AW658" s="825"/>
      <c r="AX658" s="825"/>
      <c r="BA658" s="825"/>
      <c r="BB658" s="825"/>
      <c r="BC658" s="825"/>
      <c r="BD658" s="825"/>
      <c r="BE658" s="825"/>
      <c r="BF658" s="825"/>
      <c r="BG658" s="825"/>
      <c r="BH658" s="825"/>
      <c r="BI658" s="825"/>
      <c r="BJ658" s="825"/>
      <c r="BK658" s="825"/>
      <c r="BL658" s="825"/>
      <c r="BM658" s="825"/>
      <c r="BN658" s="825"/>
      <c r="BO658" s="825"/>
      <c r="BP658" s="825"/>
      <c r="BQ658" s="825"/>
      <c r="BR658" s="825"/>
      <c r="BS658" s="825"/>
      <c r="BT658" s="825"/>
      <c r="BU658" s="825"/>
      <c r="BV658" s="825"/>
      <c r="BW658" s="825"/>
      <c r="BX658" s="825"/>
      <c r="BY658" s="825"/>
      <c r="BZ658" s="825"/>
      <c r="CA658" s="825"/>
      <c r="CB658" s="825"/>
      <c r="CC658" s="825"/>
    </row>
    <row r="659" spans="1:81" x14ac:dyDescent="0.25">
      <c r="A659" s="825"/>
      <c r="N659" s="825"/>
      <c r="R659" s="825"/>
      <c r="S659" s="825"/>
      <c r="V659" s="825"/>
      <c r="W659" s="825"/>
      <c r="X659" s="825"/>
      <c r="Y659" s="825"/>
      <c r="Z659" s="825"/>
      <c r="AA659" s="825"/>
      <c r="AB659" s="825"/>
      <c r="AC659" s="825"/>
      <c r="AD659" s="825"/>
      <c r="AE659" s="825"/>
      <c r="AF659" s="825"/>
      <c r="AG659" s="825"/>
      <c r="AH659" s="825"/>
      <c r="AI659" s="825"/>
      <c r="AJ659" s="825"/>
      <c r="AK659" s="825"/>
      <c r="AL659" s="825"/>
      <c r="AM659" s="825"/>
      <c r="AN659" s="825"/>
      <c r="AO659" s="825"/>
      <c r="AP659" s="825"/>
      <c r="AQ659" s="825"/>
      <c r="AR659" s="825"/>
      <c r="AS659" s="825"/>
      <c r="AT659" s="825"/>
      <c r="AU659" s="825"/>
      <c r="AV659" s="825"/>
      <c r="AW659" s="825"/>
      <c r="AX659" s="825"/>
      <c r="BA659" s="825"/>
      <c r="BB659" s="825"/>
      <c r="BC659" s="825"/>
      <c r="BD659" s="825"/>
      <c r="BE659" s="825"/>
      <c r="BF659" s="825"/>
      <c r="BG659" s="825"/>
      <c r="BH659" s="825"/>
      <c r="BI659" s="825"/>
      <c r="BJ659" s="825"/>
      <c r="BK659" s="825"/>
      <c r="BL659" s="825"/>
      <c r="BM659" s="825"/>
      <c r="BN659" s="825"/>
      <c r="BO659" s="825"/>
      <c r="BP659" s="825"/>
      <c r="BQ659" s="825"/>
      <c r="BR659" s="825"/>
      <c r="BS659" s="825"/>
      <c r="BT659" s="825"/>
      <c r="BU659" s="825"/>
      <c r="BV659" s="825"/>
      <c r="BW659" s="825"/>
      <c r="BX659" s="825"/>
      <c r="BY659" s="825"/>
      <c r="BZ659" s="825"/>
      <c r="CA659" s="825"/>
      <c r="CB659" s="825"/>
      <c r="CC659" s="825"/>
    </row>
    <row r="660" spans="1:81" x14ac:dyDescent="0.25">
      <c r="A660" s="825"/>
      <c r="N660" s="825"/>
      <c r="R660" s="825"/>
      <c r="S660" s="825"/>
      <c r="V660" s="825"/>
      <c r="W660" s="825"/>
      <c r="X660" s="825"/>
      <c r="Y660" s="825"/>
      <c r="Z660" s="825"/>
      <c r="AA660" s="825"/>
      <c r="AB660" s="825"/>
      <c r="AC660" s="825"/>
      <c r="AD660" s="825"/>
      <c r="AE660" s="825"/>
      <c r="AF660" s="825"/>
      <c r="AG660" s="825"/>
      <c r="AH660" s="825"/>
      <c r="AI660" s="825"/>
      <c r="AJ660" s="825"/>
      <c r="AK660" s="825"/>
      <c r="AL660" s="825"/>
      <c r="AM660" s="825"/>
      <c r="AN660" s="825"/>
      <c r="AO660" s="825"/>
      <c r="AP660" s="825"/>
      <c r="AQ660" s="825"/>
      <c r="AR660" s="825"/>
      <c r="AS660" s="825"/>
      <c r="AT660" s="825"/>
      <c r="AU660" s="825"/>
      <c r="AV660" s="825"/>
      <c r="AW660" s="825"/>
      <c r="AX660" s="825"/>
      <c r="BA660" s="825"/>
      <c r="BB660" s="825"/>
      <c r="BC660" s="825"/>
      <c r="BD660" s="825"/>
      <c r="BE660" s="825"/>
      <c r="BF660" s="825"/>
      <c r="BG660" s="825"/>
      <c r="BH660" s="825"/>
      <c r="BI660" s="825"/>
      <c r="BJ660" s="825"/>
      <c r="BK660" s="825"/>
      <c r="BL660" s="825"/>
      <c r="BM660" s="825"/>
      <c r="BN660" s="825"/>
      <c r="BO660" s="825"/>
      <c r="BP660" s="825"/>
      <c r="BQ660" s="825"/>
      <c r="BR660" s="825"/>
      <c r="BS660" s="825"/>
      <c r="BT660" s="825"/>
      <c r="BU660" s="825"/>
      <c r="BV660" s="825"/>
      <c r="BW660" s="825"/>
      <c r="BX660" s="825"/>
      <c r="BY660" s="825"/>
      <c r="BZ660" s="825"/>
      <c r="CA660" s="825"/>
      <c r="CB660" s="825"/>
      <c r="CC660" s="825"/>
    </row>
    <row r="661" spans="1:81" x14ac:dyDescent="0.25">
      <c r="A661" s="825"/>
      <c r="N661" s="825"/>
      <c r="R661" s="825"/>
      <c r="S661" s="825"/>
      <c r="V661" s="825"/>
      <c r="W661" s="825"/>
      <c r="X661" s="825"/>
      <c r="Y661" s="825"/>
      <c r="Z661" s="825"/>
      <c r="AA661" s="825"/>
      <c r="AB661" s="825"/>
      <c r="AC661" s="825"/>
      <c r="AD661" s="825"/>
      <c r="AE661" s="825"/>
      <c r="AF661" s="825"/>
      <c r="AG661" s="825"/>
      <c r="AH661" s="825"/>
      <c r="AI661" s="825"/>
      <c r="AJ661" s="825"/>
      <c r="AK661" s="825"/>
      <c r="AL661" s="825"/>
      <c r="AM661" s="825"/>
      <c r="AN661" s="825"/>
      <c r="AO661" s="825"/>
      <c r="AP661" s="825"/>
      <c r="AQ661" s="825"/>
      <c r="AR661" s="825"/>
      <c r="AS661" s="825"/>
      <c r="AT661" s="825"/>
      <c r="AU661" s="825"/>
      <c r="AV661" s="825"/>
      <c r="AW661" s="825"/>
      <c r="AX661" s="825"/>
      <c r="BA661" s="825"/>
      <c r="BB661" s="825"/>
      <c r="BC661" s="825"/>
      <c r="BD661" s="825"/>
      <c r="BE661" s="825"/>
      <c r="BF661" s="825"/>
      <c r="BG661" s="825"/>
      <c r="BH661" s="825"/>
      <c r="BI661" s="825"/>
      <c r="BJ661" s="825"/>
      <c r="BK661" s="825"/>
      <c r="BL661" s="825"/>
      <c r="BM661" s="825"/>
      <c r="BN661" s="825"/>
      <c r="BO661" s="825"/>
      <c r="BP661" s="825"/>
      <c r="BQ661" s="825"/>
      <c r="BR661" s="825"/>
      <c r="BS661" s="825"/>
      <c r="BT661" s="825"/>
      <c r="BU661" s="825"/>
      <c r="BV661" s="825"/>
      <c r="BW661" s="825"/>
      <c r="BX661" s="825"/>
      <c r="BY661" s="825"/>
      <c r="BZ661" s="825"/>
      <c r="CA661" s="825"/>
      <c r="CB661" s="825"/>
      <c r="CC661" s="825"/>
    </row>
    <row r="662" spans="1:81" x14ac:dyDescent="0.25">
      <c r="A662" s="825"/>
      <c r="N662" s="825"/>
      <c r="R662" s="825"/>
      <c r="S662" s="825"/>
      <c r="V662" s="825"/>
      <c r="W662" s="825"/>
      <c r="X662" s="825"/>
      <c r="Y662" s="825"/>
      <c r="Z662" s="825"/>
      <c r="AA662" s="825"/>
      <c r="AB662" s="825"/>
      <c r="AC662" s="825"/>
      <c r="AD662" s="825"/>
      <c r="AE662" s="825"/>
      <c r="AF662" s="825"/>
      <c r="AG662" s="825"/>
      <c r="AH662" s="825"/>
      <c r="AI662" s="825"/>
      <c r="AJ662" s="825"/>
      <c r="AK662" s="825"/>
      <c r="AL662" s="825"/>
      <c r="AM662" s="825"/>
      <c r="AN662" s="825"/>
      <c r="AO662" s="825"/>
      <c r="AP662" s="825"/>
      <c r="AQ662" s="825"/>
      <c r="AR662" s="825"/>
      <c r="AS662" s="825"/>
      <c r="AT662" s="825"/>
      <c r="AU662" s="825"/>
      <c r="AV662" s="825"/>
      <c r="AW662" s="825"/>
      <c r="AX662" s="825"/>
      <c r="BA662" s="825"/>
      <c r="BB662" s="825"/>
      <c r="BC662" s="825"/>
      <c r="BD662" s="825"/>
      <c r="BE662" s="825"/>
      <c r="BF662" s="825"/>
      <c r="BG662" s="825"/>
      <c r="BH662" s="825"/>
      <c r="BI662" s="825"/>
      <c r="BJ662" s="825"/>
      <c r="BK662" s="825"/>
      <c r="BL662" s="825"/>
      <c r="BM662" s="825"/>
      <c r="BN662" s="825"/>
      <c r="BO662" s="825"/>
      <c r="BP662" s="825"/>
      <c r="BQ662" s="825"/>
      <c r="BR662" s="825"/>
      <c r="BS662" s="825"/>
      <c r="BT662" s="825"/>
      <c r="BU662" s="825"/>
      <c r="BV662" s="825"/>
      <c r="BW662" s="825"/>
      <c r="BX662" s="825"/>
      <c r="BY662" s="825"/>
      <c r="BZ662" s="825"/>
      <c r="CA662" s="825"/>
      <c r="CB662" s="825"/>
      <c r="CC662" s="825"/>
    </row>
    <row r="663" spans="1:81" x14ac:dyDescent="0.25">
      <c r="A663" s="825"/>
      <c r="N663" s="825"/>
      <c r="R663" s="825"/>
      <c r="S663" s="825"/>
      <c r="V663" s="825"/>
      <c r="W663" s="825"/>
      <c r="X663" s="825"/>
      <c r="Y663" s="825"/>
      <c r="Z663" s="825"/>
      <c r="AA663" s="825"/>
      <c r="AB663" s="825"/>
      <c r="AC663" s="825"/>
      <c r="AD663" s="825"/>
      <c r="AE663" s="825"/>
      <c r="AF663" s="825"/>
      <c r="AG663" s="825"/>
      <c r="AH663" s="825"/>
      <c r="AI663" s="825"/>
      <c r="AJ663" s="825"/>
      <c r="AK663" s="825"/>
      <c r="AL663" s="825"/>
      <c r="AM663" s="825"/>
      <c r="AN663" s="825"/>
      <c r="AO663" s="825"/>
      <c r="AP663" s="825"/>
      <c r="AQ663" s="825"/>
      <c r="AR663" s="825"/>
      <c r="AS663" s="825"/>
      <c r="AT663" s="825"/>
      <c r="AU663" s="825"/>
      <c r="AV663" s="825"/>
      <c r="AW663" s="825"/>
      <c r="AX663" s="825"/>
      <c r="BA663" s="825"/>
      <c r="BB663" s="825"/>
      <c r="BC663" s="825"/>
      <c r="BD663" s="825"/>
      <c r="BE663" s="825"/>
      <c r="BF663" s="825"/>
      <c r="BG663" s="825"/>
      <c r="BH663" s="825"/>
      <c r="BI663" s="825"/>
      <c r="BJ663" s="825"/>
      <c r="BK663" s="825"/>
      <c r="BL663" s="825"/>
      <c r="BM663" s="825"/>
      <c r="BN663" s="825"/>
      <c r="BO663" s="825"/>
      <c r="BP663" s="825"/>
      <c r="BQ663" s="825"/>
      <c r="BR663" s="825"/>
      <c r="BS663" s="825"/>
      <c r="BT663" s="825"/>
      <c r="BU663" s="825"/>
      <c r="BV663" s="825"/>
      <c r="BW663" s="825"/>
      <c r="BX663" s="825"/>
      <c r="BY663" s="825"/>
      <c r="BZ663" s="825"/>
      <c r="CA663" s="825"/>
      <c r="CB663" s="825"/>
      <c r="CC663" s="825"/>
    </row>
  </sheetData>
  <autoFilter ref="B7:U604"/>
  <mergeCells count="1163">
    <mergeCell ref="B3:W3"/>
    <mergeCell ref="I17:I19"/>
    <mergeCell ref="C17:C19"/>
    <mergeCell ref="B8:B15"/>
    <mergeCell ref="I21:I22"/>
    <mergeCell ref="I23:I24"/>
    <mergeCell ref="E17:E19"/>
    <mergeCell ref="F17:F19"/>
    <mergeCell ref="F21:F22"/>
    <mergeCell ref="E21:E22"/>
    <mergeCell ref="E8:E15"/>
    <mergeCell ref="F8:F15"/>
    <mergeCell ref="E23:E24"/>
    <mergeCell ref="F23:F24"/>
    <mergeCell ref="K8:K15"/>
    <mergeCell ref="G8:G15"/>
    <mergeCell ref="H8:H15"/>
    <mergeCell ref="I8:I15"/>
    <mergeCell ref="J8:J15"/>
    <mergeCell ref="L8:L15"/>
    <mergeCell ref="G17:G19"/>
    <mergeCell ref="H21:H22"/>
    <mergeCell ref="J21:J22"/>
    <mergeCell ref="L21:L22"/>
    <mergeCell ref="K21:K22"/>
    <mergeCell ref="G23:G24"/>
    <mergeCell ref="H23:H24"/>
    <mergeCell ref="J23:J24"/>
    <mergeCell ref="K23:K24"/>
    <mergeCell ref="L23:L24"/>
    <mergeCell ref="F494:F501"/>
    <mergeCell ref="C504:C508"/>
    <mergeCell ref="AE58:AF58"/>
    <mergeCell ref="AE59:AF59"/>
    <mergeCell ref="AB52:AC52"/>
    <mergeCell ref="AE52:AF52"/>
    <mergeCell ref="AB53:AC53"/>
    <mergeCell ref="AE53:AF53"/>
    <mergeCell ref="AE56:AF56"/>
    <mergeCell ref="AE57:AF57"/>
    <mergeCell ref="AB54:AC54"/>
    <mergeCell ref="AE54:AF54"/>
    <mergeCell ref="AE55:AF55"/>
    <mergeCell ref="D372:D373"/>
    <mergeCell ref="D374:D382"/>
    <mergeCell ref="C374:C382"/>
    <mergeCell ref="C384:C386"/>
    <mergeCell ref="C387:C394"/>
    <mergeCell ref="D387:D394"/>
    <mergeCell ref="E374:E382"/>
    <mergeCell ref="F374:F382"/>
    <mergeCell ref="E502:E503"/>
    <mergeCell ref="F502:F503"/>
    <mergeCell ref="C335:C342"/>
    <mergeCell ref="D335:D342"/>
    <mergeCell ref="C490:C491"/>
    <mergeCell ref="C469:C477"/>
    <mergeCell ref="E387:E394"/>
    <mergeCell ref="C274:C275"/>
    <mergeCell ref="D274:D275"/>
    <mergeCell ref="D278:D279"/>
    <mergeCell ref="C309:C311"/>
    <mergeCell ref="E547:E551"/>
    <mergeCell ref="F547:F551"/>
    <mergeCell ref="H17:H19"/>
    <mergeCell ref="J17:J19"/>
    <mergeCell ref="G21:G22"/>
    <mergeCell ref="C494:C501"/>
    <mergeCell ref="D509:D510"/>
    <mergeCell ref="C509:C510"/>
    <mergeCell ref="F509:F510"/>
    <mergeCell ref="C511:C512"/>
    <mergeCell ref="D511:D512"/>
    <mergeCell ref="D513:D515"/>
    <mergeCell ref="C513:C515"/>
    <mergeCell ref="F513:F515"/>
    <mergeCell ref="E513:E515"/>
    <mergeCell ref="E509:E510"/>
    <mergeCell ref="E511:E512"/>
    <mergeCell ref="F511:F512"/>
    <mergeCell ref="D494:D501"/>
    <mergeCell ref="E335:E342"/>
    <mergeCell ref="F335:F342"/>
    <mergeCell ref="E333:E334"/>
    <mergeCell ref="F333:F334"/>
    <mergeCell ref="D343:D344"/>
    <mergeCell ref="C345:C346"/>
    <mergeCell ref="D345:D346"/>
    <mergeCell ref="C347:C349"/>
    <mergeCell ref="D347:D349"/>
    <mergeCell ref="D350:D358"/>
    <mergeCell ref="C350:C358"/>
    <mergeCell ref="D360:D362"/>
    <mergeCell ref="C360:C362"/>
    <mergeCell ref="C516:C518"/>
    <mergeCell ref="D516:D518"/>
    <mergeCell ref="F516:F518"/>
    <mergeCell ref="E516:E518"/>
    <mergeCell ref="F519:F522"/>
    <mergeCell ref="D519:D522"/>
    <mergeCell ref="C519:C522"/>
    <mergeCell ref="E519:E522"/>
    <mergeCell ref="C536:C537"/>
    <mergeCell ref="C530:C535"/>
    <mergeCell ref="C527:C528"/>
    <mergeCell ref="C523:C526"/>
    <mergeCell ref="C545:C546"/>
    <mergeCell ref="C547:C551"/>
    <mergeCell ref="C556:C559"/>
    <mergeCell ref="D482:D489"/>
    <mergeCell ref="C482:C489"/>
    <mergeCell ref="E482:E489"/>
    <mergeCell ref="F482:F489"/>
    <mergeCell ref="E556:E559"/>
    <mergeCell ref="F556:F559"/>
    <mergeCell ref="D547:D551"/>
    <mergeCell ref="E536:E537"/>
    <mergeCell ref="D504:D508"/>
    <mergeCell ref="F504:F508"/>
    <mergeCell ref="E504:E508"/>
    <mergeCell ref="F536:F537"/>
    <mergeCell ref="F530:F535"/>
    <mergeCell ref="D530:D535"/>
    <mergeCell ref="E530:E535"/>
    <mergeCell ref="C502:C503"/>
    <mergeCell ref="D556:D559"/>
    <mergeCell ref="D325:D326"/>
    <mergeCell ref="C300:C308"/>
    <mergeCell ref="C327:C332"/>
    <mergeCell ref="D327:D332"/>
    <mergeCell ref="D333:D334"/>
    <mergeCell ref="C333:C334"/>
    <mergeCell ref="F92:F100"/>
    <mergeCell ref="C102:C104"/>
    <mergeCell ref="E164:E165"/>
    <mergeCell ref="D194:D196"/>
    <mergeCell ref="C197:C199"/>
    <mergeCell ref="C209:C211"/>
    <mergeCell ref="D204:D205"/>
    <mergeCell ref="C204:C205"/>
    <mergeCell ref="D206:D207"/>
    <mergeCell ref="D197:D199"/>
    <mergeCell ref="D200:D203"/>
    <mergeCell ref="C206:C207"/>
    <mergeCell ref="D209:D211"/>
    <mergeCell ref="C192:C193"/>
    <mergeCell ref="C131:C132"/>
    <mergeCell ref="D131:D132"/>
    <mergeCell ref="C185:C189"/>
    <mergeCell ref="C141:C143"/>
    <mergeCell ref="C146:C147"/>
    <mergeCell ref="E102:E104"/>
    <mergeCell ref="D102:D104"/>
    <mergeCell ref="E92:E100"/>
    <mergeCell ref="D92:D100"/>
    <mergeCell ref="C92:C100"/>
    <mergeCell ref="C224:C225"/>
    <mergeCell ref="D224:D225"/>
    <mergeCell ref="D502:D503"/>
    <mergeCell ref="C200:C203"/>
    <mergeCell ref="C194:C196"/>
    <mergeCell ref="C253:C261"/>
    <mergeCell ref="C263:C265"/>
    <mergeCell ref="D263:D265"/>
    <mergeCell ref="C266:C267"/>
    <mergeCell ref="D266:D267"/>
    <mergeCell ref="C268:C269"/>
    <mergeCell ref="D268:D269"/>
    <mergeCell ref="D253:D261"/>
    <mergeCell ref="D270:D271"/>
    <mergeCell ref="C270:C271"/>
    <mergeCell ref="C316:C318"/>
    <mergeCell ref="D316:D318"/>
    <mergeCell ref="D319:D322"/>
    <mergeCell ref="C319:C322"/>
    <mergeCell ref="C363:C370"/>
    <mergeCell ref="C372:C373"/>
    <mergeCell ref="D251:D252"/>
    <mergeCell ref="C251:C252"/>
    <mergeCell ref="D283:D290"/>
    <mergeCell ref="C292:C294"/>
    <mergeCell ref="D292:D294"/>
    <mergeCell ref="D239:D241"/>
    <mergeCell ref="C212:C213"/>
    <mergeCell ref="D212:D213"/>
    <mergeCell ref="C214:C221"/>
    <mergeCell ref="D214:D221"/>
    <mergeCell ref="D222:D223"/>
    <mergeCell ref="C222:C223"/>
    <mergeCell ref="D242:D249"/>
    <mergeCell ref="C54:C55"/>
    <mergeCell ref="D54:D55"/>
    <mergeCell ref="E177:E179"/>
    <mergeCell ref="F177:F179"/>
    <mergeCell ref="F168:F176"/>
    <mergeCell ref="F166:F167"/>
    <mergeCell ref="E160:E162"/>
    <mergeCell ref="F160:F162"/>
    <mergeCell ref="E37:E44"/>
    <mergeCell ref="F37:F44"/>
    <mergeCell ref="D151:D158"/>
    <mergeCell ref="D45:D46"/>
    <mergeCell ref="C45:C46"/>
    <mergeCell ref="C47:C51"/>
    <mergeCell ref="D47:D51"/>
    <mergeCell ref="C52:C53"/>
    <mergeCell ref="D52:D53"/>
    <mergeCell ref="C168:C176"/>
    <mergeCell ref="E68:E69"/>
    <mergeCell ref="F68:F69"/>
    <mergeCell ref="D105:D112"/>
    <mergeCell ref="E133:E135"/>
    <mergeCell ref="D133:D135"/>
    <mergeCell ref="C133:C135"/>
    <mergeCell ref="C136:C138"/>
    <mergeCell ref="F136:F138"/>
    <mergeCell ref="E151:E158"/>
    <mergeCell ref="E52:E53"/>
    <mergeCell ref="F52:F53"/>
    <mergeCell ref="C87:C88"/>
    <mergeCell ref="D87:D88"/>
    <mergeCell ref="D141:D143"/>
    <mergeCell ref="C34:C36"/>
    <mergeCell ref="C8:C15"/>
    <mergeCell ref="C21:C22"/>
    <mergeCell ref="C23:C24"/>
    <mergeCell ref="C25:C33"/>
    <mergeCell ref="D8:D15"/>
    <mergeCell ref="D17:D19"/>
    <mergeCell ref="D21:D22"/>
    <mergeCell ref="D23:D24"/>
    <mergeCell ref="D25:D33"/>
    <mergeCell ref="D34:D36"/>
    <mergeCell ref="C56:C58"/>
    <mergeCell ref="D56:D58"/>
    <mergeCell ref="C180:C182"/>
    <mergeCell ref="D180:D182"/>
    <mergeCell ref="D183:D184"/>
    <mergeCell ref="C183:C184"/>
    <mergeCell ref="C151:C158"/>
    <mergeCell ref="C160:C162"/>
    <mergeCell ref="D160:D162"/>
    <mergeCell ref="C164:C165"/>
    <mergeCell ref="D164:D165"/>
    <mergeCell ref="C166:C167"/>
    <mergeCell ref="D166:D167"/>
    <mergeCell ref="D168:D176"/>
    <mergeCell ref="C66:C67"/>
    <mergeCell ref="C68:C69"/>
    <mergeCell ref="D68:D69"/>
    <mergeCell ref="C105:C112"/>
    <mergeCell ref="C37:C44"/>
    <mergeCell ref="C59:C61"/>
    <mergeCell ref="D59:D61"/>
    <mergeCell ref="F59:F61"/>
    <mergeCell ref="F309:F311"/>
    <mergeCell ref="F325:F326"/>
    <mergeCell ref="E87:E88"/>
    <mergeCell ref="F87:F88"/>
    <mergeCell ref="E131:E132"/>
    <mergeCell ref="F131:F132"/>
    <mergeCell ref="F141:F143"/>
    <mergeCell ref="E141:E143"/>
    <mergeCell ref="E146:E147"/>
    <mergeCell ref="F146:F147"/>
    <mergeCell ref="E278:E279"/>
    <mergeCell ref="F185:F189"/>
    <mergeCell ref="F183:F184"/>
    <mergeCell ref="E197:E199"/>
    <mergeCell ref="E194:E196"/>
    <mergeCell ref="E200:E203"/>
    <mergeCell ref="F190:F191"/>
    <mergeCell ref="E309:E311"/>
    <mergeCell ref="F300:F308"/>
    <mergeCell ref="E298:E299"/>
    <mergeCell ref="E325:E326"/>
    <mergeCell ref="E263:E265"/>
    <mergeCell ref="F263:F265"/>
    <mergeCell ref="F105:F112"/>
    <mergeCell ref="F133:F135"/>
    <mergeCell ref="F180:F182"/>
    <mergeCell ref="F85:F86"/>
    <mergeCell ref="E71:E72"/>
    <mergeCell ref="F278:F279"/>
    <mergeCell ref="E296:E297"/>
    <mergeCell ref="F296:F297"/>
    <mergeCell ref="E54:E55"/>
    <mergeCell ref="F54:F55"/>
    <mergeCell ref="E45:E46"/>
    <mergeCell ref="F47:F51"/>
    <mergeCell ref="E34:E36"/>
    <mergeCell ref="F34:F36"/>
    <mergeCell ref="F45:F46"/>
    <mergeCell ref="E47:E51"/>
    <mergeCell ref="D37:D44"/>
    <mergeCell ref="E384:E386"/>
    <mergeCell ref="F384:F386"/>
    <mergeCell ref="E319:E322"/>
    <mergeCell ref="F319:F322"/>
    <mergeCell ref="E343:E344"/>
    <mergeCell ref="F343:F344"/>
    <mergeCell ref="E345:E346"/>
    <mergeCell ref="F345:F346"/>
    <mergeCell ref="E323:E324"/>
    <mergeCell ref="F323:F324"/>
    <mergeCell ref="E347:E349"/>
    <mergeCell ref="F347:F349"/>
    <mergeCell ref="E350:E358"/>
    <mergeCell ref="E372:E373"/>
    <mergeCell ref="F372:F373"/>
    <mergeCell ref="E56:E58"/>
    <mergeCell ref="F56:F58"/>
    <mergeCell ref="E222:E223"/>
    <mergeCell ref="F222:F223"/>
    <mergeCell ref="E180:E182"/>
    <mergeCell ref="F316:F318"/>
    <mergeCell ref="F298:F299"/>
    <mergeCell ref="E59:E61"/>
    <mergeCell ref="D363:D370"/>
    <mergeCell ref="F490:F491"/>
    <mergeCell ref="F126:F128"/>
    <mergeCell ref="E126:E128"/>
    <mergeCell ref="D75:D76"/>
    <mergeCell ref="AR8:AS8"/>
    <mergeCell ref="AU8:AV8"/>
    <mergeCell ref="Z8:AA8"/>
    <mergeCell ref="AC8:AD8"/>
    <mergeCell ref="AF8:AG8"/>
    <mergeCell ref="AI8:AJ8"/>
    <mergeCell ref="AL8:AM8"/>
    <mergeCell ref="AO8:AP8"/>
    <mergeCell ref="C552:C555"/>
    <mergeCell ref="D552:D555"/>
    <mergeCell ref="E552:E555"/>
    <mergeCell ref="F527:F528"/>
    <mergeCell ref="E527:E528"/>
    <mergeCell ref="D527:D528"/>
    <mergeCell ref="D523:D526"/>
    <mergeCell ref="E523:E526"/>
    <mergeCell ref="F523:F526"/>
    <mergeCell ref="D545:D546"/>
    <mergeCell ref="E545:E546"/>
    <mergeCell ref="F545:F546"/>
    <mergeCell ref="C540:C541"/>
    <mergeCell ref="D540:D541"/>
    <mergeCell ref="E540:E541"/>
    <mergeCell ref="F540:F541"/>
    <mergeCell ref="E25:E33"/>
    <mergeCell ref="F25:F33"/>
    <mergeCell ref="I71:I72"/>
    <mergeCell ref="C583:C586"/>
    <mergeCell ref="C581:C582"/>
    <mergeCell ref="C578:C580"/>
    <mergeCell ref="E73:E74"/>
    <mergeCell ref="E583:E586"/>
    <mergeCell ref="F583:F586"/>
    <mergeCell ref="D602:D604"/>
    <mergeCell ref="E602:E604"/>
    <mergeCell ref="F602:F604"/>
    <mergeCell ref="C599:C601"/>
    <mergeCell ref="C602:C604"/>
    <mergeCell ref="C594:C596"/>
    <mergeCell ref="D599:D601"/>
    <mergeCell ref="F599:F601"/>
    <mergeCell ref="D594:D596"/>
    <mergeCell ref="E599:E601"/>
    <mergeCell ref="D583:D586"/>
    <mergeCell ref="E560:E562"/>
    <mergeCell ref="D560:D562"/>
    <mergeCell ref="F560:F562"/>
    <mergeCell ref="D581:D582"/>
    <mergeCell ref="E581:E582"/>
    <mergeCell ref="F581:F582"/>
    <mergeCell ref="D578:D580"/>
    <mergeCell ref="E578:E580"/>
    <mergeCell ref="F578:F580"/>
    <mergeCell ref="D574:D577"/>
    <mergeCell ref="E574:E577"/>
    <mergeCell ref="F574:F577"/>
    <mergeCell ref="D563:D565"/>
    <mergeCell ref="D569:D570"/>
    <mergeCell ref="C560:C562"/>
    <mergeCell ref="D71:D72"/>
    <mergeCell ref="C71:C72"/>
    <mergeCell ref="B602:B604"/>
    <mergeCell ref="B574:B577"/>
    <mergeCell ref="B578:B580"/>
    <mergeCell ref="B581:B582"/>
    <mergeCell ref="B583:B586"/>
    <mergeCell ref="B587:B590"/>
    <mergeCell ref="B591:B593"/>
    <mergeCell ref="B594:B596"/>
    <mergeCell ref="B597:B598"/>
    <mergeCell ref="B599:B601"/>
    <mergeCell ref="C569:C570"/>
    <mergeCell ref="E563:E565"/>
    <mergeCell ref="F563:F565"/>
    <mergeCell ref="F597:F598"/>
    <mergeCell ref="C597:C598"/>
    <mergeCell ref="D597:D598"/>
    <mergeCell ref="E597:E598"/>
    <mergeCell ref="C591:C593"/>
    <mergeCell ref="D591:D593"/>
    <mergeCell ref="E591:E593"/>
    <mergeCell ref="F591:F593"/>
    <mergeCell ref="C574:C577"/>
    <mergeCell ref="C563:C565"/>
    <mergeCell ref="D587:D590"/>
    <mergeCell ref="E587:E590"/>
    <mergeCell ref="F587:F590"/>
    <mergeCell ref="E594:E596"/>
    <mergeCell ref="F594:F596"/>
    <mergeCell ref="C587:C590"/>
    <mergeCell ref="F102:F104"/>
    <mergeCell ref="B490:B491"/>
    <mergeCell ref="C62:C65"/>
    <mergeCell ref="D62:D65"/>
    <mergeCell ref="E62:E65"/>
    <mergeCell ref="F62:F65"/>
    <mergeCell ref="D66:D67"/>
    <mergeCell ref="E66:E67"/>
    <mergeCell ref="F66:F67"/>
    <mergeCell ref="B571:B573"/>
    <mergeCell ref="F552:F555"/>
    <mergeCell ref="F571:F573"/>
    <mergeCell ref="C538:C539"/>
    <mergeCell ref="D538:D539"/>
    <mergeCell ref="E538:E539"/>
    <mergeCell ref="F538:F539"/>
    <mergeCell ref="B545:B546"/>
    <mergeCell ref="B547:B551"/>
    <mergeCell ref="B552:B555"/>
    <mergeCell ref="B556:B559"/>
    <mergeCell ref="B560:B562"/>
    <mergeCell ref="B563:B565"/>
    <mergeCell ref="B566:B568"/>
    <mergeCell ref="B569:B570"/>
    <mergeCell ref="C566:C568"/>
    <mergeCell ref="D566:D568"/>
    <mergeCell ref="E566:E568"/>
    <mergeCell ref="F566:F568"/>
    <mergeCell ref="C571:C573"/>
    <mergeCell ref="F71:F72"/>
    <mergeCell ref="F75:F76"/>
    <mergeCell ref="C75:C76"/>
    <mergeCell ref="E75:E76"/>
    <mergeCell ref="F73:F74"/>
    <mergeCell ref="C77:C84"/>
    <mergeCell ref="D77:D84"/>
    <mergeCell ref="G73:G74"/>
    <mergeCell ref="H73:H74"/>
    <mergeCell ref="C85:C86"/>
    <mergeCell ref="D85:D86"/>
    <mergeCell ref="E85:E86"/>
    <mergeCell ref="C89:C91"/>
    <mergeCell ref="D89:D91"/>
    <mergeCell ref="F89:F91"/>
    <mergeCell ref="J89:J91"/>
    <mergeCell ref="E77:E84"/>
    <mergeCell ref="F77:F84"/>
    <mergeCell ref="I85:I86"/>
    <mergeCell ref="C73:C74"/>
    <mergeCell ref="D73:D74"/>
    <mergeCell ref="D192:D193"/>
    <mergeCell ref="D185:D189"/>
    <mergeCell ref="E190:E191"/>
    <mergeCell ref="E192:E193"/>
    <mergeCell ref="G92:G100"/>
    <mergeCell ref="H92:H100"/>
    <mergeCell ref="G102:G104"/>
    <mergeCell ref="H102:H104"/>
    <mergeCell ref="E89:E91"/>
    <mergeCell ref="D571:D573"/>
    <mergeCell ref="E571:E573"/>
    <mergeCell ref="F569:F570"/>
    <mergeCell ref="E569:E570"/>
    <mergeCell ref="C114:C115"/>
    <mergeCell ref="I114:I115"/>
    <mergeCell ref="F114:F115"/>
    <mergeCell ref="E114:E115"/>
    <mergeCell ref="D114:D115"/>
    <mergeCell ref="E105:E112"/>
    <mergeCell ref="E360:E362"/>
    <mergeCell ref="E490:E491"/>
    <mergeCell ref="D490:D491"/>
    <mergeCell ref="F387:F394"/>
    <mergeCell ref="E363:E370"/>
    <mergeCell ref="F363:F370"/>
    <mergeCell ref="F360:F362"/>
    <mergeCell ref="E494:E501"/>
    <mergeCell ref="I160:I162"/>
    <mergeCell ref="G168:G176"/>
    <mergeCell ref="H168:H176"/>
    <mergeCell ref="I168:I176"/>
    <mergeCell ref="D126:D128"/>
    <mergeCell ref="E116:E124"/>
    <mergeCell ref="C129:C130"/>
    <mergeCell ref="E129:E130"/>
    <mergeCell ref="D129:D130"/>
    <mergeCell ref="F129:F130"/>
    <mergeCell ref="F116:F124"/>
    <mergeCell ref="I116:I124"/>
    <mergeCell ref="D116:D124"/>
    <mergeCell ref="C116:C124"/>
    <mergeCell ref="G116:G124"/>
    <mergeCell ref="H116:H124"/>
    <mergeCell ref="D177:D179"/>
    <mergeCell ref="C177:C179"/>
    <mergeCell ref="I151:I158"/>
    <mergeCell ref="F151:F158"/>
    <mergeCell ref="C190:C191"/>
    <mergeCell ref="D190:D191"/>
    <mergeCell ref="E183:E184"/>
    <mergeCell ref="E166:E167"/>
    <mergeCell ref="E168:E176"/>
    <mergeCell ref="F164:F165"/>
    <mergeCell ref="D146:D147"/>
    <mergeCell ref="E185:E189"/>
    <mergeCell ref="C126:C128"/>
    <mergeCell ref="D136:D138"/>
    <mergeCell ref="E136:E138"/>
    <mergeCell ref="I204:I205"/>
    <mergeCell ref="E214:E221"/>
    <mergeCell ref="F214:F221"/>
    <mergeCell ref="I214:I221"/>
    <mergeCell ref="E209:E211"/>
    <mergeCell ref="I206:I207"/>
    <mergeCell ref="F206:F207"/>
    <mergeCell ref="E212:E213"/>
    <mergeCell ref="I200:I203"/>
    <mergeCell ref="G222:G223"/>
    <mergeCell ref="H222:H223"/>
    <mergeCell ref="I222:I223"/>
    <mergeCell ref="F209:F211"/>
    <mergeCell ref="G177:G179"/>
    <mergeCell ref="H177:H179"/>
    <mergeCell ref="I177:I179"/>
    <mergeCell ref="I180:I182"/>
    <mergeCell ref="F192:F193"/>
    <mergeCell ref="F194:F196"/>
    <mergeCell ref="F200:F203"/>
    <mergeCell ref="E204:E205"/>
    <mergeCell ref="F204:F205"/>
    <mergeCell ref="F212:F213"/>
    <mergeCell ref="F197:F199"/>
    <mergeCell ref="I197:I199"/>
    <mergeCell ref="E206:E207"/>
    <mergeCell ref="J387:J394"/>
    <mergeCell ref="J347:J349"/>
    <mergeCell ref="J350:J358"/>
    <mergeCell ref="J360:J362"/>
    <mergeCell ref="J363:J370"/>
    <mergeCell ref="J374:J382"/>
    <mergeCell ref="J323:J324"/>
    <mergeCell ref="J325:J326"/>
    <mergeCell ref="J327:J332"/>
    <mergeCell ref="J333:J334"/>
    <mergeCell ref="J335:J342"/>
    <mergeCell ref="J343:J344"/>
    <mergeCell ref="J345:J346"/>
    <mergeCell ref="I323:I324"/>
    <mergeCell ref="I212:I213"/>
    <mergeCell ref="E239:E241"/>
    <mergeCell ref="F239:F241"/>
    <mergeCell ref="I239:I241"/>
    <mergeCell ref="F226:F228"/>
    <mergeCell ref="E316:E318"/>
    <mergeCell ref="E268:E269"/>
    <mergeCell ref="F268:F269"/>
    <mergeCell ref="F266:F267"/>
    <mergeCell ref="F283:F290"/>
    <mergeCell ref="E283:E290"/>
    <mergeCell ref="E292:E294"/>
    <mergeCell ref="F292:F294"/>
    <mergeCell ref="F251:F252"/>
    <mergeCell ref="E224:E225"/>
    <mergeCell ref="F224:F225"/>
    <mergeCell ref="E226:E228"/>
    <mergeCell ref="E242:E249"/>
    <mergeCell ref="F350:F358"/>
    <mergeCell ref="I327:I332"/>
    <mergeCell ref="J239:J241"/>
    <mergeCell ref="H323:H324"/>
    <mergeCell ref="G253:G261"/>
    <mergeCell ref="H253:H261"/>
    <mergeCell ref="G251:G252"/>
    <mergeCell ref="H251:H252"/>
    <mergeCell ref="I251:I252"/>
    <mergeCell ref="E327:E332"/>
    <mergeCell ref="F327:F332"/>
    <mergeCell ref="I263:I265"/>
    <mergeCell ref="E266:E267"/>
    <mergeCell ref="F270:F271"/>
    <mergeCell ref="C278:C279"/>
    <mergeCell ref="C283:C290"/>
    <mergeCell ref="C296:C297"/>
    <mergeCell ref="F253:F261"/>
    <mergeCell ref="G323:G324"/>
    <mergeCell ref="I253:I261"/>
    <mergeCell ref="J253:J261"/>
    <mergeCell ref="J263:J265"/>
    <mergeCell ref="J274:J275"/>
    <mergeCell ref="F242:F249"/>
    <mergeCell ref="D296:D297"/>
    <mergeCell ref="D309:D311"/>
    <mergeCell ref="D298:D299"/>
    <mergeCell ref="C298:C299"/>
    <mergeCell ref="D300:D308"/>
    <mergeCell ref="D323:D324"/>
    <mergeCell ref="C323:C324"/>
    <mergeCell ref="C325:C326"/>
    <mergeCell ref="D226:D228"/>
    <mergeCell ref="C226:C228"/>
    <mergeCell ref="D229:D237"/>
    <mergeCell ref="C229:C237"/>
    <mergeCell ref="C239:C241"/>
    <mergeCell ref="E314:E315"/>
    <mergeCell ref="D314:D315"/>
    <mergeCell ref="C314:C315"/>
    <mergeCell ref="F314:F315"/>
    <mergeCell ref="E251:E252"/>
    <mergeCell ref="I226:I228"/>
    <mergeCell ref="E229:E237"/>
    <mergeCell ref="F229:F237"/>
    <mergeCell ref="E300:E308"/>
    <mergeCell ref="E274:E275"/>
    <mergeCell ref="F274:F275"/>
    <mergeCell ref="I274:I275"/>
    <mergeCell ref="E270:E271"/>
    <mergeCell ref="E253:E261"/>
    <mergeCell ref="C242:C249"/>
    <mergeCell ref="AB33:AC33"/>
    <mergeCell ref="AB34:AC34"/>
    <mergeCell ref="AB36:AC36"/>
    <mergeCell ref="AB37:AC37"/>
    <mergeCell ref="AB39:AC39"/>
    <mergeCell ref="AB38:AC38"/>
    <mergeCell ref="AE38:AF38"/>
    <mergeCell ref="AB41:AC41"/>
    <mergeCell ref="AE41:AF41"/>
    <mergeCell ref="AB42:AC42"/>
    <mergeCell ref="AE42:AF42"/>
    <mergeCell ref="I209:I211"/>
    <mergeCell ref="J77:J84"/>
    <mergeCell ref="J73:J74"/>
    <mergeCell ref="J66:J67"/>
    <mergeCell ref="J204:J205"/>
    <mergeCell ref="J206:J207"/>
    <mergeCell ref="J183:J184"/>
    <mergeCell ref="J185:J189"/>
    <mergeCell ref="J190:J191"/>
    <mergeCell ref="J192:J193"/>
    <mergeCell ref="J194:J196"/>
    <mergeCell ref="J197:J199"/>
    <mergeCell ref="J200:J203"/>
    <mergeCell ref="J209:J211"/>
    <mergeCell ref="J141:J143"/>
    <mergeCell ref="J146:J147"/>
    <mergeCell ref="I185:I189"/>
    <mergeCell ref="J116:J124"/>
    <mergeCell ref="J126:J128"/>
    <mergeCell ref="I126:I128"/>
    <mergeCell ref="AE48:AF48"/>
    <mergeCell ref="AB49:AC49"/>
    <mergeCell ref="AE49:AF49"/>
    <mergeCell ref="AB44:AC44"/>
    <mergeCell ref="AE44:AF44"/>
    <mergeCell ref="AB45:AC45"/>
    <mergeCell ref="AE45:AF45"/>
    <mergeCell ref="AB46:AC46"/>
    <mergeCell ref="AE46:AF46"/>
    <mergeCell ref="AB47:AC47"/>
    <mergeCell ref="AE47:AF47"/>
    <mergeCell ref="AB35:AC35"/>
    <mergeCell ref="AE35:AF35"/>
    <mergeCell ref="AB43:AC43"/>
    <mergeCell ref="AE43:AF43"/>
    <mergeCell ref="AE36:AF36"/>
    <mergeCell ref="AE39:AF39"/>
    <mergeCell ref="AE37:AF37"/>
    <mergeCell ref="AE40:AF40"/>
    <mergeCell ref="AE33:AF33"/>
    <mergeCell ref="AB40:AC40"/>
    <mergeCell ref="AE34:AF34"/>
    <mergeCell ref="G45:G46"/>
    <mergeCell ref="H45:H46"/>
    <mergeCell ref="I45:I46"/>
    <mergeCell ref="J45:J46"/>
    <mergeCell ref="K45:K46"/>
    <mergeCell ref="L45:L46"/>
    <mergeCell ref="G47:G51"/>
    <mergeCell ref="H47:H51"/>
    <mergeCell ref="I47:I51"/>
    <mergeCell ref="J47:J51"/>
    <mergeCell ref="K34:K36"/>
    <mergeCell ref="L34:L36"/>
    <mergeCell ref="G37:G44"/>
    <mergeCell ref="H37:H44"/>
    <mergeCell ref="I37:I44"/>
    <mergeCell ref="J37:J44"/>
    <mergeCell ref="G25:G33"/>
    <mergeCell ref="H25:H33"/>
    <mergeCell ref="I25:I33"/>
    <mergeCell ref="J25:J33"/>
    <mergeCell ref="G34:G36"/>
    <mergeCell ref="H34:H36"/>
    <mergeCell ref="I34:I36"/>
    <mergeCell ref="J34:J36"/>
    <mergeCell ref="AB50:AC50"/>
    <mergeCell ref="AE50:AF50"/>
    <mergeCell ref="AB51:AC51"/>
    <mergeCell ref="AE51:AF51"/>
    <mergeCell ref="AB48:AC48"/>
    <mergeCell ref="K56:K58"/>
    <mergeCell ref="L56:L58"/>
    <mergeCell ref="G59:G61"/>
    <mergeCell ref="H59:H61"/>
    <mergeCell ref="I59:I61"/>
    <mergeCell ref="J59:J61"/>
    <mergeCell ref="K59:K61"/>
    <mergeCell ref="L59:L61"/>
    <mergeCell ref="G62:G65"/>
    <mergeCell ref="H62:H65"/>
    <mergeCell ref="I62:I65"/>
    <mergeCell ref="J62:J65"/>
    <mergeCell ref="G54:G55"/>
    <mergeCell ref="H54:H55"/>
    <mergeCell ref="I54:I55"/>
    <mergeCell ref="J54:J55"/>
    <mergeCell ref="G56:G58"/>
    <mergeCell ref="H56:H58"/>
    <mergeCell ref="I56:I58"/>
    <mergeCell ref="J56:J58"/>
    <mergeCell ref="K73:K74"/>
    <mergeCell ref="L73:L74"/>
    <mergeCell ref="K75:K76"/>
    <mergeCell ref="L75:L76"/>
    <mergeCell ref="H75:H76"/>
    <mergeCell ref="G75:G76"/>
    <mergeCell ref="G77:G84"/>
    <mergeCell ref="H77:H84"/>
    <mergeCell ref="I77:I84"/>
    <mergeCell ref="K77:K84"/>
    <mergeCell ref="L77:L84"/>
    <mergeCell ref="G66:G67"/>
    <mergeCell ref="H66:H67"/>
    <mergeCell ref="I66:I67"/>
    <mergeCell ref="G68:G69"/>
    <mergeCell ref="H68:H69"/>
    <mergeCell ref="G71:G72"/>
    <mergeCell ref="H71:H72"/>
    <mergeCell ref="K71:K72"/>
    <mergeCell ref="L71:L72"/>
    <mergeCell ref="J68:J69"/>
    <mergeCell ref="I68:I69"/>
    <mergeCell ref="J71:J72"/>
    <mergeCell ref="I75:I76"/>
    <mergeCell ref="J75:J76"/>
    <mergeCell ref="I73:I74"/>
    <mergeCell ref="K102:K104"/>
    <mergeCell ref="L102:L104"/>
    <mergeCell ref="G105:G112"/>
    <mergeCell ref="H105:H112"/>
    <mergeCell ref="I105:I112"/>
    <mergeCell ref="K105:K112"/>
    <mergeCell ref="L105:L112"/>
    <mergeCell ref="G114:G115"/>
    <mergeCell ref="H114:H115"/>
    <mergeCell ref="K114:K115"/>
    <mergeCell ref="L114:L115"/>
    <mergeCell ref="G85:G86"/>
    <mergeCell ref="H85:H86"/>
    <mergeCell ref="K85:K86"/>
    <mergeCell ref="L85:L86"/>
    <mergeCell ref="G87:G88"/>
    <mergeCell ref="H87:H88"/>
    <mergeCell ref="G89:G91"/>
    <mergeCell ref="H89:H91"/>
    <mergeCell ref="I89:I91"/>
    <mergeCell ref="J105:J112"/>
    <mergeCell ref="J87:J88"/>
    <mergeCell ref="I87:I88"/>
    <mergeCell ref="J92:J100"/>
    <mergeCell ref="I92:I100"/>
    <mergeCell ref="J102:J104"/>
    <mergeCell ref="I102:I104"/>
    <mergeCell ref="J85:J86"/>
    <mergeCell ref="J114:J115"/>
    <mergeCell ref="K133:K135"/>
    <mergeCell ref="L133:L135"/>
    <mergeCell ref="G136:G138"/>
    <mergeCell ref="H136:H138"/>
    <mergeCell ref="K136:K138"/>
    <mergeCell ref="L136:L138"/>
    <mergeCell ref="G141:G143"/>
    <mergeCell ref="H141:H143"/>
    <mergeCell ref="I141:I143"/>
    <mergeCell ref="K141:K143"/>
    <mergeCell ref="L141:L143"/>
    <mergeCell ref="G126:G128"/>
    <mergeCell ref="H126:H128"/>
    <mergeCell ref="K126:K128"/>
    <mergeCell ref="L126:L128"/>
    <mergeCell ref="G131:G132"/>
    <mergeCell ref="H131:H132"/>
    <mergeCell ref="I131:I132"/>
    <mergeCell ref="K131:K132"/>
    <mergeCell ref="L131:L132"/>
    <mergeCell ref="J131:J132"/>
    <mergeCell ref="I133:I135"/>
    <mergeCell ref="J133:J135"/>
    <mergeCell ref="G133:G135"/>
    <mergeCell ref="H133:H135"/>
    <mergeCell ref="I136:I138"/>
    <mergeCell ref="J136:J138"/>
    <mergeCell ref="K197:K199"/>
    <mergeCell ref="L197:L199"/>
    <mergeCell ref="G197:G199"/>
    <mergeCell ref="K177:K179"/>
    <mergeCell ref="L177:L179"/>
    <mergeCell ref="L180:L182"/>
    <mergeCell ref="K180:K182"/>
    <mergeCell ref="H180:H182"/>
    <mergeCell ref="G180:G182"/>
    <mergeCell ref="G183:G184"/>
    <mergeCell ref="H183:H184"/>
    <mergeCell ref="K183:K184"/>
    <mergeCell ref="L183:L184"/>
    <mergeCell ref="G146:G147"/>
    <mergeCell ref="H146:H147"/>
    <mergeCell ref="I146:I147"/>
    <mergeCell ref="K146:K147"/>
    <mergeCell ref="L146:L147"/>
    <mergeCell ref="G151:G158"/>
    <mergeCell ref="H151:H158"/>
    <mergeCell ref="K151:K158"/>
    <mergeCell ref="L151:L158"/>
    <mergeCell ref="J160:J162"/>
    <mergeCell ref="I183:I184"/>
    <mergeCell ref="I194:I196"/>
    <mergeCell ref="I190:I191"/>
    <mergeCell ref="J168:J176"/>
    <mergeCell ref="J177:J179"/>
    <mergeCell ref="J180:J182"/>
    <mergeCell ref="J151:J158"/>
    <mergeCell ref="G160:G162"/>
    <mergeCell ref="H160:H162"/>
    <mergeCell ref="L206:L207"/>
    <mergeCell ref="K206:K207"/>
    <mergeCell ref="H206:H207"/>
    <mergeCell ref="G206:G207"/>
    <mergeCell ref="G209:G211"/>
    <mergeCell ref="H209:H211"/>
    <mergeCell ref="K209:K211"/>
    <mergeCell ref="L209:L211"/>
    <mergeCell ref="G200:G203"/>
    <mergeCell ref="H200:H203"/>
    <mergeCell ref="K200:K203"/>
    <mergeCell ref="L200:L203"/>
    <mergeCell ref="G204:G205"/>
    <mergeCell ref="H204:H205"/>
    <mergeCell ref="K204:K205"/>
    <mergeCell ref="L204:L205"/>
    <mergeCell ref="G185:G189"/>
    <mergeCell ref="H185:H189"/>
    <mergeCell ref="G190:G191"/>
    <mergeCell ref="H190:H191"/>
    <mergeCell ref="K190:K191"/>
    <mergeCell ref="L190:L191"/>
    <mergeCell ref="L192:L193"/>
    <mergeCell ref="K192:K193"/>
    <mergeCell ref="I192:I193"/>
    <mergeCell ref="H192:H193"/>
    <mergeCell ref="G192:G193"/>
    <mergeCell ref="G194:G196"/>
    <mergeCell ref="H194:H196"/>
    <mergeCell ref="K194:K196"/>
    <mergeCell ref="L194:L196"/>
    <mergeCell ref="H197:H199"/>
    <mergeCell ref="K222:K223"/>
    <mergeCell ref="L222:L223"/>
    <mergeCell ref="G224:G225"/>
    <mergeCell ref="H224:H225"/>
    <mergeCell ref="I224:I225"/>
    <mergeCell ref="K224:K225"/>
    <mergeCell ref="L224:L225"/>
    <mergeCell ref="G212:G213"/>
    <mergeCell ref="H212:H213"/>
    <mergeCell ref="K212:K213"/>
    <mergeCell ref="L212:L213"/>
    <mergeCell ref="G214:G221"/>
    <mergeCell ref="H214:H221"/>
    <mergeCell ref="K214:K221"/>
    <mergeCell ref="L214:L221"/>
    <mergeCell ref="J222:J223"/>
    <mergeCell ref="J224:J225"/>
    <mergeCell ref="J212:J213"/>
    <mergeCell ref="J214:J221"/>
    <mergeCell ref="K251:K252"/>
    <mergeCell ref="L251:L252"/>
    <mergeCell ref="G263:G265"/>
    <mergeCell ref="H263:H265"/>
    <mergeCell ref="K263:K265"/>
    <mergeCell ref="L263:L265"/>
    <mergeCell ref="G226:G228"/>
    <mergeCell ref="H226:H228"/>
    <mergeCell ref="K226:K228"/>
    <mergeCell ref="L226:L228"/>
    <mergeCell ref="G229:G237"/>
    <mergeCell ref="H229:H237"/>
    <mergeCell ref="I229:I237"/>
    <mergeCell ref="J229:J237"/>
    <mergeCell ref="G239:G241"/>
    <mergeCell ref="H239:H241"/>
    <mergeCell ref="K239:K241"/>
    <mergeCell ref="L239:L241"/>
    <mergeCell ref="G242:G249"/>
    <mergeCell ref="H242:H249"/>
    <mergeCell ref="K242:K249"/>
    <mergeCell ref="L242:L249"/>
    <mergeCell ref="J242:J249"/>
    <mergeCell ref="J251:J252"/>
    <mergeCell ref="J226:J228"/>
    <mergeCell ref="I242:I249"/>
    <mergeCell ref="K323:K324"/>
    <mergeCell ref="L323:L324"/>
    <mergeCell ref="G333:G334"/>
    <mergeCell ref="H333:H334"/>
    <mergeCell ref="I333:I334"/>
    <mergeCell ref="K333:K334"/>
    <mergeCell ref="L333:L334"/>
    <mergeCell ref="G343:G344"/>
    <mergeCell ref="H343:H344"/>
    <mergeCell ref="I343:I344"/>
    <mergeCell ref="K343:K344"/>
    <mergeCell ref="L343:L344"/>
    <mergeCell ref="G268:G269"/>
    <mergeCell ref="H268:H269"/>
    <mergeCell ref="G274:G275"/>
    <mergeCell ref="H274:H275"/>
    <mergeCell ref="K274:K275"/>
    <mergeCell ref="L274:L275"/>
    <mergeCell ref="G335:G342"/>
    <mergeCell ref="I335:I342"/>
    <mergeCell ref="H335:H342"/>
    <mergeCell ref="K335:K342"/>
    <mergeCell ref="L335:L342"/>
    <mergeCell ref="G327:G332"/>
    <mergeCell ref="H327:H332"/>
    <mergeCell ref="K327:K332"/>
    <mergeCell ref="L327:L332"/>
    <mergeCell ref="G325:G326"/>
    <mergeCell ref="H325:H326"/>
    <mergeCell ref="I325:I326"/>
    <mergeCell ref="K325:K326"/>
    <mergeCell ref="L325:L326"/>
    <mergeCell ref="L360:L362"/>
    <mergeCell ref="G363:G370"/>
    <mergeCell ref="H363:H370"/>
    <mergeCell ref="I363:I370"/>
    <mergeCell ref="K363:K370"/>
    <mergeCell ref="L363:L370"/>
    <mergeCell ref="H345:H346"/>
    <mergeCell ref="G345:G346"/>
    <mergeCell ref="I345:I346"/>
    <mergeCell ref="K345:K346"/>
    <mergeCell ref="L345:L346"/>
    <mergeCell ref="G347:G349"/>
    <mergeCell ref="H347:H349"/>
    <mergeCell ref="I347:I349"/>
    <mergeCell ref="K347:K349"/>
    <mergeCell ref="L347:L349"/>
    <mergeCell ref="G494:G501"/>
    <mergeCell ref="G374:G382"/>
    <mergeCell ref="H374:H382"/>
    <mergeCell ref="I374:I382"/>
    <mergeCell ref="G387:G394"/>
    <mergeCell ref="H387:H394"/>
    <mergeCell ref="I387:I394"/>
    <mergeCell ref="K387:K394"/>
    <mergeCell ref="G350:G358"/>
    <mergeCell ref="H350:H358"/>
    <mergeCell ref="I350:I358"/>
    <mergeCell ref="G360:G362"/>
    <mergeCell ref="H360:H362"/>
    <mergeCell ref="I360:I362"/>
    <mergeCell ref="K360:K362"/>
    <mergeCell ref="L387:L394"/>
    <mergeCell ref="H494:H501"/>
    <mergeCell ref="I494:I501"/>
    <mergeCell ref="J494:J501"/>
    <mergeCell ref="G504:G508"/>
    <mergeCell ref="H504:H508"/>
    <mergeCell ref="I504:I508"/>
    <mergeCell ref="J504:J508"/>
    <mergeCell ref="G509:G510"/>
    <mergeCell ref="H509:H510"/>
    <mergeCell ref="I509:I510"/>
    <mergeCell ref="J509:J510"/>
    <mergeCell ref="G545:G546"/>
    <mergeCell ref="H545:H546"/>
    <mergeCell ref="I545:I546"/>
    <mergeCell ref="J545:J546"/>
    <mergeCell ref="K545:K546"/>
    <mergeCell ref="G530:G535"/>
    <mergeCell ref="H530:H535"/>
    <mergeCell ref="I530:I535"/>
    <mergeCell ref="J530:J535"/>
    <mergeCell ref="K509:K510"/>
    <mergeCell ref="K530:K535"/>
    <mergeCell ref="G516:G518"/>
    <mergeCell ref="H516:H518"/>
    <mergeCell ref="I516:I518"/>
    <mergeCell ref="J516:J518"/>
    <mergeCell ref="G513:G515"/>
    <mergeCell ref="H513:H515"/>
    <mergeCell ref="I513:I515"/>
    <mergeCell ref="J513:J515"/>
    <mergeCell ref="K513:K515"/>
    <mergeCell ref="G482:G489"/>
    <mergeCell ref="H482:H489"/>
    <mergeCell ref="I482:I489"/>
    <mergeCell ref="K482:K489"/>
    <mergeCell ref="L482:L489"/>
    <mergeCell ref="C479:C481"/>
    <mergeCell ref="D479:D481"/>
    <mergeCell ref="E479:E481"/>
    <mergeCell ref="F479:F481"/>
    <mergeCell ref="G479:G481"/>
    <mergeCell ref="H479:H481"/>
    <mergeCell ref="I479:I481"/>
    <mergeCell ref="J479:J481"/>
    <mergeCell ref="K479:K481"/>
    <mergeCell ref="L479:L481"/>
    <mergeCell ref="G469:G477"/>
    <mergeCell ref="H469:H477"/>
    <mergeCell ref="I469:I477"/>
    <mergeCell ref="J469:J477"/>
    <mergeCell ref="D469:D477"/>
    <mergeCell ref="E469:E477"/>
    <mergeCell ref="F469:F477"/>
    <mergeCell ref="G547:G551"/>
    <mergeCell ref="H547:H551"/>
    <mergeCell ref="I547:I551"/>
    <mergeCell ref="J547:J551"/>
    <mergeCell ref="K547:K551"/>
    <mergeCell ref="L571:L573"/>
    <mergeCell ref="J571:J573"/>
    <mergeCell ref="G566:G568"/>
    <mergeCell ref="G594:G596"/>
    <mergeCell ref="I578:I580"/>
    <mergeCell ref="J578:J580"/>
    <mergeCell ref="K578:K580"/>
    <mergeCell ref="L578:L580"/>
    <mergeCell ref="G574:G577"/>
    <mergeCell ref="I574:I577"/>
    <mergeCell ref="J574:J577"/>
    <mergeCell ref="H583:H586"/>
    <mergeCell ref="H571:H573"/>
    <mergeCell ref="G571:G573"/>
    <mergeCell ref="I571:I573"/>
    <mergeCell ref="K571:K573"/>
    <mergeCell ref="H560:H562"/>
    <mergeCell ref="I556:I559"/>
    <mergeCell ref="H578:H580"/>
    <mergeCell ref="I583:I586"/>
    <mergeCell ref="J583:J586"/>
    <mergeCell ref="K583:K586"/>
    <mergeCell ref="H566:H568"/>
    <mergeCell ref="I566:I568"/>
    <mergeCell ref="J566:J568"/>
    <mergeCell ref="H594:H596"/>
    <mergeCell ref="I594:I596"/>
    <mergeCell ref="G602:G604"/>
    <mergeCell ref="H602:H604"/>
    <mergeCell ref="I602:I604"/>
    <mergeCell ref="J602:J604"/>
    <mergeCell ref="K602:K604"/>
    <mergeCell ref="L602:L604"/>
    <mergeCell ref="H599:H601"/>
    <mergeCell ref="G599:G601"/>
    <mergeCell ref="I599:I601"/>
    <mergeCell ref="J599:J601"/>
    <mergeCell ref="K599:K601"/>
    <mergeCell ref="L599:L601"/>
    <mergeCell ref="G597:G598"/>
    <mergeCell ref="H597:H598"/>
    <mergeCell ref="I597:I598"/>
    <mergeCell ref="J597:J598"/>
    <mergeCell ref="K597:K598"/>
    <mergeCell ref="L597:L598"/>
    <mergeCell ref="J594:J596"/>
    <mergeCell ref="K594:K596"/>
    <mergeCell ref="L594:L596"/>
    <mergeCell ref="G587:G590"/>
    <mergeCell ref="H587:H590"/>
    <mergeCell ref="K574:K577"/>
    <mergeCell ref="L574:L577"/>
    <mergeCell ref="G583:G586"/>
    <mergeCell ref="L519:L522"/>
    <mergeCell ref="J519:J522"/>
    <mergeCell ref="H563:H565"/>
    <mergeCell ref="I563:I565"/>
    <mergeCell ref="J563:J565"/>
    <mergeCell ref="K563:K565"/>
    <mergeCell ref="L556:L559"/>
    <mergeCell ref="L563:L565"/>
    <mergeCell ref="I587:I590"/>
    <mergeCell ref="J587:J590"/>
    <mergeCell ref="K587:K590"/>
    <mergeCell ref="L587:L590"/>
    <mergeCell ref="K566:K568"/>
    <mergeCell ref="L566:L568"/>
    <mergeCell ref="G569:G570"/>
    <mergeCell ref="H569:H570"/>
    <mergeCell ref="I569:I570"/>
    <mergeCell ref="J569:J570"/>
    <mergeCell ref="K569:K570"/>
    <mergeCell ref="L569:L570"/>
    <mergeCell ref="G578:G580"/>
    <mergeCell ref="L547:L551"/>
    <mergeCell ref="G552:G555"/>
    <mergeCell ref="H552:H555"/>
    <mergeCell ref="I552:I555"/>
    <mergeCell ref="J552:J555"/>
    <mergeCell ref="K552:K555"/>
    <mergeCell ref="L552:L555"/>
    <mergeCell ref="H581:H582"/>
    <mergeCell ref="H574:H577"/>
    <mergeCell ref="G556:G559"/>
    <mergeCell ref="H556:H559"/>
    <mergeCell ref="J556:J559"/>
    <mergeCell ref="K556:K559"/>
    <mergeCell ref="G560:G562"/>
    <mergeCell ref="I560:I562"/>
    <mergeCell ref="J560:J562"/>
    <mergeCell ref="L560:L562"/>
    <mergeCell ref="K560:K562"/>
    <mergeCell ref="G563:G565"/>
    <mergeCell ref="L583:L586"/>
    <mergeCell ref="G581:G582"/>
    <mergeCell ref="I581:I582"/>
    <mergeCell ref="K581:K582"/>
    <mergeCell ref="L581:L582"/>
    <mergeCell ref="J581:J582"/>
    <mergeCell ref="L509:L510"/>
    <mergeCell ref="G511:G512"/>
    <mergeCell ref="H511:H512"/>
    <mergeCell ref="I511:I512"/>
    <mergeCell ref="J511:J512"/>
    <mergeCell ref="K511:K512"/>
    <mergeCell ref="L513:L515"/>
    <mergeCell ref="L530:L535"/>
    <mergeCell ref="G523:G526"/>
    <mergeCell ref="H523:H526"/>
    <mergeCell ref="I523:I526"/>
    <mergeCell ref="J523:J526"/>
    <mergeCell ref="K523:K526"/>
    <mergeCell ref="L523:L526"/>
    <mergeCell ref="G519:G522"/>
    <mergeCell ref="H519:H522"/>
    <mergeCell ref="I519:I522"/>
    <mergeCell ref="K519:K522"/>
  </mergeCells>
  <pageMargins left="0.7" right="0.7" top="0.75" bottom="0.75" header="0.3" footer="0.3"/>
  <pageSetup paperSize="9" scale="10" fitToWidth="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sheetPr>
  <dimension ref="A3:G9"/>
  <sheetViews>
    <sheetView showGridLines="0" zoomScale="90" zoomScaleNormal="90" workbookViewId="0">
      <selection activeCell="A3" sqref="A3"/>
    </sheetView>
  </sheetViews>
  <sheetFormatPr baseColWidth="10" defaultColWidth="11.59765625" defaultRowHeight="15.65" x14ac:dyDescent="0.25"/>
  <cols>
    <col min="1" max="1" width="28" bestFit="1" customWidth="1"/>
    <col min="2" max="2" width="21.09765625" bestFit="1" customWidth="1"/>
    <col min="3" max="3" width="9.19921875" bestFit="1" customWidth="1"/>
    <col min="4" max="4" width="10.8984375" bestFit="1" customWidth="1"/>
    <col min="5" max="5" width="22.296875" bestFit="1" customWidth="1"/>
    <col min="6" max="6" width="6.69921875" bestFit="1" customWidth="1"/>
    <col min="7" max="7" width="7.59765625" bestFit="1" customWidth="1"/>
  </cols>
  <sheetData>
    <row r="3" spans="1:7" hidden="1" x14ac:dyDescent="0.25">
      <c r="A3" s="193" t="s">
        <v>143</v>
      </c>
      <c r="B3" s="193" t="s">
        <v>144</v>
      </c>
      <c r="C3" s="825"/>
      <c r="D3" s="825"/>
      <c r="E3" s="825"/>
      <c r="F3" s="825"/>
      <c r="G3" s="825"/>
    </row>
    <row r="4" spans="1:7" s="214" customFormat="1" ht="14.95" customHeight="1" x14ac:dyDescent="0.25">
      <c r="A4" s="692" t="s">
        <v>145</v>
      </c>
      <c r="B4" s="692" t="s">
        <v>137</v>
      </c>
      <c r="C4" s="692" t="s">
        <v>132</v>
      </c>
      <c r="D4" s="692" t="s">
        <v>134</v>
      </c>
      <c r="E4" s="692" t="s">
        <v>120</v>
      </c>
      <c r="F4" s="692" t="s">
        <v>139</v>
      </c>
      <c r="G4" s="692" t="s">
        <v>141</v>
      </c>
    </row>
    <row r="5" spans="1:7" x14ac:dyDescent="0.25">
      <c r="A5" s="195" t="s">
        <v>146</v>
      </c>
      <c r="B5" s="341">
        <v>44</v>
      </c>
      <c r="C5" s="341">
        <v>46</v>
      </c>
      <c r="D5" s="341">
        <v>51</v>
      </c>
      <c r="E5" s="341">
        <v>51</v>
      </c>
      <c r="F5" s="341">
        <v>18</v>
      </c>
      <c r="G5" s="341">
        <v>210</v>
      </c>
    </row>
    <row r="6" spans="1:7" x14ac:dyDescent="0.25">
      <c r="A6" s="195" t="s">
        <v>147</v>
      </c>
      <c r="B6" s="341">
        <v>17</v>
      </c>
      <c r="C6" s="341">
        <v>19</v>
      </c>
      <c r="D6" s="341">
        <v>13</v>
      </c>
      <c r="E6" s="341">
        <v>18</v>
      </c>
      <c r="F6" s="341">
        <v>17</v>
      </c>
      <c r="G6" s="341">
        <v>84</v>
      </c>
    </row>
    <row r="7" spans="1:7" x14ac:dyDescent="0.25">
      <c r="A7" s="195" t="s">
        <v>148</v>
      </c>
      <c r="B7" s="341"/>
      <c r="C7" s="341"/>
      <c r="D7" s="341"/>
      <c r="E7" s="341"/>
      <c r="F7" s="341">
        <v>4</v>
      </c>
      <c r="G7" s="341">
        <v>4</v>
      </c>
    </row>
    <row r="8" spans="1:7" x14ac:dyDescent="0.25">
      <c r="A8" s="195" t="s">
        <v>149</v>
      </c>
      <c r="B8" s="341">
        <v>2</v>
      </c>
      <c r="C8" s="341">
        <v>1</v>
      </c>
      <c r="D8" s="341"/>
      <c r="E8" s="341">
        <v>1</v>
      </c>
      <c r="F8" s="341"/>
      <c r="G8" s="341">
        <v>4</v>
      </c>
    </row>
    <row r="9" spans="1:7" x14ac:dyDescent="0.25">
      <c r="A9" s="694" t="s">
        <v>141</v>
      </c>
      <c r="B9" s="693">
        <v>63</v>
      </c>
      <c r="C9" s="693">
        <v>66</v>
      </c>
      <c r="D9" s="693">
        <v>64</v>
      </c>
      <c r="E9" s="693">
        <v>70</v>
      </c>
      <c r="F9" s="693">
        <v>39</v>
      </c>
      <c r="G9" s="693">
        <v>302</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I145"/>
  <sheetViews>
    <sheetView showGridLines="0" topLeftCell="A121" zoomScale="70" zoomScaleNormal="70" workbookViewId="0">
      <selection activeCell="F5" sqref="F5"/>
    </sheetView>
  </sheetViews>
  <sheetFormatPr baseColWidth="10" defaultRowHeight="15.65" x14ac:dyDescent="0.25"/>
  <cols>
    <col min="1" max="1" width="10.8984375" style="1188"/>
    <col min="2" max="2" width="17.19921875" style="1262" customWidth="1"/>
    <col min="3" max="3" width="18.296875" customWidth="1"/>
    <col min="4" max="4" width="8.09765625" customWidth="1"/>
    <col min="5" max="5" width="3.3984375" bestFit="1" customWidth="1"/>
    <col min="6" max="6" width="29.796875" customWidth="1"/>
    <col min="7" max="7" width="19.19921875" bestFit="1" customWidth="1"/>
    <col min="8" max="8" width="11.09765625" bestFit="1" customWidth="1"/>
    <col min="9" max="9" width="12.796875" bestFit="1" customWidth="1"/>
    <col min="10" max="11" width="7.8984375" bestFit="1" customWidth="1"/>
    <col min="12" max="12" width="19.19921875" bestFit="1" customWidth="1"/>
    <col min="13" max="13" width="24.296875" bestFit="1" customWidth="1"/>
    <col min="14" max="14" width="7.8984375" bestFit="1" customWidth="1"/>
  </cols>
  <sheetData>
    <row r="1" spans="2:9" ht="19.2" customHeight="1" x14ac:dyDescent="0.25"/>
    <row r="2" spans="2:9" s="1188" customFormat="1" ht="19.2" customHeight="1" x14ac:dyDescent="0.25">
      <c r="B2" s="1262"/>
    </row>
    <row r="3" spans="2:9" s="1188" customFormat="1" ht="19.2" customHeight="1" x14ac:dyDescent="0.25">
      <c r="B3" s="1262"/>
    </row>
    <row r="4" spans="2:9" s="1188" customFormat="1" ht="19.2" customHeight="1" x14ac:dyDescent="0.25">
      <c r="B4" s="1700" t="s">
        <v>2659</v>
      </c>
      <c r="C4" s="1700"/>
      <c r="D4" s="1700"/>
    </row>
    <row r="5" spans="2:9" s="1188" customFormat="1" ht="19.2" customHeight="1" x14ac:dyDescent="0.25">
      <c r="B5" s="1262"/>
      <c r="F5" s="327" t="s">
        <v>2664</v>
      </c>
    </row>
    <row r="6" spans="2:9" ht="10.199999999999999" customHeight="1" x14ac:dyDescent="0.25"/>
    <row r="7" spans="2:9" ht="32.6" x14ac:dyDescent="0.25">
      <c r="B7" s="338" t="s">
        <v>2610</v>
      </c>
      <c r="C7" s="287" t="s">
        <v>2611</v>
      </c>
      <c r="D7" s="287" t="s">
        <v>89</v>
      </c>
      <c r="F7" s="1265" t="s">
        <v>105</v>
      </c>
      <c r="G7" s="1265" t="s">
        <v>107</v>
      </c>
      <c r="H7" s="1267" t="s">
        <v>2665</v>
      </c>
      <c r="I7" s="1267" t="s">
        <v>2666</v>
      </c>
    </row>
    <row r="8" spans="2:9" ht="16.3" x14ac:dyDescent="0.3">
      <c r="B8" s="209" t="s">
        <v>360</v>
      </c>
      <c r="C8" s="194">
        <v>192</v>
      </c>
      <c r="D8" s="210">
        <v>0.32160804020100503</v>
      </c>
      <c r="F8" s="1264" t="s">
        <v>111</v>
      </c>
      <c r="G8" s="1266">
        <f>+'13. ESTADISTICAS'!L6</f>
        <v>63</v>
      </c>
      <c r="H8" s="1268">
        <f>+GETPIVOTDATA("# de Intervenciones",$B$109,"Unidad de Desarrollo Territorial","AH")</f>
        <v>43</v>
      </c>
      <c r="I8" s="1268">
        <v>130</v>
      </c>
    </row>
    <row r="9" spans="2:9" ht="16.3" x14ac:dyDescent="0.3">
      <c r="B9" s="209" t="s">
        <v>453</v>
      </c>
      <c r="C9" s="194">
        <v>133</v>
      </c>
      <c r="D9" s="210">
        <v>0.22278056951423786</v>
      </c>
      <c r="F9" s="1264" t="s">
        <v>112</v>
      </c>
      <c r="G9" s="1266">
        <f>+'13. ESTADISTICAS'!L7</f>
        <v>66</v>
      </c>
      <c r="H9" s="1268">
        <f>+GETPIVOTDATA("# de Intervenciones",$B$109,"Unidad de Desarrollo Territorial","AM")</f>
        <v>46</v>
      </c>
      <c r="I9" s="1268">
        <v>132</v>
      </c>
    </row>
    <row r="10" spans="2:9" ht="16.3" x14ac:dyDescent="0.3">
      <c r="B10" s="209" t="s">
        <v>358</v>
      </c>
      <c r="C10" s="194">
        <v>99</v>
      </c>
      <c r="D10" s="210">
        <v>0.16582914572864321</v>
      </c>
      <c r="F10" s="1264" t="s">
        <v>113</v>
      </c>
      <c r="G10" s="1266">
        <f>+'13. ESTADISTICAS'!L8</f>
        <v>64</v>
      </c>
      <c r="H10" s="1268">
        <f>+GETPIVOTDATA("# de Intervenciones",$B$109,"Unidad de Desarrollo Territorial","BH")</f>
        <v>46</v>
      </c>
      <c r="I10" s="1268">
        <v>132</v>
      </c>
    </row>
    <row r="11" spans="2:9" ht="16.3" x14ac:dyDescent="0.3">
      <c r="B11" s="209" t="s">
        <v>261</v>
      </c>
      <c r="C11" s="194">
        <v>98</v>
      </c>
      <c r="D11" s="210">
        <v>0.16415410385259632</v>
      </c>
      <c r="F11" s="1264" t="s">
        <v>114</v>
      </c>
      <c r="G11" s="1266">
        <f>+'13. ESTADISTICAS'!L9</f>
        <v>70</v>
      </c>
      <c r="H11" s="1268">
        <f>+GETPIVOTDATA("# de Intervenciones",$B$109,"Unidad de Desarrollo Territorial","HC Y BM")</f>
        <v>48</v>
      </c>
      <c r="I11" s="1268">
        <v>143</v>
      </c>
    </row>
    <row r="12" spans="2:9" ht="16.3" x14ac:dyDescent="0.3">
      <c r="B12" s="209" t="s">
        <v>456</v>
      </c>
      <c r="C12" s="194">
        <v>27</v>
      </c>
      <c r="D12" s="210">
        <v>4.5226130653266333E-2</v>
      </c>
      <c r="F12" s="1264" t="s">
        <v>115</v>
      </c>
      <c r="G12" s="1266">
        <f>+'13. ESTADISTICAS'!L10</f>
        <v>39</v>
      </c>
      <c r="H12" s="1268">
        <f>+GETPIVOTDATA("# de Intervenciones",$B$109,"Unidad de Desarrollo Territorial","Tranversal Regional")</f>
        <v>19</v>
      </c>
      <c r="I12" s="1268">
        <v>60</v>
      </c>
    </row>
    <row r="13" spans="2:9" ht="16.3" x14ac:dyDescent="0.25">
      <c r="B13" s="209" t="s">
        <v>458</v>
      </c>
      <c r="C13" s="194">
        <v>25</v>
      </c>
      <c r="D13" s="210">
        <v>4.1876046901172533E-2</v>
      </c>
      <c r="F13" s="1265" t="s">
        <v>116</v>
      </c>
      <c r="G13" s="1265">
        <f>SUM(G8:G12)</f>
        <v>302</v>
      </c>
      <c r="H13" s="1265">
        <f t="shared" ref="H13:I13" si="0">SUM(H8:H12)</f>
        <v>202</v>
      </c>
      <c r="I13" s="1265">
        <f t="shared" si="0"/>
        <v>597</v>
      </c>
    </row>
    <row r="14" spans="2:9" x14ac:dyDescent="0.25">
      <c r="B14" s="209" t="s">
        <v>465</v>
      </c>
      <c r="C14" s="194">
        <v>20</v>
      </c>
      <c r="D14" s="210">
        <v>3.350083752093802E-2</v>
      </c>
    </row>
    <row r="15" spans="2:9" x14ac:dyDescent="0.25">
      <c r="B15" s="209" t="s">
        <v>463</v>
      </c>
      <c r="C15" s="194">
        <v>3</v>
      </c>
      <c r="D15" s="210">
        <v>5.0251256281407036E-3</v>
      </c>
    </row>
    <row r="16" spans="2:9" x14ac:dyDescent="0.25">
      <c r="B16" s="261" t="s">
        <v>141</v>
      </c>
      <c r="C16" s="194">
        <v>597</v>
      </c>
      <c r="D16" s="210">
        <v>1</v>
      </c>
    </row>
    <row r="20" spans="2:4" x14ac:dyDescent="0.25">
      <c r="B20" s="338" t="s">
        <v>2661</v>
      </c>
      <c r="C20" s="287" t="s">
        <v>2611</v>
      </c>
      <c r="D20" s="287" t="s">
        <v>89</v>
      </c>
    </row>
    <row r="21" spans="2:4" x14ac:dyDescent="0.25">
      <c r="B21" s="209" t="s">
        <v>360</v>
      </c>
      <c r="C21" s="194">
        <v>192</v>
      </c>
      <c r="D21" s="210">
        <v>0.32160804020100503</v>
      </c>
    </row>
    <row r="22" spans="2:4" x14ac:dyDescent="0.25">
      <c r="B22" s="209" t="s">
        <v>550</v>
      </c>
      <c r="C22" s="194">
        <v>53</v>
      </c>
      <c r="D22" s="210">
        <v>8.8777219430485763E-2</v>
      </c>
    </row>
    <row r="23" spans="2:4" x14ac:dyDescent="0.25">
      <c r="B23" s="209" t="s">
        <v>369</v>
      </c>
      <c r="C23" s="194">
        <v>39</v>
      </c>
      <c r="D23" s="210">
        <v>6.5326633165829151E-2</v>
      </c>
    </row>
    <row r="24" spans="2:4" x14ac:dyDescent="0.25">
      <c r="B24" s="209" t="s">
        <v>574</v>
      </c>
      <c r="C24" s="194">
        <v>15</v>
      </c>
      <c r="D24" s="210">
        <v>2.5125628140703519E-2</v>
      </c>
    </row>
    <row r="25" spans="2:4" x14ac:dyDescent="0.25">
      <c r="B25" s="209" t="s">
        <v>515</v>
      </c>
      <c r="C25" s="194">
        <v>13</v>
      </c>
      <c r="D25" s="210">
        <v>2.1775544388609715E-2</v>
      </c>
    </row>
    <row r="26" spans="2:4" x14ac:dyDescent="0.25">
      <c r="B26" s="209" t="s">
        <v>562</v>
      </c>
      <c r="C26" s="194">
        <v>11</v>
      </c>
      <c r="D26" s="210">
        <v>1.8425460636515914E-2</v>
      </c>
    </row>
    <row r="27" spans="2:4" x14ac:dyDescent="0.25">
      <c r="B27" s="209" t="s">
        <v>628</v>
      </c>
      <c r="C27" s="194">
        <v>9</v>
      </c>
      <c r="D27" s="210">
        <v>1.507537688442211E-2</v>
      </c>
    </row>
    <row r="28" spans="2:4" x14ac:dyDescent="0.25">
      <c r="B28" s="209" t="s">
        <v>660</v>
      </c>
      <c r="C28" s="194">
        <v>8</v>
      </c>
      <c r="D28" s="210">
        <v>1.340033500837521E-2</v>
      </c>
    </row>
    <row r="29" spans="2:4" x14ac:dyDescent="0.25">
      <c r="B29" s="209" t="s">
        <v>594</v>
      </c>
      <c r="C29" s="194">
        <v>7</v>
      </c>
      <c r="D29" s="210">
        <v>1.1725293132328308E-2</v>
      </c>
    </row>
    <row r="30" spans="2:4" x14ac:dyDescent="0.25">
      <c r="B30" s="209" t="s">
        <v>621</v>
      </c>
      <c r="C30" s="194">
        <v>7</v>
      </c>
      <c r="D30" s="210">
        <v>1.1725293132328308E-2</v>
      </c>
    </row>
    <row r="31" spans="2:4" x14ac:dyDescent="0.25">
      <c r="B31" s="209" t="s">
        <v>645</v>
      </c>
      <c r="C31" s="194">
        <v>6</v>
      </c>
      <c r="D31" s="210">
        <v>1.0050251256281407E-2</v>
      </c>
    </row>
    <row r="32" spans="2:4" x14ac:dyDescent="0.25">
      <c r="B32" s="209" t="s">
        <v>603</v>
      </c>
      <c r="C32" s="194">
        <v>5</v>
      </c>
      <c r="D32" s="210">
        <v>8.3752093802345051E-3</v>
      </c>
    </row>
    <row r="33" spans="2:4" x14ac:dyDescent="0.25">
      <c r="B33" s="209" t="s">
        <v>636</v>
      </c>
      <c r="C33" s="194">
        <v>5</v>
      </c>
      <c r="D33" s="210">
        <v>8.3752093802345051E-3</v>
      </c>
    </row>
    <row r="34" spans="2:4" x14ac:dyDescent="0.25">
      <c r="B34" s="209" t="s">
        <v>612</v>
      </c>
      <c r="C34" s="194">
        <v>3</v>
      </c>
      <c r="D34" s="210">
        <v>5.0251256281407036E-3</v>
      </c>
    </row>
    <row r="35" spans="2:4" x14ac:dyDescent="0.25">
      <c r="B35" s="209" t="s">
        <v>380</v>
      </c>
      <c r="C35" s="194">
        <v>2</v>
      </c>
      <c r="D35" s="210">
        <v>3.3500837520938024E-3</v>
      </c>
    </row>
    <row r="36" spans="2:4" x14ac:dyDescent="0.25">
      <c r="B36" s="209" t="s">
        <v>654</v>
      </c>
      <c r="C36" s="194">
        <v>2</v>
      </c>
      <c r="D36" s="210">
        <v>3.3500837520938024E-3</v>
      </c>
    </row>
    <row r="37" spans="2:4" x14ac:dyDescent="0.25">
      <c r="B37" s="209" t="s">
        <v>361</v>
      </c>
      <c r="C37" s="194">
        <v>2</v>
      </c>
      <c r="D37" s="210">
        <v>3.3500837520938024E-3</v>
      </c>
    </row>
    <row r="38" spans="2:4" x14ac:dyDescent="0.25">
      <c r="B38" s="209" t="s">
        <v>584</v>
      </c>
      <c r="C38" s="194">
        <v>2</v>
      </c>
      <c r="D38" s="210">
        <v>3.3500837520938024E-3</v>
      </c>
    </row>
    <row r="39" spans="2:4" x14ac:dyDescent="0.25">
      <c r="B39" s="209" t="s">
        <v>682</v>
      </c>
      <c r="C39" s="194">
        <v>1</v>
      </c>
      <c r="D39" s="210">
        <v>1.6750418760469012E-3</v>
      </c>
    </row>
    <row r="40" spans="2:4" x14ac:dyDescent="0.25">
      <c r="B40" s="209" t="s">
        <v>677</v>
      </c>
      <c r="C40" s="194">
        <v>1</v>
      </c>
      <c r="D40" s="210">
        <v>1.6750418760469012E-3</v>
      </c>
    </row>
    <row r="41" spans="2:4" x14ac:dyDescent="0.25">
      <c r="B41" s="209" t="s">
        <v>386</v>
      </c>
      <c r="C41" s="194">
        <v>1</v>
      </c>
      <c r="D41" s="210">
        <v>1.6750418760469012E-3</v>
      </c>
    </row>
    <row r="42" spans="2:4" x14ac:dyDescent="0.25">
      <c r="B42" s="209" t="s">
        <v>453</v>
      </c>
      <c r="C42" s="194">
        <v>133</v>
      </c>
      <c r="D42" s="210">
        <v>0.22278056951423786</v>
      </c>
    </row>
    <row r="43" spans="2:4" x14ac:dyDescent="0.25">
      <c r="B43" s="209" t="s">
        <v>557</v>
      </c>
      <c r="C43" s="194">
        <v>23</v>
      </c>
      <c r="D43" s="210">
        <v>3.8525963149078725E-2</v>
      </c>
    </row>
    <row r="44" spans="2:4" x14ac:dyDescent="0.25">
      <c r="B44" s="209" t="s">
        <v>578</v>
      </c>
      <c r="C44" s="194">
        <v>22</v>
      </c>
      <c r="D44" s="210">
        <v>3.6850921273031828E-2</v>
      </c>
    </row>
    <row r="45" spans="2:4" x14ac:dyDescent="0.25">
      <c r="B45" s="209" t="s">
        <v>588</v>
      </c>
      <c r="C45" s="194">
        <v>15</v>
      </c>
      <c r="D45" s="210">
        <v>2.5125628140703519E-2</v>
      </c>
    </row>
    <row r="46" spans="2:4" x14ac:dyDescent="0.25">
      <c r="B46" s="209" t="s">
        <v>544</v>
      </c>
      <c r="C46" s="194">
        <v>15</v>
      </c>
      <c r="D46" s="210">
        <v>2.5125628140703519E-2</v>
      </c>
    </row>
    <row r="47" spans="2:4" x14ac:dyDescent="0.25">
      <c r="B47" s="209" t="s">
        <v>568</v>
      </c>
      <c r="C47" s="194">
        <v>14</v>
      </c>
      <c r="D47" s="210">
        <v>2.3450586264656615E-2</v>
      </c>
    </row>
    <row r="48" spans="2:4" x14ac:dyDescent="0.25">
      <c r="B48" s="209" t="s">
        <v>510</v>
      </c>
      <c r="C48" s="194">
        <v>13</v>
      </c>
      <c r="D48" s="210">
        <v>2.1775544388609715E-2</v>
      </c>
    </row>
    <row r="49" spans="2:4" x14ac:dyDescent="0.25">
      <c r="B49" s="209" t="s">
        <v>528</v>
      </c>
      <c r="C49" s="194">
        <v>13</v>
      </c>
      <c r="D49" s="210">
        <v>2.1775544388609715E-2</v>
      </c>
    </row>
    <row r="50" spans="2:4" x14ac:dyDescent="0.25">
      <c r="B50" s="209" t="s">
        <v>598</v>
      </c>
      <c r="C50" s="194">
        <v>11</v>
      </c>
      <c r="D50" s="210">
        <v>1.8425460636515914E-2</v>
      </c>
    </row>
    <row r="51" spans="2:4" x14ac:dyDescent="0.25">
      <c r="B51" s="209" t="s">
        <v>607</v>
      </c>
      <c r="C51" s="194">
        <v>4</v>
      </c>
      <c r="D51" s="210">
        <v>6.7001675041876048E-3</v>
      </c>
    </row>
    <row r="52" spans="2:4" x14ac:dyDescent="0.25">
      <c r="B52" s="209" t="s">
        <v>616</v>
      </c>
      <c r="C52" s="194">
        <v>3</v>
      </c>
      <c r="D52" s="210">
        <v>5.0251256281407036E-3</v>
      </c>
    </row>
    <row r="53" spans="2:4" x14ac:dyDescent="0.25">
      <c r="B53" s="209" t="s">
        <v>358</v>
      </c>
      <c r="C53" s="194">
        <v>99</v>
      </c>
      <c r="D53" s="210">
        <v>0.16582914572864321</v>
      </c>
    </row>
    <row r="54" spans="2:4" x14ac:dyDescent="0.25">
      <c r="B54" s="209" t="s">
        <v>530</v>
      </c>
      <c r="C54" s="194">
        <v>14</v>
      </c>
      <c r="D54" s="210">
        <v>2.3450586264656615E-2</v>
      </c>
    </row>
    <row r="55" spans="2:4" x14ac:dyDescent="0.25">
      <c r="B55" s="209" t="s">
        <v>376</v>
      </c>
      <c r="C55" s="194">
        <v>13</v>
      </c>
      <c r="D55" s="210">
        <v>2.1775544388609715E-2</v>
      </c>
    </row>
    <row r="56" spans="2:4" x14ac:dyDescent="0.25">
      <c r="B56" s="209" t="s">
        <v>512</v>
      </c>
      <c r="C56" s="194">
        <v>13</v>
      </c>
      <c r="D56" s="210">
        <v>2.1775544388609715E-2</v>
      </c>
    </row>
    <row r="57" spans="2:4" x14ac:dyDescent="0.25">
      <c r="B57" s="209" t="s">
        <v>665</v>
      </c>
      <c r="C57" s="194">
        <v>8</v>
      </c>
      <c r="D57" s="210">
        <v>1.340033500837521E-2</v>
      </c>
    </row>
    <row r="58" spans="2:4" x14ac:dyDescent="0.25">
      <c r="B58" s="209" t="s">
        <v>632</v>
      </c>
      <c r="C58" s="194">
        <v>7</v>
      </c>
      <c r="D58" s="210">
        <v>1.1725293132328308E-2</v>
      </c>
    </row>
    <row r="59" spans="2:4" x14ac:dyDescent="0.25">
      <c r="B59" s="209" t="s">
        <v>375</v>
      </c>
      <c r="C59" s="194">
        <v>7</v>
      </c>
      <c r="D59" s="210">
        <v>1.1725293132328308E-2</v>
      </c>
    </row>
    <row r="60" spans="2:4" x14ac:dyDescent="0.25">
      <c r="B60" s="209" t="s">
        <v>658</v>
      </c>
      <c r="C60" s="194">
        <v>5</v>
      </c>
      <c r="D60" s="210">
        <v>8.3752093802345051E-3</v>
      </c>
    </row>
    <row r="61" spans="2:4" x14ac:dyDescent="0.25">
      <c r="B61" s="209" t="s">
        <v>383</v>
      </c>
      <c r="C61" s="194">
        <v>4</v>
      </c>
      <c r="D61" s="210">
        <v>6.7001675041876048E-3</v>
      </c>
    </row>
    <row r="62" spans="2:4" x14ac:dyDescent="0.25">
      <c r="B62" s="209" t="s">
        <v>685</v>
      </c>
      <c r="C62" s="194">
        <v>3</v>
      </c>
      <c r="D62" s="210">
        <v>5.0251256281407036E-3</v>
      </c>
    </row>
    <row r="63" spans="2:4" x14ac:dyDescent="0.25">
      <c r="B63" s="209" t="s">
        <v>374</v>
      </c>
      <c r="C63" s="194">
        <v>3</v>
      </c>
      <c r="D63" s="210">
        <v>5.0251256281407036E-3</v>
      </c>
    </row>
    <row r="64" spans="2:4" x14ac:dyDescent="0.25">
      <c r="B64" s="209" t="s">
        <v>546</v>
      </c>
      <c r="C64" s="194">
        <v>3</v>
      </c>
      <c r="D64" s="210">
        <v>5.0251256281407036E-3</v>
      </c>
    </row>
    <row r="65" spans="2:4" x14ac:dyDescent="0.25">
      <c r="B65" s="209" t="s">
        <v>570</v>
      </c>
      <c r="C65" s="194">
        <v>3</v>
      </c>
      <c r="D65" s="210">
        <v>5.0251256281407036E-3</v>
      </c>
    </row>
    <row r="66" spans="2:4" x14ac:dyDescent="0.25">
      <c r="B66" s="209" t="s">
        <v>650</v>
      </c>
      <c r="C66" s="194">
        <v>3</v>
      </c>
      <c r="D66" s="210">
        <v>5.0251256281407036E-3</v>
      </c>
    </row>
    <row r="67" spans="2:4" x14ac:dyDescent="0.25">
      <c r="B67" s="209" t="s">
        <v>590</v>
      </c>
      <c r="C67" s="194">
        <v>2</v>
      </c>
      <c r="D67" s="210">
        <v>3.3500837520938024E-3</v>
      </c>
    </row>
    <row r="68" spans="2:4" x14ac:dyDescent="0.25">
      <c r="B68" s="209" t="s">
        <v>675</v>
      </c>
      <c r="C68" s="194">
        <v>2</v>
      </c>
      <c r="D68" s="210">
        <v>3.3500837520938024E-3</v>
      </c>
    </row>
    <row r="69" spans="2:4" x14ac:dyDescent="0.25">
      <c r="B69" s="209" t="s">
        <v>641</v>
      </c>
      <c r="C69" s="194">
        <v>2</v>
      </c>
      <c r="D69" s="210">
        <v>3.3500837520938024E-3</v>
      </c>
    </row>
    <row r="70" spans="2:4" x14ac:dyDescent="0.25">
      <c r="B70" s="209" t="s">
        <v>559</v>
      </c>
      <c r="C70" s="194">
        <v>2</v>
      </c>
      <c r="D70" s="210">
        <v>3.3500837520938024E-3</v>
      </c>
    </row>
    <row r="71" spans="2:4" x14ac:dyDescent="0.25">
      <c r="B71" s="209" t="s">
        <v>680</v>
      </c>
      <c r="C71" s="194">
        <v>2</v>
      </c>
      <c r="D71" s="210">
        <v>3.3500837520938024E-3</v>
      </c>
    </row>
    <row r="72" spans="2:4" x14ac:dyDescent="0.25">
      <c r="B72" s="209" t="s">
        <v>580</v>
      </c>
      <c r="C72" s="194">
        <v>2</v>
      </c>
      <c r="D72" s="210">
        <v>3.3500837520938024E-3</v>
      </c>
    </row>
    <row r="73" spans="2:4" x14ac:dyDescent="0.25">
      <c r="B73" s="209" t="s">
        <v>670</v>
      </c>
      <c r="C73" s="194">
        <v>1</v>
      </c>
      <c r="D73" s="210">
        <v>1.6750418760469012E-3</v>
      </c>
    </row>
    <row r="74" spans="2:4" x14ac:dyDescent="0.25">
      <c r="B74" s="209" t="s">
        <v>261</v>
      </c>
      <c r="C74" s="194">
        <v>98</v>
      </c>
      <c r="D74" s="210">
        <v>0.16415410385259632</v>
      </c>
    </row>
    <row r="75" spans="2:4" x14ac:dyDescent="0.25">
      <c r="B75" s="209" t="s">
        <v>532</v>
      </c>
      <c r="C75" s="194">
        <v>27</v>
      </c>
      <c r="D75" s="210">
        <v>4.5226130653266333E-2</v>
      </c>
    </row>
    <row r="76" spans="2:4" x14ac:dyDescent="0.25">
      <c r="B76" s="209" t="s">
        <v>379</v>
      </c>
      <c r="C76" s="194">
        <v>25</v>
      </c>
      <c r="D76" s="210">
        <v>4.1876046901172533E-2</v>
      </c>
    </row>
    <row r="77" spans="2:4" x14ac:dyDescent="0.25">
      <c r="B77" s="209" t="s">
        <v>601</v>
      </c>
      <c r="C77" s="194">
        <v>12</v>
      </c>
      <c r="D77" s="210">
        <v>2.0100502512562814E-2</v>
      </c>
    </row>
    <row r="78" spans="2:4" x14ac:dyDescent="0.25">
      <c r="B78" s="209" t="s">
        <v>548</v>
      </c>
      <c r="C78" s="194">
        <v>9</v>
      </c>
      <c r="D78" s="210">
        <v>1.507537688442211E-2</v>
      </c>
    </row>
    <row r="79" spans="2:4" x14ac:dyDescent="0.25">
      <c r="B79" s="209" t="s">
        <v>367</v>
      </c>
      <c r="C79" s="194">
        <v>5</v>
      </c>
      <c r="D79" s="210">
        <v>8.3752093802345051E-3</v>
      </c>
    </row>
    <row r="80" spans="2:4" x14ac:dyDescent="0.25">
      <c r="B80" s="209" t="s">
        <v>572</v>
      </c>
      <c r="C80" s="194">
        <v>5</v>
      </c>
      <c r="D80" s="210">
        <v>8.3752093802345051E-3</v>
      </c>
    </row>
    <row r="81" spans="2:4" x14ac:dyDescent="0.25">
      <c r="B81" s="209" t="s">
        <v>610</v>
      </c>
      <c r="C81" s="194">
        <v>3</v>
      </c>
      <c r="D81" s="210">
        <v>5.0251256281407036E-3</v>
      </c>
    </row>
    <row r="82" spans="2:4" x14ac:dyDescent="0.25">
      <c r="B82" s="209" t="s">
        <v>582</v>
      </c>
      <c r="C82" s="194">
        <v>3</v>
      </c>
      <c r="D82" s="210">
        <v>5.0251256281407036E-3</v>
      </c>
    </row>
    <row r="83" spans="2:4" x14ac:dyDescent="0.25">
      <c r="B83" s="209" t="s">
        <v>592</v>
      </c>
      <c r="C83" s="194">
        <v>3</v>
      </c>
      <c r="D83" s="210">
        <v>5.0251256281407036E-3</v>
      </c>
    </row>
    <row r="84" spans="2:4" x14ac:dyDescent="0.25">
      <c r="B84" s="209" t="s">
        <v>626</v>
      </c>
      <c r="C84" s="194">
        <v>2</v>
      </c>
      <c r="D84" s="210">
        <v>3.3500837520938024E-3</v>
      </c>
    </row>
    <row r="85" spans="2:4" x14ac:dyDescent="0.25">
      <c r="B85" s="209" t="s">
        <v>634</v>
      </c>
      <c r="C85" s="194">
        <v>1</v>
      </c>
      <c r="D85" s="210">
        <v>1.6750418760469012E-3</v>
      </c>
    </row>
    <row r="86" spans="2:4" x14ac:dyDescent="0.25">
      <c r="B86" s="209" t="s">
        <v>734</v>
      </c>
      <c r="C86" s="194">
        <v>1</v>
      </c>
      <c r="D86" s="210">
        <v>1.6750418760469012E-3</v>
      </c>
    </row>
    <row r="87" spans="2:4" x14ac:dyDescent="0.25">
      <c r="B87" s="209" t="s">
        <v>652</v>
      </c>
      <c r="C87" s="194">
        <v>1</v>
      </c>
      <c r="D87" s="210">
        <v>1.6750418760469012E-3</v>
      </c>
    </row>
    <row r="88" spans="2:4" x14ac:dyDescent="0.25">
      <c r="B88" s="209" t="s">
        <v>643</v>
      </c>
      <c r="C88" s="194">
        <v>1</v>
      </c>
      <c r="D88" s="210">
        <v>1.6750418760469012E-3</v>
      </c>
    </row>
    <row r="89" spans="2:4" x14ac:dyDescent="0.25">
      <c r="B89" s="209" t="s">
        <v>456</v>
      </c>
      <c r="C89" s="194">
        <v>27</v>
      </c>
      <c r="D89" s="210">
        <v>4.5226130653266333E-2</v>
      </c>
    </row>
    <row r="90" spans="2:4" x14ac:dyDescent="0.25">
      <c r="B90" s="209" t="s">
        <v>535</v>
      </c>
      <c r="C90" s="194">
        <v>22</v>
      </c>
      <c r="D90" s="210">
        <v>3.6850921273031828E-2</v>
      </c>
    </row>
    <row r="91" spans="2:4" x14ac:dyDescent="0.25">
      <c r="B91" s="209" t="s">
        <v>517</v>
      </c>
      <c r="C91" s="194">
        <v>5</v>
      </c>
      <c r="D91" s="210">
        <v>8.3752093802345051E-3</v>
      </c>
    </row>
    <row r="92" spans="2:4" x14ac:dyDescent="0.25">
      <c r="B92" s="209" t="s">
        <v>458</v>
      </c>
      <c r="C92" s="194">
        <v>25</v>
      </c>
      <c r="D92" s="210">
        <v>4.1876046901172533E-2</v>
      </c>
    </row>
    <row r="93" spans="2:4" x14ac:dyDescent="0.25">
      <c r="B93" s="209" t="s">
        <v>552</v>
      </c>
      <c r="C93" s="194">
        <v>11</v>
      </c>
      <c r="D93" s="210">
        <v>1.8425460636515914E-2</v>
      </c>
    </row>
    <row r="94" spans="2:4" x14ac:dyDescent="0.25">
      <c r="B94" s="209" t="s">
        <v>521</v>
      </c>
      <c r="C94" s="194">
        <v>7</v>
      </c>
      <c r="D94" s="210">
        <v>1.1725293132328308E-2</v>
      </c>
    </row>
    <row r="95" spans="2:4" x14ac:dyDescent="0.25">
      <c r="B95" s="209" t="s">
        <v>537</v>
      </c>
      <c r="C95" s="194">
        <v>5</v>
      </c>
      <c r="D95" s="210">
        <v>8.3752093802345051E-3</v>
      </c>
    </row>
    <row r="96" spans="2:4" x14ac:dyDescent="0.25">
      <c r="B96" s="209" t="s">
        <v>564</v>
      </c>
      <c r="C96" s="194">
        <v>2</v>
      </c>
      <c r="D96" s="210">
        <v>3.3500837520938024E-3</v>
      </c>
    </row>
    <row r="97" spans="2:4" x14ac:dyDescent="0.25">
      <c r="B97" s="209" t="s">
        <v>465</v>
      </c>
      <c r="C97" s="194">
        <v>20</v>
      </c>
      <c r="D97" s="210">
        <v>3.350083752093802E-2</v>
      </c>
    </row>
    <row r="98" spans="2:4" x14ac:dyDescent="0.25">
      <c r="B98" s="209" t="s">
        <v>523</v>
      </c>
      <c r="C98" s="194">
        <v>17</v>
      </c>
      <c r="D98" s="210">
        <v>2.8475711892797319E-2</v>
      </c>
    </row>
    <row r="99" spans="2:4" x14ac:dyDescent="0.25">
      <c r="B99" s="209" t="s">
        <v>539</v>
      </c>
      <c r="C99" s="194">
        <v>2</v>
      </c>
      <c r="D99" s="210">
        <v>3.3500837520938024E-3</v>
      </c>
    </row>
    <row r="100" spans="2:4" x14ac:dyDescent="0.25">
      <c r="B100" s="209" t="s">
        <v>554</v>
      </c>
      <c r="C100" s="194">
        <v>1</v>
      </c>
      <c r="D100" s="210">
        <v>1.6750418760469012E-3</v>
      </c>
    </row>
    <row r="101" spans="2:4" x14ac:dyDescent="0.25">
      <c r="B101" s="209" t="s">
        <v>463</v>
      </c>
      <c r="C101" s="194">
        <v>3</v>
      </c>
      <c r="D101" s="210">
        <v>5.0251256281407036E-3</v>
      </c>
    </row>
    <row r="102" spans="2:4" x14ac:dyDescent="0.25">
      <c r="B102" s="209" t="s">
        <v>519</v>
      </c>
      <c r="C102" s="194">
        <v>3</v>
      </c>
      <c r="D102" s="210">
        <v>5.0251256281407036E-3</v>
      </c>
    </row>
    <row r="103" spans="2:4" x14ac:dyDescent="0.25">
      <c r="B103" s="261" t="s">
        <v>141</v>
      </c>
      <c r="C103" s="194">
        <v>597</v>
      </c>
      <c r="D103" s="210">
        <v>1</v>
      </c>
    </row>
    <row r="107" spans="2:4" x14ac:dyDescent="0.25">
      <c r="B107" s="1263" t="s">
        <v>2662</v>
      </c>
    </row>
    <row r="109" spans="2:4" x14ac:dyDescent="0.25">
      <c r="B109" s="338" t="s">
        <v>2610</v>
      </c>
      <c r="C109" s="287" t="s">
        <v>2612</v>
      </c>
      <c r="D109" s="287" t="s">
        <v>89</v>
      </c>
    </row>
    <row r="110" spans="2:4" x14ac:dyDescent="0.25">
      <c r="B110" s="209" t="s">
        <v>488</v>
      </c>
      <c r="C110" s="194">
        <v>48</v>
      </c>
      <c r="D110" s="210">
        <v>0.23762376237623761</v>
      </c>
    </row>
    <row r="111" spans="2:4" x14ac:dyDescent="0.25">
      <c r="B111" s="209" t="s">
        <v>453</v>
      </c>
      <c r="C111" s="194">
        <v>19</v>
      </c>
      <c r="D111" s="210">
        <v>9.405940594059406E-2</v>
      </c>
    </row>
    <row r="112" spans="2:4" x14ac:dyDescent="0.25">
      <c r="B112" s="209" t="s">
        <v>360</v>
      </c>
      <c r="C112" s="194">
        <v>15</v>
      </c>
      <c r="D112" s="210">
        <v>7.4257425742574254E-2</v>
      </c>
    </row>
    <row r="113" spans="2:4" x14ac:dyDescent="0.25">
      <c r="B113" s="209" t="s">
        <v>358</v>
      </c>
      <c r="C113" s="194">
        <v>7</v>
      </c>
      <c r="D113" s="210">
        <v>3.4653465346534656E-2</v>
      </c>
    </row>
    <row r="114" spans="2:4" x14ac:dyDescent="0.25">
      <c r="B114" s="209" t="s">
        <v>261</v>
      </c>
      <c r="C114" s="194">
        <v>7</v>
      </c>
      <c r="D114" s="210">
        <v>3.4653465346534656E-2</v>
      </c>
    </row>
    <row r="115" spans="2:4" x14ac:dyDescent="0.25">
      <c r="B115" s="209" t="s">
        <v>866</v>
      </c>
      <c r="C115" s="194">
        <v>46</v>
      </c>
      <c r="D115" s="210">
        <v>0.22772277227722773</v>
      </c>
    </row>
    <row r="116" spans="2:4" x14ac:dyDescent="0.25">
      <c r="B116" s="209" t="s">
        <v>453</v>
      </c>
      <c r="C116" s="194">
        <v>18</v>
      </c>
      <c r="D116" s="210">
        <v>8.9108910891089105E-2</v>
      </c>
    </row>
    <row r="117" spans="2:4" x14ac:dyDescent="0.25">
      <c r="B117" s="209" t="s">
        <v>360</v>
      </c>
      <c r="C117" s="194">
        <v>13</v>
      </c>
      <c r="D117" s="210">
        <v>6.4356435643564358E-2</v>
      </c>
    </row>
    <row r="118" spans="2:4" x14ac:dyDescent="0.25">
      <c r="B118" s="209" t="s">
        <v>358</v>
      </c>
      <c r="C118" s="194">
        <v>8</v>
      </c>
      <c r="D118" s="210">
        <v>3.9603960396039604E-2</v>
      </c>
    </row>
    <row r="119" spans="2:4" x14ac:dyDescent="0.25">
      <c r="B119" s="209" t="s">
        <v>261</v>
      </c>
      <c r="C119" s="194">
        <v>7</v>
      </c>
      <c r="D119" s="210">
        <v>3.4653465346534656E-2</v>
      </c>
    </row>
    <row r="120" spans="2:4" x14ac:dyDescent="0.25">
      <c r="B120" s="209" t="s">
        <v>897</v>
      </c>
      <c r="C120" s="194">
        <v>46</v>
      </c>
      <c r="D120" s="210">
        <v>0.22772277227722773</v>
      </c>
    </row>
    <row r="121" spans="2:4" x14ac:dyDescent="0.25">
      <c r="B121" s="209" t="s">
        <v>453</v>
      </c>
      <c r="C121" s="194">
        <v>16</v>
      </c>
      <c r="D121" s="210">
        <v>7.9207920792079209E-2</v>
      </c>
    </row>
    <row r="122" spans="2:4" x14ac:dyDescent="0.25">
      <c r="B122" s="209" t="s">
        <v>360</v>
      </c>
      <c r="C122" s="194">
        <v>14</v>
      </c>
      <c r="D122" s="210">
        <v>6.9306930693069313E-2</v>
      </c>
    </row>
    <row r="123" spans="2:4" x14ac:dyDescent="0.25">
      <c r="B123" s="209" t="s">
        <v>261</v>
      </c>
      <c r="C123" s="194">
        <v>9</v>
      </c>
      <c r="D123" s="210">
        <v>4.4554455445544552E-2</v>
      </c>
    </row>
    <row r="124" spans="2:4" x14ac:dyDescent="0.25">
      <c r="B124" s="209" t="s">
        <v>358</v>
      </c>
      <c r="C124" s="194">
        <v>7</v>
      </c>
      <c r="D124" s="210">
        <v>3.4653465346534656E-2</v>
      </c>
    </row>
    <row r="125" spans="2:4" x14ac:dyDescent="0.25">
      <c r="B125" s="209" t="s">
        <v>873</v>
      </c>
      <c r="C125" s="194">
        <v>43</v>
      </c>
      <c r="D125" s="210">
        <v>0.21287128712871287</v>
      </c>
    </row>
    <row r="126" spans="2:4" x14ac:dyDescent="0.25">
      <c r="B126" s="209" t="s">
        <v>453</v>
      </c>
      <c r="C126" s="194">
        <v>21</v>
      </c>
      <c r="D126" s="210">
        <v>0.10396039603960396</v>
      </c>
    </row>
    <row r="127" spans="2:4" x14ac:dyDescent="0.25">
      <c r="B127" s="209" t="s">
        <v>360</v>
      </c>
      <c r="C127" s="194">
        <v>16</v>
      </c>
      <c r="D127" s="210">
        <v>7.9207920792079209E-2</v>
      </c>
    </row>
    <row r="128" spans="2:4" x14ac:dyDescent="0.25">
      <c r="B128" s="209" t="s">
        <v>261</v>
      </c>
      <c r="C128" s="194">
        <v>5</v>
      </c>
      <c r="D128" s="210">
        <v>2.4752475247524754E-2</v>
      </c>
    </row>
    <row r="129" spans="2:4" x14ac:dyDescent="0.25">
      <c r="B129" s="209" t="s">
        <v>358</v>
      </c>
      <c r="C129" s="194">
        <v>1</v>
      </c>
      <c r="D129" s="210">
        <v>4.9504950495049506E-3</v>
      </c>
    </row>
    <row r="130" spans="2:4" x14ac:dyDescent="0.25">
      <c r="B130" s="209" t="s">
        <v>903</v>
      </c>
      <c r="C130" s="194">
        <v>19</v>
      </c>
      <c r="D130" s="210">
        <v>9.405940594059406E-2</v>
      </c>
    </row>
    <row r="131" spans="2:4" x14ac:dyDescent="0.25">
      <c r="B131" s="209" t="s">
        <v>360</v>
      </c>
      <c r="C131" s="194">
        <v>11</v>
      </c>
      <c r="D131" s="210">
        <v>5.4455445544554455E-2</v>
      </c>
    </row>
    <row r="132" spans="2:4" x14ac:dyDescent="0.25">
      <c r="B132" s="209" t="s">
        <v>358</v>
      </c>
      <c r="C132" s="194">
        <v>4</v>
      </c>
      <c r="D132" s="210">
        <v>1.9801980198019802E-2</v>
      </c>
    </row>
    <row r="133" spans="2:4" x14ac:dyDescent="0.25">
      <c r="B133" s="209" t="s">
        <v>453</v>
      </c>
      <c r="C133" s="194">
        <v>2</v>
      </c>
      <c r="D133" s="210">
        <v>9.9009900990099011E-3</v>
      </c>
    </row>
    <row r="134" spans="2:4" x14ac:dyDescent="0.25">
      <c r="B134" s="209" t="s">
        <v>458</v>
      </c>
      <c r="C134" s="194">
        <v>1</v>
      </c>
      <c r="D134" s="210">
        <v>4.9504950495049506E-3</v>
      </c>
    </row>
    <row r="135" spans="2:4" x14ac:dyDescent="0.25">
      <c r="B135" s="209" t="s">
        <v>261</v>
      </c>
      <c r="C135" s="194">
        <v>1</v>
      </c>
      <c r="D135" s="210">
        <v>4.9504950495049506E-3</v>
      </c>
    </row>
    <row r="136" spans="2:4" x14ac:dyDescent="0.25">
      <c r="B136" s="261" t="s">
        <v>141</v>
      </c>
      <c r="C136" s="194">
        <v>202</v>
      </c>
      <c r="D136" s="210">
        <v>1</v>
      </c>
    </row>
    <row r="139" spans="2:4" x14ac:dyDescent="0.25">
      <c r="B139" s="193" t="s">
        <v>2663</v>
      </c>
      <c r="C139" s="287" t="s">
        <v>2612</v>
      </c>
      <c r="D139" s="287" t="s">
        <v>89</v>
      </c>
    </row>
    <row r="140" spans="2:4" x14ac:dyDescent="0.25">
      <c r="B140" s="209" t="s">
        <v>488</v>
      </c>
      <c r="C140" s="194">
        <v>48</v>
      </c>
      <c r="D140" s="210">
        <v>0.23762376237623761</v>
      </c>
    </row>
    <row r="141" spans="2:4" x14ac:dyDescent="0.25">
      <c r="B141" s="209" t="s">
        <v>866</v>
      </c>
      <c r="C141" s="194">
        <v>46</v>
      </c>
      <c r="D141" s="210">
        <v>0.22772277227722773</v>
      </c>
    </row>
    <row r="142" spans="2:4" x14ac:dyDescent="0.25">
      <c r="B142" s="209" t="s">
        <v>897</v>
      </c>
      <c r="C142" s="194">
        <v>46</v>
      </c>
      <c r="D142" s="210">
        <v>0.22772277227722773</v>
      </c>
    </row>
    <row r="143" spans="2:4" x14ac:dyDescent="0.25">
      <c r="B143" s="209" t="s">
        <v>873</v>
      </c>
      <c r="C143" s="194">
        <v>43</v>
      </c>
      <c r="D143" s="210">
        <v>0.21287128712871287</v>
      </c>
    </row>
    <row r="144" spans="2:4" x14ac:dyDescent="0.25">
      <c r="B144" s="209" t="s">
        <v>903</v>
      </c>
      <c r="C144" s="194">
        <v>19</v>
      </c>
      <c r="D144" s="210">
        <v>9.405940594059406E-2</v>
      </c>
    </row>
    <row r="145" spans="2:4" x14ac:dyDescent="0.25">
      <c r="B145" s="261" t="s">
        <v>141</v>
      </c>
      <c r="C145" s="194">
        <v>202</v>
      </c>
      <c r="D145" s="210">
        <v>1</v>
      </c>
    </row>
  </sheetData>
  <mergeCells count="1">
    <mergeCell ref="B4:D4"/>
  </mergeCells>
  <pageMargins left="0.7" right="0.7" top="0.75" bottom="0.75" header="0.3" footer="0.3"/>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7:L174"/>
  <sheetViews>
    <sheetView showGridLines="0" tabSelected="1" topLeftCell="A124" zoomScale="80" zoomScaleNormal="80" workbookViewId="0">
      <selection activeCell="G153" sqref="G153"/>
    </sheetView>
  </sheetViews>
  <sheetFormatPr baseColWidth="10" defaultRowHeight="15.65" x14ac:dyDescent="0.25"/>
  <cols>
    <col min="1" max="1" width="7.19921875" customWidth="1"/>
    <col min="2" max="2" width="82.796875" style="1269" bestFit="1" customWidth="1"/>
    <col min="3" max="3" width="23.796875" style="229" customWidth="1"/>
    <col min="4" max="4" width="12.19921875" customWidth="1"/>
    <col min="5" max="5" width="13.19921875" style="1271" customWidth="1"/>
    <col min="6" max="6" width="13" customWidth="1"/>
    <col min="7" max="7" width="16.796875" bestFit="1" customWidth="1"/>
    <col min="8" max="8" width="12.3984375" bestFit="1" customWidth="1"/>
    <col min="9" max="9" width="11.19921875" bestFit="1" customWidth="1"/>
  </cols>
  <sheetData>
    <row r="7" spans="2:12" ht="25.85" x14ac:dyDescent="0.45">
      <c r="B7" s="1272" t="s">
        <v>2671</v>
      </c>
    </row>
    <row r="11" spans="2:12" x14ac:dyDescent="0.25">
      <c r="B11" s="212" t="s">
        <v>2679</v>
      </c>
      <c r="C11" s="983" t="s">
        <v>2677</v>
      </c>
      <c r="D11" s="287" t="s">
        <v>89</v>
      </c>
      <c r="E11" s="287" t="s">
        <v>2672</v>
      </c>
      <c r="F11" s="287" t="s">
        <v>2673</v>
      </c>
      <c r="G11" s="287" t="s">
        <v>2674</v>
      </c>
      <c r="H11" s="287" t="s">
        <v>2675</v>
      </c>
      <c r="I11" s="287" t="s">
        <v>2676</v>
      </c>
    </row>
    <row r="12" spans="2:12" x14ac:dyDescent="0.25">
      <c r="B12" s="223" t="s">
        <v>2393</v>
      </c>
      <c r="C12" s="211">
        <v>81520426.760000005</v>
      </c>
      <c r="D12" s="210">
        <v>0.15868571614847096</v>
      </c>
      <c r="E12" s="211">
        <v>12794257</v>
      </c>
      <c r="F12" s="211">
        <v>11266666</v>
      </c>
      <c r="G12" s="211">
        <v>8676555</v>
      </c>
      <c r="H12" s="211">
        <v>24391474.380000003</v>
      </c>
      <c r="I12" s="211">
        <v>24391474.380000003</v>
      </c>
      <c r="J12" s="229"/>
      <c r="K12" s="229"/>
      <c r="L12" s="229"/>
    </row>
    <row r="13" spans="2:12" x14ac:dyDescent="0.25">
      <c r="B13" s="223" t="s">
        <v>2669</v>
      </c>
      <c r="C13" s="211">
        <v>43374006.580000006</v>
      </c>
      <c r="D13" s="210">
        <v>8.4430805503989639E-2</v>
      </c>
      <c r="E13" s="211">
        <v>3352970</v>
      </c>
      <c r="F13" s="211">
        <v>2263157</v>
      </c>
      <c r="G13" s="211">
        <v>849410</v>
      </c>
      <c r="H13" s="211">
        <v>18454234.790000003</v>
      </c>
      <c r="I13" s="211">
        <v>18454234.790000003</v>
      </c>
      <c r="J13" s="229"/>
      <c r="K13" s="229"/>
      <c r="L13" s="229"/>
    </row>
    <row r="14" spans="2:12" x14ac:dyDescent="0.25">
      <c r="B14" s="223" t="s">
        <v>196</v>
      </c>
      <c r="C14" s="211">
        <v>43374006.580000006</v>
      </c>
      <c r="D14" s="210">
        <v>8.4430805503989639E-2</v>
      </c>
      <c r="E14" s="211">
        <v>3352970</v>
      </c>
      <c r="F14" s="211">
        <v>2263157</v>
      </c>
      <c r="G14" s="211">
        <v>849410</v>
      </c>
      <c r="H14" s="211">
        <v>18454234.790000003</v>
      </c>
      <c r="I14" s="211">
        <v>18454234.790000003</v>
      </c>
      <c r="J14" s="229"/>
      <c r="K14" s="229"/>
      <c r="L14" s="229"/>
    </row>
    <row r="15" spans="2:12" x14ac:dyDescent="0.25">
      <c r="B15" s="223" t="s">
        <v>2668</v>
      </c>
      <c r="C15" s="211">
        <v>10951437.800000001</v>
      </c>
      <c r="D15" s="210">
        <v>2.1317807317970859E-2</v>
      </c>
      <c r="E15" s="211">
        <v>2761894</v>
      </c>
      <c r="F15" s="211">
        <v>1176364</v>
      </c>
      <c r="G15" s="211">
        <v>0</v>
      </c>
      <c r="H15" s="211">
        <v>3506589.9000000004</v>
      </c>
      <c r="I15" s="211">
        <v>3506589.9000000004</v>
      </c>
      <c r="J15" s="229"/>
      <c r="K15" s="229"/>
      <c r="L15" s="229"/>
    </row>
    <row r="16" spans="2:12" x14ac:dyDescent="0.25">
      <c r="B16" s="223" t="s">
        <v>201</v>
      </c>
      <c r="C16" s="211">
        <v>10207437.800000001</v>
      </c>
      <c r="D16" s="210">
        <v>1.9869554683547796E-2</v>
      </c>
      <c r="E16" s="211">
        <v>2761894</v>
      </c>
      <c r="F16" s="211">
        <v>1176364</v>
      </c>
      <c r="G16" s="211">
        <v>0</v>
      </c>
      <c r="H16" s="211">
        <v>3134589.9000000004</v>
      </c>
      <c r="I16" s="211">
        <v>3134589.9000000004</v>
      </c>
      <c r="J16" s="229"/>
      <c r="K16" s="229"/>
      <c r="L16" s="229"/>
    </row>
    <row r="17" spans="2:12" x14ac:dyDescent="0.25">
      <c r="B17" s="223" t="s">
        <v>200</v>
      </c>
      <c r="C17" s="211">
        <v>744000</v>
      </c>
      <c r="D17" s="210">
        <v>1.4482526344230635E-3</v>
      </c>
      <c r="E17" s="211">
        <v>0</v>
      </c>
      <c r="F17" s="211">
        <v>0</v>
      </c>
      <c r="G17" s="211">
        <v>0</v>
      </c>
      <c r="H17" s="211">
        <v>372000</v>
      </c>
      <c r="I17" s="211">
        <v>372000</v>
      </c>
      <c r="J17" s="229"/>
      <c r="K17" s="229"/>
      <c r="L17" s="229"/>
    </row>
    <row r="18" spans="2:12" x14ac:dyDescent="0.25">
      <c r="B18" s="223" t="s">
        <v>2667</v>
      </c>
      <c r="C18" s="211">
        <v>27194982.379999999</v>
      </c>
      <c r="D18" s="210">
        <v>5.2937103326510471E-2</v>
      </c>
      <c r="E18" s="211">
        <v>6679393</v>
      </c>
      <c r="F18" s="211">
        <v>7827145</v>
      </c>
      <c r="G18" s="211">
        <v>7827145</v>
      </c>
      <c r="H18" s="211">
        <v>2430649.69</v>
      </c>
      <c r="I18" s="211">
        <v>2430649.69</v>
      </c>
      <c r="J18" s="229"/>
      <c r="K18" s="229"/>
      <c r="L18" s="229"/>
    </row>
    <row r="19" spans="2:12" x14ac:dyDescent="0.25">
      <c r="B19" s="223" t="s">
        <v>204</v>
      </c>
      <c r="C19" s="211">
        <v>27194982.379999999</v>
      </c>
      <c r="D19" s="210">
        <v>5.2937103326510471E-2</v>
      </c>
      <c r="E19" s="211">
        <v>6679393</v>
      </c>
      <c r="F19" s="211">
        <v>7827145</v>
      </c>
      <c r="G19" s="211">
        <v>7827145</v>
      </c>
      <c r="H19" s="211">
        <v>2430649.69</v>
      </c>
      <c r="I19" s="211">
        <v>2430649.69</v>
      </c>
      <c r="J19" s="229"/>
      <c r="K19" s="229"/>
      <c r="L19" s="229"/>
    </row>
    <row r="20" spans="2:12" x14ac:dyDescent="0.25">
      <c r="B20" s="223" t="s">
        <v>2398</v>
      </c>
      <c r="C20" s="211">
        <v>126436082.76000002</v>
      </c>
      <c r="D20" s="210">
        <v>0.24611745960121303</v>
      </c>
      <c r="E20" s="211">
        <v>36394291.609999999</v>
      </c>
      <c r="F20" s="211">
        <v>35882793.230000004</v>
      </c>
      <c r="G20" s="211">
        <v>9098387.6600000001</v>
      </c>
      <c r="H20" s="211">
        <v>22530305.129999999</v>
      </c>
      <c r="I20" s="211">
        <v>22530305.129999999</v>
      </c>
      <c r="J20" s="229"/>
      <c r="K20" s="229"/>
      <c r="L20" s="229"/>
    </row>
    <row r="21" spans="2:12" x14ac:dyDescent="0.25">
      <c r="B21" s="223" t="s">
        <v>2669</v>
      </c>
      <c r="C21" s="211">
        <v>78639205.409999996</v>
      </c>
      <c r="D21" s="210">
        <v>0.15307719946770015</v>
      </c>
      <c r="E21" s="211">
        <v>24285124.609999999</v>
      </c>
      <c r="F21" s="211">
        <v>20279884.23</v>
      </c>
      <c r="G21" s="211">
        <v>4766654.66</v>
      </c>
      <c r="H21" s="211">
        <v>14653770.955</v>
      </c>
      <c r="I21" s="211">
        <v>14653770.955</v>
      </c>
      <c r="J21" s="229"/>
      <c r="K21" s="229"/>
      <c r="L21" s="229"/>
    </row>
    <row r="22" spans="2:12" x14ac:dyDescent="0.25">
      <c r="B22" s="223" t="s">
        <v>194</v>
      </c>
      <c r="C22" s="211">
        <v>52331599.550000004</v>
      </c>
      <c r="D22" s="210">
        <v>0.10186744208583375</v>
      </c>
      <c r="E22" s="211">
        <v>18564616.609999999</v>
      </c>
      <c r="F22" s="211">
        <v>12723464.23</v>
      </c>
      <c r="G22" s="211">
        <v>4376653.66</v>
      </c>
      <c r="H22" s="211">
        <v>8333432.5249999994</v>
      </c>
      <c r="I22" s="211">
        <v>8333432.5249999994</v>
      </c>
      <c r="J22" s="229"/>
      <c r="K22" s="229"/>
      <c r="L22" s="229"/>
    </row>
    <row r="23" spans="2:12" x14ac:dyDescent="0.25">
      <c r="B23" s="223" t="s">
        <v>196</v>
      </c>
      <c r="C23" s="211">
        <v>26236697.859999999</v>
      </c>
      <c r="D23" s="210">
        <v>5.1071729562240521E-2</v>
      </c>
      <c r="E23" s="211">
        <v>5649600</v>
      </c>
      <c r="F23" s="211">
        <v>7556420</v>
      </c>
      <c r="G23" s="211">
        <v>390001</v>
      </c>
      <c r="H23" s="211">
        <v>6320338.4300000006</v>
      </c>
      <c r="I23" s="211">
        <v>6320338.4300000006</v>
      </c>
      <c r="J23" s="229"/>
      <c r="K23" s="229"/>
      <c r="L23" s="229"/>
    </row>
    <row r="24" spans="2:12" x14ac:dyDescent="0.25">
      <c r="B24" s="223" t="s">
        <v>197</v>
      </c>
      <c r="C24" s="211">
        <v>70908</v>
      </c>
      <c r="D24" s="210">
        <v>1.3802781962590131E-4</v>
      </c>
      <c r="E24" s="211">
        <v>70908</v>
      </c>
      <c r="F24" s="211">
        <v>0</v>
      </c>
      <c r="G24" s="211">
        <v>0</v>
      </c>
      <c r="H24" s="211">
        <v>0</v>
      </c>
      <c r="I24" s="211">
        <v>0</v>
      </c>
      <c r="J24" s="229"/>
      <c r="K24" s="229"/>
      <c r="L24" s="229"/>
    </row>
    <row r="25" spans="2:12" x14ac:dyDescent="0.25">
      <c r="B25" s="223" t="s">
        <v>2667</v>
      </c>
      <c r="C25" s="211">
        <v>29881819</v>
      </c>
      <c r="D25" s="210">
        <v>5.8167235333471977E-2</v>
      </c>
      <c r="E25" s="211">
        <v>6558805</v>
      </c>
      <c r="F25" s="211">
        <v>5844093</v>
      </c>
      <c r="G25" s="211">
        <v>2754101</v>
      </c>
      <c r="H25" s="211">
        <v>7362410</v>
      </c>
      <c r="I25" s="211">
        <v>7362410</v>
      </c>
      <c r="J25" s="229"/>
      <c r="K25" s="229"/>
      <c r="L25" s="229"/>
    </row>
    <row r="26" spans="2:12" x14ac:dyDescent="0.25">
      <c r="B26" s="223" t="s">
        <v>204</v>
      </c>
      <c r="C26" s="211">
        <v>29881819</v>
      </c>
      <c r="D26" s="210">
        <v>5.8167235333471977E-2</v>
      </c>
      <c r="E26" s="211">
        <v>6558805</v>
      </c>
      <c r="F26" s="211">
        <v>5844093</v>
      </c>
      <c r="G26" s="211">
        <v>2754101</v>
      </c>
      <c r="H26" s="211">
        <v>7362410</v>
      </c>
      <c r="I26" s="211">
        <v>7362410</v>
      </c>
      <c r="J26" s="229"/>
      <c r="K26" s="229"/>
      <c r="L26" s="229"/>
    </row>
    <row r="27" spans="2:12" x14ac:dyDescent="0.25">
      <c r="B27" s="223" t="s">
        <v>2668</v>
      </c>
      <c r="C27" s="211">
        <v>17915058.350000001</v>
      </c>
      <c r="D27" s="210">
        <v>3.4873024800040862E-2</v>
      </c>
      <c r="E27" s="211">
        <v>5550362</v>
      </c>
      <c r="F27" s="211">
        <v>9758816</v>
      </c>
      <c r="G27" s="211">
        <v>1577632</v>
      </c>
      <c r="H27" s="211">
        <v>514124.17500000121</v>
      </c>
      <c r="I27" s="211">
        <v>514124.17500000121</v>
      </c>
      <c r="J27" s="229"/>
      <c r="K27" s="229"/>
      <c r="L27" s="229"/>
    </row>
    <row r="28" spans="2:12" x14ac:dyDescent="0.25">
      <c r="B28" s="223" t="s">
        <v>201</v>
      </c>
      <c r="C28" s="211">
        <v>14516430.350000001</v>
      </c>
      <c r="D28" s="210">
        <v>2.8257336689255935E-2</v>
      </c>
      <c r="E28" s="211">
        <v>3799527</v>
      </c>
      <c r="F28" s="211">
        <v>8406023</v>
      </c>
      <c r="G28" s="211">
        <v>1282632</v>
      </c>
      <c r="H28" s="211">
        <v>514124.17500000121</v>
      </c>
      <c r="I28" s="211">
        <v>514124.17500000121</v>
      </c>
      <c r="J28" s="229"/>
      <c r="K28" s="229"/>
      <c r="L28" s="229"/>
    </row>
    <row r="29" spans="2:12" x14ac:dyDescent="0.25">
      <c r="B29" s="223" t="s">
        <v>202</v>
      </c>
      <c r="C29" s="211">
        <v>550835</v>
      </c>
      <c r="D29" s="210">
        <v>1.0722422579064895E-3</v>
      </c>
      <c r="E29" s="211">
        <v>550835</v>
      </c>
      <c r="F29" s="211">
        <v>0</v>
      </c>
      <c r="G29" s="211">
        <v>0</v>
      </c>
      <c r="H29" s="211">
        <v>0</v>
      </c>
      <c r="I29" s="211">
        <v>0</v>
      </c>
      <c r="J29" s="229"/>
      <c r="K29" s="229"/>
      <c r="L29" s="229"/>
    </row>
    <row r="30" spans="2:12" x14ac:dyDescent="0.25">
      <c r="B30" s="223" t="s">
        <v>200</v>
      </c>
      <c r="C30" s="211">
        <v>2847793</v>
      </c>
      <c r="D30" s="210">
        <v>5.5434458528784399E-3</v>
      </c>
      <c r="E30" s="211">
        <v>1200000</v>
      </c>
      <c r="F30" s="211">
        <v>1352793</v>
      </c>
      <c r="G30" s="211">
        <v>295000</v>
      </c>
      <c r="H30" s="211">
        <v>0</v>
      </c>
      <c r="I30" s="211">
        <v>0</v>
      </c>
      <c r="J30" s="229"/>
      <c r="K30" s="229"/>
      <c r="L30" s="229"/>
    </row>
    <row r="31" spans="2:12" x14ac:dyDescent="0.25">
      <c r="B31" s="223" t="s">
        <v>2388</v>
      </c>
      <c r="C31" s="211">
        <v>305766015.34624004</v>
      </c>
      <c r="D31" s="210">
        <v>0.59519682425031584</v>
      </c>
      <c r="E31" s="211">
        <v>98348277.583787069</v>
      </c>
      <c r="F31" s="211">
        <v>135907567.30979207</v>
      </c>
      <c r="G31" s="211">
        <v>54054330.132660896</v>
      </c>
      <c r="H31" s="211">
        <v>8727920.1600000001</v>
      </c>
      <c r="I31" s="211">
        <v>8727920.1600000001</v>
      </c>
      <c r="J31" s="229"/>
      <c r="K31" s="229"/>
      <c r="L31" s="229"/>
    </row>
    <row r="32" spans="2:12" x14ac:dyDescent="0.25">
      <c r="B32" s="223" t="s">
        <v>2669</v>
      </c>
      <c r="C32" s="211">
        <v>213462540.25624007</v>
      </c>
      <c r="D32" s="210">
        <v>0.41552108370529423</v>
      </c>
      <c r="E32" s="211">
        <v>58808263.293787062</v>
      </c>
      <c r="F32" s="211">
        <v>87483179.869792074</v>
      </c>
      <c r="G32" s="211">
        <v>51804317.132660896</v>
      </c>
      <c r="H32" s="211">
        <v>7683389.9799999995</v>
      </c>
      <c r="I32" s="211">
        <v>7683389.9799999995</v>
      </c>
      <c r="J32" s="229"/>
      <c r="K32" s="229"/>
      <c r="L32" s="229"/>
    </row>
    <row r="33" spans="2:12" x14ac:dyDescent="0.25">
      <c r="B33" s="223" t="s">
        <v>196</v>
      </c>
      <c r="C33" s="211">
        <v>86767809.590000004</v>
      </c>
      <c r="D33" s="210">
        <v>0.16890014626590893</v>
      </c>
      <c r="E33" s="211">
        <v>25611651</v>
      </c>
      <c r="F33" s="211">
        <v>44246224</v>
      </c>
      <c r="G33" s="211">
        <v>6366709.3899999997</v>
      </c>
      <c r="H33" s="211">
        <v>5271612.5999999996</v>
      </c>
      <c r="I33" s="211">
        <v>5271612.5999999996</v>
      </c>
      <c r="J33" s="229"/>
      <c r="K33" s="229"/>
      <c r="L33" s="229"/>
    </row>
    <row r="34" spans="2:12" x14ac:dyDescent="0.25">
      <c r="B34" s="223" t="s">
        <v>194</v>
      </c>
      <c r="C34" s="211">
        <v>126694730.66624007</v>
      </c>
      <c r="D34" s="210">
        <v>0.24662093743938529</v>
      </c>
      <c r="E34" s="211">
        <v>33196612.293787066</v>
      </c>
      <c r="F34" s="211">
        <v>43236955.869792081</v>
      </c>
      <c r="G34" s="211">
        <v>45437607.742660895</v>
      </c>
      <c r="H34" s="211">
        <v>2411777.38</v>
      </c>
      <c r="I34" s="211">
        <v>2411777.38</v>
      </c>
      <c r="J34" s="229"/>
      <c r="K34" s="229"/>
      <c r="L34" s="229"/>
    </row>
    <row r="35" spans="2:12" x14ac:dyDescent="0.25">
      <c r="B35" s="223" t="s">
        <v>2667</v>
      </c>
      <c r="C35" s="211">
        <v>57072834.089999996</v>
      </c>
      <c r="D35" s="210">
        <v>0.11109661602800124</v>
      </c>
      <c r="E35" s="211">
        <v>19889729.289999999</v>
      </c>
      <c r="F35" s="211">
        <v>32844031.440000001</v>
      </c>
      <c r="G35" s="211">
        <v>2250013</v>
      </c>
      <c r="H35" s="211">
        <v>1044530.1800000004</v>
      </c>
      <c r="I35" s="211">
        <v>1044530.1800000004</v>
      </c>
      <c r="J35" s="229"/>
      <c r="K35" s="229"/>
      <c r="L35" s="229"/>
    </row>
    <row r="36" spans="2:12" x14ac:dyDescent="0.25">
      <c r="B36" s="223" t="s">
        <v>204</v>
      </c>
      <c r="C36" s="211">
        <v>55777914.089999996</v>
      </c>
      <c r="D36" s="210">
        <v>0.10857595567670135</v>
      </c>
      <c r="E36" s="211">
        <v>18594809.289999999</v>
      </c>
      <c r="F36" s="211">
        <v>32844031.440000001</v>
      </c>
      <c r="G36" s="211">
        <v>2250013</v>
      </c>
      <c r="H36" s="211">
        <v>1044530.1800000004</v>
      </c>
      <c r="I36" s="211">
        <v>1044530.1800000004</v>
      </c>
      <c r="J36" s="229"/>
      <c r="K36" s="229"/>
      <c r="L36" s="229"/>
    </row>
    <row r="37" spans="2:12" x14ac:dyDescent="0.25">
      <c r="B37" s="223" t="s">
        <v>2491</v>
      </c>
      <c r="C37" s="211">
        <v>1294920</v>
      </c>
      <c r="D37" s="210">
        <v>2.5206603512998834E-3</v>
      </c>
      <c r="E37" s="211">
        <v>1294920</v>
      </c>
      <c r="F37" s="211">
        <v>0</v>
      </c>
      <c r="G37" s="211">
        <v>0</v>
      </c>
      <c r="H37" s="211">
        <v>0</v>
      </c>
      <c r="I37" s="211">
        <v>0</v>
      </c>
      <c r="J37" s="229"/>
      <c r="K37" s="229"/>
      <c r="L37" s="229"/>
    </row>
    <row r="38" spans="2:12" x14ac:dyDescent="0.25">
      <c r="B38" s="223" t="s">
        <v>2668</v>
      </c>
      <c r="C38" s="211">
        <v>35230641</v>
      </c>
      <c r="D38" s="210">
        <v>6.8579124517020418E-2</v>
      </c>
      <c r="E38" s="211">
        <v>19650285</v>
      </c>
      <c r="F38" s="211">
        <v>15580356</v>
      </c>
      <c r="G38" s="211">
        <v>0</v>
      </c>
      <c r="H38" s="211">
        <v>0</v>
      </c>
      <c r="I38" s="211">
        <v>0</v>
      </c>
      <c r="J38" s="229"/>
      <c r="K38" s="229"/>
      <c r="L38" s="229"/>
    </row>
    <row r="39" spans="2:12" x14ac:dyDescent="0.25">
      <c r="B39" s="223" t="s">
        <v>200</v>
      </c>
      <c r="C39" s="211">
        <v>1228495</v>
      </c>
      <c r="D39" s="210">
        <v>2.3913590324268299E-3</v>
      </c>
      <c r="E39" s="211">
        <v>588923</v>
      </c>
      <c r="F39" s="211">
        <v>639572</v>
      </c>
      <c r="G39" s="211">
        <v>0</v>
      </c>
      <c r="H39" s="211">
        <v>0</v>
      </c>
      <c r="I39" s="211">
        <v>0</v>
      </c>
      <c r="J39" s="229"/>
      <c r="K39" s="229"/>
      <c r="L39" s="229"/>
    </row>
    <row r="40" spans="2:12" x14ac:dyDescent="0.25">
      <c r="B40" s="223" t="s">
        <v>202</v>
      </c>
      <c r="C40" s="211">
        <v>19903996</v>
      </c>
      <c r="D40" s="210">
        <v>3.8744643336755535E-2</v>
      </c>
      <c r="E40" s="211">
        <v>7692710</v>
      </c>
      <c r="F40" s="211">
        <v>12211286</v>
      </c>
      <c r="G40" s="211">
        <v>0</v>
      </c>
      <c r="H40" s="211">
        <v>0</v>
      </c>
      <c r="I40" s="211">
        <v>0</v>
      </c>
      <c r="J40" s="229"/>
      <c r="K40" s="229"/>
      <c r="L40" s="229"/>
    </row>
    <row r="41" spans="2:12" x14ac:dyDescent="0.25">
      <c r="B41" s="223" t="s">
        <v>201</v>
      </c>
      <c r="C41" s="211">
        <v>14098150</v>
      </c>
      <c r="D41" s="210">
        <v>2.7443122147838055E-2</v>
      </c>
      <c r="E41" s="211">
        <v>11368652</v>
      </c>
      <c r="F41" s="211">
        <v>2729498</v>
      </c>
      <c r="G41" s="211">
        <v>0</v>
      </c>
      <c r="H41" s="211">
        <v>0</v>
      </c>
      <c r="I41" s="211">
        <v>0</v>
      </c>
      <c r="J41" s="229"/>
      <c r="K41" s="229"/>
      <c r="L41" s="229"/>
    </row>
    <row r="42" spans="2:12" x14ac:dyDescent="0.25">
      <c r="B42" s="223" t="s">
        <v>141</v>
      </c>
      <c r="C42" s="211">
        <v>513722524.86624014</v>
      </c>
      <c r="D42" s="210">
        <v>1</v>
      </c>
      <c r="E42" s="211">
        <v>147536826.19378707</v>
      </c>
      <c r="F42" s="211">
        <v>183057026.53979209</v>
      </c>
      <c r="G42" s="211">
        <v>71829272.792660892</v>
      </c>
      <c r="H42" s="211">
        <v>55649699.670000009</v>
      </c>
      <c r="I42" s="211">
        <v>55649699.670000009</v>
      </c>
      <c r="J42" s="229"/>
      <c r="K42" s="229"/>
      <c r="L42" s="229"/>
    </row>
    <row r="43" spans="2:12" x14ac:dyDescent="0.25">
      <c r="C43"/>
      <c r="F43" s="229"/>
      <c r="G43" s="229"/>
      <c r="H43" s="229"/>
      <c r="I43" s="229"/>
      <c r="J43" s="229"/>
      <c r="K43" s="229"/>
      <c r="L43" s="229"/>
    </row>
    <row r="44" spans="2:12" x14ac:dyDescent="0.25">
      <c r="C44"/>
    </row>
    <row r="45" spans="2:12" ht="25.85" x14ac:dyDescent="0.45">
      <c r="B45" s="1273" t="s">
        <v>2678</v>
      </c>
      <c r="C45"/>
    </row>
    <row r="46" spans="2:12" x14ac:dyDescent="0.25">
      <c r="C46"/>
    </row>
    <row r="47" spans="2:12" hidden="1" x14ac:dyDescent="0.25">
      <c r="B47" s="193" t="s">
        <v>2677</v>
      </c>
      <c r="C47" s="193" t="s">
        <v>144</v>
      </c>
      <c r="E47"/>
    </row>
    <row r="48" spans="2:12" ht="44.5" customHeight="1" x14ac:dyDescent="0.25">
      <c r="B48" s="330" t="s">
        <v>2681</v>
      </c>
      <c r="C48" s="214" t="s">
        <v>2617</v>
      </c>
      <c r="D48" s="214" t="s">
        <v>2202</v>
      </c>
      <c r="E48" s="214" t="s">
        <v>2200</v>
      </c>
      <c r="F48" s="214" t="s">
        <v>2199</v>
      </c>
      <c r="G48" s="214" t="s">
        <v>2201</v>
      </c>
      <c r="H48" s="287" t="s">
        <v>141</v>
      </c>
    </row>
    <row r="49" spans="2:8" x14ac:dyDescent="0.25">
      <c r="B49" s="223" t="s">
        <v>2398</v>
      </c>
      <c r="C49" s="211">
        <v>14736784.859999999</v>
      </c>
      <c r="D49" s="211">
        <v>36889578.469999999</v>
      </c>
      <c r="E49" s="211">
        <v>26608676.520000003</v>
      </c>
      <c r="F49" s="211">
        <v>48201042.910000004</v>
      </c>
      <c r="G49" s="211"/>
      <c r="H49" s="211">
        <v>126436082.76000002</v>
      </c>
    </row>
    <row r="50" spans="2:8" x14ac:dyDescent="0.25">
      <c r="B50" s="195" t="s">
        <v>2617</v>
      </c>
      <c r="C50" s="211">
        <v>14736784.859999999</v>
      </c>
      <c r="D50" s="211"/>
      <c r="E50" s="211"/>
      <c r="F50" s="211"/>
      <c r="G50" s="211"/>
      <c r="H50" s="211">
        <v>14736784.859999999</v>
      </c>
    </row>
    <row r="51" spans="2:8" x14ac:dyDescent="0.25">
      <c r="B51" s="195" t="s">
        <v>2618</v>
      </c>
      <c r="C51" s="211"/>
      <c r="D51" s="211">
        <v>17038511.469999999</v>
      </c>
      <c r="E51" s="211">
        <v>4137884</v>
      </c>
      <c r="F51" s="211">
        <v>15234382</v>
      </c>
      <c r="G51" s="211"/>
      <c r="H51" s="211">
        <v>36410777.469999999</v>
      </c>
    </row>
    <row r="52" spans="2:8" x14ac:dyDescent="0.25">
      <c r="B52" s="195" t="s">
        <v>2420</v>
      </c>
      <c r="C52" s="211"/>
      <c r="D52" s="211">
        <v>17902367.000000004</v>
      </c>
      <c r="E52" s="211">
        <v>12495944.640000001</v>
      </c>
      <c r="F52" s="211">
        <v>29213103.910000004</v>
      </c>
      <c r="G52" s="211"/>
      <c r="H52" s="211">
        <v>59611415.550000012</v>
      </c>
    </row>
    <row r="53" spans="2:8" x14ac:dyDescent="0.25">
      <c r="B53" s="195" t="s">
        <v>2478</v>
      </c>
      <c r="C53" s="211"/>
      <c r="D53" s="211"/>
      <c r="E53" s="211">
        <v>256478</v>
      </c>
      <c r="F53" s="211">
        <v>3753557</v>
      </c>
      <c r="G53" s="211"/>
      <c r="H53" s="211">
        <v>4010035</v>
      </c>
    </row>
    <row r="54" spans="2:8" x14ac:dyDescent="0.25">
      <c r="B54" s="195" t="s">
        <v>2441</v>
      </c>
      <c r="C54" s="211"/>
      <c r="D54" s="211">
        <v>1948700</v>
      </c>
      <c r="E54" s="211">
        <v>8274626.8800000027</v>
      </c>
      <c r="F54" s="211"/>
      <c r="G54" s="211"/>
      <c r="H54" s="211">
        <v>10223326.880000003</v>
      </c>
    </row>
    <row r="55" spans="2:8" x14ac:dyDescent="0.25">
      <c r="B55" s="195" t="s">
        <v>2566</v>
      </c>
      <c r="C55" s="211"/>
      <c r="D55" s="211"/>
      <c r="E55" s="211">
        <v>892908</v>
      </c>
      <c r="F55" s="211"/>
      <c r="G55" s="211"/>
      <c r="H55" s="211">
        <v>892908</v>
      </c>
    </row>
    <row r="56" spans="2:8" x14ac:dyDescent="0.25">
      <c r="B56" s="195" t="s">
        <v>2535</v>
      </c>
      <c r="C56" s="211"/>
      <c r="D56" s="211"/>
      <c r="E56" s="211">
        <v>550835</v>
      </c>
      <c r="F56" s="211"/>
      <c r="G56" s="211"/>
      <c r="H56" s="211">
        <v>550835</v>
      </c>
    </row>
    <row r="57" spans="2:8" x14ac:dyDescent="0.25">
      <c r="B57" s="223" t="s">
        <v>2393</v>
      </c>
      <c r="C57" s="211">
        <v>39399509.020000003</v>
      </c>
      <c r="D57" s="211">
        <v>16865451.640000001</v>
      </c>
      <c r="E57" s="211">
        <v>9538001.7200000007</v>
      </c>
      <c r="F57" s="211">
        <v>15717464.379999999</v>
      </c>
      <c r="G57" s="211"/>
      <c r="H57" s="211">
        <v>81520426.75999999</v>
      </c>
    </row>
    <row r="58" spans="2:8" x14ac:dyDescent="0.25">
      <c r="B58" s="195" t="s">
        <v>2617</v>
      </c>
      <c r="C58" s="211">
        <v>39399509.020000003</v>
      </c>
      <c r="D58" s="211"/>
      <c r="E58" s="211"/>
      <c r="F58" s="211"/>
      <c r="G58" s="211"/>
      <c r="H58" s="211">
        <v>39399509.020000003</v>
      </c>
    </row>
    <row r="59" spans="2:8" x14ac:dyDescent="0.25">
      <c r="B59" s="195" t="s">
        <v>2618</v>
      </c>
      <c r="C59" s="211"/>
      <c r="D59" s="211">
        <v>12890954.08</v>
      </c>
      <c r="E59" s="211">
        <v>5410419</v>
      </c>
      <c r="F59" s="211">
        <v>15717464.379999999</v>
      </c>
      <c r="G59" s="211"/>
      <c r="H59" s="211">
        <v>34018837.459999993</v>
      </c>
    </row>
    <row r="60" spans="2:8" x14ac:dyDescent="0.25">
      <c r="B60" s="195" t="s">
        <v>2420</v>
      </c>
      <c r="C60" s="211"/>
      <c r="D60" s="211">
        <v>3974497.5600000005</v>
      </c>
      <c r="E60" s="211"/>
      <c r="F60" s="211"/>
      <c r="G60" s="211"/>
      <c r="H60" s="211">
        <v>3974497.5600000005</v>
      </c>
    </row>
    <row r="61" spans="2:8" x14ac:dyDescent="0.25">
      <c r="B61" s="195" t="s">
        <v>2441</v>
      </c>
      <c r="C61" s="211"/>
      <c r="D61" s="211"/>
      <c r="E61" s="211">
        <v>4127582.7200000007</v>
      </c>
      <c r="F61" s="211"/>
      <c r="G61" s="211"/>
      <c r="H61" s="211">
        <v>4127582.7200000007</v>
      </c>
    </row>
    <row r="62" spans="2:8" x14ac:dyDescent="0.25">
      <c r="B62" s="223" t="s">
        <v>2388</v>
      </c>
      <c r="C62" s="211">
        <v>120686298.95</v>
      </c>
      <c r="D62" s="211">
        <v>104274350.66693532</v>
      </c>
      <c r="E62" s="211">
        <v>55735566.312653549</v>
      </c>
      <c r="F62" s="211">
        <v>14194444.549018858</v>
      </c>
      <c r="G62" s="211">
        <v>10875354.867632309</v>
      </c>
      <c r="H62" s="211">
        <v>305766015.34624004</v>
      </c>
    </row>
    <row r="63" spans="2:8" x14ac:dyDescent="0.25">
      <c r="B63" s="195" t="s">
        <v>2617</v>
      </c>
      <c r="C63" s="211">
        <v>120686298.95</v>
      </c>
      <c r="D63" s="211"/>
      <c r="E63" s="211"/>
      <c r="F63" s="211"/>
      <c r="G63" s="211"/>
      <c r="H63" s="211">
        <v>120686298.95</v>
      </c>
    </row>
    <row r="64" spans="2:8" x14ac:dyDescent="0.25">
      <c r="B64" s="195" t="s">
        <v>2618</v>
      </c>
      <c r="C64" s="211"/>
      <c r="D64" s="211">
        <v>36774385</v>
      </c>
      <c r="E64" s="211">
        <v>7512450.7300000004</v>
      </c>
      <c r="F64" s="211"/>
      <c r="G64" s="211">
        <v>1706721</v>
      </c>
      <c r="H64" s="211">
        <v>45993556.730000004</v>
      </c>
    </row>
    <row r="65" spans="2:8" x14ac:dyDescent="0.25">
      <c r="B65" s="195" t="s">
        <v>2420</v>
      </c>
      <c r="C65" s="211"/>
      <c r="D65" s="211">
        <v>24377883.133660629</v>
      </c>
      <c r="E65" s="211">
        <v>1883771.01318413</v>
      </c>
      <c r="F65" s="211">
        <v>1884846.4744418031</v>
      </c>
      <c r="G65" s="211">
        <v>1655659.378713435</v>
      </c>
      <c r="H65" s="211">
        <v>29802160</v>
      </c>
    </row>
    <row r="66" spans="2:8" x14ac:dyDescent="0.25">
      <c r="B66" s="195" t="s">
        <v>2478</v>
      </c>
      <c r="C66" s="211"/>
      <c r="D66" s="211">
        <v>15413534.25942478</v>
      </c>
      <c r="E66" s="211">
        <v>17543571.403773598</v>
      </c>
      <c r="F66" s="211">
        <v>5646948.6964072697</v>
      </c>
      <c r="G66" s="211">
        <v>4960310.4003943587</v>
      </c>
      <c r="H66" s="211">
        <v>43564364.760000005</v>
      </c>
    </row>
    <row r="67" spans="2:8" x14ac:dyDescent="0.25">
      <c r="B67" s="195" t="s">
        <v>2441</v>
      </c>
      <c r="C67" s="211"/>
      <c r="D67" s="211"/>
      <c r="E67" s="211">
        <v>12391429</v>
      </c>
      <c r="F67" s="211"/>
      <c r="G67" s="211"/>
      <c r="H67" s="211">
        <v>12391429</v>
      </c>
    </row>
    <row r="68" spans="2:8" x14ac:dyDescent="0.25">
      <c r="B68" s="195" t="s">
        <v>2622</v>
      </c>
      <c r="C68" s="211"/>
      <c r="D68" s="211">
        <v>7932079.2738499204</v>
      </c>
      <c r="E68" s="211">
        <v>2904362.2594557852</v>
      </c>
      <c r="F68" s="211">
        <v>2906020.3781697853</v>
      </c>
      <c r="G68" s="211">
        <v>2552664.0885245148</v>
      </c>
      <c r="H68" s="211">
        <v>16295126.000000006</v>
      </c>
    </row>
    <row r="69" spans="2:8" x14ac:dyDescent="0.25">
      <c r="B69" s="195" t="s">
        <v>2619</v>
      </c>
      <c r="C69" s="211"/>
      <c r="D69" s="211">
        <v>19776469</v>
      </c>
      <c r="E69" s="211">
        <v>13499981.906240039</v>
      </c>
      <c r="F69" s="211">
        <v>3756629</v>
      </c>
      <c r="G69" s="211"/>
      <c r="H69" s="211">
        <v>37033079.906240039</v>
      </c>
    </row>
    <row r="70" spans="2:8" x14ac:dyDescent="0.25">
      <c r="B70" s="223" t="s">
        <v>141</v>
      </c>
      <c r="C70" s="211">
        <v>174822592.83000001</v>
      </c>
      <c r="D70" s="211">
        <v>158029380.77693534</v>
      </c>
      <c r="E70" s="211">
        <v>91882244.552653551</v>
      </c>
      <c r="F70" s="211">
        <v>78112951.839018866</v>
      </c>
      <c r="G70" s="211">
        <v>10875354.867632309</v>
      </c>
      <c r="H70" s="211">
        <v>513722524.86624008</v>
      </c>
    </row>
    <row r="71" spans="2:8" x14ac:dyDescent="0.25">
      <c r="B71"/>
      <c r="C71"/>
      <c r="E71"/>
    </row>
    <row r="72" spans="2:8" x14ac:dyDescent="0.25">
      <c r="B72"/>
      <c r="C72"/>
      <c r="E72"/>
    </row>
    <row r="73" spans="2:8" x14ac:dyDescent="0.25">
      <c r="B73"/>
      <c r="C73"/>
      <c r="E73"/>
    </row>
    <row r="74" spans="2:8" ht="25.85" x14ac:dyDescent="0.45">
      <c r="B74" s="1273" t="s">
        <v>2680</v>
      </c>
      <c r="C74"/>
      <c r="E74"/>
    </row>
    <row r="75" spans="2:8" x14ac:dyDescent="0.25">
      <c r="B75"/>
      <c r="C75"/>
      <c r="E75"/>
    </row>
    <row r="76" spans="2:8" hidden="1" x14ac:dyDescent="0.25">
      <c r="B76" s="193" t="s">
        <v>2677</v>
      </c>
      <c r="C76" s="193" t="s">
        <v>144</v>
      </c>
      <c r="E76"/>
    </row>
    <row r="77" spans="2:8" ht="31.25" x14ac:dyDescent="0.25">
      <c r="B77" s="330" t="s">
        <v>2679</v>
      </c>
      <c r="C77" s="214" t="s">
        <v>2617</v>
      </c>
      <c r="D77" s="214" t="s">
        <v>2202</v>
      </c>
      <c r="E77" s="214" t="s">
        <v>2200</v>
      </c>
      <c r="F77" s="214" t="s">
        <v>2199</v>
      </c>
      <c r="G77" s="214" t="s">
        <v>2201</v>
      </c>
      <c r="H77" s="287" t="s">
        <v>141</v>
      </c>
    </row>
    <row r="78" spans="2:8" x14ac:dyDescent="0.25">
      <c r="B78" s="223" t="s">
        <v>2398</v>
      </c>
      <c r="C78" s="211">
        <v>14736784.859999999</v>
      </c>
      <c r="D78" s="211">
        <v>36889578.469999999</v>
      </c>
      <c r="E78" s="211">
        <v>26608676.520000003</v>
      </c>
      <c r="F78" s="211">
        <v>48201042.910000004</v>
      </c>
      <c r="G78" s="211"/>
      <c r="H78" s="211">
        <v>126436082.76000002</v>
      </c>
    </row>
    <row r="79" spans="2:8" x14ac:dyDescent="0.25">
      <c r="B79" s="195" t="s">
        <v>2669</v>
      </c>
      <c r="C79" s="211">
        <v>14736784.859999999</v>
      </c>
      <c r="D79" s="211">
        <v>17902367</v>
      </c>
      <c r="E79" s="211">
        <v>12752422.640000001</v>
      </c>
      <c r="F79" s="211">
        <v>33247630.910000004</v>
      </c>
      <c r="G79" s="211"/>
      <c r="H79" s="211">
        <v>78639205.409999996</v>
      </c>
    </row>
    <row r="80" spans="2:8" x14ac:dyDescent="0.25">
      <c r="B80" s="414" t="s">
        <v>194</v>
      </c>
      <c r="C80" s="211"/>
      <c r="D80" s="211">
        <v>14747459</v>
      </c>
      <c r="E80" s="211">
        <v>12345876.640000001</v>
      </c>
      <c r="F80" s="211">
        <v>25238263.910000004</v>
      </c>
      <c r="G80" s="211"/>
      <c r="H80" s="211">
        <v>52331599.550000004</v>
      </c>
    </row>
    <row r="81" spans="2:8" x14ac:dyDescent="0.25">
      <c r="B81" s="414" t="s">
        <v>196</v>
      </c>
      <c r="C81" s="211">
        <v>14736784.859999999</v>
      </c>
      <c r="D81" s="211">
        <v>3084000</v>
      </c>
      <c r="E81" s="211">
        <v>406546</v>
      </c>
      <c r="F81" s="211">
        <v>8009367</v>
      </c>
      <c r="G81" s="211"/>
      <c r="H81" s="211">
        <v>26236697.859999999</v>
      </c>
    </row>
    <row r="82" spans="2:8" x14ac:dyDescent="0.25">
      <c r="B82" s="414" t="s">
        <v>197</v>
      </c>
      <c r="C82" s="211"/>
      <c r="D82" s="211">
        <v>70908</v>
      </c>
      <c r="E82" s="211"/>
      <c r="F82" s="211"/>
      <c r="G82" s="211"/>
      <c r="H82" s="211">
        <v>70908</v>
      </c>
    </row>
    <row r="83" spans="2:8" x14ac:dyDescent="0.25">
      <c r="B83" s="195" t="s">
        <v>2667</v>
      </c>
      <c r="C83" s="211"/>
      <c r="D83" s="211">
        <v>14035499</v>
      </c>
      <c r="E83" s="211">
        <v>892908</v>
      </c>
      <c r="F83" s="211">
        <v>14953412</v>
      </c>
      <c r="G83" s="211"/>
      <c r="H83" s="211">
        <v>29881819</v>
      </c>
    </row>
    <row r="84" spans="2:8" x14ac:dyDescent="0.25">
      <c r="B84" s="414" t="s">
        <v>204</v>
      </c>
      <c r="C84" s="211"/>
      <c r="D84" s="211">
        <v>14035499</v>
      </c>
      <c r="E84" s="211">
        <v>892908</v>
      </c>
      <c r="F84" s="211">
        <v>14953412</v>
      </c>
      <c r="G84" s="211"/>
      <c r="H84" s="211">
        <v>29881819</v>
      </c>
    </row>
    <row r="85" spans="2:8" x14ac:dyDescent="0.25">
      <c r="B85" s="195" t="s">
        <v>2668</v>
      </c>
      <c r="C85" s="211"/>
      <c r="D85" s="211">
        <v>4951712.47</v>
      </c>
      <c r="E85" s="211">
        <v>12963345.880000003</v>
      </c>
      <c r="F85" s="211"/>
      <c r="G85" s="211"/>
      <c r="H85" s="211">
        <v>17915058.350000001</v>
      </c>
    </row>
    <row r="86" spans="2:8" x14ac:dyDescent="0.25">
      <c r="B86" s="414" t="s">
        <v>201</v>
      </c>
      <c r="C86" s="211"/>
      <c r="D86" s="211">
        <v>4451712.47</v>
      </c>
      <c r="E86" s="211">
        <v>10064717.880000003</v>
      </c>
      <c r="F86" s="211"/>
      <c r="G86" s="211"/>
      <c r="H86" s="211">
        <v>14516430.350000001</v>
      </c>
    </row>
    <row r="87" spans="2:8" x14ac:dyDescent="0.25">
      <c r="B87" s="414" t="s">
        <v>200</v>
      </c>
      <c r="C87" s="211"/>
      <c r="D87" s="211">
        <v>500000</v>
      </c>
      <c r="E87" s="211">
        <v>2347793</v>
      </c>
      <c r="F87" s="211"/>
      <c r="G87" s="211"/>
      <c r="H87" s="211">
        <v>2847793</v>
      </c>
    </row>
    <row r="88" spans="2:8" x14ac:dyDescent="0.25">
      <c r="B88" s="414" t="s">
        <v>202</v>
      </c>
      <c r="C88" s="211"/>
      <c r="D88" s="211"/>
      <c r="E88" s="211">
        <v>550835</v>
      </c>
      <c r="F88" s="211"/>
      <c r="G88" s="211"/>
      <c r="H88" s="211">
        <v>550835</v>
      </c>
    </row>
    <row r="89" spans="2:8" x14ac:dyDescent="0.25">
      <c r="B89" s="223" t="s">
        <v>2393</v>
      </c>
      <c r="C89" s="211">
        <v>39399509.020000003</v>
      </c>
      <c r="D89" s="211">
        <v>16865451.640000001</v>
      </c>
      <c r="E89" s="211">
        <v>9538001.7200000007</v>
      </c>
      <c r="F89" s="211">
        <v>15717464.379999999</v>
      </c>
      <c r="G89" s="211"/>
      <c r="H89" s="211">
        <v>81520426.760000005</v>
      </c>
    </row>
    <row r="90" spans="2:8" x14ac:dyDescent="0.25">
      <c r="B90" s="195" t="s">
        <v>2669</v>
      </c>
      <c r="C90" s="211">
        <v>39399509.020000003</v>
      </c>
      <c r="D90" s="211">
        <v>3974497.5600000005</v>
      </c>
      <c r="E90" s="211"/>
      <c r="F90" s="211"/>
      <c r="G90" s="211"/>
      <c r="H90" s="211">
        <v>43374006.580000006</v>
      </c>
    </row>
    <row r="91" spans="2:8" x14ac:dyDescent="0.25">
      <c r="B91" s="414" t="s">
        <v>196</v>
      </c>
      <c r="C91" s="211">
        <v>39399509.020000003</v>
      </c>
      <c r="D91" s="211">
        <v>3974497.5600000005</v>
      </c>
      <c r="E91" s="211"/>
      <c r="F91" s="211"/>
      <c r="G91" s="211"/>
      <c r="H91" s="211">
        <v>43374006.580000006</v>
      </c>
    </row>
    <row r="92" spans="2:8" x14ac:dyDescent="0.25">
      <c r="B92" s="195" t="s">
        <v>2667</v>
      </c>
      <c r="C92" s="211"/>
      <c r="D92" s="211">
        <v>6439099</v>
      </c>
      <c r="E92" s="211">
        <v>5038419</v>
      </c>
      <c r="F92" s="211">
        <v>15717464.379999999</v>
      </c>
      <c r="G92" s="211"/>
      <c r="H92" s="211">
        <v>27194982.379999999</v>
      </c>
    </row>
    <row r="93" spans="2:8" x14ac:dyDescent="0.25">
      <c r="B93" s="414" t="s">
        <v>204</v>
      </c>
      <c r="C93" s="211"/>
      <c r="D93" s="211">
        <v>6439099</v>
      </c>
      <c r="E93" s="211">
        <v>5038419</v>
      </c>
      <c r="F93" s="211">
        <v>15717464.379999999</v>
      </c>
      <c r="G93" s="211"/>
      <c r="H93" s="211">
        <v>27194982.379999999</v>
      </c>
    </row>
    <row r="94" spans="2:8" x14ac:dyDescent="0.25">
      <c r="B94" s="195" t="s">
        <v>2668</v>
      </c>
      <c r="C94" s="211"/>
      <c r="D94" s="211">
        <v>6451855.0800000001</v>
      </c>
      <c r="E94" s="211">
        <v>4499582.7200000007</v>
      </c>
      <c r="F94" s="211"/>
      <c r="G94" s="211"/>
      <c r="H94" s="211">
        <v>10951437.800000001</v>
      </c>
    </row>
    <row r="95" spans="2:8" x14ac:dyDescent="0.25">
      <c r="B95" s="414" t="s">
        <v>201</v>
      </c>
      <c r="C95" s="211"/>
      <c r="D95" s="211">
        <v>6079855.0800000001</v>
      </c>
      <c r="E95" s="211">
        <v>4127582.7200000007</v>
      </c>
      <c r="F95" s="211"/>
      <c r="G95" s="211"/>
      <c r="H95" s="211">
        <v>10207437.800000001</v>
      </c>
    </row>
    <row r="96" spans="2:8" x14ac:dyDescent="0.25">
      <c r="B96" s="414" t="s">
        <v>200</v>
      </c>
      <c r="C96" s="211"/>
      <c r="D96" s="211">
        <v>372000</v>
      </c>
      <c r="E96" s="211">
        <v>372000</v>
      </c>
      <c r="F96" s="211"/>
      <c r="G96" s="211"/>
      <c r="H96" s="211">
        <v>744000</v>
      </c>
    </row>
    <row r="97" spans="2:8" x14ac:dyDescent="0.25">
      <c r="B97" s="223" t="s">
        <v>2388</v>
      </c>
      <c r="C97" s="211">
        <v>120686298.95</v>
      </c>
      <c r="D97" s="211">
        <v>104274350.66693532</v>
      </c>
      <c r="E97" s="211">
        <v>55735566.312653556</v>
      </c>
      <c r="F97" s="211">
        <v>14194444.549018858</v>
      </c>
      <c r="G97" s="211">
        <v>10875354.867632307</v>
      </c>
      <c r="H97" s="211">
        <v>305766015.34624004</v>
      </c>
    </row>
    <row r="98" spans="2:8" x14ac:dyDescent="0.25">
      <c r="B98" s="195" t="s">
        <v>2669</v>
      </c>
      <c r="C98" s="211">
        <v>86767809.590000004</v>
      </c>
      <c r="D98" s="211">
        <v>67499965.666935325</v>
      </c>
      <c r="E98" s="211">
        <v>35831686.582653552</v>
      </c>
      <c r="F98" s="211">
        <v>14194444.549018858</v>
      </c>
      <c r="G98" s="211">
        <v>9168633.8676323071</v>
      </c>
      <c r="H98" s="211">
        <v>213462540.25624004</v>
      </c>
    </row>
    <row r="99" spans="2:8" x14ac:dyDescent="0.25">
      <c r="B99" s="414" t="s">
        <v>194</v>
      </c>
      <c r="C99" s="211"/>
      <c r="D99" s="211">
        <v>67499965.666935325</v>
      </c>
      <c r="E99" s="211">
        <v>35831686.582653552</v>
      </c>
      <c r="F99" s="211">
        <v>14194444.549018858</v>
      </c>
      <c r="G99" s="211">
        <v>9168633.8676323071</v>
      </c>
      <c r="H99" s="211">
        <v>126694730.66624004</v>
      </c>
    </row>
    <row r="100" spans="2:8" x14ac:dyDescent="0.25">
      <c r="B100" s="414" t="s">
        <v>196</v>
      </c>
      <c r="C100" s="211">
        <v>86767809.590000004</v>
      </c>
      <c r="D100" s="211"/>
      <c r="E100" s="211"/>
      <c r="F100" s="211"/>
      <c r="G100" s="211"/>
      <c r="H100" s="211">
        <v>86767809.590000004</v>
      </c>
    </row>
    <row r="101" spans="2:8" x14ac:dyDescent="0.25">
      <c r="B101" s="195" t="s">
        <v>2667</v>
      </c>
      <c r="C101" s="211">
        <v>29173822.359999999</v>
      </c>
      <c r="D101" s="211">
        <v>21615056</v>
      </c>
      <c r="E101" s="211">
        <v>6283955.7300000004</v>
      </c>
      <c r="F101" s="211"/>
      <c r="G101" s="211"/>
      <c r="H101" s="211">
        <v>57072834.090000004</v>
      </c>
    </row>
    <row r="102" spans="2:8" x14ac:dyDescent="0.25">
      <c r="B102" s="414" t="s">
        <v>204</v>
      </c>
      <c r="C102" s="211">
        <v>27878902.359999999</v>
      </c>
      <c r="D102" s="211">
        <v>21615056</v>
      </c>
      <c r="E102" s="211">
        <v>6283955.7300000004</v>
      </c>
      <c r="F102" s="211"/>
      <c r="G102" s="211"/>
      <c r="H102" s="211">
        <v>55777914.090000004</v>
      </c>
    </row>
    <row r="103" spans="2:8" x14ac:dyDescent="0.25">
      <c r="B103" s="414" t="s">
        <v>2491</v>
      </c>
      <c r="C103" s="211">
        <v>1294920</v>
      </c>
      <c r="D103" s="211"/>
      <c r="E103" s="211"/>
      <c r="F103" s="211"/>
      <c r="G103" s="211"/>
      <c r="H103" s="211">
        <v>1294920</v>
      </c>
    </row>
    <row r="104" spans="2:8" x14ac:dyDescent="0.25">
      <c r="B104" s="195" t="s">
        <v>2668</v>
      </c>
      <c r="C104" s="211">
        <v>4744667</v>
      </c>
      <c r="D104" s="211">
        <v>15159329</v>
      </c>
      <c r="E104" s="211">
        <v>13619924</v>
      </c>
      <c r="F104" s="211"/>
      <c r="G104" s="211">
        <v>1706721</v>
      </c>
      <c r="H104" s="211">
        <v>35230641</v>
      </c>
    </row>
    <row r="105" spans="2:8" x14ac:dyDescent="0.25">
      <c r="B105" s="414" t="s">
        <v>202</v>
      </c>
      <c r="C105" s="211">
        <v>4744667</v>
      </c>
      <c r="D105" s="211">
        <v>15159329</v>
      </c>
      <c r="E105" s="211"/>
      <c r="F105" s="211"/>
      <c r="G105" s="211"/>
      <c r="H105" s="211">
        <v>19903996</v>
      </c>
    </row>
    <row r="106" spans="2:8" x14ac:dyDescent="0.25">
      <c r="B106" s="414" t="s">
        <v>201</v>
      </c>
      <c r="C106" s="211"/>
      <c r="D106" s="211"/>
      <c r="E106" s="211">
        <v>12391429</v>
      </c>
      <c r="F106" s="211"/>
      <c r="G106" s="211">
        <v>1706721</v>
      </c>
      <c r="H106" s="211">
        <v>14098150</v>
      </c>
    </row>
    <row r="107" spans="2:8" x14ac:dyDescent="0.25">
      <c r="B107" s="414" t="s">
        <v>200</v>
      </c>
      <c r="C107" s="211"/>
      <c r="D107" s="211"/>
      <c r="E107" s="211">
        <v>1228495</v>
      </c>
      <c r="F107" s="211"/>
      <c r="G107" s="211"/>
      <c r="H107" s="211">
        <v>1228495</v>
      </c>
    </row>
    <row r="108" spans="2:8" x14ac:dyDescent="0.25">
      <c r="B108" s="223" t="s">
        <v>141</v>
      </c>
      <c r="C108" s="211">
        <v>174822592.83000001</v>
      </c>
      <c r="D108" s="211">
        <v>158029380.77693534</v>
      </c>
      <c r="E108" s="211">
        <v>91882244.552653551</v>
      </c>
      <c r="F108" s="211">
        <v>78112951.839018866</v>
      </c>
      <c r="G108" s="211">
        <v>10875354.867632307</v>
      </c>
      <c r="H108" s="211">
        <v>513722524.86624008</v>
      </c>
    </row>
    <row r="109" spans="2:8" x14ac:dyDescent="0.25">
      <c r="B109"/>
      <c r="C109"/>
      <c r="E109"/>
    </row>
    <row r="110" spans="2:8" x14ac:dyDescent="0.25">
      <c r="B110"/>
      <c r="C110"/>
      <c r="E110"/>
    </row>
    <row r="111" spans="2:8" ht="25.85" x14ac:dyDescent="0.45">
      <c r="B111" s="1273" t="s">
        <v>2682</v>
      </c>
      <c r="C111"/>
      <c r="E111"/>
    </row>
    <row r="112" spans="2:8" x14ac:dyDescent="0.25">
      <c r="B112"/>
      <c r="C112"/>
      <c r="E112"/>
    </row>
    <row r="113" spans="2:9" x14ac:dyDescent="0.25">
      <c r="B113" s="193" t="s">
        <v>2683</v>
      </c>
      <c r="C113" s="983" t="s">
        <v>2677</v>
      </c>
      <c r="D113" s="287" t="s">
        <v>89</v>
      </c>
      <c r="E113" s="287" t="s">
        <v>2672</v>
      </c>
      <c r="F113" s="287" t="s">
        <v>2673</v>
      </c>
      <c r="G113" s="287" t="s">
        <v>2674</v>
      </c>
      <c r="H113" s="287" t="s">
        <v>2675</v>
      </c>
      <c r="I113" s="287" t="s">
        <v>2676</v>
      </c>
    </row>
    <row r="114" spans="2:9" x14ac:dyDescent="0.25">
      <c r="B114" s="209" t="s">
        <v>2669</v>
      </c>
      <c r="C114" s="211">
        <v>335475752.24624002</v>
      </c>
      <c r="D114" s="210">
        <v>0.65302908867698406</v>
      </c>
      <c r="E114" s="211">
        <v>86446357.903787062</v>
      </c>
      <c r="F114" s="211">
        <v>110026221.09979209</v>
      </c>
      <c r="G114" s="211">
        <v>57420381.792660892</v>
      </c>
      <c r="H114" s="211">
        <v>40791395.725000001</v>
      </c>
      <c r="I114" s="211">
        <v>40791395.725000001</v>
      </c>
    </row>
    <row r="115" spans="2:9" x14ac:dyDescent="0.25">
      <c r="B115" s="195" t="s">
        <v>196</v>
      </c>
      <c r="C115" s="211">
        <v>156378514.03</v>
      </c>
      <c r="D115" s="210">
        <v>0.30440268133213916</v>
      </c>
      <c r="E115" s="211">
        <v>34614221</v>
      </c>
      <c r="F115" s="211">
        <v>54065801</v>
      </c>
      <c r="G115" s="211">
        <v>7606120.3899999997</v>
      </c>
      <c r="H115" s="211">
        <v>30046185.82</v>
      </c>
      <c r="I115" s="211">
        <v>30046185.82</v>
      </c>
    </row>
    <row r="116" spans="2:9" x14ac:dyDescent="0.25">
      <c r="B116" s="195" t="s">
        <v>194</v>
      </c>
      <c r="C116" s="211">
        <v>179026330.21624005</v>
      </c>
      <c r="D116" s="210">
        <v>0.34848837952521905</v>
      </c>
      <c r="E116" s="211">
        <v>51761228.903787062</v>
      </c>
      <c r="F116" s="211">
        <v>55960420.099792086</v>
      </c>
      <c r="G116" s="211">
        <v>49814261.402660891</v>
      </c>
      <c r="H116" s="211">
        <v>10745209.904999999</v>
      </c>
      <c r="I116" s="211">
        <v>10745209.904999999</v>
      </c>
    </row>
    <row r="117" spans="2:9" x14ac:dyDescent="0.25">
      <c r="B117" s="195" t="s">
        <v>197</v>
      </c>
      <c r="C117" s="211">
        <v>70908</v>
      </c>
      <c r="D117" s="210">
        <v>1.3802781962590134E-4</v>
      </c>
      <c r="E117" s="211">
        <v>70908</v>
      </c>
      <c r="F117" s="211">
        <v>0</v>
      </c>
      <c r="G117" s="211">
        <v>0</v>
      </c>
      <c r="H117" s="211">
        <v>0</v>
      </c>
      <c r="I117" s="211">
        <v>0</v>
      </c>
    </row>
    <row r="118" spans="2:9" x14ac:dyDescent="0.25">
      <c r="B118" s="209" t="s">
        <v>2667</v>
      </c>
      <c r="C118" s="211">
        <v>114149635.47</v>
      </c>
      <c r="D118" s="210">
        <v>0.22220095468798373</v>
      </c>
      <c r="E118" s="211">
        <v>33127927.289999999</v>
      </c>
      <c r="F118" s="211">
        <v>46515269.439999998</v>
      </c>
      <c r="G118" s="211">
        <v>12831259</v>
      </c>
      <c r="H118" s="211">
        <v>10837589.870000001</v>
      </c>
      <c r="I118" s="211">
        <v>10837589.870000001</v>
      </c>
    </row>
    <row r="119" spans="2:9" x14ac:dyDescent="0.25">
      <c r="B119" s="195" t="s">
        <v>204</v>
      </c>
      <c r="C119" s="211">
        <v>112854715.47</v>
      </c>
      <c r="D119" s="210">
        <v>0.21968029433668385</v>
      </c>
      <c r="E119" s="211">
        <v>31833007.289999999</v>
      </c>
      <c r="F119" s="211">
        <v>46515269.439999998</v>
      </c>
      <c r="G119" s="211">
        <v>12831259</v>
      </c>
      <c r="H119" s="211">
        <v>10837589.870000001</v>
      </c>
      <c r="I119" s="211">
        <v>10837589.870000001</v>
      </c>
    </row>
    <row r="120" spans="2:9" x14ac:dyDescent="0.25">
      <c r="B120" s="195" t="s">
        <v>2491</v>
      </c>
      <c r="C120" s="211">
        <v>1294920</v>
      </c>
      <c r="D120" s="210">
        <v>2.5206603512998842E-3</v>
      </c>
      <c r="E120" s="211">
        <v>1294920</v>
      </c>
      <c r="F120" s="211">
        <v>0</v>
      </c>
      <c r="G120" s="211">
        <v>0</v>
      </c>
      <c r="H120" s="211">
        <v>0</v>
      </c>
      <c r="I120" s="211">
        <v>0</v>
      </c>
    </row>
    <row r="121" spans="2:9" x14ac:dyDescent="0.25">
      <c r="B121" s="209" t="s">
        <v>2668</v>
      </c>
      <c r="C121" s="211">
        <v>64097137.150000006</v>
      </c>
      <c r="D121" s="210">
        <v>0.12476995663503218</v>
      </c>
      <c r="E121" s="211">
        <v>27962541</v>
      </c>
      <c r="F121" s="211">
        <v>26515536</v>
      </c>
      <c r="G121" s="211">
        <v>1577632</v>
      </c>
      <c r="H121" s="211">
        <v>4020714.0750000016</v>
      </c>
      <c r="I121" s="211">
        <v>4020714.0750000016</v>
      </c>
    </row>
    <row r="122" spans="2:9" x14ac:dyDescent="0.25">
      <c r="B122" s="195" t="s">
        <v>201</v>
      </c>
      <c r="C122" s="211">
        <v>38822018.150000006</v>
      </c>
      <c r="D122" s="210">
        <v>7.5570013520641813E-2</v>
      </c>
      <c r="E122" s="211">
        <v>17930073</v>
      </c>
      <c r="F122" s="211">
        <v>12311885</v>
      </c>
      <c r="G122" s="211">
        <v>1282632</v>
      </c>
      <c r="H122" s="211">
        <v>3648714.0750000016</v>
      </c>
      <c r="I122" s="211">
        <v>3648714.0750000016</v>
      </c>
    </row>
    <row r="123" spans="2:9" x14ac:dyDescent="0.25">
      <c r="B123" s="195" t="s">
        <v>200</v>
      </c>
      <c r="C123" s="211">
        <v>4820288</v>
      </c>
      <c r="D123" s="210">
        <v>9.3830575197283352E-3</v>
      </c>
      <c r="E123" s="211">
        <v>1788923</v>
      </c>
      <c r="F123" s="211">
        <v>1992365</v>
      </c>
      <c r="G123" s="211">
        <v>295000</v>
      </c>
      <c r="H123" s="211">
        <v>372000</v>
      </c>
      <c r="I123" s="211">
        <v>372000</v>
      </c>
    </row>
    <row r="124" spans="2:9" x14ac:dyDescent="0.25">
      <c r="B124" s="195" t="s">
        <v>202</v>
      </c>
      <c r="C124" s="211">
        <v>20454831</v>
      </c>
      <c r="D124" s="210">
        <v>3.9816885594662031E-2</v>
      </c>
      <c r="E124" s="211">
        <v>8243545</v>
      </c>
      <c r="F124" s="211">
        <v>12211286</v>
      </c>
      <c r="G124" s="211">
        <v>0</v>
      </c>
      <c r="H124" s="211">
        <v>0</v>
      </c>
      <c r="I124" s="211">
        <v>0</v>
      </c>
    </row>
    <row r="125" spans="2:9" x14ac:dyDescent="0.25">
      <c r="B125" s="223" t="s">
        <v>141</v>
      </c>
      <c r="C125" s="211">
        <v>513722524.86624002</v>
      </c>
      <c r="D125" s="210">
        <v>1</v>
      </c>
      <c r="E125" s="211">
        <v>147536826.19378704</v>
      </c>
      <c r="F125" s="211">
        <v>183057026.53979209</v>
      </c>
      <c r="G125" s="211">
        <v>71829272.792660892</v>
      </c>
      <c r="H125" s="211">
        <v>55649699.670000002</v>
      </c>
      <c r="I125" s="211">
        <v>55649699.670000002</v>
      </c>
    </row>
    <row r="126" spans="2:9" x14ac:dyDescent="0.25">
      <c r="B126"/>
      <c r="C126"/>
      <c r="E126"/>
    </row>
    <row r="127" spans="2:9" x14ac:dyDescent="0.25">
      <c r="B127"/>
      <c r="C127"/>
      <c r="E127"/>
    </row>
    <row r="128" spans="2:9" ht="25.85" x14ac:dyDescent="0.45">
      <c r="B128" s="1274" t="s">
        <v>2684</v>
      </c>
      <c r="C128"/>
      <c r="E128"/>
    </row>
    <row r="129" spans="2:8" x14ac:dyDescent="0.25">
      <c r="B129"/>
      <c r="C129"/>
      <c r="E129"/>
    </row>
    <row r="130" spans="2:8" x14ac:dyDescent="0.25">
      <c r="C130" s="1269"/>
      <c r="D130" s="1269"/>
      <c r="E130" s="1269"/>
      <c r="F130" s="1269"/>
      <c r="G130" s="1269"/>
      <c r="H130" s="1269"/>
    </row>
    <row r="131" spans="2:8" hidden="1" x14ac:dyDescent="0.25">
      <c r="B131" s="193" t="s">
        <v>2677</v>
      </c>
      <c r="C131" s="193" t="s">
        <v>144</v>
      </c>
      <c r="E131"/>
    </row>
    <row r="132" spans="2:8" ht="31.25" x14ac:dyDescent="0.25">
      <c r="B132" s="193" t="s">
        <v>2679</v>
      </c>
      <c r="C132" s="214" t="s">
        <v>2617</v>
      </c>
      <c r="D132" s="214" t="s">
        <v>2202</v>
      </c>
      <c r="E132" s="214" t="s">
        <v>2200</v>
      </c>
      <c r="F132" s="214" t="s">
        <v>2199</v>
      </c>
      <c r="G132" s="214" t="s">
        <v>2201</v>
      </c>
      <c r="H132" s="287" t="s">
        <v>141</v>
      </c>
    </row>
    <row r="133" spans="2:8" x14ac:dyDescent="0.25">
      <c r="B133" s="209" t="s">
        <v>2669</v>
      </c>
      <c r="C133" s="211">
        <v>140904103.47</v>
      </c>
      <c r="D133" s="211">
        <v>89376830.226935327</v>
      </c>
      <c r="E133" s="211">
        <v>48584109.222653553</v>
      </c>
      <c r="F133" s="211">
        <v>47442075.459018856</v>
      </c>
      <c r="G133" s="211">
        <v>9168633.8676323071</v>
      </c>
      <c r="H133" s="211">
        <v>335475752.24624002</v>
      </c>
    </row>
    <row r="134" spans="2:8" x14ac:dyDescent="0.25">
      <c r="B134" s="195" t="s">
        <v>194</v>
      </c>
      <c r="C134" s="211"/>
      <c r="D134" s="211">
        <v>82247424.666935325</v>
      </c>
      <c r="E134" s="211">
        <v>48177563.222653553</v>
      </c>
      <c r="F134" s="211">
        <v>39432708.459018856</v>
      </c>
      <c r="G134" s="211">
        <v>9168633.8676323071</v>
      </c>
      <c r="H134" s="211">
        <v>179026330.21624002</v>
      </c>
    </row>
    <row r="135" spans="2:8" x14ac:dyDescent="0.25">
      <c r="B135" s="195" t="s">
        <v>196</v>
      </c>
      <c r="C135" s="211">
        <v>140904103.47</v>
      </c>
      <c r="D135" s="211">
        <v>7058497.5600000005</v>
      </c>
      <c r="E135" s="211">
        <v>406546</v>
      </c>
      <c r="F135" s="211">
        <v>8009367</v>
      </c>
      <c r="G135" s="211"/>
      <c r="H135" s="211">
        <v>156378514.03</v>
      </c>
    </row>
    <row r="136" spans="2:8" x14ac:dyDescent="0.25">
      <c r="B136" s="195" t="s">
        <v>197</v>
      </c>
      <c r="C136" s="211"/>
      <c r="D136" s="211">
        <v>70908</v>
      </c>
      <c r="E136" s="211"/>
      <c r="F136" s="211"/>
      <c r="G136" s="211"/>
      <c r="H136" s="211">
        <v>70908</v>
      </c>
    </row>
    <row r="137" spans="2:8" x14ac:dyDescent="0.25">
      <c r="B137" s="209" t="s">
        <v>2667</v>
      </c>
      <c r="C137" s="211">
        <v>29173822.359999999</v>
      </c>
      <c r="D137" s="211">
        <v>42089654</v>
      </c>
      <c r="E137" s="211">
        <v>12215282.73</v>
      </c>
      <c r="F137" s="211">
        <v>30670876.379999999</v>
      </c>
      <c r="G137" s="211"/>
      <c r="H137" s="211">
        <v>114149635.47</v>
      </c>
    </row>
    <row r="138" spans="2:8" x14ac:dyDescent="0.25">
      <c r="B138" s="195" t="s">
        <v>204</v>
      </c>
      <c r="C138" s="211">
        <v>27878902.359999999</v>
      </c>
      <c r="D138" s="211">
        <v>42089654</v>
      </c>
      <c r="E138" s="211">
        <v>12215282.73</v>
      </c>
      <c r="F138" s="211">
        <v>30670876.379999999</v>
      </c>
      <c r="G138" s="211"/>
      <c r="H138" s="211">
        <v>112854715.47</v>
      </c>
    </row>
    <row r="139" spans="2:8" x14ac:dyDescent="0.25">
      <c r="B139" s="195" t="s">
        <v>2491</v>
      </c>
      <c r="C139" s="211">
        <v>1294920</v>
      </c>
      <c r="D139" s="211"/>
      <c r="E139" s="211"/>
      <c r="F139" s="211"/>
      <c r="G139" s="211"/>
      <c r="H139" s="211">
        <v>1294920</v>
      </c>
    </row>
    <row r="140" spans="2:8" x14ac:dyDescent="0.25">
      <c r="B140" s="209" t="s">
        <v>2668</v>
      </c>
      <c r="C140" s="211">
        <v>4744667</v>
      </c>
      <c r="D140" s="211">
        <v>26562896.550000001</v>
      </c>
      <c r="E140" s="211">
        <v>31082852.600000001</v>
      </c>
      <c r="F140" s="211"/>
      <c r="G140" s="211">
        <v>1706721</v>
      </c>
      <c r="H140" s="211">
        <v>64097137.150000006</v>
      </c>
    </row>
    <row r="141" spans="2:8" x14ac:dyDescent="0.25">
      <c r="B141" s="195" t="s">
        <v>201</v>
      </c>
      <c r="C141" s="211"/>
      <c r="D141" s="211">
        <v>10531567.550000001</v>
      </c>
      <c r="E141" s="211">
        <v>26583729.600000001</v>
      </c>
      <c r="F141" s="211"/>
      <c r="G141" s="211">
        <v>1706721</v>
      </c>
      <c r="H141" s="211">
        <v>38822018.150000006</v>
      </c>
    </row>
    <row r="142" spans="2:8" x14ac:dyDescent="0.25">
      <c r="B142" s="195" t="s">
        <v>202</v>
      </c>
      <c r="C142" s="211">
        <v>4744667</v>
      </c>
      <c r="D142" s="211">
        <v>15159329</v>
      </c>
      <c r="E142" s="211">
        <v>550835</v>
      </c>
      <c r="F142" s="211"/>
      <c r="G142" s="211"/>
      <c r="H142" s="211">
        <v>20454831</v>
      </c>
    </row>
    <row r="143" spans="2:8" x14ac:dyDescent="0.25">
      <c r="B143" s="195" t="s">
        <v>200</v>
      </c>
      <c r="C143" s="211"/>
      <c r="D143" s="211">
        <v>872000</v>
      </c>
      <c r="E143" s="211">
        <v>3948288</v>
      </c>
      <c r="F143" s="211"/>
      <c r="G143" s="211"/>
      <c r="H143" s="211">
        <v>4820288</v>
      </c>
    </row>
    <row r="144" spans="2:8" x14ac:dyDescent="0.25">
      <c r="B144" s="223" t="s">
        <v>141</v>
      </c>
      <c r="C144" s="211">
        <v>174822592.82999998</v>
      </c>
      <c r="D144" s="211">
        <v>158029380.77693534</v>
      </c>
      <c r="E144" s="211">
        <v>91882244.552653551</v>
      </c>
      <c r="F144" s="211">
        <v>78112951.839018852</v>
      </c>
      <c r="G144" s="211">
        <v>10875354.867632307</v>
      </c>
      <c r="H144" s="211">
        <v>513722524.86624002</v>
      </c>
    </row>
    <row r="145" spans="2:9" x14ac:dyDescent="0.25">
      <c r="B145"/>
      <c r="C145"/>
      <c r="E145"/>
    </row>
    <row r="146" spans="2:9" x14ac:dyDescent="0.25">
      <c r="B146"/>
      <c r="C146"/>
      <c r="E146"/>
    </row>
    <row r="147" spans="2:9" x14ac:dyDescent="0.25">
      <c r="B147"/>
      <c r="C147"/>
      <c r="E147"/>
    </row>
    <row r="148" spans="2:9" x14ac:dyDescent="0.25">
      <c r="B148"/>
      <c r="C148"/>
      <c r="E148"/>
    </row>
    <row r="149" spans="2:9" ht="25.85" x14ac:dyDescent="0.45">
      <c r="B149" s="1274" t="s">
        <v>2685</v>
      </c>
      <c r="C149"/>
      <c r="E149"/>
    </row>
    <row r="150" spans="2:9" x14ac:dyDescent="0.25">
      <c r="B150"/>
      <c r="C150"/>
      <c r="E150"/>
    </row>
    <row r="151" spans="2:9" x14ac:dyDescent="0.25">
      <c r="B151"/>
      <c r="C151"/>
      <c r="E151"/>
    </row>
    <row r="152" spans="2:9" x14ac:dyDescent="0.25">
      <c r="B152" s="401" t="s">
        <v>2686</v>
      </c>
      <c r="C152" s="261" t="s">
        <v>2677</v>
      </c>
      <c r="D152" s="261" t="s">
        <v>89</v>
      </c>
      <c r="E152" s="261" t="s">
        <v>2672</v>
      </c>
      <c r="F152" s="261" t="s">
        <v>2673</v>
      </c>
      <c r="G152" s="261" t="s">
        <v>2674</v>
      </c>
      <c r="H152" s="261" t="s">
        <v>2675</v>
      </c>
      <c r="I152" s="261" t="s">
        <v>2676</v>
      </c>
    </row>
    <row r="153" spans="2:9" x14ac:dyDescent="0.25">
      <c r="B153" s="209" t="s">
        <v>2667</v>
      </c>
      <c r="C153" s="211">
        <v>48250892.010549992</v>
      </c>
      <c r="D153" s="210">
        <v>0.43763592324847328</v>
      </c>
      <c r="E153" s="211">
        <v>15081246.422216669</v>
      </c>
      <c r="F153" s="211">
        <v>9616804.0394666661</v>
      </c>
      <c r="G153" s="211">
        <v>8053665.8422000026</v>
      </c>
      <c r="H153" s="211">
        <v>7749587.8533333354</v>
      </c>
      <c r="I153" s="211">
        <v>7749587.8533333354</v>
      </c>
    </row>
    <row r="154" spans="2:9" x14ac:dyDescent="0.25">
      <c r="B154" s="195" t="s">
        <v>2626</v>
      </c>
      <c r="C154" s="211">
        <v>48250892.010549992</v>
      </c>
      <c r="D154" s="210">
        <v>0.43763592324847328</v>
      </c>
      <c r="E154" s="211">
        <v>15081246.422216669</v>
      </c>
      <c r="F154" s="211">
        <v>9616804.0394666661</v>
      </c>
      <c r="G154" s="211">
        <v>8053665.8422000026</v>
      </c>
      <c r="H154" s="211">
        <v>7749587.8533333354</v>
      </c>
      <c r="I154" s="211">
        <v>7749587.8533333354</v>
      </c>
    </row>
    <row r="155" spans="2:9" x14ac:dyDescent="0.25">
      <c r="B155" s="209" t="s">
        <v>2668</v>
      </c>
      <c r="C155" s="211">
        <v>45782992.533100002</v>
      </c>
      <c r="D155" s="210">
        <v>0.4152520579706645</v>
      </c>
      <c r="E155" s="211">
        <v>25805676.735300004</v>
      </c>
      <c r="F155" s="211">
        <v>19977315.797800001</v>
      </c>
      <c r="G155" s="211">
        <v>0</v>
      </c>
      <c r="H155" s="211">
        <v>0</v>
      </c>
      <c r="I155" s="211">
        <v>0</v>
      </c>
    </row>
    <row r="156" spans="2:9" x14ac:dyDescent="0.25">
      <c r="B156" s="195" t="s">
        <v>2650</v>
      </c>
      <c r="C156" s="211">
        <v>39954631.595600002</v>
      </c>
      <c r="D156" s="210">
        <v>0.36238878407822656</v>
      </c>
      <c r="E156" s="211">
        <v>19977315.797800001</v>
      </c>
      <c r="F156" s="211">
        <v>19977315.797800001</v>
      </c>
      <c r="G156" s="211">
        <v>0</v>
      </c>
      <c r="H156" s="211">
        <v>0</v>
      </c>
      <c r="I156" s="211">
        <v>0</v>
      </c>
    </row>
    <row r="157" spans="2:9" x14ac:dyDescent="0.25">
      <c r="B157" s="195" t="s">
        <v>2653</v>
      </c>
      <c r="C157" s="211">
        <v>5828360.9375000028</v>
      </c>
      <c r="D157" s="210">
        <v>5.2863273892437966E-2</v>
      </c>
      <c r="E157" s="211">
        <v>5828360.9375000028</v>
      </c>
      <c r="F157" s="211">
        <v>0</v>
      </c>
      <c r="G157" s="211">
        <v>0</v>
      </c>
      <c r="H157" s="211">
        <v>0</v>
      </c>
      <c r="I157" s="211">
        <v>0</v>
      </c>
    </row>
    <row r="158" spans="2:9" x14ac:dyDescent="0.25">
      <c r="B158" s="209" t="s">
        <v>2669</v>
      </c>
      <c r="C158" s="211">
        <v>16219614.877499992</v>
      </c>
      <c r="D158" s="210">
        <v>0.14711201878086214</v>
      </c>
      <c r="E158" s="211">
        <v>2695498.2925</v>
      </c>
      <c r="F158" s="211">
        <v>3966298.2924999981</v>
      </c>
      <c r="G158" s="211">
        <v>3966298.2924999981</v>
      </c>
      <c r="H158" s="211">
        <v>2795759.9999999981</v>
      </c>
      <c r="I158" s="211">
        <v>2795759.9999999981</v>
      </c>
    </row>
    <row r="159" spans="2:9" x14ac:dyDescent="0.25">
      <c r="B159" s="195" t="s">
        <v>2644</v>
      </c>
      <c r="C159" s="211">
        <v>16219614.877499992</v>
      </c>
      <c r="D159" s="210">
        <v>0.14711201878086214</v>
      </c>
      <c r="E159" s="211">
        <v>2695498.2925</v>
      </c>
      <c r="F159" s="211">
        <v>3966298.2924999981</v>
      </c>
      <c r="G159" s="211">
        <v>3966298.2924999981</v>
      </c>
      <c r="H159" s="211">
        <v>2795759.9999999981</v>
      </c>
      <c r="I159" s="211">
        <v>2795759.9999999981</v>
      </c>
    </row>
    <row r="160" spans="2:9" x14ac:dyDescent="0.25">
      <c r="B160" s="209" t="s">
        <v>141</v>
      </c>
      <c r="C160" s="211">
        <v>110253499.42115</v>
      </c>
      <c r="D160" s="210">
        <v>1</v>
      </c>
      <c r="E160" s="211">
        <v>43582421.45001667</v>
      </c>
      <c r="F160" s="211">
        <v>33560418.129766665</v>
      </c>
      <c r="G160" s="211">
        <v>12019964.1347</v>
      </c>
      <c r="H160" s="211">
        <v>10545347.853333334</v>
      </c>
      <c r="I160" s="211">
        <v>10545347.853333334</v>
      </c>
    </row>
    <row r="161" spans="2:8" x14ac:dyDescent="0.25">
      <c r="C161" s="1269"/>
      <c r="E161"/>
    </row>
    <row r="162" spans="2:8" x14ac:dyDescent="0.25">
      <c r="B162"/>
      <c r="C162"/>
      <c r="E162"/>
    </row>
    <row r="163" spans="2:8" ht="25.85" x14ac:dyDescent="0.45">
      <c r="B163" s="1274" t="s">
        <v>2687</v>
      </c>
      <c r="C163"/>
      <c r="E163"/>
    </row>
    <row r="165" spans="2:8" hidden="1" x14ac:dyDescent="0.25">
      <c r="B165" s="193" t="s">
        <v>2677</v>
      </c>
      <c r="C165" s="193" t="s">
        <v>144</v>
      </c>
      <c r="E165"/>
    </row>
    <row r="166" spans="2:8" s="214" customFormat="1" ht="31.25" x14ac:dyDescent="0.25">
      <c r="B166" s="330" t="s">
        <v>2686</v>
      </c>
      <c r="C166" s="214" t="s">
        <v>2627</v>
      </c>
      <c r="D166" s="214" t="s">
        <v>2202</v>
      </c>
      <c r="E166" s="214" t="s">
        <v>2200</v>
      </c>
      <c r="F166" s="214" t="s">
        <v>2199</v>
      </c>
      <c r="G166" s="214" t="s">
        <v>2201</v>
      </c>
      <c r="H166" s="214" t="s">
        <v>141</v>
      </c>
    </row>
    <row r="167" spans="2:8" x14ac:dyDescent="0.25">
      <c r="B167" s="209" t="s">
        <v>2667</v>
      </c>
      <c r="C167" s="211">
        <v>8493414.0420788564</v>
      </c>
      <c r="D167" s="211">
        <v>20363230.937103886</v>
      </c>
      <c r="E167" s="211">
        <v>12152546.914841015</v>
      </c>
      <c r="F167" s="211">
        <v>4645367.3667587731</v>
      </c>
      <c r="G167" s="211">
        <v>2596332.749767479</v>
      </c>
      <c r="H167" s="211">
        <v>48250892.010550015</v>
      </c>
    </row>
    <row r="168" spans="2:8" x14ac:dyDescent="0.25">
      <c r="B168" s="195" t="s">
        <v>2626</v>
      </c>
      <c r="C168" s="211">
        <v>8493414.0420788564</v>
      </c>
      <c r="D168" s="211">
        <v>20363230.937103886</v>
      </c>
      <c r="E168" s="211">
        <v>12152546.914841015</v>
      </c>
      <c r="F168" s="211">
        <v>4645367.3667587731</v>
      </c>
      <c r="G168" s="211">
        <v>2596332.749767479</v>
      </c>
      <c r="H168" s="211">
        <v>48250892.010550015</v>
      </c>
    </row>
    <row r="169" spans="2:8" x14ac:dyDescent="0.25">
      <c r="B169" s="209" t="s">
        <v>2668</v>
      </c>
      <c r="C169" s="211">
        <v>39954631.595600002</v>
      </c>
      <c r="D169" s="211">
        <v>3309370.3044382599</v>
      </c>
      <c r="E169" s="211">
        <v>1710066.8603276301</v>
      </c>
      <c r="F169" s="211">
        <v>480141.86758319702</v>
      </c>
      <c r="G169" s="211">
        <v>328781.90515091602</v>
      </c>
      <c r="H169" s="211">
        <v>45782992.533100002</v>
      </c>
    </row>
    <row r="170" spans="2:8" x14ac:dyDescent="0.25">
      <c r="B170" s="195" t="s">
        <v>2650</v>
      </c>
      <c r="C170" s="211">
        <v>39954631.595600002</v>
      </c>
      <c r="D170" s="211"/>
      <c r="E170" s="211"/>
      <c r="F170" s="211"/>
      <c r="G170" s="211"/>
      <c r="H170" s="211">
        <v>39954631.595600002</v>
      </c>
    </row>
    <row r="171" spans="2:8" x14ac:dyDescent="0.25">
      <c r="B171" s="195" t="s">
        <v>2653</v>
      </c>
      <c r="C171" s="211"/>
      <c r="D171" s="211">
        <v>3309370.3044382599</v>
      </c>
      <c r="E171" s="211">
        <v>1710066.8603276301</v>
      </c>
      <c r="F171" s="211">
        <v>480141.86758319702</v>
      </c>
      <c r="G171" s="211">
        <v>328781.90515091602</v>
      </c>
      <c r="H171" s="211">
        <v>5828360.9375000028</v>
      </c>
    </row>
    <row r="172" spans="2:8" x14ac:dyDescent="0.25">
      <c r="B172" s="209" t="s">
        <v>2669</v>
      </c>
      <c r="C172" s="211"/>
      <c r="D172" s="211">
        <v>7895322.2576889182</v>
      </c>
      <c r="E172" s="211">
        <v>2890903.5323273097</v>
      </c>
      <c r="F172" s="211">
        <v>2892553.9673691806</v>
      </c>
      <c r="G172" s="211">
        <v>2540835.1201145821</v>
      </c>
      <c r="H172" s="211">
        <v>16219614.87749999</v>
      </c>
    </row>
    <row r="173" spans="2:8" x14ac:dyDescent="0.25">
      <c r="B173" s="195" t="s">
        <v>2644</v>
      </c>
      <c r="C173" s="211"/>
      <c r="D173" s="211">
        <v>7895322.2576889182</v>
      </c>
      <c r="E173" s="211">
        <v>2890903.5323273097</v>
      </c>
      <c r="F173" s="211">
        <v>2892553.9673691806</v>
      </c>
      <c r="G173" s="211">
        <v>2540835.1201145821</v>
      </c>
      <c r="H173" s="211">
        <v>16219614.87749999</v>
      </c>
    </row>
    <row r="174" spans="2:8" x14ac:dyDescent="0.25">
      <c r="B174" s="209" t="s">
        <v>141</v>
      </c>
      <c r="C174" s="211">
        <v>48448045.637678862</v>
      </c>
      <c r="D174" s="211">
        <v>31567923.499231063</v>
      </c>
      <c r="E174" s="211">
        <v>16753517.307495954</v>
      </c>
      <c r="F174" s="211">
        <v>8018063.2017111499</v>
      </c>
      <c r="G174" s="211">
        <v>5465949.7750329766</v>
      </c>
      <c r="H174" s="211">
        <v>110253499.42115</v>
      </c>
    </row>
  </sheetData>
  <pageMargins left="0.7" right="0.7" top="0.75" bottom="0.75" header="0.3" footer="0.3"/>
  <drawing r:id="rId8"/>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Z1039"/>
  <sheetViews>
    <sheetView topLeftCell="A422" zoomScale="120" zoomScaleNormal="120" workbookViewId="0">
      <selection activeCell="D45" sqref="D45:E45"/>
    </sheetView>
  </sheetViews>
  <sheetFormatPr baseColWidth="10" defaultColWidth="11.19921875" defaultRowHeight="50.95" customHeight="1" x14ac:dyDescent="0.15"/>
  <cols>
    <col min="1" max="1" width="5.59765625" style="80" customWidth="1"/>
    <col min="2" max="2" width="13" style="80" customWidth="1"/>
    <col min="3" max="3" width="28.09765625" style="80" customWidth="1"/>
    <col min="4" max="4" width="10.796875" style="80" customWidth="1"/>
    <col min="5" max="5" width="99.59765625" style="80" customWidth="1"/>
    <col min="6" max="6" width="19.09765625" style="80" customWidth="1"/>
    <col min="7" max="7" width="35.796875" style="80" customWidth="1"/>
    <col min="8" max="9" width="10.69921875" style="80" customWidth="1"/>
    <col min="10" max="10" width="20.09765625" style="80" customWidth="1"/>
    <col min="11" max="11" width="12.796875" style="80" customWidth="1"/>
    <col min="12" max="26" width="10.69921875" style="80" customWidth="1"/>
    <col min="27" max="16384" width="11.19921875" style="80"/>
  </cols>
  <sheetData>
    <row r="1" spans="1:26" ht="8.85" x14ac:dyDescent="0.15">
      <c r="A1" s="79"/>
      <c r="B1" s="79"/>
      <c r="C1" s="94"/>
      <c r="D1" s="95"/>
      <c r="E1" s="87"/>
      <c r="F1" s="95"/>
      <c r="G1" s="79"/>
      <c r="H1" s="79"/>
      <c r="I1" s="79"/>
      <c r="J1" s="79"/>
      <c r="K1" s="79"/>
      <c r="L1" s="79"/>
      <c r="M1" s="79"/>
      <c r="N1" s="79"/>
      <c r="O1" s="79"/>
      <c r="P1" s="79"/>
      <c r="Q1" s="79"/>
      <c r="R1" s="79"/>
      <c r="S1" s="79"/>
      <c r="T1" s="79"/>
      <c r="U1" s="79"/>
      <c r="V1" s="79"/>
      <c r="W1" s="79"/>
      <c r="X1" s="79"/>
      <c r="Y1" s="79"/>
      <c r="Z1" s="79"/>
    </row>
    <row r="2" spans="1:26" ht="8.85" x14ac:dyDescent="0.15">
      <c r="A2" s="79"/>
      <c r="B2" s="96" t="s">
        <v>1949</v>
      </c>
      <c r="C2" s="94"/>
      <c r="D2" s="95"/>
      <c r="E2" s="87"/>
      <c r="F2" s="95"/>
      <c r="G2" s="79"/>
      <c r="H2" s="79"/>
      <c r="I2" s="79"/>
      <c r="J2" s="79"/>
      <c r="K2" s="79"/>
      <c r="L2" s="79"/>
      <c r="M2" s="79"/>
      <c r="N2" s="79"/>
      <c r="O2" s="79"/>
      <c r="P2" s="79"/>
      <c r="Q2" s="79"/>
      <c r="R2" s="79"/>
      <c r="S2" s="79"/>
      <c r="T2" s="79"/>
      <c r="U2" s="79"/>
      <c r="V2" s="79"/>
      <c r="W2" s="79"/>
      <c r="X2" s="79"/>
      <c r="Y2" s="79"/>
      <c r="Z2" s="79"/>
    </row>
    <row r="3" spans="1:26" ht="8.85" x14ac:dyDescent="0.15">
      <c r="A3" s="79"/>
      <c r="B3" s="96"/>
      <c r="C3" s="94"/>
      <c r="D3" s="95"/>
      <c r="E3" s="87"/>
      <c r="F3" s="95"/>
      <c r="G3" s="79"/>
      <c r="H3" s="79"/>
      <c r="I3" s="79"/>
      <c r="J3" s="79"/>
      <c r="K3" s="79"/>
      <c r="L3" s="79"/>
      <c r="M3" s="79"/>
      <c r="N3" s="79"/>
      <c r="O3" s="79"/>
      <c r="P3" s="79"/>
      <c r="Q3" s="79"/>
      <c r="R3" s="79"/>
      <c r="S3" s="79"/>
      <c r="T3" s="79"/>
      <c r="U3" s="79"/>
      <c r="V3" s="79"/>
      <c r="W3" s="79"/>
      <c r="X3" s="79"/>
      <c r="Y3" s="79"/>
      <c r="Z3" s="79"/>
    </row>
    <row r="4" spans="1:26" ht="8.85" x14ac:dyDescent="0.15">
      <c r="A4" s="79"/>
      <c r="B4" s="79" t="s">
        <v>1950</v>
      </c>
      <c r="C4" s="94"/>
      <c r="D4" s="95"/>
      <c r="E4" s="87"/>
      <c r="F4" s="95"/>
      <c r="G4" s="79"/>
      <c r="H4" s="79"/>
      <c r="I4" s="79"/>
      <c r="J4" s="79"/>
      <c r="K4" s="79"/>
      <c r="L4" s="79"/>
      <c r="M4" s="79"/>
      <c r="N4" s="79"/>
      <c r="O4" s="79"/>
      <c r="P4" s="79"/>
      <c r="Q4" s="79"/>
      <c r="R4" s="79"/>
      <c r="S4" s="79"/>
      <c r="T4" s="79"/>
      <c r="U4" s="79"/>
      <c r="V4" s="79"/>
      <c r="W4" s="79"/>
      <c r="X4" s="79"/>
      <c r="Y4" s="79"/>
      <c r="Z4" s="79"/>
    </row>
    <row r="5" spans="1:26" ht="8.85" x14ac:dyDescent="0.15">
      <c r="A5" s="79"/>
      <c r="B5" s="79"/>
      <c r="C5" s="94"/>
      <c r="D5" s="95"/>
      <c r="E5" s="87"/>
      <c r="F5" s="95"/>
      <c r="G5" s="79"/>
      <c r="H5" s="79"/>
      <c r="I5" s="79"/>
      <c r="J5" s="79"/>
      <c r="K5" s="79"/>
      <c r="L5" s="79"/>
      <c r="M5" s="79"/>
      <c r="N5" s="79"/>
      <c r="O5" s="79"/>
      <c r="P5" s="79"/>
      <c r="Q5" s="79"/>
      <c r="R5" s="79"/>
      <c r="S5" s="79"/>
      <c r="T5" s="79"/>
      <c r="U5" s="79"/>
      <c r="V5" s="79"/>
      <c r="W5" s="79"/>
      <c r="X5" s="79"/>
      <c r="Y5" s="79"/>
      <c r="Z5" s="79"/>
    </row>
    <row r="6" spans="1:26" ht="50.95" customHeight="1" x14ac:dyDescent="0.15">
      <c r="A6" s="79"/>
      <c r="B6" s="97" t="s">
        <v>1951</v>
      </c>
      <c r="C6" s="97" t="s">
        <v>1952</v>
      </c>
      <c r="D6" s="1747" t="s">
        <v>1953</v>
      </c>
      <c r="E6" s="1719"/>
      <c r="F6" s="95"/>
      <c r="G6" s="98"/>
      <c r="H6" s="79"/>
      <c r="I6" s="79"/>
      <c r="J6" s="79"/>
      <c r="K6" s="79"/>
      <c r="L6" s="79"/>
      <c r="M6" s="79"/>
      <c r="N6" s="79"/>
      <c r="O6" s="79"/>
      <c r="P6" s="79"/>
      <c r="Q6" s="79"/>
      <c r="R6" s="79"/>
      <c r="S6" s="79"/>
      <c r="T6" s="79"/>
      <c r="U6" s="79"/>
      <c r="V6" s="79"/>
      <c r="W6" s="79"/>
      <c r="X6" s="79"/>
      <c r="Y6" s="79"/>
      <c r="Z6" s="79"/>
    </row>
    <row r="7" spans="1:26" ht="107.15" customHeight="1" x14ac:dyDescent="0.15">
      <c r="A7" s="95"/>
      <c r="B7" s="1734" t="s">
        <v>1954</v>
      </c>
      <c r="C7" s="1737" t="s">
        <v>1955</v>
      </c>
      <c r="D7" s="1738" t="s">
        <v>1956</v>
      </c>
      <c r="E7" s="1739"/>
      <c r="F7" s="95"/>
      <c r="G7" s="98"/>
      <c r="H7" s="95"/>
      <c r="I7" s="95"/>
      <c r="J7" s="95"/>
      <c r="K7" s="95"/>
      <c r="L7" s="95"/>
      <c r="M7" s="95"/>
      <c r="N7" s="95"/>
      <c r="O7" s="95"/>
      <c r="P7" s="95"/>
      <c r="Q7" s="95"/>
      <c r="R7" s="95"/>
      <c r="S7" s="95"/>
      <c r="T7" s="95"/>
      <c r="U7" s="95"/>
      <c r="V7" s="95"/>
      <c r="W7" s="95"/>
      <c r="X7" s="95"/>
      <c r="Y7" s="95"/>
      <c r="Z7" s="95"/>
    </row>
    <row r="8" spans="1:26" ht="145.05000000000001" customHeight="1" x14ac:dyDescent="0.15">
      <c r="A8" s="95"/>
      <c r="B8" s="1736"/>
      <c r="C8" s="1736"/>
      <c r="D8" s="1742"/>
      <c r="E8" s="1743"/>
      <c r="F8" s="95"/>
      <c r="G8" s="99"/>
      <c r="H8" s="95"/>
      <c r="I8" s="95"/>
      <c r="J8" s="95"/>
      <c r="K8" s="95"/>
      <c r="L8" s="95"/>
      <c r="M8" s="95"/>
      <c r="N8" s="95"/>
      <c r="O8" s="95"/>
      <c r="P8" s="95"/>
      <c r="Q8" s="95"/>
      <c r="R8" s="95"/>
      <c r="S8" s="95"/>
      <c r="T8" s="95"/>
      <c r="U8" s="95"/>
      <c r="V8" s="95"/>
      <c r="W8" s="95"/>
      <c r="X8" s="95"/>
      <c r="Y8" s="95"/>
      <c r="Z8" s="95"/>
    </row>
    <row r="9" spans="1:26" ht="75.900000000000006" customHeight="1" x14ac:dyDescent="0.15">
      <c r="A9" s="79"/>
      <c r="B9" s="1734" t="s">
        <v>1957</v>
      </c>
      <c r="C9" s="1737" t="s">
        <v>1958</v>
      </c>
      <c r="D9" s="1738" t="s">
        <v>1959</v>
      </c>
      <c r="E9" s="1739"/>
      <c r="F9" s="95"/>
      <c r="G9" s="99"/>
      <c r="H9" s="79"/>
      <c r="I9" s="79"/>
      <c r="J9" s="79"/>
      <c r="K9" s="79"/>
      <c r="L9" s="79"/>
      <c r="M9" s="79"/>
      <c r="N9" s="79"/>
      <c r="O9" s="79"/>
      <c r="P9" s="79"/>
      <c r="Q9" s="79"/>
      <c r="R9" s="79"/>
      <c r="S9" s="79"/>
      <c r="T9" s="79"/>
      <c r="U9" s="79"/>
      <c r="V9" s="79"/>
      <c r="W9" s="79"/>
      <c r="X9" s="79"/>
      <c r="Y9" s="79"/>
      <c r="Z9" s="79"/>
    </row>
    <row r="10" spans="1:26" ht="96.65" customHeight="1" x14ac:dyDescent="0.15">
      <c r="A10" s="79"/>
      <c r="B10" s="1736"/>
      <c r="C10" s="1736"/>
      <c r="D10" s="1742"/>
      <c r="E10" s="1743"/>
      <c r="F10" s="95"/>
      <c r="G10" s="99"/>
      <c r="H10" s="79"/>
      <c r="I10" s="79"/>
      <c r="J10" s="79"/>
      <c r="K10" s="79"/>
      <c r="L10" s="79"/>
      <c r="M10" s="79"/>
      <c r="N10" s="79"/>
      <c r="O10" s="79"/>
      <c r="P10" s="79"/>
      <c r="Q10" s="79"/>
      <c r="R10" s="79"/>
      <c r="S10" s="79"/>
      <c r="T10" s="79"/>
      <c r="U10" s="79"/>
      <c r="V10" s="79"/>
      <c r="W10" s="79"/>
      <c r="X10" s="79"/>
      <c r="Y10" s="79"/>
      <c r="Z10" s="79"/>
    </row>
    <row r="11" spans="1:26" ht="86.1" customHeight="1" x14ac:dyDescent="0.15">
      <c r="A11" s="79"/>
      <c r="B11" s="1734" t="s">
        <v>1960</v>
      </c>
      <c r="C11" s="1737" t="s">
        <v>1961</v>
      </c>
      <c r="D11" s="1738" t="s">
        <v>1962</v>
      </c>
      <c r="E11" s="1739"/>
      <c r="F11" s="95"/>
      <c r="G11" s="99"/>
      <c r="H11" s="79"/>
      <c r="I11" s="79"/>
      <c r="J11" s="79"/>
      <c r="K11" s="79"/>
      <c r="L11" s="79"/>
      <c r="M11" s="79"/>
      <c r="N11" s="79"/>
      <c r="O11" s="79"/>
      <c r="P11" s="79"/>
      <c r="Q11" s="79"/>
      <c r="R11" s="79"/>
      <c r="S11" s="79"/>
      <c r="T11" s="79"/>
      <c r="U11" s="79"/>
      <c r="V11" s="79"/>
      <c r="W11" s="79"/>
      <c r="X11" s="79"/>
      <c r="Y11" s="79"/>
      <c r="Z11" s="79"/>
    </row>
    <row r="12" spans="1:26" ht="124" customHeight="1" x14ac:dyDescent="0.15">
      <c r="A12" s="79"/>
      <c r="B12" s="1736"/>
      <c r="C12" s="1736"/>
      <c r="D12" s="1742"/>
      <c r="E12" s="1743"/>
      <c r="F12" s="95"/>
      <c r="G12" s="99"/>
      <c r="H12" s="79"/>
      <c r="I12" s="79"/>
      <c r="J12" s="79"/>
      <c r="K12" s="79"/>
      <c r="L12" s="79"/>
      <c r="M12" s="79"/>
      <c r="N12" s="79"/>
      <c r="O12" s="79"/>
      <c r="P12" s="79"/>
      <c r="Q12" s="79"/>
      <c r="R12" s="79"/>
      <c r="S12" s="79"/>
      <c r="T12" s="79"/>
      <c r="U12" s="79"/>
      <c r="V12" s="79"/>
      <c r="W12" s="79"/>
      <c r="X12" s="79"/>
      <c r="Y12" s="79"/>
      <c r="Z12" s="79"/>
    </row>
    <row r="13" spans="1:26" ht="50.95" customHeight="1" x14ac:dyDescent="0.15">
      <c r="A13" s="79"/>
      <c r="B13" s="1734" t="s">
        <v>1963</v>
      </c>
      <c r="C13" s="1737" t="s">
        <v>1964</v>
      </c>
      <c r="D13" s="1738" t="s">
        <v>1965</v>
      </c>
      <c r="E13" s="1739"/>
      <c r="F13" s="95"/>
      <c r="G13" s="99"/>
      <c r="H13" s="79"/>
      <c r="I13" s="79"/>
      <c r="J13" s="79"/>
      <c r="K13" s="79"/>
      <c r="L13" s="79"/>
      <c r="M13" s="79"/>
      <c r="N13" s="79"/>
      <c r="O13" s="79"/>
      <c r="P13" s="79"/>
      <c r="Q13" s="79"/>
      <c r="R13" s="79"/>
      <c r="S13" s="79"/>
      <c r="T13" s="79"/>
      <c r="U13" s="79"/>
      <c r="V13" s="79"/>
      <c r="W13" s="79"/>
      <c r="X13" s="79"/>
      <c r="Y13" s="79"/>
      <c r="Z13" s="79"/>
    </row>
    <row r="14" spans="1:26" ht="65.05" customHeight="1" x14ac:dyDescent="0.15">
      <c r="A14" s="79"/>
      <c r="B14" s="1735"/>
      <c r="C14" s="1735"/>
      <c r="D14" s="1740"/>
      <c r="E14" s="1741"/>
      <c r="F14" s="95"/>
      <c r="G14" s="99"/>
      <c r="H14" s="79"/>
      <c r="I14" s="79"/>
      <c r="J14" s="79"/>
      <c r="K14" s="79"/>
      <c r="L14" s="79"/>
      <c r="M14" s="79"/>
      <c r="N14" s="79"/>
      <c r="O14" s="79"/>
      <c r="P14" s="79"/>
      <c r="Q14" s="79"/>
      <c r="R14" s="79"/>
      <c r="S14" s="79"/>
      <c r="T14" s="79"/>
      <c r="U14" s="79"/>
      <c r="V14" s="79"/>
      <c r="W14" s="79"/>
      <c r="X14" s="79"/>
      <c r="Y14" s="79"/>
      <c r="Z14" s="79"/>
    </row>
    <row r="15" spans="1:26" ht="56.4" customHeight="1" x14ac:dyDescent="0.15">
      <c r="A15" s="79"/>
      <c r="B15" s="1736"/>
      <c r="C15" s="1736"/>
      <c r="D15" s="1742"/>
      <c r="E15" s="1743"/>
      <c r="F15" s="95"/>
      <c r="G15" s="99"/>
      <c r="H15" s="79"/>
      <c r="I15" s="79"/>
      <c r="J15" s="79"/>
      <c r="K15" s="79"/>
      <c r="L15" s="79"/>
      <c r="M15" s="79"/>
      <c r="N15" s="79"/>
      <c r="O15" s="79"/>
      <c r="P15" s="79"/>
      <c r="Q15" s="79"/>
      <c r="R15" s="79"/>
      <c r="S15" s="79"/>
      <c r="T15" s="79"/>
      <c r="U15" s="79"/>
      <c r="V15" s="79"/>
      <c r="W15" s="79"/>
      <c r="X15" s="79"/>
      <c r="Y15" s="79"/>
      <c r="Z15" s="79"/>
    </row>
    <row r="16" spans="1:26" ht="8.85" x14ac:dyDescent="0.15">
      <c r="A16" s="79"/>
      <c r="B16" s="79"/>
      <c r="C16" s="94"/>
      <c r="D16" s="95"/>
      <c r="E16" s="87"/>
      <c r="F16" s="95"/>
      <c r="G16" s="79"/>
      <c r="H16" s="79"/>
      <c r="I16" s="79"/>
      <c r="J16" s="79"/>
      <c r="K16" s="79"/>
      <c r="L16" s="79"/>
      <c r="M16" s="79"/>
      <c r="N16" s="79"/>
      <c r="O16" s="79"/>
      <c r="P16" s="79"/>
      <c r="Q16" s="79"/>
      <c r="R16" s="79"/>
      <c r="S16" s="79"/>
      <c r="T16" s="79"/>
      <c r="U16" s="79"/>
      <c r="V16" s="79"/>
      <c r="W16" s="79"/>
      <c r="X16" s="79"/>
      <c r="Y16" s="79"/>
      <c r="Z16" s="79"/>
    </row>
    <row r="17" spans="1:26" ht="8.85" x14ac:dyDescent="0.15">
      <c r="A17" s="79"/>
      <c r="B17" s="79" t="s">
        <v>1966</v>
      </c>
      <c r="C17" s="94"/>
      <c r="D17" s="95"/>
      <c r="E17" s="87"/>
      <c r="F17" s="95"/>
      <c r="G17" s="79"/>
      <c r="H17" s="79"/>
      <c r="I17" s="79"/>
      <c r="J17" s="79"/>
      <c r="K17" s="79"/>
      <c r="L17" s="79"/>
      <c r="M17" s="79"/>
      <c r="N17" s="79"/>
      <c r="O17" s="79"/>
      <c r="P17" s="79"/>
      <c r="Q17" s="79"/>
      <c r="R17" s="79"/>
      <c r="S17" s="79"/>
      <c r="T17" s="79"/>
      <c r="U17" s="79"/>
      <c r="V17" s="79"/>
      <c r="W17" s="79"/>
      <c r="X17" s="79"/>
      <c r="Y17" s="79"/>
      <c r="Z17" s="79"/>
    </row>
    <row r="18" spans="1:26" ht="8.85" x14ac:dyDescent="0.15">
      <c r="A18" s="79"/>
      <c r="B18" s="79"/>
      <c r="C18" s="94"/>
      <c r="D18" s="95"/>
      <c r="E18" s="89"/>
      <c r="F18" s="95"/>
      <c r="G18" s="79"/>
      <c r="H18" s="79"/>
      <c r="I18" s="79"/>
      <c r="J18" s="79"/>
      <c r="K18" s="79"/>
      <c r="L18" s="79"/>
      <c r="M18" s="79"/>
      <c r="N18" s="79"/>
      <c r="O18" s="79"/>
      <c r="P18" s="79"/>
      <c r="Q18" s="79"/>
      <c r="R18" s="79"/>
      <c r="S18" s="79"/>
      <c r="T18" s="79"/>
      <c r="U18" s="79"/>
      <c r="V18" s="79"/>
      <c r="W18" s="79"/>
      <c r="X18" s="79"/>
      <c r="Y18" s="79"/>
      <c r="Z18" s="79"/>
    </row>
    <row r="19" spans="1:26" ht="50.95" customHeight="1" x14ac:dyDescent="0.15">
      <c r="A19" s="100" t="s">
        <v>1967</v>
      </c>
      <c r="B19" s="101" t="s">
        <v>1968</v>
      </c>
      <c r="C19" s="101" t="s">
        <v>1969</v>
      </c>
      <c r="D19" s="1744" t="s">
        <v>1970</v>
      </c>
      <c r="E19" s="1745"/>
      <c r="F19" s="95"/>
      <c r="G19" s="99"/>
      <c r="H19" s="79"/>
      <c r="I19" s="79"/>
      <c r="J19" s="79"/>
      <c r="K19" s="79"/>
      <c r="L19" s="79"/>
      <c r="M19" s="79"/>
      <c r="N19" s="79"/>
      <c r="O19" s="79"/>
      <c r="P19" s="79"/>
      <c r="Q19" s="79"/>
      <c r="R19" s="79"/>
      <c r="S19" s="79"/>
      <c r="T19" s="79"/>
      <c r="U19" s="79"/>
      <c r="V19" s="79"/>
      <c r="W19" s="79"/>
      <c r="X19" s="79"/>
      <c r="Y19" s="79"/>
      <c r="Z19" s="79"/>
    </row>
    <row r="20" spans="1:26" ht="129.1" customHeight="1" x14ac:dyDescent="0.15">
      <c r="A20" s="1752">
        <v>1</v>
      </c>
      <c r="B20" s="1702" t="s">
        <v>129</v>
      </c>
      <c r="C20" s="84" t="s">
        <v>1971</v>
      </c>
      <c r="D20" s="1705" t="s">
        <v>1972</v>
      </c>
      <c r="E20" s="1706"/>
      <c r="F20" s="95"/>
      <c r="G20" s="99"/>
      <c r="H20" s="79"/>
      <c r="I20" s="79"/>
      <c r="J20" s="79"/>
      <c r="K20" s="79"/>
      <c r="L20" s="79"/>
      <c r="M20" s="79"/>
      <c r="N20" s="79"/>
      <c r="O20" s="79"/>
      <c r="P20" s="79"/>
      <c r="Q20" s="79"/>
      <c r="R20" s="79"/>
      <c r="S20" s="79"/>
      <c r="T20" s="79"/>
      <c r="U20" s="79"/>
      <c r="V20" s="79"/>
      <c r="W20" s="79"/>
      <c r="X20" s="79"/>
      <c r="Y20" s="79"/>
      <c r="Z20" s="79"/>
    </row>
    <row r="21" spans="1:26" ht="117" customHeight="1" x14ac:dyDescent="0.15">
      <c r="A21" s="1729"/>
      <c r="B21" s="1711"/>
      <c r="C21" s="84" t="s">
        <v>1973</v>
      </c>
      <c r="D21" s="1705" t="s">
        <v>1974</v>
      </c>
      <c r="E21" s="1706"/>
      <c r="F21" s="95"/>
      <c r="G21" s="99"/>
      <c r="H21" s="79"/>
      <c r="I21" s="79"/>
      <c r="J21" s="79"/>
      <c r="K21" s="79"/>
      <c r="L21" s="79"/>
      <c r="M21" s="79"/>
      <c r="N21" s="79"/>
      <c r="O21" s="79"/>
      <c r="P21" s="79"/>
      <c r="Q21" s="79"/>
      <c r="R21" s="79"/>
      <c r="S21" s="79"/>
      <c r="T21" s="79"/>
      <c r="U21" s="79"/>
      <c r="V21" s="79"/>
      <c r="W21" s="79"/>
      <c r="X21" s="79"/>
      <c r="Y21" s="79"/>
      <c r="Z21" s="79"/>
    </row>
    <row r="22" spans="1:26" ht="99.7" customHeight="1" x14ac:dyDescent="0.15">
      <c r="A22" s="1729"/>
      <c r="B22" s="1711"/>
      <c r="C22" s="84" t="s">
        <v>1975</v>
      </c>
      <c r="D22" s="1705" t="s">
        <v>1976</v>
      </c>
      <c r="E22" s="1706"/>
      <c r="F22" s="95"/>
      <c r="G22" s="99"/>
      <c r="H22" s="79"/>
      <c r="I22" s="79"/>
      <c r="J22" s="79"/>
      <c r="K22" s="79"/>
      <c r="L22" s="79"/>
      <c r="M22" s="79"/>
      <c r="N22" s="79"/>
      <c r="O22" s="79"/>
      <c r="P22" s="79"/>
      <c r="Q22" s="79"/>
      <c r="R22" s="79"/>
      <c r="S22" s="79"/>
      <c r="T22" s="79"/>
      <c r="U22" s="79"/>
      <c r="V22" s="79"/>
      <c r="W22" s="79"/>
      <c r="X22" s="79"/>
      <c r="Y22" s="79"/>
      <c r="Z22" s="79"/>
    </row>
    <row r="23" spans="1:26" ht="125.15" customHeight="1" x14ac:dyDescent="0.15">
      <c r="A23" s="1729"/>
      <c r="B23" s="1712"/>
      <c r="C23" s="84" t="s">
        <v>1977</v>
      </c>
      <c r="D23" s="1705" t="s">
        <v>1978</v>
      </c>
      <c r="E23" s="1706"/>
      <c r="F23" s="95"/>
      <c r="G23" s="99"/>
      <c r="H23" s="79"/>
      <c r="I23" s="79"/>
      <c r="J23" s="79"/>
      <c r="K23" s="79"/>
      <c r="L23" s="79"/>
      <c r="M23" s="79"/>
      <c r="N23" s="79"/>
      <c r="O23" s="79"/>
      <c r="P23" s="79"/>
      <c r="Q23" s="79"/>
      <c r="R23" s="79"/>
      <c r="S23" s="79"/>
      <c r="T23" s="79"/>
      <c r="U23" s="79"/>
      <c r="V23" s="79"/>
      <c r="W23" s="79"/>
      <c r="X23" s="79"/>
      <c r="Y23" s="79"/>
      <c r="Z23" s="79"/>
    </row>
    <row r="24" spans="1:26" ht="30.1" customHeight="1" x14ac:dyDescent="0.15">
      <c r="A24" s="1753">
        <v>2</v>
      </c>
      <c r="B24" s="1754" t="s">
        <v>125</v>
      </c>
      <c r="C24" s="102" t="s">
        <v>1971</v>
      </c>
      <c r="D24" s="1746" t="s">
        <v>1979</v>
      </c>
      <c r="E24" s="1743"/>
      <c r="F24" s="95"/>
      <c r="G24" s="99"/>
      <c r="H24" s="79"/>
      <c r="I24" s="79"/>
      <c r="J24" s="79"/>
      <c r="K24" s="79"/>
      <c r="L24" s="79"/>
      <c r="M24" s="79"/>
      <c r="N24" s="79"/>
      <c r="O24" s="79"/>
      <c r="P24" s="79"/>
      <c r="Q24" s="79"/>
      <c r="R24" s="79"/>
      <c r="S24" s="79"/>
      <c r="T24" s="79"/>
      <c r="U24" s="79"/>
      <c r="V24" s="79"/>
      <c r="W24" s="79"/>
      <c r="X24" s="79"/>
      <c r="Y24" s="79"/>
      <c r="Z24" s="79"/>
    </row>
    <row r="25" spans="1:26" ht="32.450000000000003" customHeight="1" x14ac:dyDescent="0.15">
      <c r="A25" s="1741"/>
      <c r="B25" s="1735"/>
      <c r="C25" s="102" t="s">
        <v>1973</v>
      </c>
      <c r="D25" s="1718" t="s">
        <v>1980</v>
      </c>
      <c r="E25" s="1719"/>
      <c r="F25" s="95"/>
      <c r="G25" s="99"/>
      <c r="H25" s="79"/>
      <c r="I25" s="79"/>
      <c r="J25" s="79"/>
      <c r="K25" s="79"/>
      <c r="L25" s="79"/>
      <c r="M25" s="79"/>
      <c r="N25" s="79"/>
      <c r="O25" s="79"/>
      <c r="P25" s="79"/>
      <c r="Q25" s="79"/>
      <c r="R25" s="79"/>
      <c r="S25" s="79"/>
      <c r="T25" s="79"/>
      <c r="U25" s="79"/>
      <c r="V25" s="79"/>
      <c r="W25" s="79"/>
      <c r="X25" s="79"/>
      <c r="Y25" s="79"/>
      <c r="Z25" s="79"/>
    </row>
    <row r="26" spans="1:26" ht="18.7" customHeight="1" x14ac:dyDescent="0.15">
      <c r="A26" s="1741"/>
      <c r="B26" s="1736"/>
      <c r="C26" s="102" t="s">
        <v>1977</v>
      </c>
      <c r="D26" s="1718" t="s">
        <v>1981</v>
      </c>
      <c r="E26" s="1719"/>
      <c r="F26" s="95"/>
      <c r="G26" s="99"/>
      <c r="H26" s="79"/>
      <c r="I26" s="79"/>
      <c r="J26" s="79"/>
      <c r="K26" s="79"/>
      <c r="L26" s="79"/>
      <c r="M26" s="79"/>
      <c r="N26" s="79"/>
      <c r="O26" s="79"/>
      <c r="P26" s="79"/>
      <c r="Q26" s="79"/>
      <c r="R26" s="79"/>
      <c r="S26" s="79"/>
      <c r="T26" s="79"/>
      <c r="U26" s="79"/>
      <c r="V26" s="79"/>
      <c r="W26" s="79"/>
      <c r="X26" s="79"/>
      <c r="Y26" s="79"/>
      <c r="Z26" s="79"/>
    </row>
    <row r="27" spans="1:26" ht="43" customHeight="1" x14ac:dyDescent="0.15">
      <c r="A27" s="1755">
        <v>3</v>
      </c>
      <c r="B27" s="1734" t="s">
        <v>126</v>
      </c>
      <c r="C27" s="102" t="s">
        <v>1982</v>
      </c>
      <c r="D27" s="1718" t="s">
        <v>1983</v>
      </c>
      <c r="E27" s="1719"/>
      <c r="F27" s="95"/>
      <c r="G27" s="99"/>
      <c r="H27" s="79"/>
      <c r="I27" s="79"/>
      <c r="J27" s="79"/>
      <c r="K27" s="79"/>
      <c r="L27" s="79"/>
      <c r="M27" s="79"/>
      <c r="N27" s="79"/>
      <c r="O27" s="79"/>
      <c r="P27" s="79"/>
      <c r="Q27" s="79"/>
      <c r="R27" s="79"/>
      <c r="S27" s="79"/>
      <c r="T27" s="79"/>
      <c r="U27" s="79"/>
      <c r="V27" s="79"/>
      <c r="W27" s="79"/>
      <c r="X27" s="79"/>
      <c r="Y27" s="79"/>
      <c r="Z27" s="79"/>
    </row>
    <row r="28" spans="1:26" ht="41.1" customHeight="1" x14ac:dyDescent="0.15">
      <c r="A28" s="1741"/>
      <c r="B28" s="1735"/>
      <c r="C28" s="102" t="s">
        <v>1973</v>
      </c>
      <c r="D28" s="1718" t="s">
        <v>1984</v>
      </c>
      <c r="E28" s="1719"/>
      <c r="F28" s="95"/>
      <c r="G28" s="99"/>
      <c r="H28" s="79"/>
      <c r="I28" s="79"/>
      <c r="J28" s="79"/>
      <c r="K28" s="79"/>
      <c r="L28" s="79"/>
      <c r="M28" s="79"/>
      <c r="N28" s="79"/>
      <c r="O28" s="79"/>
      <c r="P28" s="79"/>
      <c r="Q28" s="79"/>
      <c r="R28" s="79"/>
      <c r="S28" s="79"/>
      <c r="T28" s="79"/>
      <c r="U28" s="79"/>
      <c r="V28" s="79"/>
      <c r="W28" s="79"/>
      <c r="X28" s="79"/>
      <c r="Y28" s="79"/>
      <c r="Z28" s="79"/>
    </row>
    <row r="29" spans="1:26" ht="43" customHeight="1" x14ac:dyDescent="0.15">
      <c r="A29" s="1741"/>
      <c r="B29" s="1735"/>
      <c r="C29" s="102" t="s">
        <v>1975</v>
      </c>
      <c r="D29" s="1718" t="s">
        <v>1777</v>
      </c>
      <c r="E29" s="1719"/>
      <c r="F29" s="95"/>
      <c r="G29" s="99"/>
      <c r="H29" s="79"/>
      <c r="I29" s="79"/>
      <c r="J29" s="79"/>
      <c r="K29" s="79"/>
      <c r="L29" s="79"/>
      <c r="M29" s="79"/>
      <c r="N29" s="79"/>
      <c r="O29" s="79"/>
      <c r="P29" s="79"/>
      <c r="Q29" s="79"/>
      <c r="R29" s="79"/>
      <c r="S29" s="79"/>
      <c r="T29" s="79"/>
      <c r="U29" s="79"/>
      <c r="V29" s="79"/>
      <c r="W29" s="79"/>
      <c r="X29" s="79"/>
      <c r="Y29" s="79"/>
      <c r="Z29" s="79"/>
    </row>
    <row r="30" spans="1:26" ht="37.549999999999997" customHeight="1" x14ac:dyDescent="0.15">
      <c r="A30" s="1741"/>
      <c r="B30" s="1736"/>
      <c r="C30" s="102" t="s">
        <v>1977</v>
      </c>
      <c r="D30" s="1718" t="s">
        <v>1523</v>
      </c>
      <c r="E30" s="1719"/>
      <c r="F30" s="95"/>
      <c r="G30" s="99"/>
      <c r="H30" s="79"/>
      <c r="I30" s="79"/>
      <c r="J30" s="79"/>
      <c r="K30" s="79"/>
      <c r="L30" s="79"/>
      <c r="M30" s="79"/>
      <c r="N30" s="79"/>
      <c r="O30" s="79"/>
      <c r="P30" s="79"/>
      <c r="Q30" s="79"/>
      <c r="R30" s="79"/>
      <c r="S30" s="79"/>
      <c r="T30" s="79"/>
      <c r="U30" s="79"/>
      <c r="V30" s="79"/>
      <c r="W30" s="79"/>
      <c r="X30" s="79"/>
      <c r="Y30" s="79"/>
      <c r="Z30" s="79"/>
    </row>
    <row r="31" spans="1:26" ht="24.65" customHeight="1" x14ac:dyDescent="0.15">
      <c r="A31" s="1756">
        <v>4</v>
      </c>
      <c r="B31" s="1734" t="s">
        <v>136</v>
      </c>
      <c r="C31" s="102" t="s">
        <v>1975</v>
      </c>
      <c r="D31" s="1718" t="s">
        <v>1985</v>
      </c>
      <c r="E31" s="1719"/>
      <c r="F31" s="95"/>
      <c r="G31" s="99"/>
      <c r="H31" s="79"/>
      <c r="I31" s="79"/>
      <c r="J31" s="79"/>
      <c r="K31" s="79"/>
      <c r="L31" s="79"/>
      <c r="M31" s="79"/>
      <c r="N31" s="79"/>
      <c r="O31" s="79"/>
      <c r="P31" s="79"/>
      <c r="Q31" s="79"/>
      <c r="R31" s="79"/>
      <c r="S31" s="79"/>
      <c r="T31" s="79"/>
      <c r="U31" s="79"/>
      <c r="V31" s="79"/>
      <c r="W31" s="79"/>
      <c r="X31" s="79"/>
      <c r="Y31" s="79"/>
      <c r="Z31" s="79"/>
    </row>
    <row r="32" spans="1:26" ht="30.6" customHeight="1" x14ac:dyDescent="0.15">
      <c r="A32" s="1741"/>
      <c r="B32" s="1736"/>
      <c r="C32" s="102" t="s">
        <v>1977</v>
      </c>
      <c r="D32" s="1718" t="s">
        <v>1541</v>
      </c>
      <c r="E32" s="1719"/>
      <c r="F32" s="95"/>
      <c r="G32" s="99"/>
      <c r="H32" s="79"/>
      <c r="I32" s="79"/>
      <c r="J32" s="79"/>
      <c r="K32" s="79"/>
      <c r="L32" s="79"/>
      <c r="M32" s="79"/>
      <c r="N32" s="79"/>
      <c r="O32" s="79"/>
      <c r="P32" s="79"/>
      <c r="Q32" s="79"/>
      <c r="R32" s="79"/>
      <c r="S32" s="79"/>
      <c r="T32" s="79"/>
      <c r="U32" s="79"/>
      <c r="V32" s="79"/>
      <c r="W32" s="79"/>
      <c r="X32" s="79"/>
      <c r="Y32" s="79"/>
      <c r="Z32" s="79"/>
    </row>
    <row r="33" spans="1:26" ht="92.4" customHeight="1" x14ac:dyDescent="0.15">
      <c r="A33" s="1757">
        <v>5</v>
      </c>
      <c r="B33" s="1734" t="s">
        <v>1986</v>
      </c>
      <c r="C33" s="102" t="s">
        <v>1971</v>
      </c>
      <c r="D33" s="1718" t="s">
        <v>1987</v>
      </c>
      <c r="E33" s="1719"/>
      <c r="F33" s="95"/>
      <c r="G33" s="99"/>
      <c r="H33" s="79"/>
      <c r="I33" s="79"/>
      <c r="J33" s="79"/>
      <c r="K33" s="79"/>
      <c r="L33" s="79"/>
      <c r="M33" s="79"/>
      <c r="N33" s="79"/>
      <c r="O33" s="79"/>
      <c r="P33" s="79"/>
      <c r="Q33" s="79"/>
      <c r="R33" s="79"/>
      <c r="S33" s="79"/>
      <c r="T33" s="79"/>
      <c r="U33" s="79"/>
      <c r="V33" s="79"/>
      <c r="W33" s="79"/>
      <c r="X33" s="79"/>
      <c r="Y33" s="79"/>
      <c r="Z33" s="79"/>
    </row>
    <row r="34" spans="1:26" ht="28.05" customHeight="1" x14ac:dyDescent="0.15">
      <c r="A34" s="1741"/>
      <c r="B34" s="1735"/>
      <c r="C34" s="102" t="s">
        <v>1973</v>
      </c>
      <c r="D34" s="1718" t="s">
        <v>1988</v>
      </c>
      <c r="E34" s="1719"/>
      <c r="F34" s="95"/>
      <c r="G34" s="99"/>
      <c r="H34" s="79"/>
      <c r="I34" s="79"/>
      <c r="J34" s="79"/>
      <c r="K34" s="79"/>
      <c r="L34" s="79"/>
      <c r="M34" s="79"/>
      <c r="N34" s="79"/>
      <c r="O34" s="79"/>
      <c r="P34" s="79"/>
      <c r="Q34" s="79"/>
      <c r="R34" s="79"/>
      <c r="S34" s="79"/>
      <c r="T34" s="79"/>
      <c r="U34" s="79"/>
      <c r="V34" s="79"/>
      <c r="W34" s="79"/>
      <c r="X34" s="79"/>
      <c r="Y34" s="79"/>
      <c r="Z34" s="79"/>
    </row>
    <row r="35" spans="1:26" ht="80.150000000000006" customHeight="1" x14ac:dyDescent="0.15">
      <c r="A35" s="1741"/>
      <c r="B35" s="1735"/>
      <c r="C35" s="102" t="s">
        <v>1975</v>
      </c>
      <c r="D35" s="1718" t="s">
        <v>1989</v>
      </c>
      <c r="E35" s="1719"/>
      <c r="F35" s="95"/>
      <c r="G35" s="99"/>
      <c r="H35" s="79"/>
      <c r="I35" s="79"/>
      <c r="J35" s="79"/>
      <c r="K35" s="79"/>
      <c r="L35" s="79"/>
      <c r="M35" s="79"/>
      <c r="N35" s="79"/>
      <c r="O35" s="79"/>
      <c r="P35" s="79"/>
      <c r="Q35" s="79"/>
      <c r="R35" s="79"/>
      <c r="S35" s="79"/>
      <c r="T35" s="79"/>
      <c r="U35" s="79"/>
      <c r="V35" s="79"/>
      <c r="W35" s="79"/>
      <c r="X35" s="79"/>
      <c r="Y35" s="79"/>
      <c r="Z35" s="79"/>
    </row>
    <row r="36" spans="1:26" ht="32.1" customHeight="1" x14ac:dyDescent="0.15">
      <c r="A36" s="1728">
        <v>6</v>
      </c>
      <c r="B36" s="1730" t="s">
        <v>1990</v>
      </c>
      <c r="C36" s="104" t="s">
        <v>1971</v>
      </c>
      <c r="D36" s="1720" t="s">
        <v>1991</v>
      </c>
      <c r="E36" s="1706"/>
      <c r="F36" s="95"/>
      <c r="G36" s="99"/>
      <c r="H36" s="79"/>
      <c r="I36" s="79"/>
      <c r="J36" s="79"/>
      <c r="K36" s="79"/>
      <c r="L36" s="79"/>
      <c r="M36" s="79"/>
      <c r="N36" s="79"/>
      <c r="O36" s="79"/>
      <c r="P36" s="79"/>
      <c r="Q36" s="79"/>
      <c r="R36" s="79"/>
      <c r="S36" s="79"/>
      <c r="T36" s="79"/>
      <c r="U36" s="79"/>
      <c r="V36" s="79"/>
      <c r="W36" s="79"/>
      <c r="X36" s="79"/>
      <c r="Y36" s="79"/>
      <c r="Z36" s="79"/>
    </row>
    <row r="37" spans="1:26" ht="30.6" customHeight="1" x14ac:dyDescent="0.15">
      <c r="A37" s="1729"/>
      <c r="B37" s="1368"/>
      <c r="C37" s="104" t="s">
        <v>1973</v>
      </c>
      <c r="D37" s="1705" t="s">
        <v>1992</v>
      </c>
      <c r="E37" s="1706"/>
      <c r="F37" s="95"/>
      <c r="G37" s="99"/>
      <c r="H37" s="79"/>
      <c r="I37" s="79"/>
      <c r="J37" s="79"/>
      <c r="K37" s="79"/>
      <c r="L37" s="79"/>
      <c r="M37" s="79"/>
      <c r="N37" s="79"/>
      <c r="O37" s="79"/>
      <c r="P37" s="79"/>
      <c r="Q37" s="79"/>
      <c r="R37" s="79"/>
      <c r="S37" s="79"/>
      <c r="T37" s="79"/>
      <c r="U37" s="79"/>
      <c r="V37" s="79"/>
      <c r="W37" s="79"/>
      <c r="X37" s="79"/>
      <c r="Y37" s="79"/>
      <c r="Z37" s="79"/>
    </row>
    <row r="38" spans="1:26" ht="17.5" customHeight="1" x14ac:dyDescent="0.15">
      <c r="A38" s="1729"/>
      <c r="B38" s="1368"/>
      <c r="C38" s="104" t="s">
        <v>1975</v>
      </c>
      <c r="D38" s="1705" t="s">
        <v>1993</v>
      </c>
      <c r="E38" s="1706"/>
      <c r="F38" s="95"/>
      <c r="G38" s="99"/>
      <c r="H38" s="79"/>
      <c r="I38" s="79"/>
      <c r="J38" s="79"/>
      <c r="K38" s="79"/>
      <c r="L38" s="79"/>
      <c r="M38" s="79"/>
      <c r="N38" s="79"/>
      <c r="O38" s="79"/>
      <c r="P38" s="79"/>
      <c r="Q38" s="79"/>
      <c r="R38" s="79"/>
      <c r="S38" s="79"/>
      <c r="T38" s="79"/>
      <c r="U38" s="79"/>
      <c r="V38" s="79"/>
      <c r="W38" s="79"/>
      <c r="X38" s="79"/>
      <c r="Y38" s="79"/>
      <c r="Z38" s="79"/>
    </row>
    <row r="39" spans="1:26" ht="21.1" customHeight="1" x14ac:dyDescent="0.15">
      <c r="A39" s="1729"/>
      <c r="B39" s="1368"/>
      <c r="C39" s="104" t="s">
        <v>1977</v>
      </c>
      <c r="D39" s="1705" t="s">
        <v>1994</v>
      </c>
      <c r="E39" s="1706"/>
      <c r="F39" s="95"/>
      <c r="G39" s="99"/>
      <c r="H39" s="79"/>
      <c r="I39" s="79"/>
      <c r="J39" s="79"/>
      <c r="K39" s="79"/>
      <c r="L39" s="79"/>
      <c r="M39" s="79"/>
      <c r="N39" s="79"/>
      <c r="O39" s="79"/>
      <c r="P39" s="79"/>
      <c r="Q39" s="79"/>
      <c r="R39" s="79"/>
      <c r="S39" s="79"/>
      <c r="T39" s="79"/>
      <c r="U39" s="79"/>
      <c r="V39" s="79"/>
      <c r="W39" s="79"/>
      <c r="X39" s="79"/>
      <c r="Y39" s="79"/>
      <c r="Z39" s="79"/>
    </row>
    <row r="40" spans="1:26" ht="32.450000000000003" customHeight="1" x14ac:dyDescent="0.15">
      <c r="A40" s="1731">
        <v>7</v>
      </c>
      <c r="B40" s="1733" t="s">
        <v>1995</v>
      </c>
      <c r="C40" s="310" t="s">
        <v>1971</v>
      </c>
      <c r="D40" s="1721" t="s">
        <v>1996</v>
      </c>
      <c r="E40" s="1722"/>
      <c r="F40" s="95"/>
      <c r="G40" s="79"/>
      <c r="H40" s="79"/>
      <c r="I40" s="79"/>
      <c r="J40" s="79"/>
      <c r="K40" s="79"/>
      <c r="L40" s="79"/>
      <c r="M40" s="79"/>
      <c r="N40" s="79"/>
      <c r="O40" s="79"/>
      <c r="P40" s="79"/>
      <c r="Q40" s="79"/>
      <c r="R40" s="79"/>
      <c r="S40" s="79"/>
      <c r="T40" s="79"/>
      <c r="U40" s="79"/>
      <c r="V40" s="79"/>
      <c r="W40" s="79"/>
      <c r="X40" s="79"/>
      <c r="Y40" s="79"/>
      <c r="Z40" s="79"/>
    </row>
    <row r="41" spans="1:26" ht="27" customHeight="1" x14ac:dyDescent="0.15">
      <c r="A41" s="1732"/>
      <c r="B41" s="1712"/>
      <c r="C41" s="310" t="s">
        <v>1977</v>
      </c>
      <c r="D41" s="1721" t="s">
        <v>1997</v>
      </c>
      <c r="E41" s="1722"/>
      <c r="F41" s="95"/>
      <c r="G41" s="79"/>
      <c r="H41" s="79"/>
      <c r="I41" s="79"/>
      <c r="J41" s="79"/>
      <c r="K41" s="79"/>
      <c r="L41" s="79"/>
      <c r="M41" s="79"/>
      <c r="N41" s="79"/>
      <c r="O41" s="79"/>
      <c r="P41" s="79"/>
      <c r="Q41" s="79"/>
      <c r="R41" s="79"/>
      <c r="S41" s="79"/>
      <c r="T41" s="79"/>
      <c r="U41" s="79"/>
      <c r="V41" s="79"/>
      <c r="W41" s="79"/>
      <c r="X41" s="79"/>
      <c r="Y41" s="79"/>
      <c r="Z41" s="79"/>
    </row>
    <row r="42" spans="1:26" ht="39.1" customHeight="1" x14ac:dyDescent="0.15">
      <c r="A42" s="1758">
        <v>8</v>
      </c>
      <c r="B42" s="105" t="s">
        <v>124</v>
      </c>
      <c r="C42" s="104" t="s">
        <v>1971</v>
      </c>
      <c r="D42" s="1705" t="s">
        <v>1998</v>
      </c>
      <c r="E42" s="1706"/>
      <c r="F42" s="95"/>
      <c r="G42" s="79"/>
      <c r="H42" s="79"/>
      <c r="I42" s="79"/>
      <c r="J42" s="79"/>
      <c r="K42" s="79"/>
      <c r="L42" s="79"/>
      <c r="M42" s="79"/>
      <c r="N42" s="79"/>
      <c r="O42" s="79"/>
      <c r="P42" s="79"/>
      <c r="Q42" s="79"/>
      <c r="R42" s="79"/>
      <c r="S42" s="79"/>
      <c r="T42" s="79"/>
      <c r="U42" s="79"/>
      <c r="V42" s="79"/>
      <c r="W42" s="79"/>
      <c r="X42" s="79"/>
      <c r="Y42" s="79"/>
      <c r="Z42" s="79"/>
    </row>
    <row r="43" spans="1:26" ht="39.1" customHeight="1" x14ac:dyDescent="0.15">
      <c r="A43" s="1759"/>
      <c r="B43" s="105" t="s">
        <v>1999</v>
      </c>
      <c r="C43" s="104" t="s">
        <v>1971</v>
      </c>
      <c r="D43" s="1705" t="s">
        <v>1404</v>
      </c>
      <c r="E43" s="1706"/>
      <c r="F43" s="95"/>
      <c r="G43" s="79"/>
      <c r="H43" s="79"/>
      <c r="I43" s="79"/>
      <c r="J43" s="79"/>
      <c r="K43" s="79"/>
      <c r="L43" s="79"/>
      <c r="M43" s="79"/>
      <c r="N43" s="79"/>
      <c r="O43" s="79"/>
      <c r="P43" s="79"/>
      <c r="Q43" s="79"/>
      <c r="R43" s="79"/>
      <c r="S43" s="79"/>
      <c r="T43" s="79"/>
      <c r="U43" s="79"/>
      <c r="V43" s="79"/>
      <c r="W43" s="79"/>
      <c r="X43" s="79"/>
      <c r="Y43" s="79"/>
      <c r="Z43" s="79"/>
    </row>
    <row r="44" spans="1:26" ht="30.9" customHeight="1" x14ac:dyDescent="0.15">
      <c r="A44" s="1711"/>
      <c r="B44" s="105" t="s">
        <v>2000</v>
      </c>
      <c r="C44" s="103" t="s">
        <v>1973</v>
      </c>
      <c r="D44" s="1705" t="s">
        <v>2001</v>
      </c>
      <c r="E44" s="1706"/>
      <c r="F44" s="95"/>
      <c r="G44" s="79"/>
      <c r="H44" s="79"/>
      <c r="I44" s="79"/>
      <c r="J44" s="79"/>
      <c r="K44" s="79"/>
      <c r="L44" s="79"/>
      <c r="M44" s="79"/>
      <c r="N44" s="79"/>
      <c r="O44" s="79"/>
      <c r="P44" s="79"/>
      <c r="Q44" s="79"/>
      <c r="R44" s="79"/>
      <c r="S44" s="79"/>
      <c r="T44" s="79"/>
      <c r="U44" s="79"/>
      <c r="V44" s="79"/>
      <c r="W44" s="79"/>
      <c r="X44" s="79"/>
      <c r="Y44" s="79"/>
      <c r="Z44" s="79"/>
    </row>
    <row r="45" spans="1:26" ht="25" customHeight="1" x14ac:dyDescent="0.15">
      <c r="A45" s="1711"/>
      <c r="B45" s="105" t="s">
        <v>135</v>
      </c>
      <c r="C45" s="103" t="s">
        <v>1975</v>
      </c>
      <c r="D45" s="1705" t="s">
        <v>2002</v>
      </c>
      <c r="E45" s="1706"/>
      <c r="F45" s="95"/>
      <c r="G45" s="79"/>
      <c r="H45" s="79"/>
      <c r="I45" s="79"/>
      <c r="J45" s="79"/>
      <c r="K45" s="79"/>
      <c r="L45" s="79"/>
      <c r="M45" s="79"/>
      <c r="N45" s="79"/>
      <c r="O45" s="79"/>
      <c r="P45" s="79"/>
      <c r="Q45" s="79"/>
      <c r="R45" s="79"/>
      <c r="S45" s="79"/>
      <c r="T45" s="79"/>
      <c r="U45" s="79"/>
      <c r="V45" s="79"/>
      <c r="W45" s="79"/>
      <c r="X45" s="79"/>
      <c r="Y45" s="79"/>
      <c r="Z45" s="79"/>
    </row>
    <row r="46" spans="1:26" ht="27" customHeight="1" x14ac:dyDescent="0.15">
      <c r="A46" s="1712"/>
      <c r="B46" s="865" t="s">
        <v>2003</v>
      </c>
      <c r="C46" s="106" t="s">
        <v>1977</v>
      </c>
      <c r="D46" s="1723" t="s">
        <v>2004</v>
      </c>
      <c r="E46" s="1724"/>
      <c r="F46" s="95"/>
      <c r="G46" s="79"/>
      <c r="H46" s="79"/>
      <c r="I46" s="79"/>
      <c r="J46" s="79"/>
      <c r="K46" s="79"/>
      <c r="L46" s="79"/>
      <c r="M46" s="79"/>
      <c r="N46" s="79"/>
      <c r="O46" s="79"/>
      <c r="P46" s="79"/>
      <c r="Q46" s="79"/>
      <c r="R46" s="79"/>
      <c r="S46" s="79"/>
      <c r="T46" s="79"/>
      <c r="U46" s="79"/>
      <c r="V46" s="79"/>
      <c r="W46" s="79"/>
      <c r="X46" s="79"/>
      <c r="Y46" s="79"/>
      <c r="Z46" s="79"/>
    </row>
    <row r="47" spans="1:26" ht="58.6" customHeight="1" x14ac:dyDescent="0.15">
      <c r="A47" s="1760">
        <v>9</v>
      </c>
      <c r="B47" s="1761" t="s">
        <v>127</v>
      </c>
      <c r="C47" s="84" t="s">
        <v>1971</v>
      </c>
      <c r="D47" s="1705" t="s">
        <v>2005</v>
      </c>
      <c r="E47" s="1706"/>
      <c r="F47" s="95"/>
      <c r="G47" s="79"/>
      <c r="H47" s="79"/>
      <c r="I47" s="79"/>
      <c r="J47" s="79"/>
      <c r="K47" s="79"/>
      <c r="L47" s="79"/>
      <c r="M47" s="79"/>
      <c r="N47" s="79"/>
      <c r="O47" s="79"/>
      <c r="P47" s="79"/>
      <c r="Q47" s="79"/>
      <c r="R47" s="79"/>
      <c r="S47" s="79"/>
      <c r="T47" s="79"/>
      <c r="U47" s="79"/>
      <c r="V47" s="79"/>
      <c r="W47" s="79"/>
      <c r="X47" s="79"/>
      <c r="Y47" s="79"/>
      <c r="Z47" s="79"/>
    </row>
    <row r="48" spans="1:26" ht="24.65" customHeight="1" x14ac:dyDescent="0.15">
      <c r="A48" s="1711"/>
      <c r="B48" s="1711"/>
      <c r="C48" s="84" t="s">
        <v>1975</v>
      </c>
      <c r="D48" s="1705" t="s">
        <v>2006</v>
      </c>
      <c r="E48" s="1706"/>
      <c r="F48" s="95"/>
      <c r="G48" s="79"/>
      <c r="H48" s="79"/>
      <c r="I48" s="79"/>
      <c r="J48" s="79"/>
      <c r="K48" s="79"/>
      <c r="L48" s="79"/>
      <c r="M48" s="79"/>
      <c r="N48" s="79"/>
      <c r="O48" s="79"/>
      <c r="P48" s="79"/>
      <c r="Q48" s="79"/>
      <c r="R48" s="79"/>
      <c r="S48" s="79"/>
      <c r="T48" s="79"/>
      <c r="U48" s="79"/>
      <c r="V48" s="79"/>
      <c r="W48" s="79"/>
      <c r="X48" s="79"/>
      <c r="Y48" s="79"/>
      <c r="Z48" s="79"/>
    </row>
    <row r="49" spans="1:26" ht="35.15" customHeight="1" x14ac:dyDescent="0.15">
      <c r="A49" s="1711"/>
      <c r="B49" s="1711"/>
      <c r="C49" s="84" t="s">
        <v>1973</v>
      </c>
      <c r="D49" s="1705" t="s">
        <v>2007</v>
      </c>
      <c r="E49" s="1706"/>
      <c r="F49" s="95"/>
      <c r="G49" s="79"/>
      <c r="H49" s="79"/>
      <c r="I49" s="79"/>
      <c r="J49" s="79"/>
      <c r="K49" s="79"/>
      <c r="L49" s="79"/>
      <c r="M49" s="79"/>
      <c r="N49" s="79"/>
      <c r="O49" s="79"/>
      <c r="P49" s="79"/>
      <c r="Q49" s="79"/>
      <c r="R49" s="79"/>
      <c r="S49" s="79"/>
      <c r="T49" s="79"/>
      <c r="U49" s="79"/>
      <c r="V49" s="79"/>
      <c r="W49" s="79"/>
      <c r="X49" s="79"/>
      <c r="Y49" s="79"/>
      <c r="Z49" s="79"/>
    </row>
    <row r="50" spans="1:26" ht="27.7" customHeight="1" x14ac:dyDescent="0.15">
      <c r="A50" s="1707">
        <v>10</v>
      </c>
      <c r="B50" s="1702" t="s">
        <v>131</v>
      </c>
      <c r="C50" s="84" t="s">
        <v>1971</v>
      </c>
      <c r="D50" s="1705" t="s">
        <v>2008</v>
      </c>
      <c r="E50" s="1706"/>
      <c r="F50" s="95"/>
      <c r="G50" s="79"/>
      <c r="H50" s="79"/>
      <c r="I50" s="79"/>
      <c r="J50" s="79"/>
      <c r="K50" s="79"/>
      <c r="L50" s="79"/>
      <c r="M50" s="79"/>
      <c r="N50" s="79"/>
      <c r="O50" s="79"/>
      <c r="P50" s="79"/>
      <c r="Q50" s="79"/>
      <c r="R50" s="79"/>
      <c r="S50" s="79"/>
      <c r="T50" s="79"/>
      <c r="U50" s="79"/>
      <c r="V50" s="79"/>
      <c r="W50" s="79"/>
      <c r="X50" s="79"/>
      <c r="Y50" s="79"/>
      <c r="Z50" s="79"/>
    </row>
    <row r="51" spans="1:26" ht="23.95" customHeight="1" x14ac:dyDescent="0.15">
      <c r="A51" s="1708"/>
      <c r="B51" s="1703"/>
      <c r="C51" s="84" t="s">
        <v>1975</v>
      </c>
      <c r="D51" s="1705" t="s">
        <v>2009</v>
      </c>
      <c r="E51" s="1706"/>
      <c r="F51" s="95"/>
      <c r="G51" s="79"/>
      <c r="H51" s="79"/>
      <c r="I51" s="79"/>
      <c r="J51" s="79"/>
      <c r="K51" s="79"/>
      <c r="L51" s="79"/>
      <c r="M51" s="79"/>
      <c r="N51" s="79"/>
      <c r="O51" s="79"/>
      <c r="P51" s="79"/>
      <c r="Q51" s="79"/>
      <c r="R51" s="79"/>
      <c r="S51" s="79"/>
      <c r="T51" s="79"/>
      <c r="U51" s="79"/>
      <c r="V51" s="79"/>
      <c r="W51" s="79"/>
      <c r="X51" s="79"/>
      <c r="Y51" s="79"/>
      <c r="Z51" s="79"/>
    </row>
    <row r="52" spans="1:26" ht="23.3" customHeight="1" x14ac:dyDescent="0.15">
      <c r="A52" s="1708"/>
      <c r="B52" s="1703"/>
      <c r="C52" s="84" t="s">
        <v>1973</v>
      </c>
      <c r="D52" s="1705" t="s">
        <v>2010</v>
      </c>
      <c r="E52" s="1706"/>
      <c r="F52" s="95"/>
      <c r="G52" s="79"/>
      <c r="H52" s="79"/>
      <c r="I52" s="79"/>
      <c r="J52" s="79"/>
      <c r="K52" s="79"/>
      <c r="L52" s="79"/>
      <c r="M52" s="79"/>
      <c r="N52" s="79"/>
      <c r="O52" s="79"/>
      <c r="P52" s="79"/>
      <c r="Q52" s="79"/>
      <c r="R52" s="79"/>
      <c r="S52" s="79"/>
      <c r="T52" s="79"/>
      <c r="U52" s="79"/>
      <c r="V52" s="79"/>
      <c r="W52" s="79"/>
      <c r="X52" s="79"/>
      <c r="Y52" s="79"/>
      <c r="Z52" s="79"/>
    </row>
    <row r="53" spans="1:26" ht="23.3" customHeight="1" x14ac:dyDescent="0.15">
      <c r="A53" s="1709"/>
      <c r="B53" s="1704"/>
      <c r="C53" s="84" t="s">
        <v>1977</v>
      </c>
      <c r="D53" s="1705" t="s">
        <v>2011</v>
      </c>
      <c r="E53" s="1706"/>
      <c r="F53" s="95"/>
      <c r="G53" s="79"/>
      <c r="H53" s="79"/>
      <c r="I53" s="79"/>
      <c r="J53" s="79"/>
      <c r="K53" s="79"/>
      <c r="L53" s="79"/>
      <c r="M53" s="79"/>
      <c r="N53" s="79"/>
      <c r="O53" s="79"/>
      <c r="P53" s="79"/>
      <c r="Q53" s="79"/>
      <c r="R53" s="79"/>
      <c r="S53" s="79"/>
      <c r="T53" s="79"/>
      <c r="U53" s="79"/>
      <c r="V53" s="79"/>
      <c r="W53" s="79"/>
      <c r="X53" s="79"/>
      <c r="Y53" s="79"/>
      <c r="Z53" s="79"/>
    </row>
    <row r="54" spans="1:26" ht="14.1" customHeight="1" x14ac:dyDescent="0.15">
      <c r="A54" s="820"/>
      <c r="B54" s="820"/>
      <c r="C54" s="357"/>
      <c r="D54" s="128"/>
      <c r="E54" s="820"/>
      <c r="F54" s="95"/>
      <c r="G54" s="79"/>
      <c r="H54" s="79"/>
      <c r="I54" s="79"/>
      <c r="J54" s="79"/>
      <c r="K54" s="79"/>
      <c r="L54" s="79"/>
      <c r="M54" s="79"/>
      <c r="N54" s="79"/>
      <c r="O54" s="79"/>
      <c r="P54" s="79"/>
      <c r="Q54" s="79"/>
      <c r="R54" s="79"/>
      <c r="S54" s="79"/>
      <c r="T54" s="79"/>
      <c r="U54" s="79"/>
      <c r="V54" s="79"/>
      <c r="W54" s="79"/>
      <c r="X54" s="79"/>
      <c r="Y54" s="79"/>
      <c r="Z54" s="79"/>
    </row>
    <row r="55" spans="1:26" ht="13.6" customHeight="1" x14ac:dyDescent="0.15">
      <c r="A55" s="79"/>
      <c r="B55" s="79"/>
      <c r="C55" s="94"/>
      <c r="D55" s="95"/>
      <c r="E55" s="87"/>
      <c r="F55" s="95"/>
      <c r="G55" s="79"/>
      <c r="H55" s="79"/>
      <c r="I55" s="79"/>
      <c r="J55" s="79"/>
      <c r="K55" s="79"/>
      <c r="L55" s="79"/>
      <c r="M55" s="79"/>
      <c r="N55" s="79"/>
      <c r="O55" s="79"/>
      <c r="P55" s="79"/>
      <c r="Q55" s="79"/>
      <c r="R55" s="79"/>
      <c r="S55" s="79"/>
      <c r="T55" s="79"/>
      <c r="U55" s="79"/>
      <c r="V55" s="79"/>
      <c r="W55" s="79"/>
      <c r="X55" s="79"/>
      <c r="Y55" s="79"/>
      <c r="Z55" s="79"/>
    </row>
    <row r="56" spans="1:26" ht="13.6" customHeight="1" x14ac:dyDescent="0.15">
      <c r="A56" s="79"/>
      <c r="B56" s="96" t="s">
        <v>2012</v>
      </c>
      <c r="C56" s="94"/>
      <c r="D56" s="95"/>
      <c r="E56" s="87"/>
      <c r="F56" s="95"/>
      <c r="G56" s="79"/>
      <c r="H56" s="79"/>
      <c r="I56" s="79"/>
      <c r="J56" s="79"/>
      <c r="K56" s="79"/>
      <c r="L56" s="79"/>
      <c r="M56" s="79"/>
      <c r="N56" s="79"/>
      <c r="O56" s="79"/>
      <c r="P56" s="79"/>
      <c r="Q56" s="79"/>
      <c r="R56" s="79"/>
      <c r="S56" s="79"/>
      <c r="T56" s="79"/>
      <c r="U56" s="79"/>
      <c r="V56" s="79"/>
      <c r="W56" s="79"/>
      <c r="X56" s="79"/>
      <c r="Y56" s="79"/>
      <c r="Z56" s="79"/>
    </row>
    <row r="57" spans="1:26" ht="13.6" customHeight="1" x14ac:dyDescent="0.15">
      <c r="A57" s="79"/>
      <c r="B57" s="79"/>
      <c r="C57" s="94"/>
      <c r="D57" s="95"/>
      <c r="E57" s="87"/>
      <c r="F57" s="95"/>
      <c r="G57" s="79"/>
      <c r="H57" s="79"/>
      <c r="I57" s="79"/>
      <c r="J57" s="79"/>
      <c r="K57" s="79"/>
      <c r="L57" s="79"/>
      <c r="M57" s="79"/>
      <c r="N57" s="79"/>
      <c r="O57" s="79"/>
      <c r="P57" s="79"/>
      <c r="Q57" s="79"/>
      <c r="R57" s="79"/>
      <c r="S57" s="79"/>
      <c r="T57" s="79"/>
      <c r="U57" s="79"/>
      <c r="V57" s="79"/>
      <c r="W57" s="79"/>
      <c r="X57" s="79"/>
      <c r="Y57" s="79"/>
      <c r="Z57" s="79"/>
    </row>
    <row r="58" spans="1:26" ht="50.95" customHeight="1" x14ac:dyDescent="0.15">
      <c r="A58" s="95"/>
      <c r="B58" s="107" t="s">
        <v>2013</v>
      </c>
      <c r="C58" s="101" t="s">
        <v>142</v>
      </c>
      <c r="D58" s="101" t="s">
        <v>1968</v>
      </c>
      <c r="E58" s="107" t="s">
        <v>2014</v>
      </c>
      <c r="F58" s="95"/>
      <c r="G58" s="108"/>
      <c r="H58" s="95"/>
      <c r="I58" s="95"/>
      <c r="J58" s="95"/>
      <c r="K58" s="95"/>
      <c r="L58" s="95"/>
      <c r="M58" s="95"/>
      <c r="N58" s="95"/>
      <c r="O58" s="95"/>
      <c r="P58" s="95"/>
      <c r="Q58" s="95"/>
      <c r="R58" s="95"/>
      <c r="S58" s="95"/>
      <c r="T58" s="95"/>
      <c r="U58" s="95"/>
      <c r="V58" s="95"/>
      <c r="W58" s="95"/>
      <c r="X58" s="95"/>
      <c r="Y58" s="95"/>
      <c r="Z58" s="95"/>
    </row>
    <row r="59" spans="1:26" ht="111.1" customHeight="1" x14ac:dyDescent="0.15">
      <c r="A59" s="95"/>
      <c r="B59" s="111" t="str">
        <f>+'4. Intervenciones UDT - HCBM'!D18</f>
        <v>Otorgamiento de derechos sobre la tierra/bosques</v>
      </c>
      <c r="C59" s="1701" t="s">
        <v>1971</v>
      </c>
      <c r="D59" s="1701" t="s">
        <v>129</v>
      </c>
      <c r="E59" s="124" t="str">
        <f>+'4. Intervenciones UDT - HCBM'!E18</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59" s="95"/>
      <c r="G59" s="108"/>
      <c r="H59" s="95"/>
      <c r="I59" s="95"/>
      <c r="J59" s="95"/>
      <c r="K59" s="95"/>
      <c r="L59" s="95"/>
      <c r="M59" s="95"/>
      <c r="N59" s="95"/>
      <c r="O59" s="95"/>
      <c r="P59" s="95"/>
      <c r="Q59" s="95"/>
      <c r="R59" s="95"/>
      <c r="S59" s="95"/>
      <c r="T59" s="95"/>
      <c r="U59" s="95"/>
      <c r="V59" s="95"/>
      <c r="W59" s="95"/>
      <c r="X59" s="95"/>
      <c r="Y59" s="95"/>
      <c r="Z59" s="95"/>
    </row>
    <row r="60" spans="1:26" ht="52.5" customHeight="1" x14ac:dyDescent="0.15">
      <c r="A60" s="79"/>
      <c r="B60" s="111" t="str">
        <f>+'4. Intervenciones UDT - HCBM'!D19</f>
        <v>Asistencia técnica con enfoque bajo en emisiones</v>
      </c>
      <c r="C60" s="1701"/>
      <c r="D60" s="1701"/>
      <c r="E60" s="124" t="str">
        <f>+'4. Intervenciones UDT - HCBM'!E19</f>
        <v>Capacitaciones a 74,562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v>
      </c>
      <c r="F60" s="95"/>
      <c r="G60" s="108"/>
      <c r="H60" s="79"/>
      <c r="I60" s="79"/>
      <c r="J60" s="79"/>
      <c r="K60" s="79"/>
      <c r="L60" s="79"/>
      <c r="M60" s="79"/>
      <c r="N60" s="79"/>
      <c r="O60" s="79"/>
      <c r="P60" s="79"/>
      <c r="Q60" s="79"/>
      <c r="R60" s="79"/>
      <c r="S60" s="79"/>
      <c r="T60" s="79"/>
      <c r="U60" s="79"/>
      <c r="V60" s="79"/>
      <c r="W60" s="79"/>
      <c r="X60" s="79"/>
      <c r="Y60" s="79"/>
      <c r="Z60" s="79"/>
    </row>
    <row r="61" spans="1:26" ht="36.700000000000003" customHeight="1" x14ac:dyDescent="0.15">
      <c r="A61" s="79"/>
      <c r="B61" s="111" t="str">
        <f>+'4. Intervenciones UDT - HCBM'!D20</f>
        <v>Manejo, conservación y recuperación de suelos degradados</v>
      </c>
      <c r="C61" s="1701"/>
      <c r="D61" s="1701"/>
      <c r="E61" s="124" t="str">
        <f>+'4. Intervenciones UDT - HCBM'!E20</f>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v>
      </c>
      <c r="F61" s="110"/>
      <c r="G61" s="79"/>
      <c r="H61" s="79"/>
      <c r="I61" s="79"/>
      <c r="J61" s="79"/>
      <c r="K61" s="79"/>
      <c r="L61" s="79"/>
      <c r="M61" s="79"/>
      <c r="N61" s="79"/>
      <c r="O61" s="79"/>
      <c r="P61" s="79"/>
      <c r="Q61" s="79"/>
      <c r="R61" s="79"/>
      <c r="S61" s="79"/>
      <c r="T61" s="79"/>
      <c r="U61" s="79"/>
      <c r="V61" s="79"/>
      <c r="W61" s="79"/>
      <c r="X61" s="79"/>
      <c r="Y61" s="79"/>
      <c r="Z61" s="79"/>
    </row>
    <row r="62" spans="1:26" ht="41.1" customHeight="1" x14ac:dyDescent="0.15">
      <c r="A62" s="79"/>
      <c r="B62" s="111" t="str">
        <f>+'4. Intervenciones UDT - HCBM'!D21</f>
        <v>Fertilización de áreas productivas de acuerdo a la etapa fenológica del cultivo</v>
      </c>
      <c r="C62" s="1701"/>
      <c r="D62" s="1701"/>
      <c r="E62" s="124" t="str">
        <f>+'4. Intervenciones UDT - HCBM'!E21</f>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v>
      </c>
      <c r="F62" s="110"/>
      <c r="G62" s="79"/>
      <c r="H62" s="79"/>
      <c r="I62" s="79"/>
      <c r="J62" s="79"/>
      <c r="K62" s="79"/>
      <c r="L62" s="79"/>
      <c r="M62" s="79"/>
      <c r="N62" s="79"/>
      <c r="O62" s="79"/>
      <c r="P62" s="79"/>
      <c r="Q62" s="79"/>
      <c r="R62" s="79"/>
      <c r="S62" s="79"/>
      <c r="T62" s="79"/>
      <c r="U62" s="79"/>
      <c r="V62" s="79"/>
      <c r="W62" s="79"/>
      <c r="X62" s="79"/>
      <c r="Y62" s="79"/>
      <c r="Z62" s="79"/>
    </row>
    <row r="63" spans="1:26" ht="50.95" customHeight="1" x14ac:dyDescent="0.15">
      <c r="A63" s="79"/>
      <c r="B63" s="111" t="str">
        <f>+'4. Intervenciones UDT - HCBM'!D22</f>
        <v>Instalación de sistemas de fertirriego</v>
      </c>
      <c r="C63" s="1701"/>
      <c r="D63" s="1701"/>
      <c r="E63" s="124" t="str">
        <f>+'4. Intervenciones UDT - HCBM'!E22</f>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v>
      </c>
      <c r="F63" s="95"/>
      <c r="G63" s="79"/>
      <c r="H63" s="79"/>
      <c r="I63" s="79"/>
      <c r="J63" s="79"/>
      <c r="K63" s="79"/>
      <c r="L63" s="79"/>
      <c r="M63" s="79"/>
      <c r="N63" s="79"/>
      <c r="O63" s="79"/>
      <c r="P63" s="79"/>
      <c r="Q63" s="79"/>
      <c r="R63" s="79"/>
      <c r="S63" s="79"/>
      <c r="T63" s="79"/>
      <c r="U63" s="79"/>
      <c r="V63" s="79"/>
      <c r="W63" s="79"/>
      <c r="X63" s="79"/>
      <c r="Y63" s="79"/>
      <c r="Z63" s="79"/>
    </row>
    <row r="64" spans="1:26" ht="35.35" x14ac:dyDescent="0.15">
      <c r="A64" s="79"/>
      <c r="B64" s="111" t="str">
        <f>+'4. Intervenciones UDT - HCBM'!D23</f>
        <v xml:space="preserve">Reconversión y diversificación productiva </v>
      </c>
      <c r="C64" s="1701"/>
      <c r="D64" s="1701"/>
      <c r="E64" s="124" t="str">
        <f>+'4. Intervenciones UDT - HCBM'!E23</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F64" s="95"/>
      <c r="G64" s="79"/>
      <c r="H64" s="79"/>
      <c r="I64" s="79"/>
      <c r="J64" s="79"/>
      <c r="K64" s="79"/>
      <c r="L64" s="79"/>
      <c r="M64" s="79"/>
      <c r="N64" s="79"/>
      <c r="O64" s="79"/>
      <c r="P64" s="79"/>
      <c r="Q64" s="79"/>
      <c r="R64" s="79"/>
      <c r="S64" s="79"/>
      <c r="T64" s="79"/>
      <c r="U64" s="79"/>
      <c r="V64" s="79"/>
      <c r="W64" s="79"/>
      <c r="X64" s="79"/>
      <c r="Y64" s="79"/>
      <c r="Z64" s="79"/>
    </row>
    <row r="65" spans="1:26" ht="44.15" x14ac:dyDescent="0.15">
      <c r="A65" s="79"/>
      <c r="B65" s="111" t="str">
        <f>+'4. Intervenciones UDT - HCBM'!D24</f>
        <v>Promoción de agricultura familiar con enfoque de mercado</v>
      </c>
      <c r="C65" s="1701"/>
      <c r="D65" s="1701"/>
      <c r="E65" s="124" t="str">
        <f>+'4. Intervenciones UDT - HCBM'!E24</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F65" s="95"/>
      <c r="G65" s="79"/>
      <c r="H65" s="79"/>
      <c r="I65" s="79"/>
      <c r="J65" s="79"/>
      <c r="K65" s="79"/>
      <c r="L65" s="79"/>
      <c r="M65" s="79"/>
      <c r="N65" s="79"/>
      <c r="O65" s="79"/>
      <c r="P65" s="79"/>
      <c r="Q65" s="79"/>
      <c r="R65" s="79"/>
      <c r="S65" s="79"/>
      <c r="T65" s="79"/>
      <c r="U65" s="79"/>
      <c r="V65" s="79"/>
      <c r="W65" s="79"/>
      <c r="X65" s="79"/>
      <c r="Y65" s="79"/>
      <c r="Z65" s="79"/>
    </row>
    <row r="66" spans="1:26" ht="32.450000000000003" customHeight="1" x14ac:dyDescent="0.15">
      <c r="A66" s="79"/>
      <c r="B66" s="111" t="str">
        <f>+'4. Intervenciones UDT - HCBM'!D25</f>
        <v>Asistencia técnica para el desarrollo de la acuicultura</v>
      </c>
      <c r="C66" s="1701"/>
      <c r="D66" s="1701"/>
      <c r="E66" s="124" t="str">
        <f>+'4. Intervenciones UDT - HCBM'!E25</f>
        <v>Capacitaciones a pequeños productores acuícolas en temas relacionados a: Asociatividad, Gestión y administración de piscigranjas, programación de la producción, formalización, gestión de la calidad entre otros temas que permitan la sostenibilidad de la actividad.</v>
      </c>
      <c r="F66" s="95"/>
      <c r="G66" s="79"/>
      <c r="H66" s="79"/>
      <c r="I66" s="79"/>
      <c r="J66" s="79"/>
      <c r="K66" s="79"/>
      <c r="L66" s="79"/>
      <c r="M66" s="79"/>
      <c r="N66" s="79"/>
      <c r="O66" s="79"/>
      <c r="P66" s="79"/>
      <c r="Q66" s="79"/>
      <c r="R66" s="79"/>
      <c r="S66" s="79"/>
      <c r="T66" s="79"/>
      <c r="U66" s="79"/>
      <c r="V66" s="79"/>
      <c r="W66" s="79"/>
      <c r="X66" s="79"/>
      <c r="Y66" s="79"/>
      <c r="Z66" s="79"/>
    </row>
    <row r="67" spans="1:26" ht="35.35" x14ac:dyDescent="0.15">
      <c r="A67" s="79"/>
      <c r="B67" s="111" t="str">
        <f>+'4. Intervenciones UDT - HCBM'!D26</f>
        <v xml:space="preserve">Incentivos financieros para la acuicultura </v>
      </c>
      <c r="C67" s="1701"/>
      <c r="D67" s="1701"/>
      <c r="E67" s="124" t="str">
        <f>+'4. Intervenciones UDT - HCBM'!E26</f>
        <v>Promoción y articulación de créditos a 668 acuicultores, con lo cual deberán potenciar y desarrollar la actividad acuícola de manera sostenida en la región; esta actividad se hará mediante alianzas con entidades financieras locales, FONDEPES, así como fuentes de recursos no reembolsables para innovación como PNIPA, Innóvate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F67" s="95"/>
      <c r="G67" s="79"/>
      <c r="H67" s="79"/>
      <c r="I67" s="79"/>
      <c r="J67" s="79"/>
      <c r="K67" s="79"/>
      <c r="L67" s="79"/>
      <c r="M67" s="79"/>
      <c r="N67" s="79"/>
      <c r="O67" s="79"/>
      <c r="P67" s="79"/>
      <c r="Q67" s="79"/>
      <c r="R67" s="79"/>
      <c r="S67" s="79"/>
      <c r="T67" s="79"/>
      <c r="U67" s="79"/>
      <c r="V67" s="79"/>
      <c r="W67" s="79"/>
      <c r="X67" s="79"/>
      <c r="Y67" s="79"/>
      <c r="Z67" s="79"/>
    </row>
    <row r="68" spans="1:26" ht="44.15" x14ac:dyDescent="0.15">
      <c r="A68" s="79"/>
      <c r="B68" s="111" t="str">
        <f>+'4. Intervenciones UDT - HCBM'!D27</f>
        <v>Programa de acceso al financiamiento agropecuario condicionado</v>
      </c>
      <c r="C68" s="1701"/>
      <c r="D68" s="1701"/>
      <c r="E68" s="187" t="str">
        <f>+'4. Intervenciones UDT - HCBM'!E27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74,562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F68" s="95"/>
      <c r="G68" s="79"/>
      <c r="H68" s="79"/>
      <c r="I68" s="79"/>
      <c r="J68" s="79"/>
      <c r="K68" s="79"/>
      <c r="L68" s="79"/>
      <c r="M68" s="79"/>
      <c r="N68" s="79"/>
      <c r="O68" s="79"/>
      <c r="P68" s="79"/>
      <c r="Q68" s="79"/>
      <c r="R68" s="79"/>
      <c r="S68" s="79"/>
      <c r="T68" s="79"/>
      <c r="U68" s="79"/>
      <c r="V68" s="79"/>
      <c r="W68" s="79"/>
      <c r="X68" s="79"/>
      <c r="Y68" s="79"/>
      <c r="Z68" s="79"/>
    </row>
    <row r="69" spans="1:26" ht="44.15" x14ac:dyDescent="0.15">
      <c r="A69" s="79"/>
      <c r="B69" s="111" t="str">
        <f>+'4. Intervenciones UDT - HCBM'!D28</f>
        <v xml:space="preserve">Implementación de infraestructura productiva con énfasis a la agro exportación </v>
      </c>
      <c r="C69" s="1701"/>
      <c r="D69" s="1701"/>
      <c r="E69" s="124" t="str">
        <f>+'4. Intervenciones UDT - HCBM'!E28</f>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F69" s="95"/>
      <c r="G69" s="79"/>
      <c r="H69" s="79"/>
      <c r="I69" s="79"/>
      <c r="J69" s="79"/>
      <c r="K69" s="79"/>
      <c r="L69" s="79"/>
      <c r="M69" s="79"/>
      <c r="N69" s="79"/>
      <c r="O69" s="79"/>
      <c r="P69" s="79"/>
      <c r="Q69" s="79"/>
      <c r="R69" s="79"/>
      <c r="S69" s="79"/>
      <c r="T69" s="79"/>
      <c r="U69" s="79"/>
      <c r="V69" s="79"/>
      <c r="W69" s="79"/>
      <c r="X69" s="79"/>
      <c r="Y69" s="79"/>
      <c r="Z69" s="79"/>
    </row>
    <row r="70" spans="1:26" ht="50.95" customHeight="1" x14ac:dyDescent="0.15">
      <c r="A70" s="79"/>
      <c r="B70" s="111" t="str">
        <f>+'4. Intervenciones UDT - HCBM'!D29</f>
        <v xml:space="preserve">Fortalecimiento de capacidades en gestión de la calidad en las distintas cadenas de valor </v>
      </c>
      <c r="C70" s="1701"/>
      <c r="D70" s="1701"/>
      <c r="E70" s="124" t="str">
        <f>+'4. Intervenciones UDT - HCBM'!E29</f>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v>
      </c>
      <c r="F70" s="95"/>
      <c r="G70" s="79"/>
      <c r="H70" s="79"/>
      <c r="I70" s="79"/>
      <c r="J70" s="79"/>
      <c r="K70" s="79"/>
      <c r="L70" s="79"/>
      <c r="M70" s="79"/>
      <c r="N70" s="79"/>
      <c r="O70" s="79"/>
      <c r="P70" s="79"/>
      <c r="Q70" s="79"/>
      <c r="R70" s="79"/>
      <c r="S70" s="79"/>
      <c r="T70" s="79"/>
      <c r="U70" s="79"/>
      <c r="V70" s="79"/>
      <c r="W70" s="79"/>
      <c r="X70" s="79"/>
      <c r="Y70" s="79"/>
      <c r="Z70" s="79"/>
    </row>
    <row r="71" spans="1:26" ht="53" x14ac:dyDescent="0.15">
      <c r="A71" s="79"/>
      <c r="B71" s="111" t="str">
        <f>+'4. Intervenciones UDT - HCBM'!D30</f>
        <v>Promoción de modelos asociativos sostenibles</v>
      </c>
      <c r="C71" s="1701"/>
      <c r="D71" s="1701"/>
      <c r="E71" s="124" t="str">
        <f>+'4. Intervenciones UDT - HCBM'!E30</f>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v>
      </c>
      <c r="F71" s="95"/>
      <c r="G71" s="79"/>
      <c r="H71" s="79"/>
      <c r="I71" s="79"/>
      <c r="J71" s="79"/>
      <c r="K71" s="79"/>
      <c r="L71" s="79"/>
      <c r="M71" s="79"/>
      <c r="N71" s="79"/>
      <c r="O71" s="79"/>
      <c r="P71" s="79"/>
      <c r="Q71" s="79"/>
      <c r="R71" s="79"/>
      <c r="S71" s="79"/>
      <c r="T71" s="79"/>
      <c r="U71" s="79"/>
      <c r="V71" s="79"/>
      <c r="W71" s="79"/>
      <c r="X71" s="79"/>
      <c r="Y71" s="79"/>
      <c r="Z71" s="79"/>
    </row>
    <row r="72" spans="1:26" ht="34.5" customHeight="1" x14ac:dyDescent="0.15">
      <c r="A72" s="79"/>
      <c r="B72" s="111" t="str">
        <f>+'4. Intervenciones UDT - HCBM'!D31</f>
        <v>Certificación orgánica y  Comercio Justo</v>
      </c>
      <c r="C72" s="1701"/>
      <c r="D72" s="1701"/>
      <c r="E72" s="124" t="str">
        <f>+'4. Intervenciones UDT - HCBM'!E31</f>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v>
      </c>
      <c r="F72" s="95"/>
      <c r="G72" s="79"/>
      <c r="H72" s="79"/>
      <c r="I72" s="79"/>
      <c r="J72" s="79"/>
      <c r="K72" s="79"/>
      <c r="L72" s="79"/>
      <c r="M72" s="79"/>
      <c r="N72" s="79"/>
      <c r="O72" s="79"/>
      <c r="P72" s="79"/>
      <c r="Q72" s="79"/>
      <c r="R72" s="79"/>
      <c r="S72" s="79"/>
      <c r="T72" s="79"/>
      <c r="U72" s="79"/>
      <c r="V72" s="79"/>
      <c r="W72" s="79"/>
      <c r="X72" s="79"/>
      <c r="Y72" s="79"/>
      <c r="Z72" s="79"/>
    </row>
    <row r="73" spans="1:26" ht="35.35" x14ac:dyDescent="0.15">
      <c r="A73" s="79"/>
      <c r="B73" s="111" t="str">
        <f>+'4. Intervenciones UDT - HCBM'!D32</f>
        <v>Promoción y acceso a los Mecanismos de Retribución por Servicios Eco sistémicos (MERESE)</v>
      </c>
      <c r="C73" s="1701"/>
      <c r="D73" s="1701"/>
      <c r="E73" s="124" t="str">
        <f>+'4. Intervenciones UDT - HCBM'!E32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73" s="95"/>
      <c r="G73" s="79"/>
      <c r="H73" s="79"/>
      <c r="I73" s="79"/>
      <c r="J73" s="79"/>
      <c r="K73" s="79"/>
      <c r="L73" s="79"/>
      <c r="M73" s="79"/>
      <c r="N73" s="79"/>
      <c r="O73" s="79"/>
      <c r="P73" s="79"/>
      <c r="Q73" s="79"/>
      <c r="R73" s="79"/>
      <c r="S73" s="79"/>
      <c r="T73" s="79"/>
      <c r="U73" s="79"/>
      <c r="V73" s="79"/>
      <c r="W73" s="79"/>
      <c r="X73" s="79"/>
      <c r="Y73" s="79"/>
      <c r="Z73" s="79"/>
    </row>
    <row r="74" spans="1:26" ht="21.1" customHeight="1" x14ac:dyDescent="0.15">
      <c r="A74" s="79"/>
      <c r="B74" s="94"/>
      <c r="C74" s="94"/>
      <c r="D74" s="95"/>
      <c r="E74" s="87"/>
      <c r="F74" s="95"/>
      <c r="G74" s="79"/>
      <c r="H74" s="79"/>
      <c r="I74" s="79"/>
      <c r="J74" s="79"/>
      <c r="K74" s="79"/>
      <c r="L74" s="79"/>
      <c r="M74" s="79"/>
      <c r="N74" s="79"/>
      <c r="O74" s="79"/>
      <c r="P74" s="79"/>
      <c r="Q74" s="79"/>
      <c r="R74" s="79"/>
      <c r="S74" s="79"/>
      <c r="T74" s="79"/>
      <c r="U74" s="79"/>
      <c r="V74" s="79"/>
      <c r="W74" s="79"/>
      <c r="X74" s="79"/>
      <c r="Y74" s="79"/>
      <c r="Z74" s="79"/>
    </row>
    <row r="75" spans="1:26" ht="50.95" customHeight="1" x14ac:dyDescent="0.15">
      <c r="A75" s="79"/>
      <c r="B75" s="100" t="s">
        <v>2013</v>
      </c>
      <c r="C75" s="101" t="s">
        <v>1969</v>
      </c>
      <c r="D75" s="101" t="s">
        <v>1968</v>
      </c>
      <c r="E75" s="100" t="s">
        <v>2015</v>
      </c>
      <c r="F75" s="95"/>
      <c r="G75" s="79"/>
      <c r="H75" s="79"/>
      <c r="I75" s="79"/>
      <c r="J75" s="79"/>
      <c r="K75" s="79"/>
      <c r="L75" s="79"/>
      <c r="M75" s="79"/>
      <c r="N75" s="79"/>
      <c r="O75" s="79"/>
      <c r="P75" s="79"/>
      <c r="Q75" s="79"/>
      <c r="R75" s="79"/>
      <c r="S75" s="79"/>
      <c r="T75" s="79"/>
      <c r="U75" s="79"/>
      <c r="V75" s="79"/>
      <c r="W75" s="79"/>
      <c r="X75" s="79"/>
      <c r="Y75" s="79"/>
      <c r="Z75" s="79"/>
    </row>
    <row r="76" spans="1:26" ht="108.7" customHeight="1" x14ac:dyDescent="0.15">
      <c r="A76" s="79"/>
      <c r="B76" s="111" t="str">
        <f>+'4. Intervenciones UDT - HCBM'!D45</f>
        <v>Otorgamiento de derechos sobre la tierra/bosques</v>
      </c>
      <c r="C76" s="1701" t="s">
        <v>1971</v>
      </c>
      <c r="D76" s="1701" t="s">
        <v>125</v>
      </c>
      <c r="E76" s="124" t="str">
        <f>+'4. Intervenciones UDT - HCBM'!E45</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76" s="95"/>
      <c r="G76" s="79"/>
      <c r="H76" s="79"/>
      <c r="I76" s="79"/>
      <c r="J76" s="79"/>
      <c r="K76" s="79"/>
      <c r="L76" s="79"/>
      <c r="M76" s="79"/>
      <c r="N76" s="79"/>
      <c r="O76" s="79"/>
      <c r="P76" s="79"/>
      <c r="Q76" s="79"/>
      <c r="R76" s="79"/>
      <c r="S76" s="79"/>
      <c r="T76" s="79"/>
      <c r="U76" s="79"/>
      <c r="V76" s="79"/>
      <c r="W76" s="79"/>
      <c r="X76" s="79"/>
      <c r="Y76" s="79"/>
      <c r="Z76" s="79"/>
    </row>
    <row r="77" spans="1:26" ht="41.1" customHeight="1" x14ac:dyDescent="0.15">
      <c r="A77" s="79"/>
      <c r="B77" s="111" t="str">
        <f>+'4. Intervenciones UDT - HCBM'!D46</f>
        <v>Promoción y desarrollo de proveedores de semillas mejoradas</v>
      </c>
      <c r="C77" s="1701"/>
      <c r="D77" s="1701"/>
      <c r="E77" s="124" t="str">
        <f>+'4. Intervenciones UDT - HCBM'!E46</f>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v>
      </c>
      <c r="F77" s="95"/>
      <c r="G77" s="79"/>
      <c r="H77" s="79"/>
      <c r="I77" s="79"/>
      <c r="J77" s="79"/>
      <c r="K77" s="79"/>
      <c r="L77" s="79"/>
      <c r="M77" s="79"/>
      <c r="N77" s="79"/>
      <c r="O77" s="79"/>
      <c r="P77" s="79"/>
      <c r="Q77" s="79"/>
      <c r="R77" s="79"/>
      <c r="S77" s="79"/>
      <c r="T77" s="79"/>
      <c r="U77" s="79"/>
      <c r="V77" s="79"/>
      <c r="W77" s="79"/>
      <c r="X77" s="79"/>
      <c r="Y77" s="79"/>
      <c r="Z77" s="79"/>
    </row>
    <row r="78" spans="1:26" ht="35.35" x14ac:dyDescent="0.15">
      <c r="A78" s="79"/>
      <c r="B78" s="111" t="str">
        <f>+'4. Intervenciones UDT - HCBM'!D47</f>
        <v>Promoción de Sistemas de producción sostenibles</v>
      </c>
      <c r="C78" s="1701"/>
      <c r="D78" s="1701"/>
      <c r="E78" s="124" t="str">
        <f>+'4. Intervenciones UDT - HCBM'!E47</f>
        <v xml:space="preserve">Capacitaciones a 5,747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v>
      </c>
      <c r="F78" s="95"/>
      <c r="G78" s="79"/>
      <c r="H78" s="79"/>
      <c r="I78" s="79"/>
      <c r="J78" s="79"/>
      <c r="K78" s="79"/>
      <c r="L78" s="79"/>
      <c r="M78" s="79"/>
      <c r="N78" s="79"/>
      <c r="O78" s="79"/>
      <c r="P78" s="79"/>
      <c r="Q78" s="79"/>
      <c r="R78" s="79"/>
      <c r="S78" s="79"/>
      <c r="T78" s="79"/>
      <c r="U78" s="79"/>
      <c r="V78" s="79"/>
      <c r="W78" s="79"/>
      <c r="X78" s="79"/>
      <c r="Y78" s="79"/>
      <c r="Z78" s="79"/>
    </row>
    <row r="79" spans="1:26" ht="26.5" x14ac:dyDescent="0.15">
      <c r="A79" s="79"/>
      <c r="B79" s="111" t="str">
        <f>+'4. Intervenciones UDT - HCBM'!D48</f>
        <v xml:space="preserve">Reconversión y diversificación productiva </v>
      </c>
      <c r="C79" s="1701"/>
      <c r="D79" s="1701"/>
      <c r="E79" s="124" t="str">
        <f>+'4. Intervenciones UDT - HCBM'!E48</f>
        <v>Se cuenta con aproximadamente 29,220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v>
      </c>
      <c r="F79" s="95"/>
      <c r="G79" s="79"/>
      <c r="H79" s="79"/>
      <c r="I79" s="79"/>
      <c r="J79" s="79"/>
      <c r="K79" s="79"/>
      <c r="L79" s="79"/>
      <c r="M79" s="79"/>
      <c r="N79" s="79"/>
      <c r="O79" s="79"/>
      <c r="P79" s="79"/>
      <c r="Q79" s="79"/>
      <c r="R79" s="79"/>
      <c r="S79" s="79"/>
      <c r="T79" s="79"/>
      <c r="U79" s="79"/>
      <c r="V79" s="79"/>
      <c r="W79" s="79"/>
      <c r="X79" s="79"/>
      <c r="Y79" s="79"/>
      <c r="Z79" s="79"/>
    </row>
    <row r="80" spans="1:26" ht="44.15" x14ac:dyDescent="0.15">
      <c r="A80" s="79"/>
      <c r="B80" s="111" t="str">
        <f>+'4. Intervenciones UDT - HCBM'!D49</f>
        <v>Programa de acceso al financiamiento agropecuario condicionado</v>
      </c>
      <c r="C80" s="1701"/>
      <c r="D80" s="1701"/>
      <c r="E80" s="187" t="str">
        <f>+'4. Intervenciones UDT - HCBM'!E49</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v>
      </c>
      <c r="F80" s="95"/>
      <c r="G80" s="79"/>
      <c r="H80" s="79"/>
      <c r="I80" s="79"/>
      <c r="J80" s="79"/>
      <c r="K80" s="79"/>
      <c r="L80" s="79"/>
      <c r="M80" s="79"/>
      <c r="N80" s="79"/>
      <c r="O80" s="79"/>
      <c r="P80" s="79"/>
      <c r="Q80" s="79"/>
      <c r="R80" s="79"/>
      <c r="S80" s="79"/>
      <c r="T80" s="79"/>
      <c r="U80" s="79"/>
      <c r="V80" s="79"/>
      <c r="W80" s="79"/>
      <c r="X80" s="79"/>
      <c r="Y80" s="79"/>
      <c r="Z80" s="79"/>
    </row>
    <row r="81" spans="1:26" ht="44.15" x14ac:dyDescent="0.15">
      <c r="A81" s="79"/>
      <c r="B81" s="111" t="str">
        <f>+'4. Intervenciones UDT - HCBM'!D50</f>
        <v>Promoción de modelos asociativos sostenibles</v>
      </c>
      <c r="C81" s="1701"/>
      <c r="D81" s="1701"/>
      <c r="E81" s="124" t="str">
        <f>+'4. Intervenciones UDT - HCBM'!E50</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 través de la mesa técnica regional proponer la Reactivar el Consejo Nacional de arroz. </v>
      </c>
      <c r="F81" s="95"/>
      <c r="G81" s="79"/>
      <c r="H81" s="79"/>
      <c r="I81" s="79"/>
      <c r="J81" s="79"/>
      <c r="K81" s="79"/>
      <c r="L81" s="79"/>
      <c r="M81" s="79"/>
      <c r="N81" s="79"/>
      <c r="O81" s="79"/>
      <c r="P81" s="79"/>
      <c r="Q81" s="79"/>
      <c r="R81" s="79"/>
      <c r="S81" s="79"/>
      <c r="T81" s="79"/>
      <c r="U81" s="79"/>
      <c r="V81" s="79"/>
      <c r="W81" s="79"/>
      <c r="X81" s="79"/>
      <c r="Y81" s="79"/>
      <c r="Z81" s="79"/>
    </row>
    <row r="82" spans="1:26" ht="35.35" x14ac:dyDescent="0.15">
      <c r="A82" s="79"/>
      <c r="B82" s="111" t="str">
        <f>+'4. Intervenciones UDT - HCBM'!D51</f>
        <v>Implementación de infraestructura productiva baja en emisiones</v>
      </c>
      <c r="C82" s="1701"/>
      <c r="D82" s="1701"/>
      <c r="E82" s="124" t="str">
        <f>+'4. Intervenciones UDT - HCBM'!E51</f>
        <v>Financiamiento de planes de negocios innovadores y/o convencionales, cuya finalidad sea la obtención de nuevos productos (aprovechamiento de sub productos) o mejora de procesos productivos ( optimización) mediante la implementación de maquinaria, equipos, plantas y otros, considerando un sistema de adquisición de bienes y servicios con responsabilidad social y ambiental.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v>
      </c>
      <c r="F82" s="95"/>
      <c r="G82" s="79"/>
      <c r="H82" s="79"/>
      <c r="I82" s="79"/>
      <c r="J82" s="79"/>
      <c r="K82" s="79"/>
      <c r="L82" s="79"/>
      <c r="M82" s="79"/>
      <c r="N82" s="79"/>
      <c r="O82" s="79"/>
      <c r="P82" s="79"/>
      <c r="Q82" s="79"/>
      <c r="R82" s="79"/>
      <c r="S82" s="79"/>
      <c r="T82" s="79"/>
      <c r="U82" s="79"/>
      <c r="V82" s="79"/>
      <c r="W82" s="79"/>
      <c r="X82" s="79"/>
      <c r="Y82" s="79"/>
      <c r="Z82" s="79"/>
    </row>
    <row r="83" spans="1:26" ht="35.35" x14ac:dyDescent="0.15">
      <c r="A83" s="79"/>
      <c r="B83" s="111" t="str">
        <f>+'4. Intervenciones UDT - HCBM'!D52</f>
        <v>Promoción y acceso a los Mecanismos de Retribución por Servicios Eco sistémicos (MERESE)</v>
      </c>
      <c r="C83" s="1701"/>
      <c r="D83" s="1701"/>
      <c r="E83" s="124" t="str">
        <f>+'4. Intervenciones UDT - HCBM'!E52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83" s="95"/>
      <c r="G83" s="79"/>
      <c r="H83" s="79"/>
      <c r="I83" s="79"/>
      <c r="J83" s="79"/>
      <c r="K83" s="79"/>
      <c r="L83" s="79"/>
      <c r="M83" s="79"/>
      <c r="N83" s="79"/>
      <c r="O83" s="79"/>
      <c r="P83" s="79"/>
      <c r="Q83" s="79"/>
      <c r="R83" s="79"/>
      <c r="S83" s="79"/>
      <c r="T83" s="79"/>
      <c r="U83" s="79"/>
      <c r="V83" s="79"/>
      <c r="W83" s="79"/>
      <c r="X83" s="79"/>
      <c r="Y83" s="79"/>
      <c r="Z83" s="79"/>
    </row>
    <row r="84" spans="1:26" ht="26.5" customHeight="1" x14ac:dyDescent="0.15">
      <c r="A84" s="79"/>
      <c r="B84" s="94"/>
      <c r="C84" s="94"/>
      <c r="D84" s="95"/>
      <c r="E84" s="87"/>
      <c r="F84" s="95"/>
      <c r="G84" s="79"/>
      <c r="H84" s="79"/>
      <c r="I84" s="79"/>
      <c r="J84" s="79"/>
      <c r="K84" s="79"/>
      <c r="L84" s="79"/>
      <c r="M84" s="79"/>
      <c r="N84" s="79"/>
      <c r="O84" s="79"/>
      <c r="P84" s="79"/>
      <c r="Q84" s="79"/>
      <c r="R84" s="79"/>
      <c r="S84" s="79"/>
      <c r="T84" s="79"/>
      <c r="U84" s="79"/>
      <c r="V84" s="79"/>
      <c r="W84" s="79"/>
      <c r="X84" s="79"/>
      <c r="Y84" s="79"/>
      <c r="Z84" s="79"/>
    </row>
    <row r="85" spans="1:26" ht="23.1" customHeight="1" x14ac:dyDescent="0.15">
      <c r="A85" s="79"/>
      <c r="B85" s="79"/>
      <c r="C85" s="94"/>
      <c r="D85" s="95"/>
      <c r="E85" s="87"/>
      <c r="F85" s="95"/>
      <c r="G85" s="79"/>
      <c r="H85" s="79"/>
      <c r="I85" s="79"/>
      <c r="J85" s="79"/>
      <c r="K85" s="79"/>
      <c r="L85" s="79"/>
      <c r="M85" s="79"/>
      <c r="N85" s="79"/>
      <c r="O85" s="79"/>
      <c r="P85" s="79"/>
      <c r="Q85" s="79"/>
      <c r="R85" s="79"/>
      <c r="S85" s="79"/>
      <c r="T85" s="79"/>
      <c r="U85" s="79"/>
      <c r="V85" s="79"/>
      <c r="W85" s="79"/>
      <c r="X85" s="79"/>
      <c r="Y85" s="79"/>
      <c r="Z85" s="79"/>
    </row>
    <row r="86" spans="1:26" ht="34.5" customHeight="1" x14ac:dyDescent="0.15">
      <c r="A86" s="79"/>
      <c r="B86" s="107" t="s">
        <v>2013</v>
      </c>
      <c r="C86" s="101" t="s">
        <v>142</v>
      </c>
      <c r="D86" s="101" t="s">
        <v>1968</v>
      </c>
      <c r="E86" s="107" t="s">
        <v>2014</v>
      </c>
      <c r="F86" s="95"/>
      <c r="G86" s="79"/>
      <c r="H86" s="79"/>
      <c r="I86" s="79"/>
      <c r="J86" s="79"/>
      <c r="K86" s="79"/>
      <c r="L86" s="79"/>
      <c r="M86" s="79"/>
      <c r="N86" s="79"/>
      <c r="O86" s="79"/>
      <c r="P86" s="79"/>
      <c r="Q86" s="79"/>
      <c r="R86" s="79"/>
      <c r="S86" s="79"/>
      <c r="T86" s="79"/>
      <c r="U86" s="79"/>
      <c r="V86" s="79"/>
      <c r="W86" s="79"/>
      <c r="X86" s="79"/>
      <c r="Y86" s="79"/>
      <c r="Z86" s="79"/>
    </row>
    <row r="87" spans="1:26" ht="118.55" customHeight="1" x14ac:dyDescent="0.15">
      <c r="A87" s="79"/>
      <c r="B87" s="111" t="str">
        <f>+'4. Intervenciones UDT - HCBM'!D65</f>
        <v>Otorgamiento de derechos sobre la tierra/bosques</v>
      </c>
      <c r="C87" s="1701" t="s">
        <v>1971</v>
      </c>
      <c r="D87" s="1701" t="s">
        <v>126</v>
      </c>
      <c r="E87" s="124" t="str">
        <f>+'4. Intervenciones UDT - HCBM'!E65</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87" s="95"/>
      <c r="G87" s="79"/>
      <c r="H87" s="79"/>
      <c r="I87" s="79"/>
      <c r="J87" s="79"/>
      <c r="K87" s="79"/>
      <c r="L87" s="79"/>
      <c r="M87" s="79"/>
      <c r="N87" s="79"/>
      <c r="O87" s="79"/>
      <c r="P87" s="79"/>
      <c r="Q87" s="79"/>
      <c r="R87" s="79"/>
      <c r="S87" s="79"/>
      <c r="T87" s="79"/>
      <c r="U87" s="79"/>
      <c r="V87" s="79"/>
      <c r="W87" s="79"/>
      <c r="X87" s="79"/>
      <c r="Y87" s="79"/>
      <c r="Z87" s="79"/>
    </row>
    <row r="88" spans="1:26" ht="61.5" customHeight="1" x14ac:dyDescent="0.15">
      <c r="A88" s="79"/>
      <c r="B88" s="111" t="str">
        <f>+'4. Intervenciones UDT - HCBM'!D66</f>
        <v xml:space="preserve">Asistencia técnica para el mejoramiento de pastos y ganadería </v>
      </c>
      <c r="C88" s="1701"/>
      <c r="D88" s="1701"/>
      <c r="E88" s="124" t="str">
        <f>+'4. Intervenciones UDT - HCBM'!E66</f>
        <v>Capacitaciones a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F88" s="95"/>
      <c r="G88" s="79"/>
      <c r="H88" s="79"/>
      <c r="I88" s="79"/>
      <c r="J88" s="79"/>
      <c r="K88" s="79"/>
      <c r="L88" s="79"/>
      <c r="M88" s="79"/>
      <c r="N88" s="79"/>
      <c r="O88" s="79"/>
      <c r="P88" s="79"/>
      <c r="Q88" s="79"/>
      <c r="R88" s="79"/>
      <c r="S88" s="79"/>
      <c r="T88" s="79"/>
      <c r="U88" s="79"/>
      <c r="V88" s="79"/>
      <c r="W88" s="79"/>
      <c r="X88" s="79"/>
      <c r="Y88" s="79"/>
      <c r="Z88" s="79"/>
    </row>
    <row r="89" spans="1:26" ht="44.15" customHeight="1" x14ac:dyDescent="0.15">
      <c r="A89" s="79"/>
      <c r="B89" s="111" t="str">
        <f>+'4. Intervenciones UDT - HCBM'!D67</f>
        <v>Manejo, conservación y recuperación de suelos degradados</v>
      </c>
      <c r="C89" s="1701"/>
      <c r="D89" s="1701"/>
      <c r="E89" s="124" t="str">
        <f>+'4. Intervenciones UDT - HCBM'!E67</f>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v>
      </c>
      <c r="F89" s="95"/>
      <c r="G89" s="79"/>
      <c r="H89" s="79"/>
      <c r="I89" s="79"/>
      <c r="J89" s="79"/>
      <c r="K89" s="79"/>
      <c r="L89" s="79"/>
      <c r="M89" s="79"/>
      <c r="N89" s="79"/>
      <c r="O89" s="79"/>
      <c r="P89" s="79"/>
      <c r="Q89" s="79"/>
      <c r="R89" s="79"/>
      <c r="S89" s="79"/>
      <c r="T89" s="79"/>
      <c r="U89" s="79"/>
      <c r="V89" s="79"/>
      <c r="W89" s="79"/>
      <c r="X89" s="79"/>
      <c r="Y89" s="79"/>
      <c r="Z89" s="79"/>
    </row>
    <row r="90" spans="1:26" ht="30.1" customHeight="1" x14ac:dyDescent="0.15">
      <c r="A90" s="79"/>
      <c r="B90" s="111" t="str">
        <f>+'4. Intervenciones UDT - HCBM'!D68</f>
        <v>Mejoramiento genético de ganado bovino</v>
      </c>
      <c r="C90" s="1701"/>
      <c r="D90" s="1701"/>
      <c r="E90" s="124" t="str">
        <f>+'4. Intervenciones UDT - HCBM'!E68</f>
        <v xml:space="preserve"> Reactivación, implementación y gestión de las postas de inseminación artificial, material genético, capacitación y entrenamiento a inseminadores (certificar por competencia a través del SINEACE), transferencia de embriones a las granjas de los productores y asistencia técnica.</v>
      </c>
      <c r="F90" s="95"/>
      <c r="G90" s="79"/>
      <c r="H90" s="79"/>
      <c r="I90" s="79"/>
      <c r="J90" s="79"/>
      <c r="K90" s="79"/>
      <c r="L90" s="79"/>
      <c r="M90" s="79"/>
      <c r="N90" s="79"/>
      <c r="O90" s="79"/>
      <c r="P90" s="79"/>
      <c r="Q90" s="79"/>
      <c r="R90" s="79"/>
      <c r="S90" s="79"/>
      <c r="T90" s="79"/>
      <c r="U90" s="79"/>
      <c r="V90" s="79"/>
      <c r="W90" s="79"/>
      <c r="X90" s="79"/>
      <c r="Y90" s="79"/>
      <c r="Z90" s="79"/>
    </row>
    <row r="91" spans="1:26" ht="69.650000000000006" customHeight="1" x14ac:dyDescent="0.15">
      <c r="A91" s="79"/>
      <c r="B91" s="111" t="str">
        <f>+'4. Intervenciones UDT - HCBM'!D69</f>
        <v>Programa de acceso al financiamiento agropecuario condicionado</v>
      </c>
      <c r="C91" s="1701"/>
      <c r="D91" s="1701"/>
      <c r="E91" s="124" t="str">
        <f>+'4. Intervenciones UDT - HCBM'!E69</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v>
      </c>
      <c r="F91" s="95"/>
      <c r="G91" s="79"/>
      <c r="H91" s="79"/>
      <c r="I91" s="79"/>
      <c r="J91" s="79"/>
      <c r="K91" s="79"/>
      <c r="L91" s="79"/>
      <c r="M91" s="79"/>
      <c r="N91" s="79"/>
      <c r="O91" s="79"/>
      <c r="P91" s="79"/>
      <c r="Q91" s="79"/>
      <c r="R91" s="79"/>
      <c r="S91" s="79"/>
      <c r="T91" s="79"/>
      <c r="U91" s="79"/>
      <c r="V91" s="79"/>
      <c r="W91" s="79"/>
      <c r="X91" s="79"/>
      <c r="Y91" s="79"/>
      <c r="Z91" s="79"/>
    </row>
    <row r="92" spans="1:26" ht="82.05" customHeight="1" x14ac:dyDescent="0.15">
      <c r="A92" s="79"/>
      <c r="B92" s="111" t="str">
        <f>+'4. Intervenciones UDT - HCBM'!D70</f>
        <v>Promoción de modelos asociativos sostenibles</v>
      </c>
      <c r="C92" s="1701"/>
      <c r="D92" s="1701"/>
      <c r="E92" s="124" t="str">
        <f>+'4. Intervenciones UDT - HCBM'!E70</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92" s="95"/>
      <c r="G92" s="79"/>
      <c r="H92" s="79"/>
      <c r="I92" s="79"/>
      <c r="J92" s="79"/>
      <c r="K92" s="79"/>
      <c r="L92" s="79"/>
      <c r="M92" s="79"/>
      <c r="N92" s="79"/>
      <c r="O92" s="79"/>
      <c r="P92" s="79"/>
      <c r="Q92" s="79"/>
      <c r="R92" s="79"/>
      <c r="S92" s="79"/>
      <c r="T92" s="79"/>
      <c r="U92" s="79"/>
      <c r="V92" s="79"/>
      <c r="W92" s="79"/>
      <c r="X92" s="79"/>
      <c r="Y92" s="79"/>
      <c r="Z92" s="79"/>
    </row>
    <row r="93" spans="1:26" ht="57.6" customHeight="1" x14ac:dyDescent="0.15">
      <c r="A93" s="79"/>
      <c r="B93" s="111" t="str">
        <f>+'4. Intervenciones UDT - HCBM'!D71</f>
        <v>Implementación de infraestructura productiva baja en emisiones</v>
      </c>
      <c r="C93" s="1701"/>
      <c r="D93" s="1701"/>
      <c r="E93" s="124" t="str">
        <f>+'4. Intervenciones UDT - HCBM'!E71</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considerando un sistema de adquisición de bienes y servicios con responsabilidad social y ambiental.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F93" s="95"/>
      <c r="G93" s="79"/>
      <c r="H93" s="79"/>
      <c r="I93" s="79"/>
      <c r="J93" s="79"/>
      <c r="K93" s="79"/>
      <c r="L93" s="79"/>
      <c r="M93" s="79"/>
      <c r="N93" s="79"/>
      <c r="O93" s="79"/>
      <c r="P93" s="79"/>
      <c r="Q93" s="79"/>
      <c r="R93" s="79"/>
      <c r="S93" s="79"/>
      <c r="T93" s="79"/>
      <c r="U93" s="79"/>
      <c r="V93" s="79"/>
      <c r="W93" s="79"/>
      <c r="X93" s="79"/>
      <c r="Y93" s="79"/>
      <c r="Z93" s="79"/>
    </row>
    <row r="94" spans="1:26" ht="50.95" customHeight="1" x14ac:dyDescent="0.15">
      <c r="A94" s="79"/>
      <c r="B94" s="111" t="str">
        <f>+'4. Intervenciones UDT - HCBM'!D72</f>
        <v>Promoción y acceso a los Mecanismos de Retribución por Servicios Eco sistémicos (MERESE)</v>
      </c>
      <c r="C94" s="1701"/>
      <c r="D94" s="1701"/>
      <c r="E94" s="124" t="str">
        <f>+'4. Intervenciones UDT - HCBM'!E72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94" s="95"/>
      <c r="G94" s="79"/>
      <c r="H94" s="79"/>
      <c r="I94" s="79"/>
      <c r="J94" s="79"/>
      <c r="K94" s="79"/>
      <c r="L94" s="79"/>
      <c r="M94" s="79"/>
      <c r="N94" s="79"/>
      <c r="O94" s="79"/>
      <c r="P94" s="79"/>
      <c r="Q94" s="79"/>
      <c r="R94" s="79"/>
      <c r="S94" s="79"/>
      <c r="T94" s="79"/>
      <c r="U94" s="79"/>
      <c r="V94" s="79"/>
      <c r="W94" s="79"/>
      <c r="X94" s="79"/>
      <c r="Y94" s="79"/>
      <c r="Z94" s="79"/>
    </row>
    <row r="95" spans="1:26" ht="28.55" customHeight="1" x14ac:dyDescent="0.15">
      <c r="A95" s="79"/>
      <c r="B95" s="79"/>
      <c r="C95" s="94"/>
      <c r="D95" s="95"/>
      <c r="E95" s="87"/>
      <c r="F95" s="95"/>
      <c r="G95" s="79"/>
      <c r="H95" s="79"/>
      <c r="I95" s="79"/>
      <c r="J95" s="79"/>
      <c r="K95" s="79"/>
      <c r="L95" s="79"/>
      <c r="M95" s="79"/>
      <c r="N95" s="79"/>
      <c r="O95" s="79"/>
      <c r="P95" s="79"/>
      <c r="Q95" s="79"/>
      <c r="R95" s="79"/>
      <c r="S95" s="79"/>
      <c r="T95" s="79"/>
      <c r="U95" s="79"/>
      <c r="V95" s="79"/>
      <c r="W95" s="79"/>
      <c r="X95" s="79"/>
      <c r="Y95" s="79"/>
      <c r="Z95" s="79"/>
    </row>
    <row r="96" spans="1:26" ht="25" customHeight="1" x14ac:dyDescent="0.15">
      <c r="A96" s="79"/>
      <c r="B96" s="79"/>
      <c r="C96" s="94"/>
      <c r="D96" s="95"/>
      <c r="E96" s="87"/>
      <c r="F96" s="95"/>
      <c r="G96" s="79"/>
      <c r="H96" s="79"/>
      <c r="I96" s="79"/>
      <c r="J96" s="79"/>
      <c r="K96" s="79"/>
      <c r="L96" s="79"/>
      <c r="M96" s="79"/>
      <c r="N96" s="79"/>
      <c r="O96" s="79"/>
      <c r="P96" s="79"/>
      <c r="Q96" s="79"/>
      <c r="R96" s="79"/>
      <c r="S96" s="79"/>
      <c r="T96" s="79"/>
      <c r="U96" s="79"/>
      <c r="V96" s="79"/>
      <c r="W96" s="79"/>
      <c r="X96" s="79"/>
      <c r="Y96" s="79"/>
      <c r="Z96" s="79"/>
    </row>
    <row r="97" spans="1:26" ht="50.95" customHeight="1" x14ac:dyDescent="0.15">
      <c r="A97" s="79"/>
      <c r="B97" s="107" t="s">
        <v>2013</v>
      </c>
      <c r="C97" s="101" t="s">
        <v>142</v>
      </c>
      <c r="D97" s="101" t="s">
        <v>1968</v>
      </c>
      <c r="E97" s="107" t="s">
        <v>2014</v>
      </c>
      <c r="F97" s="95"/>
      <c r="G97" s="79"/>
      <c r="H97" s="79"/>
      <c r="I97" s="79"/>
      <c r="J97" s="79"/>
      <c r="K97" s="79"/>
      <c r="L97" s="79"/>
      <c r="M97" s="79"/>
      <c r="N97" s="79"/>
      <c r="O97" s="79"/>
      <c r="P97" s="79"/>
      <c r="Q97" s="79"/>
      <c r="R97" s="79"/>
      <c r="S97" s="79"/>
      <c r="T97" s="79"/>
      <c r="U97" s="79"/>
      <c r="V97" s="79"/>
      <c r="W97" s="79"/>
      <c r="X97" s="79"/>
      <c r="Y97" s="79"/>
      <c r="Z97" s="79"/>
    </row>
    <row r="98" spans="1:26" ht="115.5" customHeight="1" x14ac:dyDescent="0.15">
      <c r="A98" s="79"/>
      <c r="B98" s="109" t="str">
        <f>+'4. Intervenciones UDT - HCBM'!D84</f>
        <v xml:space="preserve">Concluir reconocimiento y titulación </v>
      </c>
      <c r="C98" s="1710" t="s">
        <v>1971</v>
      </c>
      <c r="D98" s="1710" t="s">
        <v>1986</v>
      </c>
      <c r="E98" s="88" t="str">
        <f>+'4. Intervenciones UDT - HCBM'!E84</f>
        <v>Realizar el proceso de reconocimiento y titulación de las Comunidades Nativas:  En proceso de reconocimiento 6 (Proyecto MDE - COMUNIDAD NATIVA ANAK SHILCAYO, KICHWA SHIMI SHAMBUYAKU, KICHWA ANAK PACHIZA, COMUNIDAD NATIVA KICHWA ANAK PILLWANA, COMUNIDAD NATIVA KICHWA MUSHUK BELEN, COMUNIDAD NATIVA KECHWA TAMUSHAL): En procesos de titulación 15 (YACU SHUTUNA RUMI, KICHWA DOS DE MAYO, KICHWA SAN JUAN DE MIRAFLORES, KICHWA SAN JUAN DE MIRAFLORES, KICHWA YAKU SISA, KICHWA SHUCSHUYACU, AMPI SACHA – MISHQUIYACU, KAWANA AMPI URKU, KICHWA  ISHICHIHUI, PUKA RUMI, PINTU YACU – MACHUPICCHU, URMANA YACU – BARRANQUITA, KECHWA PAWANA ANAK, KICHWA ANAK JUANJUYSILLO, KICHWA CHAMBIRA, KICHWA JULIAN PAMPA );  Por reconocer y titular 1 (COMUNIDAD NATIVA KICHWA NUEVO SAN MIGUEL DEL ALTO BIAVO);  Por titular 28 (KICHWA MURALLA DEL ALTO BIAVO, KICHWA PUERTO FRANCO VALLE PIKIYACU DEL ALTO BIAVO, KICHWA MUSHUK SAN JUAN DE PAW,, KICHWA NUEVO BARRANQUITA, KICHWA WAJA, MARAY, SHABANA YACU, SIMBAKIWI YACU, AWAJUN BAJO MAYO, AWAJUN SIMACACHE, KECHWA NANGAO, ALTO CHURU YACU MOLOSHO, KECHWA EL NARANJAL, KECHWA SHAMBULOA, KICHWA ANAK CHURU YAKU, KICHWA SHUKSHU YAKU, WAYKU, KECHWA MISHKI YAKILLU, KECHWA ALTO PUCALLPILLO, KECHWA KONKONPERA, KECHWA SOLO DEL RIO MAYO, KICHWA DE MORILLO, KICHWA DE PUKALLPA, KICHWA RUMI)
Saneamiento físico legal (georreferenciación, actualización gráfica, e inscripción en registros públicos), en concordancia con la R.M. 0370-2017-MINAGRI, de 13 comunidades nativas: CHIRIK SACHA,  COPAL SACHA,  KAWANA SISA,  NUEVO ARICA DE CACHIYACU, ALTO SHAMBUYACU,  YURILAMAS,  CHUMBAQUIHUI, PAMPA SACHA,  AVIACIÓN, CHIRIKYAKU,  CHUNCHIWI, KACHIPAMPA,  ALTO VISTA ALEGRE DE SHITARIYACU</v>
      </c>
      <c r="F98" s="95"/>
      <c r="G98" s="79"/>
      <c r="H98" s="79"/>
      <c r="I98" s="79"/>
      <c r="J98" s="79"/>
      <c r="K98" s="79"/>
      <c r="L98" s="79"/>
      <c r="M98" s="79"/>
      <c r="N98" s="79"/>
      <c r="O98" s="79"/>
      <c r="P98" s="79"/>
      <c r="Q98" s="79"/>
      <c r="R98" s="79"/>
      <c r="S98" s="79"/>
      <c r="T98" s="79"/>
      <c r="U98" s="79"/>
      <c r="V98" s="79"/>
      <c r="W98" s="79"/>
      <c r="X98" s="79"/>
      <c r="Y98" s="79"/>
      <c r="Z98" s="79"/>
    </row>
    <row r="99" spans="1:26" ht="44.15" x14ac:dyDescent="0.15">
      <c r="A99" s="79"/>
      <c r="B99" s="109" t="str">
        <f>+'4. Intervenciones UDT - HCBM'!D85</f>
        <v xml:space="preserve">Asistencia técnica para el manejo agroforestal </v>
      </c>
      <c r="C99" s="1711"/>
      <c r="D99" s="1711"/>
      <c r="E99" s="88" t="str">
        <f>+'4. Intervenciones UDT - HCBM'!E85</f>
        <v>Capacitaciones a 66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v>
      </c>
      <c r="F99" s="95"/>
      <c r="G99" s="79"/>
      <c r="H99" s="79"/>
      <c r="I99" s="79"/>
      <c r="J99" s="79"/>
      <c r="K99" s="79"/>
      <c r="L99" s="79"/>
      <c r="M99" s="79"/>
      <c r="N99" s="79"/>
      <c r="O99" s="79"/>
      <c r="P99" s="79"/>
      <c r="Q99" s="79"/>
      <c r="R99" s="79"/>
      <c r="S99" s="79"/>
      <c r="T99" s="79"/>
      <c r="U99" s="79"/>
      <c r="V99" s="79"/>
      <c r="W99" s="79"/>
      <c r="X99" s="79"/>
      <c r="Y99" s="79"/>
      <c r="Z99" s="79"/>
    </row>
    <row r="100" spans="1:26" ht="75.099999999999994" customHeight="1" x14ac:dyDescent="0.15">
      <c r="A100" s="79"/>
      <c r="B100" s="109" t="str">
        <f>+'4. Intervenciones UDT - HCBM'!D86</f>
        <v xml:space="preserve">Promoción de Bionegocios con productos forestales no maderables </v>
      </c>
      <c r="C100" s="1711"/>
      <c r="D100" s="1711"/>
      <c r="E100" s="88" t="str">
        <f>+'4. Intervenciones UDT - HCBM'!E86</f>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v>
      </c>
      <c r="F100" s="95"/>
      <c r="G100" s="79"/>
      <c r="H100" s="79"/>
      <c r="I100" s="79"/>
      <c r="J100" s="79"/>
      <c r="K100" s="79"/>
      <c r="L100" s="79"/>
      <c r="M100" s="79"/>
      <c r="N100" s="79"/>
      <c r="O100" s="79"/>
      <c r="P100" s="79"/>
      <c r="Q100" s="79"/>
      <c r="R100" s="79"/>
      <c r="S100" s="79"/>
      <c r="T100" s="79"/>
      <c r="U100" s="79"/>
      <c r="V100" s="79"/>
      <c r="W100" s="79"/>
      <c r="X100" s="79"/>
      <c r="Y100" s="79"/>
      <c r="Z100" s="79"/>
    </row>
    <row r="101" spans="1:26" ht="39.9" customHeight="1" x14ac:dyDescent="0.15">
      <c r="A101" s="79"/>
      <c r="B101" s="109" t="str">
        <f>+'4. Intervenciones UDT - HCBM'!D87</f>
        <v>Fortalecimiento de capacidades</v>
      </c>
      <c r="C101" s="1711"/>
      <c r="D101" s="1711"/>
      <c r="E101" s="88" t="str">
        <f>+'4. Intervenciones UDT - HCBM'!E87</f>
        <v>Capacitaciones a 66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v>
      </c>
      <c r="F101" s="95"/>
      <c r="G101" s="79"/>
      <c r="H101" s="79"/>
      <c r="I101" s="79"/>
      <c r="J101" s="79"/>
      <c r="K101" s="79"/>
      <c r="L101" s="79"/>
      <c r="M101" s="79"/>
      <c r="N101" s="79"/>
      <c r="O101" s="79"/>
      <c r="P101" s="79"/>
      <c r="Q101" s="79"/>
      <c r="R101" s="79"/>
      <c r="S101" s="79"/>
      <c r="T101" s="79"/>
      <c r="U101" s="79"/>
      <c r="V101" s="79"/>
      <c r="W101" s="79"/>
      <c r="X101" s="79"/>
      <c r="Y101" s="79"/>
      <c r="Z101" s="79"/>
    </row>
    <row r="102" spans="1:26" ht="39.9" customHeight="1" x14ac:dyDescent="0.15">
      <c r="A102" s="79"/>
      <c r="B102" s="109" t="str">
        <f>+'4. Intervenciones UDT - HCBM'!D88</f>
        <v>Identificación y apertura de mercado para productos del bosque.</v>
      </c>
      <c r="C102" s="1711"/>
      <c r="D102" s="1711"/>
      <c r="E102" s="88" t="str">
        <f>+'4. Intervenciones UDT - HCBM'!E88</f>
        <v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v>
      </c>
      <c r="F102" s="95"/>
      <c r="G102" s="79"/>
      <c r="H102" s="79"/>
      <c r="I102" s="79"/>
      <c r="J102" s="79"/>
      <c r="K102" s="79"/>
      <c r="L102" s="79"/>
      <c r="M102" s="79"/>
      <c r="N102" s="79"/>
      <c r="O102" s="79"/>
      <c r="P102" s="79"/>
      <c r="Q102" s="79"/>
      <c r="R102" s="79"/>
      <c r="S102" s="79"/>
      <c r="T102" s="79"/>
      <c r="U102" s="79"/>
      <c r="V102" s="79"/>
      <c r="W102" s="79"/>
      <c r="X102" s="79"/>
      <c r="Y102" s="79"/>
      <c r="Z102" s="79"/>
    </row>
    <row r="103" spans="1:26" ht="46.55" customHeight="1" x14ac:dyDescent="0.15">
      <c r="A103" s="79"/>
      <c r="B103" s="109" t="str">
        <f>+'4. Intervenciones UDT - HCBM'!D89</f>
        <v>Transferencias de Incentivos para protección de bosques</v>
      </c>
      <c r="C103" s="1711"/>
      <c r="D103" s="1711"/>
      <c r="E103" s="88" t="str">
        <f>+'4. Intervenciones UDT - HCBM'!E89</f>
        <v>Con el soporte del programa Bosques del MINAM, fortalecer la protección de bosques tropicales en los territorios de las comunidades nativas con el fin de asegurar la explotación y conservación sostenible del bosque y sus recursos. El programa atiende a Comunidades que están tituladas. Así mismo el Gobierno regional promoverá el Financiamiento para la  implementación de la estrategia RIA de CODEPISAM en el corredor ecológico que une a CCNN de 3 pueblos indígenas.</v>
      </c>
      <c r="F103" s="95"/>
      <c r="G103" s="79"/>
      <c r="H103" s="79"/>
      <c r="I103" s="79"/>
      <c r="J103" s="79"/>
      <c r="K103" s="79"/>
      <c r="L103" s="79"/>
      <c r="M103" s="79"/>
      <c r="N103" s="79"/>
      <c r="O103" s="79"/>
      <c r="P103" s="79"/>
      <c r="Q103" s="79"/>
      <c r="R103" s="79"/>
      <c r="S103" s="79"/>
      <c r="T103" s="79"/>
      <c r="U103" s="79"/>
      <c r="V103" s="79"/>
      <c r="W103" s="79"/>
      <c r="X103" s="79"/>
      <c r="Y103" s="79"/>
      <c r="Z103" s="79"/>
    </row>
    <row r="104" spans="1:26" ht="50.95" customHeight="1" x14ac:dyDescent="0.15">
      <c r="A104" s="79"/>
      <c r="B104" s="109" t="str">
        <f>+'4. Intervenciones UDT - HCBM'!D90</f>
        <v>Infraestructura comunitaria ( Tambos, Cobertizos, almacenes, cocinas mejoradas, Baños)</v>
      </c>
      <c r="C104" s="1711"/>
      <c r="D104" s="1711"/>
      <c r="E104" s="88" t="str">
        <f>+'4. Intervenciones UDT - HCBM'!E90</f>
        <v xml:space="preserve">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v>
      </c>
      <c r="F104" s="95"/>
      <c r="G104" s="79"/>
      <c r="H104" s="79"/>
      <c r="I104" s="79"/>
      <c r="J104" s="79"/>
      <c r="K104" s="79"/>
      <c r="L104" s="79"/>
      <c r="M104" s="79"/>
      <c r="N104" s="79"/>
      <c r="O104" s="79"/>
      <c r="P104" s="79"/>
      <c r="Q104" s="79"/>
      <c r="R104" s="79"/>
      <c r="S104" s="79"/>
      <c r="T104" s="79"/>
      <c r="U104" s="79"/>
      <c r="V104" s="79"/>
      <c r="W104" s="79"/>
      <c r="X104" s="79"/>
      <c r="Y104" s="79"/>
      <c r="Z104" s="79"/>
    </row>
    <row r="105" spans="1:26" ht="32.950000000000003" customHeight="1" x14ac:dyDescent="0.15">
      <c r="A105" s="79"/>
      <c r="B105" s="109" t="str">
        <f>+'4. Intervenciones UDT - HCBM'!D91</f>
        <v>Servicios básicos de calidad</v>
      </c>
      <c r="C105" s="1712"/>
      <c r="D105" s="1712"/>
      <c r="E105" s="88" t="str">
        <f>+'4. Intervenciones UDT - HCBM'!E91</f>
        <v xml:space="preserve">Implementación de proyectos enfocados a mejorar los servicios básicos de las comunidades nativas, dichos servicios deberán contar con profesionales bilingües, para asegurar y garantizar la adecuada transferencia de dichos servicios.  </v>
      </c>
      <c r="F105" s="95"/>
      <c r="G105" s="79"/>
      <c r="H105" s="79"/>
      <c r="I105" s="79"/>
      <c r="J105" s="79"/>
      <c r="K105" s="79"/>
      <c r="L105" s="79"/>
      <c r="M105" s="79"/>
      <c r="N105" s="79"/>
      <c r="O105" s="79"/>
      <c r="P105" s="79"/>
      <c r="Q105" s="79"/>
      <c r="R105" s="79"/>
      <c r="S105" s="79"/>
      <c r="T105" s="79"/>
      <c r="U105" s="79"/>
      <c r="V105" s="79"/>
      <c r="W105" s="79"/>
      <c r="X105" s="79"/>
      <c r="Y105" s="79"/>
      <c r="Z105" s="79"/>
    </row>
    <row r="106" spans="1:26" ht="20.05" customHeight="1" x14ac:dyDescent="0.15">
      <c r="A106" s="79"/>
      <c r="B106" s="94"/>
      <c r="C106" s="94"/>
      <c r="D106" s="95"/>
      <c r="E106" s="87"/>
      <c r="F106" s="95"/>
      <c r="G106" s="79"/>
      <c r="H106" s="79"/>
      <c r="I106" s="79"/>
      <c r="J106" s="79"/>
      <c r="K106" s="79"/>
      <c r="L106" s="79"/>
      <c r="M106" s="79"/>
      <c r="N106" s="79"/>
      <c r="O106" s="79"/>
      <c r="P106" s="79"/>
      <c r="Q106" s="79"/>
      <c r="R106" s="79"/>
      <c r="S106" s="79"/>
      <c r="T106" s="79"/>
      <c r="U106" s="79"/>
      <c r="V106" s="79"/>
      <c r="W106" s="79"/>
      <c r="X106" s="79"/>
      <c r="Y106" s="79"/>
      <c r="Z106" s="79"/>
    </row>
    <row r="107" spans="1:26" ht="16.5" customHeight="1" x14ac:dyDescent="0.15">
      <c r="A107" s="79"/>
      <c r="B107" s="79"/>
      <c r="C107" s="94"/>
      <c r="D107" s="95"/>
      <c r="E107" s="87"/>
      <c r="F107" s="95"/>
      <c r="G107" s="79"/>
      <c r="H107" s="79"/>
      <c r="I107" s="79"/>
      <c r="J107" s="79"/>
      <c r="K107" s="79"/>
      <c r="L107" s="79"/>
      <c r="M107" s="79"/>
      <c r="N107" s="79"/>
      <c r="O107" s="79"/>
      <c r="P107" s="79"/>
      <c r="Q107" s="79"/>
      <c r="R107" s="79"/>
      <c r="S107" s="79"/>
      <c r="T107" s="79"/>
      <c r="U107" s="79"/>
      <c r="V107" s="79"/>
      <c r="W107" s="79"/>
      <c r="X107" s="79"/>
      <c r="Y107" s="79"/>
      <c r="Z107" s="79"/>
    </row>
    <row r="108" spans="1:26" ht="36" customHeight="1" x14ac:dyDescent="0.15">
      <c r="A108" s="79"/>
      <c r="B108" s="107" t="s">
        <v>2013</v>
      </c>
      <c r="C108" s="101" t="s">
        <v>142</v>
      </c>
      <c r="D108" s="101" t="s">
        <v>1968</v>
      </c>
      <c r="E108" s="107" t="s">
        <v>2014</v>
      </c>
      <c r="F108" s="95"/>
      <c r="G108" s="79"/>
      <c r="H108" s="79"/>
      <c r="I108" s="79"/>
      <c r="J108" s="79"/>
      <c r="K108" s="79"/>
      <c r="L108" s="79"/>
      <c r="M108" s="79"/>
      <c r="N108" s="79"/>
      <c r="O108" s="79"/>
      <c r="P108" s="79"/>
      <c r="Q108" s="79"/>
      <c r="R108" s="79"/>
      <c r="S108" s="79"/>
      <c r="T108" s="79"/>
      <c r="U108" s="79"/>
      <c r="V108" s="79"/>
      <c r="W108" s="79"/>
      <c r="X108" s="79"/>
      <c r="Y108" s="79"/>
      <c r="Z108" s="79"/>
    </row>
    <row r="109" spans="1:26" ht="44.15" x14ac:dyDescent="0.15">
      <c r="A109" s="79"/>
      <c r="B109" s="111" t="str">
        <f>+'4. Intervenciones UDT - HCBM'!D103</f>
        <v>Incentivos financieros para promoción del ecoturismo y turismo comunitario</v>
      </c>
      <c r="C109" s="1701" t="s">
        <v>1971</v>
      </c>
      <c r="D109" s="1701" t="s">
        <v>2016</v>
      </c>
      <c r="E109" s="127" t="str">
        <f>+'4. Intervenciones UDT - HCBM'!E103</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109" s="95"/>
      <c r="G109" s="79"/>
      <c r="H109" s="79"/>
      <c r="I109" s="79"/>
      <c r="J109" s="79"/>
      <c r="K109" s="79"/>
      <c r="L109" s="79"/>
      <c r="M109" s="79"/>
      <c r="N109" s="79"/>
      <c r="O109" s="79"/>
      <c r="P109" s="79"/>
      <c r="Q109" s="79"/>
      <c r="R109" s="79"/>
      <c r="S109" s="79"/>
      <c r="T109" s="79"/>
      <c r="U109" s="79"/>
      <c r="V109" s="79"/>
      <c r="W109" s="79"/>
      <c r="X109" s="79"/>
      <c r="Y109" s="79"/>
      <c r="Z109" s="79"/>
    </row>
    <row r="110" spans="1:26" ht="61.85" x14ac:dyDescent="0.15">
      <c r="A110" s="79"/>
      <c r="B110" s="111" t="str">
        <f>+'4. Intervenciones UDT - HCBM'!D104</f>
        <v>Asistencia técnica para la gestión del turismo y acciones integradas para el desarrollo de las organizaciones  o emprendimientos comunitarios</v>
      </c>
      <c r="C110" s="1368"/>
      <c r="D110" s="1368"/>
      <c r="E110" s="127" t="str">
        <f>+'4. Intervenciones UDT - HCBM'!E104</f>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
2. Asistencia técnica, orientada al a) Fortalecimiento de la gestión del turismo, b) Consolidación de los productos de turismo y c) Fortalecimiento de la política institucional y la gobernanza del turismo.</v>
      </c>
      <c r="F110" s="95"/>
      <c r="G110" s="79"/>
      <c r="H110" s="79"/>
      <c r="I110" s="79"/>
      <c r="J110" s="79"/>
      <c r="K110" s="79"/>
      <c r="L110" s="79"/>
      <c r="M110" s="79"/>
      <c r="N110" s="79"/>
      <c r="O110" s="79"/>
      <c r="P110" s="79"/>
      <c r="Q110" s="79"/>
      <c r="R110" s="79"/>
      <c r="S110" s="79"/>
      <c r="T110" s="79"/>
      <c r="U110" s="79"/>
      <c r="V110" s="79"/>
      <c r="W110" s="79"/>
      <c r="X110" s="79"/>
      <c r="Y110" s="79"/>
      <c r="Z110" s="79"/>
    </row>
    <row r="111" spans="1:26" ht="35.35" x14ac:dyDescent="0.15">
      <c r="A111" s="79"/>
      <c r="B111" s="111" t="str">
        <f>+'4. Intervenciones UDT - HCBM'!D105</f>
        <v xml:space="preserve">Promoción de Bionegocios con productos forestales no maderables </v>
      </c>
      <c r="C111" s="1368"/>
      <c r="D111" s="1368"/>
      <c r="E111" s="127" t="str">
        <f>+'4. Intervenciones UDT - HCBM'!E105</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111" s="95"/>
      <c r="G111" s="79"/>
      <c r="H111" s="79"/>
      <c r="I111" s="79"/>
      <c r="J111" s="79"/>
      <c r="K111" s="79"/>
      <c r="L111" s="79"/>
      <c r="M111" s="79"/>
      <c r="N111" s="79"/>
      <c r="O111" s="79"/>
      <c r="P111" s="79"/>
      <c r="Q111" s="79"/>
      <c r="R111" s="79"/>
      <c r="S111" s="79"/>
      <c r="T111" s="79"/>
      <c r="U111" s="79"/>
      <c r="V111" s="79"/>
      <c r="W111" s="79"/>
      <c r="X111" s="79"/>
      <c r="Y111" s="79"/>
      <c r="Z111" s="79"/>
    </row>
    <row r="112" spans="1:26" ht="26.5" x14ac:dyDescent="0.15">
      <c r="A112" s="79"/>
      <c r="B112" s="111" t="str">
        <f>+'4. Intervenciones UDT - HCBM'!D106</f>
        <v xml:space="preserve"> Promoción de mercados turísticos</v>
      </c>
      <c r="C112" s="1368"/>
      <c r="D112" s="1368"/>
      <c r="E112" s="127" t="str">
        <f>+'4. Intervenciones UDT - HCBM'!E106</f>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v>
      </c>
      <c r="F112" s="95"/>
      <c r="G112" s="79"/>
      <c r="H112" s="79"/>
      <c r="I112" s="79"/>
      <c r="J112" s="79"/>
      <c r="K112" s="79"/>
      <c r="L112" s="79"/>
      <c r="M112" s="79"/>
      <c r="N112" s="79"/>
      <c r="O112" s="79"/>
      <c r="P112" s="79"/>
      <c r="Q112" s="79"/>
      <c r="R112" s="79"/>
      <c r="S112" s="79"/>
      <c r="T112" s="79"/>
      <c r="U112" s="79"/>
      <c r="V112" s="79"/>
      <c r="W112" s="79"/>
      <c r="X112" s="79"/>
      <c r="Y112" s="79"/>
      <c r="Z112" s="79"/>
    </row>
    <row r="113" spans="1:26" ht="29.4" customHeight="1" x14ac:dyDescent="0.15">
      <c r="A113" s="79"/>
      <c r="B113" s="79"/>
      <c r="C113" s="94"/>
      <c r="D113" s="95"/>
      <c r="E113" s="87"/>
      <c r="F113" s="95"/>
      <c r="G113" s="79"/>
      <c r="H113" s="79"/>
      <c r="I113" s="79"/>
      <c r="J113" s="79"/>
      <c r="K113" s="79"/>
      <c r="L113" s="79"/>
      <c r="M113" s="79"/>
      <c r="N113" s="79"/>
      <c r="O113" s="79"/>
      <c r="P113" s="79"/>
      <c r="Q113" s="79"/>
      <c r="R113" s="79"/>
      <c r="S113" s="79"/>
      <c r="T113" s="79"/>
      <c r="U113" s="79"/>
      <c r="V113" s="79"/>
      <c r="W113" s="79"/>
      <c r="X113" s="79"/>
      <c r="Y113" s="79"/>
      <c r="Z113" s="79"/>
    </row>
    <row r="114" spans="1:26" ht="28.55" customHeight="1" x14ac:dyDescent="0.15">
      <c r="A114" s="79"/>
      <c r="B114" s="79"/>
      <c r="C114" s="94"/>
      <c r="D114" s="95"/>
      <c r="E114" s="87"/>
      <c r="F114" s="95"/>
      <c r="G114" s="79"/>
      <c r="H114" s="79"/>
      <c r="I114" s="79"/>
      <c r="J114" s="79"/>
      <c r="K114" s="79"/>
      <c r="L114" s="79"/>
      <c r="M114" s="79"/>
      <c r="N114" s="79"/>
      <c r="O114" s="79"/>
      <c r="P114" s="79"/>
      <c r="Q114" s="79"/>
      <c r="R114" s="79"/>
      <c r="S114" s="79"/>
      <c r="T114" s="79"/>
      <c r="U114" s="79"/>
      <c r="V114" s="79"/>
      <c r="W114" s="79"/>
      <c r="X114" s="79"/>
      <c r="Y114" s="79"/>
      <c r="Z114" s="79"/>
    </row>
    <row r="115" spans="1:26" ht="37.549999999999997" customHeight="1" x14ac:dyDescent="0.15">
      <c r="A115" s="79"/>
      <c r="B115" s="107" t="s">
        <v>2013</v>
      </c>
      <c r="C115" s="101" t="s">
        <v>142</v>
      </c>
      <c r="D115" s="101" t="s">
        <v>1968</v>
      </c>
      <c r="E115" s="107" t="s">
        <v>2014</v>
      </c>
      <c r="F115" s="95"/>
      <c r="G115" s="79"/>
      <c r="H115" s="79"/>
      <c r="I115" s="79"/>
      <c r="J115" s="79"/>
      <c r="K115" s="79"/>
      <c r="L115" s="79"/>
      <c r="M115" s="79"/>
      <c r="N115" s="79"/>
      <c r="O115" s="79"/>
      <c r="P115" s="79"/>
      <c r="Q115" s="79"/>
      <c r="R115" s="79"/>
      <c r="S115" s="79"/>
      <c r="T115" s="79"/>
      <c r="U115" s="79"/>
      <c r="V115" s="79"/>
      <c r="W115" s="79"/>
      <c r="X115" s="79"/>
      <c r="Y115" s="79"/>
      <c r="Z115" s="79"/>
    </row>
    <row r="116" spans="1:26" ht="50.95" customHeight="1" x14ac:dyDescent="0.15">
      <c r="A116" s="79"/>
      <c r="B116" s="109" t="str">
        <f>+'4. Intervenciones UDT - HCBM'!D119</f>
        <v>Incentivos financieros para manejo forestal sostenible</v>
      </c>
      <c r="C116" s="1710" t="s">
        <v>1971</v>
      </c>
      <c r="D116" s="1710" t="s">
        <v>121</v>
      </c>
      <c r="E116" s="88" t="str">
        <f>+'4. Intervenciones UDT - HCBM'!E119</f>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v>
      </c>
      <c r="F116" s="95"/>
      <c r="G116" s="79"/>
      <c r="H116" s="79"/>
      <c r="I116" s="79"/>
      <c r="J116" s="79"/>
      <c r="K116" s="79"/>
      <c r="L116" s="79"/>
      <c r="M116" s="79"/>
      <c r="N116" s="79"/>
      <c r="O116" s="79"/>
      <c r="P116" s="79"/>
      <c r="Q116" s="79"/>
      <c r="R116" s="79"/>
      <c r="S116" s="79"/>
      <c r="T116" s="79"/>
      <c r="U116" s="79"/>
      <c r="V116" s="79"/>
      <c r="W116" s="79"/>
      <c r="X116" s="79"/>
      <c r="Y116" s="79"/>
      <c r="Z116" s="79"/>
    </row>
    <row r="117" spans="1:26" ht="50.95" customHeight="1" x14ac:dyDescent="0.15">
      <c r="A117" s="79"/>
      <c r="B117" s="109" t="str">
        <f>+'4. Intervenciones UDT - HCBM'!D120</f>
        <v>Nuevos mecanismos de pagos de deudas por sanciones</v>
      </c>
      <c r="C117" s="1750"/>
      <c r="D117" s="1750"/>
      <c r="E117" s="88" t="str">
        <f>+'4. Intervenciones UDT - HCBM'!E120</f>
        <v xml:space="preserve">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inactivas, al menos el 60% se reactiven y cierren los contratos pendientes por ejecutar. </v>
      </c>
      <c r="F117" s="95"/>
      <c r="G117" s="79"/>
      <c r="H117" s="79"/>
      <c r="I117" s="79"/>
      <c r="J117" s="79"/>
      <c r="K117" s="79"/>
      <c r="L117" s="79"/>
      <c r="M117" s="79"/>
      <c r="N117" s="79"/>
      <c r="O117" s="79"/>
      <c r="P117" s="79"/>
      <c r="Q117" s="79"/>
      <c r="R117" s="79"/>
      <c r="S117" s="79"/>
      <c r="T117" s="79"/>
      <c r="U117" s="79"/>
      <c r="V117" s="79"/>
      <c r="W117" s="79"/>
      <c r="X117" s="79"/>
      <c r="Y117" s="79"/>
      <c r="Z117" s="79"/>
    </row>
    <row r="118" spans="1:26" ht="50.95" customHeight="1" x14ac:dyDescent="0.15">
      <c r="A118" s="79"/>
      <c r="B118" s="109" t="str">
        <f>+'4. Intervenciones UDT - HCBM'!D118</f>
        <v>Exclusión y compensación de concesiones forestales maderables a solicitud del concesionario</v>
      </c>
      <c r="C118" s="1751"/>
      <c r="D118" s="1751"/>
      <c r="E118" s="88" t="str">
        <f>+'4. Intervenciones UDT - HCBM'!E118</f>
        <v>Realizar un sinceramiento de las concesiones forestales activas e inactivas para excluir o realizar nuevos otorgamientos a empresas que puedan cumplir técnica y económicamente con lo predispuesto en la directiva.</v>
      </c>
      <c r="F118" s="95"/>
      <c r="G118" s="79"/>
      <c r="H118" s="79"/>
      <c r="I118" s="79"/>
      <c r="J118" s="79"/>
      <c r="K118" s="79"/>
      <c r="L118" s="79"/>
      <c r="M118" s="79"/>
      <c r="N118" s="79"/>
      <c r="O118" s="79"/>
      <c r="P118" s="79"/>
      <c r="Q118" s="79"/>
      <c r="R118" s="79"/>
      <c r="S118" s="79"/>
      <c r="T118" s="79"/>
      <c r="U118" s="79"/>
      <c r="V118" s="79"/>
      <c r="W118" s="79"/>
      <c r="X118" s="79"/>
      <c r="Y118" s="79"/>
      <c r="Z118" s="79"/>
    </row>
    <row r="119" spans="1:26" ht="14.45" customHeight="1" x14ac:dyDescent="0.15">
      <c r="A119" s="79"/>
      <c r="B119" s="79"/>
      <c r="C119" s="94"/>
      <c r="D119" s="95"/>
      <c r="E119" s="87"/>
      <c r="F119" s="95"/>
      <c r="G119" s="79"/>
      <c r="H119" s="79"/>
      <c r="I119" s="79"/>
      <c r="J119" s="79"/>
      <c r="K119" s="79"/>
      <c r="L119" s="79"/>
      <c r="M119" s="79"/>
      <c r="N119" s="79"/>
      <c r="O119" s="79"/>
      <c r="P119" s="79"/>
      <c r="Q119" s="79"/>
      <c r="R119" s="79"/>
      <c r="S119" s="79"/>
      <c r="T119" s="79"/>
      <c r="U119" s="79"/>
      <c r="V119" s="79"/>
      <c r="W119" s="79"/>
      <c r="X119" s="79"/>
      <c r="Y119" s="79"/>
      <c r="Z119" s="79"/>
    </row>
    <row r="120" spans="1:26" ht="18.7" customHeight="1" x14ac:dyDescent="0.15">
      <c r="A120" s="79"/>
      <c r="B120" s="79"/>
      <c r="C120" s="94"/>
      <c r="D120" s="95"/>
      <c r="E120" s="87"/>
      <c r="F120" s="95"/>
      <c r="G120" s="79"/>
      <c r="H120" s="79"/>
      <c r="I120" s="79"/>
      <c r="J120" s="79"/>
      <c r="K120" s="79"/>
      <c r="L120" s="79"/>
      <c r="M120" s="79"/>
      <c r="N120" s="79"/>
      <c r="O120" s="79"/>
      <c r="P120" s="79"/>
      <c r="Q120" s="79"/>
      <c r="R120" s="79"/>
      <c r="S120" s="79"/>
      <c r="T120" s="79"/>
      <c r="U120" s="79"/>
      <c r="V120" s="79"/>
      <c r="W120" s="79"/>
      <c r="X120" s="79"/>
      <c r="Y120" s="79"/>
      <c r="Z120" s="79"/>
    </row>
    <row r="121" spans="1:26" ht="39.1" customHeight="1" x14ac:dyDescent="0.15">
      <c r="A121" s="79"/>
      <c r="B121" s="107" t="s">
        <v>2013</v>
      </c>
      <c r="C121" s="101" t="s">
        <v>142</v>
      </c>
      <c r="D121" s="101" t="s">
        <v>1968</v>
      </c>
      <c r="E121" s="107" t="s">
        <v>2014</v>
      </c>
      <c r="F121" s="95"/>
      <c r="G121" s="79"/>
      <c r="H121" s="79"/>
      <c r="I121" s="79"/>
      <c r="J121" s="79"/>
      <c r="K121" s="79"/>
      <c r="L121" s="79"/>
      <c r="M121" s="79"/>
      <c r="N121" s="79"/>
      <c r="O121" s="79"/>
      <c r="P121" s="79"/>
      <c r="Q121" s="79"/>
      <c r="R121" s="79"/>
      <c r="S121" s="79"/>
      <c r="T121" s="79"/>
      <c r="U121" s="79"/>
      <c r="V121" s="79"/>
      <c r="W121" s="79"/>
      <c r="X121" s="79"/>
      <c r="Y121" s="79"/>
      <c r="Z121" s="79"/>
    </row>
    <row r="122" spans="1:26" ht="50.95" customHeight="1" x14ac:dyDescent="0.15">
      <c r="A122" s="79"/>
      <c r="B122" s="109" t="str">
        <f>+'4. Intervenciones UDT - HCBM'!D133</f>
        <v>Fortalecer el control y vigilancia</v>
      </c>
      <c r="C122" s="1710" t="s">
        <v>1971</v>
      </c>
      <c r="D122" s="1710" t="s">
        <v>124</v>
      </c>
      <c r="E122" s="88" t="str">
        <f>+'4. Intervenciones UDT - HCBM'!E133</f>
        <v>Implementar con recursos necesarios al ente que administra el área, con la finalidad de aumentar el número de personas (guardaparques) que contribuyan a realizar acciones de control y vigilancia.</v>
      </c>
      <c r="F122" s="95"/>
      <c r="G122" s="79"/>
      <c r="H122" s="79"/>
      <c r="I122" s="79"/>
      <c r="J122" s="79"/>
      <c r="K122" s="79"/>
      <c r="L122" s="79"/>
      <c r="M122" s="79"/>
      <c r="N122" s="79"/>
      <c r="O122" s="79"/>
      <c r="P122" s="79"/>
      <c r="Q122" s="79"/>
      <c r="R122" s="79"/>
      <c r="S122" s="79"/>
      <c r="T122" s="79"/>
      <c r="U122" s="79"/>
      <c r="V122" s="79"/>
      <c r="W122" s="79"/>
      <c r="X122" s="79"/>
      <c r="Y122" s="79"/>
      <c r="Z122" s="79"/>
    </row>
    <row r="123" spans="1:26" ht="50.95" customHeight="1" x14ac:dyDescent="0.15">
      <c r="A123" s="79"/>
      <c r="B123" s="109" t="str">
        <f>+'4. Intervenciones UDT - HCBM'!D132</f>
        <v>Sensibilización para el fortalecimiento del control y vigilancia en zona de amortiguamiento</v>
      </c>
      <c r="C123" s="1711"/>
      <c r="D123" s="1711"/>
      <c r="E123" s="88" t="str">
        <f>+'4. Intervenciones UDT - HCBM'!E132</f>
        <v>Campañas de sensibilización en los distritos acentuadas en las zonas de amortiguamiento, considerando la participación del ARA, DRASAM, DIRCETUR, GRDS. Articular acciones de vigilancia y control entre el ente que administra el ANP (SERNANP), cooperantes, población organizada como Juntas vecinales, comités de vigilancia, rondas campesinas, productores, comités y otros que se benefician de los servicios eco sistémicos del ANP.</v>
      </c>
      <c r="F123" s="95"/>
      <c r="G123" s="79"/>
      <c r="H123" s="79"/>
      <c r="I123" s="79"/>
      <c r="J123" s="79"/>
      <c r="K123" s="79"/>
      <c r="L123" s="79"/>
      <c r="M123" s="79"/>
      <c r="N123" s="79"/>
      <c r="O123" s="79"/>
      <c r="P123" s="79"/>
      <c r="Q123" s="79"/>
      <c r="R123" s="79"/>
      <c r="S123" s="79"/>
      <c r="T123" s="79"/>
      <c r="U123" s="79"/>
      <c r="V123" s="79"/>
      <c r="W123" s="79"/>
      <c r="X123" s="79"/>
      <c r="Y123" s="79"/>
      <c r="Z123" s="79"/>
    </row>
    <row r="124" spans="1:26" ht="87.65" customHeight="1" x14ac:dyDescent="0.15">
      <c r="A124" s="79"/>
      <c r="B124" s="109" t="str">
        <f>+'4. Intervenciones UDT - HCBM'!D134</f>
        <v>Promover acuerdos de conservación con cadena de valor para aquellos productos sostenibles con el parque.</v>
      </c>
      <c r="C124" s="1711"/>
      <c r="D124" s="1711"/>
      <c r="E124" s="88" t="str">
        <f>+'4. Intervenciones UDT - HCBM'!E134</f>
        <v>Promover la planificación comunal en centros poblados del interior en base a la zonificación y zona de amortiguamiento teniendo como base al Plan Maestro (incluye acuerdos de conservación)</v>
      </c>
      <c r="F124" s="95"/>
      <c r="G124" s="79"/>
      <c r="H124" s="79"/>
      <c r="I124" s="79"/>
      <c r="J124" s="79"/>
      <c r="K124" s="79"/>
      <c r="L124" s="79"/>
      <c r="M124" s="79"/>
      <c r="N124" s="79"/>
      <c r="O124" s="79"/>
      <c r="P124" s="79"/>
      <c r="Q124" s="79"/>
      <c r="R124" s="79"/>
      <c r="S124" s="79"/>
      <c r="T124" s="79"/>
      <c r="U124" s="79"/>
      <c r="V124" s="79"/>
      <c r="W124" s="79"/>
      <c r="X124" s="79"/>
      <c r="Y124" s="79"/>
      <c r="Z124" s="79"/>
    </row>
    <row r="125" spans="1:26" ht="39.1" customHeight="1" x14ac:dyDescent="0.15">
      <c r="A125" s="79"/>
      <c r="B125" s="109" t="str">
        <f>+'4. Intervenciones UDT - HCBM'!D135</f>
        <v>Promoción del turismo comunitario en zona de amortiguamiento y al interior del parque</v>
      </c>
      <c r="C125" s="1711"/>
      <c r="D125" s="1711"/>
      <c r="E125" s="88" t="str">
        <f>+'4. Intervenciones UDT - HCBM'!E135</f>
        <v xml:space="preserve">Campañas de promoción y difusión en el ámbito regional y nacional de los circuitos turísticos que existen en la zona de amortiguamiento. acorde al plan maestro del parque.  </v>
      </c>
      <c r="F125" s="95"/>
      <c r="G125" s="79"/>
      <c r="H125" s="79"/>
      <c r="I125" s="79"/>
      <c r="J125" s="79"/>
      <c r="K125" s="79"/>
      <c r="L125" s="79"/>
      <c r="M125" s="79"/>
      <c r="N125" s="79"/>
      <c r="O125" s="79"/>
      <c r="P125" s="79"/>
      <c r="Q125" s="79"/>
      <c r="R125" s="79"/>
      <c r="S125" s="79"/>
      <c r="T125" s="79"/>
      <c r="U125" s="79"/>
      <c r="V125" s="79"/>
      <c r="W125" s="79"/>
      <c r="X125" s="79"/>
      <c r="Y125" s="79"/>
      <c r="Z125" s="79"/>
    </row>
    <row r="126" spans="1:26" ht="50.95" customHeight="1" x14ac:dyDescent="0.15">
      <c r="A126" s="79"/>
      <c r="B126" s="109" t="str">
        <f>+'4. Intervenciones UDT - HCBM'!D136</f>
        <v>Promoción de agroforestería sostenible en zona de amortiguamiento y al interior del parque</v>
      </c>
      <c r="C126" s="1712"/>
      <c r="D126" s="1712"/>
      <c r="E126" s="88" t="str">
        <f>+'4. Intervenciones UDT - HCBM'!E136</f>
        <v>Realizar pasantías focalizadas en aquellos sectores claves que se necesita intervenir para disminuir la presión del parque.</v>
      </c>
      <c r="F126" s="95"/>
      <c r="G126" s="79"/>
      <c r="H126" s="79"/>
      <c r="I126" s="79"/>
      <c r="J126" s="79"/>
      <c r="K126" s="79"/>
      <c r="L126" s="79"/>
      <c r="M126" s="79"/>
      <c r="N126" s="79"/>
      <c r="O126" s="79"/>
      <c r="P126" s="79"/>
      <c r="Q126" s="79"/>
      <c r="R126" s="79"/>
      <c r="S126" s="79"/>
      <c r="T126" s="79"/>
      <c r="U126" s="79"/>
      <c r="V126" s="79"/>
      <c r="W126" s="79"/>
      <c r="X126" s="79"/>
      <c r="Y126" s="79"/>
      <c r="Z126" s="79"/>
    </row>
    <row r="127" spans="1:26" ht="50.95" customHeight="1" x14ac:dyDescent="0.15">
      <c r="A127" s="79"/>
      <c r="B127" s="245"/>
      <c r="C127" s="246"/>
      <c r="D127" s="246"/>
      <c r="E127" s="247"/>
      <c r="F127" s="95"/>
      <c r="G127" s="79"/>
      <c r="H127" s="79"/>
      <c r="I127" s="79"/>
      <c r="J127" s="79"/>
      <c r="K127" s="79"/>
      <c r="L127" s="79"/>
      <c r="M127" s="79"/>
      <c r="N127" s="79"/>
      <c r="O127" s="79"/>
      <c r="P127" s="79"/>
      <c r="Q127" s="79"/>
      <c r="R127" s="79"/>
      <c r="S127" s="79"/>
      <c r="T127" s="79"/>
      <c r="U127" s="79"/>
      <c r="V127" s="79"/>
      <c r="W127" s="79"/>
      <c r="X127" s="79"/>
      <c r="Y127" s="79"/>
      <c r="Z127" s="79"/>
    </row>
    <row r="128" spans="1:26" ht="50.95" customHeight="1" x14ac:dyDescent="0.15">
      <c r="A128" s="79"/>
      <c r="B128" s="107" t="s">
        <v>2013</v>
      </c>
      <c r="C128" s="101" t="s">
        <v>142</v>
      </c>
      <c r="D128" s="101" t="s">
        <v>1968</v>
      </c>
      <c r="E128" s="107" t="s">
        <v>2014</v>
      </c>
      <c r="F128" s="95"/>
      <c r="G128" s="79"/>
      <c r="H128" s="79"/>
      <c r="I128" s="79"/>
      <c r="J128" s="79"/>
      <c r="K128" s="79"/>
      <c r="L128" s="79"/>
      <c r="M128" s="79"/>
      <c r="N128" s="79"/>
      <c r="O128" s="79"/>
      <c r="P128" s="79"/>
      <c r="Q128" s="79"/>
      <c r="R128" s="79"/>
      <c r="S128" s="79"/>
      <c r="T128" s="79"/>
      <c r="U128" s="79"/>
      <c r="V128" s="79"/>
      <c r="W128" s="79"/>
      <c r="X128" s="79"/>
      <c r="Y128" s="79"/>
      <c r="Z128" s="79"/>
    </row>
    <row r="129" spans="1:26" ht="80.349999999999994" customHeight="1" x14ac:dyDescent="0.15">
      <c r="A129" s="79"/>
      <c r="B129" s="109" t="str">
        <f>'4. Intervenciones UDT - HCBM'!D147</f>
        <v>Promover acuerdos de conservación con cadena de valor para aquellos productos sostenibles con el parque.</v>
      </c>
      <c r="C129" s="1725" t="s">
        <v>1971</v>
      </c>
      <c r="D129" s="1701" t="s">
        <v>2017</v>
      </c>
      <c r="E129" s="127" t="str">
        <f>'4. Intervenciones UDT - HCBM'!E147</f>
        <v>Promover la planificación comunal en centros poblados en base a la zonificación y zona de amortiguamiento teniendo como base al Plan Maestro (incluye acuerdos de conservación)</v>
      </c>
      <c r="F129" s="95"/>
      <c r="G129" s="79"/>
      <c r="H129" s="79"/>
      <c r="I129" s="79"/>
      <c r="J129" s="79"/>
      <c r="K129" s="79"/>
      <c r="L129" s="79"/>
      <c r="M129" s="79"/>
      <c r="N129" s="79"/>
      <c r="O129" s="79"/>
      <c r="P129" s="79"/>
      <c r="Q129" s="79"/>
      <c r="R129" s="79"/>
      <c r="S129" s="79"/>
      <c r="T129" s="79"/>
      <c r="U129" s="79"/>
      <c r="V129" s="79"/>
      <c r="W129" s="79"/>
      <c r="X129" s="79"/>
      <c r="Y129" s="79"/>
      <c r="Z129" s="79"/>
    </row>
    <row r="130" spans="1:26" ht="50.95" customHeight="1" x14ac:dyDescent="0.15">
      <c r="A130" s="79"/>
      <c r="B130" s="109" t="str">
        <f>'4. Intervenciones UDT - HCBM'!D148</f>
        <v>Promoción del turismo comunitario en zona de amortiguamiento y al interior del parque</v>
      </c>
      <c r="C130" s="1726"/>
      <c r="D130" s="1368"/>
      <c r="E130" s="127" t="str">
        <f>'4. Intervenciones UDT - HCBM'!E148</f>
        <v xml:space="preserve">Campañas de promoción y difusión en el ámbito regional y nacional de los circuitos turísticos que existen en la zona de amortiguamiento. acorde al plan maestro del parque.  </v>
      </c>
      <c r="F130" s="95"/>
      <c r="G130" s="79"/>
      <c r="H130" s="79"/>
      <c r="I130" s="79"/>
      <c r="J130" s="79"/>
      <c r="K130" s="79"/>
      <c r="L130" s="79"/>
      <c r="M130" s="79"/>
      <c r="N130" s="79"/>
      <c r="O130" s="79"/>
      <c r="P130" s="79"/>
      <c r="Q130" s="79"/>
      <c r="R130" s="79"/>
      <c r="S130" s="79"/>
      <c r="T130" s="79"/>
      <c r="U130" s="79"/>
      <c r="V130" s="79"/>
      <c r="W130" s="79"/>
      <c r="X130" s="79"/>
      <c r="Y130" s="79"/>
      <c r="Z130" s="79"/>
    </row>
    <row r="131" spans="1:26" ht="50.95" customHeight="1" x14ac:dyDescent="0.15">
      <c r="A131" s="79"/>
      <c r="B131" s="109" t="str">
        <f>'4. Intervenciones UDT - HCBM'!D149</f>
        <v>Promoción de agroforestería sostenible en zona de amortiguamiento del parque</v>
      </c>
      <c r="C131" s="1727"/>
      <c r="D131" s="1368"/>
      <c r="E131" s="127" t="str">
        <f>'4. Intervenciones UDT - HCBM'!E149</f>
        <v>Realizar pasantías focalizadas en aquellos sectores claves que se necesita intervenir para disminuir la presión del parque.</v>
      </c>
      <c r="F131" s="95"/>
      <c r="G131" s="79"/>
      <c r="H131" s="79"/>
      <c r="I131" s="79"/>
      <c r="J131" s="79"/>
      <c r="K131" s="79"/>
      <c r="L131" s="79"/>
      <c r="M131" s="79"/>
      <c r="N131" s="79"/>
      <c r="O131" s="79"/>
      <c r="P131" s="79"/>
      <c r="Q131" s="79"/>
      <c r="R131" s="79"/>
      <c r="S131" s="79"/>
      <c r="T131" s="79"/>
      <c r="U131" s="79"/>
      <c r="V131" s="79"/>
      <c r="W131" s="79"/>
      <c r="X131" s="79"/>
      <c r="Y131" s="79"/>
      <c r="Z131" s="79"/>
    </row>
    <row r="132" spans="1:26" ht="16" customHeight="1" x14ac:dyDescent="0.15">
      <c r="A132" s="79"/>
      <c r="B132" s="248"/>
      <c r="C132" s="249"/>
      <c r="D132" s="250"/>
      <c r="E132" s="251"/>
      <c r="F132" s="95"/>
      <c r="G132" s="79"/>
      <c r="H132" s="79"/>
      <c r="I132" s="79"/>
      <c r="J132" s="79"/>
      <c r="K132" s="79"/>
      <c r="L132" s="79"/>
      <c r="M132" s="79"/>
      <c r="N132" s="79"/>
      <c r="O132" s="79"/>
      <c r="P132" s="79"/>
      <c r="Q132" s="79"/>
      <c r="R132" s="79"/>
      <c r="S132" s="79"/>
      <c r="T132" s="79"/>
      <c r="U132" s="79"/>
      <c r="V132" s="79"/>
      <c r="W132" s="79"/>
      <c r="X132" s="79"/>
      <c r="Y132" s="79"/>
      <c r="Z132" s="79"/>
    </row>
    <row r="133" spans="1:26" ht="12.1" customHeight="1" x14ac:dyDescent="0.15">
      <c r="A133" s="79"/>
      <c r="B133" s="248"/>
      <c r="C133" s="249"/>
      <c r="D133" s="250"/>
      <c r="E133" s="251"/>
      <c r="F133" s="95"/>
      <c r="G133" s="79"/>
      <c r="H133" s="79"/>
      <c r="I133" s="79"/>
      <c r="J133" s="79"/>
      <c r="K133" s="79"/>
      <c r="L133" s="79"/>
      <c r="M133" s="79"/>
      <c r="N133" s="79"/>
      <c r="O133" s="79"/>
      <c r="P133" s="79"/>
      <c r="Q133" s="79"/>
      <c r="R133" s="79"/>
      <c r="S133" s="79"/>
      <c r="T133" s="79"/>
      <c r="U133" s="79"/>
      <c r="V133" s="79"/>
      <c r="W133" s="79"/>
      <c r="X133" s="79"/>
      <c r="Y133" s="79"/>
      <c r="Z133" s="79"/>
    </row>
    <row r="134" spans="1:26" ht="36.700000000000003" customHeight="1" x14ac:dyDescent="0.15">
      <c r="A134" s="79"/>
      <c r="B134" s="107" t="s">
        <v>2013</v>
      </c>
      <c r="C134" s="101" t="s">
        <v>1969</v>
      </c>
      <c r="D134" s="101" t="s">
        <v>1968</v>
      </c>
      <c r="E134" s="107" t="s">
        <v>2014</v>
      </c>
      <c r="F134" s="95"/>
      <c r="G134" s="79"/>
      <c r="H134" s="79"/>
      <c r="I134" s="79"/>
      <c r="J134" s="79"/>
      <c r="K134" s="79"/>
      <c r="L134" s="79"/>
      <c r="M134" s="79"/>
      <c r="N134" s="79"/>
      <c r="O134" s="79"/>
      <c r="P134" s="79"/>
      <c r="Q134" s="79"/>
      <c r="R134" s="79"/>
      <c r="S134" s="79"/>
      <c r="T134" s="79"/>
      <c r="U134" s="79"/>
      <c r="V134" s="79"/>
      <c r="W134" s="79"/>
      <c r="X134" s="79"/>
      <c r="Y134" s="79"/>
      <c r="Z134" s="79"/>
    </row>
    <row r="135" spans="1:26" ht="59.95" customHeight="1" x14ac:dyDescent="0.15">
      <c r="A135" s="79"/>
      <c r="B135" s="126" t="str">
        <f>+'4. Intervenciones UDT - HCBM'!D161</f>
        <v>Adecuación de ZoCRE a unidad de ordenamiento forestal y/o titulo habilitante forestal y de fauna silvestre de acuerdo a LFFS (Ley No 29763)</v>
      </c>
      <c r="C135" s="1701" t="s">
        <v>1971</v>
      </c>
      <c r="D135" s="1701" t="s">
        <v>127</v>
      </c>
      <c r="E135" s="127" t="str">
        <f>+'4. Intervenciones UDT - HCBM'!E161</f>
        <v xml:space="preserve">Analisis de ZoCREs Aguas Termales, Aguanillo, Alto Shilcayo, Gera-Sisa-Organero, Juninguillo-Yanayacu, Río Ochque-Indoche en marco a la zonificación forestal del departamento San Martín, elaboración de expediente técnico e informe legal, remisión de propuesta a SERFOR (en caso requiera), aprobación de resolución, otorgamiento de titulo habilitante </v>
      </c>
      <c r="F135" s="95"/>
      <c r="G135" s="79"/>
      <c r="H135" s="79"/>
      <c r="I135" s="79"/>
      <c r="J135" s="79"/>
      <c r="K135" s="79"/>
      <c r="L135" s="79"/>
      <c r="M135" s="79"/>
      <c r="N135" s="79"/>
      <c r="O135" s="79"/>
      <c r="P135" s="79"/>
      <c r="Q135" s="79"/>
      <c r="R135" s="79"/>
      <c r="S135" s="79"/>
      <c r="T135" s="79"/>
      <c r="U135" s="79"/>
      <c r="V135" s="79"/>
      <c r="W135" s="79"/>
      <c r="X135" s="79"/>
      <c r="Y135" s="79"/>
      <c r="Z135" s="79"/>
    </row>
    <row r="136" spans="1:26" ht="72.7" customHeight="1" x14ac:dyDescent="0.15">
      <c r="A136" s="79"/>
      <c r="B136" s="126" t="str">
        <f>+'4. Intervenciones UDT - HCBM'!D162</f>
        <v>Fortalecimiento de capacidades de los responsables de la administración de las nuevas categorías de ordenamiento forestal y títulos habilitantes forestales</v>
      </c>
      <c r="C136" s="1701"/>
      <c r="D136" s="1701"/>
      <c r="E136" s="127" t="str">
        <f>+'4. Intervenciones UDT - HCBM'!E162</f>
        <v>Comprende la capacitación en manejo de normatividad forestal y manejo de bosques, contratación de especialistas para tener presencia física en el área, equipamiento e infraestructura.</v>
      </c>
      <c r="F136" s="95"/>
      <c r="G136" s="79"/>
      <c r="H136" s="79"/>
      <c r="I136" s="79"/>
      <c r="J136" s="79"/>
      <c r="K136" s="79"/>
      <c r="L136" s="79"/>
      <c r="M136" s="79"/>
      <c r="N136" s="79"/>
      <c r="O136" s="79"/>
      <c r="P136" s="79"/>
      <c r="Q136" s="79"/>
      <c r="R136" s="79"/>
      <c r="S136" s="79"/>
      <c r="T136" s="79"/>
      <c r="U136" s="79"/>
      <c r="V136" s="79"/>
      <c r="W136" s="79"/>
      <c r="X136" s="79"/>
      <c r="Y136" s="79"/>
      <c r="Z136" s="79"/>
    </row>
    <row r="137" spans="1:26" ht="65.25" customHeight="1" x14ac:dyDescent="0.15">
      <c r="A137" s="79"/>
      <c r="B137" s="126" t="str">
        <f>+'4. Intervenciones UDT - HCBM'!D163</f>
        <v>Elaboración del plan/declaración de manejo de las nuevas categorías de ordenamiento forestal y títulos habilitantes forestales</v>
      </c>
      <c r="C137" s="1701"/>
      <c r="D137" s="1701"/>
      <c r="E137" s="127" t="str">
        <f>+'4. Intervenciones UDT - HCBM'!E163</f>
        <v>Dependiendo de la categoría forestal a ser aplicada, se realizará un plan/declaración acorde la unidad, en el marco de la ley forestal y fauna silvestre N° 29763.</v>
      </c>
      <c r="F137" s="95"/>
      <c r="G137" s="79"/>
      <c r="H137" s="79"/>
      <c r="I137" s="79"/>
      <c r="J137" s="79"/>
      <c r="K137" s="79"/>
      <c r="L137" s="79"/>
      <c r="M137" s="79"/>
      <c r="N137" s="79"/>
      <c r="O137" s="79"/>
      <c r="P137" s="79"/>
      <c r="Q137" s="79"/>
      <c r="R137" s="79"/>
      <c r="S137" s="79"/>
      <c r="T137" s="79"/>
      <c r="U137" s="79"/>
      <c r="V137" s="79"/>
      <c r="W137" s="79"/>
      <c r="X137" s="79"/>
      <c r="Y137" s="79"/>
      <c r="Z137" s="79"/>
    </row>
    <row r="138" spans="1:26" ht="36.700000000000003" customHeight="1" x14ac:dyDescent="0.15">
      <c r="A138" s="79"/>
      <c r="B138" s="126" t="str">
        <f>+'4. Intervenciones UDT - HCBM'!D164</f>
        <v>Inscripción en el catastro forestal y en registros públicos</v>
      </c>
      <c r="C138" s="1701"/>
      <c r="D138" s="1701"/>
      <c r="E138" s="127" t="str">
        <f>+'4. Intervenciones UDT - HCBM'!E164</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138" s="95"/>
      <c r="G138" s="79"/>
      <c r="H138" s="79"/>
      <c r="I138" s="79"/>
      <c r="J138" s="79"/>
      <c r="K138" s="79"/>
      <c r="L138" s="79"/>
      <c r="M138" s="79"/>
      <c r="N138" s="79"/>
      <c r="O138" s="79"/>
      <c r="P138" s="79"/>
      <c r="Q138" s="79"/>
      <c r="R138" s="79"/>
      <c r="S138" s="79"/>
      <c r="T138" s="79"/>
      <c r="U138" s="79"/>
      <c r="V138" s="79"/>
      <c r="W138" s="79"/>
      <c r="X138" s="79"/>
      <c r="Y138" s="79"/>
      <c r="Z138" s="79"/>
    </row>
    <row r="139" spans="1:26" ht="18" customHeight="1" x14ac:dyDescent="0.15">
      <c r="A139" s="79"/>
      <c r="B139" s="79"/>
      <c r="C139" s="357"/>
      <c r="D139" s="357"/>
      <c r="E139" s="128"/>
      <c r="F139" s="95"/>
      <c r="G139" s="79"/>
      <c r="H139" s="79"/>
      <c r="I139" s="79"/>
      <c r="J139" s="79"/>
      <c r="K139" s="79"/>
      <c r="L139" s="79"/>
      <c r="M139" s="79"/>
      <c r="N139" s="79"/>
      <c r="O139" s="79"/>
      <c r="P139" s="79"/>
      <c r="Q139" s="79"/>
      <c r="R139" s="79"/>
      <c r="S139" s="79"/>
      <c r="T139" s="79"/>
      <c r="U139" s="79"/>
      <c r="V139" s="79"/>
      <c r="W139" s="79"/>
      <c r="X139" s="79"/>
      <c r="Y139" s="79"/>
      <c r="Z139" s="79"/>
    </row>
    <row r="140" spans="1:26" ht="18" customHeight="1" x14ac:dyDescent="0.15">
      <c r="A140" s="79"/>
      <c r="B140" s="107" t="s">
        <v>2013</v>
      </c>
      <c r="C140" s="101" t="s">
        <v>1969</v>
      </c>
      <c r="D140" s="101" t="s">
        <v>1968</v>
      </c>
      <c r="E140" s="107" t="s">
        <v>2014</v>
      </c>
      <c r="F140" s="95"/>
      <c r="G140" s="79"/>
      <c r="H140" s="79"/>
      <c r="I140" s="79"/>
      <c r="J140" s="79"/>
      <c r="K140" s="79"/>
      <c r="L140" s="79"/>
      <c r="M140" s="79"/>
      <c r="N140" s="79"/>
      <c r="O140" s="79"/>
      <c r="P140" s="79"/>
      <c r="Q140" s="79"/>
      <c r="R140" s="79"/>
      <c r="S140" s="79"/>
      <c r="T140" s="79"/>
      <c r="U140" s="79"/>
      <c r="V140" s="79"/>
      <c r="W140" s="79"/>
      <c r="X140" s="79"/>
      <c r="Y140" s="79"/>
      <c r="Z140" s="79"/>
    </row>
    <row r="141" spans="1:26" ht="59.95" customHeight="1" x14ac:dyDescent="0.15">
      <c r="A141" s="79"/>
      <c r="B141" s="260" t="str">
        <f>+'4. Intervenciones UDT - HCBM'!D176</f>
        <v>Creación y establecimiento de unidades de ordenamiento forestal, otorgamiento de títulos habilitantes forestales y tenencia de la tierra</v>
      </c>
      <c r="C141" s="1701" t="s">
        <v>1971</v>
      </c>
      <c r="D141" s="1701" t="s">
        <v>2018</v>
      </c>
      <c r="E141" s="127" t="str">
        <f>+'4. Intervenciones UDT - HCBM'!E176</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F141" s="95"/>
      <c r="G141" s="79"/>
      <c r="H141" s="79"/>
      <c r="I141" s="79"/>
      <c r="J141" s="79"/>
      <c r="K141" s="79"/>
      <c r="L141" s="79"/>
      <c r="M141" s="79"/>
      <c r="N141" s="79"/>
      <c r="O141" s="79"/>
      <c r="P141" s="79"/>
      <c r="Q141" s="79"/>
      <c r="R141" s="79"/>
      <c r="S141" s="79"/>
      <c r="T141" s="79"/>
      <c r="U141" s="79"/>
      <c r="V141" s="79"/>
      <c r="W141" s="79"/>
      <c r="X141" s="79"/>
      <c r="Y141" s="79"/>
      <c r="Z141" s="79"/>
    </row>
    <row r="142" spans="1:26" ht="78.8" customHeight="1" x14ac:dyDescent="0.15">
      <c r="A142" s="79"/>
      <c r="B142" s="260" t="str">
        <f>+'4. Intervenciones UDT - HCBM'!D177</f>
        <v>Fortalecimiento de capacidades de los responsables de la administración de las nuevas categorías de ordenamiento forestal y títulos habilitantes forestales</v>
      </c>
      <c r="C142" s="1701"/>
      <c r="D142" s="1701"/>
      <c r="E142" s="127" t="str">
        <f>+'4. Intervenciones UDT - HCBM'!E177</f>
        <v>Comprende la capacitación en manejo de normatividad forestal y manejo de bosques, contratación de especialistas para tener presencia física en el área, equipamiento e infraestructura.</v>
      </c>
      <c r="F142" s="95"/>
      <c r="G142" s="79"/>
      <c r="H142" s="79"/>
      <c r="I142" s="79"/>
      <c r="J142" s="79"/>
      <c r="K142" s="79"/>
      <c r="L142" s="79"/>
      <c r="M142" s="79"/>
      <c r="N142" s="79"/>
      <c r="O142" s="79"/>
      <c r="P142" s="79"/>
      <c r="Q142" s="79"/>
      <c r="R142" s="79"/>
      <c r="S142" s="79"/>
      <c r="T142" s="79"/>
      <c r="U142" s="79"/>
      <c r="V142" s="79"/>
      <c r="W142" s="79"/>
      <c r="X142" s="79"/>
      <c r="Y142" s="79"/>
      <c r="Z142" s="79"/>
    </row>
    <row r="143" spans="1:26" ht="66.099999999999994" customHeight="1" x14ac:dyDescent="0.15">
      <c r="A143" s="79"/>
      <c r="B143" s="260" t="str">
        <f>+'4. Intervenciones UDT - HCBM'!D178</f>
        <v>Elaboración del plan/declaración de manejo de las nuevas categorías de ordenamiento forestal y títulos habilitantes forestales</v>
      </c>
      <c r="C143" s="1701"/>
      <c r="D143" s="1701"/>
      <c r="E143" s="127" t="str">
        <f>+'4. Intervenciones UDT - HCBM'!E178</f>
        <v>Dependiendo de la categoría forestal a ser aplicada, se realizará un plan/declaración acorde a la unidad, en el marco de la ley forestal y fauna silvestre N° 29763.</v>
      </c>
      <c r="F143" s="95"/>
      <c r="G143" s="79"/>
      <c r="H143" s="79"/>
      <c r="I143" s="79"/>
      <c r="J143" s="79"/>
      <c r="K143" s="79"/>
      <c r="L143" s="79"/>
      <c r="M143" s="79"/>
      <c r="N143" s="79"/>
      <c r="O143" s="79"/>
      <c r="P143" s="79"/>
      <c r="Q143" s="79"/>
      <c r="R143" s="79"/>
      <c r="S143" s="79"/>
      <c r="T143" s="79"/>
      <c r="U143" s="79"/>
      <c r="V143" s="79"/>
      <c r="W143" s="79"/>
      <c r="X143" s="79"/>
      <c r="Y143" s="79"/>
      <c r="Z143" s="79"/>
    </row>
    <row r="144" spans="1:26" ht="43.5" customHeight="1" x14ac:dyDescent="0.15">
      <c r="A144" s="79"/>
      <c r="B144" s="126" t="str">
        <f>+'4. Intervenciones UDT - HCBM'!D179</f>
        <v>Inscripción en el catastro forestal y en registros públicos</v>
      </c>
      <c r="C144" s="1701"/>
      <c r="D144" s="1701"/>
      <c r="E144" s="127" t="str">
        <f>+'4. Intervenciones UDT - HCBM'!E179</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144" s="95"/>
      <c r="G144" s="79"/>
      <c r="H144" s="79"/>
      <c r="I144" s="79"/>
      <c r="J144" s="79"/>
      <c r="K144" s="79"/>
      <c r="L144" s="79"/>
      <c r="M144" s="79"/>
      <c r="N144" s="79"/>
      <c r="O144" s="79"/>
      <c r="P144" s="79"/>
      <c r="Q144" s="79"/>
      <c r="R144" s="79"/>
      <c r="S144" s="79"/>
      <c r="T144" s="79"/>
      <c r="U144" s="79"/>
      <c r="V144" s="79"/>
      <c r="W144" s="79"/>
      <c r="X144" s="79"/>
      <c r="Y144" s="79"/>
      <c r="Z144" s="79"/>
    </row>
    <row r="145" spans="1:26" ht="41.3" customHeight="1" x14ac:dyDescent="0.15">
      <c r="A145" s="79"/>
      <c r="B145" s="126" t="str">
        <f>+'4. Intervenciones UDT - HCBM'!D180</f>
        <v>Restauración de áreas degradadas</v>
      </c>
      <c r="C145" s="1701"/>
      <c r="D145" s="1701"/>
      <c r="E145" s="127" t="str">
        <f>+'4. Intervenciones UDT - HCBM'!E180</f>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v>
      </c>
      <c r="F145" s="95"/>
      <c r="G145" s="79"/>
      <c r="H145" s="79"/>
      <c r="I145" s="79"/>
      <c r="J145" s="79"/>
      <c r="K145" s="79"/>
      <c r="L145" s="79"/>
      <c r="M145" s="79"/>
      <c r="N145" s="79"/>
      <c r="O145" s="79"/>
      <c r="P145" s="79"/>
      <c r="Q145" s="79"/>
      <c r="R145" s="79"/>
      <c r="S145" s="79"/>
      <c r="T145" s="79"/>
      <c r="U145" s="79"/>
      <c r="V145" s="79"/>
      <c r="W145" s="79"/>
      <c r="X145" s="79"/>
      <c r="Y145" s="79"/>
      <c r="Z145" s="79"/>
    </row>
    <row r="146" spans="1:26" ht="15.65" customHeight="1" x14ac:dyDescent="0.15">
      <c r="A146" s="79"/>
      <c r="B146" s="79"/>
      <c r="C146" s="94"/>
      <c r="D146" s="95"/>
      <c r="E146" s="87"/>
      <c r="F146" s="95"/>
      <c r="G146" s="79"/>
      <c r="H146" s="79"/>
      <c r="I146" s="79"/>
      <c r="J146" s="79"/>
      <c r="K146" s="79"/>
      <c r="L146" s="79"/>
      <c r="M146" s="79"/>
      <c r="N146" s="79"/>
      <c r="O146" s="79"/>
      <c r="P146" s="79"/>
      <c r="Q146" s="79"/>
      <c r="R146" s="79"/>
      <c r="S146" s="79"/>
      <c r="T146" s="79"/>
      <c r="U146" s="79"/>
      <c r="V146" s="79"/>
      <c r="W146" s="79"/>
      <c r="X146" s="79"/>
      <c r="Y146" s="79"/>
      <c r="Z146" s="79"/>
    </row>
    <row r="147" spans="1:26" ht="17.7" x14ac:dyDescent="0.15">
      <c r="A147" s="79"/>
      <c r="B147" s="107" t="s">
        <v>2013</v>
      </c>
      <c r="C147" s="101" t="s">
        <v>142</v>
      </c>
      <c r="D147" s="101" t="s">
        <v>1968</v>
      </c>
      <c r="E147" s="107" t="s">
        <v>2014</v>
      </c>
      <c r="F147" s="95"/>
      <c r="G147" s="79"/>
      <c r="H147" s="79"/>
      <c r="I147" s="79"/>
      <c r="J147" s="79"/>
      <c r="K147" s="79"/>
      <c r="L147" s="79"/>
      <c r="M147" s="79"/>
      <c r="N147" s="79"/>
      <c r="O147" s="79"/>
      <c r="P147" s="79"/>
      <c r="Q147" s="79"/>
      <c r="R147" s="79"/>
      <c r="S147" s="79"/>
      <c r="T147" s="79"/>
      <c r="U147" s="79"/>
      <c r="V147" s="79"/>
      <c r="W147" s="79"/>
      <c r="X147" s="79"/>
      <c r="Y147" s="79"/>
      <c r="Z147" s="79"/>
    </row>
    <row r="148" spans="1:26" ht="63.7" customHeight="1" x14ac:dyDescent="0.15">
      <c r="A148" s="79"/>
      <c r="B148" s="109" t="str">
        <f>+'4. Intervenciones UDT - HCBM'!D188</f>
        <v>Acuerdos con rondas campesinas y rondas nativas para cumplimiento de compromisos de no deforestación y tráfico de tierras e invasiones</v>
      </c>
      <c r="C148" s="1710" t="s">
        <v>2019</v>
      </c>
      <c r="D148" s="1710" t="s">
        <v>2020</v>
      </c>
      <c r="E148" s="88" t="str">
        <f>+'4. Intervenciones UDT - HCBM'!E188</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F148" s="95"/>
      <c r="G148" s="79"/>
      <c r="H148" s="79"/>
      <c r="I148" s="79"/>
      <c r="J148" s="79"/>
      <c r="K148" s="79"/>
      <c r="L148" s="79"/>
      <c r="M148" s="79"/>
      <c r="N148" s="79"/>
      <c r="O148" s="79"/>
      <c r="P148" s="79"/>
      <c r="Q148" s="79"/>
      <c r="R148" s="79"/>
      <c r="S148" s="79"/>
      <c r="T148" s="79"/>
      <c r="U148" s="79"/>
      <c r="V148" s="79"/>
      <c r="W148" s="79"/>
      <c r="X148" s="79"/>
      <c r="Y148" s="79"/>
      <c r="Z148" s="79"/>
    </row>
    <row r="149" spans="1:26" ht="71.349999999999994" customHeight="1" x14ac:dyDescent="0.15">
      <c r="A149" s="79"/>
      <c r="B149" s="109" t="str">
        <f>+'4. Intervenciones UDT - HCBM'!D189</f>
        <v>Fortalecimiento del monitoreo de la cobertura de bosques y control de la tala ilegal (deforestación, extracción de especies forestales de valor comercial y forestales para tutores de cultivos)</v>
      </c>
      <c r="C149" s="1711"/>
      <c r="D149" s="1711"/>
      <c r="E149" s="88" t="str">
        <f>+'4. Intervenciones UDT - HCBM'!E189</f>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 Esta intervención será apoyada por las organizaciones formales de rondas campesinas rondas nativa si comités de monitoreo.</v>
      </c>
      <c r="F149" s="95"/>
      <c r="G149" s="79"/>
      <c r="H149" s="79"/>
      <c r="I149" s="79"/>
      <c r="J149" s="79"/>
      <c r="K149" s="79"/>
      <c r="L149" s="79"/>
      <c r="M149" s="79"/>
      <c r="N149" s="79"/>
      <c r="O149" s="79"/>
      <c r="P149" s="79"/>
      <c r="Q149" s="79"/>
      <c r="R149" s="79"/>
      <c r="S149" s="79"/>
      <c r="T149" s="79"/>
      <c r="U149" s="79"/>
      <c r="V149" s="79"/>
      <c r="W149" s="79"/>
      <c r="X149" s="79"/>
      <c r="Y149" s="79"/>
      <c r="Z149" s="79"/>
    </row>
    <row r="150" spans="1:26" ht="50.95" customHeight="1" x14ac:dyDescent="0.15">
      <c r="A150" s="79"/>
      <c r="B150" s="109" t="str">
        <f>+'4. Intervenciones UDT - HCBM'!D190</f>
        <v>Mejoramiento de vías de acceso</v>
      </c>
      <c r="C150" s="1711"/>
      <c r="D150" s="1711"/>
      <c r="E150" s="88" t="str">
        <f>+'4. Intervenciones UDT - HCBM'!E190</f>
        <v>Existe una brecha de 2,864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v>
      </c>
      <c r="F150" s="95"/>
      <c r="G150" s="79"/>
      <c r="H150" s="79"/>
      <c r="I150" s="79"/>
      <c r="J150" s="79"/>
      <c r="K150" s="79"/>
      <c r="L150" s="79"/>
      <c r="M150" s="79"/>
      <c r="N150" s="79"/>
      <c r="O150" s="79"/>
      <c r="P150" s="79"/>
      <c r="Q150" s="79"/>
      <c r="R150" s="79"/>
      <c r="S150" s="79"/>
      <c r="T150" s="79"/>
      <c r="U150" s="79"/>
      <c r="V150" s="79"/>
      <c r="W150" s="79"/>
      <c r="X150" s="79"/>
      <c r="Y150" s="79"/>
      <c r="Z150" s="79"/>
    </row>
    <row r="151" spans="1:26" ht="50.95" customHeight="1" x14ac:dyDescent="0.15">
      <c r="A151" s="79"/>
      <c r="B151" s="109" t="str">
        <f>+'4. Intervenciones UDT - HCBM'!D192</f>
        <v>Mejor cobertura y calidad de servicios de educación y salud</v>
      </c>
      <c r="C151" s="1711"/>
      <c r="D151" s="1711"/>
      <c r="E151" s="88" t="str">
        <f>+'4. Intervenciones UDT - HCBM'!E192</f>
        <v>El acceso a las instituciones educativas desde la influencia de los centros poblados (1 h o 5 km), según la zonificación y normativa vigente, están relacionados a la distancia que están acentuados los pobladores respecto a un centro educativo; bajo este criterio, se cuenta con 29 distritos que necesitan ser atendidos y cubrir estas necesidades, mediante la Implementación de infraestructura educativa y los Centros Rurales de Formación en Alternancia (CERFAS) u otros programas que permitan coberturar la educación rural en su totalidad. El acceso a los establecimientos de salud desde la influencia de los centros poblados (1 h o 5 km), según la zonificación y normativa vigente, están relacionados a la distancia que están acentuados los pobladores respecto a una posta médica; bajo este criterio, se cuenta con 29 distritos que necesitan ser atendidos y cubrir estas necesidades, mediante la Implementación de infraestructura de salud permanente y  debidamente implementados con personal especializado y equipos suficientes.</v>
      </c>
      <c r="F151" s="95"/>
      <c r="G151" s="79"/>
      <c r="H151" s="79"/>
      <c r="I151" s="79"/>
      <c r="J151" s="79"/>
      <c r="K151" s="79"/>
      <c r="L151" s="79"/>
      <c r="M151" s="79"/>
      <c r="N151" s="79"/>
      <c r="O151" s="79"/>
      <c r="P151" s="79"/>
      <c r="Q151" s="79"/>
      <c r="R151" s="79"/>
      <c r="S151" s="79"/>
      <c r="T151" s="79"/>
      <c r="U151" s="79"/>
      <c r="V151" s="79"/>
      <c r="W151" s="79"/>
      <c r="X151" s="79"/>
      <c r="Y151" s="79"/>
      <c r="Z151" s="79"/>
    </row>
    <row r="152" spans="1:26" ht="50.95" customHeight="1" x14ac:dyDescent="0.15">
      <c r="A152" s="79"/>
      <c r="B152" s="109" t="str">
        <f>+'4. Intervenciones UDT - HCBM'!D193</f>
        <v>Programa de servicios públicos móviles</v>
      </c>
      <c r="C152" s="1711"/>
      <c r="D152" s="1711"/>
      <c r="E152" s="88" t="str">
        <f>+'4. Intervenciones UDT - HCBM'!E193</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Considerando los distritos con mayores índices de pobreza total (mayor a 50%) y pobreza extrema (mayor a 20%), los cuales son: Alto Saposoa, Barranquita, Chazuta, Juan Guerra, Pinto Recodo, Rumizapa y Sauce. Enfocado a la agricultura familiar, garantizando  la sostenibilidad del programa.</v>
      </c>
      <c r="F152" s="95"/>
      <c r="G152" s="79"/>
      <c r="H152" s="79"/>
      <c r="I152" s="79"/>
      <c r="J152" s="79"/>
      <c r="K152" s="79"/>
      <c r="L152" s="79"/>
      <c r="M152" s="79"/>
      <c r="N152" s="79"/>
      <c r="O152" s="79"/>
      <c r="P152" s="79"/>
      <c r="Q152" s="79"/>
      <c r="R152" s="79"/>
      <c r="S152" s="79"/>
      <c r="T152" s="79"/>
      <c r="U152" s="79"/>
      <c r="V152" s="79"/>
      <c r="W152" s="79"/>
      <c r="X152" s="79"/>
      <c r="Y152" s="79"/>
      <c r="Z152" s="79"/>
    </row>
    <row r="153" spans="1:26" ht="50.95" customHeight="1" x14ac:dyDescent="0.15">
      <c r="A153" s="79"/>
      <c r="B153" s="109" t="str">
        <f>+'4. Intervenciones UDT - HCBM'!D191</f>
        <v>Restauración ecológica del paisaje</v>
      </c>
      <c r="C153" s="1711"/>
      <c r="D153" s="1711"/>
      <c r="E153" s="88" t="str">
        <f>+'4. Intervenciones UDT - HCBM'!E191</f>
        <v>Se cuenta con 160,810 Ha con probabilidad alta y muy alta para restauración, de las cuales 9,430.30 ha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v>
      </c>
      <c r="F153" s="95"/>
      <c r="G153" s="79"/>
      <c r="H153" s="79"/>
      <c r="I153" s="79"/>
      <c r="J153" s="79"/>
      <c r="K153" s="79"/>
      <c r="L153" s="79"/>
      <c r="M153" s="79"/>
      <c r="N153" s="79"/>
      <c r="O153" s="79"/>
      <c r="P153" s="79"/>
      <c r="Q153" s="79"/>
      <c r="R153" s="79"/>
      <c r="S153" s="79"/>
      <c r="T153" s="79"/>
      <c r="U153" s="79"/>
      <c r="V153" s="79"/>
      <c r="W153" s="79"/>
      <c r="X153" s="79"/>
      <c r="Y153" s="79"/>
      <c r="Z153" s="79"/>
    </row>
    <row r="154" spans="1:26" ht="26.5" x14ac:dyDescent="0.15">
      <c r="A154" s="79"/>
      <c r="B154" s="109" t="str">
        <f>+'4. Intervenciones UDT - HCBM'!D194</f>
        <v xml:space="preserve">Promoción Marca "San Martín Región" y "Aliados por la Conservación" </v>
      </c>
      <c r="C154" s="1712"/>
      <c r="D154" s="1712"/>
      <c r="E154" s="88" t="str">
        <f>+'4. Intervenciones UDT - HCBM'!E194</f>
        <v>Promoción al acceso de la marca con los productores que cumplan los criterios de elegibilidad solicitados por el programa, como una estrategia de ubicar mercados diferenciados para los productos provenientes de estas zonas.</v>
      </c>
      <c r="F154" s="95"/>
      <c r="G154" s="79"/>
      <c r="H154" s="79"/>
      <c r="I154" s="79"/>
      <c r="J154" s="79"/>
      <c r="K154" s="79"/>
      <c r="L154" s="79"/>
      <c r="M154" s="79"/>
      <c r="N154" s="79"/>
      <c r="O154" s="79"/>
      <c r="P154" s="79"/>
      <c r="Q154" s="79"/>
      <c r="R154" s="79"/>
      <c r="S154" s="79"/>
      <c r="T154" s="79"/>
      <c r="U154" s="79"/>
      <c r="V154" s="79"/>
      <c r="W154" s="79"/>
      <c r="X154" s="79"/>
      <c r="Y154" s="79"/>
      <c r="Z154" s="79"/>
    </row>
    <row r="155" spans="1:26" ht="20.05" customHeight="1" x14ac:dyDescent="0.15">
      <c r="A155" s="79"/>
      <c r="B155" s="79"/>
      <c r="C155" s="94"/>
      <c r="D155" s="95"/>
      <c r="E155" s="87"/>
      <c r="F155" s="95"/>
      <c r="G155" s="79"/>
      <c r="H155" s="79"/>
      <c r="I155" s="79"/>
      <c r="J155" s="79"/>
      <c r="K155" s="79"/>
      <c r="L155" s="79"/>
      <c r="M155" s="79"/>
      <c r="N155" s="79"/>
      <c r="O155" s="79"/>
      <c r="P155" s="79"/>
      <c r="Q155" s="79"/>
      <c r="R155" s="79"/>
      <c r="S155" s="79"/>
      <c r="T155" s="79"/>
      <c r="U155" s="79"/>
      <c r="V155" s="79"/>
      <c r="W155" s="79"/>
      <c r="X155" s="79"/>
      <c r="Y155" s="79"/>
      <c r="Z155" s="79"/>
    </row>
    <row r="156" spans="1:26" ht="18" customHeight="1" x14ac:dyDescent="0.15">
      <c r="A156" s="79"/>
      <c r="B156" s="79"/>
      <c r="C156" s="94"/>
      <c r="D156" s="95"/>
      <c r="E156" s="87"/>
      <c r="F156" s="95"/>
      <c r="G156" s="79"/>
      <c r="H156" s="79"/>
      <c r="I156" s="79"/>
      <c r="J156" s="79"/>
      <c r="K156" s="79"/>
      <c r="L156" s="79"/>
      <c r="M156" s="79"/>
      <c r="N156" s="79"/>
      <c r="O156" s="79"/>
      <c r="P156" s="79"/>
      <c r="Q156" s="79"/>
      <c r="R156" s="79"/>
      <c r="S156" s="79"/>
      <c r="T156" s="79"/>
      <c r="U156" s="79"/>
      <c r="V156" s="79"/>
      <c r="W156" s="79"/>
      <c r="X156" s="79"/>
      <c r="Y156" s="79"/>
      <c r="Z156" s="79"/>
    </row>
    <row r="157" spans="1:26" ht="17.7" x14ac:dyDescent="0.15">
      <c r="A157" s="79"/>
      <c r="B157" s="107" t="s">
        <v>2013</v>
      </c>
      <c r="C157" s="101" t="s">
        <v>142</v>
      </c>
      <c r="D157" s="101" t="s">
        <v>1968</v>
      </c>
      <c r="E157" s="107" t="s">
        <v>2014</v>
      </c>
      <c r="F157" s="95"/>
      <c r="G157" s="79"/>
      <c r="H157" s="79"/>
      <c r="I157" s="79"/>
      <c r="J157" s="79"/>
      <c r="K157" s="79"/>
      <c r="L157" s="79"/>
      <c r="M157" s="79"/>
      <c r="N157" s="79"/>
      <c r="O157" s="79"/>
      <c r="P157" s="79"/>
      <c r="Q157" s="79"/>
      <c r="R157" s="79"/>
      <c r="S157" s="79"/>
      <c r="T157" s="79"/>
      <c r="U157" s="79"/>
      <c r="V157" s="79"/>
      <c r="W157" s="79"/>
      <c r="X157" s="79"/>
      <c r="Y157" s="79"/>
      <c r="Z157" s="79"/>
    </row>
    <row r="158" spans="1:26" ht="111.1" customHeight="1" x14ac:dyDescent="0.15">
      <c r="A158" s="79"/>
      <c r="B158" s="111" t="str">
        <f>+'6. Intervenciones UDT- AM'!D18</f>
        <v>Otorgamiento de derechos sobre la tierra/bosques</v>
      </c>
      <c r="C158" s="1701" t="s">
        <v>1973</v>
      </c>
      <c r="D158" s="1701" t="s">
        <v>129</v>
      </c>
      <c r="E158" s="124" t="str">
        <f>+'6. Intervenciones UDT- AM'!E18</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158" s="95"/>
      <c r="G158" s="79"/>
      <c r="H158" s="79"/>
      <c r="I158" s="79"/>
      <c r="J158" s="79"/>
      <c r="K158" s="79"/>
      <c r="L158" s="79"/>
      <c r="M158" s="79"/>
      <c r="N158" s="79"/>
      <c r="O158" s="79"/>
      <c r="P158" s="79"/>
      <c r="Q158" s="79"/>
      <c r="R158" s="79"/>
      <c r="S158" s="79"/>
      <c r="T158" s="79"/>
      <c r="U158" s="79"/>
      <c r="V158" s="79"/>
      <c r="W158" s="79"/>
      <c r="X158" s="79"/>
      <c r="Y158" s="79"/>
      <c r="Z158" s="79"/>
    </row>
    <row r="159" spans="1:26" ht="45" customHeight="1" x14ac:dyDescent="0.15">
      <c r="A159" s="79"/>
      <c r="B159" s="111" t="str">
        <f>+'6. Intervenciones UDT- AM'!D19</f>
        <v>Asistencia técnica con enfoque bajo en emisiones</v>
      </c>
      <c r="C159" s="1701"/>
      <c r="D159" s="1701"/>
      <c r="E159" s="124" t="str">
        <f>+'6. Intervenciones UDT- AM'!E19</f>
        <v xml:space="preserve">Capacitaciones a 29531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v>
      </c>
      <c r="F159" s="95"/>
      <c r="G159" s="79"/>
      <c r="H159" s="79"/>
      <c r="I159" s="79"/>
      <c r="J159" s="79"/>
      <c r="K159" s="79"/>
      <c r="L159" s="79"/>
      <c r="M159" s="79"/>
      <c r="N159" s="79"/>
      <c r="O159" s="79"/>
      <c r="P159" s="79"/>
      <c r="Q159" s="79"/>
      <c r="R159" s="79"/>
      <c r="S159" s="79"/>
      <c r="T159" s="79"/>
      <c r="U159" s="79"/>
      <c r="V159" s="79"/>
      <c r="W159" s="79"/>
      <c r="X159" s="79"/>
      <c r="Y159" s="79"/>
      <c r="Z159" s="79"/>
    </row>
    <row r="160" spans="1:26" ht="26.5" x14ac:dyDescent="0.15">
      <c r="A160" s="79"/>
      <c r="B160" s="111" t="str">
        <f>+'6. Intervenciones UDT- AM'!D20</f>
        <v>Manejo, conservación y recuperación de suelos degradados</v>
      </c>
      <c r="C160" s="1701"/>
      <c r="D160" s="1701"/>
      <c r="E160" s="124" t="str">
        <f>+'6. Intervenciones UDT- AM'!E20</f>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v>
      </c>
      <c r="F160" s="95"/>
      <c r="G160" s="79"/>
      <c r="H160" s="79"/>
      <c r="I160" s="79"/>
      <c r="J160" s="79"/>
      <c r="K160" s="79"/>
      <c r="L160" s="79"/>
      <c r="M160" s="79"/>
      <c r="N160" s="79"/>
      <c r="O160" s="79"/>
      <c r="P160" s="79"/>
      <c r="Q160" s="79"/>
      <c r="R160" s="79"/>
      <c r="S160" s="79"/>
      <c r="T160" s="79"/>
      <c r="U160" s="79"/>
      <c r="V160" s="79"/>
      <c r="W160" s="79"/>
      <c r="X160" s="79"/>
      <c r="Y160" s="79"/>
      <c r="Z160" s="79"/>
    </row>
    <row r="161" spans="1:26" ht="35.35" x14ac:dyDescent="0.15">
      <c r="A161" s="79"/>
      <c r="B161" s="111" t="str">
        <f>+'6. Intervenciones UDT- AM'!D21</f>
        <v>Fertilización de áreas productivas de acuerdo a la etapa fenológica del cultivo</v>
      </c>
      <c r="C161" s="1701"/>
      <c r="D161" s="1701"/>
      <c r="E161" s="124" t="str">
        <f>+'6. Intervenciones UDT- AM'!E21</f>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v>
      </c>
      <c r="F161" s="95"/>
      <c r="G161" s="79"/>
      <c r="H161" s="79"/>
      <c r="I161" s="79"/>
      <c r="J161" s="79"/>
      <c r="K161" s="79"/>
      <c r="L161" s="79"/>
      <c r="M161" s="79"/>
      <c r="N161" s="79"/>
      <c r="O161" s="79"/>
      <c r="P161" s="79"/>
      <c r="Q161" s="79"/>
      <c r="R161" s="79"/>
      <c r="S161" s="79"/>
      <c r="T161" s="79"/>
      <c r="U161" s="79"/>
      <c r="V161" s="79"/>
      <c r="W161" s="79"/>
      <c r="X161" s="79"/>
      <c r="Y161" s="79"/>
      <c r="Z161" s="79"/>
    </row>
    <row r="162" spans="1:26" ht="50.95" customHeight="1" x14ac:dyDescent="0.15">
      <c r="A162" s="79"/>
      <c r="B162" s="111" t="str">
        <f>+'6. Intervenciones UDT- AM'!D22</f>
        <v>Instalación de sistemas de fertirriego</v>
      </c>
      <c r="C162" s="1701"/>
      <c r="D162" s="1701"/>
      <c r="E162" s="124" t="str">
        <f>+'6. Intervenciones UDT- AM'!E22</f>
        <v>Implementación de tecnologías innovadoras para incrementar la productividad de los cultivos de cacao, café, naranja,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v>
      </c>
      <c r="F162" s="95"/>
      <c r="G162" s="79"/>
      <c r="H162" s="79"/>
      <c r="I162" s="79"/>
      <c r="J162" s="79"/>
      <c r="K162" s="79"/>
      <c r="L162" s="79"/>
      <c r="M162" s="79"/>
      <c r="N162" s="79"/>
      <c r="O162" s="79"/>
      <c r="P162" s="79"/>
      <c r="Q162" s="79"/>
      <c r="R162" s="79"/>
      <c r="S162" s="79"/>
      <c r="T162" s="79"/>
      <c r="U162" s="79"/>
      <c r="V162" s="79"/>
      <c r="W162" s="79"/>
      <c r="X162" s="79"/>
      <c r="Y162" s="79"/>
      <c r="Z162" s="79"/>
    </row>
    <row r="163" spans="1:26" ht="35.35" x14ac:dyDescent="0.15">
      <c r="A163" s="79"/>
      <c r="B163" s="111" t="str">
        <f>+'6. Intervenciones UDT- AM'!D23</f>
        <v xml:space="preserve">Reconversión y diversificación productiva </v>
      </c>
      <c r="C163" s="1701"/>
      <c r="D163" s="1701"/>
      <c r="E163" s="124" t="str">
        <f>+'6. Intervenciones UDT- AM'!E23</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través de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F163" s="95"/>
      <c r="G163" s="79"/>
      <c r="H163" s="79"/>
      <c r="I163" s="79"/>
      <c r="J163" s="79"/>
      <c r="K163" s="79"/>
      <c r="L163" s="79"/>
      <c r="M163" s="79"/>
      <c r="N163" s="79"/>
      <c r="O163" s="79"/>
      <c r="P163" s="79"/>
      <c r="Q163" s="79"/>
      <c r="R163" s="79"/>
      <c r="S163" s="79"/>
      <c r="T163" s="79"/>
      <c r="U163" s="79"/>
      <c r="V163" s="79"/>
      <c r="W163" s="79"/>
      <c r="X163" s="79"/>
      <c r="Y163" s="79"/>
      <c r="Z163" s="79"/>
    </row>
    <row r="164" spans="1:26" ht="44.15" x14ac:dyDescent="0.15">
      <c r="A164" s="79"/>
      <c r="B164" s="111" t="str">
        <f>+'6. Intervenciones UDT- AM'!D24</f>
        <v>Promoción de agricultura familiar con enfoque de mercado</v>
      </c>
      <c r="C164" s="1701"/>
      <c r="D164" s="1701"/>
      <c r="E164" s="124" t="str">
        <f>+'6. Intervenciones UDT- AM'!E24</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F164" s="95"/>
      <c r="G164" s="79"/>
      <c r="H164" s="79"/>
      <c r="I164" s="79"/>
      <c r="J164" s="79"/>
      <c r="K164" s="79"/>
      <c r="L164" s="79"/>
      <c r="M164" s="79"/>
      <c r="N164" s="79"/>
      <c r="O164" s="79"/>
      <c r="P164" s="79"/>
      <c r="Q164" s="79"/>
      <c r="R164" s="79"/>
      <c r="S164" s="79"/>
      <c r="T164" s="79"/>
      <c r="U164" s="79"/>
      <c r="V164" s="79"/>
      <c r="W164" s="79"/>
      <c r="X164" s="79"/>
      <c r="Y164" s="79"/>
      <c r="Z164" s="79"/>
    </row>
    <row r="165" spans="1:26" ht="50.95" customHeight="1" x14ac:dyDescent="0.15">
      <c r="A165" s="79"/>
      <c r="B165" s="111" t="str">
        <f>+'6. Intervenciones UDT- AM'!D25</f>
        <v>Asistencia técnica para el desarrollo de la acuicultura</v>
      </c>
      <c r="C165" s="1701"/>
      <c r="D165" s="1701"/>
      <c r="E165" s="124" t="str">
        <f>+'6. Intervenciones UDT- AM'!E25</f>
        <v xml:space="preserve">Capacitaciones a 324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v>
      </c>
      <c r="F165" s="95"/>
      <c r="G165" s="79"/>
      <c r="H165" s="79"/>
      <c r="I165" s="79"/>
      <c r="J165" s="79"/>
      <c r="K165" s="79"/>
      <c r="L165" s="79"/>
      <c r="M165" s="79"/>
      <c r="N165" s="79"/>
      <c r="O165" s="79"/>
      <c r="P165" s="79"/>
      <c r="Q165" s="79"/>
      <c r="R165" s="79"/>
      <c r="S165" s="79"/>
      <c r="T165" s="79"/>
      <c r="U165" s="79"/>
      <c r="V165" s="79"/>
      <c r="W165" s="79"/>
      <c r="X165" s="79"/>
      <c r="Y165" s="79"/>
      <c r="Z165" s="79"/>
    </row>
    <row r="166" spans="1:26" ht="27" customHeight="1" x14ac:dyDescent="0.15">
      <c r="A166" s="79"/>
      <c r="B166" s="111" t="str">
        <f>+'6. Intervenciones UDT- AM'!D26</f>
        <v xml:space="preserve">Incentivos financieros para la acuicultura </v>
      </c>
      <c r="C166" s="1701"/>
      <c r="D166" s="1701"/>
      <c r="E166" s="124" t="str">
        <f>+'6. Intervenciones UDT- AM'!E26</f>
        <v>Promoción y articulación de créditos a 324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F166" s="95"/>
      <c r="G166" s="79"/>
      <c r="H166" s="79"/>
      <c r="I166" s="79"/>
      <c r="J166" s="79"/>
      <c r="K166" s="79"/>
      <c r="L166" s="79"/>
      <c r="M166" s="79"/>
      <c r="N166" s="79"/>
      <c r="O166" s="79"/>
      <c r="P166" s="79"/>
      <c r="Q166" s="79"/>
      <c r="R166" s="79"/>
      <c r="S166" s="79"/>
      <c r="T166" s="79"/>
      <c r="U166" s="79"/>
      <c r="V166" s="79"/>
      <c r="W166" s="79"/>
      <c r="X166" s="79"/>
      <c r="Y166" s="79"/>
      <c r="Z166" s="79"/>
    </row>
    <row r="167" spans="1:26" ht="44.15" x14ac:dyDescent="0.15">
      <c r="A167" s="79"/>
      <c r="B167" s="111" t="str">
        <f>+'6. Intervenciones UDT- AM'!D27</f>
        <v>Programa de acceso al financiamiento agropecuario condicionado</v>
      </c>
      <c r="C167" s="1701"/>
      <c r="D167" s="1701"/>
      <c r="E167" s="124" t="str">
        <f>+'6. Intervenciones UDT- AM'!E27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33,250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F167" s="95"/>
      <c r="G167" s="79"/>
      <c r="H167" s="79"/>
      <c r="I167" s="79"/>
      <c r="J167" s="79"/>
      <c r="K167" s="79"/>
      <c r="L167" s="79"/>
      <c r="M167" s="79"/>
      <c r="N167" s="79"/>
      <c r="O167" s="79"/>
      <c r="P167" s="79"/>
      <c r="Q167" s="79"/>
      <c r="R167" s="79"/>
      <c r="S167" s="79"/>
      <c r="T167" s="79"/>
      <c r="U167" s="79"/>
      <c r="V167" s="79"/>
      <c r="W167" s="79"/>
      <c r="X167" s="79"/>
      <c r="Y167" s="79"/>
      <c r="Z167" s="79"/>
    </row>
    <row r="168" spans="1:26" ht="44.15" x14ac:dyDescent="0.15">
      <c r="A168" s="79"/>
      <c r="B168" s="111" t="str">
        <f>+'6. Intervenciones UDT- AM'!D28</f>
        <v xml:space="preserve">Implementación de infraestructura productiva con énfasis a la agro exportación </v>
      </c>
      <c r="C168" s="1701"/>
      <c r="D168" s="1701"/>
      <c r="E168" s="124" t="str">
        <f>+'6. Intervenciones UDT- AM'!E28</f>
        <v>Financiamiento de planes de negocios, proyectos u otras propuestas innovadoras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F168" s="95"/>
      <c r="G168" s="79"/>
      <c r="H168" s="79"/>
      <c r="I168" s="79"/>
      <c r="J168" s="79"/>
      <c r="K168" s="79"/>
      <c r="L168" s="79"/>
      <c r="M168" s="79"/>
      <c r="N168" s="79"/>
      <c r="O168" s="79"/>
      <c r="P168" s="79"/>
      <c r="Q168" s="79"/>
      <c r="R168" s="79"/>
      <c r="S168" s="79"/>
      <c r="T168" s="79"/>
      <c r="U168" s="79"/>
      <c r="V168" s="79"/>
      <c r="W168" s="79"/>
      <c r="X168" s="79"/>
      <c r="Y168" s="79"/>
      <c r="Z168" s="79"/>
    </row>
    <row r="169" spans="1:26" ht="35.35" x14ac:dyDescent="0.15">
      <c r="A169" s="79"/>
      <c r="B169" s="111" t="str">
        <f>+'6. Intervenciones UDT- AM'!D29</f>
        <v xml:space="preserve">Fortalecimiento de capacidades en gestión de la calidad en las distintas cadenas de valor </v>
      </c>
      <c r="C169" s="1701"/>
      <c r="D169" s="1701"/>
      <c r="E169" s="124" t="str">
        <f>+'6. Intervenciones UDT- AM'!E29</f>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v>
      </c>
      <c r="F169" s="95"/>
      <c r="G169" s="79"/>
      <c r="H169" s="79"/>
      <c r="I169" s="79"/>
      <c r="J169" s="79"/>
      <c r="K169" s="79"/>
      <c r="L169" s="79"/>
      <c r="M169" s="79"/>
      <c r="N169" s="79"/>
      <c r="O169" s="79"/>
      <c r="P169" s="79"/>
      <c r="Q169" s="79"/>
      <c r="R169" s="79"/>
      <c r="S169" s="79"/>
      <c r="T169" s="79"/>
      <c r="U169" s="79"/>
      <c r="V169" s="79"/>
      <c r="W169" s="79"/>
      <c r="X169" s="79"/>
      <c r="Y169" s="79"/>
      <c r="Z169" s="79"/>
    </row>
    <row r="170" spans="1:26" ht="53" x14ac:dyDescent="0.15">
      <c r="A170" s="79"/>
      <c r="B170" s="111" t="str">
        <f>+'6. Intervenciones UDT- AM'!D30</f>
        <v>Promoción de modelos asociativos sostenibles</v>
      </c>
      <c r="C170" s="1701"/>
      <c r="D170" s="1701"/>
      <c r="E170" s="124" t="str">
        <f>+'6. Intervenciones UDT- AM'!E30</f>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v>
      </c>
      <c r="F170" s="95"/>
      <c r="G170" s="79"/>
      <c r="H170" s="79"/>
      <c r="I170" s="79"/>
      <c r="J170" s="79"/>
      <c r="K170" s="79"/>
      <c r="L170" s="79"/>
      <c r="M170" s="79"/>
      <c r="N170" s="79"/>
      <c r="O170" s="79"/>
      <c r="P170" s="79"/>
      <c r="Q170" s="79"/>
      <c r="R170" s="79"/>
      <c r="S170" s="79"/>
      <c r="T170" s="79"/>
      <c r="U170" s="79"/>
      <c r="V170" s="79"/>
      <c r="W170" s="79"/>
      <c r="X170" s="79"/>
      <c r="Y170" s="79"/>
      <c r="Z170" s="79"/>
    </row>
    <row r="171" spans="1:26" ht="17.7" x14ac:dyDescent="0.15">
      <c r="A171" s="79"/>
      <c r="B171" s="111" t="str">
        <f>+'6. Intervenciones UDT- AM'!D31</f>
        <v>Certificación orgánica y  Comercio Justo</v>
      </c>
      <c r="C171" s="1701"/>
      <c r="D171" s="1701"/>
      <c r="E171" s="124" t="str">
        <f>+'6. Intervenciones UDT- AM'!E31</f>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v>
      </c>
      <c r="F171" s="95"/>
      <c r="G171" s="79"/>
      <c r="H171" s="79"/>
      <c r="I171" s="79"/>
      <c r="J171" s="79"/>
      <c r="K171" s="79"/>
      <c r="L171" s="79"/>
      <c r="M171" s="79"/>
      <c r="N171" s="79"/>
      <c r="O171" s="79"/>
      <c r="P171" s="79"/>
      <c r="Q171" s="79"/>
      <c r="R171" s="79"/>
      <c r="S171" s="79"/>
      <c r="T171" s="79"/>
      <c r="U171" s="79"/>
      <c r="V171" s="79"/>
      <c r="W171" s="79"/>
      <c r="X171" s="79"/>
      <c r="Y171" s="79"/>
      <c r="Z171" s="79"/>
    </row>
    <row r="172" spans="1:26" ht="35.35" x14ac:dyDescent="0.15">
      <c r="A172" s="79"/>
      <c r="B172" s="111" t="str">
        <f>+'6. Intervenciones UDT- AM'!D32</f>
        <v>Promoción y acceso a los Mecanismos de Retribución por Servicios Eco sistémicos (MERESE)</v>
      </c>
      <c r="C172" s="1701"/>
      <c r="D172" s="1701"/>
      <c r="E172" s="124" t="str">
        <f>+'6. Intervenciones UDT- AM'!E32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172" s="95"/>
      <c r="G172" s="79"/>
      <c r="H172" s="79"/>
      <c r="I172" s="79"/>
      <c r="J172" s="79"/>
      <c r="K172" s="79"/>
      <c r="L172" s="79"/>
      <c r="M172" s="79"/>
      <c r="N172" s="79"/>
      <c r="O172" s="79"/>
      <c r="P172" s="79"/>
      <c r="Q172" s="79"/>
      <c r="R172" s="79"/>
      <c r="S172" s="79"/>
      <c r="T172" s="79"/>
      <c r="U172" s="79"/>
      <c r="V172" s="79"/>
      <c r="W172" s="79"/>
      <c r="X172" s="79"/>
      <c r="Y172" s="79"/>
      <c r="Z172" s="79"/>
    </row>
    <row r="173" spans="1:26" ht="15.65" customHeight="1" x14ac:dyDescent="0.15">
      <c r="A173" s="79"/>
      <c r="B173" s="79"/>
      <c r="C173" s="94"/>
      <c r="D173" s="95"/>
      <c r="E173" s="87"/>
      <c r="F173" s="95"/>
      <c r="G173" s="79"/>
      <c r="H173" s="79"/>
      <c r="I173" s="79"/>
      <c r="J173" s="79"/>
      <c r="K173" s="79"/>
      <c r="L173" s="79"/>
      <c r="M173" s="79"/>
      <c r="N173" s="79"/>
      <c r="O173" s="79"/>
      <c r="P173" s="79"/>
      <c r="Q173" s="79"/>
      <c r="R173" s="79"/>
      <c r="S173" s="79"/>
      <c r="T173" s="79"/>
      <c r="U173" s="79"/>
      <c r="V173" s="79"/>
      <c r="W173" s="79"/>
      <c r="X173" s="79"/>
      <c r="Y173" s="79"/>
      <c r="Z173" s="79"/>
    </row>
    <row r="174" spans="1:26" ht="15.65" customHeight="1" x14ac:dyDescent="0.15">
      <c r="A174" s="79"/>
      <c r="B174" s="79"/>
      <c r="C174" s="94"/>
      <c r="D174" s="95"/>
      <c r="E174" s="87"/>
      <c r="F174" s="95"/>
      <c r="G174" s="79"/>
      <c r="H174" s="79"/>
      <c r="I174" s="79"/>
      <c r="J174" s="79"/>
      <c r="K174" s="79"/>
      <c r="L174" s="79"/>
      <c r="M174" s="79"/>
      <c r="N174" s="79"/>
      <c r="O174" s="79"/>
      <c r="P174" s="79"/>
      <c r="Q174" s="79"/>
      <c r="R174" s="79"/>
      <c r="S174" s="79"/>
      <c r="T174" s="79"/>
      <c r="U174" s="79"/>
      <c r="V174" s="79"/>
      <c r="W174" s="79"/>
      <c r="X174" s="79"/>
      <c r="Y174" s="79"/>
      <c r="Z174" s="79"/>
    </row>
    <row r="175" spans="1:26" ht="17.7" x14ac:dyDescent="0.15">
      <c r="A175" s="79"/>
      <c r="B175" s="107" t="s">
        <v>2013</v>
      </c>
      <c r="C175" s="101" t="s">
        <v>1969</v>
      </c>
      <c r="D175" s="101" t="s">
        <v>1968</v>
      </c>
      <c r="E175" s="107" t="s">
        <v>2014</v>
      </c>
      <c r="F175" s="95"/>
      <c r="G175" s="79"/>
      <c r="H175" s="79"/>
      <c r="I175" s="79"/>
      <c r="J175" s="79"/>
      <c r="K175" s="79"/>
      <c r="L175" s="79"/>
      <c r="M175" s="79"/>
      <c r="N175" s="79"/>
      <c r="O175" s="79"/>
      <c r="P175" s="79"/>
      <c r="Q175" s="79"/>
      <c r="R175" s="79"/>
      <c r="S175" s="79"/>
      <c r="T175" s="79"/>
      <c r="U175" s="79"/>
      <c r="V175" s="79"/>
      <c r="W175" s="79"/>
      <c r="X175" s="79"/>
      <c r="Y175" s="79"/>
      <c r="Z175" s="79"/>
    </row>
    <row r="176" spans="1:26" ht="110.25" customHeight="1" x14ac:dyDescent="0.15">
      <c r="A176" s="79"/>
      <c r="B176" s="111" t="str">
        <f>+'6. Intervenciones UDT- AM'!D44</f>
        <v>Otorgamiento de derechos sobre la tierra/bosques</v>
      </c>
      <c r="C176" s="1701" t="s">
        <v>1973</v>
      </c>
      <c r="D176" s="1701" t="s">
        <v>125</v>
      </c>
      <c r="E176" s="124" t="str">
        <f>+'6. Intervenciones UDT- AM'!E44</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176" s="95"/>
      <c r="G176" s="79"/>
      <c r="H176" s="79"/>
      <c r="I176" s="79"/>
      <c r="J176" s="79"/>
      <c r="K176" s="79"/>
      <c r="L176" s="79"/>
      <c r="M176" s="79"/>
      <c r="N176" s="79"/>
      <c r="O176" s="79"/>
      <c r="P176" s="79"/>
      <c r="Q176" s="79"/>
      <c r="R176" s="79"/>
      <c r="S176" s="79"/>
      <c r="T176" s="79"/>
      <c r="U176" s="79"/>
      <c r="V176" s="79"/>
      <c r="W176" s="79"/>
      <c r="X176" s="79"/>
      <c r="Y176" s="79"/>
      <c r="Z176" s="79"/>
    </row>
    <row r="177" spans="1:26" ht="27" customHeight="1" x14ac:dyDescent="0.15">
      <c r="A177" s="79"/>
      <c r="B177" s="111" t="str">
        <f>+'6. Intervenciones UDT- AM'!D45</f>
        <v>Promoción y desarrollo de proveedores de semillas mejoradas</v>
      </c>
      <c r="C177" s="1701"/>
      <c r="D177" s="1701"/>
      <c r="E177" s="124" t="str">
        <f>+'6. Intervenciones UDT- AM'!E45</f>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v>
      </c>
      <c r="F177" s="95"/>
      <c r="G177" s="79"/>
      <c r="H177" s="79"/>
      <c r="I177" s="79"/>
      <c r="J177" s="79"/>
      <c r="K177" s="79"/>
      <c r="L177" s="79"/>
      <c r="M177" s="79"/>
      <c r="N177" s="79"/>
      <c r="O177" s="79"/>
      <c r="P177" s="79"/>
      <c r="Q177" s="79"/>
      <c r="R177" s="79"/>
      <c r="S177" s="79"/>
      <c r="T177" s="79"/>
      <c r="U177" s="79"/>
      <c r="V177" s="79"/>
      <c r="W177" s="79"/>
      <c r="X177" s="79"/>
      <c r="Y177" s="79"/>
      <c r="Z177" s="79"/>
    </row>
    <row r="178" spans="1:26" ht="35.35" x14ac:dyDescent="0.15">
      <c r="A178" s="79"/>
      <c r="B178" s="111" t="str">
        <f>+'6. Intervenciones UDT- AM'!D46</f>
        <v>Promoción de Sistemas de producción sostenibles</v>
      </c>
      <c r="C178" s="1701"/>
      <c r="D178" s="1701"/>
      <c r="E178" s="124" t="str">
        <f>+'6. Intervenciones UDT- AM'!E46</f>
        <v xml:space="preserve">Capacitaciones a 3,741  productores  de arroz, interviniendo aproximadamente en 29,200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 </v>
      </c>
      <c r="F178" s="95"/>
      <c r="G178" s="79"/>
      <c r="H178" s="79"/>
      <c r="I178" s="79"/>
      <c r="J178" s="79"/>
      <c r="K178" s="79"/>
      <c r="L178" s="79"/>
      <c r="M178" s="79"/>
      <c r="N178" s="79"/>
      <c r="O178" s="79"/>
      <c r="P178" s="79"/>
      <c r="Q178" s="79"/>
      <c r="R178" s="79"/>
      <c r="S178" s="79"/>
      <c r="T178" s="79"/>
      <c r="U178" s="79"/>
      <c r="V178" s="79"/>
      <c r="W178" s="79"/>
      <c r="X178" s="79"/>
      <c r="Y178" s="79"/>
      <c r="Z178" s="79"/>
    </row>
    <row r="179" spans="1:26" ht="50.95" customHeight="1" x14ac:dyDescent="0.15">
      <c r="A179" s="79"/>
      <c r="B179" s="111" t="str">
        <f>+'6. Intervenciones UDT- AM'!D47</f>
        <v xml:space="preserve">Reconversión y diversificación productiva </v>
      </c>
      <c r="C179" s="1701"/>
      <c r="D179" s="1701"/>
      <c r="E179" s="124" t="str">
        <f>+'6. Intervenciones UDT- AM'!E47</f>
        <v>Se cuenta con aproximadamente 19,021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v>
      </c>
      <c r="F179" s="95"/>
      <c r="G179" s="79"/>
      <c r="H179" s="79"/>
      <c r="I179" s="79"/>
      <c r="J179" s="79"/>
      <c r="K179" s="79"/>
      <c r="L179" s="79"/>
      <c r="M179" s="79"/>
      <c r="N179" s="79"/>
      <c r="O179" s="79"/>
      <c r="P179" s="79"/>
      <c r="Q179" s="79"/>
      <c r="R179" s="79"/>
      <c r="S179" s="79"/>
      <c r="T179" s="79"/>
      <c r="U179" s="79"/>
      <c r="V179" s="79"/>
      <c r="W179" s="79"/>
      <c r="X179" s="79"/>
      <c r="Y179" s="79"/>
      <c r="Z179" s="79"/>
    </row>
    <row r="180" spans="1:26" ht="53" x14ac:dyDescent="0.15">
      <c r="A180" s="79"/>
      <c r="B180" s="111" t="str">
        <f>+'6. Intervenciones UDT- AM'!D48</f>
        <v>Programa de acceso al financiamiento agropecuario condicionado</v>
      </c>
      <c r="C180" s="1701"/>
      <c r="D180" s="1701"/>
      <c r="E180" s="187" t="str">
        <f>+'6. Intervenciones UDT- AM'!E48</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v>
      </c>
      <c r="F180" s="95"/>
      <c r="G180" s="79"/>
      <c r="H180" s="79"/>
      <c r="I180" s="79"/>
      <c r="J180" s="79"/>
      <c r="K180" s="79"/>
      <c r="L180" s="79"/>
      <c r="M180" s="79"/>
      <c r="N180" s="79"/>
      <c r="O180" s="79"/>
      <c r="P180" s="79"/>
      <c r="Q180" s="79"/>
      <c r="R180" s="79"/>
      <c r="S180" s="79"/>
      <c r="T180" s="79"/>
      <c r="U180" s="79"/>
      <c r="V180" s="79"/>
      <c r="W180" s="79"/>
      <c r="X180" s="79"/>
      <c r="Y180" s="79"/>
      <c r="Z180" s="79"/>
    </row>
    <row r="181" spans="1:26" ht="44.15" x14ac:dyDescent="0.15">
      <c r="A181" s="79"/>
      <c r="B181" s="111" t="str">
        <f>+'6. Intervenciones UDT- AM'!D49</f>
        <v>Promoción de modelos asociativos sostenibles</v>
      </c>
      <c r="C181" s="1701"/>
      <c r="D181" s="1701"/>
      <c r="E181" s="124" t="str">
        <f>+'6. Intervenciones UDT- AM'!E49</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181" s="95"/>
      <c r="G181" s="79"/>
      <c r="H181" s="79"/>
      <c r="I181" s="79"/>
      <c r="J181" s="79"/>
      <c r="K181" s="79"/>
      <c r="L181" s="79"/>
      <c r="M181" s="79"/>
      <c r="N181" s="79"/>
      <c r="O181" s="79"/>
      <c r="P181" s="79"/>
      <c r="Q181" s="79"/>
      <c r="R181" s="79"/>
      <c r="S181" s="79"/>
      <c r="T181" s="79"/>
      <c r="U181" s="79"/>
      <c r="V181" s="79"/>
      <c r="W181" s="79"/>
      <c r="X181" s="79"/>
      <c r="Y181" s="79"/>
      <c r="Z181" s="79"/>
    </row>
    <row r="182" spans="1:26" ht="26.5" x14ac:dyDescent="0.15">
      <c r="A182" s="79"/>
      <c r="B182" s="111" t="str">
        <f>+'6. Intervenciones UDT- AM'!D50</f>
        <v>Implementación de infraestructura productiva baja en emisiones</v>
      </c>
      <c r="C182" s="1701"/>
      <c r="D182" s="1701"/>
      <c r="E182" s="124" t="str">
        <f>+'6. Intervenciones UDT- AM'!E50</f>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facilitar y orientar el acceso a dichos fondos.</v>
      </c>
      <c r="F182" s="95"/>
      <c r="G182" s="79"/>
      <c r="H182" s="79"/>
      <c r="I182" s="79"/>
      <c r="J182" s="79"/>
      <c r="K182" s="79"/>
      <c r="L182" s="79"/>
      <c r="M182" s="79"/>
      <c r="N182" s="79"/>
      <c r="O182" s="79"/>
      <c r="P182" s="79"/>
      <c r="Q182" s="79"/>
      <c r="R182" s="79"/>
      <c r="S182" s="79"/>
      <c r="T182" s="79"/>
      <c r="U182" s="79"/>
      <c r="V182" s="79"/>
      <c r="W182" s="79"/>
      <c r="X182" s="79"/>
      <c r="Y182" s="79"/>
      <c r="Z182" s="79"/>
    </row>
    <row r="183" spans="1:26" ht="50.95" customHeight="1" x14ac:dyDescent="0.15">
      <c r="A183" s="79"/>
      <c r="B183" s="111" t="str">
        <f>+'6. Intervenciones UDT- AM'!D51</f>
        <v>Promoción y acceso a los Mecanismos de Retribución por Servicios Eco sistémicos (MERESE)</v>
      </c>
      <c r="C183" s="1701"/>
      <c r="D183" s="1701"/>
      <c r="E183" s="124" t="str">
        <f>+'6. Intervenciones UDT- AM'!E51</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183" s="95"/>
      <c r="G183" s="79"/>
      <c r="H183" s="79"/>
      <c r="I183" s="79"/>
      <c r="J183" s="79"/>
      <c r="K183" s="79"/>
      <c r="L183" s="79"/>
      <c r="M183" s="79"/>
      <c r="N183" s="79"/>
      <c r="O183" s="79"/>
      <c r="P183" s="79"/>
      <c r="Q183" s="79"/>
      <c r="R183" s="79"/>
      <c r="S183" s="79"/>
      <c r="T183" s="79"/>
      <c r="U183" s="79"/>
      <c r="V183" s="79"/>
      <c r="W183" s="79"/>
      <c r="X183" s="79"/>
      <c r="Y183" s="79"/>
      <c r="Z183" s="79"/>
    </row>
    <row r="184" spans="1:26" ht="19.55" customHeight="1" x14ac:dyDescent="0.15">
      <c r="A184" s="79"/>
      <c r="B184" s="79"/>
      <c r="C184" s="94"/>
      <c r="D184" s="95"/>
      <c r="E184" s="87"/>
      <c r="F184" s="95"/>
      <c r="G184" s="79"/>
      <c r="H184" s="79"/>
      <c r="I184" s="79"/>
      <c r="J184" s="79"/>
      <c r="K184" s="79"/>
      <c r="L184" s="79"/>
      <c r="M184" s="79"/>
      <c r="N184" s="79"/>
      <c r="O184" s="79"/>
      <c r="P184" s="79"/>
      <c r="Q184" s="79"/>
      <c r="R184" s="79"/>
      <c r="S184" s="79"/>
      <c r="T184" s="79"/>
      <c r="U184" s="79"/>
      <c r="V184" s="79"/>
      <c r="W184" s="79"/>
      <c r="X184" s="79"/>
      <c r="Y184" s="79"/>
      <c r="Z184" s="79"/>
    </row>
    <row r="185" spans="1:26" ht="19.55" customHeight="1" x14ac:dyDescent="0.15">
      <c r="A185" s="79"/>
      <c r="B185" s="79"/>
      <c r="C185" s="94"/>
      <c r="D185" s="95"/>
      <c r="E185" s="87"/>
      <c r="F185" s="95"/>
      <c r="G185" s="79"/>
      <c r="H185" s="79"/>
      <c r="I185" s="79"/>
      <c r="J185" s="79"/>
      <c r="K185" s="79"/>
      <c r="L185" s="79"/>
      <c r="M185" s="79"/>
      <c r="N185" s="79"/>
      <c r="O185" s="79"/>
      <c r="P185" s="79"/>
      <c r="Q185" s="79"/>
      <c r="R185" s="79"/>
      <c r="S185" s="79"/>
      <c r="T185" s="79"/>
      <c r="U185" s="79"/>
      <c r="V185" s="79"/>
      <c r="W185" s="79"/>
      <c r="X185" s="79"/>
      <c r="Y185" s="79"/>
      <c r="Z185" s="79"/>
    </row>
    <row r="186" spans="1:26" ht="17.7" x14ac:dyDescent="0.15">
      <c r="A186" s="79"/>
      <c r="B186" s="107" t="s">
        <v>2013</v>
      </c>
      <c r="C186" s="101" t="s">
        <v>1969</v>
      </c>
      <c r="D186" s="101" t="s">
        <v>1968</v>
      </c>
      <c r="E186" s="107" t="s">
        <v>2014</v>
      </c>
      <c r="F186" s="95"/>
      <c r="G186" s="79"/>
      <c r="H186" s="79"/>
      <c r="I186" s="79"/>
      <c r="J186" s="79"/>
      <c r="K186" s="79"/>
      <c r="L186" s="79"/>
      <c r="M186" s="79"/>
      <c r="N186" s="79"/>
      <c r="O186" s="79"/>
      <c r="P186" s="79"/>
      <c r="Q186" s="79"/>
      <c r="R186" s="79"/>
      <c r="S186" s="79"/>
      <c r="T186" s="79"/>
      <c r="U186" s="79"/>
      <c r="V186" s="79"/>
      <c r="W186" s="79"/>
      <c r="X186" s="79"/>
      <c r="Y186" s="79"/>
      <c r="Z186" s="79"/>
    </row>
    <row r="187" spans="1:26" ht="111.1" customHeight="1" x14ac:dyDescent="0.15">
      <c r="A187" s="79"/>
      <c r="B187" s="361" t="str">
        <f>+'6. Intervenciones UDT- AM'!D63</f>
        <v>Otorgamiento de derechos sobre la tierra/bosques</v>
      </c>
      <c r="C187" s="1701" t="s">
        <v>1973</v>
      </c>
      <c r="D187" s="1701" t="s">
        <v>126</v>
      </c>
      <c r="E187" s="124" t="str">
        <f>+'6. Intervenciones UDT- AM'!E63</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187" s="95"/>
      <c r="G187" s="79"/>
      <c r="H187" s="79"/>
      <c r="I187" s="79"/>
      <c r="J187" s="79"/>
      <c r="K187" s="79"/>
      <c r="L187" s="79"/>
      <c r="M187" s="79"/>
      <c r="N187" s="79"/>
      <c r="O187" s="79"/>
      <c r="P187" s="79"/>
      <c r="Q187" s="79"/>
      <c r="R187" s="79"/>
      <c r="S187" s="79"/>
      <c r="T187" s="79"/>
      <c r="U187" s="79"/>
      <c r="V187" s="79"/>
      <c r="W187" s="79"/>
      <c r="X187" s="79"/>
      <c r="Y187" s="79"/>
      <c r="Z187" s="79"/>
    </row>
    <row r="188" spans="1:26" ht="26.5" x14ac:dyDescent="0.15">
      <c r="A188" s="79"/>
      <c r="B188" s="362" t="str">
        <f>+'6. Intervenciones UDT- AM'!D64</f>
        <v xml:space="preserve">Asistencia técnica para el mejoramiento de pastos y ganadería </v>
      </c>
      <c r="C188" s="1701"/>
      <c r="D188" s="1701"/>
      <c r="E188" s="124" t="str">
        <f>+'6. Intervenciones UDT- AM'!E64</f>
        <v>Capacitaciones a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F188" s="95"/>
      <c r="G188" s="79"/>
      <c r="H188" s="79"/>
      <c r="I188" s="79"/>
      <c r="J188" s="79"/>
      <c r="K188" s="79"/>
      <c r="L188" s="79"/>
      <c r="M188" s="79"/>
      <c r="N188" s="79"/>
      <c r="O188" s="79"/>
      <c r="P188" s="79"/>
      <c r="Q188" s="79"/>
      <c r="R188" s="79"/>
      <c r="S188" s="79"/>
      <c r="T188" s="79"/>
      <c r="U188" s="79"/>
      <c r="V188" s="79"/>
      <c r="W188" s="79"/>
      <c r="X188" s="79"/>
      <c r="Y188" s="79"/>
      <c r="Z188" s="79"/>
    </row>
    <row r="189" spans="1:26" ht="26.5" x14ac:dyDescent="0.15">
      <c r="A189" s="79"/>
      <c r="B189" s="111" t="str">
        <f>+'6. Intervenciones UDT- AM'!D65</f>
        <v>Manejo, conservación y recuperación de suelos degradados</v>
      </c>
      <c r="C189" s="1701"/>
      <c r="D189" s="1701"/>
      <c r="E189" s="124" t="str">
        <f>+'6. Intervenciones UDT- AM'!E65</f>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v>
      </c>
      <c r="F189" s="95"/>
      <c r="G189" s="79"/>
      <c r="H189" s="79"/>
      <c r="I189" s="79"/>
      <c r="J189" s="79"/>
      <c r="K189" s="79"/>
      <c r="L189" s="79"/>
      <c r="M189" s="79"/>
      <c r="N189" s="79"/>
      <c r="O189" s="79"/>
      <c r="P189" s="79"/>
      <c r="Q189" s="79"/>
      <c r="R189" s="79"/>
      <c r="S189" s="79"/>
      <c r="T189" s="79"/>
      <c r="U189" s="79"/>
      <c r="V189" s="79"/>
      <c r="W189" s="79"/>
      <c r="X189" s="79"/>
      <c r="Y189" s="79"/>
      <c r="Z189" s="79"/>
    </row>
    <row r="190" spans="1:26" ht="17.7" x14ac:dyDescent="0.15">
      <c r="A190" s="79"/>
      <c r="B190" s="111" t="str">
        <f>+'6. Intervenciones UDT- AM'!D66</f>
        <v>Mejoramiento genético de ganado bovino</v>
      </c>
      <c r="C190" s="1701"/>
      <c r="D190" s="1701"/>
      <c r="E190" s="124" t="str">
        <f>+'6. Intervenciones UDT- AM'!E66</f>
        <v>Reactivación, implementación y gestión de las postas de inseminación artificial, importación de material genético (pajillas de semen), capacitación y entrenamiento a inseminadores, transferencia de embriones a las granjas de los productores y asistencia técnica.</v>
      </c>
      <c r="F190" s="95"/>
      <c r="G190" s="79"/>
      <c r="H190" s="79"/>
      <c r="I190" s="79"/>
      <c r="J190" s="79"/>
      <c r="K190" s="79"/>
      <c r="L190" s="79"/>
      <c r="M190" s="79"/>
      <c r="N190" s="79"/>
      <c r="O190" s="79"/>
      <c r="P190" s="79"/>
      <c r="Q190" s="79"/>
      <c r="R190" s="79"/>
      <c r="S190" s="79"/>
      <c r="T190" s="79"/>
      <c r="U190" s="79"/>
      <c r="V190" s="79"/>
      <c r="W190" s="79"/>
      <c r="X190" s="79"/>
      <c r="Y190" s="79"/>
      <c r="Z190" s="79"/>
    </row>
    <row r="191" spans="1:26" ht="35.35" x14ac:dyDescent="0.15">
      <c r="A191" s="79"/>
      <c r="B191" s="111" t="str">
        <f>+'6. Intervenciones UDT- AM'!D67</f>
        <v>Programa de acceso al financiamiento agropecuario condicionado</v>
      </c>
      <c r="C191" s="1701"/>
      <c r="D191" s="1701"/>
      <c r="E191" s="124" t="str">
        <f>+'6. Intervenciones UDT- AM'!E67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Los fondos se canalizará con los bancos que ofrezcan las mejores tasas para los productores.</v>
      </c>
      <c r="F191" s="95"/>
      <c r="G191" s="79"/>
      <c r="H191" s="79"/>
      <c r="I191" s="79"/>
      <c r="J191" s="79"/>
      <c r="K191" s="79"/>
      <c r="L191" s="79"/>
      <c r="M191" s="79"/>
      <c r="N191" s="79"/>
      <c r="O191" s="79"/>
      <c r="P191" s="79"/>
      <c r="Q191" s="79"/>
      <c r="R191" s="79"/>
      <c r="S191" s="79"/>
      <c r="T191" s="79"/>
      <c r="U191" s="79"/>
      <c r="V191" s="79"/>
      <c r="W191" s="79"/>
      <c r="X191" s="79"/>
      <c r="Y191" s="79"/>
      <c r="Z191" s="79"/>
    </row>
    <row r="192" spans="1:26" ht="44.15" x14ac:dyDescent="0.15">
      <c r="A192" s="79"/>
      <c r="B192" s="111" t="str">
        <f>+'6. Intervenciones UDT- AM'!D68</f>
        <v>Promoción de modelos asociativos sostenibles</v>
      </c>
      <c r="C192" s="1701"/>
      <c r="D192" s="1701"/>
      <c r="E192" s="124" t="str">
        <f>+'6. Intervenciones UDT- AM'!E68</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192" s="95"/>
      <c r="G192" s="79"/>
      <c r="H192" s="79"/>
      <c r="I192" s="79"/>
      <c r="J192" s="79"/>
      <c r="K192" s="79"/>
      <c r="L192" s="79"/>
      <c r="M192" s="79"/>
      <c r="N192" s="79"/>
      <c r="O192" s="79"/>
      <c r="P192" s="79"/>
      <c r="Q192" s="79"/>
      <c r="R192" s="79"/>
      <c r="S192" s="79"/>
      <c r="T192" s="79"/>
      <c r="U192" s="79"/>
      <c r="V192" s="79"/>
      <c r="W192" s="79"/>
      <c r="X192" s="79"/>
      <c r="Y192" s="79"/>
      <c r="Z192" s="79"/>
    </row>
    <row r="193" spans="1:26" ht="26.5" x14ac:dyDescent="0.15">
      <c r="A193" s="79"/>
      <c r="B193" s="111" t="str">
        <f>+'6. Intervenciones UDT- AM'!D69</f>
        <v>Implementación de infraestructura productiva baja en emisiones</v>
      </c>
      <c r="C193" s="1701"/>
      <c r="D193" s="1701"/>
      <c r="E193" s="124" t="str">
        <f>+'6. Intervenciones UDT- AM'!E69</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F193" s="95"/>
      <c r="G193" s="79"/>
      <c r="H193" s="79"/>
      <c r="I193" s="79"/>
      <c r="J193" s="79"/>
      <c r="K193" s="79"/>
      <c r="L193" s="79"/>
      <c r="M193" s="79"/>
      <c r="N193" s="79"/>
      <c r="O193" s="79"/>
      <c r="P193" s="79"/>
      <c r="Q193" s="79"/>
      <c r="R193" s="79"/>
      <c r="S193" s="79"/>
      <c r="T193" s="79"/>
      <c r="U193" s="79"/>
      <c r="V193" s="79"/>
      <c r="W193" s="79"/>
      <c r="X193" s="79"/>
      <c r="Y193" s="79"/>
      <c r="Z193" s="79"/>
    </row>
    <row r="194" spans="1:26" ht="50.95" customHeight="1" x14ac:dyDescent="0.15">
      <c r="A194" s="79"/>
      <c r="B194" s="111" t="str">
        <f>+'6. Intervenciones UDT- AM'!D70</f>
        <v>Promoción y acceso a los Mecanismos de Retribución por Servicios Eco sistémicos (MERESE)</v>
      </c>
      <c r="C194" s="1701"/>
      <c r="D194" s="1701"/>
      <c r="E194" s="124" t="str">
        <f>+'6. Intervenciones UDT- AM'!E70</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194" s="95"/>
      <c r="G194" s="79"/>
      <c r="H194" s="79"/>
      <c r="I194" s="79"/>
      <c r="J194" s="79"/>
      <c r="K194" s="79"/>
      <c r="L194" s="79"/>
      <c r="M194" s="79"/>
      <c r="N194" s="79"/>
      <c r="O194" s="79"/>
      <c r="P194" s="79"/>
      <c r="Q194" s="79"/>
      <c r="R194" s="79"/>
      <c r="S194" s="79"/>
      <c r="T194" s="79"/>
      <c r="U194" s="79"/>
      <c r="V194" s="79"/>
      <c r="W194" s="79"/>
      <c r="X194" s="79"/>
      <c r="Y194" s="79"/>
      <c r="Z194" s="79"/>
    </row>
    <row r="195" spans="1:26" ht="14.95" customHeight="1" x14ac:dyDescent="0.15">
      <c r="A195" s="79"/>
      <c r="B195" s="79"/>
      <c r="C195" s="94"/>
      <c r="D195" s="95"/>
      <c r="E195" s="87"/>
      <c r="F195" s="95"/>
      <c r="G195" s="79"/>
      <c r="H195" s="79"/>
      <c r="I195" s="79"/>
      <c r="J195" s="79"/>
      <c r="K195" s="79"/>
      <c r="L195" s="79"/>
      <c r="M195" s="79"/>
      <c r="N195" s="79"/>
      <c r="O195" s="79"/>
      <c r="P195" s="79"/>
      <c r="Q195" s="79"/>
      <c r="R195" s="79"/>
      <c r="S195" s="79"/>
      <c r="T195" s="79"/>
      <c r="U195" s="79"/>
      <c r="V195" s="79"/>
      <c r="W195" s="79"/>
      <c r="X195" s="79"/>
      <c r="Y195" s="79"/>
      <c r="Z195" s="79"/>
    </row>
    <row r="196" spans="1:26" ht="14.95" customHeight="1" x14ac:dyDescent="0.15">
      <c r="A196" s="79"/>
      <c r="B196" s="79"/>
      <c r="C196" s="94"/>
      <c r="D196" s="95"/>
      <c r="E196" s="87"/>
      <c r="F196" s="95"/>
      <c r="G196" s="79"/>
      <c r="H196" s="79"/>
      <c r="I196" s="79"/>
      <c r="J196" s="79"/>
      <c r="K196" s="79"/>
      <c r="L196" s="79"/>
      <c r="M196" s="79"/>
      <c r="N196" s="79"/>
      <c r="O196" s="79"/>
      <c r="P196" s="79"/>
      <c r="Q196" s="79"/>
      <c r="R196" s="79"/>
      <c r="S196" s="79"/>
      <c r="T196" s="79"/>
      <c r="U196" s="79"/>
      <c r="V196" s="79"/>
      <c r="W196" s="79"/>
      <c r="X196" s="79"/>
      <c r="Y196" s="79"/>
      <c r="Z196" s="79"/>
    </row>
    <row r="197" spans="1:26" ht="17.7" x14ac:dyDescent="0.15">
      <c r="A197" s="79"/>
      <c r="B197" s="107" t="s">
        <v>2013</v>
      </c>
      <c r="C197" s="101" t="s">
        <v>142</v>
      </c>
      <c r="D197" s="101" t="s">
        <v>1968</v>
      </c>
      <c r="E197" s="107" t="s">
        <v>2014</v>
      </c>
      <c r="F197" s="95"/>
      <c r="G197" s="79"/>
      <c r="H197" s="79"/>
      <c r="I197" s="79"/>
      <c r="J197" s="79"/>
      <c r="K197" s="79"/>
      <c r="L197" s="79"/>
      <c r="M197" s="79"/>
      <c r="N197" s="79"/>
      <c r="O197" s="79"/>
      <c r="P197" s="79"/>
      <c r="Q197" s="79"/>
      <c r="R197" s="79"/>
      <c r="S197" s="79"/>
      <c r="T197" s="79"/>
      <c r="U197" s="79"/>
      <c r="V197" s="79"/>
      <c r="W197" s="79"/>
      <c r="X197" s="79"/>
      <c r="Y197" s="79"/>
      <c r="Z197" s="79"/>
    </row>
    <row r="198" spans="1:26" ht="44.15" x14ac:dyDescent="0.15">
      <c r="A198" s="79"/>
      <c r="B198" s="109" t="str">
        <f>+'6. Intervenciones UDT- AM'!D82</f>
        <v>Solución de conflictos en las CCNN</v>
      </c>
      <c r="C198" s="1710" t="s">
        <v>2021</v>
      </c>
      <c r="D198" s="1710" t="s">
        <v>1986</v>
      </c>
      <c r="E198" s="88" t="str">
        <f>+'6. Intervenciones UDT- AM'!E82</f>
        <v>Implementación del proceso de diálogo entre CCNN, productores (arrendatarios) de arroz, café cacao  y traficantes de tierras, para solucionar los conflictos por, superposición con predios individuales, esta actividad será promovida por el GRSM, a través de la Gerencia Regional de Desarrollo Social y la Gerencia Regional de Desarrollo Económico.
Saneamiento físico legal (georreferenciación, actualización gráfica, e inscripción en registros públicos), en concordancia con la R.M. 0370-2017-MINAGRI, para su seguridad jurídica de 14 comunidades nativas y 1 comunidad campesina:   CACHIYACU, DORADO,  HUASCAYACU,  KUSU,  MORROYACU,  NUEVA JERUSALEN,  SAN RAFAEL,  SHIMPIYACU, TIWIYACU, YARAU,  ALTO MAYO,  ALTO NARANJLLO,  BAJO NARANJILLO, SHAMPUYACU y la COMUNIDAD CAMPESINA PAZ Y ESPERANZA,</v>
      </c>
      <c r="F198" s="95"/>
      <c r="G198" s="79"/>
      <c r="H198" s="79"/>
      <c r="I198" s="79"/>
      <c r="J198" s="79"/>
      <c r="K198" s="79"/>
      <c r="L198" s="79"/>
      <c r="M198" s="79"/>
      <c r="N198" s="79"/>
      <c r="O198" s="79"/>
      <c r="P198" s="79"/>
      <c r="Q198" s="79"/>
      <c r="R198" s="79"/>
      <c r="S198" s="79"/>
      <c r="T198" s="79"/>
      <c r="U198" s="79"/>
      <c r="V198" s="79"/>
      <c r="W198" s="79"/>
      <c r="X198" s="79"/>
      <c r="Y198" s="79"/>
      <c r="Z198" s="79"/>
    </row>
    <row r="199" spans="1:26" ht="44.15" x14ac:dyDescent="0.15">
      <c r="A199" s="79"/>
      <c r="B199" s="109" t="str">
        <f>+'6. Intervenciones UDT- AM'!D83</f>
        <v xml:space="preserve">Asistencia técnica para el manejo agroforestal </v>
      </c>
      <c r="C199" s="1711"/>
      <c r="D199" s="1711"/>
      <c r="E199" s="88" t="str">
        <f>+'6. Intervenciones UDT- AM'!E83</f>
        <v>Capacitaciones a 14 comunidades nativas y 01 Comunidad Campesina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v>
      </c>
      <c r="F199" s="95"/>
      <c r="G199" s="79"/>
      <c r="H199" s="79"/>
      <c r="I199" s="79"/>
      <c r="J199" s="79"/>
      <c r="K199" s="79"/>
      <c r="L199" s="79"/>
      <c r="M199" s="79"/>
      <c r="N199" s="79"/>
      <c r="O199" s="79"/>
      <c r="P199" s="79"/>
      <c r="Q199" s="79"/>
      <c r="R199" s="79"/>
      <c r="S199" s="79"/>
      <c r="T199" s="79"/>
      <c r="U199" s="79"/>
      <c r="V199" s="79"/>
      <c r="W199" s="79"/>
      <c r="X199" s="79"/>
      <c r="Y199" s="79"/>
      <c r="Z199" s="79"/>
    </row>
    <row r="200" spans="1:26" ht="44.15" x14ac:dyDescent="0.15">
      <c r="A200" s="79"/>
      <c r="B200" s="109" t="str">
        <f>+'6. Intervenciones UDT- AM'!D84</f>
        <v xml:space="preserve">Promoción de Bionegocios con productos forestales no maderables </v>
      </c>
      <c r="C200" s="1711"/>
      <c r="D200" s="1711"/>
      <c r="E200" s="88" t="str">
        <f>+'6. Intervenciones UDT- AM'!E84</f>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v>
      </c>
      <c r="F200" s="95"/>
      <c r="G200" s="79"/>
      <c r="H200" s="79"/>
      <c r="I200" s="79"/>
      <c r="J200" s="79"/>
      <c r="K200" s="79"/>
      <c r="L200" s="79"/>
      <c r="M200" s="79"/>
      <c r="N200" s="79"/>
      <c r="O200" s="79"/>
      <c r="P200" s="79"/>
      <c r="Q200" s="79"/>
      <c r="R200" s="79"/>
      <c r="S200" s="79"/>
      <c r="T200" s="79"/>
      <c r="U200" s="79"/>
      <c r="V200" s="79"/>
      <c r="W200" s="79"/>
      <c r="X200" s="79"/>
      <c r="Y200" s="79"/>
      <c r="Z200" s="79"/>
    </row>
    <row r="201" spans="1:26" ht="26.5" x14ac:dyDescent="0.15">
      <c r="A201" s="79"/>
      <c r="B201" s="109" t="str">
        <f>+'6. Intervenciones UDT- AM'!D85</f>
        <v>Fortalecimiento de capacidades</v>
      </c>
      <c r="C201" s="1711"/>
      <c r="D201" s="1711"/>
      <c r="E201" s="88" t="str">
        <f>+'6. Intervenciones UDT- AM'!E85</f>
        <v>Capacitaciones a 14 comunidades nativas y 01 Comunidad Campesina,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v>
      </c>
      <c r="F201" s="95"/>
      <c r="G201" s="79"/>
      <c r="H201" s="79"/>
      <c r="I201" s="79"/>
      <c r="J201" s="79"/>
      <c r="K201" s="79"/>
      <c r="L201" s="79"/>
      <c r="M201" s="79"/>
      <c r="N201" s="79"/>
      <c r="O201" s="79"/>
      <c r="P201" s="79"/>
      <c r="Q201" s="79"/>
      <c r="R201" s="79"/>
      <c r="S201" s="79"/>
      <c r="T201" s="79"/>
      <c r="U201" s="79"/>
      <c r="V201" s="79"/>
      <c r="W201" s="79"/>
      <c r="X201" s="79"/>
      <c r="Y201" s="79"/>
      <c r="Z201" s="79"/>
    </row>
    <row r="202" spans="1:26" ht="26.5" x14ac:dyDescent="0.15">
      <c r="A202" s="79"/>
      <c r="B202" s="109" t="str">
        <f>+'6. Intervenciones UDT- AM'!D86</f>
        <v>Identificación y apertura de mercado para productos del bosque.</v>
      </c>
      <c r="C202" s="1711"/>
      <c r="D202" s="1711"/>
      <c r="E202" s="88" t="str">
        <f>+'6. Intervenciones UDT- AM'!E86</f>
        <v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v>
      </c>
      <c r="F202" s="95"/>
      <c r="G202" s="79"/>
      <c r="H202" s="79"/>
      <c r="I202" s="79"/>
      <c r="J202" s="79"/>
      <c r="K202" s="79"/>
      <c r="L202" s="79"/>
      <c r="M202" s="79"/>
      <c r="N202" s="79"/>
      <c r="O202" s="79"/>
      <c r="P202" s="79"/>
      <c r="Q202" s="79"/>
      <c r="R202" s="79"/>
      <c r="S202" s="79"/>
      <c r="T202" s="79"/>
      <c r="U202" s="79"/>
      <c r="V202" s="79"/>
      <c r="W202" s="79"/>
      <c r="X202" s="79"/>
      <c r="Y202" s="79"/>
      <c r="Z202" s="79"/>
    </row>
    <row r="203" spans="1:26" ht="26.5" x14ac:dyDescent="0.15">
      <c r="A203" s="79"/>
      <c r="B203" s="109" t="str">
        <f>+'6. Intervenciones UDT- AM'!D87</f>
        <v>Transferencias de incentivos por conservación de bosques</v>
      </c>
      <c r="C203" s="1711"/>
      <c r="D203" s="1711"/>
      <c r="E203" s="88" t="str">
        <f>+'6. Intervenciones UDT- AM'!E87</f>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v>
      </c>
      <c r="F203" s="95"/>
      <c r="G203" s="79"/>
      <c r="H203" s="79"/>
      <c r="I203" s="79"/>
      <c r="J203" s="79"/>
      <c r="K203" s="79"/>
      <c r="L203" s="79"/>
      <c r="M203" s="79"/>
      <c r="N203" s="79"/>
      <c r="O203" s="79"/>
      <c r="P203" s="79"/>
      <c r="Q203" s="79"/>
      <c r="R203" s="79"/>
      <c r="S203" s="79"/>
      <c r="T203" s="79"/>
      <c r="U203" s="79"/>
      <c r="V203" s="79"/>
      <c r="W203" s="79"/>
      <c r="X203" s="79"/>
      <c r="Y203" s="79"/>
      <c r="Z203" s="79"/>
    </row>
    <row r="204" spans="1:26" ht="35.35" x14ac:dyDescent="0.15">
      <c r="A204" s="79"/>
      <c r="B204" s="109" t="str">
        <f>+'6. Intervenciones UDT- AM'!D88</f>
        <v>Infraestructura comunitaria ( Tambos, Cobertizos, almacenes, cocinas mejoradas, Baños)</v>
      </c>
      <c r="C204" s="1711"/>
      <c r="D204" s="1711"/>
      <c r="E204" s="88" t="str">
        <f>+'6. Intervenciones UDT- AM'!E88</f>
        <v xml:space="preserve">Con el soporte de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v>
      </c>
      <c r="F204" s="95"/>
      <c r="G204" s="79"/>
      <c r="H204" s="79"/>
      <c r="I204" s="79"/>
      <c r="J204" s="79"/>
      <c r="K204" s="79"/>
      <c r="L204" s="79"/>
      <c r="M204" s="79"/>
      <c r="N204" s="79"/>
      <c r="O204" s="79"/>
      <c r="P204" s="79"/>
      <c r="Q204" s="79"/>
      <c r="R204" s="79"/>
      <c r="S204" s="79"/>
      <c r="T204" s="79"/>
      <c r="U204" s="79"/>
      <c r="V204" s="79"/>
      <c r="W204" s="79"/>
      <c r="X204" s="79"/>
      <c r="Y204" s="79"/>
      <c r="Z204" s="79"/>
    </row>
    <row r="205" spans="1:26" ht="17.7" x14ac:dyDescent="0.15">
      <c r="A205" s="79"/>
      <c r="B205" s="109" t="str">
        <f>+'6. Intervenciones UDT- AM'!D89</f>
        <v>Servicios básicos de calidad</v>
      </c>
      <c r="C205" s="1712"/>
      <c r="D205" s="1712"/>
      <c r="E205" s="88" t="str">
        <f>+'6. Intervenciones UDT- AM'!E89</f>
        <v xml:space="preserve">Implementación de proyectos enfocados a mejorar los servicios básicos de las comunidades nativas, dichos servicios deberán contar con profesionales bilingües, para asegurar y garantizar la adecuada transferencia de dichos servicios.  </v>
      </c>
      <c r="F205" s="95"/>
      <c r="G205" s="79"/>
      <c r="H205" s="79"/>
      <c r="I205" s="79"/>
      <c r="J205" s="79"/>
      <c r="K205" s="79"/>
      <c r="L205" s="79"/>
      <c r="M205" s="79"/>
      <c r="N205" s="79"/>
      <c r="O205" s="79"/>
      <c r="P205" s="79"/>
      <c r="Q205" s="79"/>
      <c r="R205" s="79"/>
      <c r="S205" s="79"/>
      <c r="T205" s="79"/>
      <c r="U205" s="79"/>
      <c r="V205" s="79"/>
      <c r="W205" s="79"/>
      <c r="X205" s="79"/>
      <c r="Y205" s="79"/>
      <c r="Z205" s="79"/>
    </row>
    <row r="206" spans="1:26" ht="16.5" customHeight="1" x14ac:dyDescent="0.15">
      <c r="A206" s="79"/>
      <c r="B206" s="79"/>
      <c r="C206" s="94"/>
      <c r="D206" s="95"/>
      <c r="E206" s="87"/>
      <c r="F206" s="95"/>
      <c r="G206" s="79"/>
      <c r="H206" s="79"/>
      <c r="I206" s="79"/>
      <c r="J206" s="79"/>
      <c r="K206" s="79"/>
      <c r="L206" s="79"/>
      <c r="M206" s="79"/>
      <c r="N206" s="79"/>
      <c r="O206" s="79"/>
      <c r="P206" s="79"/>
      <c r="Q206" s="79"/>
      <c r="R206" s="79"/>
      <c r="S206" s="79"/>
      <c r="T206" s="79"/>
      <c r="U206" s="79"/>
      <c r="V206" s="79"/>
      <c r="W206" s="79"/>
      <c r="X206" s="79"/>
      <c r="Y206" s="79"/>
      <c r="Z206" s="79"/>
    </row>
    <row r="207" spans="1:26" ht="16.5" customHeight="1" x14ac:dyDescent="0.15">
      <c r="A207" s="79"/>
      <c r="B207" s="79"/>
      <c r="C207" s="94"/>
      <c r="D207" s="95"/>
      <c r="E207" s="87"/>
      <c r="F207" s="95"/>
      <c r="G207" s="79"/>
      <c r="H207" s="79"/>
      <c r="I207" s="79"/>
      <c r="J207" s="79"/>
      <c r="K207" s="79"/>
      <c r="L207" s="79"/>
      <c r="M207" s="79"/>
      <c r="N207" s="79"/>
      <c r="O207" s="79"/>
      <c r="P207" s="79"/>
      <c r="Q207" s="79"/>
      <c r="R207" s="79"/>
      <c r="S207" s="79"/>
      <c r="T207" s="79"/>
      <c r="U207" s="79"/>
      <c r="V207" s="79"/>
      <c r="W207" s="79"/>
      <c r="X207" s="79"/>
      <c r="Y207" s="79"/>
      <c r="Z207" s="79"/>
    </row>
    <row r="208" spans="1:26" ht="17.7" x14ac:dyDescent="0.15">
      <c r="A208" s="79"/>
      <c r="B208" s="107" t="s">
        <v>2013</v>
      </c>
      <c r="C208" s="101" t="s">
        <v>1969</v>
      </c>
      <c r="D208" s="101" t="s">
        <v>1968</v>
      </c>
      <c r="E208" s="107" t="s">
        <v>2014</v>
      </c>
      <c r="F208" s="95"/>
      <c r="G208" s="79"/>
      <c r="H208" s="79"/>
      <c r="I208" s="79"/>
      <c r="J208" s="79"/>
      <c r="K208" s="79"/>
      <c r="L208" s="79"/>
      <c r="M208" s="79"/>
      <c r="N208" s="79"/>
      <c r="O208" s="79"/>
      <c r="P208" s="79"/>
      <c r="Q208" s="79"/>
      <c r="R208" s="79"/>
      <c r="S208" s="79"/>
      <c r="T208" s="79"/>
      <c r="U208" s="79"/>
      <c r="V208" s="79"/>
      <c r="W208" s="79"/>
      <c r="X208" s="79"/>
      <c r="Y208" s="79"/>
      <c r="Z208" s="79"/>
    </row>
    <row r="209" spans="1:26" ht="44.15" x14ac:dyDescent="0.15">
      <c r="A209" s="79"/>
      <c r="B209" s="111" t="str">
        <f>+'6. Intervenciones UDT- AM'!D101</f>
        <v>Incentivos financieros para la promoción del ecoturismo y turismo comunitario</v>
      </c>
      <c r="C209" s="1701" t="s">
        <v>1973</v>
      </c>
      <c r="D209" s="1701" t="s">
        <v>2016</v>
      </c>
      <c r="E209" s="124" t="str">
        <f>+'6. Intervenciones UDT- AM'!E101</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209" s="95"/>
      <c r="G209" s="79"/>
      <c r="H209" s="79"/>
      <c r="I209" s="79"/>
      <c r="J209" s="79"/>
      <c r="K209" s="79"/>
      <c r="L209" s="79"/>
      <c r="M209" s="79"/>
      <c r="N209" s="79"/>
      <c r="O209" s="79"/>
      <c r="P209" s="79"/>
      <c r="Q209" s="79"/>
      <c r="R209" s="79"/>
      <c r="S209" s="79"/>
      <c r="T209" s="79"/>
      <c r="U209" s="79"/>
      <c r="V209" s="79"/>
      <c r="W209" s="79"/>
      <c r="X209" s="79"/>
      <c r="Y209" s="79"/>
      <c r="Z209" s="79"/>
    </row>
    <row r="210" spans="1:26" ht="61.85" x14ac:dyDescent="0.15">
      <c r="A210" s="79"/>
      <c r="B210" s="111" t="str">
        <f>+'6. Intervenciones UDT- AM'!D102</f>
        <v>Asistencia técnica para la gestión del turismo y acciones integradas para el desarrollo de las organizaciones  o emprendimientos comunitarios</v>
      </c>
      <c r="C210" s="1368"/>
      <c r="D210" s="1368"/>
      <c r="E210" s="124" t="str">
        <f>+'6. Intervenciones UDT- AM'!E102</f>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
2. Asistencia técnica, orientada al a) Fortalecimiento de la gestión del turismo, b) Consolidación de los productos de turismo y c) Fortalecimiento de la política institucional y la gobernanza del turismo.</v>
      </c>
      <c r="F210" s="95"/>
      <c r="G210" s="79"/>
      <c r="H210" s="79"/>
      <c r="I210" s="79"/>
      <c r="J210" s="79"/>
      <c r="K210" s="79"/>
      <c r="L210" s="79"/>
      <c r="M210" s="79"/>
      <c r="N210" s="79"/>
      <c r="O210" s="79"/>
      <c r="P210" s="79"/>
      <c r="Q210" s="79"/>
      <c r="R210" s="79"/>
      <c r="S210" s="79"/>
      <c r="T210" s="79"/>
      <c r="U210" s="79"/>
      <c r="V210" s="79"/>
      <c r="W210" s="79"/>
      <c r="X210" s="79"/>
      <c r="Y210" s="79"/>
      <c r="Z210" s="79"/>
    </row>
    <row r="211" spans="1:26" ht="35.35" x14ac:dyDescent="0.15">
      <c r="A211" s="79"/>
      <c r="B211" s="111" t="str">
        <f>+'6. Intervenciones UDT- AM'!D103</f>
        <v xml:space="preserve">Promoción de Bionegocios con productos forestales no maderables </v>
      </c>
      <c r="C211" s="1368"/>
      <c r="D211" s="1368"/>
      <c r="E211" s="124" t="str">
        <f>+'6. Intervenciones UDT- AM'!E103</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211" s="95"/>
      <c r="G211" s="79"/>
      <c r="H211" s="79"/>
      <c r="I211" s="79"/>
      <c r="J211" s="79"/>
      <c r="K211" s="79"/>
      <c r="L211" s="79"/>
      <c r="M211" s="79"/>
      <c r="N211" s="79"/>
      <c r="O211" s="79"/>
      <c r="P211" s="79"/>
      <c r="Q211" s="79"/>
      <c r="R211" s="79"/>
      <c r="S211" s="79"/>
      <c r="T211" s="79"/>
      <c r="U211" s="79"/>
      <c r="V211" s="79"/>
      <c r="W211" s="79"/>
      <c r="X211" s="79"/>
      <c r="Y211" s="79"/>
      <c r="Z211" s="79"/>
    </row>
    <row r="212" spans="1:26" ht="26.5" x14ac:dyDescent="0.15">
      <c r="A212" s="79"/>
      <c r="B212" s="111" t="str">
        <f>+'6. Intervenciones UDT- AM'!D104</f>
        <v xml:space="preserve"> Promoción de mercados turísticos</v>
      </c>
      <c r="C212" s="1368"/>
      <c r="D212" s="1368"/>
      <c r="E212" s="124" t="str">
        <f>+'6. Intervenciones UDT- AM'!E104</f>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v>
      </c>
      <c r="F212" s="95"/>
      <c r="G212" s="79"/>
      <c r="H212" s="79"/>
      <c r="I212" s="79"/>
      <c r="J212" s="79"/>
      <c r="K212" s="79"/>
      <c r="L212" s="79"/>
      <c r="M212" s="79"/>
      <c r="N212" s="79"/>
      <c r="O212" s="79"/>
      <c r="P212" s="79"/>
      <c r="Q212" s="79"/>
      <c r="R212" s="79"/>
      <c r="S212" s="79"/>
      <c r="T212" s="79"/>
      <c r="U212" s="79"/>
      <c r="V212" s="79"/>
      <c r="W212" s="79"/>
      <c r="X212" s="79"/>
      <c r="Y212" s="79"/>
      <c r="Z212" s="79"/>
    </row>
    <row r="213" spans="1:26" ht="13.6" customHeight="1" x14ac:dyDescent="0.15">
      <c r="A213" s="79"/>
      <c r="B213" s="79"/>
      <c r="C213" s="94"/>
      <c r="D213" s="95"/>
      <c r="E213" s="87"/>
      <c r="F213" s="95"/>
      <c r="G213" s="79"/>
      <c r="H213" s="79"/>
      <c r="I213" s="79"/>
      <c r="J213" s="79"/>
      <c r="K213" s="79"/>
      <c r="L213" s="79"/>
      <c r="M213" s="79"/>
      <c r="N213" s="79"/>
      <c r="O213" s="79"/>
      <c r="P213" s="79"/>
      <c r="Q213" s="79"/>
      <c r="R213" s="79"/>
      <c r="S213" s="79"/>
      <c r="T213" s="79"/>
      <c r="U213" s="79"/>
      <c r="V213" s="79"/>
      <c r="W213" s="79"/>
      <c r="X213" s="79"/>
      <c r="Y213" s="79"/>
      <c r="Z213" s="79"/>
    </row>
    <row r="214" spans="1:26" ht="13.6" customHeight="1" x14ac:dyDescent="0.15">
      <c r="A214" s="79"/>
      <c r="B214" s="79"/>
      <c r="C214" s="94"/>
      <c r="D214" s="95"/>
      <c r="E214" s="87"/>
      <c r="F214" s="95"/>
      <c r="G214" s="79"/>
      <c r="H214" s="79"/>
      <c r="I214" s="79"/>
      <c r="J214" s="79"/>
      <c r="K214" s="79"/>
      <c r="L214" s="79"/>
      <c r="M214" s="79"/>
      <c r="N214" s="79"/>
      <c r="O214" s="79"/>
      <c r="P214" s="79"/>
      <c r="Q214" s="79"/>
      <c r="R214" s="79"/>
      <c r="S214" s="79"/>
      <c r="T214" s="79"/>
      <c r="U214" s="79"/>
      <c r="V214" s="79"/>
      <c r="W214" s="79"/>
      <c r="X214" s="79"/>
      <c r="Y214" s="79"/>
      <c r="Z214" s="79"/>
    </row>
    <row r="215" spans="1:26" ht="17.7" x14ac:dyDescent="0.15">
      <c r="A215" s="79"/>
      <c r="B215" s="107" t="s">
        <v>2013</v>
      </c>
      <c r="C215" s="101" t="s">
        <v>1969</v>
      </c>
      <c r="D215" s="101" t="s">
        <v>1968</v>
      </c>
      <c r="E215" s="107" t="s">
        <v>2014</v>
      </c>
      <c r="F215" s="95"/>
      <c r="G215" s="79"/>
      <c r="H215" s="79"/>
      <c r="I215" s="79"/>
      <c r="J215" s="79"/>
      <c r="K215" s="79"/>
      <c r="L215" s="79"/>
      <c r="M215" s="79"/>
      <c r="N215" s="79"/>
      <c r="O215" s="79"/>
      <c r="P215" s="79"/>
      <c r="Q215" s="79"/>
      <c r="R215" s="79"/>
      <c r="S215" s="79"/>
      <c r="T215" s="79"/>
      <c r="U215" s="79"/>
      <c r="V215" s="79"/>
      <c r="W215" s="79"/>
      <c r="X215" s="79"/>
      <c r="Y215" s="79"/>
      <c r="Z215" s="79"/>
    </row>
    <row r="216" spans="1:26" ht="50.95" customHeight="1" x14ac:dyDescent="0.15">
      <c r="A216" s="79"/>
      <c r="B216" s="109" t="str">
        <f>+'6. Intervenciones UDT- AM'!D116</f>
        <v>Fortalecer el control y vigilancia</v>
      </c>
      <c r="C216" s="1710" t="s">
        <v>1973</v>
      </c>
      <c r="D216" s="1710" t="s">
        <v>133</v>
      </c>
      <c r="E216" s="84" t="str">
        <f>+'6. Intervenciones UDT- AM'!E116</f>
        <v>Implementar con recursos necesarios al ente que administra el área, con la finalidad de aumentar el número de personas (guardaparques) que contribuyan a realizar acciones de control y vigilancia.</v>
      </c>
      <c r="F216" s="95"/>
      <c r="G216" s="79"/>
      <c r="H216" s="79"/>
      <c r="I216" s="79"/>
      <c r="J216" s="79"/>
      <c r="K216" s="79"/>
      <c r="L216" s="79"/>
      <c r="M216" s="79"/>
      <c r="N216" s="79"/>
      <c r="O216" s="79"/>
      <c r="P216" s="79"/>
      <c r="Q216" s="79"/>
      <c r="R216" s="79"/>
      <c r="S216" s="79"/>
      <c r="T216" s="79"/>
      <c r="U216" s="79"/>
      <c r="V216" s="79"/>
      <c r="W216" s="79"/>
      <c r="X216" s="79"/>
      <c r="Y216" s="79"/>
      <c r="Z216" s="79"/>
    </row>
    <row r="217" spans="1:26" ht="50.95" customHeight="1" x14ac:dyDescent="0.15">
      <c r="A217" s="79"/>
      <c r="B217" s="109" t="str">
        <f>+'6. Intervenciones UDT- AM'!D117</f>
        <v>Sensibilización para el fortalecimiento del control y vigilancia en zona de amortiguamiento</v>
      </c>
      <c r="C217" s="1711"/>
      <c r="D217" s="1711"/>
      <c r="E217" s="84" t="str">
        <f>+'6. Intervenciones UDT- AM'!E117</f>
        <v>Campañas de sensibilización en distritos acentuadas en el ámbito del ANP, considerando la participación del ARA, DRASAM, DIRCETUR, GRDS, CGSCM, CGBPAM, PNCB, OSINFOR. Articular acciones de vigilancia y control entre el ente que administra el ANP (SERNANP), cooperantes, población organizada como Juntas vecinales, comités de vigilancia, rondas campesinas, productores, comités y otros que se benefician de los servicios eco sistémicos del ANP</v>
      </c>
      <c r="F217" s="95"/>
      <c r="G217" s="79"/>
      <c r="H217" s="79"/>
      <c r="I217" s="79"/>
      <c r="J217" s="79"/>
      <c r="K217" s="79"/>
      <c r="L217" s="79"/>
      <c r="M217" s="79"/>
      <c r="N217" s="79"/>
      <c r="O217" s="79"/>
      <c r="P217" s="79"/>
      <c r="Q217" s="79"/>
      <c r="R217" s="79"/>
      <c r="S217" s="79"/>
      <c r="T217" s="79"/>
      <c r="U217" s="79"/>
      <c r="V217" s="79"/>
      <c r="W217" s="79"/>
      <c r="X217" s="79"/>
      <c r="Y217" s="79"/>
      <c r="Z217" s="79"/>
    </row>
    <row r="218" spans="1:26" ht="80.5" customHeight="1" x14ac:dyDescent="0.15">
      <c r="A218" s="79"/>
      <c r="B218" s="109" t="str">
        <f>+'6. Intervenciones UDT- AM'!D118</f>
        <v>Promover acuerdos de conservación con cadena de valor para aquellos productos sostenibles con el ANP</v>
      </c>
      <c r="C218" s="1711"/>
      <c r="D218" s="1711"/>
      <c r="E218" s="84" t="str">
        <f>+'6. Intervenciones UDT- AM'!E118</f>
        <v>Promover la planificación comunal en centros poblados del interior en base a la zonificación y zona de amortiguamiento teniendo como base al Plan Maestro (incluye acuerdos de conservación)</v>
      </c>
      <c r="F218" s="95"/>
      <c r="G218" s="79"/>
      <c r="H218" s="79"/>
      <c r="I218" s="79"/>
      <c r="J218" s="79"/>
      <c r="K218" s="79"/>
      <c r="L218" s="79"/>
      <c r="M218" s="79"/>
      <c r="N218" s="79"/>
      <c r="O218" s="79"/>
      <c r="P218" s="79"/>
      <c r="Q218" s="79"/>
      <c r="R218" s="79"/>
      <c r="S218" s="79"/>
      <c r="T218" s="79"/>
      <c r="U218" s="79"/>
      <c r="V218" s="79"/>
      <c r="W218" s="79"/>
      <c r="X218" s="79"/>
      <c r="Y218" s="79"/>
      <c r="Z218" s="79"/>
    </row>
    <row r="219" spans="1:26" ht="50.95" customHeight="1" x14ac:dyDescent="0.15">
      <c r="A219" s="79"/>
      <c r="B219" s="109" t="str">
        <f>+'6. Intervenciones UDT- AM'!D119</f>
        <v>Promoción del turismo comunitario en zona de amortiguamiento y al interior del ANP</v>
      </c>
      <c r="C219" s="1711"/>
      <c r="D219" s="1711"/>
      <c r="E219" s="84" t="str">
        <f>+'6. Intervenciones UDT- AM'!E119</f>
        <v>Campañas de promoción y difusión en el ámbito regional y nacional de los circuitos turísticos que existen en la zona de amortiguamiento. acorde al plan maestro del BPAM.  https://es.scribd.com/document/74386745/PLAN-DE-USO-TURISTICO-BPAM</v>
      </c>
      <c r="F219" s="95"/>
      <c r="G219" s="79"/>
      <c r="H219" s="79"/>
      <c r="I219" s="79"/>
      <c r="J219" s="79"/>
      <c r="K219" s="79"/>
      <c r="L219" s="79"/>
      <c r="M219" s="79"/>
      <c r="N219" s="79"/>
      <c r="O219" s="79"/>
      <c r="P219" s="79"/>
      <c r="Q219" s="79"/>
      <c r="R219" s="79"/>
      <c r="S219" s="79"/>
      <c r="T219" s="79"/>
      <c r="U219" s="79"/>
      <c r="V219" s="79"/>
      <c r="W219" s="79"/>
      <c r="X219" s="79"/>
      <c r="Y219" s="79"/>
      <c r="Z219" s="79"/>
    </row>
    <row r="220" spans="1:26" ht="50.95" customHeight="1" x14ac:dyDescent="0.15">
      <c r="A220" s="79"/>
      <c r="B220" s="109" t="str">
        <f>+'6. Intervenciones UDT- AM'!D120</f>
        <v>Promoción de agroforestería sostenible en zona de amortiguamiento y al interior del BPAM</v>
      </c>
      <c r="C220" s="1711"/>
      <c r="D220" s="1711"/>
      <c r="E220" s="84" t="str">
        <f>+'6. Intervenciones UDT- AM'!E120</f>
        <v>Realizar pasantías focalizadas en aquellos sectores claves que se necesita intervenir para disminuir la presión al ANP.</v>
      </c>
      <c r="F220" s="95"/>
      <c r="G220" s="79"/>
      <c r="H220" s="79"/>
      <c r="I220" s="79"/>
      <c r="J220" s="79"/>
      <c r="K220" s="79"/>
      <c r="L220" s="79"/>
      <c r="M220" s="79"/>
      <c r="N220" s="79"/>
      <c r="O220" s="79"/>
      <c r="P220" s="79"/>
      <c r="Q220" s="79"/>
      <c r="R220" s="79"/>
      <c r="S220" s="79"/>
      <c r="T220" s="79"/>
      <c r="U220" s="79"/>
      <c r="V220" s="79"/>
      <c r="W220" s="79"/>
      <c r="X220" s="79"/>
      <c r="Y220" s="79"/>
      <c r="Z220" s="79"/>
    </row>
    <row r="221" spans="1:26" ht="44.15" x14ac:dyDescent="0.15">
      <c r="A221" s="79"/>
      <c r="B221" s="109" t="str">
        <f>+'6. Intervenciones UDT- AM'!D121</f>
        <v>Asistencia técnica para el desarrollo agroforestal diseñados e implementados junto a SERNANP</v>
      </c>
      <c r="C221" s="1711"/>
      <c r="D221" s="1711"/>
      <c r="E221" s="84" t="str">
        <f>+'6. Intervenciones UDT- AM'!E121</f>
        <v>Capacitaciones a CCNN y comunidades campesinas para el uso y aprovechamiento adecuado de las áreas posicionadas,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v>
      </c>
      <c r="F221" s="95"/>
      <c r="G221" s="79"/>
      <c r="H221" s="79"/>
      <c r="I221" s="79"/>
      <c r="J221" s="79"/>
      <c r="K221" s="79"/>
      <c r="L221" s="79"/>
      <c r="M221" s="79"/>
      <c r="N221" s="79"/>
      <c r="O221" s="79"/>
      <c r="P221" s="79"/>
      <c r="Q221" s="79"/>
      <c r="R221" s="79"/>
      <c r="S221" s="79"/>
      <c r="T221" s="79"/>
      <c r="U221" s="79"/>
      <c r="V221" s="79"/>
      <c r="W221" s="79"/>
      <c r="X221" s="79"/>
      <c r="Y221" s="79"/>
      <c r="Z221" s="79"/>
    </row>
    <row r="222" spans="1:26" ht="52" customHeight="1" x14ac:dyDescent="0.15">
      <c r="A222" s="79"/>
      <c r="B222" s="109" t="str">
        <f>+'6. Intervenciones UDT- AM'!D122</f>
        <v>Incentivos financieros para promoción del ecoturismo y turismo comunitario</v>
      </c>
      <c r="C222" s="1712"/>
      <c r="D222" s="1712"/>
      <c r="E222" s="84" t="str">
        <f>+'6. Intervenciones UDT- AM'!E122</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222" s="95"/>
      <c r="G222" s="79"/>
      <c r="H222" s="79"/>
      <c r="I222" s="79"/>
      <c r="J222" s="79"/>
      <c r="K222" s="79"/>
      <c r="L222" s="79"/>
      <c r="M222" s="79"/>
      <c r="N222" s="79"/>
      <c r="O222" s="79"/>
      <c r="P222" s="79"/>
      <c r="Q222" s="79"/>
      <c r="R222" s="79"/>
      <c r="S222" s="79"/>
      <c r="T222" s="79"/>
      <c r="U222" s="79"/>
      <c r="V222" s="79"/>
      <c r="W222" s="79"/>
      <c r="X222" s="79"/>
      <c r="Y222" s="79"/>
      <c r="Z222" s="79"/>
    </row>
    <row r="223" spans="1:26" ht="15.65" customHeight="1" x14ac:dyDescent="0.15">
      <c r="A223" s="79"/>
      <c r="B223" s="79"/>
      <c r="C223" s="94"/>
      <c r="D223" s="95"/>
      <c r="E223" s="87"/>
      <c r="F223" s="95"/>
      <c r="G223" s="79"/>
      <c r="H223" s="79"/>
      <c r="I223" s="79"/>
      <c r="J223" s="79"/>
      <c r="K223" s="79"/>
      <c r="L223" s="79"/>
      <c r="M223" s="79"/>
      <c r="N223" s="79"/>
      <c r="O223" s="79"/>
      <c r="P223" s="79"/>
      <c r="Q223" s="79"/>
      <c r="R223" s="79"/>
      <c r="S223" s="79"/>
      <c r="T223" s="79"/>
      <c r="U223" s="79"/>
      <c r="V223" s="79"/>
      <c r="W223" s="79"/>
      <c r="X223" s="79"/>
      <c r="Y223" s="79"/>
      <c r="Z223" s="79"/>
    </row>
    <row r="224" spans="1:26" ht="15.65" customHeight="1" x14ac:dyDescent="0.15">
      <c r="A224" s="79"/>
      <c r="B224" s="79"/>
      <c r="C224" s="94"/>
      <c r="D224" s="95"/>
      <c r="E224" s="87"/>
      <c r="F224" s="95"/>
      <c r="G224" s="79"/>
      <c r="H224" s="79"/>
      <c r="I224" s="79"/>
      <c r="J224" s="79"/>
      <c r="K224" s="79"/>
      <c r="L224" s="79"/>
      <c r="M224" s="79"/>
      <c r="N224" s="79"/>
      <c r="O224" s="79"/>
      <c r="P224" s="79"/>
      <c r="Q224" s="79"/>
      <c r="R224" s="79"/>
      <c r="S224" s="79"/>
      <c r="T224" s="79"/>
      <c r="U224" s="79"/>
      <c r="V224" s="79"/>
      <c r="W224" s="79"/>
      <c r="X224" s="79"/>
      <c r="Y224" s="79"/>
      <c r="Z224" s="79"/>
    </row>
    <row r="225" spans="1:26" ht="17.7" x14ac:dyDescent="0.15">
      <c r="A225" s="79"/>
      <c r="B225" s="107" t="s">
        <v>2013</v>
      </c>
      <c r="C225" s="101" t="s">
        <v>142</v>
      </c>
      <c r="D225" s="101" t="s">
        <v>1968</v>
      </c>
      <c r="E225" s="107" t="s">
        <v>2014</v>
      </c>
      <c r="F225" s="95"/>
      <c r="G225" s="79"/>
      <c r="H225" s="79"/>
      <c r="I225" s="79"/>
      <c r="J225" s="79"/>
      <c r="K225" s="79"/>
      <c r="L225" s="79"/>
      <c r="M225" s="79"/>
      <c r="N225" s="79"/>
      <c r="O225" s="79"/>
      <c r="P225" s="79"/>
      <c r="Q225" s="79"/>
      <c r="R225" s="79"/>
      <c r="S225" s="79"/>
      <c r="T225" s="79"/>
      <c r="U225" s="79"/>
      <c r="V225" s="79"/>
      <c r="W225" s="79"/>
      <c r="X225" s="79"/>
      <c r="Y225" s="79"/>
      <c r="Z225" s="79"/>
    </row>
    <row r="226" spans="1:26" ht="63.7" customHeight="1" x14ac:dyDescent="0.15">
      <c r="A226" s="79"/>
      <c r="B226" s="109" t="str">
        <f>+'6. Intervenciones UDT- AM'!D134</f>
        <v>Adecuación de ZoCRE a unidad de ordenamiento forestal y/o titulo habilitante forestal y de fauna silvestre de acuerdo a LFFS (Ley No 29763)</v>
      </c>
      <c r="C226" s="1710" t="s">
        <v>1973</v>
      </c>
      <c r="D226" s="1713" t="s">
        <v>2022</v>
      </c>
      <c r="E226" s="84" t="str">
        <f>+'6. Intervenciones UDT- AM'!E134</f>
        <v xml:space="preserve">Analisis de ZoCREs Cerro la Shiringa, Gera-Sisa-Organero, Serranoyacu - Amangay, Gobernador, Huasta - Cahiyacu, Humedal del Alto Mayo, Juninguillo - Yanayacu, La Primavera, Morro de Calzada, Naciente río Negro, Naciente ríos Aguas Claras - Amangay, Pantanos de Burrucucha y Gobernador I, Pantanos de Burrucucha y Gobernador II, Paz y Esperanza, Renecal Buenos Aires, Rumiyacu - Misquiyacu - Almendra y Baños Sulfurosos, Uquihua - Cuchachi, y Urcuyacu, en marco a la zonificación forestal del departamento San Martín, elaboración de expediente técnico e informe legal, remisión de propuesta a SERFOR (en caso requiera), aprobación de resolución, otorgamiento de titulo habilitante </v>
      </c>
      <c r="F226" s="95"/>
      <c r="G226" s="79"/>
      <c r="H226" s="79"/>
      <c r="I226" s="79"/>
      <c r="J226" s="79"/>
      <c r="K226" s="79"/>
      <c r="L226" s="79"/>
      <c r="M226" s="79"/>
      <c r="N226" s="79"/>
      <c r="O226" s="79"/>
      <c r="P226" s="79"/>
      <c r="Q226" s="79"/>
      <c r="R226" s="79"/>
      <c r="S226" s="79"/>
      <c r="T226" s="79"/>
      <c r="U226" s="79"/>
      <c r="V226" s="79"/>
      <c r="W226" s="79"/>
      <c r="X226" s="79"/>
      <c r="Y226" s="79"/>
      <c r="Z226" s="79"/>
    </row>
    <row r="227" spans="1:26" ht="73.55" customHeight="1" x14ac:dyDescent="0.15">
      <c r="A227" s="79"/>
      <c r="B227" s="359" t="str">
        <f>+'6. Intervenciones UDT- AM'!D135</f>
        <v>Fortalecimiento de capacidades de los responsables de la administración de las nuevas categorías de ordenamiento forestal y títulos habilitantes forestales</v>
      </c>
      <c r="C227" s="1711"/>
      <c r="D227" s="1711"/>
      <c r="E227" s="84" t="str">
        <f>+'6. Intervenciones UDT- AM'!E135</f>
        <v>Comprende la capacitación en manejo de normatividad forestal y manejo de bosques, contratación de especialistas para tener presencia física en el área, equipamiento e infraestructura.</v>
      </c>
      <c r="F227" s="95"/>
      <c r="G227" s="79"/>
      <c r="H227" s="79"/>
      <c r="I227" s="79"/>
      <c r="J227" s="79"/>
      <c r="K227" s="79"/>
      <c r="L227" s="79"/>
      <c r="M227" s="79"/>
      <c r="N227" s="79"/>
      <c r="O227" s="79"/>
      <c r="P227" s="79"/>
      <c r="Q227" s="79"/>
      <c r="R227" s="79"/>
      <c r="S227" s="79"/>
      <c r="T227" s="79"/>
      <c r="U227" s="79"/>
      <c r="V227" s="79"/>
      <c r="W227" s="79"/>
      <c r="X227" s="79"/>
      <c r="Y227" s="79"/>
      <c r="Z227" s="79"/>
    </row>
    <row r="228" spans="1:26" ht="73.55" customHeight="1" x14ac:dyDescent="0.15">
      <c r="A228" s="79"/>
      <c r="B228" s="126" t="str">
        <f>+'6. Intervenciones UDT- AM'!D136</f>
        <v>Elaboración del plan/declaración de manejo de las nuevas categorías de ordenamiento forestal y títulos habilitantes forestales</v>
      </c>
      <c r="C228" s="1714"/>
      <c r="D228" s="1712"/>
      <c r="E228" s="84" t="str">
        <f>+'6. Intervenciones UDT- AM'!E136</f>
        <v>Dependiendo de la categoría forestal a ser aplicada, se realizará un plan/declaración acorde la unidad, en el marco de la ley forestal y fauna silvestre N° 29763.</v>
      </c>
      <c r="F228" s="95"/>
      <c r="G228" s="79"/>
      <c r="H228" s="79"/>
      <c r="I228" s="79"/>
      <c r="J228" s="79"/>
      <c r="K228" s="79"/>
      <c r="L228" s="79"/>
      <c r="M228" s="79"/>
      <c r="N228" s="79"/>
      <c r="O228" s="79"/>
      <c r="P228" s="79"/>
      <c r="Q228" s="79"/>
      <c r="R228" s="79"/>
      <c r="S228" s="79"/>
      <c r="T228" s="79"/>
      <c r="U228" s="79"/>
      <c r="V228" s="79"/>
      <c r="W228" s="79"/>
      <c r="X228" s="79"/>
      <c r="Y228" s="79"/>
      <c r="Z228" s="79"/>
    </row>
    <row r="229" spans="1:26" ht="24.8" customHeight="1" x14ac:dyDescent="0.15">
      <c r="A229" s="79"/>
      <c r="B229" s="820"/>
      <c r="C229" s="820"/>
      <c r="D229" s="820"/>
      <c r="E229" s="357"/>
      <c r="F229" s="95"/>
      <c r="G229" s="79"/>
      <c r="H229" s="79"/>
      <c r="I229" s="79"/>
      <c r="J229" s="79"/>
      <c r="K229" s="79"/>
      <c r="L229" s="79"/>
      <c r="M229" s="79"/>
      <c r="N229" s="79"/>
      <c r="O229" s="79"/>
      <c r="P229" s="79"/>
      <c r="Q229" s="79"/>
      <c r="R229" s="79"/>
      <c r="S229" s="79"/>
      <c r="T229" s="79"/>
      <c r="U229" s="79"/>
      <c r="V229" s="79"/>
      <c r="W229" s="79"/>
      <c r="X229" s="79"/>
      <c r="Y229" s="79"/>
      <c r="Z229" s="79"/>
    </row>
    <row r="230" spans="1:26" ht="18" customHeight="1" x14ac:dyDescent="0.15">
      <c r="A230" s="79"/>
      <c r="B230" s="107" t="s">
        <v>2013</v>
      </c>
      <c r="C230" s="101" t="s">
        <v>1969</v>
      </c>
      <c r="D230" s="101" t="s">
        <v>1968</v>
      </c>
      <c r="E230" s="107" t="s">
        <v>2014</v>
      </c>
      <c r="F230" s="95"/>
      <c r="G230" s="79"/>
      <c r="H230" s="79"/>
      <c r="I230" s="79"/>
      <c r="J230" s="79"/>
      <c r="K230" s="79"/>
      <c r="L230" s="79"/>
      <c r="M230" s="79"/>
      <c r="N230" s="79"/>
      <c r="O230" s="79"/>
      <c r="P230" s="79"/>
      <c r="Q230" s="79"/>
      <c r="R230" s="79"/>
      <c r="S230" s="79"/>
      <c r="T230" s="79"/>
      <c r="U230" s="79"/>
      <c r="V230" s="79"/>
      <c r="W230" s="79"/>
      <c r="X230" s="79"/>
      <c r="Y230" s="79"/>
      <c r="Z230" s="79"/>
    </row>
    <row r="231" spans="1:26" ht="59.95" customHeight="1" x14ac:dyDescent="0.15">
      <c r="A231" s="79"/>
      <c r="B231" s="260" t="str">
        <f>+'6. Intervenciones UDT- AM'!D149</f>
        <v>Creación y establecimiento de unidades de ordenamiento forestal, otorgamiento de títulos habilitantes forestales y tenencia de la tierra</v>
      </c>
      <c r="C231" s="1701" t="s">
        <v>1973</v>
      </c>
      <c r="D231" s="1701" t="s">
        <v>2018</v>
      </c>
      <c r="E231" s="360" t="str">
        <f>+'6. Intervenciones UDT- AM'!E149</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F231" s="95"/>
      <c r="G231" s="79"/>
      <c r="H231" s="79"/>
      <c r="I231" s="79"/>
      <c r="J231" s="79"/>
      <c r="K231" s="79"/>
      <c r="L231" s="79"/>
      <c r="M231" s="79"/>
      <c r="N231" s="79"/>
      <c r="O231" s="79"/>
      <c r="P231" s="79"/>
      <c r="Q231" s="79"/>
      <c r="R231" s="79"/>
      <c r="S231" s="79"/>
      <c r="T231" s="79"/>
      <c r="U231" s="79"/>
      <c r="V231" s="79"/>
      <c r="W231" s="79"/>
      <c r="X231" s="79"/>
      <c r="Y231" s="79"/>
      <c r="Z231" s="79"/>
    </row>
    <row r="232" spans="1:26" ht="78.8" customHeight="1" x14ac:dyDescent="0.15">
      <c r="A232" s="79"/>
      <c r="B232" s="260" t="str">
        <f>+'6. Intervenciones UDT- AM'!D150</f>
        <v>Fortalecimiento de capacidades de los responsables de la administración de las nuevas categorías de ordenamiento forestal y títulos habilitantes forestales</v>
      </c>
      <c r="C232" s="1701"/>
      <c r="D232" s="1701"/>
      <c r="E232" s="360" t="str">
        <f>+'6. Intervenciones UDT- AM'!E150</f>
        <v>Comprende la capacitación en manejo de normatividad forestal y manejo de bosques, contratación de especialistas para tener presencia física en el área, equipamiento e infraestructura.</v>
      </c>
      <c r="F232" s="95"/>
      <c r="G232" s="79"/>
      <c r="H232" s="79"/>
      <c r="I232" s="79"/>
      <c r="J232" s="79"/>
      <c r="K232" s="79"/>
      <c r="L232" s="79"/>
      <c r="M232" s="79"/>
      <c r="N232" s="79"/>
      <c r="O232" s="79"/>
      <c r="P232" s="79"/>
      <c r="Q232" s="79"/>
      <c r="R232" s="79"/>
      <c r="S232" s="79"/>
      <c r="T232" s="79"/>
      <c r="U232" s="79"/>
      <c r="V232" s="79"/>
      <c r="W232" s="79"/>
      <c r="X232" s="79"/>
      <c r="Y232" s="79"/>
      <c r="Z232" s="79"/>
    </row>
    <row r="233" spans="1:26" ht="66.099999999999994" customHeight="1" x14ac:dyDescent="0.15">
      <c r="A233" s="79"/>
      <c r="B233" s="260" t="str">
        <f>+'6. Intervenciones UDT- AM'!D151</f>
        <v>Elaboración del plan/declaración de manejo de las nuevas categorías de ordenamiento forestal y títulos habilitantes forestales</v>
      </c>
      <c r="C233" s="1701"/>
      <c r="D233" s="1701"/>
      <c r="E233" s="360" t="str">
        <f>+'6. Intervenciones UDT- AM'!E151</f>
        <v>Dependiendo de la categoría forestal a ser aplicada, se realizará un plan/declaración acorde a la unidad, en el marco de la ley forestal y fauna silvestre N° 29763.</v>
      </c>
      <c r="F233" s="95"/>
      <c r="G233" s="79"/>
      <c r="H233" s="79"/>
      <c r="I233" s="79"/>
      <c r="J233" s="79"/>
      <c r="K233" s="79"/>
      <c r="L233" s="79"/>
      <c r="M233" s="79"/>
      <c r="N233" s="79"/>
      <c r="O233" s="79"/>
      <c r="P233" s="79"/>
      <c r="Q233" s="79"/>
      <c r="R233" s="79"/>
      <c r="S233" s="79"/>
      <c r="T233" s="79"/>
      <c r="U233" s="79"/>
      <c r="V233" s="79"/>
      <c r="W233" s="79"/>
      <c r="X233" s="79"/>
      <c r="Y233" s="79"/>
      <c r="Z233" s="79"/>
    </row>
    <row r="234" spans="1:26" ht="43.5" customHeight="1" x14ac:dyDescent="0.15">
      <c r="A234" s="79"/>
      <c r="B234" s="260" t="str">
        <f>+'6. Intervenciones UDT- AM'!D152</f>
        <v>Inscripción en el catastro forestal y en registros públicos</v>
      </c>
      <c r="C234" s="1701"/>
      <c r="D234" s="1701"/>
      <c r="E234" s="360" t="str">
        <f>+'6. Intervenciones UDT- AM'!E152</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234" s="95"/>
      <c r="G234" s="79"/>
      <c r="H234" s="79"/>
      <c r="I234" s="79"/>
      <c r="J234" s="79"/>
      <c r="K234" s="79"/>
      <c r="L234" s="79"/>
      <c r="M234" s="79"/>
      <c r="N234" s="79"/>
      <c r="O234" s="79"/>
      <c r="P234" s="79"/>
      <c r="Q234" s="79"/>
      <c r="R234" s="79"/>
      <c r="S234" s="79"/>
      <c r="T234" s="79"/>
      <c r="U234" s="79"/>
      <c r="V234" s="79"/>
      <c r="W234" s="79"/>
      <c r="X234" s="79"/>
      <c r="Y234" s="79"/>
      <c r="Z234" s="79"/>
    </row>
    <row r="235" spans="1:26" ht="29.25" customHeight="1" x14ac:dyDescent="0.15">
      <c r="A235" s="79"/>
      <c r="B235" s="126" t="str">
        <f>+'6. Intervenciones UDT- AM'!D153</f>
        <v>Restauración de áreas degradadas</v>
      </c>
      <c r="C235" s="1701"/>
      <c r="D235" s="1701"/>
      <c r="E235" s="360" t="str">
        <f>+'6. Intervenciones UDT- AM'!E153</f>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v>
      </c>
      <c r="F235" s="95"/>
      <c r="G235" s="79"/>
      <c r="H235" s="79"/>
      <c r="I235" s="79"/>
      <c r="J235" s="79"/>
      <c r="K235" s="79"/>
      <c r="L235" s="79"/>
      <c r="M235" s="79"/>
      <c r="N235" s="79"/>
      <c r="O235" s="79"/>
      <c r="P235" s="79"/>
      <c r="Q235" s="79"/>
      <c r="R235" s="79"/>
      <c r="S235" s="79"/>
      <c r="T235" s="79"/>
      <c r="U235" s="79"/>
      <c r="V235" s="79"/>
      <c r="W235" s="79"/>
      <c r="X235" s="79"/>
      <c r="Y235" s="79"/>
      <c r="Z235" s="79"/>
    </row>
    <row r="236" spans="1:26" ht="16.5" customHeight="1" x14ac:dyDescent="0.15">
      <c r="A236" s="79"/>
      <c r="B236" s="79"/>
      <c r="C236" s="94"/>
      <c r="D236" s="95"/>
      <c r="E236" s="87"/>
      <c r="F236" s="95"/>
      <c r="G236" s="79"/>
      <c r="H236" s="79"/>
      <c r="I236" s="79"/>
      <c r="J236" s="79"/>
      <c r="K236" s="79"/>
      <c r="L236" s="79"/>
      <c r="M236" s="79"/>
      <c r="N236" s="79"/>
      <c r="O236" s="79"/>
      <c r="P236" s="79"/>
      <c r="Q236" s="79"/>
      <c r="R236" s="79"/>
      <c r="S236" s="79"/>
      <c r="T236" s="79"/>
      <c r="U236" s="79"/>
      <c r="V236" s="79"/>
      <c r="W236" s="79"/>
      <c r="X236" s="79"/>
      <c r="Y236" s="79"/>
      <c r="Z236" s="79"/>
    </row>
    <row r="237" spans="1:26" ht="17.7" x14ac:dyDescent="0.15">
      <c r="A237" s="79"/>
      <c r="B237" s="107" t="s">
        <v>2013</v>
      </c>
      <c r="C237" s="101" t="s">
        <v>142</v>
      </c>
      <c r="D237" s="101" t="s">
        <v>1968</v>
      </c>
      <c r="E237" s="107" t="s">
        <v>2014</v>
      </c>
      <c r="F237" s="95"/>
      <c r="G237" s="79"/>
      <c r="H237" s="79"/>
      <c r="I237" s="79"/>
      <c r="J237" s="79"/>
      <c r="K237" s="79"/>
      <c r="L237" s="79"/>
      <c r="M237" s="79"/>
      <c r="N237" s="79"/>
      <c r="O237" s="79"/>
      <c r="P237" s="79"/>
      <c r="Q237" s="79"/>
      <c r="R237" s="79"/>
      <c r="S237" s="79"/>
      <c r="T237" s="79"/>
      <c r="U237" s="79"/>
      <c r="V237" s="79"/>
      <c r="W237" s="79"/>
      <c r="X237" s="79"/>
      <c r="Y237" s="79"/>
      <c r="Z237" s="79"/>
    </row>
    <row r="238" spans="1:26" ht="53" x14ac:dyDescent="0.15">
      <c r="A238" s="79"/>
      <c r="B238" s="109" t="str">
        <f>+'6. Intervenciones UDT- AM'!D161</f>
        <v>Acuerdos con rondas campesinas y rondas nativas para cumplimiento de compromisos de no deforestación y tráfico de tierras e invasiones</v>
      </c>
      <c r="C238" s="1710" t="s">
        <v>1973</v>
      </c>
      <c r="D238" s="1710" t="s">
        <v>2020</v>
      </c>
      <c r="E238" s="88" t="str">
        <f>+'6. Intervenciones UDT- AM'!E161</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F238" s="95"/>
      <c r="G238" s="79"/>
      <c r="H238" s="79"/>
      <c r="I238" s="79"/>
      <c r="J238" s="79"/>
      <c r="K238" s="79"/>
      <c r="L238" s="79"/>
      <c r="M238" s="79"/>
      <c r="N238" s="79"/>
      <c r="O238" s="79"/>
      <c r="P238" s="79"/>
      <c r="Q238" s="79"/>
      <c r="R238" s="79"/>
      <c r="S238" s="79"/>
      <c r="T238" s="79"/>
      <c r="U238" s="79"/>
      <c r="V238" s="79"/>
      <c r="W238" s="79"/>
      <c r="X238" s="79"/>
      <c r="Y238" s="79"/>
      <c r="Z238" s="79"/>
    </row>
    <row r="239" spans="1:26" ht="70.650000000000006" x14ac:dyDescent="0.15">
      <c r="A239" s="79"/>
      <c r="B239" s="109" t="str">
        <f>+'6. Intervenciones UDT- AM'!D162</f>
        <v>Fortalecimiento del monitoreo de la cobertura de bosques y control de la tala ilegal (deforestación, extracción de especies forestales de valor comercial y forestales para tutores de cultivos)</v>
      </c>
      <c r="C239" s="1711"/>
      <c r="D239" s="1711"/>
      <c r="E239" s="88" t="str">
        <f>+'6. Intervenciones UDT- AM'!E162</f>
        <v>Implementación de control y vigilancia para prevenir deforestación, tráfico de especies forestales y animales, mediante la transferencia de recursos a los actores directos (ACR, ANP, ARA) para que dentro de sus unidades competentes implementen mayores medidas de protección de dichas áreas (monitoreo satelital y puestos de control). Esta intervención será apoyada por las organizaciones formales de rondas campesinas, rondas campesinas rondas nativas y comités de monitoreo.</v>
      </c>
      <c r="F239" s="95"/>
      <c r="G239" s="79"/>
      <c r="H239" s="79"/>
      <c r="I239" s="79"/>
      <c r="J239" s="79"/>
      <c r="K239" s="79"/>
      <c r="L239" s="79"/>
      <c r="M239" s="79"/>
      <c r="N239" s="79"/>
      <c r="O239" s="79"/>
      <c r="P239" s="79"/>
      <c r="Q239" s="79"/>
      <c r="R239" s="79"/>
      <c r="S239" s="79"/>
      <c r="T239" s="79"/>
      <c r="U239" s="79"/>
      <c r="V239" s="79"/>
      <c r="W239" s="79"/>
      <c r="X239" s="79"/>
      <c r="Y239" s="79"/>
      <c r="Z239" s="79"/>
    </row>
    <row r="240" spans="1:26" ht="26.5" x14ac:dyDescent="0.15">
      <c r="A240" s="79"/>
      <c r="B240" s="109" t="str">
        <f>+'6. Intervenciones UDT- AM'!D163</f>
        <v>Mejoramiento de vías de acceso</v>
      </c>
      <c r="C240" s="1711"/>
      <c r="D240" s="1711"/>
      <c r="E240" s="88" t="str">
        <f>+'6. Intervenciones UDT- AM'!E163</f>
        <v>Existe una brecha de 1,706.60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v>
      </c>
      <c r="F240" s="95"/>
      <c r="G240" s="79"/>
      <c r="H240" s="79"/>
      <c r="I240" s="79"/>
      <c r="J240" s="79"/>
      <c r="K240" s="79"/>
      <c r="L240" s="79"/>
      <c r="M240" s="79"/>
      <c r="N240" s="79"/>
      <c r="O240" s="79"/>
      <c r="P240" s="79"/>
      <c r="Q240" s="79"/>
      <c r="R240" s="79"/>
      <c r="S240" s="79"/>
      <c r="T240" s="79"/>
      <c r="U240" s="79"/>
      <c r="V240" s="79"/>
      <c r="W240" s="79"/>
      <c r="X240" s="79"/>
      <c r="Y240" s="79"/>
      <c r="Z240" s="79"/>
    </row>
    <row r="241" spans="1:26" ht="35.35" x14ac:dyDescent="0.15">
      <c r="A241" s="79"/>
      <c r="B241" s="109" t="str">
        <f>+'6. Intervenciones UDT- AM'!D165</f>
        <v>Mejor cobertura y calidad de servicios de educación y salud</v>
      </c>
      <c r="C241" s="1711"/>
      <c r="D241" s="1711"/>
      <c r="E241" s="88" t="str">
        <f>+'6. Intervenciones UDT- AM'!E165</f>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2 distritos (Moyobamba y Yorongos) que necesitan ser atendidos y cubrir estas necesidades, mediante la Implementación de infraestructura educativa y de salud permanente y mediante los Centros Rurales de Formación en Alternancia (CERFAS) u otros programas que permitan coberturar la educación rural en su totalidad.</v>
      </c>
      <c r="F241" s="95"/>
      <c r="G241" s="79"/>
      <c r="H241" s="79"/>
      <c r="I241" s="79"/>
      <c r="J241" s="79"/>
      <c r="K241" s="79"/>
      <c r="L241" s="79"/>
      <c r="M241" s="79"/>
      <c r="N241" s="79"/>
      <c r="O241" s="79"/>
      <c r="P241" s="79"/>
      <c r="Q241" s="79"/>
      <c r="R241" s="79"/>
      <c r="S241" s="79"/>
      <c r="T241" s="79"/>
      <c r="U241" s="79"/>
      <c r="V241" s="79"/>
      <c r="W241" s="79"/>
      <c r="X241" s="79"/>
      <c r="Y241" s="79"/>
      <c r="Z241" s="79"/>
    </row>
    <row r="242" spans="1:26" ht="26.5" x14ac:dyDescent="0.15">
      <c r="A242" s="79"/>
      <c r="B242" s="109" t="str">
        <f>+'6. Intervenciones UDT- AM'!D166</f>
        <v>Programa de servicios públicos móviles</v>
      </c>
      <c r="C242" s="1711"/>
      <c r="D242" s="1711"/>
      <c r="E242" s="88" t="str">
        <f>+'6. Intervenciones UDT- AM'!E166</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v>
      </c>
      <c r="F242" s="95"/>
      <c r="G242" s="79"/>
      <c r="H242" s="79"/>
      <c r="I242" s="79"/>
      <c r="J242" s="79"/>
      <c r="K242" s="79"/>
      <c r="L242" s="79"/>
      <c r="M242" s="79"/>
      <c r="N242" s="79"/>
      <c r="O242" s="79"/>
      <c r="P242" s="79"/>
      <c r="Q242" s="79"/>
      <c r="R242" s="79"/>
      <c r="S242" s="79"/>
      <c r="T242" s="79"/>
      <c r="U242" s="79"/>
      <c r="V242" s="79"/>
      <c r="W242" s="79"/>
      <c r="X242" s="79"/>
      <c r="Y242" s="79"/>
      <c r="Z242" s="79"/>
    </row>
    <row r="243" spans="1:26" ht="50.95" customHeight="1" x14ac:dyDescent="0.15">
      <c r="A243" s="79"/>
      <c r="B243" s="109" t="str">
        <f>+'6. Intervenciones UDT- AM'!D164</f>
        <v>Restauración ecológica del paisaje</v>
      </c>
      <c r="C243" s="1711"/>
      <c r="D243" s="1711"/>
      <c r="E243" s="88" t="str">
        <f>+'6. Intervenciones UDT- AM'!E164</f>
        <v>En marco de la Zonificación Forestal donde se identificaron zonas de recuperación y tratamiento especial para la restauración de áreas con prioridad alta y muy alta para restauración, utilizando las diferentes metodologías de restauración propuesta por la entidad competente. Las actividades de restauración tendrán como objetivos desarrollar la agroforestería, recuperar servicios eco sistémicos y recuperar zonas productivas.</v>
      </c>
      <c r="F243" s="95"/>
      <c r="G243" s="79"/>
      <c r="H243" s="79"/>
      <c r="I243" s="79"/>
      <c r="J243" s="79"/>
      <c r="K243" s="79"/>
      <c r="L243" s="79"/>
      <c r="M243" s="79"/>
      <c r="N243" s="79"/>
      <c r="O243" s="79"/>
      <c r="P243" s="79"/>
      <c r="Q243" s="79"/>
      <c r="R243" s="79"/>
      <c r="S243" s="79"/>
      <c r="T243" s="79"/>
      <c r="U243" s="79"/>
      <c r="V243" s="79"/>
      <c r="W243" s="79"/>
      <c r="X243" s="79"/>
      <c r="Y243" s="79"/>
      <c r="Z243" s="79"/>
    </row>
    <row r="244" spans="1:26" ht="26.5" x14ac:dyDescent="0.15">
      <c r="A244" s="79"/>
      <c r="B244" s="109" t="str">
        <f>+'6. Intervenciones UDT- AM'!D167</f>
        <v xml:space="preserve">Promoción Marca "San Martín Región" y "Aliados por la Conservación" </v>
      </c>
      <c r="C244" s="1712"/>
      <c r="D244" s="1712"/>
      <c r="E244" s="88" t="str">
        <f>+'6. Intervenciones UDT- AM'!E167</f>
        <v>Promoción al acceso de la marca con los productores que cumplan los criterios de elegibilidad solicitados por el programa, como una estrategia de ubicar mercados diferenciados para los productos provenientes de estas zonas.</v>
      </c>
      <c r="F244" s="95"/>
      <c r="G244" s="79"/>
      <c r="H244" s="79"/>
      <c r="I244" s="79"/>
      <c r="J244" s="79"/>
      <c r="K244" s="79"/>
      <c r="L244" s="79"/>
      <c r="M244" s="79"/>
      <c r="N244" s="79"/>
      <c r="O244" s="79"/>
      <c r="P244" s="79"/>
      <c r="Q244" s="79"/>
      <c r="R244" s="79"/>
      <c r="S244" s="79"/>
      <c r="T244" s="79"/>
      <c r="U244" s="79"/>
      <c r="V244" s="79"/>
      <c r="W244" s="79"/>
      <c r="X244" s="79"/>
      <c r="Y244" s="79"/>
      <c r="Z244" s="79"/>
    </row>
    <row r="245" spans="1:26" ht="18" customHeight="1" x14ac:dyDescent="0.15">
      <c r="A245" s="79"/>
      <c r="B245" s="79"/>
      <c r="C245" s="94"/>
      <c r="D245" s="95"/>
      <c r="E245" s="87"/>
      <c r="F245" s="95"/>
      <c r="G245" s="79"/>
      <c r="H245" s="79"/>
      <c r="I245" s="79"/>
      <c r="J245" s="79"/>
      <c r="K245" s="79"/>
      <c r="L245" s="79"/>
      <c r="M245" s="79"/>
      <c r="N245" s="79"/>
      <c r="O245" s="79"/>
      <c r="P245" s="79"/>
      <c r="Q245" s="79"/>
      <c r="R245" s="79"/>
      <c r="S245" s="79"/>
      <c r="T245" s="79"/>
      <c r="U245" s="79"/>
      <c r="V245" s="79"/>
      <c r="W245" s="79"/>
      <c r="X245" s="79"/>
      <c r="Y245" s="79"/>
      <c r="Z245" s="79"/>
    </row>
    <row r="246" spans="1:26" ht="18" customHeight="1" x14ac:dyDescent="0.15">
      <c r="A246" s="79"/>
      <c r="B246" s="79"/>
      <c r="C246" s="94"/>
      <c r="D246" s="95"/>
      <c r="E246" s="87"/>
      <c r="F246" s="95"/>
      <c r="G246" s="79"/>
      <c r="H246" s="79"/>
      <c r="I246" s="79"/>
      <c r="J246" s="79"/>
      <c r="K246" s="79"/>
      <c r="L246" s="79"/>
      <c r="M246" s="79"/>
      <c r="N246" s="79"/>
      <c r="O246" s="79"/>
      <c r="P246" s="79"/>
      <c r="Q246" s="79"/>
      <c r="R246" s="79"/>
      <c r="S246" s="79"/>
      <c r="T246" s="79"/>
      <c r="U246" s="79"/>
      <c r="V246" s="79"/>
      <c r="W246" s="79"/>
      <c r="X246" s="79"/>
      <c r="Y246" s="79"/>
      <c r="Z246" s="79"/>
    </row>
    <row r="247" spans="1:26" ht="17.7" x14ac:dyDescent="0.15">
      <c r="A247" s="79"/>
      <c r="B247" s="107" t="s">
        <v>2013</v>
      </c>
      <c r="C247" s="101" t="s">
        <v>1969</v>
      </c>
      <c r="D247" s="101" t="s">
        <v>1968</v>
      </c>
      <c r="E247" s="107" t="s">
        <v>2014</v>
      </c>
      <c r="F247" s="95"/>
      <c r="G247" s="79"/>
      <c r="H247" s="79"/>
      <c r="I247" s="79"/>
      <c r="J247" s="79"/>
      <c r="K247" s="79"/>
      <c r="L247" s="79"/>
      <c r="M247" s="79"/>
      <c r="N247" s="79"/>
      <c r="O247" s="79"/>
      <c r="P247" s="79"/>
      <c r="Q247" s="79"/>
      <c r="R247" s="79"/>
      <c r="S247" s="79"/>
      <c r="T247" s="79"/>
      <c r="U247" s="79"/>
      <c r="V247" s="79"/>
      <c r="W247" s="79"/>
      <c r="X247" s="79"/>
      <c r="Y247" s="79"/>
      <c r="Z247" s="79"/>
    </row>
    <row r="248" spans="1:26" ht="113.3" customHeight="1" x14ac:dyDescent="0.15">
      <c r="A248" s="79"/>
      <c r="B248" s="111" t="str">
        <f>+'7. Intervenciones UDT- BH'!D18</f>
        <v>Otorgamiento de derechos sobre la tierra/bosques</v>
      </c>
      <c r="C248" s="1701" t="s">
        <v>2023</v>
      </c>
      <c r="D248" s="1701" t="s">
        <v>129</v>
      </c>
      <c r="E248" s="124" t="str">
        <f>+'7. Intervenciones UDT- BH'!E18</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248" s="95"/>
      <c r="G248" s="79"/>
      <c r="H248" s="79"/>
      <c r="I248" s="79"/>
      <c r="J248" s="79"/>
      <c r="K248" s="79"/>
      <c r="L248" s="79"/>
      <c r="M248" s="79"/>
      <c r="N248" s="79"/>
      <c r="O248" s="79"/>
      <c r="P248" s="79"/>
      <c r="Q248" s="79"/>
      <c r="R248" s="79"/>
      <c r="S248" s="79"/>
      <c r="T248" s="79"/>
      <c r="U248" s="79"/>
      <c r="V248" s="79"/>
      <c r="W248" s="79"/>
      <c r="X248" s="79"/>
      <c r="Y248" s="79"/>
      <c r="Z248" s="79"/>
    </row>
    <row r="249" spans="1:26" ht="45" customHeight="1" x14ac:dyDescent="0.15">
      <c r="A249" s="79"/>
      <c r="B249" s="111" t="str">
        <f>+'7. Intervenciones UDT- BH'!D19</f>
        <v>Asistencia técnica con enfoque bajo en emisiones</v>
      </c>
      <c r="C249" s="1701"/>
      <c r="D249" s="1701"/>
      <c r="E249" s="124" t="str">
        <f>+'7. Intervenciones UDT- BH'!E19</f>
        <v xml:space="preserve">Capacitaciones a 26,029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 </v>
      </c>
      <c r="F249" s="95"/>
      <c r="G249" s="79"/>
      <c r="H249" s="79"/>
      <c r="I249" s="79"/>
      <c r="J249" s="79"/>
      <c r="K249" s="79"/>
      <c r="L249" s="79"/>
      <c r="M249" s="79"/>
      <c r="N249" s="79"/>
      <c r="O249" s="79"/>
      <c r="P249" s="79"/>
      <c r="Q249" s="79"/>
      <c r="R249" s="79"/>
      <c r="S249" s="79"/>
      <c r="T249" s="79"/>
      <c r="U249" s="79"/>
      <c r="V249" s="79"/>
      <c r="W249" s="79"/>
      <c r="X249" s="79"/>
      <c r="Y249" s="79"/>
      <c r="Z249" s="79"/>
    </row>
    <row r="250" spans="1:26" ht="26.5" x14ac:dyDescent="0.15">
      <c r="A250" s="79"/>
      <c r="B250" s="111" t="str">
        <f>+'7. Intervenciones UDT- BH'!D20</f>
        <v>Manejo, conservación y recuperación de suelos degradados</v>
      </c>
      <c r="C250" s="1701"/>
      <c r="D250" s="1701"/>
      <c r="E250" s="124" t="str">
        <f>+'7. Intervenciones UDT- BH'!E20</f>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v>
      </c>
      <c r="F250" s="95"/>
      <c r="G250" s="79"/>
      <c r="H250" s="79"/>
      <c r="I250" s="79"/>
      <c r="J250" s="79"/>
      <c r="K250" s="79"/>
      <c r="L250" s="79"/>
      <c r="M250" s="79"/>
      <c r="N250" s="79"/>
      <c r="O250" s="79"/>
      <c r="P250" s="79"/>
      <c r="Q250" s="79"/>
      <c r="R250" s="79"/>
      <c r="S250" s="79"/>
      <c r="T250" s="79"/>
      <c r="U250" s="79"/>
      <c r="V250" s="79"/>
      <c r="W250" s="79"/>
      <c r="X250" s="79"/>
      <c r="Y250" s="79"/>
      <c r="Z250" s="79"/>
    </row>
    <row r="251" spans="1:26" ht="35.35" x14ac:dyDescent="0.15">
      <c r="A251" s="79"/>
      <c r="B251" s="111" t="str">
        <f>+'7. Intervenciones UDT- BH'!D21</f>
        <v>Fertilización de áreas productivas de acuerdo a la etapa fenológica del cultivo</v>
      </c>
      <c r="C251" s="1701"/>
      <c r="D251" s="1701"/>
      <c r="E251" s="124" t="str">
        <f>+'7. Intervenciones UDT- BH'!E21</f>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v>
      </c>
      <c r="F251" s="95"/>
      <c r="G251" s="79"/>
      <c r="H251" s="79"/>
      <c r="I251" s="79"/>
      <c r="J251" s="79"/>
      <c r="K251" s="79"/>
      <c r="L251" s="79"/>
      <c r="M251" s="79"/>
      <c r="N251" s="79"/>
      <c r="O251" s="79"/>
      <c r="P251" s="79"/>
      <c r="Q251" s="79"/>
      <c r="R251" s="79"/>
      <c r="S251" s="79"/>
      <c r="T251" s="79"/>
      <c r="U251" s="79"/>
      <c r="V251" s="79"/>
      <c r="W251" s="79"/>
      <c r="X251" s="79"/>
      <c r="Y251" s="79"/>
      <c r="Z251" s="79"/>
    </row>
    <row r="252" spans="1:26" ht="50.95" customHeight="1" x14ac:dyDescent="0.15">
      <c r="A252" s="79"/>
      <c r="B252" s="111" t="str">
        <f>+'7. Intervenciones UDT- BH'!D22</f>
        <v>Instalación de sistemas de fertirriego</v>
      </c>
      <c r="C252" s="1701"/>
      <c r="D252" s="1701"/>
      <c r="E252" s="124" t="str">
        <f>+'7. Intervenciones UDT- BH'!E22</f>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v>
      </c>
      <c r="F252" s="95"/>
      <c r="G252" s="79"/>
      <c r="H252" s="79"/>
      <c r="I252" s="79"/>
      <c r="J252" s="79"/>
      <c r="K252" s="79"/>
      <c r="L252" s="79"/>
      <c r="M252" s="79"/>
      <c r="N252" s="79"/>
      <c r="O252" s="79"/>
      <c r="P252" s="79"/>
      <c r="Q252" s="79"/>
      <c r="R252" s="79"/>
      <c r="S252" s="79"/>
      <c r="T252" s="79"/>
      <c r="U252" s="79"/>
      <c r="V252" s="79"/>
      <c r="W252" s="79"/>
      <c r="X252" s="79"/>
      <c r="Y252" s="79"/>
      <c r="Z252" s="79"/>
    </row>
    <row r="253" spans="1:26" ht="26.5" x14ac:dyDescent="0.15">
      <c r="A253" s="79"/>
      <c r="B253" s="111" t="str">
        <f>+'7. Intervenciones UDT- BH'!D33</f>
        <v>Promoción y desarrollo de proveedores de semillas mejoradas</v>
      </c>
      <c r="C253" s="1701"/>
      <c r="D253" s="1701"/>
      <c r="E253" s="124" t="str">
        <f>+'7. Intervenciones UDT- BH'!E33</f>
        <v>Fortalecimiento del Instituto Nacional de Innovación Agraria, con la finalidad de desarrollar nuevas variedades de arroz, así mismo promover la implementación de semilleros privados, que faciliten a los productores el acceso a semillas mejoradas; para este caso, se tiene identificados a 104 productores acreditados por el INIA en toda la región.</v>
      </c>
      <c r="F253" s="95"/>
      <c r="G253" s="79"/>
      <c r="H253" s="79"/>
      <c r="I253" s="79"/>
      <c r="J253" s="79"/>
      <c r="K253" s="79"/>
      <c r="L253" s="79"/>
      <c r="M253" s="79"/>
      <c r="N253" s="79"/>
      <c r="O253" s="79"/>
      <c r="P253" s="79"/>
      <c r="Q253" s="79"/>
      <c r="R253" s="79"/>
      <c r="S253" s="79"/>
      <c r="T253" s="79"/>
      <c r="U253" s="79"/>
      <c r="V253" s="79"/>
      <c r="W253" s="79"/>
      <c r="X253" s="79"/>
      <c r="Y253" s="79"/>
      <c r="Z253" s="79"/>
    </row>
    <row r="254" spans="1:26" ht="35.35" x14ac:dyDescent="0.15">
      <c r="A254" s="79"/>
      <c r="B254" s="111" t="str">
        <f>+'7. Intervenciones UDT- BH'!D23</f>
        <v xml:space="preserve">Reconversión y diversificación productiva </v>
      </c>
      <c r="C254" s="1701"/>
      <c r="D254" s="1701"/>
      <c r="E254" s="124" t="str">
        <f>+'7. Intervenciones UDT- BH'!E23</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F254" s="95"/>
      <c r="G254" s="79"/>
      <c r="H254" s="79"/>
      <c r="I254" s="79"/>
      <c r="J254" s="79"/>
      <c r="K254" s="79"/>
      <c r="L254" s="79"/>
      <c r="M254" s="79"/>
      <c r="N254" s="79"/>
      <c r="O254" s="79"/>
      <c r="P254" s="79"/>
      <c r="Q254" s="79"/>
      <c r="R254" s="79"/>
      <c r="S254" s="79"/>
      <c r="T254" s="79"/>
      <c r="U254" s="79"/>
      <c r="V254" s="79"/>
      <c r="W254" s="79"/>
      <c r="X254" s="79"/>
      <c r="Y254" s="79"/>
      <c r="Z254" s="79"/>
    </row>
    <row r="255" spans="1:26" ht="44.15" x14ac:dyDescent="0.15">
      <c r="A255" s="79"/>
      <c r="B255" s="111" t="str">
        <f>+'7. Intervenciones UDT- BH'!D24</f>
        <v>Promoción de agricultura familiar con enfoque de mercado</v>
      </c>
      <c r="C255" s="1701"/>
      <c r="D255" s="1701"/>
      <c r="E255" s="124" t="str">
        <f>+'7. Intervenciones UDT- BH'!E24</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F255" s="95"/>
      <c r="G255" s="79"/>
      <c r="H255" s="79"/>
      <c r="I255" s="79"/>
      <c r="J255" s="79"/>
      <c r="K255" s="79"/>
      <c r="L255" s="79"/>
      <c r="M255" s="79"/>
      <c r="N255" s="79"/>
      <c r="O255" s="79"/>
      <c r="P255" s="79"/>
      <c r="Q255" s="79"/>
      <c r="R255" s="79"/>
      <c r="S255" s="79"/>
      <c r="T255" s="79"/>
      <c r="U255" s="79"/>
      <c r="V255" s="79"/>
      <c r="W255" s="79"/>
      <c r="X255" s="79"/>
      <c r="Y255" s="79"/>
      <c r="Z255" s="79"/>
    </row>
    <row r="256" spans="1:26" ht="50.95" customHeight="1" x14ac:dyDescent="0.15">
      <c r="A256" s="79"/>
      <c r="B256" s="111" t="str">
        <f>+'7. Intervenciones UDT- BH'!D25</f>
        <v>Asistencia técnica para el desarrollo de la acuicultura</v>
      </c>
      <c r="C256" s="1701"/>
      <c r="D256" s="1701"/>
      <c r="E256" s="124" t="str">
        <f>+'7. Intervenciones UDT- BH'!E25</f>
        <v xml:space="preserve">Capacitaciones a 70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 </v>
      </c>
      <c r="F256" s="95"/>
      <c r="G256" s="79"/>
      <c r="H256" s="79"/>
      <c r="I256" s="79"/>
      <c r="J256" s="79"/>
      <c r="K256" s="79"/>
      <c r="L256" s="79"/>
      <c r="M256" s="79"/>
      <c r="N256" s="79"/>
      <c r="O256" s="79"/>
      <c r="P256" s="79"/>
      <c r="Q256" s="79"/>
      <c r="R256" s="79"/>
      <c r="S256" s="79"/>
      <c r="T256" s="79"/>
      <c r="U256" s="79"/>
      <c r="V256" s="79"/>
      <c r="W256" s="79"/>
      <c r="X256" s="79"/>
      <c r="Y256" s="79"/>
      <c r="Z256" s="79"/>
    </row>
    <row r="257" spans="1:26" ht="27" customHeight="1" x14ac:dyDescent="0.15">
      <c r="A257" s="79"/>
      <c r="B257" s="111" t="str">
        <f>+'7. Intervenciones UDT- BH'!D26</f>
        <v xml:space="preserve">Incentivos financieros para la acuicultura </v>
      </c>
      <c r="C257" s="1701"/>
      <c r="D257" s="1701"/>
      <c r="E257" s="124" t="str">
        <f>+'7. Intervenciones UDT- BH'!E26</f>
        <v>Promoción y articulación de créditos a 70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F257" s="95"/>
      <c r="G257" s="79"/>
      <c r="H257" s="79"/>
      <c r="I257" s="79"/>
      <c r="J257" s="79"/>
      <c r="K257" s="79"/>
      <c r="L257" s="79"/>
      <c r="M257" s="79"/>
      <c r="N257" s="79"/>
      <c r="O257" s="79"/>
      <c r="P257" s="79"/>
      <c r="Q257" s="79"/>
      <c r="R257" s="79"/>
      <c r="S257" s="79"/>
      <c r="T257" s="79"/>
      <c r="U257" s="79"/>
      <c r="V257" s="79"/>
      <c r="W257" s="79"/>
      <c r="X257" s="79"/>
      <c r="Y257" s="79"/>
      <c r="Z257" s="79"/>
    </row>
    <row r="258" spans="1:26" ht="44.15" x14ac:dyDescent="0.15">
      <c r="A258" s="79"/>
      <c r="B258" s="111" t="str">
        <f>+'7. Intervenciones UDT- BH'!D27</f>
        <v>Programa de acceso al financiamiento agropecuario condicionado</v>
      </c>
      <c r="C258" s="1701"/>
      <c r="D258" s="1701"/>
      <c r="E258" s="124" t="str">
        <f>+'7. Intervenciones UDT- BH'!E27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27,105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F258" s="95"/>
      <c r="G258" s="79"/>
      <c r="H258" s="79"/>
      <c r="I258" s="79"/>
      <c r="J258" s="79"/>
      <c r="K258" s="79"/>
      <c r="L258" s="79"/>
      <c r="M258" s="79"/>
      <c r="N258" s="79"/>
      <c r="O258" s="79"/>
      <c r="P258" s="79"/>
      <c r="Q258" s="79"/>
      <c r="R258" s="79"/>
      <c r="S258" s="79"/>
      <c r="T258" s="79"/>
      <c r="U258" s="79"/>
      <c r="V258" s="79"/>
      <c r="W258" s="79"/>
      <c r="X258" s="79"/>
      <c r="Y258" s="79"/>
      <c r="Z258" s="79"/>
    </row>
    <row r="259" spans="1:26" ht="44.15" x14ac:dyDescent="0.15">
      <c r="A259" s="79"/>
      <c r="B259" s="111" t="str">
        <f>+'7. Intervenciones UDT- BH'!D28</f>
        <v xml:space="preserve">Implementación de infraestructura productiva con énfasis a la agro exportación </v>
      </c>
      <c r="C259" s="1701"/>
      <c r="D259" s="1701"/>
      <c r="E259" s="124" t="str">
        <f>+'7. Intervenciones UDT- BH'!E28</f>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F259" s="95"/>
      <c r="G259" s="79"/>
      <c r="H259" s="79"/>
      <c r="I259" s="79"/>
      <c r="J259" s="79"/>
      <c r="K259" s="79"/>
      <c r="L259" s="79"/>
      <c r="M259" s="79"/>
      <c r="N259" s="79"/>
      <c r="O259" s="79"/>
      <c r="P259" s="79"/>
      <c r="Q259" s="79"/>
      <c r="R259" s="79"/>
      <c r="S259" s="79"/>
      <c r="T259" s="79"/>
      <c r="U259" s="79"/>
      <c r="V259" s="79"/>
      <c r="W259" s="79"/>
      <c r="X259" s="79"/>
      <c r="Y259" s="79"/>
      <c r="Z259" s="79"/>
    </row>
    <row r="260" spans="1:26" ht="50.95" customHeight="1" x14ac:dyDescent="0.15">
      <c r="A260" s="79"/>
      <c r="B260" s="111" t="str">
        <f>+'7. Intervenciones UDT- BH'!D29</f>
        <v xml:space="preserve">Fortalecimiento de capacidades en gestión de la calidad en las distintas cadenas de valor </v>
      </c>
      <c r="C260" s="1701"/>
      <c r="D260" s="1701"/>
      <c r="E260" s="124" t="str">
        <f>+'7. Intervenciones UDT- BH'!E29</f>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v>
      </c>
      <c r="F260" s="95"/>
      <c r="G260" s="79"/>
      <c r="H260" s="79"/>
      <c r="I260" s="79"/>
      <c r="J260" s="79"/>
      <c r="K260" s="79"/>
      <c r="L260" s="79"/>
      <c r="M260" s="79"/>
      <c r="N260" s="79"/>
      <c r="O260" s="79"/>
      <c r="P260" s="79"/>
      <c r="Q260" s="79"/>
      <c r="R260" s="79"/>
      <c r="S260" s="79"/>
      <c r="T260" s="79"/>
      <c r="U260" s="79"/>
      <c r="V260" s="79"/>
      <c r="W260" s="79"/>
      <c r="X260" s="79"/>
      <c r="Y260" s="79"/>
      <c r="Z260" s="79"/>
    </row>
    <row r="261" spans="1:26" ht="53" x14ac:dyDescent="0.15">
      <c r="A261" s="79"/>
      <c r="B261" s="111" t="str">
        <f>+'7. Intervenciones UDT- BH'!D30</f>
        <v>Promoción de modelos asociativos sostenibles</v>
      </c>
      <c r="C261" s="1701"/>
      <c r="D261" s="1701"/>
      <c r="E261" s="124" t="str">
        <f>+'7. Intervenciones UDT- BH'!E30</f>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AT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v>
      </c>
      <c r="F261" s="95"/>
      <c r="G261" s="79"/>
      <c r="H261" s="79"/>
      <c r="I261" s="79"/>
      <c r="J261" s="79"/>
      <c r="K261" s="79"/>
      <c r="L261" s="79"/>
      <c r="M261" s="79"/>
      <c r="N261" s="79"/>
      <c r="O261" s="79"/>
      <c r="P261" s="79"/>
      <c r="Q261" s="79"/>
      <c r="R261" s="79"/>
      <c r="S261" s="79"/>
      <c r="T261" s="79"/>
      <c r="U261" s="79"/>
      <c r="V261" s="79"/>
      <c r="W261" s="79"/>
      <c r="X261" s="79"/>
      <c r="Y261" s="79"/>
      <c r="Z261" s="79"/>
    </row>
    <row r="262" spans="1:26" ht="17.7" x14ac:dyDescent="0.15">
      <c r="A262" s="79"/>
      <c r="B262" s="111" t="str">
        <f>+'7. Intervenciones UDT- BH'!D31</f>
        <v>Certificación orgánica y  Comercio Justo</v>
      </c>
      <c r="C262" s="1701"/>
      <c r="D262" s="1701"/>
      <c r="E262" s="124" t="str">
        <f>+'7. Intervenciones UDT- BH'!E31</f>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v>
      </c>
      <c r="F262" s="95"/>
      <c r="G262" s="79"/>
      <c r="H262" s="79"/>
      <c r="I262" s="79"/>
      <c r="J262" s="79"/>
      <c r="K262" s="79"/>
      <c r="L262" s="79"/>
      <c r="M262" s="79"/>
      <c r="N262" s="79"/>
      <c r="O262" s="79"/>
      <c r="P262" s="79"/>
      <c r="Q262" s="79"/>
      <c r="R262" s="79"/>
      <c r="S262" s="79"/>
      <c r="T262" s="79"/>
      <c r="U262" s="79"/>
      <c r="V262" s="79"/>
      <c r="W262" s="79"/>
      <c r="X262" s="79"/>
      <c r="Y262" s="79"/>
      <c r="Z262" s="79"/>
    </row>
    <row r="263" spans="1:26" ht="17.7" x14ac:dyDescent="0.15">
      <c r="A263" s="79"/>
      <c r="B263" s="111" t="str">
        <f>+'7. Intervenciones UDT- BH'!D32</f>
        <v>Certificación RSPO</v>
      </c>
      <c r="C263" s="1701"/>
      <c r="D263" s="1701"/>
      <c r="E263" s="124" t="str">
        <f>+'7. Intervenciones UDT- BH'!E32</f>
        <v>Implementar y promover la certificación de plantaciones de 2161 pequeños productores, los cuales tienen 8,211 ha. La certificación RSPO permite facilitar el acceso a los mercados de los productos derivados de la palma aceitera. Esta intervención forma parte del fortalecimiento de la infraestrucura de la calidad en las cadenas.</v>
      </c>
      <c r="F263" s="95"/>
      <c r="G263" s="79"/>
      <c r="H263" s="79"/>
      <c r="I263" s="79"/>
      <c r="J263" s="79"/>
      <c r="K263" s="79"/>
      <c r="L263" s="79"/>
      <c r="M263" s="79"/>
      <c r="N263" s="79"/>
      <c r="O263" s="79"/>
      <c r="P263" s="79"/>
      <c r="Q263" s="79"/>
      <c r="R263" s="79"/>
      <c r="S263" s="79"/>
      <c r="T263" s="79"/>
      <c r="U263" s="79"/>
      <c r="V263" s="79"/>
      <c r="W263" s="79"/>
      <c r="X263" s="79"/>
      <c r="Y263" s="79"/>
      <c r="Z263" s="79"/>
    </row>
    <row r="264" spans="1:26" ht="50.95" customHeight="1" x14ac:dyDescent="0.15">
      <c r="A264" s="79"/>
      <c r="B264" s="111" t="str">
        <f>+'7. Intervenciones UDT- BH'!D34</f>
        <v>Promoción y acceso a los Mecanismos de Retribución por Servicios Eco sistémicos (MERESE)</v>
      </c>
      <c r="C264" s="1701"/>
      <c r="D264" s="1701"/>
      <c r="E264" s="124" t="str">
        <f>+'7. Intervenciones UDT- BH'!E34</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264" s="95"/>
      <c r="G264" s="79"/>
      <c r="H264" s="79"/>
      <c r="I264" s="79"/>
      <c r="J264" s="79"/>
      <c r="K264" s="79"/>
      <c r="L264" s="79"/>
      <c r="M264" s="79"/>
      <c r="N264" s="79"/>
      <c r="O264" s="79"/>
      <c r="P264" s="79"/>
      <c r="Q264" s="79"/>
      <c r="R264" s="79"/>
      <c r="S264" s="79"/>
      <c r="T264" s="79"/>
      <c r="U264" s="79"/>
      <c r="V264" s="79"/>
      <c r="W264" s="79"/>
      <c r="X264" s="79"/>
      <c r="Y264" s="79"/>
      <c r="Z264" s="79"/>
    </row>
    <row r="265" spans="1:26" ht="21.1" customHeight="1" x14ac:dyDescent="0.15">
      <c r="A265" s="79"/>
      <c r="B265" s="79"/>
      <c r="C265" s="94"/>
      <c r="D265" s="95"/>
      <c r="E265" s="87"/>
      <c r="F265" s="95"/>
      <c r="G265" s="79"/>
      <c r="H265" s="79"/>
      <c r="I265" s="79"/>
      <c r="J265" s="79"/>
      <c r="K265" s="79"/>
      <c r="L265" s="79"/>
      <c r="M265" s="79"/>
      <c r="N265" s="79"/>
      <c r="O265" s="79"/>
      <c r="P265" s="79"/>
      <c r="Q265" s="79"/>
      <c r="R265" s="79"/>
      <c r="S265" s="79"/>
      <c r="T265" s="79"/>
      <c r="U265" s="79"/>
      <c r="V265" s="79"/>
      <c r="W265" s="79"/>
      <c r="X265" s="79"/>
      <c r="Y265" s="79"/>
      <c r="Z265" s="79"/>
    </row>
    <row r="266" spans="1:26" ht="21.1" customHeight="1" x14ac:dyDescent="0.15">
      <c r="A266" s="79"/>
      <c r="B266" s="79"/>
      <c r="C266" s="94"/>
      <c r="D266" s="95"/>
      <c r="E266" s="87"/>
      <c r="F266" s="95"/>
      <c r="G266" s="79"/>
      <c r="H266" s="79"/>
      <c r="I266" s="79"/>
      <c r="J266" s="79"/>
      <c r="K266" s="79"/>
      <c r="L266" s="79"/>
      <c r="M266" s="79"/>
      <c r="N266" s="79"/>
      <c r="O266" s="79"/>
      <c r="P266" s="79"/>
      <c r="Q266" s="79"/>
      <c r="R266" s="79"/>
      <c r="S266" s="79"/>
      <c r="T266" s="79"/>
      <c r="U266" s="79"/>
      <c r="V266" s="79"/>
      <c r="W266" s="79"/>
      <c r="X266" s="79"/>
      <c r="Y266" s="79"/>
      <c r="Z266" s="79"/>
    </row>
    <row r="267" spans="1:26" ht="17.7" x14ac:dyDescent="0.15">
      <c r="A267" s="79"/>
      <c r="B267" s="107" t="s">
        <v>2013</v>
      </c>
      <c r="C267" s="101" t="s">
        <v>142</v>
      </c>
      <c r="D267" s="101" t="s">
        <v>1968</v>
      </c>
      <c r="E267" s="107" t="s">
        <v>2014</v>
      </c>
      <c r="F267" s="95"/>
      <c r="G267" s="79"/>
      <c r="H267" s="79"/>
      <c r="I267" s="79"/>
      <c r="J267" s="79"/>
      <c r="K267" s="79"/>
      <c r="L267" s="79"/>
      <c r="M267" s="79"/>
      <c r="N267" s="79"/>
      <c r="O267" s="79"/>
      <c r="P267" s="79"/>
      <c r="Q267" s="79"/>
      <c r="R267" s="79"/>
      <c r="S267" s="79"/>
      <c r="T267" s="79"/>
      <c r="U267" s="79"/>
      <c r="V267" s="79"/>
      <c r="W267" s="79"/>
      <c r="X267" s="79"/>
      <c r="Y267" s="79"/>
      <c r="Z267" s="79"/>
    </row>
    <row r="268" spans="1:26" ht="113.95" customHeight="1" x14ac:dyDescent="0.15">
      <c r="A268" s="79"/>
      <c r="B268" s="111" t="str">
        <f>+'7. Intervenciones UDT- BH'!D46</f>
        <v>Otorgamiento de derechos sobre la tierra/bosques</v>
      </c>
      <c r="C268" s="1701" t="s">
        <v>2023</v>
      </c>
      <c r="D268" s="1701" t="s">
        <v>126</v>
      </c>
      <c r="E268" s="124" t="str">
        <f>+'7. Intervenciones UDT- BH'!E46</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268" s="95"/>
      <c r="G268" s="79"/>
      <c r="H268" s="79"/>
      <c r="I268" s="79"/>
      <c r="J268" s="79"/>
      <c r="K268" s="79"/>
      <c r="L268" s="79"/>
      <c r="M268" s="79"/>
      <c r="N268" s="79"/>
      <c r="O268" s="79"/>
      <c r="P268" s="79"/>
      <c r="Q268" s="79"/>
      <c r="R268" s="79"/>
      <c r="S268" s="79"/>
      <c r="T268" s="79"/>
      <c r="U268" s="79"/>
      <c r="V268" s="79"/>
      <c r="W268" s="79"/>
      <c r="X268" s="79"/>
      <c r="Y268" s="79"/>
      <c r="Z268" s="79"/>
    </row>
    <row r="269" spans="1:26" ht="26.5" x14ac:dyDescent="0.15">
      <c r="A269" s="79"/>
      <c r="B269" s="111" t="str">
        <f>+'7. Intervenciones UDT- BH'!D47</f>
        <v xml:space="preserve">Asistencia técnica para el mejoramiento de pastos y ganadería </v>
      </c>
      <c r="C269" s="1701"/>
      <c r="D269" s="1701"/>
      <c r="E269" s="124" t="str">
        <f>+'7. Intervenciones UDT- BH'!E47</f>
        <v>Capacitaciones a 1,214 pequeños y medianos ganaderos, en temas de manejo de pastos,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F269" s="95"/>
      <c r="G269" s="79"/>
      <c r="H269" s="79"/>
      <c r="I269" s="79"/>
      <c r="J269" s="79"/>
      <c r="K269" s="79"/>
      <c r="L269" s="79"/>
      <c r="M269" s="79"/>
      <c r="N269" s="79"/>
      <c r="O269" s="79"/>
      <c r="P269" s="79"/>
      <c r="Q269" s="79"/>
      <c r="R269" s="79"/>
      <c r="S269" s="79"/>
      <c r="T269" s="79"/>
      <c r="U269" s="79"/>
      <c r="V269" s="79"/>
      <c r="W269" s="79"/>
      <c r="X269" s="79"/>
      <c r="Y269" s="79"/>
      <c r="Z269" s="79"/>
    </row>
    <row r="270" spans="1:26" ht="26.5" x14ac:dyDescent="0.15">
      <c r="A270" s="79"/>
      <c r="B270" s="111" t="str">
        <f>+'7. Intervenciones UDT- BH'!D48</f>
        <v>Manejo, conservación y recuperación de suelos degradados</v>
      </c>
      <c r="C270" s="1701"/>
      <c r="D270" s="1701"/>
      <c r="E270" s="124" t="str">
        <f>+'7. Intervenciones UDT- BH'!E48</f>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v>
      </c>
      <c r="F270" s="95"/>
      <c r="G270" s="79"/>
      <c r="H270" s="79"/>
      <c r="I270" s="79"/>
      <c r="J270" s="79"/>
      <c r="K270" s="79"/>
      <c r="L270" s="79"/>
      <c r="M270" s="79"/>
      <c r="N270" s="79"/>
      <c r="O270" s="79"/>
      <c r="P270" s="79"/>
      <c r="Q270" s="79"/>
      <c r="R270" s="79"/>
      <c r="S270" s="79"/>
      <c r="T270" s="79"/>
      <c r="U270" s="79"/>
      <c r="V270" s="79"/>
      <c r="W270" s="79"/>
      <c r="X270" s="79"/>
      <c r="Y270" s="79"/>
      <c r="Z270" s="79"/>
    </row>
    <row r="271" spans="1:26" ht="17.7" x14ac:dyDescent="0.15">
      <c r="A271" s="79"/>
      <c r="B271" s="111" t="str">
        <f>+'7. Intervenciones UDT- BH'!D49</f>
        <v>Mejoramiento genético de ganado bovino</v>
      </c>
      <c r="C271" s="1701"/>
      <c r="D271" s="1701"/>
      <c r="E271" s="124" t="str">
        <f>+'7. Intervenciones UDT- BH'!E49</f>
        <v>Reactivación  , implementación y gestión de las postas de inseminación artificial, importación de material genético (pajillas de semen), capacitación y entrenamiento a inseminadores, transferencia de embriones.</v>
      </c>
      <c r="F271" s="95"/>
      <c r="G271" s="79"/>
      <c r="H271" s="79"/>
      <c r="I271" s="79"/>
      <c r="J271" s="79"/>
      <c r="K271" s="79"/>
      <c r="L271" s="79"/>
      <c r="M271" s="79"/>
      <c r="N271" s="79"/>
      <c r="O271" s="79"/>
      <c r="P271" s="79"/>
      <c r="Q271" s="79"/>
      <c r="R271" s="79"/>
      <c r="S271" s="79"/>
      <c r="T271" s="79"/>
      <c r="U271" s="79"/>
      <c r="V271" s="79"/>
      <c r="W271" s="79"/>
      <c r="X271" s="79"/>
      <c r="Y271" s="79"/>
      <c r="Z271" s="79"/>
    </row>
    <row r="272" spans="1:26" ht="35.35" x14ac:dyDescent="0.15">
      <c r="A272" s="79"/>
      <c r="B272" s="111" t="str">
        <f>+'7. Intervenciones UDT- BH'!D50</f>
        <v>Programa de acceso al financiamiento agropecuario condicionado</v>
      </c>
      <c r="C272" s="1701"/>
      <c r="D272" s="1701"/>
      <c r="E272" s="124" t="str">
        <f>+'7. Intervenciones UDT- BH'!E50</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El FONDESAM servirá como medio para garantizar los créditos ante las entidades financieras y para la ejecución de proyectos agropecuarios. Los créditos  deberán estar orientados a aquellos que incentiven la innovación en los diferentes eslabones de las distintas cadenas productivas. os fondos se canalizará con los bancos que ofrezcan las mejores tasas para los productores.</v>
      </c>
      <c r="F272" s="95"/>
      <c r="G272" s="79"/>
      <c r="H272" s="79"/>
      <c r="I272" s="79"/>
      <c r="J272" s="79"/>
      <c r="K272" s="79"/>
      <c r="L272" s="79"/>
      <c r="M272" s="79"/>
      <c r="N272" s="79"/>
      <c r="O272" s="79"/>
      <c r="P272" s="79"/>
      <c r="Q272" s="79"/>
      <c r="R272" s="79"/>
      <c r="S272" s="79"/>
      <c r="T272" s="79"/>
      <c r="U272" s="79"/>
      <c r="V272" s="79"/>
      <c r="W272" s="79"/>
      <c r="X272" s="79"/>
      <c r="Y272" s="79"/>
      <c r="Z272" s="79"/>
    </row>
    <row r="273" spans="1:26" ht="44.15" x14ac:dyDescent="0.15">
      <c r="A273" s="79"/>
      <c r="B273" s="111" t="str">
        <f>+'7. Intervenciones UDT- BH'!D51</f>
        <v>Promoción de modelos asociativos sostenibles</v>
      </c>
      <c r="C273" s="1701"/>
      <c r="D273" s="1701"/>
      <c r="E273" s="124" t="str">
        <f>+'7. Intervenciones UDT- BH'!E51</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273" s="95"/>
      <c r="G273" s="79"/>
      <c r="H273" s="79"/>
      <c r="I273" s="79"/>
      <c r="J273" s="79"/>
      <c r="K273" s="79"/>
      <c r="L273" s="79"/>
      <c r="M273" s="79"/>
      <c r="N273" s="79"/>
      <c r="O273" s="79"/>
      <c r="P273" s="79"/>
      <c r="Q273" s="79"/>
      <c r="R273" s="79"/>
      <c r="S273" s="79"/>
      <c r="T273" s="79"/>
      <c r="U273" s="79"/>
      <c r="V273" s="79"/>
      <c r="W273" s="79"/>
      <c r="X273" s="79"/>
      <c r="Y273" s="79"/>
      <c r="Z273" s="79"/>
    </row>
    <row r="274" spans="1:26" ht="26.5" x14ac:dyDescent="0.15">
      <c r="A274" s="79"/>
      <c r="B274" s="111" t="str">
        <f>+'7. Intervenciones UDT- BH'!D52</f>
        <v>Implementación de infraestructura productiva baja en emisiones</v>
      </c>
      <c r="C274" s="1701"/>
      <c r="D274" s="1701"/>
      <c r="E274" s="124" t="str">
        <f>+'7. Intervenciones UDT- BH'!E52</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F274" s="95"/>
      <c r="G274" s="79"/>
      <c r="H274" s="79"/>
      <c r="I274" s="79"/>
      <c r="J274" s="79"/>
      <c r="K274" s="79"/>
      <c r="L274" s="79"/>
      <c r="M274" s="79"/>
      <c r="N274" s="79"/>
      <c r="O274" s="79"/>
      <c r="P274" s="79"/>
      <c r="Q274" s="79"/>
      <c r="R274" s="79"/>
      <c r="S274" s="79"/>
      <c r="T274" s="79"/>
      <c r="U274" s="79"/>
      <c r="V274" s="79"/>
      <c r="W274" s="79"/>
      <c r="X274" s="79"/>
      <c r="Y274" s="79"/>
      <c r="Z274" s="79"/>
    </row>
    <row r="275" spans="1:26" ht="35.35" x14ac:dyDescent="0.15">
      <c r="A275" s="79"/>
      <c r="B275" s="111" t="str">
        <f>+'7. Intervenciones UDT- BH'!D53</f>
        <v>Promoción y acceso a los Mecanismos de Retribución por Servicios Eco sistémicos (MERESE)</v>
      </c>
      <c r="C275" s="1701"/>
      <c r="D275" s="1701"/>
      <c r="E275" s="124" t="str">
        <f>+'7. Intervenciones UDT- BH'!E53</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275" s="95"/>
      <c r="G275" s="79"/>
      <c r="H275" s="79"/>
      <c r="I275" s="79"/>
      <c r="J275" s="79"/>
      <c r="K275" s="79"/>
      <c r="L275" s="79"/>
      <c r="M275" s="79"/>
      <c r="N275" s="79"/>
      <c r="O275" s="79"/>
      <c r="P275" s="79"/>
      <c r="Q275" s="79"/>
      <c r="R275" s="79"/>
      <c r="S275" s="79"/>
      <c r="T275" s="79"/>
      <c r="U275" s="79"/>
      <c r="V275" s="79"/>
      <c r="W275" s="79"/>
      <c r="X275" s="79"/>
      <c r="Y275" s="79"/>
      <c r="Z275" s="79"/>
    </row>
    <row r="276" spans="1:26" ht="16.5" customHeight="1" x14ac:dyDescent="0.15">
      <c r="A276" s="79"/>
      <c r="B276" s="79"/>
      <c r="C276" s="94"/>
      <c r="D276" s="95"/>
      <c r="E276" s="87"/>
      <c r="F276" s="95"/>
      <c r="G276" s="79"/>
      <c r="H276" s="79"/>
      <c r="I276" s="79"/>
      <c r="J276" s="79"/>
      <c r="K276" s="79"/>
      <c r="L276" s="79"/>
      <c r="M276" s="79"/>
      <c r="N276" s="79"/>
      <c r="O276" s="79"/>
      <c r="P276" s="79"/>
      <c r="Q276" s="79"/>
      <c r="R276" s="79"/>
      <c r="S276" s="79"/>
      <c r="T276" s="79"/>
      <c r="U276" s="79"/>
      <c r="V276" s="79"/>
      <c r="W276" s="79"/>
      <c r="X276" s="79"/>
      <c r="Y276" s="79"/>
      <c r="Z276" s="79"/>
    </row>
    <row r="277" spans="1:26" ht="16.5" customHeight="1" x14ac:dyDescent="0.15">
      <c r="A277" s="79"/>
      <c r="B277" s="79"/>
      <c r="C277" s="94"/>
      <c r="D277" s="95"/>
      <c r="E277" s="87"/>
      <c r="F277" s="95"/>
      <c r="G277" s="79"/>
      <c r="H277" s="79"/>
      <c r="I277" s="79"/>
      <c r="J277" s="79"/>
      <c r="K277" s="79"/>
      <c r="L277" s="79"/>
      <c r="M277" s="79"/>
      <c r="N277" s="79"/>
      <c r="O277" s="79"/>
      <c r="P277" s="79"/>
      <c r="Q277" s="79"/>
      <c r="R277" s="79"/>
      <c r="S277" s="79"/>
      <c r="T277" s="79"/>
      <c r="U277" s="79"/>
      <c r="V277" s="79"/>
      <c r="W277" s="79"/>
      <c r="X277" s="79"/>
      <c r="Y277" s="79"/>
      <c r="Z277" s="79"/>
    </row>
    <row r="278" spans="1:26" ht="17.7" x14ac:dyDescent="0.15">
      <c r="A278" s="79"/>
      <c r="B278" s="107" t="s">
        <v>2013</v>
      </c>
      <c r="C278" s="101" t="s">
        <v>142</v>
      </c>
      <c r="D278" s="101" t="s">
        <v>1968</v>
      </c>
      <c r="E278" s="107" t="s">
        <v>2014</v>
      </c>
      <c r="F278" s="95"/>
      <c r="G278" s="79"/>
      <c r="H278" s="79"/>
      <c r="I278" s="79"/>
      <c r="J278" s="79"/>
      <c r="K278" s="79"/>
      <c r="L278" s="79"/>
      <c r="M278" s="79"/>
      <c r="N278" s="79"/>
      <c r="O278" s="79"/>
      <c r="P278" s="79"/>
      <c r="Q278" s="79"/>
      <c r="R278" s="79"/>
      <c r="S278" s="79"/>
      <c r="T278" s="79"/>
      <c r="U278" s="79"/>
      <c r="V278" s="79"/>
      <c r="W278" s="79"/>
      <c r="X278" s="79"/>
      <c r="Y278" s="79"/>
      <c r="Z278" s="79"/>
    </row>
    <row r="279" spans="1:26" ht="108" customHeight="1" x14ac:dyDescent="0.15">
      <c r="A279" s="79"/>
      <c r="B279" s="111" t="str">
        <f>+'7. Intervenciones UDT- BH'!D65</f>
        <v>Otorgamiento de derechos sobre la tierra/bosques</v>
      </c>
      <c r="C279" s="1701" t="s">
        <v>2023</v>
      </c>
      <c r="D279" s="1701" t="s">
        <v>136</v>
      </c>
      <c r="E279" s="124" t="str">
        <f>+'7. Intervenciones UDT- BH'!E65</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279" s="95"/>
      <c r="G279" s="79"/>
      <c r="H279" s="79"/>
      <c r="I279" s="79"/>
      <c r="J279" s="79"/>
      <c r="K279" s="79"/>
      <c r="L279" s="79"/>
      <c r="M279" s="79"/>
      <c r="N279" s="79"/>
      <c r="O279" s="79"/>
      <c r="P279" s="79"/>
      <c r="Q279" s="79"/>
      <c r="R279" s="79"/>
      <c r="S279" s="79"/>
      <c r="T279" s="79"/>
      <c r="U279" s="79"/>
      <c r="V279" s="79"/>
      <c r="W279" s="79"/>
      <c r="X279" s="79"/>
      <c r="Y279" s="79"/>
      <c r="Z279" s="79"/>
    </row>
    <row r="280" spans="1:26" ht="44.15" x14ac:dyDescent="0.15">
      <c r="A280" s="79"/>
      <c r="B280" s="111" t="str">
        <f>+'7. Intervenciones UDT- BH'!D66</f>
        <v>Acceso a financiamiento para modelos de asociación con pequeños productores</v>
      </c>
      <c r="C280" s="1701"/>
      <c r="D280" s="1701"/>
      <c r="E280" s="124" t="str">
        <f>+'7. Intervenciones UDT- BH'!E66</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v>
      </c>
      <c r="F280" s="95"/>
      <c r="G280" s="79"/>
      <c r="H280" s="79"/>
      <c r="I280" s="79"/>
      <c r="J280" s="79"/>
      <c r="K280" s="79"/>
      <c r="L280" s="79"/>
      <c r="M280" s="79"/>
      <c r="N280" s="79"/>
      <c r="O280" s="79"/>
      <c r="P280" s="79"/>
      <c r="Q280" s="79"/>
      <c r="R280" s="79"/>
      <c r="S280" s="79"/>
      <c r="T280" s="79"/>
      <c r="U280" s="79"/>
      <c r="V280" s="79"/>
      <c r="W280" s="79"/>
      <c r="X280" s="79"/>
      <c r="Y280" s="79"/>
      <c r="Z280" s="79"/>
    </row>
    <row r="281" spans="1:26" ht="35.35" x14ac:dyDescent="0.15">
      <c r="A281" s="79"/>
      <c r="B281" s="111" t="str">
        <f>+'7. Intervenciones UDT- BH'!D67</f>
        <v>Acompañamiento de acuerdos comerciales entre empresas y medianos productores</v>
      </c>
      <c r="C281" s="1701"/>
      <c r="D281" s="1701"/>
      <c r="E281" s="124" t="str">
        <f>+'7. Intervenciones UDT- BH'!E67</f>
        <v>Brindar asesoramiento y acompañamiento a los productores organizados y no organizados en sus procesos de negociación, este acompañamiento permitirá llegar a buenos acuerdos con las empresas y asegurar que los pequeños productores tengan acceso a precios justos.</v>
      </c>
      <c r="F281" s="95"/>
      <c r="G281" s="79"/>
      <c r="H281" s="79"/>
      <c r="I281" s="79"/>
      <c r="J281" s="79"/>
      <c r="K281" s="79"/>
      <c r="L281" s="79"/>
      <c r="M281" s="79"/>
      <c r="N281" s="79"/>
      <c r="O281" s="79"/>
      <c r="P281" s="79"/>
      <c r="Q281" s="79"/>
      <c r="R281" s="79"/>
      <c r="S281" s="79"/>
      <c r="T281" s="79"/>
      <c r="U281" s="79"/>
      <c r="V281" s="79"/>
      <c r="W281" s="79"/>
      <c r="X281" s="79"/>
      <c r="Y281" s="79"/>
      <c r="Z281" s="79"/>
    </row>
    <row r="282" spans="1:26" ht="50.95" customHeight="1" x14ac:dyDescent="0.15">
      <c r="A282" s="79"/>
      <c r="B282" s="111" t="str">
        <f>+'7. Intervenciones UDT- BH'!D68</f>
        <v>Ampliación de estudios de HCS y HCV para nuevas áreas potenciales para asociación con pequeños productores</v>
      </c>
      <c r="C282" s="1701"/>
      <c r="D282" s="1701"/>
      <c r="E282" s="124" t="str">
        <f>+'7. Intervenciones UDT- BH'!E68</f>
        <v>Promover el financiamiento para el desarrollo e implementación de estudios de umbrales de carbono en el suelo y en los bosques.</v>
      </c>
      <c r="F282" s="95"/>
      <c r="G282" s="79"/>
      <c r="H282" s="79"/>
      <c r="I282" s="79"/>
      <c r="J282" s="79"/>
      <c r="K282" s="79"/>
      <c r="L282" s="79"/>
      <c r="M282" s="79"/>
      <c r="N282" s="79"/>
      <c r="O282" s="79"/>
      <c r="P282" s="79"/>
      <c r="Q282" s="79"/>
      <c r="R282" s="79"/>
      <c r="S282" s="79"/>
      <c r="T282" s="79"/>
      <c r="U282" s="79"/>
      <c r="V282" s="79"/>
      <c r="W282" s="79"/>
      <c r="X282" s="79"/>
      <c r="Y282" s="79"/>
      <c r="Z282" s="79"/>
    </row>
    <row r="283" spans="1:26" ht="20.05" customHeight="1" x14ac:dyDescent="0.15">
      <c r="A283" s="79"/>
      <c r="B283" s="79"/>
      <c r="C283" s="94"/>
      <c r="D283" s="95"/>
      <c r="E283" s="87"/>
      <c r="F283" s="95"/>
      <c r="G283" s="79"/>
      <c r="H283" s="79"/>
      <c r="I283" s="79"/>
      <c r="J283" s="79"/>
      <c r="K283" s="79"/>
      <c r="L283" s="79"/>
      <c r="M283" s="79"/>
      <c r="N283" s="79"/>
      <c r="O283" s="79"/>
      <c r="P283" s="79"/>
      <c r="Q283" s="79"/>
      <c r="R283" s="79"/>
      <c r="S283" s="79"/>
      <c r="T283" s="79"/>
      <c r="U283" s="79"/>
      <c r="V283" s="79"/>
      <c r="W283" s="79"/>
      <c r="X283" s="79"/>
      <c r="Y283" s="79"/>
      <c r="Z283" s="79"/>
    </row>
    <row r="284" spans="1:26" ht="20.05" customHeight="1" x14ac:dyDescent="0.15">
      <c r="A284" s="79"/>
      <c r="B284" s="79"/>
      <c r="C284" s="94"/>
      <c r="D284" s="95"/>
      <c r="E284" s="87"/>
      <c r="F284" s="95"/>
      <c r="G284" s="79"/>
      <c r="H284" s="79"/>
      <c r="I284" s="79"/>
      <c r="J284" s="79"/>
      <c r="K284" s="79"/>
      <c r="L284" s="79"/>
      <c r="M284" s="79"/>
      <c r="N284" s="79"/>
      <c r="O284" s="79"/>
      <c r="P284" s="79"/>
      <c r="Q284" s="79"/>
      <c r="R284" s="79"/>
      <c r="S284" s="79"/>
      <c r="T284" s="79"/>
      <c r="U284" s="79"/>
      <c r="V284" s="79"/>
      <c r="W284" s="79"/>
      <c r="X284" s="79"/>
      <c r="Y284" s="79"/>
      <c r="Z284" s="79"/>
    </row>
    <row r="285" spans="1:26" ht="17.7" x14ac:dyDescent="0.15">
      <c r="A285" s="79"/>
      <c r="B285" s="107" t="s">
        <v>2013</v>
      </c>
      <c r="C285" s="101" t="s">
        <v>142</v>
      </c>
      <c r="D285" s="101" t="s">
        <v>1968</v>
      </c>
      <c r="E285" s="107" t="s">
        <v>2014</v>
      </c>
      <c r="F285" s="95"/>
      <c r="G285" s="79"/>
      <c r="H285" s="79"/>
      <c r="I285" s="79"/>
      <c r="J285" s="79"/>
      <c r="K285" s="79"/>
      <c r="L285" s="79"/>
      <c r="M285" s="79"/>
      <c r="N285" s="79"/>
      <c r="O285" s="79"/>
      <c r="P285" s="79"/>
      <c r="Q285" s="79"/>
      <c r="R285" s="79"/>
      <c r="S285" s="79"/>
      <c r="T285" s="79"/>
      <c r="U285" s="79"/>
      <c r="V285" s="79"/>
      <c r="W285" s="79"/>
      <c r="X285" s="79"/>
      <c r="Y285" s="79"/>
      <c r="Z285" s="79"/>
    </row>
    <row r="286" spans="1:26" ht="88.3" x14ac:dyDescent="0.15">
      <c r="A286" s="79"/>
      <c r="B286" s="109" t="str">
        <f>+'7. Intervenciones UDT- BH'!D80</f>
        <v xml:space="preserve">Concluir reconocimiento y titulación </v>
      </c>
      <c r="C286" s="1710" t="s">
        <v>1975</v>
      </c>
      <c r="D286" s="1710" t="s">
        <v>1986</v>
      </c>
      <c r="E286" s="88" t="str">
        <f>+'7. Intervenciones UDT- BH'!E80</f>
        <v>Realizar el proceso de reconocimiento y titulación de las Comunidades Nativas, de las cuales 04 están en proceso de reconocimiento (Proyecto MDE) SHAWI LOS FLORES DEL PARAÍSO, IKAMIA AENTS, ATUN PAMPA, MUSHUCK REFORMA; En procesos de titulación: 27 (MDE: 7; PNUD DCI: 7; PTRT3: 13): KICHWA CANAYO, KICHWA TUPAC AMARU, ALLIMA SACHAYUC ALTO CHAZUTA YACU, REBALSE CHAZUTA, EL PIÑAL, KICHWA LOS ANGELES, SHAPAHILLA, SHAWI NUEVO SAN MARTÍN, SHAWI NUEVO SANTA ROSA DE ALTO CHAMBIRA, SANTA SOFÍA, SANTA ROSA, KICHWA IRAPAY SACHA, QICHWA PISHWAYA ALLPA,  KICHWA CHIPEZA, QUECHUA SHILCAYO, ANCASH URKU - SAN HILARION, KECHWA ISHKAY URMANAYUK, KECHWA RICARDO PALMA, KICHWA ANKASH YAKU DE ACHINAMISA, KICHWA CALLANAYACU, KICHWA); En proceso de ampliación 01 (COMUNIDAD NATIVA MUSHUCK LLACTA DE CHIPAOTA): Solicita ampliación 01 (COMUNIDAD NATIVA CHARAPILLO); Por reconocer y titular: 04 (COMUNIDAD CAMPESINA NUEVO ICA, COMUNIDAD CAMPESINA SAN FERNANDO, COMUNIDAD CAMPESINA KICHWA SAN JOSÉ OBRERO, COMUNIDAD CAMPESINA KICHWA LA ESPERANZA); Por titular 07 (COMUNIDAD NATIVA AMPI SACHA DE SANTA ROSA DE KACHISAPA, SHAWI NUEVO ALIANZA, SHAWI NUEVO PIZANA, SHAWI NUEVO PONDEROSA, NUEVO NAUTA, KECHWA SANTA ROSILLO DE YANAYACU, KECHWA SINCHI RUNA DE LLUCANAYAKU); Renunció a ser comunidad 01 COMUNIDAD NATIVA KICHWA SAN PABLO DE TIPISHKA.
Saneamiento físico legal (georreferenciación, actualización gráfica, e inscripción en registros públicos), en concordancia con la R.M. 0370-2017-MINAGRI, de 2 comunidades nativas: MUSHUCK LLACTA DE CHIPAOTA y  CHARAPILLO.</v>
      </c>
      <c r="F286" s="95"/>
      <c r="G286" s="79"/>
      <c r="H286" s="79"/>
      <c r="I286" s="79"/>
      <c r="J286" s="79"/>
      <c r="K286" s="79"/>
      <c r="L286" s="79"/>
      <c r="M286" s="79"/>
      <c r="N286" s="79"/>
      <c r="O286" s="79"/>
      <c r="P286" s="79"/>
      <c r="Q286" s="79"/>
      <c r="R286" s="79"/>
      <c r="S286" s="79"/>
      <c r="T286" s="79"/>
      <c r="U286" s="79"/>
      <c r="V286" s="79"/>
      <c r="W286" s="79"/>
      <c r="X286" s="79"/>
      <c r="Y286" s="79"/>
      <c r="Z286" s="79"/>
    </row>
    <row r="287" spans="1:26" ht="44.15" x14ac:dyDescent="0.15">
      <c r="A287" s="79"/>
      <c r="B287" s="109" t="str">
        <f>+'7. Intervenciones UDT- BH'!D81</f>
        <v xml:space="preserve">Asistencia técnica para el manejo agroforestal </v>
      </c>
      <c r="C287" s="1711"/>
      <c r="D287" s="1711"/>
      <c r="E287" s="88" t="str">
        <f>+'7. Intervenciones UDT- BH'!E81</f>
        <v>Capacitaciones a 47 comunidades nativas,  interviniendo a través de ECA, días de campo y reuniones tipo ECA, esto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recuperación de áreas degradadas, todas estas actividades considerando los saberes ancestrales y la cosmovisión de las comunidades. Se tomará en cuenta a los  profesionales de las Comunidades Nativas para ser parte del equipo técnico de los proyectos. Se brindará asesoría a las comunidades para que cuenten con contratos de alquiler que eviten la deforestación, protejan los suelos y otros recursos naturales de la comunidades.</v>
      </c>
      <c r="F287" s="95"/>
      <c r="G287" s="79"/>
      <c r="H287" s="79"/>
      <c r="I287" s="79"/>
      <c r="J287" s="79"/>
      <c r="K287" s="79"/>
      <c r="L287" s="79"/>
      <c r="M287" s="79"/>
      <c r="N287" s="79"/>
      <c r="O287" s="79"/>
      <c r="P287" s="79"/>
      <c r="Q287" s="79"/>
      <c r="R287" s="79"/>
      <c r="S287" s="79"/>
      <c r="T287" s="79"/>
      <c r="U287" s="79"/>
      <c r="V287" s="79"/>
      <c r="W287" s="79"/>
      <c r="X287" s="79"/>
      <c r="Y287" s="79"/>
      <c r="Z287" s="79"/>
    </row>
    <row r="288" spans="1:26" ht="44.15" x14ac:dyDescent="0.15">
      <c r="A288" s="79"/>
      <c r="B288" s="109" t="str">
        <f>+'7. Intervenciones UDT- BH'!D82</f>
        <v xml:space="preserve">Promoción de Bionegocios con productos forestales no maderables </v>
      </c>
      <c r="C288" s="1711"/>
      <c r="D288" s="1711"/>
      <c r="E288" s="88" t="str">
        <f>+'7. Intervenciones UDT- BH'!E82</f>
        <v>Implementación deplanes de negocios, proyectos u otras propuestas innovadoras para ser articuladas con programas de financiamiento, enfocados en la obtención de productos y servicios provenientes del bosque bajo un manejo sostenible de los Recursos Naturales.  Se pueden obtener productos como: miel, aguaje, plantas medicinales, resinas, vainilla, orquídeas, semillas forestales, entre otros. El equipo del Gobierno Regional, debe hacer las gestiones ante los programas para adecuar las bases a la realidad regional, así mismo facilitar el acceso a dichos fondos (nacionales o regionales).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 Los equipos técnicos estarán conformados por profesionales de las Comunidades Nativas, resposables de la ejecución de los planes de negocio u proyecto.</v>
      </c>
      <c r="F288" s="95"/>
      <c r="G288" s="79"/>
      <c r="H288" s="79"/>
      <c r="I288" s="79"/>
      <c r="J288" s="79"/>
      <c r="K288" s="79"/>
      <c r="L288" s="79"/>
      <c r="M288" s="79"/>
      <c r="N288" s="79"/>
      <c r="O288" s="79"/>
      <c r="P288" s="79"/>
      <c r="Q288" s="79"/>
      <c r="R288" s="79"/>
      <c r="S288" s="79"/>
      <c r="T288" s="79"/>
      <c r="U288" s="79"/>
      <c r="V288" s="79"/>
      <c r="W288" s="79"/>
      <c r="X288" s="79"/>
      <c r="Y288" s="79"/>
      <c r="Z288" s="79"/>
    </row>
    <row r="289" spans="1:26" ht="26.5" x14ac:dyDescent="0.15">
      <c r="A289" s="79"/>
      <c r="B289" s="109" t="str">
        <f>+'7. Intervenciones UDT- BH'!D83</f>
        <v>Fortalecimiento de capacidades</v>
      </c>
      <c r="C289" s="1711"/>
      <c r="D289" s="1711"/>
      <c r="E289" s="88" t="str">
        <f>+'7. Intervenciones UDT- BH'!E83</f>
        <v>Capacitaciones a 47 comunidades nativas, a través de la implementación de un programa técnico especializado multinivel (Nivel secundario y técnico universitario) en temas relacionados a la asociatividad, valores y principios organizacionales, género, gestión territorial, gobernanza y promoción de actividades ancestrales. Así mismo la elaboración, actualización e implementación de Planes de Vida de las Comunidades Nativas, instrumento que debe estar vinculado dentro de la planificación multinivel ( gobierno local, Regional y nacional)</v>
      </c>
      <c r="F289" s="95"/>
      <c r="G289" s="79"/>
      <c r="H289" s="79"/>
      <c r="I289" s="79"/>
      <c r="J289" s="79"/>
      <c r="K289" s="79"/>
      <c r="L289" s="79"/>
      <c r="M289" s="79"/>
      <c r="N289" s="79"/>
      <c r="O289" s="79"/>
      <c r="P289" s="79"/>
      <c r="Q289" s="79"/>
      <c r="R289" s="79"/>
      <c r="S289" s="79"/>
      <c r="T289" s="79"/>
      <c r="U289" s="79"/>
      <c r="V289" s="79"/>
      <c r="W289" s="79"/>
      <c r="X289" s="79"/>
      <c r="Y289" s="79"/>
      <c r="Z289" s="79"/>
    </row>
    <row r="290" spans="1:26" ht="50.95" customHeight="1" x14ac:dyDescent="0.15">
      <c r="A290" s="79"/>
      <c r="B290" s="109" t="str">
        <f>+'7. Intervenciones UDT- BH'!D84</f>
        <v>Identificación y apertura de mercado para productos del bosque.</v>
      </c>
      <c r="C290" s="1711"/>
      <c r="D290" s="1711"/>
      <c r="E290" s="88" t="str">
        <f>+'7. Intervenciones UDT- BH'!E84</f>
        <v xml:space="preserve">Promoción de productos del bosque (Bionegocios) resultado de la gestión y aprovechamiento sostenible de los recursos; identificación de nichos de mercados, acompañamiento y asesoramiento en el proceso de comercialización, facilitación de sellos y certificaciones de mercados sostenibles (Marca San Martín Región, Aliados por la conservación) a las comunidades que implementen prácticas amigables de producción y que trabajen de manera organizada.  </v>
      </c>
      <c r="F290" s="95"/>
      <c r="G290" s="79"/>
      <c r="H290" s="79"/>
      <c r="I290" s="79"/>
      <c r="J290" s="79"/>
      <c r="K290" s="79"/>
      <c r="L290" s="79"/>
      <c r="M290" s="79"/>
      <c r="N290" s="79"/>
      <c r="O290" s="79"/>
      <c r="P290" s="79"/>
      <c r="Q290" s="79"/>
      <c r="R290" s="79"/>
      <c r="S290" s="79"/>
      <c r="T290" s="79"/>
      <c r="U290" s="79"/>
      <c r="V290" s="79"/>
      <c r="W290" s="79"/>
      <c r="X290" s="79"/>
      <c r="Y290" s="79"/>
      <c r="Z290" s="79"/>
    </row>
    <row r="291" spans="1:26" ht="26.5" x14ac:dyDescent="0.15">
      <c r="A291" s="79"/>
      <c r="B291" s="109" t="str">
        <f>+'7. Intervenciones UDT- BH'!D85</f>
        <v>Transferencias de incentivos por conservación de bosques</v>
      </c>
      <c r="C291" s="1711"/>
      <c r="D291" s="1711"/>
      <c r="E291" s="88" t="str">
        <f>+'7. Intervenciones UDT- BH'!E85</f>
        <v>Con el soporte del Programa Bosques del MINAM, se promueve la conservación de bosques tropicales a través de incentivos financieros en los territorios de las comunidades nativas con el fin de asegurar el aprovechamiento y conservación sostenible del bosque. El programa actualmente tiene afiliadas a cuatro (04) comunidades que están tituladas. Así mismo el Gobierno regional promoverá el financiamiento para la  implementación de la estrategia RIA de CODEPISAM en el corredor ecológico que une a CCNN de 3 pueblos indígenas.</v>
      </c>
      <c r="F291" s="95"/>
      <c r="G291" s="79"/>
      <c r="H291" s="79"/>
      <c r="I291" s="79"/>
      <c r="J291" s="79"/>
      <c r="K291" s="79"/>
      <c r="L291" s="79"/>
      <c r="M291" s="79"/>
      <c r="N291" s="79"/>
      <c r="O291" s="79"/>
      <c r="P291" s="79"/>
      <c r="Q291" s="79"/>
      <c r="R291" s="79"/>
      <c r="S291" s="79"/>
      <c r="T291" s="79"/>
      <c r="U291" s="79"/>
      <c r="V291" s="79"/>
      <c r="W291" s="79"/>
      <c r="X291" s="79"/>
      <c r="Y291" s="79"/>
      <c r="Z291" s="79"/>
    </row>
    <row r="292" spans="1:26" ht="35.35" x14ac:dyDescent="0.15">
      <c r="A292" s="79"/>
      <c r="B292" s="109" t="str">
        <f>+'7. Intervenciones UDT- BH'!D86</f>
        <v>Infraestructura comunitaria ( Tambos, Cobertizos, almacenes, cocinas mejoradas, Baños)</v>
      </c>
      <c r="C292" s="1711"/>
      <c r="D292" s="1711"/>
      <c r="E292" s="88" t="str">
        <f>+'7. Intervenciones UDT- BH'!E86</f>
        <v xml:space="preserve">Con el soporte del programas nacionales y regionales implementar infraestructura en las comunidades que cumplan con los requisitos establecidos según cada programa, mediante estos programas se podrá implementar: agua y desagüe, energía eléctrica, Paneles, energía fotovoltaica, cocinas mejoradas para reducir el consumo de leña, tambos y cobertizos para que las viviendas estén mejor organizadas, baños saludables y otras infraestructuras que permiten a los pobladores vivir de manera más cómoda y saludable. </v>
      </c>
      <c r="F292" s="95"/>
      <c r="G292" s="79"/>
      <c r="H292" s="79"/>
      <c r="I292" s="79"/>
      <c r="J292" s="79"/>
      <c r="K292" s="79"/>
      <c r="L292" s="79"/>
      <c r="M292" s="79"/>
      <c r="N292" s="79"/>
      <c r="O292" s="79"/>
      <c r="P292" s="79"/>
      <c r="Q292" s="79"/>
      <c r="R292" s="79"/>
      <c r="S292" s="79"/>
      <c r="T292" s="79"/>
      <c r="U292" s="79"/>
      <c r="V292" s="79"/>
      <c r="W292" s="79"/>
      <c r="X292" s="79"/>
      <c r="Y292" s="79"/>
      <c r="Z292" s="79"/>
    </row>
    <row r="293" spans="1:26" ht="17.7" x14ac:dyDescent="0.15">
      <c r="A293" s="79"/>
      <c r="B293" s="109" t="str">
        <f>+'7. Intervenciones UDT- BH'!D87</f>
        <v>Servicios básicos de calidad</v>
      </c>
      <c r="C293" s="1712"/>
      <c r="D293" s="1712"/>
      <c r="E293" s="88" t="str">
        <f>+'7. Intervenciones UDT- BH'!E87</f>
        <v xml:space="preserve">Implementación de proyectos enfocados a mejorar los servicios básicos de las comunidades nativas, dichos servicios deberán contar con profesionales bilingües, para asegurar y garantizar la adecuada transferencia de dichos servicios.  </v>
      </c>
      <c r="F293" s="95"/>
      <c r="G293" s="79"/>
      <c r="H293" s="79"/>
      <c r="I293" s="79"/>
      <c r="J293" s="79"/>
      <c r="K293" s="79"/>
      <c r="L293" s="79"/>
      <c r="M293" s="79"/>
      <c r="N293" s="79"/>
      <c r="O293" s="79"/>
      <c r="P293" s="79"/>
      <c r="Q293" s="79"/>
      <c r="R293" s="79"/>
      <c r="S293" s="79"/>
      <c r="T293" s="79"/>
      <c r="U293" s="79"/>
      <c r="V293" s="79"/>
      <c r="W293" s="79"/>
      <c r="X293" s="79"/>
      <c r="Y293" s="79"/>
      <c r="Z293" s="79"/>
    </row>
    <row r="294" spans="1:26" ht="23.45" customHeight="1" x14ac:dyDescent="0.15">
      <c r="A294" s="79"/>
      <c r="B294" s="79"/>
      <c r="C294" s="94"/>
      <c r="D294" s="95"/>
      <c r="E294" s="87"/>
      <c r="F294" s="95"/>
      <c r="G294" s="79"/>
      <c r="H294" s="79"/>
      <c r="I294" s="79"/>
      <c r="J294" s="79"/>
      <c r="K294" s="79"/>
      <c r="L294" s="79"/>
      <c r="M294" s="79"/>
      <c r="N294" s="79"/>
      <c r="O294" s="79"/>
      <c r="P294" s="79"/>
      <c r="Q294" s="79"/>
      <c r="R294" s="79"/>
      <c r="S294" s="79"/>
      <c r="T294" s="79"/>
      <c r="U294" s="79"/>
      <c r="V294" s="79"/>
      <c r="W294" s="79"/>
      <c r="X294" s="79"/>
      <c r="Y294" s="79"/>
      <c r="Z294" s="79"/>
    </row>
    <row r="295" spans="1:26" ht="23.45" customHeight="1" x14ac:dyDescent="0.15">
      <c r="A295" s="79"/>
      <c r="B295" s="79"/>
      <c r="C295" s="94"/>
      <c r="D295" s="95"/>
      <c r="E295" s="87"/>
      <c r="F295" s="95"/>
      <c r="G295" s="79"/>
      <c r="H295" s="79"/>
      <c r="I295" s="79"/>
      <c r="J295" s="79"/>
      <c r="K295" s="79"/>
      <c r="L295" s="79"/>
      <c r="M295" s="79"/>
      <c r="N295" s="79"/>
      <c r="O295" s="79"/>
      <c r="P295" s="79"/>
      <c r="Q295" s="79"/>
      <c r="R295" s="79"/>
      <c r="S295" s="79"/>
      <c r="T295" s="79"/>
      <c r="U295" s="79"/>
      <c r="V295" s="79"/>
      <c r="W295" s="79"/>
      <c r="X295" s="79"/>
      <c r="Y295" s="79"/>
      <c r="Z295" s="79"/>
    </row>
    <row r="296" spans="1:26" ht="17.7" x14ac:dyDescent="0.15">
      <c r="A296" s="79"/>
      <c r="B296" s="107" t="s">
        <v>2013</v>
      </c>
      <c r="C296" s="101" t="s">
        <v>142</v>
      </c>
      <c r="D296" s="101" t="s">
        <v>1968</v>
      </c>
      <c r="E296" s="107" t="s">
        <v>2014</v>
      </c>
      <c r="F296" s="95"/>
      <c r="G296" s="79"/>
      <c r="H296" s="79"/>
      <c r="I296" s="79"/>
      <c r="J296" s="79"/>
      <c r="K296" s="79"/>
      <c r="L296" s="79"/>
      <c r="M296" s="79"/>
      <c r="N296" s="79"/>
      <c r="O296" s="79"/>
      <c r="P296" s="79"/>
      <c r="Q296" s="79"/>
      <c r="R296" s="79"/>
      <c r="S296" s="79"/>
      <c r="T296" s="79"/>
      <c r="U296" s="79"/>
      <c r="V296" s="79"/>
      <c r="W296" s="79"/>
      <c r="X296" s="79"/>
      <c r="Y296" s="79"/>
      <c r="Z296" s="79"/>
    </row>
    <row r="297" spans="1:26" ht="44.15" x14ac:dyDescent="0.15">
      <c r="A297" s="79"/>
      <c r="B297" s="111" t="str">
        <f>+'7. Intervenciones UDT- BH'!D99</f>
        <v>Incentivos financieros para promoción del ecoturismo y turismo comunitario</v>
      </c>
      <c r="C297" s="1701" t="s">
        <v>1975</v>
      </c>
      <c r="D297" s="1701" t="s">
        <v>2024</v>
      </c>
      <c r="E297" s="127" t="str">
        <f>+'7. Intervenciones UDT- BH'!E99</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297" s="95"/>
      <c r="G297" s="79"/>
      <c r="H297" s="79"/>
      <c r="I297" s="79"/>
      <c r="J297" s="79"/>
      <c r="K297" s="79"/>
      <c r="L297" s="79"/>
      <c r="M297" s="79"/>
      <c r="N297" s="79"/>
      <c r="O297" s="79"/>
      <c r="P297" s="79"/>
      <c r="Q297" s="79"/>
      <c r="R297" s="79"/>
      <c r="S297" s="79"/>
      <c r="T297" s="79"/>
      <c r="U297" s="79"/>
      <c r="V297" s="79"/>
      <c r="W297" s="79"/>
      <c r="X297" s="79"/>
      <c r="Y297" s="79"/>
      <c r="Z297" s="79"/>
    </row>
    <row r="298" spans="1:26" ht="61.85" x14ac:dyDescent="0.15">
      <c r="A298" s="79"/>
      <c r="B298" s="111" t="str">
        <f>+'7. Intervenciones UDT- BH'!D100</f>
        <v>Asistencia técnica para la gestión del turismo y acciones integradas para el desarrollo de las organizaciones  o emprendimientos comunitarios</v>
      </c>
      <c r="C298" s="1368"/>
      <c r="D298" s="1368"/>
      <c r="E298" s="127" t="str">
        <f>+'7. Intervenciones UDT- BH'!E100</f>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
2. Asistencia técnica, orientada al a) Fortalecimiento de la gestión del turismo, b) Consolidación de los productos de turismo y c) Fortalecimiento de la política institucional y la gobernanza del turismo.</v>
      </c>
      <c r="F298" s="95"/>
      <c r="G298" s="79"/>
      <c r="H298" s="79"/>
      <c r="I298" s="79"/>
      <c r="J298" s="79"/>
      <c r="K298" s="79"/>
      <c r="L298" s="79"/>
      <c r="M298" s="79"/>
      <c r="N298" s="79"/>
      <c r="O298" s="79"/>
      <c r="P298" s="79"/>
      <c r="Q298" s="79"/>
      <c r="R298" s="79"/>
      <c r="S298" s="79"/>
      <c r="T298" s="79"/>
      <c r="U298" s="79"/>
      <c r="V298" s="79"/>
      <c r="W298" s="79"/>
      <c r="X298" s="79"/>
      <c r="Y298" s="79"/>
      <c r="Z298" s="79"/>
    </row>
    <row r="299" spans="1:26" ht="35.35" x14ac:dyDescent="0.15">
      <c r="A299" s="79"/>
      <c r="B299" s="111" t="str">
        <f>+'7. Intervenciones UDT- BH'!D101</f>
        <v xml:space="preserve">Promoción de Bionegocios con productos forestales no maderables </v>
      </c>
      <c r="C299" s="1368"/>
      <c r="D299" s="1368"/>
      <c r="E299" s="127" t="str">
        <f>+'7. Intervenciones UDT- BH'!E101</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299" s="95"/>
      <c r="G299" s="79"/>
      <c r="H299" s="79"/>
      <c r="I299" s="79"/>
      <c r="J299" s="79"/>
      <c r="K299" s="79"/>
      <c r="L299" s="79"/>
      <c r="M299" s="79"/>
      <c r="N299" s="79"/>
      <c r="O299" s="79"/>
      <c r="P299" s="79"/>
      <c r="Q299" s="79"/>
      <c r="R299" s="79"/>
      <c r="S299" s="79"/>
      <c r="T299" s="79"/>
      <c r="U299" s="79"/>
      <c r="V299" s="79"/>
      <c r="W299" s="79"/>
      <c r="X299" s="79"/>
      <c r="Y299" s="79"/>
      <c r="Z299" s="79"/>
    </row>
    <row r="300" spans="1:26" ht="26.5" x14ac:dyDescent="0.15">
      <c r="A300" s="79"/>
      <c r="B300" s="111" t="str">
        <f>+'7. Intervenciones UDT- BH'!D102</f>
        <v xml:space="preserve"> Promoción de mercados turísticos</v>
      </c>
      <c r="C300" s="1368"/>
      <c r="D300" s="1368"/>
      <c r="E300" s="127" t="str">
        <f>+'7. Intervenciones UDT- BH'!E102</f>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v>
      </c>
      <c r="F300" s="95"/>
      <c r="G300" s="79"/>
      <c r="H300" s="79"/>
      <c r="I300" s="79"/>
      <c r="J300" s="79"/>
      <c r="K300" s="79"/>
      <c r="L300" s="79"/>
      <c r="M300" s="79"/>
      <c r="N300" s="79"/>
      <c r="O300" s="79"/>
      <c r="P300" s="79"/>
      <c r="Q300" s="79"/>
      <c r="R300" s="79"/>
      <c r="S300" s="79"/>
      <c r="T300" s="79"/>
      <c r="U300" s="79"/>
      <c r="V300" s="79"/>
      <c r="W300" s="79"/>
      <c r="X300" s="79"/>
      <c r="Y300" s="79"/>
      <c r="Z300" s="79"/>
    </row>
    <row r="301" spans="1:26" ht="16.5" customHeight="1" x14ac:dyDescent="0.15">
      <c r="A301" s="79"/>
      <c r="B301" s="79"/>
      <c r="C301" s="94"/>
      <c r="D301" s="95"/>
      <c r="E301" s="87"/>
      <c r="F301" s="95"/>
      <c r="G301" s="79"/>
      <c r="H301" s="79"/>
      <c r="I301" s="79"/>
      <c r="J301" s="79"/>
      <c r="K301" s="79"/>
      <c r="L301" s="79"/>
      <c r="M301" s="79"/>
      <c r="N301" s="79"/>
      <c r="O301" s="79"/>
      <c r="P301" s="79"/>
      <c r="Q301" s="79"/>
      <c r="R301" s="79"/>
      <c r="S301" s="79"/>
      <c r="T301" s="79"/>
      <c r="U301" s="79"/>
      <c r="V301" s="79"/>
      <c r="W301" s="79"/>
      <c r="X301" s="79"/>
      <c r="Y301" s="79"/>
      <c r="Z301" s="79"/>
    </row>
    <row r="302" spans="1:26" ht="16.5" customHeight="1" x14ac:dyDescent="0.15">
      <c r="A302" s="79"/>
      <c r="B302" s="79"/>
      <c r="C302" s="94"/>
      <c r="D302" s="95"/>
      <c r="E302" s="87"/>
      <c r="F302" s="95"/>
      <c r="G302" s="79"/>
      <c r="H302" s="79"/>
      <c r="I302" s="79"/>
      <c r="J302" s="79"/>
      <c r="K302" s="79"/>
      <c r="L302" s="79"/>
      <c r="M302" s="79"/>
      <c r="N302" s="79"/>
      <c r="O302" s="79"/>
      <c r="P302" s="79"/>
      <c r="Q302" s="79"/>
      <c r="R302" s="79"/>
      <c r="S302" s="79"/>
      <c r="T302" s="79"/>
      <c r="U302" s="79"/>
      <c r="V302" s="79"/>
      <c r="W302" s="79"/>
      <c r="X302" s="79"/>
      <c r="Y302" s="79"/>
      <c r="Z302" s="79"/>
    </row>
    <row r="303" spans="1:26" ht="17.7" x14ac:dyDescent="0.15">
      <c r="A303" s="79"/>
      <c r="B303" s="107" t="s">
        <v>2013</v>
      </c>
      <c r="C303" s="101" t="s">
        <v>1969</v>
      </c>
      <c r="D303" s="101" t="s">
        <v>1968</v>
      </c>
      <c r="E303" s="107" t="s">
        <v>2014</v>
      </c>
      <c r="F303" s="95"/>
      <c r="G303" s="79"/>
      <c r="H303" s="79"/>
      <c r="I303" s="79"/>
      <c r="J303" s="79"/>
      <c r="K303" s="79"/>
      <c r="L303" s="79"/>
      <c r="M303" s="79"/>
      <c r="N303" s="79"/>
      <c r="O303" s="79"/>
      <c r="P303" s="79"/>
      <c r="Q303" s="79"/>
      <c r="R303" s="79"/>
      <c r="S303" s="79"/>
      <c r="T303" s="79"/>
      <c r="U303" s="79"/>
      <c r="V303" s="79"/>
      <c r="W303" s="79"/>
      <c r="X303" s="79"/>
      <c r="Y303" s="79"/>
      <c r="Z303" s="79"/>
    </row>
    <row r="304" spans="1:26" ht="17.7" x14ac:dyDescent="0.15">
      <c r="A304" s="79"/>
      <c r="B304" s="109" t="str">
        <f>+'7. Intervenciones UDT- BH'!D115</f>
        <v>Fortalecer el control y vigilancia</v>
      </c>
      <c r="C304" s="1710" t="s">
        <v>1975</v>
      </c>
      <c r="D304" s="1710" t="s">
        <v>135</v>
      </c>
      <c r="E304" s="88" t="str">
        <f>+'7. Intervenciones UDT- BH'!E115</f>
        <v>Implementar con recursos necesarios al ente que administra el área, con la finalidad de aumentar el número de personas (guardaparques) que contribuyan a realizar acciones de control y vigilancia.</v>
      </c>
      <c r="F304" s="95"/>
      <c r="G304" s="79"/>
      <c r="H304" s="79"/>
      <c r="I304" s="79"/>
      <c r="J304" s="79"/>
      <c r="K304" s="79"/>
      <c r="L304" s="79"/>
      <c r="M304" s="79"/>
      <c r="N304" s="79"/>
      <c r="O304" s="79"/>
      <c r="P304" s="79"/>
      <c r="Q304" s="79"/>
      <c r="R304" s="79"/>
      <c r="S304" s="79"/>
      <c r="T304" s="79"/>
      <c r="U304" s="79"/>
      <c r="V304" s="79"/>
      <c r="W304" s="79"/>
      <c r="X304" s="79"/>
      <c r="Y304" s="79"/>
      <c r="Z304" s="79"/>
    </row>
    <row r="305" spans="1:26" ht="35.35" x14ac:dyDescent="0.15">
      <c r="A305" s="79"/>
      <c r="B305" s="109" t="str">
        <f>+'7. Intervenciones UDT- BH'!D116</f>
        <v>Sensibilización para el fortalecimiento del control y vigilancia en zona de amortiguamiento</v>
      </c>
      <c r="C305" s="1711"/>
      <c r="D305" s="1711"/>
      <c r="E305" s="88" t="str">
        <f>+'7. Intervenciones UDT- BH'!E116</f>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v>
      </c>
      <c r="F305" s="95"/>
      <c r="G305" s="79"/>
      <c r="H305" s="79"/>
      <c r="I305" s="79"/>
      <c r="J305" s="79"/>
      <c r="K305" s="79"/>
      <c r="L305" s="79"/>
      <c r="M305" s="79"/>
      <c r="N305" s="79"/>
      <c r="O305" s="79"/>
      <c r="P305" s="79"/>
      <c r="Q305" s="79"/>
      <c r="R305" s="79"/>
      <c r="S305" s="79"/>
      <c r="T305" s="79"/>
      <c r="U305" s="79"/>
      <c r="V305" s="79"/>
      <c r="W305" s="79"/>
      <c r="X305" s="79"/>
      <c r="Y305" s="79"/>
      <c r="Z305" s="79"/>
    </row>
    <row r="306" spans="1:26" ht="79.5" x14ac:dyDescent="0.15">
      <c r="A306" s="79"/>
      <c r="B306" s="109" t="str">
        <f>+'7. Intervenciones UDT- BH'!D117</f>
        <v>Promover la planificación comunal en centros poblados del interior en base a la zonificación y zona de amortiguamiento teniendo como base al Plan Maestro (incluye acuerdos de conservación)</v>
      </c>
      <c r="C306" s="1711"/>
      <c r="D306" s="1711"/>
      <c r="E306" s="88" t="str">
        <f>+'7. Intervenciones UDT- BH'!E117</f>
        <v>Actualización y elaboración de planes de gestión comunal de las localidades acentuadas en las zonas de amortiguamiento con la finalidad de orientar adecuadamente la implementación y ejecución de proyectos.</v>
      </c>
      <c r="F306" s="95"/>
      <c r="G306" s="79"/>
      <c r="H306" s="79"/>
      <c r="I306" s="79"/>
      <c r="J306" s="79"/>
      <c r="K306" s="79"/>
      <c r="L306" s="79"/>
      <c r="M306" s="79"/>
      <c r="N306" s="79"/>
      <c r="O306" s="79"/>
      <c r="P306" s="79"/>
      <c r="Q306" s="79"/>
      <c r="R306" s="79"/>
      <c r="S306" s="79"/>
      <c r="T306" s="79"/>
      <c r="U306" s="79"/>
      <c r="V306" s="79"/>
      <c r="W306" s="79"/>
      <c r="X306" s="79"/>
      <c r="Y306" s="79"/>
      <c r="Z306" s="79"/>
    </row>
    <row r="307" spans="1:26" ht="26.5" x14ac:dyDescent="0.15">
      <c r="A307" s="79"/>
      <c r="B307" s="109" t="str">
        <f>+'7. Intervenciones UDT- BH'!D118</f>
        <v>Promoción y difusión de circuitos turísticos en zona de amortiguamiento</v>
      </c>
      <c r="C307" s="1711"/>
      <c r="D307" s="1711"/>
      <c r="E307" s="88" t="str">
        <f>+'7. Intervenciones UDT- BH'!E118</f>
        <v>Campañas de promoción y difusión en el ámbito regional y nacional de los circuitos turísticos que existen en la zona de amortiguamiento.</v>
      </c>
      <c r="F307" s="95"/>
      <c r="G307" s="79"/>
      <c r="H307" s="79"/>
      <c r="I307" s="79"/>
      <c r="J307" s="79"/>
      <c r="K307" s="79"/>
      <c r="L307" s="79"/>
      <c r="M307" s="79"/>
      <c r="N307" s="79"/>
      <c r="O307" s="79"/>
      <c r="P307" s="79"/>
      <c r="Q307" s="79"/>
      <c r="R307" s="79"/>
      <c r="S307" s="79"/>
      <c r="T307" s="79"/>
      <c r="U307" s="79"/>
      <c r="V307" s="79"/>
      <c r="W307" s="79"/>
      <c r="X307" s="79"/>
      <c r="Y307" s="79"/>
      <c r="Z307" s="79"/>
    </row>
    <row r="308" spans="1:26" ht="35.35" x14ac:dyDescent="0.15">
      <c r="A308" s="79"/>
      <c r="B308" s="109" t="str">
        <f>+'7. Intervenciones UDT- BH'!D119</f>
        <v>Promoción de agroforestería sostenible en zona de amortiguamiento</v>
      </c>
      <c r="C308" s="1711"/>
      <c r="D308" s="1711"/>
      <c r="E308" s="88" t="str">
        <f>+'7. Intervenciones UDT- BH'!E119</f>
        <v>Pasantías regionales con productores con la finalidad de conocer  los diferentes sistemas productivos sostenibles a ser replicados en las comunidades.</v>
      </c>
      <c r="F308" s="95"/>
      <c r="G308" s="79"/>
      <c r="H308" s="79"/>
      <c r="I308" s="79"/>
      <c r="J308" s="79"/>
      <c r="K308" s="79"/>
      <c r="L308" s="79"/>
      <c r="M308" s="79"/>
      <c r="N308" s="79"/>
      <c r="O308" s="79"/>
      <c r="P308" s="79"/>
      <c r="Q308" s="79"/>
      <c r="R308" s="79"/>
      <c r="S308" s="79"/>
      <c r="T308" s="79"/>
      <c r="U308" s="79"/>
      <c r="V308" s="79"/>
      <c r="W308" s="79"/>
      <c r="X308" s="79"/>
      <c r="Y308" s="79"/>
      <c r="Z308" s="79"/>
    </row>
    <row r="309" spans="1:26" ht="26.5" x14ac:dyDescent="0.15">
      <c r="A309" s="79"/>
      <c r="B309" s="109" t="str">
        <f>+'7. Intervenciones UDT- BH'!D121</f>
        <v>Incentivos financieros para promoción del ecoturismo y turismo comunitario</v>
      </c>
      <c r="C309" s="1711"/>
      <c r="D309" s="1711"/>
      <c r="E309" s="88" t="str">
        <f>+'7. Intervenciones UDT- BH'!E121</f>
        <v>Implementación de planes de negocios para el desarrollo de rutas turísticas, turismo vivencial comunitario, y otras modalidades de servicios que sean generadoras de ingresos económicos, respetando el medio ambiente.</v>
      </c>
      <c r="F309" s="95"/>
      <c r="G309" s="79"/>
      <c r="H309" s="79"/>
      <c r="I309" s="79"/>
      <c r="J309" s="79"/>
      <c r="K309" s="79"/>
      <c r="L309" s="79"/>
      <c r="M309" s="79"/>
      <c r="N309" s="79"/>
      <c r="O309" s="79"/>
      <c r="P309" s="79"/>
      <c r="Q309" s="79"/>
      <c r="R309" s="79"/>
      <c r="S309" s="79"/>
      <c r="T309" s="79"/>
      <c r="U309" s="79"/>
      <c r="V309" s="79"/>
      <c r="W309" s="79"/>
      <c r="X309" s="79"/>
      <c r="Y309" s="79"/>
      <c r="Z309" s="79"/>
    </row>
    <row r="310" spans="1:26" ht="35.35" x14ac:dyDescent="0.15">
      <c r="A310" s="79"/>
      <c r="B310" s="109" t="str">
        <f>+'7. Intervenciones UDT- BH'!D122</f>
        <v>Asistencia técnica para el desarrollo agroforestal diseñados e implementados</v>
      </c>
      <c r="C310" s="1711"/>
      <c r="D310" s="1711"/>
      <c r="E310" s="88" t="str">
        <f>+'7. Intervenciones UDT- BH'!E122</f>
        <v>Capacitaciones a CCNN y productores acentuados, para el uso y aprovechamiento adecuado de las áreas posicionadas , se podrán desarrollar temas como: Manejo integrado de los cultivos acorde a la etapa fisiológica del cultivo o plantaciones forestales, promoviendo el incremento de la productividad, la no expansión de la frontera agrícola, manejo integrado de plagas y enfermedades, pasantías tecnológicas regionales, nacionales; así mismo la promoción del cuidado del medio ambiente a través de la instalación de Sistemas Agroforestales, restauración de paisajes y recuperación de áreas degradadas.</v>
      </c>
      <c r="F310" s="95"/>
      <c r="G310" s="79"/>
      <c r="H310" s="79"/>
      <c r="I310" s="79"/>
      <c r="J310" s="79"/>
      <c r="K310" s="79"/>
      <c r="L310" s="79"/>
      <c r="M310" s="79"/>
      <c r="N310" s="79"/>
      <c r="O310" s="79"/>
      <c r="P310" s="79"/>
      <c r="Q310" s="79"/>
      <c r="R310" s="79"/>
      <c r="S310" s="79"/>
      <c r="T310" s="79"/>
      <c r="U310" s="79"/>
      <c r="V310" s="79"/>
      <c r="W310" s="79"/>
      <c r="X310" s="79"/>
      <c r="Y310" s="79"/>
      <c r="Z310" s="79"/>
    </row>
    <row r="311" spans="1:26" ht="26.5" x14ac:dyDescent="0.15">
      <c r="A311" s="79"/>
      <c r="B311" s="109" t="str">
        <f>+'7. Intervenciones UDT- BH'!D120</f>
        <v>Recuperación de la red hídrica en la zona de influencia de la ACR</v>
      </c>
      <c r="C311" s="1712"/>
      <c r="D311" s="1712"/>
      <c r="E311" s="88" t="str">
        <f>+'7. Intervenciones UDT- BH'!E120</f>
        <v>Ejecución de expediente técnico y estudios complementarios, así como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v>
      </c>
      <c r="F311" s="95"/>
      <c r="G311" s="79"/>
      <c r="H311" s="79"/>
      <c r="I311" s="79"/>
      <c r="J311" s="79"/>
      <c r="K311" s="79"/>
      <c r="L311" s="79"/>
      <c r="M311" s="79"/>
      <c r="N311" s="79"/>
      <c r="O311" s="79"/>
      <c r="P311" s="79"/>
      <c r="Q311" s="79"/>
      <c r="R311" s="79"/>
      <c r="S311" s="79"/>
      <c r="T311" s="79"/>
      <c r="U311" s="79"/>
      <c r="V311" s="79"/>
      <c r="W311" s="79"/>
      <c r="X311" s="79"/>
      <c r="Y311" s="79"/>
      <c r="Z311" s="79"/>
    </row>
    <row r="312" spans="1:26" ht="16.5" customHeight="1" x14ac:dyDescent="0.15">
      <c r="A312" s="79"/>
      <c r="B312" s="79"/>
      <c r="C312" s="94"/>
      <c r="D312" s="95"/>
      <c r="E312" s="87"/>
      <c r="F312" s="95"/>
      <c r="G312" s="79"/>
      <c r="H312" s="79"/>
      <c r="I312" s="79"/>
      <c r="J312" s="79"/>
      <c r="K312" s="79"/>
      <c r="L312" s="79"/>
      <c r="M312" s="79"/>
      <c r="N312" s="79"/>
      <c r="O312" s="79"/>
      <c r="P312" s="79"/>
      <c r="Q312" s="79"/>
      <c r="R312" s="79"/>
      <c r="S312" s="79"/>
      <c r="T312" s="79"/>
      <c r="U312" s="79"/>
      <c r="V312" s="79"/>
      <c r="W312" s="79"/>
      <c r="X312" s="79"/>
      <c r="Y312" s="79"/>
      <c r="Z312" s="79"/>
    </row>
    <row r="313" spans="1:26" ht="16.5" customHeight="1" x14ac:dyDescent="0.15">
      <c r="A313" s="79"/>
      <c r="B313" s="79"/>
      <c r="C313" s="94"/>
      <c r="D313" s="95"/>
      <c r="E313" s="87"/>
      <c r="F313" s="95"/>
      <c r="G313" s="79"/>
      <c r="H313" s="79"/>
      <c r="I313" s="79"/>
      <c r="J313" s="79"/>
      <c r="K313" s="79"/>
      <c r="L313" s="79"/>
      <c r="M313" s="79"/>
      <c r="N313" s="79"/>
      <c r="O313" s="79"/>
      <c r="P313" s="79"/>
      <c r="Q313" s="79"/>
      <c r="R313" s="79"/>
      <c r="S313" s="79"/>
      <c r="T313" s="79"/>
      <c r="U313" s="79"/>
      <c r="V313" s="79"/>
      <c r="W313" s="79"/>
      <c r="X313" s="79"/>
      <c r="Y313" s="79"/>
      <c r="Z313" s="79"/>
    </row>
    <row r="314" spans="1:26" ht="17.7" x14ac:dyDescent="0.15">
      <c r="A314" s="79"/>
      <c r="B314" s="107" t="s">
        <v>2013</v>
      </c>
      <c r="C314" s="101" t="s">
        <v>1969</v>
      </c>
      <c r="D314" s="101" t="s">
        <v>1968</v>
      </c>
      <c r="E314" s="107" t="s">
        <v>2014</v>
      </c>
      <c r="F314" s="95"/>
      <c r="G314" s="79"/>
      <c r="H314" s="79"/>
      <c r="I314" s="79"/>
      <c r="J314" s="79"/>
      <c r="K314" s="79"/>
      <c r="L314" s="79"/>
      <c r="M314" s="79"/>
      <c r="N314" s="79"/>
      <c r="O314" s="79"/>
      <c r="P314" s="79"/>
      <c r="Q314" s="79"/>
      <c r="R314" s="79"/>
      <c r="S314" s="79"/>
      <c r="T314" s="79"/>
      <c r="U314" s="79"/>
      <c r="V314" s="79"/>
      <c r="W314" s="79"/>
      <c r="X314" s="79"/>
      <c r="Y314" s="79"/>
      <c r="Z314" s="79"/>
    </row>
    <row r="315" spans="1:26" ht="36.700000000000003" customHeight="1" x14ac:dyDescent="0.15">
      <c r="A315" s="79"/>
      <c r="B315" s="109" t="str">
        <f>+'7. Intervenciones UDT- BH'!D134</f>
        <v>Adecuación de ZoCRE a unidad de ordenamiento forestal y/o titulo habilitante forestal y de fauna silvestre de acuerdo a LFFS (Ley No 29763)</v>
      </c>
      <c r="C315" s="1710" t="s">
        <v>1975</v>
      </c>
      <c r="D315" s="1713" t="s">
        <v>127</v>
      </c>
      <c r="E315" s="88" t="str">
        <f>+'7. Intervenciones UDT- BH'!E134</f>
        <v xml:space="preserve">Analisis de la ZoCRE Cocha Paichiu Atuncocha Papacocha Cuenca Yuracyacu, en marco a la zonificación forestal del departamento San Martín, elaboración de expediente técnico e informe legal, remisión de propuesta a SERFOR (en caso requiera), aprobación de resolución, otorgamiento de titulo habilitante </v>
      </c>
      <c r="F315" s="95"/>
      <c r="G315" s="79"/>
      <c r="H315" s="79"/>
      <c r="I315" s="79"/>
      <c r="J315" s="79"/>
      <c r="K315" s="79"/>
      <c r="L315" s="79"/>
      <c r="M315" s="79"/>
      <c r="N315" s="79"/>
      <c r="O315" s="79"/>
      <c r="P315" s="79"/>
      <c r="Q315" s="79"/>
      <c r="R315" s="79"/>
      <c r="S315" s="79"/>
      <c r="T315" s="79"/>
      <c r="U315" s="79"/>
      <c r="V315" s="79"/>
      <c r="W315" s="79"/>
      <c r="X315" s="79"/>
      <c r="Y315" s="79"/>
      <c r="Z315" s="79"/>
    </row>
    <row r="316" spans="1:26" ht="46.55" customHeight="1" x14ac:dyDescent="0.15">
      <c r="A316" s="79"/>
      <c r="B316" s="109" t="str">
        <f>+'7. Intervenciones UDT- BH'!D135</f>
        <v>Fortalecimiento de capacidades de los responsables de la administración de las nuevas categorías de ordenamiento forestal y títulos habilitantes forestales</v>
      </c>
      <c r="C316" s="1711"/>
      <c r="D316" s="1711"/>
      <c r="E316" s="88" t="str">
        <f>+'7. Intervenciones UDT- BH'!E135</f>
        <v>Comprende la capacitación en manejo de normatividad forestal y manejo de bosques, contratación de especialistas para tener presencia física en el área, equipamiento e infraestructura.</v>
      </c>
      <c r="F316" s="95"/>
      <c r="G316" s="79"/>
      <c r="H316" s="79"/>
      <c r="I316" s="79"/>
      <c r="J316" s="79"/>
      <c r="K316" s="79"/>
      <c r="L316" s="79"/>
      <c r="M316" s="79"/>
      <c r="N316" s="79"/>
      <c r="O316" s="79"/>
      <c r="P316" s="79"/>
      <c r="Q316" s="79"/>
      <c r="R316" s="79"/>
      <c r="S316" s="79"/>
      <c r="T316" s="79"/>
      <c r="U316" s="79"/>
      <c r="V316" s="79"/>
      <c r="W316" s="79"/>
      <c r="X316" s="79"/>
      <c r="Y316" s="79"/>
      <c r="Z316" s="79"/>
    </row>
    <row r="317" spans="1:26" ht="61.85" x14ac:dyDescent="0.15">
      <c r="A317" s="79"/>
      <c r="B317" s="109" t="str">
        <f>+'7. Intervenciones UDT- BH'!D136</f>
        <v>Elaboración del plan/declaración de manejo de las nuevas categorías de ordenamiento forestal y títulos habilitantes forestales</v>
      </c>
      <c r="C317" s="1712"/>
      <c r="D317" s="1712"/>
      <c r="E317" s="88" t="str">
        <f>+'7. Intervenciones UDT- BH'!E136</f>
        <v>Dependiendo de la categoría forestal a ser aplicada, se realizará un plan/declaración acorde la unidad, en el marco de la ley forestal y fauna silvestre N° 29763.</v>
      </c>
      <c r="F317" s="95"/>
      <c r="G317" s="79"/>
      <c r="H317" s="79"/>
      <c r="I317" s="79"/>
      <c r="J317" s="79"/>
      <c r="K317" s="79"/>
      <c r="L317" s="79"/>
      <c r="M317" s="79"/>
      <c r="N317" s="79"/>
      <c r="O317" s="79"/>
      <c r="P317" s="79"/>
      <c r="Q317" s="79"/>
      <c r="R317" s="79"/>
      <c r="S317" s="79"/>
      <c r="T317" s="79"/>
      <c r="U317" s="79"/>
      <c r="V317" s="79"/>
      <c r="W317" s="79"/>
      <c r="X317" s="79"/>
      <c r="Y317" s="79"/>
      <c r="Z317" s="79"/>
    </row>
    <row r="318" spans="1:26" ht="16" customHeight="1" x14ac:dyDescent="0.15">
      <c r="A318" s="79"/>
      <c r="B318" s="79"/>
      <c r="C318" s="94"/>
      <c r="D318" s="95"/>
      <c r="E318" s="87"/>
      <c r="F318" s="95"/>
      <c r="G318" s="79"/>
      <c r="H318" s="79"/>
      <c r="I318" s="79"/>
      <c r="J318" s="79"/>
      <c r="K318" s="79"/>
      <c r="L318" s="79"/>
      <c r="M318" s="79"/>
      <c r="N318" s="79"/>
      <c r="O318" s="79"/>
      <c r="P318" s="79"/>
      <c r="Q318" s="79"/>
      <c r="R318" s="79"/>
      <c r="S318" s="79"/>
      <c r="T318" s="79"/>
      <c r="U318" s="79"/>
      <c r="V318" s="79"/>
      <c r="W318" s="79"/>
      <c r="X318" s="79"/>
      <c r="Y318" s="79"/>
      <c r="Z318" s="79"/>
    </row>
    <row r="319" spans="1:26" ht="18" customHeight="1" x14ac:dyDescent="0.15">
      <c r="A319" s="79"/>
      <c r="B319" s="107" t="s">
        <v>2013</v>
      </c>
      <c r="C319" s="101" t="s">
        <v>1969</v>
      </c>
      <c r="D319" s="101" t="s">
        <v>1968</v>
      </c>
      <c r="E319" s="107" t="s">
        <v>2014</v>
      </c>
      <c r="F319" s="95"/>
      <c r="G319" s="79"/>
      <c r="H319" s="79"/>
      <c r="I319" s="79"/>
      <c r="J319" s="79"/>
      <c r="K319" s="79"/>
      <c r="L319" s="79"/>
      <c r="M319" s="79"/>
      <c r="N319" s="79"/>
      <c r="O319" s="79"/>
      <c r="P319" s="79"/>
      <c r="Q319" s="79"/>
      <c r="R319" s="79"/>
      <c r="S319" s="79"/>
      <c r="T319" s="79"/>
      <c r="U319" s="79"/>
      <c r="V319" s="79"/>
      <c r="W319" s="79"/>
      <c r="X319" s="79"/>
      <c r="Y319" s="79"/>
      <c r="Z319" s="79"/>
    </row>
    <row r="320" spans="1:26" ht="59.95" customHeight="1" x14ac:dyDescent="0.15">
      <c r="A320" s="79"/>
      <c r="B320" s="260" t="str">
        <f>+'7. Intervenciones UDT- BH'!D149</f>
        <v>Creación y establecimiento de unidades de ordenamiento forestal, otorgamiento de títulos habilitantes forestales y tenencia de la tierra</v>
      </c>
      <c r="C320" s="1701" t="s">
        <v>1975</v>
      </c>
      <c r="D320" s="1701" t="s">
        <v>2018</v>
      </c>
      <c r="E320" s="360" t="str">
        <f>+'7. Intervenciones UDT- BH'!E149</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F320" s="95"/>
      <c r="G320" s="79"/>
      <c r="H320" s="79"/>
      <c r="I320" s="79"/>
      <c r="J320" s="79"/>
      <c r="K320" s="79"/>
      <c r="L320" s="79"/>
      <c r="M320" s="79"/>
      <c r="N320" s="79"/>
      <c r="O320" s="79"/>
      <c r="P320" s="79"/>
      <c r="Q320" s="79"/>
      <c r="R320" s="79"/>
      <c r="S320" s="79"/>
      <c r="T320" s="79"/>
      <c r="U320" s="79"/>
      <c r="V320" s="79"/>
      <c r="W320" s="79"/>
      <c r="X320" s="79"/>
      <c r="Y320" s="79"/>
      <c r="Z320" s="79"/>
    </row>
    <row r="321" spans="1:26" ht="78.8" customHeight="1" x14ac:dyDescent="0.15">
      <c r="A321" s="79"/>
      <c r="B321" s="260" t="str">
        <f>+'7. Intervenciones UDT- BH'!D150</f>
        <v>Fortalecimiento de capacidades de los responsables de la administración de las nuevas categorías de ordenamiento forestal y títulos habilitantes forestales</v>
      </c>
      <c r="C321" s="1701"/>
      <c r="D321" s="1701"/>
      <c r="E321" s="360" t="str">
        <f>+'7. Intervenciones UDT- BH'!E150</f>
        <v>Comprende la capacitación en manejo de normatividad forestal y manejo de bosques, contratación de especialistas para tener presencia física en el área, equipamiento e infraestructura.</v>
      </c>
      <c r="F321" s="95"/>
      <c r="G321" s="79"/>
      <c r="H321" s="79"/>
      <c r="I321" s="79"/>
      <c r="J321" s="79"/>
      <c r="K321" s="79"/>
      <c r="L321" s="79"/>
      <c r="M321" s="79"/>
      <c r="N321" s="79"/>
      <c r="O321" s="79"/>
      <c r="P321" s="79"/>
      <c r="Q321" s="79"/>
      <c r="R321" s="79"/>
      <c r="S321" s="79"/>
      <c r="T321" s="79"/>
      <c r="U321" s="79"/>
      <c r="V321" s="79"/>
      <c r="W321" s="79"/>
      <c r="X321" s="79"/>
      <c r="Y321" s="79"/>
      <c r="Z321" s="79"/>
    </row>
    <row r="322" spans="1:26" ht="66.099999999999994" customHeight="1" x14ac:dyDescent="0.15">
      <c r="A322" s="79"/>
      <c r="B322" s="260" t="str">
        <f>+'7. Intervenciones UDT- BH'!D151</f>
        <v>Elaboración del plan/declaración de manejo de las nuevas categorías de ordenamiento forestal y títulos habilitantes forestales</v>
      </c>
      <c r="C322" s="1701"/>
      <c r="D322" s="1701"/>
      <c r="E322" s="360" t="str">
        <f>+'7. Intervenciones UDT- BH'!E151</f>
        <v>Dependiendo de la categoría forestal a ser aplicada, se realizará un plan/declaración acorde a la unidad, en el marco de la ley forestal y fauna silvestre N° 29763.</v>
      </c>
      <c r="F322" s="95"/>
      <c r="G322" s="79"/>
      <c r="H322" s="79"/>
      <c r="I322" s="79"/>
      <c r="J322" s="79"/>
      <c r="K322" s="79"/>
      <c r="L322" s="79"/>
      <c r="M322" s="79"/>
      <c r="N322" s="79"/>
      <c r="O322" s="79"/>
      <c r="P322" s="79"/>
      <c r="Q322" s="79"/>
      <c r="R322" s="79"/>
      <c r="S322" s="79"/>
      <c r="T322" s="79"/>
      <c r="U322" s="79"/>
      <c r="V322" s="79"/>
      <c r="W322" s="79"/>
      <c r="X322" s="79"/>
      <c r="Y322" s="79"/>
      <c r="Z322" s="79"/>
    </row>
    <row r="323" spans="1:26" ht="43.5" customHeight="1" x14ac:dyDescent="0.15">
      <c r="A323" s="79"/>
      <c r="B323" s="260" t="str">
        <f>+'7. Intervenciones UDT- BH'!D152</f>
        <v>Inscripción en el catastro forestal y en registros públicos</v>
      </c>
      <c r="C323" s="1701"/>
      <c r="D323" s="1701"/>
      <c r="E323" s="360" t="str">
        <f>+'7. Intervenciones UDT- BH'!E152</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323" s="95"/>
      <c r="G323" s="79"/>
      <c r="H323" s="79"/>
      <c r="I323" s="79"/>
      <c r="J323" s="79"/>
      <c r="K323" s="79"/>
      <c r="L323" s="79"/>
      <c r="M323" s="79"/>
      <c r="N323" s="79"/>
      <c r="O323" s="79"/>
      <c r="P323" s="79"/>
      <c r="Q323" s="79"/>
      <c r="R323" s="79"/>
      <c r="S323" s="79"/>
      <c r="T323" s="79"/>
      <c r="U323" s="79"/>
      <c r="V323" s="79"/>
      <c r="W323" s="79"/>
      <c r="X323" s="79"/>
      <c r="Y323" s="79"/>
      <c r="Z323" s="79"/>
    </row>
    <row r="324" spans="1:26" ht="29.25" customHeight="1" x14ac:dyDescent="0.15">
      <c r="A324" s="79"/>
      <c r="B324" s="126" t="str">
        <f>+'7. Intervenciones UDT- BH'!D153</f>
        <v>Restauración de áreas degradadas</v>
      </c>
      <c r="C324" s="1701"/>
      <c r="D324" s="1701"/>
      <c r="E324" s="360" t="str">
        <f>+'7. Intervenciones UDT- BH'!E153</f>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v>
      </c>
      <c r="F324" s="95"/>
      <c r="G324" s="79"/>
      <c r="H324" s="79"/>
      <c r="I324" s="79"/>
      <c r="J324" s="79"/>
      <c r="K324" s="79"/>
      <c r="L324" s="79"/>
      <c r="M324" s="79"/>
      <c r="N324" s="79"/>
      <c r="O324" s="79"/>
      <c r="P324" s="79"/>
      <c r="Q324" s="79"/>
      <c r="R324" s="79"/>
      <c r="S324" s="79"/>
      <c r="T324" s="79"/>
      <c r="U324" s="79"/>
      <c r="V324" s="79"/>
      <c r="W324" s="79"/>
      <c r="X324" s="79"/>
      <c r="Y324" s="79"/>
      <c r="Z324" s="79"/>
    </row>
    <row r="325" spans="1:26" ht="16" customHeight="1" x14ac:dyDescent="0.15">
      <c r="A325" s="79"/>
      <c r="B325" s="79"/>
      <c r="C325" s="94"/>
      <c r="D325" s="95"/>
      <c r="E325" s="87"/>
      <c r="F325" s="95"/>
      <c r="G325" s="79"/>
      <c r="H325" s="79"/>
      <c r="I325" s="79"/>
      <c r="J325" s="79"/>
      <c r="K325" s="79"/>
      <c r="L325" s="79"/>
      <c r="M325" s="79"/>
      <c r="N325" s="79"/>
      <c r="O325" s="79"/>
      <c r="P325" s="79"/>
      <c r="Q325" s="79"/>
      <c r="R325" s="79"/>
      <c r="S325" s="79"/>
      <c r="T325" s="79"/>
      <c r="U325" s="79"/>
      <c r="V325" s="79"/>
      <c r="W325" s="79"/>
      <c r="X325" s="79"/>
      <c r="Y325" s="79"/>
      <c r="Z325" s="79"/>
    </row>
    <row r="326" spans="1:26" ht="17.7" x14ac:dyDescent="0.15">
      <c r="A326" s="79"/>
      <c r="B326" s="107" t="s">
        <v>2013</v>
      </c>
      <c r="C326" s="101" t="s">
        <v>142</v>
      </c>
      <c r="D326" s="101" t="s">
        <v>1968</v>
      </c>
      <c r="E326" s="107" t="s">
        <v>2014</v>
      </c>
      <c r="F326" s="95"/>
      <c r="G326" s="79"/>
      <c r="H326" s="79"/>
      <c r="I326" s="79"/>
      <c r="J326" s="79"/>
      <c r="K326" s="79"/>
      <c r="L326" s="79"/>
      <c r="M326" s="79"/>
      <c r="N326" s="79"/>
      <c r="O326" s="79"/>
      <c r="P326" s="79"/>
      <c r="Q326" s="79"/>
      <c r="R326" s="79"/>
      <c r="S326" s="79"/>
      <c r="T326" s="79"/>
      <c r="U326" s="79"/>
      <c r="V326" s="79"/>
      <c r="W326" s="79"/>
      <c r="X326" s="79"/>
      <c r="Y326" s="79"/>
      <c r="Z326" s="79"/>
    </row>
    <row r="327" spans="1:26" ht="55.55" customHeight="1" x14ac:dyDescent="0.15">
      <c r="A327" s="79"/>
      <c r="B327" s="358" t="str">
        <f>+'7. Intervenciones UDT- BH'!D160</f>
        <v>Acuerdos con rondas campesinas y rondas nativas para cumplimiento de compromisos de no deforestación y tráfico de tierras e invasiones</v>
      </c>
      <c r="C327" s="1701" t="s">
        <v>1975</v>
      </c>
      <c r="D327" s="1701" t="s">
        <v>2020</v>
      </c>
      <c r="E327" s="124" t="str">
        <f>+'7. Intervenciones UDT- BH'!E160</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F327" s="95"/>
      <c r="G327" s="79"/>
      <c r="H327" s="79"/>
      <c r="I327" s="79"/>
      <c r="J327" s="79"/>
      <c r="K327" s="79"/>
      <c r="L327" s="79"/>
      <c r="M327" s="79"/>
      <c r="N327" s="79"/>
      <c r="O327" s="79"/>
      <c r="P327" s="79"/>
      <c r="Q327" s="79"/>
      <c r="R327" s="79"/>
      <c r="S327" s="79"/>
      <c r="T327" s="79"/>
      <c r="U327" s="79"/>
      <c r="V327" s="79"/>
      <c r="W327" s="79"/>
      <c r="X327" s="79"/>
      <c r="Y327" s="79"/>
      <c r="Z327" s="79"/>
    </row>
    <row r="328" spans="1:26" ht="50.95" customHeight="1" x14ac:dyDescent="0.15">
      <c r="A328" s="79"/>
      <c r="B328" s="358" t="str">
        <f>+'7. Intervenciones UDT- BH'!D161</f>
        <v>Mejoramiento de vías de acceso</v>
      </c>
      <c r="C328" s="1701"/>
      <c r="D328" s="1701"/>
      <c r="E328" s="124" t="str">
        <f>+'7. Intervenciones UDT- BH'!E161</f>
        <v>Existe una brecha de 328 Km de vías de acceso que faltan mejorar, con un criterio de accesibilidad baja; deben ser priorizadas de acuerdo a cercanía de centros de producción, los mejoramientos previstos deberán estar acorde al medio ambiente, tratando en afectar en lo mas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 Se tomará en cuenta solicitar los permisos pertinentes a las autoridades competentes para no afectar los territorios indígenas, asegurando la soberanía jurídica de los mismos y visibilizando la existencia de las 3 etnias en todo el ámbito del departamento.</v>
      </c>
      <c r="F328" s="95"/>
      <c r="G328" s="79"/>
      <c r="H328" s="79"/>
      <c r="I328" s="79"/>
      <c r="J328" s="79"/>
      <c r="K328" s="79"/>
      <c r="L328" s="79"/>
      <c r="M328" s="79"/>
      <c r="N328" s="79"/>
      <c r="O328" s="79"/>
      <c r="P328" s="79"/>
      <c r="Q328" s="79"/>
      <c r="R328" s="79"/>
      <c r="S328" s="79"/>
      <c r="T328" s="79"/>
      <c r="U328" s="79"/>
      <c r="V328" s="79"/>
      <c r="W328" s="79"/>
      <c r="X328" s="79"/>
      <c r="Y328" s="79"/>
      <c r="Z328" s="79"/>
    </row>
    <row r="329" spans="1:26" ht="35.35" x14ac:dyDescent="0.15">
      <c r="A329" s="79"/>
      <c r="B329" s="358" t="str">
        <f>+'7. Intervenciones UDT- BH'!D163</f>
        <v>Mejor cobertura y calidad de servicios de educación y salud</v>
      </c>
      <c r="C329" s="1701"/>
      <c r="D329" s="1701"/>
      <c r="E329" s="124" t="str">
        <f>+'7. Intervenciones UDT- BH'!E163</f>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7 distritos (Barranquita, Caynarachi, Chazuta, Chipurana, El Porvenir, Huimbayoc y Papaplaya)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v>
      </c>
      <c r="F329" s="95"/>
      <c r="G329" s="79"/>
      <c r="H329" s="79"/>
      <c r="I329" s="79"/>
      <c r="J329" s="79"/>
      <c r="K329" s="79"/>
      <c r="L329" s="79"/>
      <c r="M329" s="79"/>
      <c r="N329" s="79"/>
      <c r="O329" s="79"/>
      <c r="P329" s="79"/>
      <c r="Q329" s="79"/>
      <c r="R329" s="79"/>
      <c r="S329" s="79"/>
      <c r="T329" s="79"/>
      <c r="U329" s="79"/>
      <c r="V329" s="79"/>
      <c r="W329" s="79"/>
      <c r="X329" s="79"/>
      <c r="Y329" s="79"/>
      <c r="Z329" s="79"/>
    </row>
    <row r="330" spans="1:26" ht="26.5" x14ac:dyDescent="0.15">
      <c r="A330" s="79"/>
      <c r="B330" s="358" t="str">
        <f>+'7. Intervenciones UDT- BH'!D164</f>
        <v>Programa de servicios públicos móviles</v>
      </c>
      <c r="C330" s="1701"/>
      <c r="D330" s="1701"/>
      <c r="E330" s="124" t="str">
        <f>+'7. Intervenciones UDT- BH'!E164</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v>
      </c>
      <c r="F330" s="95"/>
      <c r="G330" s="79"/>
      <c r="H330" s="79"/>
      <c r="I330" s="79"/>
      <c r="J330" s="79"/>
      <c r="K330" s="79"/>
      <c r="L330" s="79"/>
      <c r="M330" s="79"/>
      <c r="N330" s="79"/>
      <c r="O330" s="79"/>
      <c r="P330" s="79"/>
      <c r="Q330" s="79"/>
      <c r="R330" s="79"/>
      <c r="S330" s="79"/>
      <c r="T330" s="79"/>
      <c r="U330" s="79"/>
      <c r="V330" s="79"/>
      <c r="W330" s="79"/>
      <c r="X330" s="79"/>
      <c r="Y330" s="79"/>
      <c r="Z330" s="79"/>
    </row>
    <row r="331" spans="1:26" ht="26.5" x14ac:dyDescent="0.15">
      <c r="A331" s="79"/>
      <c r="B331" s="358" t="str">
        <f>+'7. Intervenciones UDT- BH'!D165</f>
        <v xml:space="preserve">Promoción Marca "San Martín Región" y "Aliados por la Conservación" </v>
      </c>
      <c r="C331" s="1701"/>
      <c r="D331" s="1701"/>
      <c r="E331" s="124" t="str">
        <f>+'7. Intervenciones UDT- BH'!E165</f>
        <v>Promoción al acceso de la marca con los productores que cumplan los criterios de elegibilidad solicitados por el programa, como una estrategia de ubicar mercados diferenciados para los productos provenientes de estas zonas.</v>
      </c>
      <c r="F331" s="95"/>
      <c r="G331" s="79"/>
      <c r="H331" s="79"/>
      <c r="I331" s="79"/>
      <c r="J331" s="79"/>
      <c r="K331" s="79"/>
      <c r="L331" s="79"/>
      <c r="M331" s="79"/>
      <c r="N331" s="79"/>
      <c r="O331" s="79"/>
      <c r="P331" s="79"/>
      <c r="Q331" s="79"/>
      <c r="R331" s="79"/>
      <c r="S331" s="79"/>
      <c r="T331" s="79"/>
      <c r="U331" s="79"/>
      <c r="V331" s="79"/>
      <c r="W331" s="79"/>
      <c r="X331" s="79"/>
      <c r="Y331" s="79"/>
      <c r="Z331" s="79"/>
    </row>
    <row r="332" spans="1:26" ht="17.7" x14ac:dyDescent="0.15">
      <c r="A332" s="79"/>
      <c r="B332" s="358" t="str">
        <f>+'7. Intervenciones UDT- BH'!D162</f>
        <v>Restauración ecológica del paisaje</v>
      </c>
      <c r="C332" s="1701"/>
      <c r="D332" s="1701"/>
      <c r="E332" s="124" t="str">
        <f>+'7. Intervenciones UDT- BH'!E162</f>
        <v>Ejecución de proyectos de restauración dentro de las áreas con prioridad alta. La GRDE, el ARA y los proyectos especiales a través de sus diferentes direcciones de línea, deberán implementar esta actividad a través de los PIP y actividades propias de las direcciones.</v>
      </c>
      <c r="F332" s="95"/>
      <c r="G332" s="79"/>
      <c r="H332" s="79"/>
      <c r="I332" s="79"/>
      <c r="J332" s="79"/>
      <c r="K332" s="79"/>
      <c r="L332" s="79"/>
      <c r="M332" s="79"/>
      <c r="N332" s="79"/>
      <c r="O332" s="79"/>
      <c r="P332" s="79"/>
      <c r="Q332" s="79"/>
      <c r="R332" s="79"/>
      <c r="S332" s="79"/>
      <c r="T332" s="79"/>
      <c r="U332" s="79"/>
      <c r="V332" s="79"/>
      <c r="W332" s="79"/>
      <c r="X332" s="79"/>
      <c r="Y332" s="79"/>
      <c r="Z332" s="79"/>
    </row>
    <row r="333" spans="1:26" ht="22.6" customHeight="1" x14ac:dyDescent="0.15">
      <c r="A333" s="79"/>
      <c r="B333" s="79"/>
      <c r="C333" s="94"/>
      <c r="D333" s="95"/>
      <c r="E333" s="87"/>
      <c r="F333" s="95"/>
      <c r="G333" s="79"/>
      <c r="H333" s="79"/>
      <c r="I333" s="79"/>
      <c r="J333" s="79"/>
      <c r="K333" s="79"/>
      <c r="L333" s="79"/>
      <c r="M333" s="79"/>
      <c r="N333" s="79"/>
      <c r="O333" s="79"/>
      <c r="P333" s="79"/>
      <c r="Q333" s="79"/>
      <c r="R333" s="79"/>
      <c r="S333" s="79"/>
      <c r="T333" s="79"/>
      <c r="U333" s="79"/>
      <c r="V333" s="79"/>
      <c r="W333" s="79"/>
      <c r="X333" s="79"/>
      <c r="Y333" s="79"/>
      <c r="Z333" s="79"/>
    </row>
    <row r="334" spans="1:26" ht="22.6" customHeight="1" x14ac:dyDescent="0.15">
      <c r="A334" s="79"/>
      <c r="B334" s="79"/>
      <c r="C334" s="94"/>
      <c r="D334" s="95"/>
      <c r="E334" s="87"/>
      <c r="F334" s="95"/>
      <c r="G334" s="79"/>
      <c r="H334" s="79"/>
      <c r="I334" s="79"/>
      <c r="J334" s="79"/>
      <c r="K334" s="79"/>
      <c r="L334" s="79"/>
      <c r="M334" s="79"/>
      <c r="N334" s="79"/>
      <c r="O334" s="79"/>
      <c r="P334" s="79"/>
      <c r="Q334" s="79"/>
      <c r="R334" s="79"/>
      <c r="S334" s="79"/>
      <c r="T334" s="79"/>
      <c r="U334" s="79"/>
      <c r="V334" s="79"/>
      <c r="W334" s="79"/>
      <c r="X334" s="79"/>
      <c r="Y334" s="79"/>
      <c r="Z334" s="79"/>
    </row>
    <row r="335" spans="1:26" ht="17.7" x14ac:dyDescent="0.15">
      <c r="A335" s="79"/>
      <c r="B335" s="107" t="s">
        <v>2013</v>
      </c>
      <c r="C335" s="101" t="s">
        <v>142</v>
      </c>
      <c r="D335" s="101" t="s">
        <v>1968</v>
      </c>
      <c r="E335" s="107" t="s">
        <v>2014</v>
      </c>
      <c r="F335" s="95"/>
      <c r="G335" s="79"/>
      <c r="H335" s="79"/>
      <c r="I335" s="79"/>
      <c r="J335" s="79"/>
      <c r="K335" s="79"/>
      <c r="L335" s="79"/>
      <c r="M335" s="79"/>
      <c r="N335" s="79"/>
      <c r="O335" s="79"/>
      <c r="P335" s="79"/>
      <c r="Q335" s="79"/>
      <c r="R335" s="79"/>
      <c r="S335" s="79"/>
      <c r="T335" s="79"/>
      <c r="U335" s="79"/>
      <c r="V335" s="79"/>
      <c r="W335" s="79"/>
      <c r="X335" s="79"/>
      <c r="Y335" s="79"/>
      <c r="Z335" s="79"/>
    </row>
    <row r="336" spans="1:26" ht="110.25" customHeight="1" x14ac:dyDescent="0.15">
      <c r="A336" s="79"/>
      <c r="B336" s="111" t="str">
        <f>+'5. Intervenciones UDT - AH'!D18</f>
        <v>Otorgamiento de derechos sobre la tierra/bosques</v>
      </c>
      <c r="C336" s="1701" t="s">
        <v>1977</v>
      </c>
      <c r="D336" s="1701" t="s">
        <v>129</v>
      </c>
      <c r="E336" s="124" t="str">
        <f>+'5. Intervenciones UDT - AH'!E18</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336" s="95"/>
      <c r="G336" s="79"/>
      <c r="H336" s="79"/>
      <c r="I336" s="79"/>
      <c r="J336" s="79"/>
      <c r="K336" s="79"/>
      <c r="L336" s="79"/>
      <c r="M336" s="79"/>
      <c r="N336" s="79"/>
      <c r="O336" s="79"/>
      <c r="P336" s="79"/>
      <c r="Q336" s="79"/>
      <c r="R336" s="79"/>
      <c r="S336" s="79"/>
      <c r="T336" s="79"/>
      <c r="U336" s="79"/>
      <c r="V336" s="79"/>
      <c r="W336" s="79"/>
      <c r="X336" s="79"/>
      <c r="Y336" s="79"/>
      <c r="Z336" s="79"/>
    </row>
    <row r="337" spans="1:26" ht="45" customHeight="1" x14ac:dyDescent="0.15">
      <c r="A337" s="79"/>
      <c r="B337" s="111" t="str">
        <f>+'5. Intervenciones UDT - AH'!D19</f>
        <v>Asistencia técnica con enfoque bajo en emisiones</v>
      </c>
      <c r="C337" s="1701"/>
      <c r="D337" s="1701"/>
      <c r="E337" s="124" t="str">
        <f>+'5. Intervenciones UDT - AH'!E19</f>
        <v>Capacitaciones a 29,823 pequeños productores de café, cacao, plátano, naranja, MAD, otros; a través de la asistencia técnica personalizada, capacitaciones grupales ( ECAs), y trabajo de campo; las capacitaciones priorizaran cuatro (04) temas: Manejo agronómico del cultivo, educación ambiental, manejo y conservación de suelo, asociatividad y comercialización. La asistencia técnica debe garantizar el incremento de la productividad, mejorando y manteniendo la calidad en los diferentes procesos (productivo, cosecha, postcosecha), promoviendo la implementación de adecuados módulos de beneficio, la no expansión de la frontera agrícola, manejo integrado de plagas y enfermedades, pasantías tecnológicas regionales, nacionales e internacionales; así mismo la promoción del cuidado del medio ambiente a través de la instalación de sistemas agroforestales, restauración de paisajes y recuperación de áreas degradadas.</v>
      </c>
      <c r="F337" s="95"/>
      <c r="G337" s="79"/>
      <c r="H337" s="79"/>
      <c r="I337" s="79"/>
      <c r="J337" s="79"/>
      <c r="K337" s="79"/>
      <c r="L337" s="79"/>
      <c r="M337" s="79"/>
      <c r="N337" s="79"/>
      <c r="O337" s="79"/>
      <c r="P337" s="79"/>
      <c r="Q337" s="79"/>
      <c r="R337" s="79"/>
      <c r="S337" s="79"/>
      <c r="T337" s="79"/>
      <c r="U337" s="79"/>
      <c r="V337" s="79"/>
      <c r="W337" s="79"/>
      <c r="X337" s="79"/>
      <c r="Y337" s="79"/>
      <c r="Z337" s="79"/>
    </row>
    <row r="338" spans="1:26" ht="26.5" x14ac:dyDescent="0.15">
      <c r="A338" s="79"/>
      <c r="B338" s="111" t="str">
        <f>+'5. Intervenciones UDT - AH'!D20</f>
        <v>Manejo, conservación y recuperación de suelos degradados</v>
      </c>
      <c r="C338" s="1701"/>
      <c r="D338" s="1701"/>
      <c r="E338" s="124" t="str">
        <f>+'5. Intervenciones UDT - AH'!E20</f>
        <v>Adquisición de productos e insumos que garanticen la conservación y recuperación de suelos en las cadenas de cacao, café, plátano, palma, naranja y MAD; instalación de sistemas agroforestales, siembra y uso de coberturas verdes, instalación de barreras vivas, recuperación de cárcavas y procesos para prevenir la erosión del suelo.</v>
      </c>
      <c r="F338" s="95"/>
      <c r="G338" s="79"/>
      <c r="H338" s="79"/>
      <c r="I338" s="79"/>
      <c r="J338" s="79"/>
      <c r="K338" s="79"/>
      <c r="L338" s="79"/>
      <c r="M338" s="79"/>
      <c r="N338" s="79"/>
      <c r="O338" s="79"/>
      <c r="P338" s="79"/>
      <c r="Q338" s="79"/>
      <c r="R338" s="79"/>
      <c r="S338" s="79"/>
      <c r="T338" s="79"/>
      <c r="U338" s="79"/>
      <c r="V338" s="79"/>
      <c r="W338" s="79"/>
      <c r="X338" s="79"/>
      <c r="Y338" s="79"/>
      <c r="Z338" s="79"/>
    </row>
    <row r="339" spans="1:26" ht="35.35" x14ac:dyDescent="0.15">
      <c r="A339" s="79"/>
      <c r="B339" s="111" t="str">
        <f>+'5. Intervenciones UDT - AH'!D21</f>
        <v>Fertilización de áreas productivas de acuerdo a la etapa fenológica del cultivo</v>
      </c>
      <c r="C339" s="1701"/>
      <c r="D339" s="1701"/>
      <c r="E339" s="124" t="str">
        <f>+'5. Intervenciones UDT - AH'!E21</f>
        <v>Implementación de paquetes de fertilización de suelos,  mediante la preparación y uso de abonos naturales y con insumos de fácil acceso y bajo costo para el productor. La fertilización  requiere un previo análisis de suelos con la finalidad de elaborar correctos paquetes de fertilización acorde a cada cultivo y la fenología de los mismos. Asi mismo corroborar los niveles de metales pesados presentes en el suelo (Caso Cadmio en cacao)</v>
      </c>
      <c r="F339" s="95"/>
      <c r="G339" s="79"/>
      <c r="H339" s="79"/>
      <c r="I339" s="79"/>
      <c r="J339" s="79"/>
      <c r="K339" s="79"/>
      <c r="L339" s="79"/>
      <c r="M339" s="79"/>
      <c r="N339" s="79"/>
      <c r="O339" s="79"/>
      <c r="P339" s="79"/>
      <c r="Q339" s="79"/>
      <c r="R339" s="79"/>
      <c r="S339" s="79"/>
      <c r="T339" s="79"/>
      <c r="U339" s="79"/>
      <c r="V339" s="79"/>
      <c r="W339" s="79"/>
      <c r="X339" s="79"/>
      <c r="Y339" s="79"/>
      <c r="Z339" s="79"/>
    </row>
    <row r="340" spans="1:26" ht="26.5" x14ac:dyDescent="0.15">
      <c r="A340" s="79"/>
      <c r="B340" s="111" t="str">
        <f>+'5. Intervenciones UDT - AH'!D22</f>
        <v>Instalación de sistemas de fertirriego</v>
      </c>
      <c r="C340" s="1701"/>
      <c r="D340" s="1701"/>
      <c r="E340" s="124" t="str">
        <f>+'5. Intervenciones UDT - AH'!E22</f>
        <v>Implementación de tecnologías innovadoras para incrementar la productividad de los cultivos de cacao, café, MAD y otros, mediante sistemas de fertirriego que se adapten a los cultivos (Goteo, aspersión, micro aspersión). Para la implementación de los sistemas se deberá considerar fuentes de agua limpias cercanas a las parcelas, topografía idónea, articulación a empresas proveedoras de dichos servicios y el fácil acceso a financiamiento. Beneficiando en promedio al 40% de productores de esta UDT</v>
      </c>
      <c r="F340" s="95"/>
      <c r="G340" s="79"/>
      <c r="H340" s="79"/>
      <c r="I340" s="79"/>
      <c r="J340" s="79"/>
      <c r="K340" s="79"/>
      <c r="L340" s="79"/>
      <c r="M340" s="79"/>
      <c r="N340" s="79"/>
      <c r="O340" s="79"/>
      <c r="P340" s="79"/>
      <c r="Q340" s="79"/>
      <c r="R340" s="79"/>
      <c r="S340" s="79"/>
      <c r="T340" s="79"/>
      <c r="U340" s="79"/>
      <c r="V340" s="79"/>
      <c r="W340" s="79"/>
      <c r="X340" s="79"/>
      <c r="Y340" s="79"/>
      <c r="Z340" s="79"/>
    </row>
    <row r="341" spans="1:26" ht="35.35" x14ac:dyDescent="0.15">
      <c r="A341" s="79"/>
      <c r="B341" s="111" t="str">
        <f>+'5. Intervenciones UDT - AH'!D23</f>
        <v xml:space="preserve">Reconversión y diversificación productiva </v>
      </c>
      <c r="C341" s="1701"/>
      <c r="D341" s="1701"/>
      <c r="E341" s="124" t="str">
        <f>+'5. Intervenciones UDT - AH'!E23</f>
        <v xml:space="preserve">Se cuenta con la identificación de zonas potenciales para el desarrollo de actividades agropecuarias con potencial productivo adecuado (aptitud biofísica, fuerza laboral y accesibilidad), para la ejecución de proyectos de reconversión y diversificación productiva en cultivos como: maracuyá, cacao, plátano hartón, limón Tahití, cúrcuma, kión, pitahaya, ají cayena, ají tabasco, ají habanero, entre otros, así mismo acuicultura, apicultura, crianzas de animales menores. Las propuestas serán canalizadas a los programas o fondos disponibles en las plataformas regionales, nacionales internacionales, podrán acceder productores organizados o individuales con personería jurídica; mediante la presentación de planes de negocios y/o propuestas que tengan viabilidad técnica, económica y comercial. </v>
      </c>
      <c r="F341" s="95"/>
      <c r="G341" s="79"/>
      <c r="H341" s="79"/>
      <c r="I341" s="79"/>
      <c r="J341" s="79"/>
      <c r="K341" s="79"/>
      <c r="L341" s="79"/>
      <c r="M341" s="79"/>
      <c r="N341" s="79"/>
      <c r="O341" s="79"/>
      <c r="P341" s="79"/>
      <c r="Q341" s="79"/>
      <c r="R341" s="79"/>
      <c r="S341" s="79"/>
      <c r="T341" s="79"/>
      <c r="U341" s="79"/>
      <c r="V341" s="79"/>
      <c r="W341" s="79"/>
      <c r="X341" s="79"/>
      <c r="Y341" s="79"/>
      <c r="Z341" s="79"/>
    </row>
    <row r="342" spans="1:26" ht="44.15" x14ac:dyDescent="0.15">
      <c r="A342" s="79"/>
      <c r="B342" s="111" t="str">
        <f>+'5. Intervenciones UDT - AH'!D24</f>
        <v>Promoción de agricultura familiar con enfoque de mercado</v>
      </c>
      <c r="C342" s="1701"/>
      <c r="D342" s="1701"/>
      <c r="E342" s="124" t="str">
        <f>+'5. Intervenciones UDT - AH'!E24</f>
        <v>Implementación del programa de agricultura familiar con enfoque de mercado, el cual este orientado a facilitar la instalación de biohuertos y la crianzas de animales menores cuya producción tendrá como primera finalidad satisfacer las necesidades básicas de alimentación de la población y los excedentes deberán orientarse al mercado local o regional bajo un adecuado acompañamiento y monitoreo de las entidades competentes. Así mismo debe acompañarse de un plan de capacitación y orientación a las familias sobre nutrición para asegurar el consumo interno de los bienes que se van a producir. Debe tenerse en consideración que se debe priorizar la instalación de cultivos nativos de acuerdo a la zona a intervenir, con la finalidad de revalorizar las tradiciones y costumbres ancestrales. Los distritos priorizados a intervenir con el programa son los distritos con mayores índices de pobreza extrema sin dejar de atender toda la zona rural.</v>
      </c>
      <c r="F342" s="95"/>
      <c r="G342" s="79"/>
      <c r="H342" s="79"/>
      <c r="I342" s="79"/>
      <c r="J342" s="79"/>
      <c r="K342" s="79"/>
      <c r="L342" s="79"/>
      <c r="M342" s="79"/>
      <c r="N342" s="79"/>
      <c r="O342" s="79"/>
      <c r="P342" s="79"/>
      <c r="Q342" s="79"/>
      <c r="R342" s="79"/>
      <c r="S342" s="79"/>
      <c r="T342" s="79"/>
      <c r="U342" s="79"/>
      <c r="V342" s="79"/>
      <c r="W342" s="79"/>
      <c r="X342" s="79"/>
      <c r="Y342" s="79"/>
      <c r="Z342" s="79"/>
    </row>
    <row r="343" spans="1:26" ht="26.5" x14ac:dyDescent="0.15">
      <c r="A343" s="79"/>
      <c r="B343" s="111" t="str">
        <f>+'5. Intervenciones UDT - AH'!D25</f>
        <v>Asistencia técnica para el desarrollo de la acuicultura</v>
      </c>
      <c r="C343" s="1701"/>
      <c r="D343" s="1701"/>
      <c r="E343" s="124" t="str">
        <f>+'5. Intervenciones UDT - AH'!E25</f>
        <v>Capacitaciones a 431 pequeños productores acuícolas en temas relacionados a: Gestión y administración de piscigranjas, programación de la producción, formalización, gestión de la calidad entre otros temas que permitan la sostenibilidad de la actividad, las capacitaciones y soporte técnico se darán a través de los proyectos implementados por el GR, Programas Nacionales o por el sector privado que promueven la actividad acuícola.</v>
      </c>
      <c r="F343" s="95"/>
      <c r="G343" s="79"/>
      <c r="H343" s="79"/>
      <c r="I343" s="79"/>
      <c r="J343" s="79"/>
      <c r="K343" s="79"/>
      <c r="L343" s="79"/>
      <c r="M343" s="79"/>
      <c r="N343" s="79"/>
      <c r="O343" s="79"/>
      <c r="P343" s="79"/>
      <c r="Q343" s="79"/>
      <c r="R343" s="79"/>
      <c r="S343" s="79"/>
      <c r="T343" s="79"/>
      <c r="U343" s="79"/>
      <c r="V343" s="79"/>
      <c r="W343" s="79"/>
      <c r="X343" s="79"/>
      <c r="Y343" s="79"/>
      <c r="Z343" s="79"/>
    </row>
    <row r="344" spans="1:26" ht="27" customHeight="1" x14ac:dyDescent="0.15">
      <c r="A344" s="79"/>
      <c r="B344" s="111" t="str">
        <f>+'5. Intervenciones UDT - AH'!D26</f>
        <v xml:space="preserve">Incentivos financieros para la acuicultura </v>
      </c>
      <c r="C344" s="1701"/>
      <c r="D344" s="1701"/>
      <c r="E344" s="124" t="str">
        <f>+'5. Intervenciones UDT - AH'!E26</f>
        <v>Promoción y articulación de créditos a 431 acuicultores, con lo cual deberán potenciar y desarrollar la actividad acuícola de manera sostenida en la región; esta actividad se hará mediante alianzas con entidades financieras locales y el FONDESAM, Los créditos servirán principalmente para cubrir costos de mantenimiento y mejoramiento de las piscigranjas (alimentación de los peces y tecnificación de las pozas),  los acuicultores podrán acceder a mas de un crédito de acuerdo a su evaluación crediticia. Así como implementar tanques circulares de geo membrana para optimizar el uso del suelo y agua con orientación a fertirriego</v>
      </c>
      <c r="F344" s="95"/>
      <c r="G344" s="79"/>
      <c r="H344" s="79"/>
      <c r="I344" s="79"/>
      <c r="J344" s="79"/>
      <c r="K344" s="79"/>
      <c r="L344" s="79"/>
      <c r="M344" s="79"/>
      <c r="N344" s="79"/>
      <c r="O344" s="79"/>
      <c r="P344" s="79"/>
      <c r="Q344" s="79"/>
      <c r="R344" s="79"/>
      <c r="S344" s="79"/>
      <c r="T344" s="79"/>
      <c r="U344" s="79"/>
      <c r="V344" s="79"/>
      <c r="W344" s="79"/>
      <c r="X344" s="79"/>
      <c r="Y344" s="79"/>
      <c r="Z344" s="79"/>
    </row>
    <row r="345" spans="1:26" ht="44.15" x14ac:dyDescent="0.15">
      <c r="A345" s="79"/>
      <c r="B345" s="111" t="str">
        <f>+'5. Intervenciones UDT - AH'!D27</f>
        <v>Programa de acceso al financiamiento agropecuario condicionado</v>
      </c>
      <c r="C345" s="1701"/>
      <c r="D345" s="1701"/>
      <c r="E345" s="124" t="str">
        <f>+'5. Intervenciones UDT - AH'!E27</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de esta UDT,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v>
      </c>
      <c r="F345" s="95"/>
      <c r="G345" s="79"/>
      <c r="H345" s="79"/>
      <c r="I345" s="79"/>
      <c r="J345" s="79"/>
      <c r="K345" s="79"/>
      <c r="L345" s="79"/>
      <c r="M345" s="79"/>
      <c r="N345" s="79"/>
      <c r="O345" s="79"/>
      <c r="P345" s="79"/>
      <c r="Q345" s="79"/>
      <c r="R345" s="79"/>
      <c r="S345" s="79"/>
      <c r="T345" s="79"/>
      <c r="U345" s="79"/>
      <c r="V345" s="79"/>
      <c r="W345" s="79"/>
      <c r="X345" s="79"/>
      <c r="Y345" s="79"/>
      <c r="Z345" s="79"/>
    </row>
    <row r="346" spans="1:26" ht="44.15" x14ac:dyDescent="0.15">
      <c r="A346" s="79"/>
      <c r="B346" s="111" t="str">
        <f>+'5. Intervenciones UDT - AH'!D28</f>
        <v xml:space="preserve">Implementación de infraestructura productiva con énfasis a la agro exportación </v>
      </c>
      <c r="C346" s="1701"/>
      <c r="D346" s="1701"/>
      <c r="E346" s="124" t="str">
        <f>+'5. Intervenciones UDT - AH'!E28</f>
        <v>Financiamiento de planes de negocios innovadores y/o convencionales, cuya finalidad sea la obtención de nuevos productos o mejora de procesos productivos, mediante la implementación de cajones fermentadores, secadores solares, almacenes, maquinaria, equipos de monitoreo y control de la calidad, vehículos de transporte, equipos y maquinaria para el procesamiento de materias primas, considerando un sistema de adquisición de bienes y servicios con responsabilidad social y ambiental.  Podrán acceder las organizaciones que cumplan los criterios de elegibilidad indicados en las bases de los programas de financiamiento. El objetivo es dotar de capacidad productiva a las organizaciones de productores para que tengan fácil acceso a los mercados con productos de alta calidad, en cantidades suficientes y que sean sostenibles en el tiempo. Los créditos que promuevan la innovación tendrán un incentivo en el porcentaje de la tasa preferencial del crédito solicitado.</v>
      </c>
      <c r="F346" s="95"/>
      <c r="G346" s="79"/>
      <c r="H346" s="79"/>
      <c r="I346" s="79"/>
      <c r="J346" s="79"/>
      <c r="K346" s="79"/>
      <c r="L346" s="79"/>
      <c r="M346" s="79"/>
      <c r="N346" s="79"/>
      <c r="O346" s="79"/>
      <c r="P346" s="79"/>
      <c r="Q346" s="79"/>
      <c r="R346" s="79"/>
      <c r="S346" s="79"/>
      <c r="T346" s="79"/>
      <c r="U346" s="79"/>
      <c r="V346" s="79"/>
      <c r="W346" s="79"/>
      <c r="X346" s="79"/>
      <c r="Y346" s="79"/>
      <c r="Z346" s="79"/>
    </row>
    <row r="347" spans="1:26" ht="35.35" x14ac:dyDescent="0.15">
      <c r="A347" s="79"/>
      <c r="B347" s="111" t="str">
        <f>+'5. Intervenciones UDT - AH'!D29</f>
        <v xml:space="preserve">Fortalecimiento de capacidades en gestión de la calidad en las distintas cadenas de valor </v>
      </c>
      <c r="C347" s="1701"/>
      <c r="D347" s="1701"/>
      <c r="E347" s="124" t="str">
        <f>+'5. Intervenciones UDT - AH'!E29</f>
        <v>Transferencia de conocimientos para la implementación de certificaciones de calidad (PGH, BPM, HACCP),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v>
      </c>
      <c r="F347" s="95"/>
      <c r="G347" s="79"/>
      <c r="H347" s="79"/>
      <c r="I347" s="79"/>
      <c r="J347" s="79"/>
      <c r="K347" s="79"/>
      <c r="L347" s="79"/>
      <c r="M347" s="79"/>
      <c r="N347" s="79"/>
      <c r="O347" s="79"/>
      <c r="P347" s="79"/>
      <c r="Q347" s="79"/>
      <c r="R347" s="79"/>
      <c r="S347" s="79"/>
      <c r="T347" s="79"/>
      <c r="U347" s="79"/>
      <c r="V347" s="79"/>
      <c r="W347" s="79"/>
      <c r="X347" s="79"/>
      <c r="Y347" s="79"/>
      <c r="Z347" s="79"/>
    </row>
    <row r="348" spans="1:26" ht="53" x14ac:dyDescent="0.15">
      <c r="A348" s="79"/>
      <c r="B348" s="111" t="str">
        <f>+'5. Intervenciones UDT - AH'!D30</f>
        <v>Promoción de modelos asociativos sostenibles</v>
      </c>
      <c r="C348" s="1701"/>
      <c r="D348" s="1701"/>
      <c r="E348" s="124" t="str">
        <f>+'5. Intervenciones UDT - AH'!E30</f>
        <v>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Así mismo la presentación del modelo asociativo de OLPESA y otros. Promover otras formas societarias que permitan la articulación de los pequeños productores a empresas transformadoras y comercializadoras.</v>
      </c>
      <c r="F348" s="95"/>
      <c r="G348" s="79"/>
      <c r="H348" s="79"/>
      <c r="I348" s="79"/>
      <c r="J348" s="79"/>
      <c r="K348" s="79"/>
      <c r="L348" s="79"/>
      <c r="M348" s="79"/>
      <c r="N348" s="79"/>
      <c r="O348" s="79"/>
      <c r="P348" s="79"/>
      <c r="Q348" s="79"/>
      <c r="R348" s="79"/>
      <c r="S348" s="79"/>
      <c r="T348" s="79"/>
      <c r="U348" s="79"/>
      <c r="V348" s="79"/>
      <c r="W348" s="79"/>
      <c r="X348" s="79"/>
      <c r="Y348" s="79"/>
      <c r="Z348" s="79"/>
    </row>
    <row r="349" spans="1:26" ht="17.7" x14ac:dyDescent="0.15">
      <c r="A349" s="79"/>
      <c r="B349" s="111" t="str">
        <f>+'5. Intervenciones UDT - AH'!D31</f>
        <v>Certificación orgánica y  Comercio Justo</v>
      </c>
      <c r="C349" s="1701"/>
      <c r="D349" s="1701"/>
      <c r="E349" s="124" t="str">
        <f>+'5. Intervenciones UDT - AH'!E31</f>
        <v>Implementación de los procesos de certificación orgánica y comercio justo como estrategia para mejorar la oferta exportable de los principales productos de las organizaciones de productores, para que puedan acceder a precios diferenciados. Esta intervención forma parte del fortalecimiento de la infraestrucura de la calidad en las cadenas.</v>
      </c>
      <c r="F349" s="95"/>
      <c r="G349" s="79"/>
      <c r="H349" s="79"/>
      <c r="I349" s="79"/>
      <c r="J349" s="79"/>
      <c r="K349" s="79"/>
      <c r="L349" s="79"/>
      <c r="M349" s="79"/>
      <c r="N349" s="79"/>
      <c r="O349" s="79"/>
      <c r="P349" s="79"/>
      <c r="Q349" s="79"/>
      <c r="R349" s="79"/>
      <c r="S349" s="79"/>
      <c r="T349" s="79"/>
      <c r="U349" s="79"/>
      <c r="V349" s="79"/>
      <c r="W349" s="79"/>
      <c r="X349" s="79"/>
      <c r="Y349" s="79"/>
      <c r="Z349" s="79"/>
    </row>
    <row r="350" spans="1:26" ht="35.35" x14ac:dyDescent="0.15">
      <c r="A350" s="79"/>
      <c r="B350" s="111" t="str">
        <f>+'5. Intervenciones UDT - AH'!D32</f>
        <v>Promoción y acceso a los Mecanismos de Retribución por Servicios Eco sistémicos (MERESE)</v>
      </c>
      <c r="C350" s="1701"/>
      <c r="D350" s="1701"/>
      <c r="E350" s="124" t="str">
        <f>+'5. Intervenciones UDT - AH'!E32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350" s="95"/>
      <c r="G350" s="79"/>
      <c r="H350" s="79"/>
      <c r="I350" s="79"/>
      <c r="J350" s="79"/>
      <c r="K350" s="79"/>
      <c r="L350" s="79"/>
      <c r="M350" s="79"/>
      <c r="N350" s="79"/>
      <c r="O350" s="79"/>
      <c r="P350" s="79"/>
      <c r="Q350" s="79"/>
      <c r="R350" s="79"/>
      <c r="S350" s="79"/>
      <c r="T350" s="79"/>
      <c r="U350" s="79"/>
      <c r="V350" s="79"/>
      <c r="W350" s="79"/>
      <c r="X350" s="79"/>
      <c r="Y350" s="79"/>
      <c r="Z350" s="79"/>
    </row>
    <row r="351" spans="1:26" ht="17.7" x14ac:dyDescent="0.15">
      <c r="A351" s="79"/>
      <c r="B351" s="111" t="str">
        <f>+'5. Intervenciones UDT - AH'!D33</f>
        <v>Certificación RSPO</v>
      </c>
      <c r="C351" s="1701"/>
      <c r="D351" s="1701"/>
      <c r="E351" s="124" t="str">
        <f>+'5. Intervenciones UDT - AH'!E33</f>
        <v>Implementar y promover la certificación de plantaciones de 8,086 pequeños productores, los cuales tienen 30,728.3 ha. La certificación RSPO permite facilitar el acceso a los mercados de los productos derivados de la palma aceitera.</v>
      </c>
      <c r="F351" s="95"/>
      <c r="G351" s="79"/>
      <c r="H351" s="79"/>
      <c r="I351" s="79"/>
      <c r="J351" s="79"/>
      <c r="K351" s="79"/>
      <c r="L351" s="79"/>
      <c r="M351" s="79"/>
      <c r="N351" s="79"/>
      <c r="O351" s="79"/>
      <c r="P351" s="79"/>
      <c r="Q351" s="79"/>
      <c r="R351" s="79"/>
      <c r="S351" s="79"/>
      <c r="T351" s="79"/>
      <c r="U351" s="79"/>
      <c r="V351" s="79"/>
      <c r="W351" s="79"/>
      <c r="X351" s="79"/>
      <c r="Y351" s="79"/>
      <c r="Z351" s="79"/>
    </row>
    <row r="352" spans="1:26" ht="11.05" customHeight="1" x14ac:dyDescent="0.15">
      <c r="A352" s="79"/>
      <c r="B352" s="79"/>
      <c r="C352" s="94"/>
      <c r="D352" s="95"/>
      <c r="E352" s="87"/>
      <c r="F352" s="95"/>
      <c r="G352" s="79"/>
      <c r="H352" s="79"/>
      <c r="I352" s="79"/>
      <c r="J352" s="79"/>
      <c r="K352" s="79"/>
      <c r="L352" s="79"/>
      <c r="M352" s="79"/>
      <c r="N352" s="79"/>
      <c r="O352" s="79"/>
      <c r="P352" s="79"/>
      <c r="Q352" s="79"/>
      <c r="R352" s="79"/>
      <c r="S352" s="79"/>
      <c r="T352" s="79"/>
      <c r="U352" s="79"/>
      <c r="V352" s="79"/>
      <c r="W352" s="79"/>
      <c r="X352" s="79"/>
      <c r="Y352" s="79"/>
      <c r="Z352" s="79"/>
    </row>
    <row r="353" spans="1:26" ht="11.05" customHeight="1" x14ac:dyDescent="0.15">
      <c r="A353" s="79"/>
      <c r="B353" s="79"/>
      <c r="C353" s="94"/>
      <c r="D353" s="95"/>
      <c r="E353" s="87"/>
      <c r="F353" s="95"/>
      <c r="G353" s="79"/>
      <c r="H353" s="79"/>
      <c r="I353" s="79"/>
      <c r="J353" s="79"/>
      <c r="K353" s="79"/>
      <c r="L353" s="79"/>
      <c r="M353" s="79"/>
      <c r="N353" s="79"/>
      <c r="O353" s="79"/>
      <c r="P353" s="79"/>
      <c r="Q353" s="79"/>
      <c r="R353" s="79"/>
      <c r="S353" s="79"/>
      <c r="T353" s="79"/>
      <c r="U353" s="79"/>
      <c r="V353" s="79"/>
      <c r="W353" s="79"/>
      <c r="X353" s="79"/>
      <c r="Y353" s="79"/>
      <c r="Z353" s="79"/>
    </row>
    <row r="354" spans="1:26" ht="11.05" customHeight="1" x14ac:dyDescent="0.15">
      <c r="A354" s="79"/>
      <c r="B354" s="79"/>
      <c r="C354" s="94"/>
      <c r="D354" s="95"/>
      <c r="E354" s="87"/>
      <c r="F354" s="95"/>
      <c r="G354" s="79"/>
      <c r="H354" s="79"/>
      <c r="I354" s="79"/>
      <c r="J354" s="79"/>
      <c r="K354" s="79"/>
      <c r="L354" s="79"/>
      <c r="M354" s="79"/>
      <c r="N354" s="79"/>
      <c r="O354" s="79"/>
      <c r="P354" s="79"/>
      <c r="Q354" s="79"/>
      <c r="R354" s="79"/>
      <c r="S354" s="79"/>
      <c r="T354" s="79"/>
      <c r="U354" s="79"/>
      <c r="V354" s="79"/>
      <c r="W354" s="79"/>
      <c r="X354" s="79"/>
      <c r="Y354" s="79"/>
      <c r="Z354" s="79"/>
    </row>
    <row r="355" spans="1:26" ht="17.7" x14ac:dyDescent="0.15">
      <c r="A355" s="79"/>
      <c r="B355" s="107" t="s">
        <v>2013</v>
      </c>
      <c r="C355" s="101" t="s">
        <v>142</v>
      </c>
      <c r="D355" s="101" t="s">
        <v>1968</v>
      </c>
      <c r="E355" s="107" t="s">
        <v>2014</v>
      </c>
      <c r="F355" s="95"/>
      <c r="G355" s="79"/>
      <c r="H355" s="79"/>
      <c r="I355" s="79"/>
      <c r="J355" s="79"/>
      <c r="K355" s="79"/>
      <c r="L355" s="79"/>
      <c r="M355" s="79"/>
      <c r="N355" s="79"/>
      <c r="O355" s="79"/>
      <c r="P355" s="79"/>
      <c r="Q355" s="79"/>
      <c r="R355" s="79"/>
      <c r="S355" s="79"/>
      <c r="T355" s="79"/>
      <c r="U355" s="79"/>
      <c r="V355" s="79"/>
      <c r="W355" s="79"/>
      <c r="X355" s="79"/>
      <c r="Y355" s="79"/>
      <c r="Z355" s="79"/>
    </row>
    <row r="356" spans="1:26" ht="112.6" customHeight="1" x14ac:dyDescent="0.15">
      <c r="A356" s="79"/>
      <c r="B356" s="111" t="str">
        <f>+'5. Intervenciones UDT - AH'!D45</f>
        <v>Otorgamiento de derechos sobre la tierra/bosques</v>
      </c>
      <c r="C356" s="1701" t="s">
        <v>1977</v>
      </c>
      <c r="D356" s="1701" t="s">
        <v>125</v>
      </c>
      <c r="E356" s="124" t="str">
        <f>+'5. Intervenciones UDT - AH'!E45</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356" s="95"/>
      <c r="G356" s="79"/>
      <c r="H356" s="79"/>
      <c r="I356" s="79"/>
      <c r="J356" s="79"/>
      <c r="K356" s="79"/>
      <c r="L356" s="79"/>
      <c r="M356" s="79"/>
      <c r="N356" s="79"/>
      <c r="O356" s="79"/>
      <c r="P356" s="79"/>
      <c r="Q356" s="79"/>
      <c r="R356" s="79"/>
      <c r="S356" s="79"/>
      <c r="T356" s="79"/>
      <c r="U356" s="79"/>
      <c r="V356" s="79"/>
      <c r="W356" s="79"/>
      <c r="X356" s="79"/>
      <c r="Y356" s="79"/>
      <c r="Z356" s="79"/>
    </row>
    <row r="357" spans="1:26" ht="27" customHeight="1" x14ac:dyDescent="0.15">
      <c r="A357" s="79"/>
      <c r="B357" s="111" t="str">
        <f>+'5. Intervenciones UDT - AH'!D46</f>
        <v>Promoción y desarrollo de proveedores de semillas mejoradas</v>
      </c>
      <c r="C357" s="1701"/>
      <c r="D357" s="1701"/>
      <c r="E357" s="124" t="str">
        <f>+'5. Intervenciones UDT - AH'!E46</f>
        <v>Fortalecimiento del Instituto Nacional de Innovación Agraria, con la finalidad de desarrollar nuevas variedades de arroz, así mismo promover la implementación se semilleros privados, que faciliten a los productores el acceso a semillas mejoradas; para este caso, se tiene identificados a productores acreditados por el INIA en toda la región.</v>
      </c>
      <c r="F357" s="95"/>
      <c r="G357" s="79"/>
      <c r="H357" s="79"/>
      <c r="I357" s="79"/>
      <c r="J357" s="79"/>
      <c r="K357" s="79"/>
      <c r="L357" s="79"/>
      <c r="M357" s="79"/>
      <c r="N357" s="79"/>
      <c r="O357" s="79"/>
      <c r="P357" s="79"/>
      <c r="Q357" s="79"/>
      <c r="R357" s="79"/>
      <c r="S357" s="79"/>
      <c r="T357" s="79"/>
      <c r="U357" s="79"/>
      <c r="V357" s="79"/>
      <c r="W357" s="79"/>
      <c r="X357" s="79"/>
      <c r="Y357" s="79"/>
      <c r="Z357" s="79"/>
    </row>
    <row r="358" spans="1:26" ht="35.35" x14ac:dyDescent="0.15">
      <c r="A358" s="79"/>
      <c r="B358" s="111" t="str">
        <f>+'5. Intervenciones UDT - AH'!D47</f>
        <v>Promoción de Sistemas de producción sostenibles</v>
      </c>
      <c r="C358" s="1701"/>
      <c r="D358" s="1701"/>
      <c r="E358" s="124" t="str">
        <f>+'5. Intervenciones UDT - AH'!E47</f>
        <v>Capacitaciones a 985  productores de arroz, interviniendo aproximadamente en 10,015 ha, a través de ECA, días de campo y reuniones tipo ECA, las intervenciones se darán de acuerdo a la etapa fisiológica del cultivo, promoviendo el incremento de la productividad, la no expansión de la frontera agrícola, manejo integrado de plagas y enfermedades, promoción de análisis de suelos, secas intermitentes, gestión del recurso hídrico calendarización de siembras, pasantías tecnológicas regionales, nacionales, conservación del medio ambiente y fortalecimiento de la asociatividad. Se articulará las acciones con el FLAR (Fondo Latinoamericano para Arroz de Riego).</v>
      </c>
      <c r="F358" s="95"/>
      <c r="G358" s="79"/>
      <c r="H358" s="79"/>
      <c r="I358" s="79"/>
      <c r="J358" s="79"/>
      <c r="K358" s="79"/>
      <c r="L358" s="79"/>
      <c r="M358" s="79"/>
      <c r="N358" s="79"/>
      <c r="O358" s="79"/>
      <c r="P358" s="79"/>
      <c r="Q358" s="79"/>
      <c r="R358" s="79"/>
      <c r="S358" s="79"/>
      <c r="T358" s="79"/>
      <c r="U358" s="79"/>
      <c r="V358" s="79"/>
      <c r="W358" s="79"/>
      <c r="X358" s="79"/>
      <c r="Y358" s="79"/>
      <c r="Z358" s="79"/>
    </row>
    <row r="359" spans="1:26" ht="26.5" x14ac:dyDescent="0.15">
      <c r="A359" s="79"/>
      <c r="B359" s="111" t="str">
        <f>+'5. Intervenciones UDT - AH'!D48</f>
        <v xml:space="preserve">Reconversión y diversificación productiva </v>
      </c>
      <c r="C359" s="1701"/>
      <c r="D359" s="1701"/>
      <c r="E359" s="124" t="str">
        <f>+'5. Intervenciones UDT - AH'!E48</f>
        <v>Se cuenta con aproximadamente 10,015 ha de arroz, de lo cual aproximadamente el 20% del área tiene aptitud biofísica, fuerza laboral y accesibilidad para desarrollar proyectos de reconversión y diversificación con cultivos como: maracuyá, cacao, plátano hartón, limón Tahití, cúrcuma, kión, pitahaya, ají cayena, ají tabasco, ají habanero. Los procesos de reconversión y diversificación productiva, deberán ser promovidos y ejecutados por la DRASAM, con el soporte de la OPIPS en el marco de las alianzas productivas. Los procedimientos específicos se podrán encontrar en: www.agroideas.gob.pe</v>
      </c>
      <c r="F359" s="95"/>
      <c r="G359" s="79"/>
      <c r="H359" s="79"/>
      <c r="I359" s="79"/>
      <c r="J359" s="79"/>
      <c r="K359" s="79"/>
      <c r="L359" s="79"/>
      <c r="M359" s="79"/>
      <c r="N359" s="79"/>
      <c r="O359" s="79"/>
      <c r="P359" s="79"/>
      <c r="Q359" s="79"/>
      <c r="R359" s="79"/>
      <c r="S359" s="79"/>
      <c r="T359" s="79"/>
      <c r="U359" s="79"/>
      <c r="V359" s="79"/>
      <c r="W359" s="79"/>
      <c r="X359" s="79"/>
      <c r="Y359" s="79"/>
      <c r="Z359" s="79"/>
    </row>
    <row r="360" spans="1:26" ht="91.55" customHeight="1" x14ac:dyDescent="0.15">
      <c r="A360" s="79"/>
      <c r="B360" s="111" t="str">
        <f>+'5. Intervenciones UDT - AH'!D49</f>
        <v>Programa de acceso al financiamiento agropecuario condicionado</v>
      </c>
      <c r="C360" s="1701"/>
      <c r="D360" s="1701"/>
      <c r="E360" s="124" t="str">
        <f>+'5. Intervenciones UDT - AH'!E49</f>
        <v>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mediante las entidades financieras y para la ejecución de proyectos agrícolas. Los créditos  deberán estar orientados a aquellos que incentiven la innovación en los diferentes eslabones de las distintas cadenas productivas.</v>
      </c>
      <c r="F360" s="95"/>
      <c r="G360" s="79"/>
      <c r="H360" s="79"/>
      <c r="I360" s="79"/>
      <c r="J360" s="79"/>
      <c r="K360" s="79"/>
      <c r="L360" s="79"/>
      <c r="M360" s="79"/>
      <c r="N360" s="79"/>
      <c r="O360" s="79"/>
      <c r="P360" s="79"/>
      <c r="Q360" s="79"/>
      <c r="R360" s="79"/>
      <c r="S360" s="79"/>
      <c r="T360" s="79"/>
      <c r="U360" s="79"/>
      <c r="V360" s="79"/>
      <c r="W360" s="79"/>
      <c r="X360" s="79"/>
      <c r="Y360" s="79"/>
      <c r="Z360" s="79"/>
    </row>
    <row r="361" spans="1:26" ht="44.15" x14ac:dyDescent="0.15">
      <c r="A361" s="79"/>
      <c r="B361" s="111" t="str">
        <f>+'5. Intervenciones UDT - AH'!D50</f>
        <v>Promoción de modelos asociativos sostenibles</v>
      </c>
      <c r="C361" s="1701"/>
      <c r="D361" s="1701"/>
      <c r="E361" s="124" t="str">
        <f>+'5. Intervenciones UDT - AH'!E50</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361" s="95"/>
      <c r="G361" s="79"/>
      <c r="H361" s="79"/>
      <c r="I361" s="79"/>
      <c r="J361" s="79"/>
      <c r="K361" s="79"/>
      <c r="L361" s="79"/>
      <c r="M361" s="79"/>
      <c r="N361" s="79"/>
      <c r="O361" s="79"/>
      <c r="P361" s="79"/>
      <c r="Q361" s="79"/>
      <c r="R361" s="79"/>
      <c r="S361" s="79"/>
      <c r="T361" s="79"/>
      <c r="U361" s="79"/>
      <c r="V361" s="79"/>
      <c r="W361" s="79"/>
      <c r="X361" s="79"/>
      <c r="Y361" s="79"/>
      <c r="Z361" s="79"/>
    </row>
    <row r="362" spans="1:26" ht="50.95" customHeight="1" x14ac:dyDescent="0.15">
      <c r="A362" s="79"/>
      <c r="B362" s="111" t="str">
        <f>+'5. Intervenciones UDT - AH'!D51</f>
        <v>Implementación de infraestructura productiva baja en emisiones</v>
      </c>
      <c r="C362" s="1701"/>
      <c r="D362" s="1701"/>
      <c r="E362" s="124" t="str">
        <f>+'5. Intervenciones UDT - AH'!E51</f>
        <v>Financiamiento de planes de negocios innovadores y/o convencionales, cuya finalidad sea la obtención de nuevos productos (aprovechamiento de sub productos) o mejora de procesos productivos ( optimización) mediante la implementación de maquinaria, equipos, plantas y otros. Los fondos estará orientado a mejorar las capacidades de los pequeños productores organizados y  que cumplan los criterios de elegibilidad indicados en las bases de los programas nacionales de financiamiento.  El equipo técnico del Gobierno Regional debe facultar y orientar el acceso a dichos fondos</v>
      </c>
      <c r="F362" s="95"/>
      <c r="G362" s="79"/>
      <c r="H362" s="79"/>
      <c r="I362" s="79"/>
      <c r="J362" s="79"/>
      <c r="K362" s="79"/>
      <c r="L362" s="79"/>
      <c r="M362" s="79"/>
      <c r="N362" s="79"/>
      <c r="O362" s="79"/>
      <c r="P362" s="79"/>
      <c r="Q362" s="79"/>
      <c r="R362" s="79"/>
      <c r="S362" s="79"/>
      <c r="T362" s="79"/>
      <c r="U362" s="79"/>
      <c r="V362" s="79"/>
      <c r="W362" s="79"/>
      <c r="X362" s="79"/>
      <c r="Y362" s="79"/>
      <c r="Z362" s="79"/>
    </row>
    <row r="363" spans="1:26" ht="50.95" customHeight="1" x14ac:dyDescent="0.15">
      <c r="A363" s="79"/>
      <c r="B363" s="111" t="str">
        <f>+'5. Intervenciones UDT - AH'!D52</f>
        <v>Promoción y acceso a los Mecanismos de Retribución por Servicios Eco sistémicos (MERESE)</v>
      </c>
      <c r="C363" s="1701"/>
      <c r="D363" s="1701"/>
      <c r="E363" s="124" t="str">
        <f>+'5. Intervenciones UDT - AH'!E52</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363" s="95"/>
      <c r="G363" s="79"/>
      <c r="H363" s="79"/>
      <c r="I363" s="79"/>
      <c r="J363" s="79"/>
      <c r="K363" s="79"/>
      <c r="L363" s="79"/>
      <c r="M363" s="79"/>
      <c r="N363" s="79"/>
      <c r="O363" s="79"/>
      <c r="P363" s="79"/>
      <c r="Q363" s="79"/>
      <c r="R363" s="79"/>
      <c r="S363" s="79"/>
      <c r="T363" s="79"/>
      <c r="U363" s="79"/>
      <c r="V363" s="79"/>
      <c r="W363" s="79"/>
      <c r="X363" s="79"/>
      <c r="Y363" s="79"/>
      <c r="Z363" s="79"/>
    </row>
    <row r="364" spans="1:26" ht="19.55" customHeight="1" x14ac:dyDescent="0.15">
      <c r="A364" s="79"/>
      <c r="B364" s="79"/>
      <c r="C364" s="94"/>
      <c r="D364" s="95"/>
      <c r="E364" s="87"/>
      <c r="F364" s="95"/>
      <c r="G364" s="79"/>
      <c r="H364" s="79"/>
      <c r="I364" s="79"/>
      <c r="J364" s="79"/>
      <c r="K364" s="79"/>
      <c r="L364" s="79"/>
      <c r="M364" s="79"/>
      <c r="N364" s="79"/>
      <c r="O364" s="79"/>
      <c r="P364" s="79"/>
      <c r="Q364" s="79"/>
      <c r="R364" s="79"/>
      <c r="S364" s="79"/>
      <c r="T364" s="79"/>
      <c r="U364" s="79"/>
      <c r="V364" s="79"/>
      <c r="W364" s="79"/>
      <c r="X364" s="79"/>
      <c r="Y364" s="79"/>
      <c r="Z364" s="79"/>
    </row>
    <row r="365" spans="1:26" ht="19.55" customHeight="1" x14ac:dyDescent="0.15">
      <c r="A365" s="79"/>
      <c r="B365" s="79"/>
      <c r="C365" s="94"/>
      <c r="D365" s="95"/>
      <c r="E365" s="87"/>
      <c r="F365" s="95"/>
      <c r="G365" s="79"/>
      <c r="H365" s="79"/>
      <c r="I365" s="79"/>
      <c r="J365" s="79"/>
      <c r="K365" s="79"/>
      <c r="L365" s="79"/>
      <c r="M365" s="79"/>
      <c r="N365" s="79"/>
      <c r="O365" s="79"/>
      <c r="P365" s="79"/>
      <c r="Q365" s="79"/>
      <c r="R365" s="79"/>
      <c r="S365" s="79"/>
      <c r="T365" s="79"/>
      <c r="U365" s="79"/>
      <c r="V365" s="79"/>
      <c r="W365" s="79"/>
      <c r="X365" s="79"/>
      <c r="Y365" s="79"/>
      <c r="Z365" s="79"/>
    </row>
    <row r="366" spans="1:26" ht="17.7" x14ac:dyDescent="0.15">
      <c r="A366" s="79"/>
      <c r="B366" s="107" t="s">
        <v>2013</v>
      </c>
      <c r="C366" s="101" t="s">
        <v>142</v>
      </c>
      <c r="D366" s="101" t="s">
        <v>1968</v>
      </c>
      <c r="E366" s="107" t="s">
        <v>2014</v>
      </c>
      <c r="F366" s="95"/>
      <c r="G366" s="79"/>
      <c r="H366" s="79"/>
      <c r="I366" s="79"/>
      <c r="J366" s="79"/>
      <c r="K366" s="79"/>
      <c r="L366" s="79"/>
      <c r="M366" s="79"/>
      <c r="N366" s="79"/>
      <c r="O366" s="79"/>
      <c r="P366" s="79"/>
      <c r="Q366" s="79"/>
      <c r="R366" s="79"/>
      <c r="S366" s="79"/>
      <c r="T366" s="79"/>
      <c r="U366" s="79"/>
      <c r="V366" s="79"/>
      <c r="W366" s="79"/>
      <c r="X366" s="79"/>
      <c r="Y366" s="79"/>
      <c r="Z366" s="79"/>
    </row>
    <row r="367" spans="1:26" ht="107.35" customHeight="1" x14ac:dyDescent="0.15">
      <c r="A367" s="79"/>
      <c r="B367" s="111" t="str">
        <f>+'5. Intervenciones UDT - AH'!D64</f>
        <v>Otorgamiento de derechos sobre la tierra/bosques</v>
      </c>
      <c r="C367" s="1701" t="s">
        <v>1977</v>
      </c>
      <c r="D367" s="1701" t="s">
        <v>126</v>
      </c>
      <c r="E367" s="124" t="str">
        <f>+'5. Intervenciones UDT - AH'!E64</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367" s="95"/>
      <c r="G367" s="79"/>
      <c r="H367" s="79"/>
      <c r="I367" s="79"/>
      <c r="J367" s="79"/>
      <c r="K367" s="79"/>
      <c r="L367" s="79"/>
      <c r="M367" s="79"/>
      <c r="N367" s="79"/>
      <c r="O367" s="79"/>
      <c r="P367" s="79"/>
      <c r="Q367" s="79"/>
      <c r="R367" s="79"/>
      <c r="S367" s="79"/>
      <c r="T367" s="79"/>
      <c r="U367" s="79"/>
      <c r="V367" s="79"/>
      <c r="W367" s="79"/>
      <c r="X367" s="79"/>
      <c r="Y367" s="79"/>
      <c r="Z367" s="79"/>
    </row>
    <row r="368" spans="1:26" ht="26.5" x14ac:dyDescent="0.15">
      <c r="A368" s="79"/>
      <c r="B368" s="111" t="str">
        <f>+'5. Intervenciones UDT - AH'!D65</f>
        <v xml:space="preserve">Asistencia técnica para el mejoramiento de pastos y ganadería </v>
      </c>
      <c r="C368" s="1701"/>
      <c r="D368" s="1701"/>
      <c r="E368" s="124" t="str">
        <f>+'5. Intervenciones UDT - AH'!E65</f>
        <v>Capacitaciones a 587 pequeños y medianos ganaderos, en temas de manejo de pastos, ,  buenas prácticas ganaderas en la producción e higiene de la leche, manejo de la alimentación, producción y conservación de alimentos, producción de ensilaje, conservación de forrajes, sanidad animal, mejoramiento genético, sistemas de producción, inseminación artificial, asociatividad, transformación de derivados de la leche y comercialización. La GRDE a través de sus diferentes direcciones de línea competentes, deberán implementar esta actividad a través de los PIP y actividades propias.</v>
      </c>
      <c r="F368" s="95"/>
      <c r="G368" s="79"/>
      <c r="H368" s="79"/>
      <c r="I368" s="79"/>
      <c r="J368" s="79"/>
      <c r="K368" s="79"/>
      <c r="L368" s="79"/>
      <c r="M368" s="79"/>
      <c r="N368" s="79"/>
      <c r="O368" s="79"/>
      <c r="P368" s="79"/>
      <c r="Q368" s="79"/>
      <c r="R368" s="79"/>
      <c r="S368" s="79"/>
      <c r="T368" s="79"/>
      <c r="U368" s="79"/>
      <c r="V368" s="79"/>
      <c r="W368" s="79"/>
      <c r="X368" s="79"/>
      <c r="Y368" s="79"/>
      <c r="Z368" s="79"/>
    </row>
    <row r="369" spans="1:26" ht="26.5" x14ac:dyDescent="0.15">
      <c r="A369" s="79"/>
      <c r="B369" s="111" t="str">
        <f>+'5. Intervenciones UDT - AH'!D66</f>
        <v>Manejo, conservación y recuperación de suelos degradados</v>
      </c>
      <c r="C369" s="1701"/>
      <c r="D369" s="1701"/>
      <c r="E369" s="124" t="str">
        <f>+'5. Intervenciones UDT - AH'!E66</f>
        <v>Implementación de prácticas en manejo y conservación de suelos, considerando asistencia técnica en: Análisis de suelos para la instalación de pastos, preparación de los suelos de acuerdo al tipo de suelo existente, manejo eficiente del agua, instalación de sistemas silvopastoriles y promoción del pastoreo racional. Los Sistemas Agroforestales a implementar deberán realizarse con plantas forestales nativas, así mismo la implementación de pastos con semillas mejoradas y el manejo de silvopasturas.</v>
      </c>
      <c r="F369" s="95"/>
      <c r="G369" s="79"/>
      <c r="H369" s="79"/>
      <c r="I369" s="79"/>
      <c r="J369" s="79"/>
      <c r="K369" s="79"/>
      <c r="L369" s="79"/>
      <c r="M369" s="79"/>
      <c r="N369" s="79"/>
      <c r="O369" s="79"/>
      <c r="P369" s="79"/>
      <c r="Q369" s="79"/>
      <c r="R369" s="79"/>
      <c r="S369" s="79"/>
      <c r="T369" s="79"/>
      <c r="U369" s="79"/>
      <c r="V369" s="79"/>
      <c r="W369" s="79"/>
      <c r="X369" s="79"/>
      <c r="Y369" s="79"/>
      <c r="Z369" s="79"/>
    </row>
    <row r="370" spans="1:26" ht="17.7" x14ac:dyDescent="0.15">
      <c r="A370" s="79"/>
      <c r="B370" s="111" t="str">
        <f>+'5. Intervenciones UDT - AH'!D67</f>
        <v>Mejoramiento genético de ganado bovino</v>
      </c>
      <c r="C370" s="1701"/>
      <c r="D370" s="1701"/>
      <c r="E370" s="124" t="str">
        <f>+'5. Intervenciones UDT - AH'!E67</f>
        <v>Reactivación  , implementación y gestión de las postas de inseminación artificial, importación de material genético (pajillas de semen), capacitación y entrenamiento a inseminadores, transferencia de embriones.</v>
      </c>
      <c r="F370" s="95"/>
      <c r="G370" s="79"/>
      <c r="H370" s="79"/>
      <c r="I370" s="79"/>
      <c r="J370" s="79"/>
      <c r="K370" s="79"/>
      <c r="L370" s="79"/>
      <c r="M370" s="79"/>
      <c r="N370" s="79"/>
      <c r="O370" s="79"/>
      <c r="P370" s="79"/>
      <c r="Q370" s="79"/>
      <c r="R370" s="79"/>
      <c r="S370" s="79"/>
      <c r="T370" s="79"/>
      <c r="U370" s="79"/>
      <c r="V370" s="79"/>
      <c r="W370" s="79"/>
      <c r="X370" s="79"/>
      <c r="Y370" s="79"/>
      <c r="Z370" s="79"/>
    </row>
    <row r="371" spans="1:26" ht="53" x14ac:dyDescent="0.15">
      <c r="A371" s="79"/>
      <c r="B371" s="111" t="str">
        <f>+'5. Intervenciones UDT - AH'!D68</f>
        <v>Programa de acceso al financiamiento agropecuario condicionado</v>
      </c>
      <c r="C371" s="1701"/>
      <c r="D371" s="1701"/>
      <c r="E371" s="124" t="str">
        <f>+'5. Intervenciones UDT - AH'!E68</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 Los créditos  deberán estar orientados a aquellos que incentiven la innovación en los diferentes eslabones de las distintas cadenas productivas. os fondos se canalizará con los bancos que ofrezcan las mejores tasas para los productores.</v>
      </c>
      <c r="F371" s="95"/>
      <c r="G371" s="79"/>
      <c r="H371" s="79"/>
      <c r="I371" s="79"/>
      <c r="J371" s="79"/>
      <c r="K371" s="79"/>
      <c r="L371" s="79"/>
      <c r="M371" s="79"/>
      <c r="N371" s="79"/>
      <c r="O371" s="79"/>
      <c r="P371" s="79"/>
      <c r="Q371" s="79"/>
      <c r="R371" s="79"/>
      <c r="S371" s="79"/>
      <c r="T371" s="79"/>
      <c r="U371" s="79"/>
      <c r="V371" s="79"/>
      <c r="W371" s="79"/>
      <c r="X371" s="79"/>
      <c r="Y371" s="79"/>
      <c r="Z371" s="79"/>
    </row>
    <row r="372" spans="1:26" ht="44.15" x14ac:dyDescent="0.15">
      <c r="A372" s="79"/>
      <c r="B372" s="111" t="str">
        <f>+'5. Intervenciones UDT - AH'!D69</f>
        <v>Promoción de modelos asociativos sostenibles</v>
      </c>
      <c r="C372" s="1701"/>
      <c r="D372" s="1701"/>
      <c r="E372" s="124" t="str">
        <f>+'5. Intervenciones UDT - AH'!E69</f>
        <v xml:space="preserve">Fortalecimiento de las capacidades de los directivos, equipo técnico y socios de las organizaciones de productores de las distintas cadenas de valor con la finalidad de que todos se empoderen de los objetivos y metas de la organización. Los directivos deben ser capacitados en gestión de cooperativas, funciones de los directivos, negociación y otros temas que permitan empoderar del modelo de organización a los líderes de estas organizaciones. También debe brindarse asistencia y acompañamiento al equipo gerencial, principalmente en temas de gestión comercial, endeudamiento y otros temas relacionados a la mejora de capacidades de gestión empresarial. La asistencia técnica a las organizaciones debe darse según la evaluación de cada una, determinando su nivel de madurez y solidez para lo cual debe categorizarlas según sus volúmenes  de ventas, mercados, socios, financiamientos, infraestructura u otra características importantes. </v>
      </c>
      <c r="F372" s="95"/>
      <c r="G372" s="79"/>
      <c r="H372" s="79"/>
      <c r="I372" s="79"/>
      <c r="J372" s="79"/>
      <c r="K372" s="79"/>
      <c r="L372" s="79"/>
      <c r="M372" s="79"/>
      <c r="N372" s="79"/>
      <c r="O372" s="79"/>
      <c r="P372" s="79"/>
      <c r="Q372" s="79"/>
      <c r="R372" s="79"/>
      <c r="S372" s="79"/>
      <c r="T372" s="79"/>
      <c r="U372" s="79"/>
      <c r="V372" s="79"/>
      <c r="W372" s="79"/>
      <c r="X372" s="79"/>
      <c r="Y372" s="79"/>
      <c r="Z372" s="79"/>
    </row>
    <row r="373" spans="1:26" ht="26.5" x14ac:dyDescent="0.15">
      <c r="A373" s="79"/>
      <c r="B373" s="111" t="str">
        <f>+'5. Intervenciones UDT - AH'!D70</f>
        <v>Implementación de infraestructura productiva baja en emisiones</v>
      </c>
      <c r="C373" s="1701"/>
      <c r="D373" s="1701"/>
      <c r="E373" s="124" t="str">
        <f>+'5. Intervenciones UDT - AH'!E70</f>
        <v>Implementación de planes de negocios en articulación con programas de financiamiento a la innovación y adopción de tecnologías, enfocados en la mejora de la infraestructura productiva (mejoramiento genético, sistemas de producción, transformación de materia prima, implementación de cercos eléctricos), realizar seguimiento y monitoreo a los planes de negocios que sean cofinanciados para asegurar una adecuada implementación y adopción de tecnologías. Los créditos que promuevan la innovación tendrán un incentivo en el porcentaje de la tasa preferencial del crédito solicitado.</v>
      </c>
      <c r="F373" s="95"/>
      <c r="G373" s="79"/>
      <c r="H373" s="79"/>
      <c r="I373" s="79"/>
      <c r="J373" s="79"/>
      <c r="K373" s="79"/>
      <c r="L373" s="79"/>
      <c r="M373" s="79"/>
      <c r="N373" s="79"/>
      <c r="O373" s="79"/>
      <c r="P373" s="79"/>
      <c r="Q373" s="79"/>
      <c r="R373" s="79"/>
      <c r="S373" s="79"/>
      <c r="T373" s="79"/>
      <c r="U373" s="79"/>
      <c r="V373" s="79"/>
      <c r="W373" s="79"/>
      <c r="X373" s="79"/>
      <c r="Y373" s="79"/>
      <c r="Z373" s="79"/>
    </row>
    <row r="374" spans="1:26" ht="50.95" customHeight="1" x14ac:dyDescent="0.15">
      <c r="A374" s="79"/>
      <c r="B374" s="111" t="str">
        <f>+'5. Intervenciones UDT - AH'!D71</f>
        <v>Promoción y acceso a los Mecanismos de Retribución por Servicios Eco sistémicos (MERESE)</v>
      </c>
      <c r="C374" s="1701"/>
      <c r="D374" s="1701"/>
      <c r="E374" s="124" t="str">
        <f>+'5. Intervenciones UDT - AH'!E71</f>
        <v>Promoción y difusión de los MERESE, con la finalidad de que se implementen un mayor  número de acuerdos entre contribuyentes y retribuyentes. Los acuerdos implican compromisos de aportes económicos por parte de los contribuyentes para que los retribuyentes puedan implementar acciones de conservación, recuperación y uso sostenible de las fuentes de los servicios eco sistémicos mediante la ejecución de proyectos que se financian con los aportes de los contribuyentes.</v>
      </c>
      <c r="F374" s="95"/>
      <c r="G374" s="79"/>
      <c r="H374" s="79"/>
      <c r="I374" s="79"/>
      <c r="J374" s="79"/>
      <c r="K374" s="79"/>
      <c r="L374" s="79"/>
      <c r="M374" s="79"/>
      <c r="N374" s="79"/>
      <c r="O374" s="79"/>
      <c r="P374" s="79"/>
      <c r="Q374" s="79"/>
      <c r="R374" s="79"/>
      <c r="S374" s="79"/>
      <c r="T374" s="79"/>
      <c r="U374" s="79"/>
      <c r="V374" s="79"/>
      <c r="W374" s="79"/>
      <c r="X374" s="79"/>
      <c r="Y374" s="79"/>
      <c r="Z374" s="79"/>
    </row>
    <row r="375" spans="1:26" ht="19.55" customHeight="1" x14ac:dyDescent="0.15">
      <c r="A375" s="79"/>
      <c r="B375" s="79"/>
      <c r="C375" s="94"/>
      <c r="D375" s="95"/>
      <c r="E375" s="87"/>
      <c r="F375" s="95"/>
      <c r="G375" s="79"/>
      <c r="H375" s="79"/>
      <c r="I375" s="79"/>
      <c r="J375" s="79"/>
      <c r="K375" s="79"/>
      <c r="L375" s="79"/>
      <c r="M375" s="79"/>
      <c r="N375" s="79"/>
      <c r="O375" s="79"/>
      <c r="P375" s="79"/>
      <c r="Q375" s="79"/>
      <c r="R375" s="79"/>
      <c r="S375" s="79"/>
      <c r="T375" s="79"/>
      <c r="U375" s="79"/>
      <c r="V375" s="79"/>
      <c r="W375" s="79"/>
      <c r="X375" s="79"/>
      <c r="Y375" s="79"/>
      <c r="Z375" s="79"/>
    </row>
    <row r="376" spans="1:26" ht="19.55" customHeight="1" x14ac:dyDescent="0.15">
      <c r="A376" s="79"/>
      <c r="B376" s="79"/>
      <c r="C376" s="94"/>
      <c r="D376" s="95"/>
      <c r="E376" s="87"/>
      <c r="F376" s="95"/>
      <c r="G376" s="79"/>
      <c r="H376" s="79"/>
      <c r="I376" s="79"/>
      <c r="J376" s="79"/>
      <c r="K376" s="79"/>
      <c r="L376" s="79"/>
      <c r="M376" s="79"/>
      <c r="N376" s="79"/>
      <c r="O376" s="79"/>
      <c r="P376" s="79"/>
      <c r="Q376" s="79"/>
      <c r="R376" s="79"/>
      <c r="S376" s="79"/>
      <c r="T376" s="79"/>
      <c r="U376" s="79"/>
      <c r="V376" s="79"/>
      <c r="W376" s="79"/>
      <c r="X376" s="79"/>
      <c r="Y376" s="79"/>
      <c r="Z376" s="79"/>
    </row>
    <row r="377" spans="1:26" ht="17.7" x14ac:dyDescent="0.15">
      <c r="A377" s="79"/>
      <c r="B377" s="107" t="s">
        <v>2013</v>
      </c>
      <c r="C377" s="101" t="s">
        <v>1969</v>
      </c>
      <c r="D377" s="101" t="s">
        <v>1968</v>
      </c>
      <c r="E377" s="107" t="s">
        <v>2014</v>
      </c>
      <c r="F377" s="95"/>
      <c r="G377" s="79"/>
      <c r="H377" s="79"/>
      <c r="I377" s="79"/>
      <c r="J377" s="79"/>
      <c r="K377" s="79"/>
      <c r="L377" s="79"/>
      <c r="M377" s="79"/>
      <c r="N377" s="79"/>
      <c r="O377" s="79"/>
      <c r="P377" s="79"/>
      <c r="Q377" s="79"/>
      <c r="R377" s="79"/>
      <c r="S377" s="79"/>
      <c r="T377" s="79"/>
      <c r="U377" s="79"/>
      <c r="V377" s="79"/>
      <c r="W377" s="79"/>
      <c r="X377" s="79"/>
      <c r="Y377" s="79"/>
      <c r="Z377" s="79"/>
    </row>
    <row r="378" spans="1:26" ht="104.3" customHeight="1" x14ac:dyDescent="0.15">
      <c r="A378" s="79"/>
      <c r="B378" s="111" t="str">
        <f>+'5. Intervenciones UDT - AH'!D83</f>
        <v>Otorgamiento de derechos sobre la tierra/bosques</v>
      </c>
      <c r="C378" s="1701" t="s">
        <v>1977</v>
      </c>
      <c r="D378" s="1701" t="s">
        <v>136</v>
      </c>
      <c r="E378" s="124" t="str">
        <f>+'5. Intervenciones UDT - AH'!E83</f>
        <v>Puede realizarse a través de dos procedimientos, dependiendo de la ubicación del predio: 
1) En caso la finca se encuentre en una zona titulable de acuerdo a la capacidad de uso mayor de suelos y la ley de titulación de tierras, se procederá con el saneamiento físico legal del predio, que incluye: levantamiento de información del suelo (calicatas), gestión de autorización de cambio de uso, saneamiento físico legal (orientado a la gestión de territorio entregado como adjudicado), alinderamiento, rectificación de áreas, adjudicación de las áreas con capacidad de uso mayor agropecuario (A, C, P) y la inscripción de predios rurales en la SUNARP, todo ello respetando los derechos vigentes sobre la tierra.
2) En caso la finca se encuentre en una zona del patrimonio forestal, y dentro de la categoría de zona de tratamiento especial para sistemas agroforestales y silvopastoriles de la Zonificación Forestal, se procederá con un Contrato de Cesión en Uso para Sistemas Agroforestales, proceso que se realiza a solicitud y oficio, por parte del GRSM a través del ARA basado en la ley forestal y de Fauna Silvestre N° 29763, a través de un título habilitante cuyo procedimiento para otorgarse es orientado por SERFOR. Para tal fin se requiere la Zonificación Forestal aprobada, dichos contratos se implementan en las zonas de tratamiento especial. Así mismo. Así mismo articular con políticas territoriales, e instrumentos de gestión, debe de ir acompañado con fomento de cadenas de valor como: Plantas medicinales (raíces, cortezas), plantaciones forestales (madera), cultivos agrícolas, apicultura, etc.</v>
      </c>
      <c r="F378" s="95"/>
      <c r="G378" s="79"/>
      <c r="H378" s="79"/>
      <c r="I378" s="79"/>
      <c r="J378" s="79"/>
      <c r="K378" s="79"/>
      <c r="L378" s="79"/>
      <c r="M378" s="79"/>
      <c r="N378" s="79"/>
      <c r="O378" s="79"/>
      <c r="P378" s="79"/>
      <c r="Q378" s="79"/>
      <c r="R378" s="79"/>
      <c r="S378" s="79"/>
      <c r="T378" s="79"/>
      <c r="U378" s="79"/>
      <c r="V378" s="79"/>
      <c r="W378" s="79"/>
      <c r="X378" s="79"/>
      <c r="Y378" s="79"/>
      <c r="Z378" s="79"/>
    </row>
    <row r="379" spans="1:26" ht="44.15" x14ac:dyDescent="0.15">
      <c r="A379" s="79"/>
      <c r="B379" s="111" t="str">
        <f>+'5. Intervenciones UDT - AH'!D84</f>
        <v>Acceso a financiamiento para modelos de asociación con pequeños productores</v>
      </c>
      <c r="C379" s="1701"/>
      <c r="D379" s="1701"/>
      <c r="E379" s="124" t="str">
        <f>+'5. Intervenciones UDT - AH'!E84</f>
        <v xml:space="preserve">
Promoción del acceso a financiamiento mediante convenios con entidades financieras regionales, nacionales e internacionales; así mismo El GRSM tiene en proceso de implementación el Fondo de Desarrollo Amazónico para la Región de San Martín –FONDESAM, el cual está orientado a facilitar el acceso a nuevos y mejores productos financieros que permitan a los  pequeños productores , incrementar la productividad de sus cultivos, diversificar y/o reconvertir, desarrollar negocios agroforestales, bajo el concepto de  sostenibilidad, lo cual incluye manejo y conservación de áreas, instalación de sistemas agroforestales, aplicación de insumos no contaminantes. El FONDESAM, servirá como medio para garantizar los créditos ante las entidades financieras y para la ejecución de proyectos agrícolas.</v>
      </c>
      <c r="F379" s="95"/>
      <c r="G379" s="79"/>
      <c r="H379" s="79"/>
      <c r="I379" s="79"/>
      <c r="J379" s="79"/>
      <c r="K379" s="79"/>
      <c r="L379" s="79"/>
      <c r="M379" s="79"/>
      <c r="N379" s="79"/>
      <c r="O379" s="79"/>
      <c r="P379" s="79"/>
      <c r="Q379" s="79"/>
      <c r="R379" s="79"/>
      <c r="S379" s="79"/>
      <c r="T379" s="79"/>
      <c r="U379" s="79"/>
      <c r="V379" s="79"/>
      <c r="W379" s="79"/>
      <c r="X379" s="79"/>
      <c r="Y379" s="79"/>
      <c r="Z379" s="79"/>
    </row>
    <row r="380" spans="1:26" ht="35.35" x14ac:dyDescent="0.15">
      <c r="A380" s="79"/>
      <c r="B380" s="111" t="str">
        <f>+'5. Intervenciones UDT - AH'!D85</f>
        <v>Acompañamiento de acuerdos comerciales entre empresas y medianos productores</v>
      </c>
      <c r="C380" s="1701"/>
      <c r="D380" s="1701"/>
      <c r="E380" s="124" t="str">
        <f>+'5. Intervenciones UDT - AH'!E85</f>
        <v>Brindar asesoramiento y acompañamiento a los productores organizados y no organizados en sus procesos de negociación, este acompañamiento permitirá llegar a buenos acuerdos con las empresas y asegurar que los pequeños productores tengan acceso a precios justos.</v>
      </c>
      <c r="F380" s="95"/>
      <c r="G380" s="79"/>
      <c r="H380" s="79"/>
      <c r="I380" s="79"/>
      <c r="J380" s="79"/>
      <c r="K380" s="79"/>
      <c r="L380" s="79"/>
      <c r="M380" s="79"/>
      <c r="N380" s="79"/>
      <c r="O380" s="79"/>
      <c r="P380" s="79"/>
      <c r="Q380" s="79"/>
      <c r="R380" s="79"/>
      <c r="S380" s="79"/>
      <c r="T380" s="79"/>
      <c r="U380" s="79"/>
      <c r="V380" s="79"/>
      <c r="W380" s="79"/>
      <c r="X380" s="79"/>
      <c r="Y380" s="79"/>
      <c r="Z380" s="79"/>
    </row>
    <row r="381" spans="1:26" ht="44.15" x14ac:dyDescent="0.15">
      <c r="A381" s="79"/>
      <c r="B381" s="111" t="str">
        <f>+'5. Intervenciones UDT - AH'!D86</f>
        <v>Ampliación de estudios de HCS y HCV para nuevas áreas potenciales para asociación con pequeños productores</v>
      </c>
      <c r="C381" s="1701"/>
      <c r="D381" s="1701"/>
      <c r="E381" s="124" t="str">
        <f>+'5. Intervenciones UDT - AH'!E86</f>
        <v>Promover el financiamiento para el desarrollo e implementación de estudios de umbrales de carbono en el suelo y en los bosques.</v>
      </c>
      <c r="F381" s="95"/>
      <c r="G381" s="79"/>
      <c r="H381" s="79"/>
      <c r="I381" s="79"/>
      <c r="J381" s="79"/>
      <c r="K381" s="79"/>
      <c r="L381" s="79"/>
      <c r="M381" s="79"/>
      <c r="N381" s="79"/>
      <c r="O381" s="79"/>
      <c r="P381" s="79"/>
      <c r="Q381" s="79"/>
      <c r="R381" s="79"/>
      <c r="S381" s="79"/>
      <c r="T381" s="79"/>
      <c r="U381" s="79"/>
      <c r="V381" s="79"/>
      <c r="W381" s="79"/>
      <c r="X381" s="79"/>
      <c r="Y381" s="79"/>
      <c r="Z381" s="79"/>
    </row>
    <row r="382" spans="1:26" ht="18.7" customHeight="1" x14ac:dyDescent="0.15">
      <c r="A382" s="79"/>
      <c r="B382" s="79"/>
      <c r="C382" s="94"/>
      <c r="D382" s="95"/>
      <c r="E382" s="87"/>
      <c r="F382" s="95"/>
      <c r="G382" s="79"/>
      <c r="H382" s="79"/>
      <c r="I382" s="79"/>
      <c r="J382" s="79"/>
      <c r="K382" s="79"/>
      <c r="L382" s="79"/>
      <c r="M382" s="79"/>
      <c r="N382" s="79"/>
      <c r="O382" s="79"/>
      <c r="P382" s="79"/>
      <c r="Q382" s="79"/>
      <c r="R382" s="79"/>
      <c r="S382" s="79"/>
      <c r="T382" s="79"/>
      <c r="U382" s="79"/>
      <c r="V382" s="79"/>
      <c r="W382" s="79"/>
      <c r="X382" s="79"/>
      <c r="Y382" s="79"/>
      <c r="Z382" s="79"/>
    </row>
    <row r="383" spans="1:26" ht="18.7" customHeight="1" x14ac:dyDescent="0.15">
      <c r="A383" s="79"/>
      <c r="B383" s="79"/>
      <c r="C383" s="94"/>
      <c r="D383" s="95"/>
      <c r="E383" s="87"/>
      <c r="F383" s="95"/>
      <c r="G383" s="79"/>
      <c r="H383" s="79"/>
      <c r="I383" s="79"/>
      <c r="J383" s="79"/>
      <c r="K383" s="79"/>
      <c r="L383" s="79"/>
      <c r="M383" s="79"/>
      <c r="N383" s="79"/>
      <c r="O383" s="79"/>
      <c r="P383" s="79"/>
      <c r="Q383" s="79"/>
      <c r="R383" s="79"/>
      <c r="S383" s="79"/>
      <c r="T383" s="79"/>
      <c r="U383" s="79"/>
      <c r="V383" s="79"/>
      <c r="W383" s="79"/>
      <c r="X383" s="79"/>
      <c r="Y383" s="79"/>
      <c r="Z383" s="79"/>
    </row>
    <row r="384" spans="1:26" ht="17.7" x14ac:dyDescent="0.15">
      <c r="A384" s="79"/>
      <c r="B384" s="107" t="s">
        <v>2013</v>
      </c>
      <c r="C384" s="101" t="s">
        <v>142</v>
      </c>
      <c r="D384" s="101" t="s">
        <v>1968</v>
      </c>
      <c r="E384" s="107" t="s">
        <v>2014</v>
      </c>
      <c r="F384" s="95"/>
      <c r="G384" s="79"/>
      <c r="H384" s="79"/>
      <c r="I384" s="79"/>
      <c r="J384" s="79"/>
      <c r="K384" s="79"/>
      <c r="L384" s="79"/>
      <c r="M384" s="79"/>
      <c r="N384" s="79"/>
      <c r="O384" s="79"/>
      <c r="P384" s="79"/>
      <c r="Q384" s="79"/>
      <c r="R384" s="79"/>
      <c r="S384" s="79"/>
      <c r="T384" s="79"/>
      <c r="U384" s="79"/>
      <c r="V384" s="79"/>
      <c r="W384" s="79"/>
      <c r="X384" s="79"/>
      <c r="Y384" s="79"/>
      <c r="Z384" s="79"/>
    </row>
    <row r="385" spans="1:26" ht="44.15" x14ac:dyDescent="0.15">
      <c r="A385" s="79"/>
      <c r="B385" s="111" t="str">
        <f>+'5. Intervenciones UDT - AH'!D98</f>
        <v>Incentivos financieros para promoción del ecoturismo y turismo comunitario</v>
      </c>
      <c r="C385" s="1701" t="s">
        <v>1977</v>
      </c>
      <c r="D385" s="1701" t="s">
        <v>2025</v>
      </c>
      <c r="E385" s="124" t="str">
        <f>+'5. Intervenciones UDT - AH'!E98</f>
        <v>Implementación de planes de negocios para  la identificación de la oferta y demanda turística, de esta manera promover el acondicionamiento y la gestión técnica en torno de los recursos y atractivos priorizados : servicios (De contar mínimamente con infraestructura de necesidades básicas de acuerdo a su naturaleza y ubicación,  servicios higiénicos, descansaderos y vestidores), formalización (Debe figurar en el Inventario Regional de Recursos Turísticos), accesibilidad (Debe contar con vías de acceso en buen estado y mantenimiento), administración (Debe encontrarse a cargo, cuidado y/o bajo responsabilidad de una institución y/u organización formalmente). La institución competente deberá establecer los criterios de evaluación de estos fondos; los criterios mínimos a evaluar son: a. vocación turística, b. organización. c. infraestructura, d. demanda, e. patrimonio cultural y natural y f. propuesta de valor diferencial.</v>
      </c>
      <c r="F385" s="95"/>
      <c r="G385" s="79"/>
      <c r="H385" s="79"/>
      <c r="I385" s="79"/>
      <c r="J385" s="79"/>
      <c r="K385" s="79"/>
      <c r="L385" s="79"/>
      <c r="M385" s="79"/>
      <c r="N385" s="79"/>
      <c r="O385" s="79"/>
      <c r="P385" s="79"/>
      <c r="Q385" s="79"/>
      <c r="R385" s="79"/>
      <c r="S385" s="79"/>
      <c r="T385" s="79"/>
      <c r="U385" s="79"/>
      <c r="V385" s="79"/>
      <c r="W385" s="79"/>
      <c r="X385" s="79"/>
      <c r="Y385" s="79"/>
      <c r="Z385" s="79"/>
    </row>
    <row r="386" spans="1:26" ht="61.85" x14ac:dyDescent="0.15">
      <c r="A386" s="79"/>
      <c r="B386" s="111" t="str">
        <f>+'5. Intervenciones UDT - AH'!D99</f>
        <v>Asistencia técnica para la gestión del turismo y acciones integradas para el desarrollo de las organizaciones  o emprendimientos comunitarios</v>
      </c>
      <c r="C386" s="1368"/>
      <c r="D386" s="1368"/>
      <c r="E386" s="124" t="str">
        <f>+'5. Intervenciones UDT - AH'!E99</f>
        <v>1. Fortalecimiento de capacidades para  elevar la competitividad en la prestación de los servicios turísticos. El asesoramiento técnico estará orientado a  fomentar la formalidad, reconocimiento y certificaciones de calidad, apoyo en la coordinación de acciones de cooperación con Actors públicos y privados, y  elaboración de planes de manejo turístico de las concesiones para conservación. Este fortalecimiento tendrá como base los Lineamientos para el Desarrollo del Turismo Comunitario 2019, considera lograr ciertas condiciones mínimas que garanticen la sostenibilidad de la iniciativa turística: a. Vocación Turística, b. Interés de la comunidad, c. actividades económicas tradicionales, d. Infraestructura básica, e. Patrimonio cultural y natural, f.Producto turístico y g.Gestión local del turismo.
2. Asistencia técnica, orientada al a) Fortalecimiento de la gestión del turismo, b) Consolidación de los productos de turismo y c) Fortalecimiento de la política institucional y la gobernanza del turismo.</v>
      </c>
      <c r="F386" s="95"/>
      <c r="G386" s="79"/>
      <c r="H386" s="79"/>
      <c r="I386" s="79"/>
      <c r="J386" s="79"/>
      <c r="K386" s="79"/>
      <c r="L386" s="79"/>
      <c r="M386" s="79"/>
      <c r="N386" s="79"/>
      <c r="O386" s="79"/>
      <c r="P386" s="79"/>
      <c r="Q386" s="79"/>
      <c r="R386" s="79"/>
      <c r="S386" s="79"/>
      <c r="T386" s="79"/>
      <c r="U386" s="79"/>
      <c r="V386" s="79"/>
      <c r="W386" s="79"/>
      <c r="X386" s="79"/>
      <c r="Y386" s="79"/>
      <c r="Z386" s="79"/>
    </row>
    <row r="387" spans="1:26" ht="35.35" x14ac:dyDescent="0.15">
      <c r="A387" s="79"/>
      <c r="B387" s="111" t="str">
        <f>+'5. Intervenciones UDT - AH'!D100</f>
        <v xml:space="preserve">Promoción de Bionegocios con productos forestales no maderables </v>
      </c>
      <c r="C387" s="1368"/>
      <c r="D387" s="1368"/>
      <c r="E387" s="124" t="str">
        <f>+'5. Intervenciones UDT - AH'!E100</f>
        <v>Implementación de planes de negocios innovadores en articulación con programas de financiamiento, enfocados en la obtención de productos y servicios provenientes del bosque bajo un manejo sostenible.  Se  destacan los productos de: miel, aguaje, plantas medicinales, resinas, vainilla, orquídeas, semillas forestales, otros. El Gobierno Regional, gestiona ante los Programas Nacionales la adecuación a un contexto regional amázonico los requerimientos o requisitos solicitados en las bases.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387" s="95"/>
      <c r="G387" s="79"/>
      <c r="H387" s="79"/>
      <c r="I387" s="79"/>
      <c r="J387" s="79"/>
      <c r="K387" s="79"/>
      <c r="L387" s="79"/>
      <c r="M387" s="79"/>
      <c r="N387" s="79"/>
      <c r="O387" s="79"/>
      <c r="P387" s="79"/>
      <c r="Q387" s="79"/>
      <c r="R387" s="79"/>
      <c r="S387" s="79"/>
      <c r="T387" s="79"/>
      <c r="U387" s="79"/>
      <c r="V387" s="79"/>
      <c r="W387" s="79"/>
      <c r="X387" s="79"/>
      <c r="Y387" s="79"/>
      <c r="Z387" s="79"/>
    </row>
    <row r="388" spans="1:26" ht="26.5" x14ac:dyDescent="0.15">
      <c r="A388" s="79"/>
      <c r="B388" s="111" t="str">
        <f>+'5. Intervenciones UDT - AH'!D101</f>
        <v xml:space="preserve"> Promoción de mercados turísticos</v>
      </c>
      <c r="C388" s="1368"/>
      <c r="D388" s="1368"/>
      <c r="E388" s="124" t="str">
        <f>+'5. Intervenciones UDT - AH'!E101</f>
        <v>En articulación con DIRCETUR y MINCETUR, identificar los mercado meta para posicionar  el ecoturismo y turismo comunitario, desarrollo de herramientas de comercialización, promoción e identificación de los tipos de visitantes que llegan a su organización. Realizar una adecuada  promoción y difusión de los circuitos turísticos para lograra el posicionamiento regional y nacional,  teniendo en cuenta la capacidad de carga  en las zonas uso turístico. La estrategia de promoción de los mercados, se realizará priorizando el turismo interno, posteriormente su escalamiento a nivel nacional e internacional.</v>
      </c>
      <c r="F388" s="95"/>
      <c r="G388" s="79"/>
      <c r="H388" s="79"/>
      <c r="I388" s="79"/>
      <c r="J388" s="79"/>
      <c r="K388" s="79"/>
      <c r="L388" s="79"/>
      <c r="M388" s="79"/>
      <c r="N388" s="79"/>
      <c r="O388" s="79"/>
      <c r="P388" s="79"/>
      <c r="Q388" s="79"/>
      <c r="R388" s="79"/>
      <c r="S388" s="79"/>
      <c r="T388" s="79"/>
      <c r="U388" s="79"/>
      <c r="V388" s="79"/>
      <c r="W388" s="79"/>
      <c r="X388" s="79"/>
      <c r="Y388" s="79"/>
      <c r="Z388" s="79"/>
    </row>
    <row r="389" spans="1:26" ht="19.05" customHeight="1" x14ac:dyDescent="0.15">
      <c r="A389" s="79"/>
      <c r="B389" s="79"/>
      <c r="C389" s="94"/>
      <c r="D389" s="95"/>
      <c r="E389" s="87"/>
      <c r="F389" s="95"/>
      <c r="G389" s="79"/>
      <c r="H389" s="79"/>
      <c r="I389" s="79"/>
      <c r="J389" s="79"/>
      <c r="K389" s="79"/>
      <c r="L389" s="79"/>
      <c r="M389" s="79"/>
      <c r="N389" s="79"/>
      <c r="O389" s="79"/>
      <c r="P389" s="79"/>
      <c r="Q389" s="79"/>
      <c r="R389" s="79"/>
      <c r="S389" s="79"/>
      <c r="T389" s="79"/>
      <c r="U389" s="79"/>
      <c r="V389" s="79"/>
      <c r="W389" s="79"/>
      <c r="X389" s="79"/>
      <c r="Y389" s="79"/>
      <c r="Z389" s="79"/>
    </row>
    <row r="390" spans="1:26" ht="19.05" customHeight="1" x14ac:dyDescent="0.15">
      <c r="A390" s="79"/>
      <c r="B390" s="79"/>
      <c r="C390" s="94"/>
      <c r="D390" s="95"/>
      <c r="E390" s="87"/>
      <c r="F390" s="95"/>
      <c r="G390" s="79"/>
      <c r="H390" s="79"/>
      <c r="I390" s="79"/>
      <c r="J390" s="79"/>
      <c r="K390" s="79"/>
      <c r="L390" s="79"/>
      <c r="M390" s="79"/>
      <c r="N390" s="79"/>
      <c r="O390" s="79"/>
      <c r="P390" s="79"/>
      <c r="Q390" s="79"/>
      <c r="R390" s="79"/>
      <c r="S390" s="79"/>
      <c r="T390" s="79"/>
      <c r="U390" s="79"/>
      <c r="V390" s="79"/>
      <c r="W390" s="79"/>
      <c r="X390" s="79"/>
      <c r="Y390" s="79"/>
      <c r="Z390" s="79"/>
    </row>
    <row r="391" spans="1:26" ht="17.7" x14ac:dyDescent="0.15">
      <c r="A391" s="79"/>
      <c r="B391" s="107" t="s">
        <v>2013</v>
      </c>
      <c r="C391" s="101" t="s">
        <v>142</v>
      </c>
      <c r="D391" s="101" t="s">
        <v>1968</v>
      </c>
      <c r="E391" s="107" t="s">
        <v>2014</v>
      </c>
      <c r="F391" s="95"/>
      <c r="G391" s="79"/>
      <c r="H391" s="79"/>
      <c r="I391" s="79"/>
      <c r="J391" s="79"/>
      <c r="K391" s="79"/>
      <c r="L391" s="79"/>
      <c r="M391" s="79"/>
      <c r="N391" s="79"/>
      <c r="O391" s="79"/>
      <c r="P391" s="79"/>
      <c r="Q391" s="79"/>
      <c r="R391" s="79"/>
      <c r="S391" s="79"/>
      <c r="T391" s="79"/>
      <c r="U391" s="79"/>
      <c r="V391" s="79"/>
      <c r="W391" s="79"/>
      <c r="X391" s="79"/>
      <c r="Y391" s="79"/>
      <c r="Z391" s="79"/>
    </row>
    <row r="392" spans="1:26" ht="17.7" x14ac:dyDescent="0.15">
      <c r="A392" s="79"/>
      <c r="B392" s="109" t="str">
        <f>+'5. Intervenciones UDT - AH'!D114</f>
        <v>Incentivos financieros para manejo forestal sostenible</v>
      </c>
      <c r="C392" s="1716" t="s">
        <v>1977</v>
      </c>
      <c r="D392" s="1703" t="s">
        <v>2026</v>
      </c>
      <c r="E392" s="88" t="str">
        <f>+'5. Intervenciones UDT - AH'!E114</f>
        <v>Otorgamiento de créditos que permitan potenciar y desarrollar la actividad forestal en la región, los créditos servirán principalmente para el desarrollo de actividades de extracción y cumplimiento de los planes de manejo ambiental, proyectos sociales con las comunidades alternas a la concesión.</v>
      </c>
      <c r="F392" s="95"/>
      <c r="G392" s="79"/>
      <c r="H392" s="79"/>
      <c r="I392" s="79"/>
      <c r="J392" s="79"/>
      <c r="K392" s="79"/>
      <c r="L392" s="79"/>
      <c r="M392" s="79"/>
      <c r="N392" s="79"/>
      <c r="O392" s="79"/>
      <c r="P392" s="79"/>
      <c r="Q392" s="79"/>
      <c r="R392" s="79"/>
      <c r="S392" s="79"/>
      <c r="T392" s="79"/>
      <c r="U392" s="79"/>
      <c r="V392" s="79"/>
      <c r="W392" s="79"/>
      <c r="X392" s="79"/>
      <c r="Y392" s="79"/>
      <c r="Z392" s="79"/>
    </row>
    <row r="393" spans="1:26" ht="27" customHeight="1" x14ac:dyDescent="0.15">
      <c r="A393" s="79"/>
      <c r="B393" s="109" t="str">
        <f>+'5. Intervenciones UDT - AH'!D115</f>
        <v>Nuevos mecanismos de pagos de deudas por sanciones</v>
      </c>
      <c r="C393" s="1716"/>
      <c r="D393" s="1703"/>
      <c r="E393" s="88" t="str">
        <f>+'5. Intervenciones UDT - AH'!E115</f>
        <v>Desarrollar mecanismos alternativos para el pago de deudas por sanciones de los concesionarios: fraccionamiento accesible, compra de deudas por medio de otros inversionistas, alianzas con otros concesionarios. Con estos mecanismos de apoyo, se espera que de las 9 concesiones forestales puedan acceder a este beneficio.</v>
      </c>
      <c r="F393" s="95"/>
      <c r="G393" s="79"/>
      <c r="H393" s="79"/>
      <c r="I393" s="79"/>
      <c r="J393" s="79"/>
      <c r="K393" s="79"/>
      <c r="L393" s="79"/>
      <c r="M393" s="79"/>
      <c r="N393" s="79"/>
      <c r="O393" s="79"/>
      <c r="P393" s="79"/>
      <c r="Q393" s="79"/>
      <c r="R393" s="79"/>
      <c r="S393" s="79"/>
      <c r="T393" s="79"/>
      <c r="U393" s="79"/>
      <c r="V393" s="79"/>
      <c r="W393" s="79"/>
      <c r="X393" s="79"/>
      <c r="Y393" s="79"/>
      <c r="Z393" s="79"/>
    </row>
    <row r="394" spans="1:26" ht="35.35" x14ac:dyDescent="0.15">
      <c r="A394" s="79"/>
      <c r="B394" s="109" t="str">
        <f>+'5. Intervenciones UDT - AH'!D113</f>
        <v>Exclusión y compensación de concesiones forestales maderables a solicitud del concesionario</v>
      </c>
      <c r="C394" s="1717"/>
      <c r="D394" s="1704"/>
      <c r="E394" s="88" t="str">
        <f>+'5. Intervenciones UDT - AH'!E113</f>
        <v>Realizar un sinceramiento de las concesiones forestales activas e inactivas para excluir o realizar nuevos otorgamientos a empresas que puedan cumplir técnica y económicamente con lo predispuesto en la directiva.</v>
      </c>
      <c r="F394" s="95"/>
      <c r="G394" s="79"/>
      <c r="H394" s="79"/>
      <c r="I394" s="79"/>
      <c r="J394" s="79"/>
      <c r="K394" s="79"/>
      <c r="L394" s="79"/>
      <c r="M394" s="79"/>
      <c r="N394" s="79"/>
      <c r="O394" s="79"/>
      <c r="P394" s="79"/>
      <c r="Q394" s="79"/>
      <c r="R394" s="79"/>
      <c r="S394" s="79"/>
      <c r="T394" s="79"/>
      <c r="U394" s="79"/>
      <c r="V394" s="79"/>
      <c r="W394" s="79"/>
      <c r="X394" s="79"/>
      <c r="Y394" s="79"/>
      <c r="Z394" s="79"/>
    </row>
    <row r="395" spans="1:26" ht="18.7" customHeight="1" x14ac:dyDescent="0.15">
      <c r="A395" s="79"/>
      <c r="B395" s="79"/>
      <c r="C395" s="94"/>
      <c r="D395" s="95"/>
      <c r="E395" s="87"/>
      <c r="F395" s="95"/>
      <c r="G395" s="79"/>
      <c r="H395" s="79"/>
      <c r="I395" s="79"/>
      <c r="J395" s="79"/>
      <c r="K395" s="79"/>
      <c r="L395" s="79"/>
      <c r="M395" s="79"/>
      <c r="N395" s="79"/>
      <c r="O395" s="79"/>
      <c r="P395" s="79"/>
      <c r="Q395" s="79"/>
      <c r="R395" s="79"/>
      <c r="S395" s="79"/>
      <c r="T395" s="79"/>
      <c r="U395" s="79"/>
      <c r="V395" s="79"/>
      <c r="W395" s="79"/>
      <c r="X395" s="79"/>
      <c r="Y395" s="79"/>
      <c r="Z395" s="79"/>
    </row>
    <row r="396" spans="1:26" ht="18.7" customHeight="1" x14ac:dyDescent="0.15">
      <c r="A396" s="79"/>
      <c r="B396" s="79"/>
      <c r="C396" s="94"/>
      <c r="D396" s="95"/>
      <c r="E396" s="87"/>
      <c r="F396" s="95"/>
      <c r="G396" s="79"/>
      <c r="H396" s="79"/>
      <c r="I396" s="79"/>
      <c r="J396" s="79"/>
      <c r="K396" s="79"/>
      <c r="L396" s="79"/>
      <c r="M396" s="79"/>
      <c r="N396" s="79"/>
      <c r="O396" s="79"/>
      <c r="P396" s="79"/>
      <c r="Q396" s="79"/>
      <c r="R396" s="79"/>
      <c r="S396" s="79"/>
      <c r="T396" s="79"/>
      <c r="U396" s="79"/>
      <c r="V396" s="79"/>
      <c r="W396" s="79"/>
      <c r="X396" s="79"/>
      <c r="Y396" s="79"/>
      <c r="Z396" s="79"/>
    </row>
    <row r="397" spans="1:26" ht="17.7" x14ac:dyDescent="0.15">
      <c r="A397" s="79"/>
      <c r="B397" s="107" t="s">
        <v>2013</v>
      </c>
      <c r="C397" s="101" t="s">
        <v>142</v>
      </c>
      <c r="D397" s="101" t="s">
        <v>1968</v>
      </c>
      <c r="E397" s="107" t="s">
        <v>2014</v>
      </c>
      <c r="F397" s="95"/>
      <c r="G397" s="79"/>
      <c r="H397" s="79"/>
      <c r="I397" s="79"/>
      <c r="J397" s="79"/>
      <c r="K397" s="79"/>
      <c r="L397" s="79"/>
      <c r="M397" s="79"/>
      <c r="N397" s="79"/>
      <c r="O397" s="79"/>
      <c r="P397" s="79"/>
      <c r="Q397" s="79"/>
      <c r="R397" s="79"/>
      <c r="S397" s="79"/>
      <c r="T397" s="79"/>
      <c r="U397" s="79"/>
      <c r="V397" s="79"/>
      <c r="W397" s="79"/>
      <c r="X397" s="79"/>
      <c r="Y397" s="79"/>
      <c r="Z397" s="79"/>
    </row>
    <row r="398" spans="1:26" ht="26.5" x14ac:dyDescent="0.15">
      <c r="A398" s="79"/>
      <c r="B398" s="109" t="str">
        <f>+'5. Intervenciones UDT - AH'!D127</f>
        <v>Elaborar lineamientos de uso de recursos y demarcación de límites</v>
      </c>
      <c r="C398" s="1710" t="s">
        <v>1977</v>
      </c>
      <c r="D398" s="1710" t="s">
        <v>138</v>
      </c>
      <c r="E398" s="88" t="str">
        <f>+'5. Intervenciones UDT - AH'!E127</f>
        <v>Propuesta de lineamientos para aprovechamiento sostenible de los Recursos Naturales Presentes.</v>
      </c>
      <c r="F398" s="95"/>
      <c r="G398" s="79"/>
      <c r="H398" s="79"/>
      <c r="I398" s="79"/>
      <c r="J398" s="79"/>
      <c r="K398" s="79"/>
      <c r="L398" s="79"/>
      <c r="M398" s="79"/>
      <c r="N398" s="79"/>
      <c r="O398" s="79"/>
      <c r="P398" s="79"/>
      <c r="Q398" s="79"/>
      <c r="R398" s="79"/>
      <c r="S398" s="79"/>
      <c r="T398" s="79"/>
      <c r="U398" s="79"/>
      <c r="V398" s="79"/>
      <c r="W398" s="79"/>
      <c r="X398" s="79"/>
      <c r="Y398" s="79"/>
      <c r="Z398" s="79"/>
    </row>
    <row r="399" spans="1:26" ht="17.7" x14ac:dyDescent="0.15">
      <c r="A399" s="79"/>
      <c r="B399" s="109" t="str">
        <f>+'5. Intervenciones UDT - AH'!D128</f>
        <v>Fortalecer el control y vigilancia</v>
      </c>
      <c r="C399" s="1711"/>
      <c r="D399" s="1711"/>
      <c r="E399" s="88" t="str">
        <f>+'5. Intervenciones UDT - AH'!E128</f>
        <v>Implementar con recursos necesarios al ente que administra el área, con la finalidad de aumentar el número de personas (guardaparques) que contribuyan a realizar acciones de control y vigilancia.</v>
      </c>
      <c r="F399" s="95"/>
      <c r="G399" s="79"/>
      <c r="H399" s="79"/>
      <c r="I399" s="79"/>
      <c r="J399" s="79"/>
      <c r="K399" s="79"/>
      <c r="L399" s="79"/>
      <c r="M399" s="79"/>
      <c r="N399" s="79"/>
      <c r="O399" s="79"/>
      <c r="P399" s="79"/>
      <c r="Q399" s="79"/>
      <c r="R399" s="79"/>
      <c r="S399" s="79"/>
      <c r="T399" s="79"/>
      <c r="U399" s="79"/>
      <c r="V399" s="79"/>
      <c r="W399" s="79"/>
      <c r="X399" s="79"/>
      <c r="Y399" s="79"/>
      <c r="Z399" s="79"/>
    </row>
    <row r="400" spans="1:26" ht="35.35" x14ac:dyDescent="0.15">
      <c r="A400" s="79"/>
      <c r="B400" s="109" t="str">
        <f>+'5. Intervenciones UDT - AH'!D129</f>
        <v>Sensibilización para el fortalecimiento del control y vigilancia en zona de amortiguamiento</v>
      </c>
      <c r="C400" s="1711"/>
      <c r="D400" s="1711"/>
      <c r="E400" s="88" t="str">
        <f>+'5. Intervenciones UDT - AH'!E129</f>
        <v>Campañas de sensibilización en los distritos acentuadas en el ámbito del ACR, considerando la participación del ARA, DRASAM, DIRCETUR, GRDS, CGSCM, CGBPAM, PNCB, OSINFOR. Articular acciones de vigilancia y control entre el ente que administra el ACR, cooperantes, población organizada como Juntas vecinales, comités de vigilancia, rondas campesinas, productores, comités y otros que se benefician de los servicios eco sistémicos del ANP</v>
      </c>
      <c r="F400" s="95"/>
      <c r="G400" s="79"/>
      <c r="H400" s="79"/>
      <c r="I400" s="79"/>
      <c r="J400" s="79"/>
      <c r="K400" s="79"/>
      <c r="L400" s="79"/>
      <c r="M400" s="79"/>
      <c r="N400" s="79"/>
      <c r="O400" s="79"/>
      <c r="P400" s="79"/>
      <c r="Q400" s="79"/>
      <c r="R400" s="79"/>
      <c r="S400" s="79"/>
      <c r="T400" s="79"/>
      <c r="U400" s="79"/>
      <c r="V400" s="79"/>
      <c r="W400" s="79"/>
      <c r="X400" s="79"/>
      <c r="Y400" s="79"/>
      <c r="Z400" s="79"/>
    </row>
    <row r="401" spans="1:26" ht="35.35" x14ac:dyDescent="0.15">
      <c r="A401" s="79"/>
      <c r="B401" s="109" t="str">
        <f>+'5. Intervenciones UDT - AH'!D130</f>
        <v>Promoción de agroforestería sostenible en zona de amortiguamiento</v>
      </c>
      <c r="C401" s="1711"/>
      <c r="D401" s="1711"/>
      <c r="E401" s="88" t="str">
        <f>+'5. Intervenciones UDT - AH'!E130</f>
        <v>Encuentros de productores con la finalidad de promocionar los diferentes sistemas productivos sostenibles a ser replicados en las comunidades.</v>
      </c>
      <c r="F401" s="95"/>
      <c r="G401" s="79"/>
      <c r="H401" s="79"/>
      <c r="I401" s="79"/>
      <c r="J401" s="79"/>
      <c r="K401" s="79"/>
      <c r="L401" s="79"/>
      <c r="M401" s="79"/>
      <c r="N401" s="79"/>
      <c r="O401" s="79"/>
      <c r="P401" s="79"/>
      <c r="Q401" s="79"/>
      <c r="R401" s="79"/>
      <c r="S401" s="79"/>
      <c r="T401" s="79"/>
      <c r="U401" s="79"/>
      <c r="V401" s="79"/>
      <c r="W401" s="79"/>
      <c r="X401" s="79"/>
      <c r="Y401" s="79"/>
      <c r="Z401" s="79"/>
    </row>
    <row r="402" spans="1:26" ht="26.5" x14ac:dyDescent="0.15">
      <c r="A402" s="79"/>
      <c r="B402" s="109" t="str">
        <f>+'5. Intervenciones UDT - AH'!D131</f>
        <v>Promoción y difusión de circuitos turísticos en zona de amortiguamiento</v>
      </c>
      <c r="C402" s="1711"/>
      <c r="D402" s="1711"/>
      <c r="E402" s="88" t="str">
        <f>+'5. Intervenciones UDT - AH'!E131</f>
        <v>Campañas de promoción y difusión en el ámbito regional y nacional de los circuitos turísticos que existen en la zona de amortiguamiento.</v>
      </c>
      <c r="F402" s="95"/>
      <c r="G402" s="79"/>
      <c r="H402" s="79"/>
      <c r="I402" s="79"/>
      <c r="J402" s="79"/>
      <c r="K402" s="79"/>
      <c r="L402" s="79"/>
      <c r="M402" s="79"/>
      <c r="N402" s="79"/>
      <c r="O402" s="79"/>
      <c r="P402" s="79"/>
      <c r="Q402" s="79"/>
      <c r="R402" s="79"/>
      <c r="S402" s="79"/>
      <c r="T402" s="79"/>
      <c r="U402" s="79"/>
      <c r="V402" s="79"/>
      <c r="W402" s="79"/>
      <c r="X402" s="79"/>
      <c r="Y402" s="79"/>
      <c r="Z402" s="79"/>
    </row>
    <row r="403" spans="1:26" ht="26.5" x14ac:dyDescent="0.15">
      <c r="A403" s="79"/>
      <c r="B403" s="109" t="str">
        <f>+'5. Intervenciones UDT - AH'!D134</f>
        <v>Incentivos financieros para promoción del ecoturismo y turismo comunitario</v>
      </c>
      <c r="C403" s="1711"/>
      <c r="D403" s="1711"/>
      <c r="E403" s="88" t="str">
        <f>+'5. Intervenciones UDT - AH'!E134</f>
        <v>Implementación de planes de negocios para  la Diversificación y consolidación de la oferta turística, de esta manera promover el acondicionamiento y la gestión técnica en torno de los recursos y atractivos priorizados.</v>
      </c>
      <c r="F403" s="95"/>
      <c r="G403" s="79"/>
      <c r="H403" s="79"/>
      <c r="I403" s="79"/>
      <c r="J403" s="79"/>
      <c r="K403" s="79"/>
      <c r="L403" s="79"/>
      <c r="M403" s="79"/>
      <c r="N403" s="79"/>
      <c r="O403" s="79"/>
      <c r="P403" s="79"/>
      <c r="Q403" s="79"/>
      <c r="R403" s="79"/>
      <c r="S403" s="79"/>
      <c r="T403" s="79"/>
      <c r="U403" s="79"/>
      <c r="V403" s="79"/>
      <c r="W403" s="79"/>
      <c r="X403" s="79"/>
      <c r="Y403" s="79"/>
      <c r="Z403" s="79"/>
    </row>
    <row r="404" spans="1:26" ht="79.5" x14ac:dyDescent="0.15">
      <c r="A404" s="79"/>
      <c r="B404" s="109" t="str">
        <f>+'5. Intervenciones UDT - AH'!D132</f>
        <v>Promover la planificación comunal en centros poblados del interior en base a la zonificación y zona de amortiguamiento teniendo como base al Plan Maestro (incluye acuerdos de conservación)</v>
      </c>
      <c r="C404" s="1711"/>
      <c r="D404" s="1711"/>
      <c r="E404" s="88" t="str">
        <f>+'5. Intervenciones UDT - AH'!E132</f>
        <v>Actualización y elaboración de planes de gestión comunal de las localidades acentuadas en las zonas de amortiguamiento con la finalidad de orientar adecuadamente la implementación y ejecución de proyectos.</v>
      </c>
      <c r="F404" s="95"/>
      <c r="G404" s="79"/>
      <c r="H404" s="79"/>
      <c r="I404" s="79"/>
      <c r="J404" s="79"/>
      <c r="K404" s="79"/>
      <c r="L404" s="79"/>
      <c r="M404" s="79"/>
      <c r="N404" s="79"/>
      <c r="O404" s="79"/>
      <c r="P404" s="79"/>
      <c r="Q404" s="79"/>
      <c r="R404" s="79"/>
      <c r="S404" s="79"/>
      <c r="T404" s="79"/>
      <c r="U404" s="79"/>
      <c r="V404" s="79"/>
      <c r="W404" s="79"/>
      <c r="X404" s="79"/>
      <c r="Y404" s="79"/>
      <c r="Z404" s="79"/>
    </row>
    <row r="405" spans="1:26" ht="26.5" x14ac:dyDescent="0.15">
      <c r="A405" s="79"/>
      <c r="B405" s="109" t="str">
        <f>+'5. Intervenciones UDT - AH'!D133</f>
        <v>Recuperación de la red hídrica en la zona de influencia de la ACR</v>
      </c>
      <c r="C405" s="1712"/>
      <c r="D405" s="1712"/>
      <c r="E405" s="88" t="str">
        <f>+'5. Intervenciones UDT - AH'!E133</f>
        <v>Ejecución de proyectos de Inversión Pública con la finalidad de proteger y mantener las cuencas hidrográficas ubicadas dentro del ACR. La GRDE, el ARA y los proyectos especiales a través de sus diferentes direcciones de línea, deberán implementar esta actividad  a través de los PIP y actividades propias de las direcciones.</v>
      </c>
      <c r="F405" s="95"/>
      <c r="G405" s="79"/>
      <c r="H405" s="79"/>
      <c r="I405" s="79"/>
      <c r="J405" s="79"/>
      <c r="K405" s="79"/>
      <c r="L405" s="79"/>
      <c r="M405" s="79"/>
      <c r="N405" s="79"/>
      <c r="O405" s="79"/>
      <c r="P405" s="79"/>
      <c r="Q405" s="79"/>
      <c r="R405" s="79"/>
      <c r="S405" s="79"/>
      <c r="T405" s="79"/>
      <c r="U405" s="79"/>
      <c r="V405" s="79"/>
      <c r="W405" s="79"/>
      <c r="X405" s="79"/>
      <c r="Y405" s="79"/>
      <c r="Z405" s="79"/>
    </row>
    <row r="406" spans="1:26" ht="14.95" customHeight="1" x14ac:dyDescent="0.15">
      <c r="A406" s="79"/>
      <c r="B406" s="94"/>
      <c r="C406" s="94"/>
      <c r="D406" s="95"/>
      <c r="E406" s="87"/>
      <c r="F406" s="95"/>
      <c r="G406" s="79"/>
      <c r="H406" s="79"/>
      <c r="I406" s="79"/>
      <c r="J406" s="79"/>
      <c r="K406" s="79"/>
      <c r="L406" s="79"/>
      <c r="M406" s="79"/>
      <c r="N406" s="79"/>
      <c r="O406" s="79"/>
      <c r="P406" s="79"/>
      <c r="Q406" s="79"/>
      <c r="R406" s="79"/>
      <c r="S406" s="79"/>
      <c r="T406" s="79"/>
      <c r="U406" s="79"/>
      <c r="V406" s="79"/>
      <c r="W406" s="79"/>
      <c r="X406" s="79"/>
      <c r="Y406" s="79"/>
      <c r="Z406" s="79"/>
    </row>
    <row r="407" spans="1:26" ht="17.5" customHeight="1" x14ac:dyDescent="0.15">
      <c r="A407" s="79"/>
      <c r="B407" s="94"/>
      <c r="C407" s="94"/>
      <c r="D407" s="95"/>
      <c r="E407" s="87"/>
      <c r="F407" s="95"/>
      <c r="G407" s="79"/>
      <c r="H407" s="79"/>
      <c r="I407" s="79"/>
      <c r="J407" s="79"/>
      <c r="K407" s="79"/>
      <c r="L407" s="79"/>
      <c r="M407" s="79"/>
      <c r="N407" s="79"/>
      <c r="O407" s="79"/>
      <c r="P407" s="79"/>
      <c r="Q407" s="79"/>
      <c r="R407" s="79"/>
      <c r="S407" s="79"/>
      <c r="T407" s="79"/>
      <c r="U407" s="79"/>
      <c r="V407" s="79"/>
      <c r="W407" s="79"/>
      <c r="X407" s="79"/>
      <c r="Y407" s="79"/>
      <c r="Z407" s="79"/>
    </row>
    <row r="408" spans="1:26" ht="18" customHeight="1" x14ac:dyDescent="0.15">
      <c r="A408" s="79"/>
      <c r="B408" s="107" t="s">
        <v>2013</v>
      </c>
      <c r="C408" s="101" t="s">
        <v>1969</v>
      </c>
      <c r="D408" s="101" t="s">
        <v>1968</v>
      </c>
      <c r="E408" s="107" t="s">
        <v>2014</v>
      </c>
      <c r="F408" s="95"/>
      <c r="G408" s="79"/>
      <c r="H408" s="79"/>
      <c r="I408" s="79"/>
      <c r="J408" s="79"/>
      <c r="K408" s="79"/>
      <c r="L408" s="79"/>
      <c r="M408" s="79"/>
      <c r="N408" s="79"/>
      <c r="O408" s="79"/>
      <c r="P408" s="79"/>
      <c r="Q408" s="79"/>
      <c r="R408" s="79"/>
      <c r="S408" s="79"/>
      <c r="T408" s="79"/>
      <c r="U408" s="79"/>
      <c r="V408" s="79"/>
      <c r="W408" s="79"/>
      <c r="X408" s="79"/>
      <c r="Y408" s="79"/>
      <c r="Z408" s="79"/>
    </row>
    <row r="409" spans="1:26" ht="59.95" customHeight="1" x14ac:dyDescent="0.15">
      <c r="A409" s="79"/>
      <c r="B409" s="260" t="str">
        <f>+'5. Intervenciones UDT - AH'!D148</f>
        <v>Creación y establecimiento de unidades de ordenamiento forestal, otorgamiento de títulos habilitantes forestales y tenencia de la tierra</v>
      </c>
      <c r="C409" s="1701" t="s">
        <v>1977</v>
      </c>
      <c r="D409" s="1701" t="s">
        <v>2018</v>
      </c>
      <c r="E409" s="360" t="str">
        <f>+'5. Intervenciones UDT - AH'!E148</f>
        <v>En base a la zonificación forestal y los estudios de suelos, se elaborará el expediente para asignar una unidad de ordenamiento forestal, título habilitante o titulación según corresponda, en caso esta área haya sido solicitada para ampliación de tierras para CCNN, se priorizará. Operación: una vez definida la categoría ordenamiento forestal o título habilitante, se deberá considerar los costos de operación acorde a la Unidad Socio Ambiental más adecuada de la Unidad de Desarrollo Territorial. Incluye zonas que fueron inicialmente propuestas para futuras ZOCRE</v>
      </c>
      <c r="F409" s="95"/>
      <c r="G409" s="79"/>
      <c r="H409" s="79"/>
      <c r="I409" s="79"/>
      <c r="J409" s="79"/>
      <c r="K409" s="79"/>
      <c r="L409" s="79"/>
      <c r="M409" s="79"/>
      <c r="N409" s="79"/>
      <c r="O409" s="79"/>
      <c r="P409" s="79"/>
      <c r="Q409" s="79"/>
      <c r="R409" s="79"/>
      <c r="S409" s="79"/>
      <c r="T409" s="79"/>
      <c r="U409" s="79"/>
      <c r="V409" s="79"/>
      <c r="W409" s="79"/>
      <c r="X409" s="79"/>
      <c r="Y409" s="79"/>
      <c r="Z409" s="79"/>
    </row>
    <row r="410" spans="1:26" ht="78.8" customHeight="1" x14ac:dyDescent="0.15">
      <c r="A410" s="79"/>
      <c r="B410" s="260" t="str">
        <f>+'5. Intervenciones UDT - AH'!D149</f>
        <v>Fortalecimiento de capacidades de los responsables de la administración de las nuevas categorías de ordenamiento forestal y títulos habilitantes forestales</v>
      </c>
      <c r="C410" s="1701"/>
      <c r="D410" s="1701"/>
      <c r="E410" s="360" t="str">
        <f>+'5. Intervenciones UDT - AH'!E149</f>
        <v>Comprende la capacitación en manejo de normatividad forestal y manejo de bosques, contratación de especialistas para tener presencia física en el área, equipamiento e infraestructura.</v>
      </c>
      <c r="F410" s="95"/>
      <c r="G410" s="79"/>
      <c r="H410" s="79"/>
      <c r="I410" s="79"/>
      <c r="J410" s="79"/>
      <c r="K410" s="79"/>
      <c r="L410" s="79"/>
      <c r="M410" s="79"/>
      <c r="N410" s="79"/>
      <c r="O410" s="79"/>
      <c r="P410" s="79"/>
      <c r="Q410" s="79"/>
      <c r="R410" s="79"/>
      <c r="S410" s="79"/>
      <c r="T410" s="79"/>
      <c r="U410" s="79"/>
      <c r="V410" s="79"/>
      <c r="W410" s="79"/>
      <c r="X410" s="79"/>
      <c r="Y410" s="79"/>
      <c r="Z410" s="79"/>
    </row>
    <row r="411" spans="1:26" ht="66.099999999999994" customHeight="1" x14ac:dyDescent="0.15">
      <c r="A411" s="79"/>
      <c r="B411" s="260" t="str">
        <f>+'5. Intervenciones UDT - AH'!D150</f>
        <v>Elaboración del plan/declaración de manejo de las nuevas categorías de ordenamiento forestal y títulos habilitantes forestales</v>
      </c>
      <c r="C411" s="1701"/>
      <c r="D411" s="1701"/>
      <c r="E411" s="360" t="str">
        <f>+'5. Intervenciones UDT - AH'!E150</f>
        <v>Dependiendo de la categoría forestal a ser aplicada, se realizará un plan/declaración acorde a la unidad, en el marco de la ley forestal y fauna silvestre N° 29763.</v>
      </c>
      <c r="F411" s="95"/>
      <c r="G411" s="79"/>
      <c r="H411" s="79"/>
      <c r="I411" s="79"/>
      <c r="J411" s="79"/>
      <c r="K411" s="79"/>
      <c r="L411" s="79"/>
      <c r="M411" s="79"/>
      <c r="N411" s="79"/>
      <c r="O411" s="79"/>
      <c r="P411" s="79"/>
      <c r="Q411" s="79"/>
      <c r="R411" s="79"/>
      <c r="S411" s="79"/>
      <c r="T411" s="79"/>
      <c r="U411" s="79"/>
      <c r="V411" s="79"/>
      <c r="W411" s="79"/>
      <c r="X411" s="79"/>
      <c r="Y411" s="79"/>
      <c r="Z411" s="79"/>
    </row>
    <row r="412" spans="1:26" ht="43.5" customHeight="1" x14ac:dyDescent="0.15">
      <c r="A412" s="79"/>
      <c r="B412" s="260" t="str">
        <f>+'5. Intervenciones UDT - AH'!D151</f>
        <v>Inscripción en el catastro forestal y en registros públicos</v>
      </c>
      <c r="C412" s="1701"/>
      <c r="D412" s="1701"/>
      <c r="E412" s="360" t="str">
        <f>+'5. Intervenciones UDT - AH'!E151</f>
        <v>Con la resolución de reconocimiento de la nueva unidad de ordenamiento forestal, se le elevará a SERFOR para su incorporación al catastro Forestal; posteriormente esta misma información se remite a registros públicos, para incorporar la carga de la categoría en la ficha registral.</v>
      </c>
      <c r="F412" s="95"/>
      <c r="G412" s="79"/>
      <c r="H412" s="79"/>
      <c r="I412" s="79"/>
      <c r="J412" s="79"/>
      <c r="K412" s="79"/>
      <c r="L412" s="79"/>
      <c r="M412" s="79"/>
      <c r="N412" s="79"/>
      <c r="O412" s="79"/>
      <c r="P412" s="79"/>
      <c r="Q412" s="79"/>
      <c r="R412" s="79"/>
      <c r="S412" s="79"/>
      <c r="T412" s="79"/>
      <c r="U412" s="79"/>
      <c r="V412" s="79"/>
      <c r="W412" s="79"/>
      <c r="X412" s="79"/>
      <c r="Y412" s="79"/>
      <c r="Z412" s="79"/>
    </row>
    <row r="413" spans="1:26" ht="29.25" customHeight="1" x14ac:dyDescent="0.15">
      <c r="A413" s="79"/>
      <c r="B413" s="126" t="str">
        <f>+'5. Intervenciones UDT - AH'!D152</f>
        <v>Restauración de áreas degradadas</v>
      </c>
      <c r="C413" s="1701"/>
      <c r="D413" s="1701"/>
      <c r="E413" s="360" t="str">
        <f>+'5. Intervenciones UDT - AH'!E152</f>
        <v>Comprende diferentes actividades de restauración, desde recuperación de suelos degradados con fines de intensificación productiva, sistemas agroforestales y silvopastoriles, plantaciones forestales, o recuperación de ecosistemas en cabeceras de cuenca. Esta recuperación puede ser mediante plantaciones, regeneración asistida o simplemente recuperación pasiva, siendo este último priorizado desde la perspectiva de biodiversidad y carbono.</v>
      </c>
      <c r="F413" s="95"/>
      <c r="G413" s="79"/>
      <c r="H413" s="79"/>
      <c r="I413" s="79"/>
      <c r="J413" s="79"/>
      <c r="K413" s="79"/>
      <c r="L413" s="79"/>
      <c r="M413" s="79"/>
      <c r="N413" s="79"/>
      <c r="O413" s="79"/>
      <c r="P413" s="79"/>
      <c r="Q413" s="79"/>
      <c r="R413" s="79"/>
      <c r="S413" s="79"/>
      <c r="T413" s="79"/>
      <c r="U413" s="79"/>
      <c r="V413" s="79"/>
      <c r="W413" s="79"/>
      <c r="X413" s="79"/>
      <c r="Y413" s="79"/>
      <c r="Z413" s="79"/>
    </row>
    <row r="414" spans="1:26" ht="17.5" customHeight="1" x14ac:dyDescent="0.15">
      <c r="A414" s="79"/>
      <c r="B414" s="79"/>
      <c r="C414" s="94"/>
      <c r="D414" s="95"/>
      <c r="E414" s="87"/>
      <c r="F414" s="95"/>
      <c r="G414" s="79"/>
      <c r="H414" s="79"/>
      <c r="I414" s="79"/>
      <c r="J414" s="79"/>
      <c r="K414" s="79"/>
      <c r="L414" s="79"/>
      <c r="M414" s="79"/>
      <c r="N414" s="79"/>
      <c r="O414" s="79"/>
      <c r="P414" s="79"/>
      <c r="Q414" s="79"/>
      <c r="R414" s="79"/>
      <c r="S414" s="79"/>
      <c r="T414" s="79"/>
      <c r="U414" s="79"/>
      <c r="V414" s="79"/>
      <c r="W414" s="79"/>
      <c r="X414" s="79"/>
      <c r="Y414" s="79"/>
      <c r="Z414" s="79"/>
    </row>
    <row r="415" spans="1:26" ht="50.95" customHeight="1" x14ac:dyDescent="0.15">
      <c r="A415" s="79"/>
      <c r="B415" s="107" t="s">
        <v>2013</v>
      </c>
      <c r="C415" s="101" t="s">
        <v>142</v>
      </c>
      <c r="D415" s="101" t="s">
        <v>1968</v>
      </c>
      <c r="E415" s="107" t="s">
        <v>2014</v>
      </c>
      <c r="F415" s="95"/>
      <c r="G415" s="79"/>
      <c r="H415" s="79"/>
      <c r="I415" s="79"/>
      <c r="J415" s="79"/>
      <c r="K415" s="79"/>
      <c r="L415" s="79"/>
      <c r="M415" s="79"/>
      <c r="N415" s="79"/>
      <c r="O415" s="79"/>
      <c r="P415" s="79"/>
      <c r="Q415" s="79"/>
      <c r="R415" s="79"/>
      <c r="S415" s="79"/>
      <c r="T415" s="79"/>
      <c r="U415" s="79"/>
      <c r="V415" s="79"/>
      <c r="W415" s="79"/>
      <c r="X415" s="79"/>
      <c r="Y415" s="79"/>
      <c r="Z415" s="79"/>
    </row>
    <row r="416" spans="1:26" ht="50.95" customHeight="1" x14ac:dyDescent="0.15">
      <c r="A416" s="79"/>
      <c r="B416" s="111" t="str">
        <f>+'5. Intervenciones UDT - AH'!D159</f>
        <v>Acuerdos con rondas campesinas para cumplimiento de compromisos de no deforestación y tráfico de tierras e invasiones</v>
      </c>
      <c r="C416" s="1701" t="s">
        <v>1977</v>
      </c>
      <c r="D416" s="1701" t="s">
        <v>2027</v>
      </c>
      <c r="E416" s="124" t="str">
        <f>+'5. Intervenciones UDT - AH'!E159</f>
        <v>Reuniones con los pobladores de las localidades identificadas (vulnerables a la deforestación), los gobiernos locales y representantes del GORESAM, para plasmar los lineamientos de intervención en la reducción de la deforestación, esto con el apoyo de las rondas campesinas situadas en las comunidades. Los espacios de concertación (COTEDETD y COTEDETP) serán las plataformas para la implementación de estos acuerdos. Para el establecimiento de estos acuerdos, como primer paso se realizará un diagnóstico de las rondas campesinas con la finalidad de evaluar su rol en los compromisos de no deforestación; la intervención se orientará con mayor firmeza en fortalecer sus funciones y formalización, en articulación con los gobiernos locales.</v>
      </c>
      <c r="F416" s="95"/>
      <c r="G416" s="79"/>
      <c r="H416" s="79"/>
      <c r="I416" s="79"/>
      <c r="J416" s="79"/>
      <c r="K416" s="79"/>
      <c r="L416" s="79"/>
      <c r="M416" s="79"/>
      <c r="N416" s="79"/>
      <c r="O416" s="79"/>
      <c r="P416" s="79"/>
      <c r="Q416" s="79"/>
      <c r="R416" s="79"/>
      <c r="S416" s="79"/>
      <c r="T416" s="79"/>
      <c r="U416" s="79"/>
      <c r="V416" s="79"/>
      <c r="W416" s="79"/>
      <c r="X416" s="79"/>
      <c r="Y416" s="79"/>
      <c r="Z416" s="79"/>
    </row>
    <row r="417" spans="1:26" ht="45" customHeight="1" x14ac:dyDescent="0.15">
      <c r="A417" s="79"/>
      <c r="B417" s="111" t="str">
        <f>+'5. Intervenciones UDT - AH'!D160</f>
        <v>Mejora de programas de desarrollo alternativo con salvaguardas ambientales</v>
      </c>
      <c r="C417" s="1701"/>
      <c r="D417" s="1701"/>
      <c r="E417" s="124" t="str">
        <f>+'5. Intervenciones UDT - AH'!E160</f>
        <v xml:space="preserve">Los cultivos alternativos promovidos por los programas de cooperación deberán considerar la no ampliación de la frontera agrícola, la no deforestación de bosques primarios y las intervenciones transversales de recuperación de áreas. </v>
      </c>
      <c r="F417" s="95"/>
      <c r="G417" s="79"/>
      <c r="H417" s="79"/>
      <c r="I417" s="79"/>
      <c r="J417" s="79"/>
      <c r="K417" s="79"/>
      <c r="L417" s="79"/>
      <c r="M417" s="79"/>
      <c r="N417" s="79"/>
      <c r="O417" s="79"/>
      <c r="P417" s="79"/>
      <c r="Q417" s="79"/>
      <c r="R417" s="79"/>
      <c r="S417" s="79"/>
      <c r="T417" s="79"/>
      <c r="U417" s="79"/>
      <c r="V417" s="79"/>
      <c r="W417" s="79"/>
      <c r="X417" s="79"/>
      <c r="Y417" s="79"/>
      <c r="Z417" s="79"/>
    </row>
    <row r="418" spans="1:26" ht="50.95" customHeight="1" x14ac:dyDescent="0.15">
      <c r="A418" s="79"/>
      <c r="B418" s="111" t="str">
        <f>+'5. Intervenciones UDT - AH'!D161</f>
        <v>Mejoramiento de vías de acceso</v>
      </c>
      <c r="C418" s="1701"/>
      <c r="D418" s="1701"/>
      <c r="E418" s="124" t="str">
        <f>+'5. Intervenciones UDT - AH'!E161</f>
        <v>Existe una brecha de 479 Km de vías de acceso que faltan mejorar, con un criterio de accesibilidad baja; deben ser priorizadas de acuerdo a cercanía de centros de producción, los mejoramientos previstos deberán estar acorde al medio ambiente, tratando en afectar en lo más mínimo al bosque presente en el ámbito de intervención. Los proyectos de mejoramiento de vías de acceso deberán considerar componentes como restauración de áreas y reforestación de fajas marginales, articulado con un  esquema de control y vigilancia con las poblaciones locales adyacentes.</v>
      </c>
      <c r="F418" s="95"/>
      <c r="G418" s="79"/>
      <c r="H418" s="79"/>
      <c r="I418" s="79"/>
      <c r="J418" s="79"/>
      <c r="K418" s="79"/>
      <c r="L418" s="79"/>
      <c r="M418" s="79"/>
      <c r="N418" s="79"/>
      <c r="O418" s="79"/>
      <c r="P418" s="79"/>
      <c r="Q418" s="79"/>
      <c r="R418" s="79"/>
      <c r="S418" s="79"/>
      <c r="T418" s="79"/>
      <c r="U418" s="79"/>
      <c r="V418" s="79"/>
      <c r="W418" s="79"/>
      <c r="X418" s="79"/>
      <c r="Y418" s="79"/>
      <c r="Z418" s="79"/>
    </row>
    <row r="419" spans="1:26" ht="26.5" x14ac:dyDescent="0.15">
      <c r="A419" s="79"/>
      <c r="B419" s="111" t="str">
        <f>+'5. Intervenciones UDT - AH'!D162</f>
        <v>Restauración ecológica del paisaje</v>
      </c>
      <c r="C419" s="1701"/>
      <c r="D419" s="1701"/>
      <c r="E419" s="124" t="str">
        <f>+'5. Intervenciones UDT - AH'!E162</f>
        <v>Ejecución de proyectos de restauración en las 663 Ha con probabilidad alta y muy alta para desarrollar esta actividad; se cuenta con 401 ha que se encuentran en zonas de cobertura agrícola y con potencial productivo para recuperación de áreas degradadas con énfasis a espacios conectores de bosques. La GRDE, el ARA y los proyectos especiales a través de sus diferentes direcciones de línea, deberán implementar esta actividad a través de los PIP y actividades propias de las direcciones.</v>
      </c>
      <c r="F419" s="95"/>
      <c r="G419" s="79"/>
      <c r="H419" s="79"/>
      <c r="I419" s="79"/>
      <c r="J419" s="79"/>
      <c r="K419" s="79"/>
      <c r="L419" s="79"/>
      <c r="M419" s="79"/>
      <c r="N419" s="79"/>
      <c r="O419" s="79"/>
      <c r="P419" s="79"/>
      <c r="Q419" s="79"/>
      <c r="R419" s="79"/>
      <c r="S419" s="79"/>
      <c r="T419" s="79"/>
      <c r="U419" s="79"/>
      <c r="V419" s="79"/>
      <c r="W419" s="79"/>
      <c r="X419" s="79"/>
      <c r="Y419" s="79"/>
      <c r="Z419" s="79"/>
    </row>
    <row r="420" spans="1:26" ht="35.35" x14ac:dyDescent="0.15">
      <c r="A420" s="79"/>
      <c r="B420" s="111" t="str">
        <f>+'5. Intervenciones UDT - AH'!D163</f>
        <v>Mejor cobertura y calidad de servicios de educación y salud</v>
      </c>
      <c r="C420" s="1701"/>
      <c r="D420" s="1701"/>
      <c r="E420" s="124" t="str">
        <f>+'5. Intervenciones UDT - AH'!E163</f>
        <v>El acceso a los establecimientos de salud e instituciones educativas desde la influencia de los centros poblados (1 h o 5 km), según la zonificación y normativa vigente, están relacionados a la distancia que están acentuados los pobladores respecto a un centro educativo o una posta médica; bajo este criterio, se cuenta con 4 distritos  (Nuevo progreso, Pólvora, Tocache y Uchiza) que necesitan ser atendidos y cubrir estas necesidades, mediante la Implementación de infraestructura educativa y de salud permanente y mediante los Centros Rurales de Formación en Alternancia (CERFAS) u otros programas que permitan coberturar la educación rural en su totalidad.</v>
      </c>
      <c r="F420" s="95"/>
      <c r="G420" s="79"/>
      <c r="H420" s="79"/>
      <c r="I420" s="79"/>
      <c r="J420" s="79"/>
      <c r="K420" s="79"/>
      <c r="L420" s="79"/>
      <c r="M420" s="79"/>
      <c r="N420" s="79"/>
      <c r="O420" s="79"/>
      <c r="P420" s="79"/>
      <c r="Q420" s="79"/>
      <c r="R420" s="79"/>
      <c r="S420" s="79"/>
      <c r="T420" s="79"/>
      <c r="U420" s="79"/>
      <c r="V420" s="79"/>
      <c r="W420" s="79"/>
      <c r="X420" s="79"/>
      <c r="Y420" s="79"/>
      <c r="Z420" s="79"/>
    </row>
    <row r="421" spans="1:26" ht="50.95" customHeight="1" x14ac:dyDescent="0.15">
      <c r="A421" s="79"/>
      <c r="B421" s="111" t="str">
        <f>+'5. Intervenciones UDT - AH'!D164</f>
        <v>Programa de servicios públicos móviles</v>
      </c>
      <c r="C421" s="1701"/>
      <c r="D421" s="1701"/>
      <c r="E421" s="124" t="str">
        <f>+'5. Intervenciones UDT - AH'!E164</f>
        <v>Implementación de un programa de caravanas móviles de asistencia social donde se brinde soporte en temas de salud, educación, agricultura y ambiente, dicho programa debe contar con el soporte de las instituciones competentes para garantizar una adecuada transferencia de conocimientos, este programa sería como una versión adaptada de las PIAS (Plataformas Itinerantes de Acción social).  Para la ejecución de esta intervención, deberá tomarse en cuenta a la población rural más vulnerable. Enfocado a la agricultura familiar, garantizando  la sostenibilidad del programa.</v>
      </c>
      <c r="F421" s="95"/>
      <c r="G421" s="79"/>
      <c r="H421" s="79"/>
      <c r="I421" s="79"/>
      <c r="J421" s="79"/>
      <c r="K421" s="79"/>
      <c r="L421" s="79"/>
      <c r="M421" s="79"/>
      <c r="N421" s="79"/>
      <c r="O421" s="79"/>
      <c r="P421" s="79"/>
      <c r="Q421" s="79"/>
      <c r="R421" s="79"/>
      <c r="S421" s="79"/>
      <c r="T421" s="79"/>
      <c r="U421" s="79"/>
      <c r="V421" s="79"/>
      <c r="W421" s="79"/>
      <c r="X421" s="79"/>
      <c r="Y421" s="79"/>
      <c r="Z421" s="79"/>
    </row>
    <row r="422" spans="1:26" ht="26.5" x14ac:dyDescent="0.15">
      <c r="A422" s="79"/>
      <c r="B422" s="111" t="str">
        <f>+'5. Intervenciones UDT - AH'!D165</f>
        <v xml:space="preserve">Promoción Marca "San Martín Región" y "Aliados por la Conservación" </v>
      </c>
      <c r="C422" s="1701"/>
      <c r="D422" s="1701"/>
      <c r="E422" s="124" t="str">
        <f>+'5. Intervenciones UDT - AH'!E165</f>
        <v>Promoción al acceso de la marca con los productores que cumplan los criterios de elegibilidad solicitados por el programa, como una estrategia de ubicar mercados diferenciados para los productos provenientes de estas zonas.</v>
      </c>
      <c r="F422" s="95"/>
      <c r="G422" s="79"/>
      <c r="H422" s="79"/>
      <c r="I422" s="79"/>
      <c r="J422" s="79"/>
      <c r="K422" s="79"/>
      <c r="L422" s="79"/>
      <c r="M422" s="79"/>
      <c r="N422" s="79"/>
      <c r="O422" s="79"/>
      <c r="P422" s="79"/>
      <c r="Q422" s="79"/>
      <c r="R422" s="79"/>
      <c r="S422" s="79"/>
      <c r="T422" s="79"/>
      <c r="U422" s="79"/>
      <c r="V422" s="79"/>
      <c r="W422" s="79"/>
      <c r="X422" s="79"/>
      <c r="Y422" s="79"/>
      <c r="Z422" s="79"/>
    </row>
    <row r="423" spans="1:26" ht="15.65" customHeight="1" x14ac:dyDescent="0.15">
      <c r="A423" s="79"/>
      <c r="B423" s="79"/>
      <c r="C423" s="94"/>
      <c r="D423" s="95"/>
      <c r="E423" s="87"/>
      <c r="F423" s="95"/>
      <c r="G423" s="79"/>
      <c r="H423" s="79"/>
      <c r="I423" s="79"/>
      <c r="J423" s="79"/>
      <c r="K423" s="79"/>
      <c r="L423" s="79"/>
      <c r="M423" s="79"/>
      <c r="N423" s="79"/>
      <c r="O423" s="79"/>
      <c r="P423" s="79"/>
      <c r="Q423" s="79"/>
      <c r="R423" s="79"/>
      <c r="S423" s="79"/>
      <c r="T423" s="79"/>
      <c r="U423" s="79"/>
      <c r="V423" s="79"/>
      <c r="W423" s="79"/>
      <c r="X423" s="79"/>
      <c r="Y423" s="79"/>
      <c r="Z423" s="79"/>
    </row>
    <row r="424" spans="1:26" ht="15.65" customHeight="1" x14ac:dyDescent="0.15">
      <c r="A424" s="79"/>
      <c r="B424" s="79"/>
      <c r="C424" s="94"/>
      <c r="D424" s="95"/>
      <c r="E424" s="87"/>
      <c r="F424" s="95"/>
      <c r="G424" s="79"/>
      <c r="H424" s="79"/>
      <c r="I424" s="79"/>
      <c r="J424" s="79"/>
      <c r="K424" s="79"/>
      <c r="L424" s="79"/>
      <c r="M424" s="79"/>
      <c r="N424" s="79"/>
      <c r="O424" s="79"/>
      <c r="P424" s="79"/>
      <c r="Q424" s="79"/>
      <c r="R424" s="79"/>
      <c r="S424" s="79"/>
      <c r="T424" s="79"/>
      <c r="U424" s="79"/>
      <c r="V424" s="79"/>
      <c r="W424" s="79"/>
      <c r="X424" s="79"/>
      <c r="Y424" s="79"/>
      <c r="Z424" s="79"/>
    </row>
    <row r="425" spans="1:26" ht="30.1" customHeight="1" x14ac:dyDescent="0.15">
      <c r="A425" s="79"/>
      <c r="B425" s="125" t="s">
        <v>2013</v>
      </c>
      <c r="C425" s="1715" t="s">
        <v>2028</v>
      </c>
      <c r="D425" s="1715"/>
      <c r="E425" s="125" t="s">
        <v>2014</v>
      </c>
      <c r="F425" s="95"/>
      <c r="G425" s="79"/>
      <c r="H425" s="79"/>
      <c r="I425" s="79"/>
      <c r="J425" s="79"/>
      <c r="K425" s="79"/>
      <c r="L425" s="79"/>
      <c r="M425" s="79"/>
      <c r="N425" s="79"/>
      <c r="O425" s="79"/>
      <c r="P425" s="79"/>
      <c r="Q425" s="79"/>
      <c r="R425" s="79"/>
      <c r="S425" s="79"/>
      <c r="T425" s="79"/>
      <c r="U425" s="79"/>
      <c r="V425" s="79"/>
      <c r="W425" s="79"/>
      <c r="X425" s="79"/>
      <c r="Y425" s="79"/>
      <c r="Z425" s="79"/>
    </row>
    <row r="426" spans="1:26" ht="31.6" customHeight="1" x14ac:dyDescent="0.15">
      <c r="A426" s="79"/>
      <c r="B426" s="126" t="str">
        <f>+'3.Intervenciones Transv. Region'!D9</f>
        <v>Zonificación Agroecológica</v>
      </c>
      <c r="C426" s="1701" t="s">
        <v>2028</v>
      </c>
      <c r="D426" s="1701"/>
      <c r="E426" s="127" t="str">
        <f>+'3.Intervenciones Transv. Region'!E9</f>
        <v xml:space="preserve">Implementación de la Zonificación Agroecológica la cual permitirá, describir y categorizar el territorio con criterios o características físicas, socioeconómicas, agroecológicas y climáticas relativamente homogéneas acorde a sus potencialidades y limitaciones, permitiendo así el análisis de los recursos naturales y la planificación del uso de tierra. Como parte de la implementación se deberá considerar un programa de seguimiento y monitoreo de los efectos del cambio climático a nivel regional (T°, HR, Precipitación, entre otros factores), en coordinacion con SENAMHI, las municipalidades provinciales y distritales. </v>
      </c>
      <c r="F426" s="95"/>
      <c r="G426" s="79"/>
      <c r="H426" s="79"/>
      <c r="I426" s="79"/>
      <c r="J426" s="79"/>
      <c r="K426" s="79"/>
      <c r="L426" s="79"/>
      <c r="M426" s="79"/>
      <c r="N426" s="79"/>
      <c r="O426" s="79"/>
      <c r="P426" s="79"/>
      <c r="Q426" s="79"/>
      <c r="R426" s="79"/>
      <c r="S426" s="79"/>
      <c r="T426" s="79"/>
      <c r="U426" s="79"/>
      <c r="V426" s="79"/>
      <c r="W426" s="79"/>
      <c r="X426" s="79"/>
      <c r="Y426" s="79"/>
      <c r="Z426" s="79"/>
    </row>
    <row r="427" spans="1:26" ht="46.55" customHeight="1" x14ac:dyDescent="0.15">
      <c r="A427" s="79"/>
      <c r="B427" s="126" t="str">
        <f>+'3.Intervenciones Transv. Region'!D10</f>
        <v>Zonificación forestal, bosques sin categoría asignada, incluyendo ZOCREs actuales y propuestas.</v>
      </c>
      <c r="C427" s="1701"/>
      <c r="D427" s="1701"/>
      <c r="E427" s="127" t="str">
        <f>+'3.Intervenciones Transv. Region'!E10</f>
        <v>Implementación de la Zonificación Forestal, considerando Otorgamiento de derechos sobre áreas a quienes corresponda, con la finalidad de reducir la brecha de las áreas sin categoría que a diciembre del 2018 eran un total de 790,712.14 ha; esta actividad deberá ser ejecutada por GRSM a través del ARA e instituciones competentes.</v>
      </c>
      <c r="F427" s="95"/>
      <c r="G427" s="79"/>
      <c r="H427" s="79"/>
      <c r="I427" s="79"/>
      <c r="J427" s="79"/>
      <c r="K427" s="79"/>
      <c r="L427" s="79"/>
      <c r="M427" s="79"/>
      <c r="N427" s="79"/>
      <c r="O427" s="79"/>
      <c r="P427" s="79"/>
      <c r="Q427" s="79"/>
      <c r="R427" s="79"/>
      <c r="S427" s="79"/>
      <c r="T427" s="79"/>
      <c r="U427" s="79"/>
      <c r="V427" s="79"/>
      <c r="W427" s="79"/>
      <c r="X427" s="79"/>
      <c r="Y427" s="79"/>
      <c r="Z427" s="79"/>
    </row>
    <row r="428" spans="1:26" ht="74.25" customHeight="1" x14ac:dyDescent="0.15">
      <c r="A428" s="79"/>
      <c r="B428" s="126" t="str">
        <f>+'3.Intervenciones Transv. Region'!D11</f>
        <v>Promoción de actividad agrícola, pecuaria y acuícola adaptada al cambio climático.</v>
      </c>
      <c r="C428" s="1701"/>
      <c r="D428" s="1701"/>
      <c r="E428" s="127" t="str">
        <f>+'3.Intervenciones Transv. Region'!E11</f>
        <v>Formulación y ejecución de proyectos agrícolas, pecuarios y acuícolas integrales, considerando las principales cadenas priorizadas de la región, así mismo la promoción y desarrollo de nuevas cadenas que cuentan con aptitud biofísica y un con mercado asegurado. Dichos proyectos deben ser integrales y multisectoriales, así mismo contemplar componentes que se ajusten a la necesidad de los productores. Los proyectos promoverán la no ampliación de áreas, calendarización de siembras, la conservación y recuperación de bosques, incremento de la productividad, educación ambiental, promoción de modelos asociativos exitosos, transformación primaria de productos, implementación de tecnologías de producción, investigación e innovación, transferencia tecnológica, sistemas de información geográfica, tecnologías de información y análisis territorial - espacial, tecnologías de información comercial. El Gobierno regional implementará convenios con los Gobiernos locales para la transferencia de recursos para la ejecución de actividades relacionadas al servicio de asistencia técnica; así mismo la DRASAM deberá de certificar el nivel de especialización de los proveedores de los servicios de asistencia técnica y tener una plataforma digital con el registro de los  profesionales de carreras afines al sector. En coordinación con los entes competentes, Validar y promover paquetes tecnológicos por cadena productiva y Unidad de Desarrollo Territorial. Así mismo la promoción y desarrollo de proveedores de servicios (semilleristas entre otros).</v>
      </c>
      <c r="F428" s="95"/>
      <c r="G428" s="79"/>
      <c r="H428" s="79"/>
      <c r="I428" s="79"/>
      <c r="J428" s="79"/>
      <c r="K428" s="79"/>
      <c r="L428" s="79"/>
      <c r="M428" s="79"/>
      <c r="N428" s="79"/>
      <c r="O428" s="79"/>
      <c r="P428" s="79"/>
      <c r="Q428" s="79"/>
      <c r="R428" s="79"/>
      <c r="S428" s="79"/>
      <c r="T428" s="79"/>
      <c r="U428" s="79"/>
      <c r="V428" s="79"/>
      <c r="W428" s="79"/>
      <c r="X428" s="79"/>
      <c r="Y428" s="79"/>
      <c r="Z428" s="79"/>
    </row>
    <row r="429" spans="1:26" ht="36" customHeight="1" x14ac:dyDescent="0.15">
      <c r="A429" s="79"/>
      <c r="B429" s="126" t="str">
        <f>+'3.Intervenciones Transv. Region'!D12</f>
        <v>Aprovechamiento del recurso forestal maderable, provenientes de sistemas agroforestales sostenibles.</v>
      </c>
      <c r="C429" s="1701"/>
      <c r="D429" s="1701"/>
      <c r="E429" s="127" t="str">
        <f>+'3.Intervenciones Transv. Region'!E12</f>
        <v xml:space="preserve">Facilitar la implementación de módulos de transformación de madera, a organizaciones que cumplan con ciertos criterios de elegibilidad para garantizar la sostenibilidad de los negocios. Contribuyendo asi a la diversificación de negocios por parte de las organizaciones y sus socios. </v>
      </c>
      <c r="F429" s="95"/>
      <c r="G429" s="79"/>
      <c r="H429" s="79"/>
      <c r="I429" s="79"/>
      <c r="J429" s="79"/>
      <c r="K429" s="79"/>
      <c r="L429" s="79"/>
      <c r="M429" s="79"/>
      <c r="N429" s="79"/>
      <c r="O429" s="79"/>
      <c r="P429" s="79"/>
      <c r="Q429" s="79"/>
      <c r="R429" s="79"/>
      <c r="S429" s="79"/>
      <c r="T429" s="79"/>
      <c r="U429" s="79"/>
      <c r="V429" s="79"/>
      <c r="W429" s="79"/>
      <c r="X429" s="79"/>
      <c r="Y429" s="79"/>
      <c r="Z429" s="79"/>
    </row>
    <row r="430" spans="1:26" ht="45" customHeight="1" x14ac:dyDescent="0.15">
      <c r="A430" s="79"/>
      <c r="B430" s="126" t="str">
        <f>+'3.Intervenciones Transv. Region'!D13</f>
        <v>Programa de incentivos a la restauración comunitaria con salvaguardas sociales y ambientales</v>
      </c>
      <c r="C430" s="1701"/>
      <c r="D430" s="1701"/>
      <c r="E430" s="127" t="str">
        <f>+'3.Intervenciones Transv. Region'!E13</f>
        <v>Implementar un programa de incentivos que podrán ser de asistencia técnica, ejecución de proyectos sociales u otras acciones que permitan mejorar las condiciones de vida de los productores que realicen acciones de restauración.</v>
      </c>
      <c r="F430" s="95"/>
      <c r="G430" s="79"/>
      <c r="H430" s="79"/>
      <c r="I430" s="79"/>
      <c r="J430" s="79"/>
      <c r="K430" s="79"/>
      <c r="L430" s="79"/>
      <c r="M430" s="79"/>
      <c r="N430" s="79"/>
      <c r="O430" s="79"/>
      <c r="P430" s="79"/>
      <c r="Q430" s="79"/>
      <c r="R430" s="79"/>
      <c r="S430" s="79"/>
      <c r="T430" s="79"/>
      <c r="U430" s="79"/>
      <c r="V430" s="79"/>
      <c r="W430" s="79"/>
      <c r="X430" s="79"/>
      <c r="Y430" s="79"/>
      <c r="Z430" s="79"/>
    </row>
    <row r="431" spans="1:26" ht="37.549999999999997" customHeight="1" x14ac:dyDescent="0.15">
      <c r="A431" s="79"/>
      <c r="B431" s="126" t="str">
        <f>+'3.Intervenciones Transv. Region'!D14</f>
        <v>Implementación del FONDESAM</v>
      </c>
      <c r="C431" s="1701"/>
      <c r="D431" s="1701"/>
      <c r="E431" s="127" t="str">
        <f>+'3.Intervenciones Transv. Region'!E14</f>
        <v>Implementar los lineamientos finales para poner en vigencia el fondo de garantía de 5 millones de soles, para beneficiar a productores agropecuarios forestales organizados y no organizados que cumplan los atributos de la Marca certificadora “San Martín Región” y los propios requisitos que se establezcan en la directiva del fondo el cual será elaborado por el Gobierno Regional de San Martín en coordinación con la institución que administrará dichos fondos (COFIDE). Dentro de la directiva para la implementación del FONDESAM, se incorporará los mecanismos de tasas preferenciales para los créditos orientados a la innovación (Hoja de ruta del FONDESAM con el beneficiario). a financiar impactos en la cadena de producción.</v>
      </c>
      <c r="F431" s="95"/>
      <c r="G431" s="79"/>
      <c r="H431" s="79"/>
      <c r="I431" s="79"/>
      <c r="J431" s="79"/>
      <c r="K431" s="79"/>
      <c r="L431" s="79"/>
      <c r="M431" s="79"/>
      <c r="N431" s="79"/>
      <c r="O431" s="79"/>
      <c r="P431" s="79"/>
      <c r="Q431" s="79"/>
      <c r="R431" s="79"/>
      <c r="S431" s="79"/>
      <c r="T431" s="79"/>
      <c r="U431" s="79"/>
      <c r="V431" s="79"/>
      <c r="W431" s="79"/>
      <c r="X431" s="79"/>
      <c r="Y431" s="79"/>
      <c r="Z431" s="79"/>
    </row>
    <row r="432" spans="1:26" ht="17.7" x14ac:dyDescent="0.15">
      <c r="A432" s="79"/>
      <c r="B432" s="126" t="str">
        <f>+'3.Intervenciones Transv. Region'!D15</f>
        <v>Programa de Gestión Empresarial</v>
      </c>
      <c r="C432" s="1701"/>
      <c r="D432" s="1701"/>
      <c r="E432" s="127" t="str">
        <f>+'3.Intervenciones Transv. Region'!E15</f>
        <v xml:space="preserve">Implementar un programa para productores líderes, contemplando módulos como: Educación Financiera dirigido a pequeños y medianos productores del sector rural, Costos de producción, Productos y servicios financieros, ahorro, capital semilla,  endeudamiento, gestion empresarial, para mejorar la prodcutividad y competitividad. </v>
      </c>
      <c r="F432" s="95"/>
      <c r="G432" s="79"/>
      <c r="H432" s="79"/>
      <c r="I432" s="79"/>
      <c r="J432" s="79"/>
      <c r="K432" s="79"/>
      <c r="L432" s="79"/>
      <c r="M432" s="79"/>
      <c r="N432" s="79"/>
      <c r="O432" s="79"/>
      <c r="P432" s="79"/>
      <c r="Q432" s="79"/>
      <c r="R432" s="79"/>
      <c r="S432" s="79"/>
      <c r="T432" s="79"/>
      <c r="U432" s="79"/>
      <c r="V432" s="79"/>
      <c r="W432" s="79"/>
      <c r="X432" s="79"/>
      <c r="Y432" s="79"/>
      <c r="Z432" s="79"/>
    </row>
    <row r="433" spans="1:26" ht="27" customHeight="1" x14ac:dyDescent="0.15">
      <c r="A433" s="79"/>
      <c r="B433" s="126" t="str">
        <f>+'3.Intervenciones Transv. Region'!D16</f>
        <v>Implementación de la "Marca San Martín Región"</v>
      </c>
      <c r="C433" s="1701"/>
      <c r="D433" s="1701"/>
      <c r="E433" s="127" t="str">
        <f>+'3.Intervenciones Transv. Region'!E16</f>
        <v>Implementar los lineamientos finales de la Marca Certificadora "San Martín Región", asignándole un presupuesto y equipo técnico para poner en vigencia esta herramienta que busca facilitar el acceso a mercados a empresas de los diferentes sectores (agrícola, pecuario, acuícola, apícola, biocomercio, y otros) de la región. Promoción y articulación a mercados diferenciados y  nichos de mercados de alto valor con atributos  de la marca San Martín ( Bajo en emisiones, no vinculado a actividades ilegales, Innovadores y con estándares de calidad). La búsqueda y diversificación de mercados a través de misiones comerciales nacionales e internacionales, con estrategias difernciadas para productos tradicionalmente vinculados a la deforestación. Ejemplo Palma Aceitera.</v>
      </c>
      <c r="F433" s="95"/>
      <c r="G433" s="79"/>
      <c r="H433" s="79"/>
      <c r="I433" s="79"/>
      <c r="J433" s="79"/>
      <c r="K433" s="79"/>
      <c r="L433" s="79"/>
      <c r="M433" s="79"/>
      <c r="N433" s="79"/>
      <c r="O433" s="79"/>
      <c r="P433" s="79"/>
      <c r="Q433" s="79"/>
      <c r="R433" s="79"/>
      <c r="S433" s="79"/>
      <c r="T433" s="79"/>
      <c r="U433" s="79"/>
      <c r="V433" s="79"/>
      <c r="W433" s="79"/>
      <c r="X433" s="79"/>
      <c r="Y433" s="79"/>
      <c r="Z433" s="79"/>
    </row>
    <row r="434" spans="1:26" ht="50.95" customHeight="1" x14ac:dyDescent="0.15">
      <c r="A434" s="79"/>
      <c r="B434" s="126" t="e">
        <f>+'3.Intervenciones Transv. Region'!#REF!</f>
        <v>#REF!</v>
      </c>
      <c r="C434" s="1701"/>
      <c r="D434" s="1701"/>
      <c r="E434" s="127" t="e">
        <f>+'3.Intervenciones Transv. Region'!#REF!</f>
        <v>#REF!</v>
      </c>
      <c r="F434" s="95"/>
      <c r="G434" s="79"/>
      <c r="H434" s="79"/>
      <c r="I434" s="79"/>
      <c r="J434" s="79"/>
      <c r="K434" s="79"/>
      <c r="L434" s="79"/>
      <c r="M434" s="79"/>
      <c r="N434" s="79"/>
      <c r="O434" s="79"/>
      <c r="P434" s="79"/>
      <c r="Q434" s="79"/>
      <c r="R434" s="79"/>
      <c r="S434" s="79"/>
      <c r="T434" s="79"/>
      <c r="U434" s="79"/>
      <c r="V434" s="79"/>
      <c r="W434" s="79"/>
      <c r="X434" s="79"/>
      <c r="Y434" s="79"/>
      <c r="Z434" s="79"/>
    </row>
    <row r="435" spans="1:26" ht="27" customHeight="1" x14ac:dyDescent="0.15">
      <c r="A435" s="79"/>
      <c r="B435" s="126" t="str">
        <f>+'3.Intervenciones Transv. Region'!D17</f>
        <v>Fortalecimiento de la equidad de género y poblaciones vulnerables</v>
      </c>
      <c r="C435" s="1701"/>
      <c r="D435" s="1701"/>
      <c r="E435" s="127" t="str">
        <f>+'3.Intervenciones Transv. Region'!E17</f>
        <v>Implementación de centros informativos y formativos dirigido a mujeres, niños, jóvenes, ancianos, discapacitados en situación de vulnerabilidad, con la finalidad de brindar asistencia técnica, ayuda psicológica, educación básica, que les permita generar emprendimientos que les ayuden a salir de la situación de pobreza o pobreza extrae en la que se encuentren.</v>
      </c>
      <c r="F435" s="95"/>
      <c r="G435" s="79"/>
      <c r="H435" s="79"/>
      <c r="I435" s="79"/>
      <c r="J435" s="79"/>
      <c r="K435" s="79"/>
      <c r="L435" s="79"/>
      <c r="M435" s="79"/>
      <c r="N435" s="79"/>
      <c r="O435" s="79"/>
      <c r="P435" s="79"/>
      <c r="Q435" s="79"/>
      <c r="R435" s="79"/>
      <c r="S435" s="79"/>
      <c r="T435" s="79"/>
      <c r="U435" s="79"/>
      <c r="V435" s="79"/>
      <c r="W435" s="79"/>
      <c r="X435" s="79"/>
      <c r="Y435" s="79"/>
      <c r="Z435" s="79"/>
    </row>
    <row r="436" spans="1:26" ht="36" customHeight="1" x14ac:dyDescent="0.15">
      <c r="A436" s="79"/>
      <c r="B436" s="126" t="str">
        <f>+'3.Intervenciones Transv. Region'!D18</f>
        <v>Programa de emprendimiento rural juvenil, para promover el empalme generacional.</v>
      </c>
      <c r="C436" s="1701"/>
      <c r="D436" s="1701"/>
      <c r="E436" s="127" t="str">
        <f>+'3.Intervenciones Transv. Region'!E18</f>
        <v>Financiamiento de emprendimientos rurales juveniles para incentivar el empalme generacional y el empleo formal juvenil (incluye fondo de capital semilla para emprendimientos). Promover y financiar emprendimientos orientados a la reducción de emisiones.</v>
      </c>
      <c r="F436" s="95"/>
      <c r="G436" s="79"/>
      <c r="H436" s="79"/>
      <c r="I436" s="79"/>
      <c r="J436" s="79"/>
      <c r="K436" s="79"/>
      <c r="L436" s="79"/>
      <c r="M436" s="79"/>
      <c r="N436" s="79"/>
      <c r="O436" s="79"/>
      <c r="P436" s="79"/>
      <c r="Q436" s="79"/>
      <c r="R436" s="79"/>
      <c r="S436" s="79"/>
      <c r="T436" s="79"/>
      <c r="U436" s="79"/>
      <c r="V436" s="79"/>
      <c r="W436" s="79"/>
      <c r="X436" s="79"/>
      <c r="Y436" s="79"/>
      <c r="Z436" s="79"/>
    </row>
    <row r="437" spans="1:26" ht="8.85" x14ac:dyDescent="0.15">
      <c r="A437" s="79"/>
      <c r="B437" s="126" t="e">
        <f>+'3.Intervenciones Transv. Region'!#REF!</f>
        <v>#REF!</v>
      </c>
      <c r="C437" s="1701"/>
      <c r="D437" s="1701"/>
      <c r="E437" s="127" t="e">
        <f>+'3.Intervenciones Transv. Region'!#REF!</f>
        <v>#REF!</v>
      </c>
      <c r="F437" s="95"/>
      <c r="G437" s="79"/>
      <c r="H437" s="79"/>
      <c r="I437" s="79"/>
      <c r="J437" s="79"/>
      <c r="K437" s="79"/>
      <c r="L437" s="79"/>
      <c r="M437" s="79"/>
      <c r="N437" s="79"/>
      <c r="O437" s="79"/>
      <c r="P437" s="79"/>
      <c r="Q437" s="79"/>
      <c r="R437" s="79"/>
      <c r="S437" s="79"/>
      <c r="T437" s="79"/>
      <c r="U437" s="79"/>
      <c r="V437" s="79"/>
      <c r="W437" s="79"/>
      <c r="X437" s="79"/>
      <c r="Y437" s="79"/>
      <c r="Z437" s="79"/>
    </row>
    <row r="438" spans="1:26" ht="35.35" x14ac:dyDescent="0.15">
      <c r="A438" s="79"/>
      <c r="B438" s="126" t="str">
        <f>+'3.Intervenciones Transv. Region'!D19</f>
        <v>Mejorar la competitividad de la oferta e identificación de la demanda turística.</v>
      </c>
      <c r="C438" s="1701"/>
      <c r="D438" s="1701"/>
      <c r="E438" s="127" t="str">
        <f>+'3.Intervenciones Transv. Region'!E19</f>
        <v>Fortalecer las capacidades de gestion de la DIRCETUR, para mejora de la oferta de sus servicios. Desarrollar programas de capacitación en temas relacionados a la adecuada prestación de servicios o venta de productos que hacen los operadores de turismo: Fortalecimiento a formalizar  la gestión turística de los recursos naturales,  acompañamiento técnico a Destinos, Sitios de Visita y Gobiernos Locales, mejora de la calidad gradual y de acuerdo a los mercados, posicionamiento por mercados priorizados, fortalecer calidad en interpretación, guiado, medidas de seguridad y conducción de grupos en espacios naturales.
El programa debe regirse según las normas vigentes para  disminuir la informalidad en el sector, así mismo lograr la satisfacción plena de los turistas que visitan la región.</v>
      </c>
      <c r="F438" s="95"/>
      <c r="G438" s="79"/>
      <c r="H438" s="79"/>
      <c r="I438" s="79"/>
      <c r="J438" s="79"/>
      <c r="K438" s="79"/>
      <c r="L438" s="79"/>
      <c r="M438" s="79"/>
      <c r="N438" s="79"/>
      <c r="O438" s="79"/>
      <c r="P438" s="79"/>
      <c r="Q438" s="79"/>
      <c r="R438" s="79"/>
      <c r="S438" s="79"/>
      <c r="T438" s="79"/>
      <c r="U438" s="79"/>
      <c r="V438" s="79"/>
      <c r="W438" s="79"/>
      <c r="X438" s="79"/>
      <c r="Y438" s="79"/>
      <c r="Z438" s="79"/>
    </row>
    <row r="439" spans="1:26" ht="27" customHeight="1" x14ac:dyDescent="0.15">
      <c r="A439" s="79"/>
      <c r="B439" s="126" t="str">
        <f>+'3.Intervenciones Transv. Region'!D20</f>
        <v>Promoción de la planificación comunal en centros poblados.</v>
      </c>
      <c r="C439" s="1701"/>
      <c r="D439" s="1701"/>
      <c r="E439" s="127" t="str">
        <f>+'3.Intervenciones Transv. Region'!E20</f>
        <v>Promover el desarrollo comunitario mediante la identificación y cuantificación de recursos disponibles en una determinada jurisdicción, promoviendo la participación activa de todos los actores clave y su articulación a los planes de desarrollo local.</v>
      </c>
      <c r="F439" s="95"/>
      <c r="G439" s="79"/>
      <c r="H439" s="79"/>
      <c r="I439" s="79"/>
      <c r="J439" s="79"/>
      <c r="K439" s="79"/>
      <c r="L439" s="79"/>
      <c r="M439" s="79"/>
      <c r="N439" s="79"/>
      <c r="O439" s="79"/>
      <c r="P439" s="79"/>
      <c r="Q439" s="79"/>
      <c r="R439" s="79"/>
      <c r="S439" s="79"/>
      <c r="T439" s="79"/>
      <c r="U439" s="79"/>
      <c r="V439" s="79"/>
      <c r="W439" s="79"/>
      <c r="X439" s="79"/>
      <c r="Y439" s="79"/>
      <c r="Z439" s="79"/>
    </row>
    <row r="440" spans="1:26" ht="70.650000000000006" x14ac:dyDescent="0.15">
      <c r="A440" s="79"/>
      <c r="B440" s="126" t="str">
        <f>+'3.Intervenciones Transv. Region'!D21</f>
        <v>Fortalecer los procesos de Investigación, innovación, y transferencia tecnológica para la producción baja en emisiones.</v>
      </c>
      <c r="C440" s="1701"/>
      <c r="D440" s="1701"/>
      <c r="E440" s="127" t="str">
        <f>+'3.Intervenciones Transv. Region'!E21</f>
        <v xml:space="preserve">A través de la Comisión Técnica Regional de Innovación Agraria - CTRIA y el Comité de Gestión Regional Agrario, Plataforma de apoyo a la investigación e innovación, impulsar los protocolos de alineamiento a través del gobierno regional de todas las iniciativas públicas y privadas, en relación a las siguientes líneas prioritarias: 1) Mejoramiento genético de los principales cultivos y especies nativas agrícolas y forestales de la región, así como pecuarios y acuícolas; 2) Promoción de nuevas variedades adtables al cambio climático; 3) Tecnologías bajas en emisiones (biocontroladores, biofertilizantes, etc.); 4) Sistemas agroforestales climáticamente inteligentes; 5) Innovación en generación de valor agregado bajo en emisiones; 6) El uso de la Tecnologías de Información y comunicación para producción y comercialización de bienes y servicios, que permitan aminorar los costos de producción  e incrementar los beneficios. Se implementarán las acciones, a través de directivas desde  las oficinas de Programación Multianual, ya sea a nivel local y regional, que incluyan como requisito la opinión técnica favorable del CTRIA y el CGRA para su incorporación en la PMI; al mismo tiempo se realizarán las gestiones para adecuar los requisitos de los programas nacionales orientados a la investigación e innovación, a la realidad regional, con la finalidad que haya una mayor cantidad de organizaciones con la capacidad de postular, y a su vez se solicite la opinión técnica favorable del CTRIA y CGRA para que los proyectos sean elegibles. </v>
      </c>
      <c r="F440" s="95"/>
      <c r="G440" s="79"/>
      <c r="H440" s="79"/>
      <c r="I440" s="79"/>
      <c r="J440" s="79"/>
      <c r="K440" s="79"/>
      <c r="L440" s="79"/>
      <c r="M440" s="79"/>
      <c r="N440" s="79"/>
      <c r="O440" s="79"/>
      <c r="P440" s="79"/>
      <c r="Q440" s="79"/>
      <c r="R440" s="79"/>
      <c r="S440" s="79"/>
      <c r="T440" s="79"/>
      <c r="U440" s="79"/>
      <c r="V440" s="79"/>
      <c r="W440" s="79"/>
      <c r="X440" s="79"/>
      <c r="Y440" s="79"/>
      <c r="Z440" s="79"/>
    </row>
    <row r="441" spans="1:26" ht="61.85" x14ac:dyDescent="0.15">
      <c r="A441" s="79"/>
      <c r="B441" s="126" t="str">
        <f>+'3.Intervenciones Transv. Region'!D22</f>
        <v xml:space="preserve">
Promoción de emprendimientos agroindustriales de la pequeña empresa sobre la base de los productos del biocomercio </v>
      </c>
      <c r="C441" s="1701"/>
      <c r="D441" s="1701"/>
      <c r="E441" s="127" t="str">
        <f>+'3.Intervenciones Transv. Region'!E22</f>
        <v>Previo a la selección de los Planes de Negocios, deberán realizarse los estudios de mercado necesarios para identificar los productos de la biodiversidad nativa y establecer las estrategias de promoción e inserción al mercado.  Esto debe ser insumo para compartirse en taller con las potenciales pequeñas empresas.
Financiamiento de planes de negocios integrales orientados a la promoción de la agroindustria de las pequeñas y medinas empresas, promoción de productos del bosque en toda la cadena, facilitando capital de semilla y priorizando las propuestas orientados a la reducción de emisiones y la innovación. Los criterios de evaluación para el financiamiento de los planes de negocios presentados por las organizaciones y/o empresas, deberán de identificar claramente las brechas que se van a cerrar o los cuellos de botella que se van a solucionar en el marco de la cadena de valor presentada.</v>
      </c>
      <c r="F441" s="95"/>
      <c r="G441" s="79"/>
      <c r="H441" s="79"/>
      <c r="I441" s="79"/>
      <c r="J441" s="79"/>
      <c r="K441" s="79"/>
      <c r="L441" s="79"/>
      <c r="M441" s="79"/>
      <c r="N441" s="79"/>
      <c r="O441" s="79"/>
      <c r="P441" s="79"/>
      <c r="Q441" s="79"/>
      <c r="R441" s="79"/>
      <c r="S441" s="79"/>
      <c r="T441" s="79"/>
      <c r="U441" s="79"/>
      <c r="V441" s="79"/>
      <c r="W441" s="79"/>
      <c r="X441" s="79"/>
      <c r="Y441" s="79"/>
      <c r="Z441" s="79"/>
    </row>
    <row r="442" spans="1:26" ht="39.9" customHeight="1" x14ac:dyDescent="0.15">
      <c r="A442" s="79"/>
      <c r="B442" s="126" t="str">
        <f>+'3.Intervenciones Transv. Region'!D23</f>
        <v>Promoción de productos derivados y gestión de calidad</v>
      </c>
      <c r="C442" s="1701"/>
      <c r="D442" s="1701"/>
      <c r="E442" s="127" t="str">
        <f>+'3.Intervenciones Transv. Region'!E23</f>
        <v>Implementar programas para fortalecer la infraestructura de la calidad (Normas, metrología, ensayos, certificación y acreditación) en las cadenas productivas, orientados a la obtención de productos que cumplan los requerimientos de calidad exigidos por el mercado, local, nacional e internacional; para ello debe implementarse módulos de capacitación y asistencia técnica en estos temas, así mismo formar un staff de profesionales que brinden este servicio de manera permanente a las organizaciones y empresas dedicadas a la transformación de productos. La implementación de los planes de gestión de la calidad estará a cargo de las organizaciones o empresas, mediante financiamiento propio, con la banca privada o fondos concursables.</v>
      </c>
      <c r="F442" s="95"/>
      <c r="G442" s="79"/>
      <c r="H442" s="79"/>
      <c r="I442" s="79"/>
      <c r="J442" s="79"/>
      <c r="K442" s="79"/>
      <c r="L442" s="79"/>
      <c r="M442" s="79"/>
      <c r="N442" s="79"/>
      <c r="O442" s="79"/>
      <c r="P442" s="79"/>
      <c r="Q442" s="79"/>
      <c r="R442" s="79"/>
      <c r="S442" s="79"/>
      <c r="T442" s="79"/>
      <c r="U442" s="79"/>
      <c r="V442" s="79"/>
      <c r="W442" s="79"/>
      <c r="X442" s="79"/>
      <c r="Y442" s="79"/>
      <c r="Z442" s="79"/>
    </row>
    <row r="443" spans="1:26" ht="68.45" customHeight="1" x14ac:dyDescent="0.15">
      <c r="A443" s="79"/>
      <c r="B443" s="126" t="e">
        <f>+'3.Intervenciones Transv. Region'!#REF!</f>
        <v>#REF!</v>
      </c>
      <c r="C443" s="1701"/>
      <c r="D443" s="1701"/>
      <c r="E443" s="127" t="e">
        <f>+'3.Intervenciones Transv. Region'!#REF!</f>
        <v>#REF!</v>
      </c>
      <c r="F443" s="95"/>
      <c r="G443" s="79"/>
      <c r="H443" s="79"/>
      <c r="I443" s="79"/>
      <c r="J443" s="79"/>
      <c r="K443" s="79"/>
      <c r="L443" s="79"/>
      <c r="M443" s="79"/>
      <c r="N443" s="79"/>
      <c r="O443" s="79"/>
      <c r="P443" s="79"/>
      <c r="Q443" s="79"/>
      <c r="R443" s="79"/>
      <c r="S443" s="79"/>
      <c r="T443" s="79"/>
      <c r="U443" s="79"/>
      <c r="V443" s="79"/>
      <c r="W443" s="79"/>
      <c r="X443" s="79"/>
      <c r="Y443" s="79"/>
      <c r="Z443" s="79"/>
    </row>
    <row r="444" spans="1:26" ht="35.35" x14ac:dyDescent="0.15">
      <c r="A444" s="79"/>
      <c r="B444" s="126" t="str">
        <f>+'3.Intervenciones Transv. Region'!D24</f>
        <v>Implementación del Sistema de formalización del uso de la tierra y Recursos Naturales.</v>
      </c>
      <c r="C444" s="1701"/>
      <c r="D444" s="1701"/>
      <c r="E444" s="127" t="str">
        <f>+'3.Intervenciones Transv. Region'!E24</f>
        <v>El Sistema de catastro de tierras rurales en línea permitirá tramitar la formalización del uso de la tierra y los Recursos Naturales bajo las modalidades de: Títulos de propiedad,  Comunidades Nativas, Comunidades Campesinas, Contratos de Cesión en Uso para Sistemas Agroforestales - CUSAF; el sistema contará con un visor alojado en la IDERSAM. Los procedimientos para los trámites de títulos de propiedad, Comunidades Nativas y Comunidades Campesinas  estarán a cargo de la Dirección Regional de Agricultura -  Dirección de Titulación, Reversión de Tierras y Catastro Rural  y para los Contratos de Cesión en Uso para Sistemas Agroforestales - CUSAF, estará a cargo de la Autoridad Regional Ambiental - DEACRN.</v>
      </c>
      <c r="F444" s="95"/>
      <c r="G444" s="79"/>
      <c r="H444" s="79"/>
      <c r="I444" s="79"/>
      <c r="J444" s="79"/>
      <c r="K444" s="79"/>
      <c r="L444" s="79"/>
      <c r="M444" s="79"/>
      <c r="N444" s="79"/>
      <c r="O444" s="79"/>
      <c r="P444" s="79"/>
      <c r="Q444" s="79"/>
      <c r="R444" s="79"/>
      <c r="S444" s="79"/>
      <c r="T444" s="79"/>
      <c r="U444" s="79"/>
      <c r="V444" s="79"/>
      <c r="W444" s="79"/>
      <c r="X444" s="79"/>
      <c r="Y444" s="79"/>
      <c r="Z444" s="79"/>
    </row>
    <row r="445" spans="1:26" ht="8.85" x14ac:dyDescent="0.15">
      <c r="A445" s="79"/>
      <c r="B445" s="126" t="e">
        <f>+'3.Intervenciones Transv. Region'!#REF!</f>
        <v>#REF!</v>
      </c>
      <c r="C445" s="1701"/>
      <c r="D445" s="1701"/>
      <c r="E445" s="127" t="e">
        <f>+'3.Intervenciones Transv. Region'!#REF!</f>
        <v>#REF!</v>
      </c>
      <c r="F445" s="95"/>
      <c r="G445" s="79"/>
      <c r="H445" s="79"/>
      <c r="I445" s="79"/>
      <c r="J445" s="79"/>
      <c r="K445" s="79"/>
      <c r="L445" s="79"/>
      <c r="M445" s="79"/>
      <c r="N445" s="79"/>
      <c r="O445" s="79"/>
      <c r="P445" s="79"/>
      <c r="Q445" s="79"/>
      <c r="R445" s="79"/>
      <c r="S445" s="79"/>
      <c r="T445" s="79"/>
      <c r="U445" s="79"/>
      <c r="V445" s="79"/>
      <c r="W445" s="79"/>
      <c r="X445" s="79"/>
      <c r="Y445" s="79"/>
      <c r="Z445" s="79"/>
    </row>
    <row r="446" spans="1:26" ht="45" customHeight="1" x14ac:dyDescent="0.15">
      <c r="A446" s="79"/>
      <c r="B446" s="126" t="str">
        <f>+'3.Intervenciones Transv. Region'!D25</f>
        <v>Promover servicios de asesoramiento empresarial en inversiones y facilitación del crédito</v>
      </c>
      <c r="C446" s="1701"/>
      <c r="D446" s="1701"/>
      <c r="E446" s="127" t="str">
        <f>+'3.Intervenciones Transv. Region'!E25</f>
        <v xml:space="preserve">Convocatoria para identificar articuladores que facilitarán y articularán créditos, inversiones y otros servicios afines relacionados con las cadenas de valor baja en emisiones y cuya retribución principal es contra resultados (preparar niveles de pago por éxito); este puede ser convocada 1 vez por año y podrá utilizar las distintas herramientas públicas regionales de reducción de riesgo como los FONDESAM, PROCOMPITES, etc.; de tal forma que el sector financiero utilice productos financieros adecuados </v>
      </c>
      <c r="F446" s="95"/>
      <c r="G446" s="79"/>
      <c r="H446" s="79"/>
      <c r="I446" s="79"/>
      <c r="J446" s="79"/>
      <c r="K446" s="79"/>
      <c r="L446" s="79"/>
      <c r="M446" s="79"/>
      <c r="N446" s="79"/>
      <c r="O446" s="79"/>
      <c r="P446" s="79"/>
      <c r="Q446" s="79"/>
      <c r="R446" s="79"/>
      <c r="S446" s="79"/>
      <c r="T446" s="79"/>
      <c r="U446" s="79"/>
      <c r="V446" s="79"/>
      <c r="W446" s="79"/>
      <c r="X446" s="79"/>
      <c r="Y446" s="79"/>
      <c r="Z446" s="79"/>
    </row>
    <row r="447" spans="1:26" ht="45" customHeight="1" x14ac:dyDescent="0.15">
      <c r="A447" s="79"/>
      <c r="B447" s="126" t="str">
        <f>+'3.Intervenciones Transv. Region'!D26</f>
        <v>Diseño de productos financieros para la producción baja en emisiones</v>
      </c>
      <c r="C447" s="1701"/>
      <c r="D447" s="1701"/>
      <c r="E447" s="127" t="str">
        <f>+'3.Intervenciones Transv. Region'!E26</f>
        <v>Estructuración de productos financieros para las principales cadenas productivas bajas en emisiones con mercado,. Considera recojo de información oferta (IFIs con líneas especializadas) y demanda, implementación de pilotos en campo para validar el producto, diseño de salvaguardas, firma de compromisos de 0 deforestación, monitoreo de compromisos y difusión con instituciones financieras.  Comprende alianzas con las instituciones del sistema financiero principalmente con AGROBANCO. Estos productos financieros deberán de contemplar clausulas que incorporen acciones de conservación, restauración, compensación o retribución.</v>
      </c>
      <c r="F447" s="95"/>
      <c r="G447" s="79"/>
      <c r="H447" s="79"/>
      <c r="I447" s="79"/>
      <c r="J447" s="79"/>
      <c r="K447" s="79"/>
      <c r="L447" s="79"/>
      <c r="M447" s="79"/>
      <c r="N447" s="79"/>
      <c r="O447" s="79"/>
      <c r="P447" s="79"/>
      <c r="Q447" s="79"/>
      <c r="R447" s="79"/>
      <c r="S447" s="79"/>
      <c r="T447" s="79"/>
      <c r="U447" s="79"/>
      <c r="V447" s="79"/>
      <c r="W447" s="79"/>
      <c r="X447" s="79"/>
      <c r="Y447" s="79"/>
      <c r="Z447" s="79"/>
    </row>
    <row r="448" spans="1:26" ht="77.3" customHeight="1" x14ac:dyDescent="0.15">
      <c r="A448" s="79"/>
      <c r="B448" s="126" t="str">
        <f>+'3.Intervenciones Transv. Region'!D27</f>
        <v>Promoción y Desarrollo de alianzas comerciales entre grandes, medianas, pequeñas empresas y productores organizados y no organizados para producción baja en emisiones.</v>
      </c>
      <c r="C448" s="1701"/>
      <c r="D448" s="1701"/>
      <c r="E448" s="127" t="str">
        <f>+'3.Intervenciones Transv. Region'!E27</f>
        <v>Identificación de potenciales alianzas entre empresas y productores en San Martín (agricultura por contrato, desarrollo de proveedores, entre otras) identificación fuentes de financiamiento para esquemas de asociación de pequeños con grandes empresas, preparación de propuestas para fuentes financieras,  fortalecimiento de alianzas  para producción baja en emisiones (sistematización de información, asistencia técnica,  soporte comercial), diseño de salvaguardas y monitoreo de cumplimiento de compromisos. Esta intervención debe articularce al PRO-DAPPA de la OPIPS, que es un programa que tiene como propósito articular al pequeño productor com empresas agroindustriales (trasformadoras y comercializadoras), generando contratos para la articulación comercial de productos diferenciados.</v>
      </c>
      <c r="F448" s="95"/>
      <c r="G448" s="79"/>
      <c r="H448" s="79"/>
      <c r="I448" s="79"/>
      <c r="J448" s="79"/>
      <c r="K448" s="79"/>
      <c r="L448" s="79"/>
      <c r="M448" s="79"/>
      <c r="N448" s="79"/>
      <c r="O448" s="79"/>
      <c r="P448" s="79"/>
      <c r="Q448" s="79"/>
      <c r="R448" s="79"/>
      <c r="S448" s="79"/>
      <c r="T448" s="79"/>
      <c r="U448" s="79"/>
      <c r="V448" s="79"/>
      <c r="W448" s="79"/>
      <c r="X448" s="79"/>
      <c r="Y448" s="79"/>
      <c r="Z448" s="79"/>
    </row>
    <row r="449" spans="1:26" ht="32.299999999999997" customHeight="1" x14ac:dyDescent="0.15">
      <c r="A449" s="79"/>
      <c r="B449" s="126" t="str">
        <f>+'3.Intervenciones Transv. Region'!D28</f>
        <v>Estrategia de promoción de productos regionales bajos en emisiones.</v>
      </c>
      <c r="C449" s="1701"/>
      <c r="D449" s="1701"/>
      <c r="E449" s="127" t="str">
        <f>+'3.Intervenciones Transv. Region'!E28</f>
        <v xml:space="preserve">
Identificar productos de la región, asi mismo identificar oportunidades de nuevos mercados para los productos banderas y nuevos productos regionales, conocer la tendencia de nuevos mercados, desarrollar el valor agregado, promover el portafolio con variedades de productos y usos bajo la marca regional. Proceso que puede ir escalándose para un alcance mayor</v>
      </c>
      <c r="F449" s="95"/>
      <c r="G449" s="79"/>
      <c r="H449" s="79"/>
      <c r="I449" s="79"/>
      <c r="J449" s="79"/>
      <c r="K449" s="79"/>
      <c r="L449" s="79"/>
      <c r="M449" s="79"/>
      <c r="N449" s="79"/>
      <c r="O449" s="79"/>
      <c r="P449" s="79"/>
      <c r="Q449" s="79"/>
      <c r="R449" s="79"/>
      <c r="S449" s="79"/>
      <c r="T449" s="79"/>
      <c r="U449" s="79"/>
      <c r="V449" s="79"/>
      <c r="W449" s="79"/>
      <c r="X449" s="79"/>
      <c r="Y449" s="79"/>
      <c r="Z449" s="79"/>
    </row>
    <row r="450" spans="1:26" ht="90" customHeight="1" x14ac:dyDescent="0.15">
      <c r="A450" s="79"/>
      <c r="B450" s="126" t="str">
        <f>+'3.Intervenciones Transv. Region'!D29</f>
        <v>Acuerdo regional de producción baja en emisiones e implementación de iniciativa de campeones por los bosques tropicales (TFC) en el marco de la coalición público privada por una producción sostenible.</v>
      </c>
      <c r="C450" s="1701"/>
      <c r="D450" s="1701"/>
      <c r="E450" s="127" t="str">
        <f>+'3.Intervenciones Transv. Region'!E29</f>
        <v>Reuniones de trabajo con gremios para firma de acuerdo, firma de acuerdo, monitoreo de cumplimiento, generar información para la iniciativa de campeones por los bosques tropicales (TFC), reuniones del espacio regional de la coalición público privada por una producción sostenible</v>
      </c>
      <c r="F450" s="95"/>
      <c r="G450" s="79"/>
      <c r="H450" s="79"/>
      <c r="I450" s="79"/>
      <c r="J450" s="79"/>
      <c r="K450" s="79"/>
      <c r="L450" s="79"/>
      <c r="M450" s="79"/>
      <c r="N450" s="79"/>
      <c r="O450" s="79"/>
      <c r="P450" s="79"/>
      <c r="Q450" s="79"/>
      <c r="R450" s="79"/>
      <c r="S450" s="79"/>
      <c r="T450" s="79"/>
      <c r="U450" s="79"/>
      <c r="V450" s="79"/>
      <c r="W450" s="79"/>
      <c r="X450" s="79"/>
      <c r="Y450" s="79"/>
      <c r="Z450" s="79"/>
    </row>
    <row r="451" spans="1:26" ht="35.35" x14ac:dyDescent="0.15">
      <c r="A451" s="79"/>
      <c r="B451" s="126" t="str">
        <f>+'3.Intervenciones Transv. Region'!D30</f>
        <v>Programa de capacitación para funcionarios del gobierno regional sobre ética y anticorrupción.</v>
      </c>
      <c r="C451" s="1701"/>
      <c r="D451" s="1701"/>
      <c r="E451" s="127" t="str">
        <f>+'3.Intervenciones Transv. Region'!E30</f>
        <v>Diseño de programa de capacitación e implementación, para hacer conocer y cumplir el código de ética de la función pública para evitar los actos de corrupción.</v>
      </c>
      <c r="F451" s="95"/>
      <c r="G451" s="79"/>
      <c r="H451" s="79"/>
      <c r="I451" s="79"/>
      <c r="J451" s="79"/>
      <c r="K451" s="79"/>
      <c r="L451" s="79"/>
      <c r="M451" s="79"/>
      <c r="N451" s="79"/>
      <c r="O451" s="79"/>
      <c r="P451" s="79"/>
      <c r="Q451" s="79"/>
      <c r="R451" s="79"/>
      <c r="S451" s="79"/>
      <c r="T451" s="79"/>
      <c r="U451" s="79"/>
      <c r="V451" s="79"/>
      <c r="W451" s="79"/>
      <c r="X451" s="79"/>
      <c r="Y451" s="79"/>
      <c r="Z451" s="79"/>
    </row>
    <row r="452" spans="1:26" ht="48.75" customHeight="1" x14ac:dyDescent="0.15">
      <c r="A452" s="79"/>
      <c r="B452" s="126" t="str">
        <f>+'3.Intervenciones Transv. Region'!D31</f>
        <v>Simplificación administrativa de tramites de derechos sobre la tierra y los recursos naturales.</v>
      </c>
      <c r="C452" s="1701"/>
      <c r="D452" s="1701"/>
      <c r="E452" s="127" t="str">
        <f>+'3.Intervenciones Transv. Region'!E31</f>
        <v>Mejora de los TUPAs (incluye proceso integrado para clasificación de suelos + uso actual de la ley forestal), material de difusión, y capacitaciones periódicas a usuarios</v>
      </c>
      <c r="F452" s="95"/>
      <c r="G452" s="79"/>
      <c r="H452" s="79"/>
      <c r="I452" s="79"/>
      <c r="J452" s="79"/>
      <c r="K452" s="79"/>
      <c r="L452" s="79"/>
      <c r="M452" s="79"/>
      <c r="N452" s="79"/>
      <c r="O452" s="79"/>
      <c r="P452" s="79"/>
      <c r="Q452" s="79"/>
      <c r="R452" s="79"/>
      <c r="S452" s="79"/>
      <c r="T452" s="79"/>
      <c r="U452" s="79"/>
      <c r="V452" s="79"/>
      <c r="W452" s="79"/>
      <c r="X452" s="79"/>
      <c r="Y452" s="79"/>
      <c r="Z452" s="79"/>
    </row>
    <row r="453" spans="1:26" ht="49.6" customHeight="1" x14ac:dyDescent="0.15">
      <c r="A453" s="79"/>
      <c r="B453" s="126" t="str">
        <f>+'3.Intervenciones Transv. Region'!D32</f>
        <v xml:space="preserve">Implementar un clasificador de cargos acorde a la normativa vigente para lograr la competitividad de los funcionarios públicos. </v>
      </c>
      <c r="C453" s="1701"/>
      <c r="D453" s="1701"/>
      <c r="E453" s="127" t="str">
        <f>+'3.Intervenciones Transv. Region'!E32</f>
        <v xml:space="preserve">Implementar a nivel regional un clasificador de cargos por especialidades y competencias de las distintas áreas del GRSM, con la finalidad de contar con profesionales altamente capacitados y con experiencia, acorde a los distintos cargos que se disponga en el ámbito regional. Considerar asi mismo afectar esta disposición a los cargos de confianza cumpliendo los requisitos plasmados en el clasificador. </v>
      </c>
      <c r="F453" s="95"/>
      <c r="G453" s="79"/>
      <c r="H453" s="79"/>
      <c r="I453" s="79"/>
      <c r="J453" s="79"/>
      <c r="K453" s="79"/>
      <c r="L453" s="79"/>
      <c r="M453" s="79"/>
      <c r="N453" s="79"/>
      <c r="O453" s="79"/>
      <c r="P453" s="79"/>
      <c r="Q453" s="79"/>
      <c r="R453" s="79"/>
      <c r="S453" s="79"/>
      <c r="T453" s="79"/>
      <c r="U453" s="79"/>
      <c r="V453" s="79"/>
      <c r="W453" s="79"/>
      <c r="X453" s="79"/>
      <c r="Y453" s="79"/>
      <c r="Z453" s="79"/>
    </row>
    <row r="454" spans="1:26" ht="54" customHeight="1" x14ac:dyDescent="0.15">
      <c r="A454" s="79"/>
      <c r="B454" s="126" t="str">
        <f>+'3.Intervenciones Transv. Region'!D33</f>
        <v>Fortalecimiento de la oficina de control interno del Gobierno Regional San Martín y la fiscalía anticorrupción regional.</v>
      </c>
      <c r="C454" s="1701"/>
      <c r="D454" s="1701"/>
      <c r="E454" s="127" t="str">
        <f>+'3.Intervenciones Transv. Region'!E33</f>
        <v>Ejecutar un estudio sobre las necesidades de la OCI Regional y las OCI de las diferentes direcciones regionales y proyectos especiales referidos a la necesidad de especialistas por cada oficina, asi mismo el perfil profesional minimo para cubrir dichos puestos. Con la finalidad de mejorar y asegurar el ejercicio oportuno, efectivo y eficiente del control gubernamental, así como de optimizar sus capacidades orientadas a la prevención y lucha contra la corrupción.</v>
      </c>
      <c r="F454" s="95"/>
      <c r="G454" s="79"/>
      <c r="H454" s="79"/>
      <c r="I454" s="79"/>
      <c r="J454" s="79"/>
      <c r="K454" s="79"/>
      <c r="L454" s="79"/>
      <c r="M454" s="79"/>
      <c r="N454" s="79"/>
      <c r="O454" s="79"/>
      <c r="P454" s="79"/>
      <c r="Q454" s="79"/>
      <c r="R454" s="79"/>
      <c r="S454" s="79"/>
      <c r="T454" s="79"/>
      <c r="U454" s="79"/>
      <c r="V454" s="79"/>
      <c r="W454" s="79"/>
      <c r="X454" s="79"/>
      <c r="Y454" s="79"/>
      <c r="Z454" s="79"/>
    </row>
    <row r="455" spans="1:26" ht="45" customHeight="1" x14ac:dyDescent="0.15">
      <c r="A455" s="79"/>
      <c r="B455" s="126" t="str">
        <f>+'3.Intervenciones Transv. Region'!D34</f>
        <v xml:space="preserve">Campañas de difusión y promoción para prevenir actos de corrupcion en los procesos del codigo de ética de la gestión pública. </v>
      </c>
      <c r="C455" s="1701"/>
      <c r="D455" s="1701"/>
      <c r="E455" s="127" t="str">
        <f>+'3.Intervenciones Transv. Region'!E34</f>
        <v xml:space="preserve">Campañas orientadas a sensibilizar el impacto negativo de la corrupcion al crecimiento de la región, asi mismo realizar las denuncias correspondientes de forma anónima para que los órganos competentes puedan aplicar sanciones a dichos actos de corrupción. Brindar las medidas de protección necesarias a las personas que denuncian estos actos. </v>
      </c>
      <c r="F455" s="95"/>
      <c r="G455" s="79"/>
      <c r="H455" s="79"/>
      <c r="I455" s="79"/>
      <c r="J455" s="79"/>
      <c r="K455" s="79"/>
      <c r="L455" s="79"/>
      <c r="M455" s="79"/>
      <c r="N455" s="79"/>
      <c r="O455" s="79"/>
      <c r="P455" s="79"/>
      <c r="Q455" s="79"/>
      <c r="R455" s="79"/>
      <c r="S455" s="79"/>
      <c r="T455" s="79"/>
      <c r="U455" s="79"/>
      <c r="V455" s="79"/>
      <c r="W455" s="79"/>
      <c r="X455" s="79"/>
      <c r="Y455" s="79"/>
      <c r="Z455" s="79"/>
    </row>
    <row r="456" spans="1:26" ht="58.6" customHeight="1" x14ac:dyDescent="0.15">
      <c r="A456" s="79"/>
      <c r="B456" s="126" t="str">
        <f>+'3.Intervenciones Transv. Region'!D35</f>
        <v>Implementación de la mesa regional de control y vigilancia forestal y de fauna silvestre.</v>
      </c>
      <c r="C456" s="1701"/>
      <c r="D456" s="1701"/>
      <c r="E456" s="127" t="str">
        <f>+'3.Intervenciones Transv. Region'!E35</f>
        <v xml:space="preserve">Reuniones periódicas y extraordinarias de mesa regional de control y vigilancia forestal y de fauna silvestre </v>
      </c>
      <c r="F456" s="95"/>
      <c r="G456" s="79"/>
      <c r="H456" s="79"/>
      <c r="I456" s="79"/>
      <c r="J456" s="79"/>
      <c r="K456" s="79"/>
      <c r="L456" s="79"/>
      <c r="M456" s="79"/>
      <c r="N456" s="79"/>
      <c r="O456" s="79"/>
      <c r="P456" s="79"/>
      <c r="Q456" s="79"/>
      <c r="R456" s="79"/>
      <c r="S456" s="79"/>
      <c r="T456" s="79"/>
      <c r="U456" s="79"/>
      <c r="V456" s="79"/>
      <c r="W456" s="79"/>
      <c r="X456" s="79"/>
      <c r="Y456" s="79"/>
      <c r="Z456" s="79"/>
    </row>
    <row r="457" spans="1:26" ht="36" customHeight="1" x14ac:dyDescent="0.15">
      <c r="A457" s="79"/>
      <c r="B457" s="126" t="str">
        <f>+'3.Intervenciones Transv. Region'!D36</f>
        <v>Capacitación a comunidades nativas, campesinas y custodios forestales.</v>
      </c>
      <c r="C457" s="1701"/>
      <c r="D457" s="1701"/>
      <c r="E457" s="127" t="str">
        <f>+'3.Intervenciones Transv. Region'!E36</f>
        <v xml:space="preserve">1 capacitación de una semana en el ámbito cercano al trabajo de la comunidad (puede ser una capacitación espaciada) </v>
      </c>
      <c r="F457" s="95"/>
      <c r="G457" s="79"/>
      <c r="H457" s="79"/>
      <c r="I457" s="79"/>
      <c r="J457" s="79"/>
      <c r="K457" s="79"/>
      <c r="L457" s="79"/>
      <c r="M457" s="79"/>
      <c r="N457" s="79"/>
      <c r="O457" s="79"/>
      <c r="P457" s="79"/>
      <c r="Q457" s="79"/>
      <c r="R457" s="79"/>
      <c r="S457" s="79"/>
      <c r="T457" s="79"/>
      <c r="U457" s="79"/>
      <c r="V457" s="79"/>
      <c r="W457" s="79"/>
      <c r="X457" s="79"/>
      <c r="Y457" s="79"/>
      <c r="Z457" s="79"/>
    </row>
    <row r="458" spans="1:26" ht="36" customHeight="1" x14ac:dyDescent="0.15">
      <c r="A458" s="79"/>
      <c r="B458" s="126" t="str">
        <f>+'3.Intervenciones Transv. Region'!D37</f>
        <v>Equipamiento a rondas y custodios forestales.</v>
      </c>
      <c r="C458" s="1701"/>
      <c r="D458" s="1701"/>
      <c r="E458" s="127" t="str">
        <f>+'3.Intervenciones Transv. Region'!E37</f>
        <v>Uniforme básico, GPS por brigadas,  1 dron por comunidad, equipos de radio por comunidad (radio corta portátil)</v>
      </c>
      <c r="F458" s="95"/>
      <c r="G458" s="79"/>
      <c r="H458" s="79"/>
      <c r="I458" s="79"/>
      <c r="J458" s="79"/>
      <c r="K458" s="79"/>
      <c r="L458" s="79"/>
      <c r="M458" s="79"/>
      <c r="N458" s="79"/>
      <c r="O458" s="79"/>
      <c r="P458" s="79"/>
      <c r="Q458" s="79"/>
      <c r="R458" s="79"/>
      <c r="S458" s="79"/>
      <c r="T458" s="79"/>
      <c r="U458" s="79"/>
      <c r="V458" s="79"/>
      <c r="W458" s="79"/>
      <c r="X458" s="79"/>
      <c r="Y458" s="79"/>
      <c r="Z458" s="79"/>
    </row>
    <row r="459" spans="1:26" ht="35.35" customHeight="1" x14ac:dyDescent="0.15">
      <c r="A459" s="79"/>
      <c r="B459" s="126" t="str">
        <f>+'3.Intervenciones Transv. Region'!D38</f>
        <v>Implementación de unidad de control forestal y de fauna silvestre en el ARA (gastos corrientes).</v>
      </c>
      <c r="C459" s="1701"/>
      <c r="D459" s="1701"/>
      <c r="E459" s="127" t="str">
        <f>+'3.Intervenciones Transv. Region'!E38</f>
        <v>Personal de campo dedicado al control de actividades ilegales (deforestación y tala ilegal),  combustible y raciones para acciones de control</v>
      </c>
      <c r="F459" s="95"/>
      <c r="G459" s="79"/>
      <c r="H459" s="79"/>
      <c r="I459" s="79"/>
      <c r="J459" s="79"/>
      <c r="K459" s="79"/>
      <c r="L459" s="79"/>
      <c r="M459" s="79"/>
      <c r="N459" s="79"/>
      <c r="O459" s="79"/>
      <c r="P459" s="79"/>
      <c r="Q459" s="79"/>
      <c r="R459" s="79"/>
      <c r="S459" s="79"/>
      <c r="T459" s="79"/>
      <c r="U459" s="79"/>
      <c r="V459" s="79"/>
      <c r="W459" s="79"/>
      <c r="X459" s="79"/>
      <c r="Y459" s="79"/>
      <c r="Z459" s="79"/>
    </row>
    <row r="460" spans="1:26" ht="39.1" customHeight="1" x14ac:dyDescent="0.15">
      <c r="A460" s="79"/>
      <c r="B460" s="126" t="str">
        <f>+'3.Intervenciones Transv. Region'!D39</f>
        <v>Implementación de unidad de control forestal y de fauna silvestre en el ARA (gastos de inversión).</v>
      </c>
      <c r="C460" s="1701"/>
      <c r="D460" s="1701"/>
      <c r="E460" s="127" t="str">
        <f>+'3.Intervenciones Transv. Region'!E39</f>
        <v>Equipamiento (GPS, cámaras, computadora),  camionetas, carpas, sleepings, binoculares y uniformes</v>
      </c>
      <c r="F460" s="95"/>
      <c r="G460" s="79"/>
      <c r="H460" s="79"/>
      <c r="I460" s="79"/>
      <c r="J460" s="79"/>
      <c r="K460" s="79"/>
      <c r="L460" s="79"/>
      <c r="M460" s="79"/>
      <c r="N460" s="79"/>
      <c r="O460" s="79"/>
      <c r="P460" s="79"/>
      <c r="Q460" s="79"/>
      <c r="R460" s="79"/>
      <c r="S460" s="79"/>
      <c r="T460" s="79"/>
      <c r="U460" s="79"/>
      <c r="V460" s="79"/>
      <c r="W460" s="79"/>
      <c r="X460" s="79"/>
      <c r="Y460" s="79"/>
      <c r="Z460" s="79"/>
    </row>
    <row r="461" spans="1:26" ht="17.7" x14ac:dyDescent="0.15">
      <c r="A461" s="79"/>
      <c r="B461" s="1748" t="str">
        <f>+'3.Intervenciones Transv. Region'!D40</f>
        <v>Fortalecimiento de las fiscalías especializadas en materia ambiental regionales. (A)</v>
      </c>
      <c r="C461" s="1701"/>
      <c r="D461" s="1701"/>
      <c r="E461" s="127" t="str">
        <f>+'3.Intervenciones Transv. Region'!E40</f>
        <v>Contratación de fiscales especializados en materia ambiental para que puedan atender oportunamente la necesidad de toda la región. Actualmente solo se cuenta con 5 fiscales en toda la región distribuidos de la siguiente manera: 2 fiscales para las provincias de (Tocache, Mariscal Cáceres, Bellavista y Huallaga) y 3 fiscales para las provincias de (El Dorado, Picota, Lamas, San Martín, Moyobamba Y Rioja).</v>
      </c>
      <c r="F461" s="95"/>
      <c r="G461" s="79"/>
      <c r="H461" s="79"/>
      <c r="I461" s="79"/>
      <c r="J461" s="79"/>
      <c r="K461" s="79"/>
      <c r="L461" s="79"/>
      <c r="M461" s="79"/>
      <c r="N461" s="79"/>
      <c r="O461" s="79"/>
      <c r="P461" s="79"/>
      <c r="Q461" s="79"/>
      <c r="R461" s="79"/>
      <c r="S461" s="79"/>
      <c r="T461" s="79"/>
      <c r="U461" s="79"/>
      <c r="V461" s="79"/>
      <c r="W461" s="79"/>
      <c r="X461" s="79"/>
      <c r="Y461" s="79"/>
      <c r="Z461" s="79"/>
    </row>
    <row r="462" spans="1:26" ht="18.7" customHeight="1" x14ac:dyDescent="0.15">
      <c r="A462" s="79"/>
      <c r="B462" s="1749"/>
      <c r="C462" s="1701"/>
      <c r="D462" s="1701"/>
      <c r="E462" s="127" t="str">
        <f>+'3.Intervenciones Transv. Region'!E41</f>
        <v>Implementación de logística para fiscalías especializadas en materia ambiental</v>
      </c>
      <c r="F462" s="95"/>
      <c r="G462" s="79"/>
      <c r="H462" s="79"/>
      <c r="I462" s="79"/>
      <c r="J462" s="79"/>
      <c r="K462" s="79"/>
      <c r="L462" s="79"/>
      <c r="M462" s="79"/>
      <c r="N462" s="79"/>
      <c r="O462" s="79"/>
      <c r="P462" s="79"/>
      <c r="Q462" s="79"/>
      <c r="R462" s="79"/>
      <c r="S462" s="79"/>
      <c r="T462" s="79"/>
      <c r="U462" s="79"/>
      <c r="V462" s="79"/>
      <c r="W462" s="79"/>
      <c r="X462" s="79"/>
      <c r="Y462" s="79"/>
      <c r="Z462" s="79"/>
    </row>
    <row r="463" spans="1:26" ht="26.5" x14ac:dyDescent="0.15">
      <c r="A463" s="79"/>
      <c r="B463" s="126" t="str">
        <f>+'3.Intervenciones Transv. Region'!D42</f>
        <v>Implementación de operativos coordinados para el control forestal.</v>
      </c>
      <c r="C463" s="1701"/>
      <c r="D463" s="1701"/>
      <c r="E463" s="127" t="str">
        <f>+'3.Intervenciones Transv. Region'!E42</f>
        <v>Operativos específicos para control de tala ilegal y deforestación coordinado entre varias instituciones públicas (ARA, MP, OSINFOR, entre otros)</v>
      </c>
      <c r="F463" s="95"/>
      <c r="G463" s="79"/>
      <c r="H463" s="79"/>
      <c r="I463" s="79"/>
      <c r="J463" s="79"/>
      <c r="K463" s="79"/>
      <c r="L463" s="79"/>
      <c r="M463" s="79"/>
      <c r="N463" s="79"/>
      <c r="O463" s="79"/>
      <c r="P463" s="79"/>
      <c r="Q463" s="79"/>
      <c r="R463" s="79"/>
      <c r="S463" s="79"/>
      <c r="T463" s="79"/>
      <c r="U463" s="79"/>
      <c r="V463" s="79"/>
      <c r="W463" s="79"/>
      <c r="X463" s="79"/>
      <c r="Y463" s="79"/>
      <c r="Z463" s="79"/>
    </row>
    <row r="464" spans="1:26" ht="106" x14ac:dyDescent="0.15">
      <c r="A464" s="79"/>
      <c r="B464" s="126" t="str">
        <f>+'3.Intervenciones Transv. Region'!D43</f>
        <v>Elaboración, aprobación e implementación de procedimiento regional integrado del cambio de uso actual para tierras A y C (Articulo No 38 LFFS Ley No 29763) con procedimientos de otorgamiento de la propiedad agraria (titulación de predios y adjudicaciones)</v>
      </c>
      <c r="C464" s="1701"/>
      <c r="D464" s="1701"/>
      <c r="E464" s="127" t="str">
        <f>+'3.Intervenciones Transv. Region'!E43</f>
        <v xml:space="preserve">a) Mapear procedimientos regionales vinculados a otorgamiento de propiedad agraria (titulación y adjudicaciones), cambio de uso actual de tierras de aptitud A y C, procesos de bosque y estudios de impacto ambiental del sector agrario, b) aprobación de lineamientos o norma complementaria nacional para implementación del  cambio de uso actual de acuerdo a nueva LFFS y RLFFS*, c) elaboración de propuesta de procedimiento regional articulado y modificaciones al TUPA del GORESAM, d) elaboración y aprobación de propuesta de ordenanza regional que aprueba procedimiento y modificación de TUPA del GORESAM, e) capacitación de funcionarios y socialización de actores claves, f) elaboración de estudios de suelos en áreas identificadas para futuros procesos de titulación y adjudicaciones, g) implementación de procedimiento de cambio de uso actual en A y C para definir áreas en donde es posible realizar adjudicaciones de acuerdo a LFFFS, h) ejecución de procedimientos de titulación de predios,  adjucación o cesión en uso. Nota1: la elaboración de estudios de suelos debe ser en grandes espacios en los donde se piensa promover la titulación de predios rurales (a nivel de unidades catastrales) y adjudicaciones agrarias, de maneras previas a las solicitudes de titulación. Nota2: evaluar con DGAA el nivel del estudio de suelo, se recomienda estudios simplificado y un proceso en etapas que permita liberar primero las tierras X y F. Nota 3: Reto opinión previa de SERFOR y MINAM ¿Como no demorar este proceso?                                               </v>
      </c>
      <c r="F464" s="95"/>
      <c r="G464" s="79"/>
      <c r="H464" s="79"/>
      <c r="I464" s="79"/>
      <c r="J464" s="79"/>
      <c r="K464" s="79"/>
      <c r="L464" s="79"/>
      <c r="M464" s="79"/>
      <c r="N464" s="79"/>
      <c r="O464" s="79"/>
      <c r="P464" s="79"/>
      <c r="Q464" s="79"/>
      <c r="R464" s="79"/>
      <c r="S464" s="79"/>
      <c r="T464" s="79"/>
      <c r="U464" s="79"/>
      <c r="V464" s="79"/>
      <c r="W464" s="79"/>
      <c r="X464" s="79"/>
      <c r="Y464" s="79"/>
      <c r="Z464" s="79"/>
    </row>
    <row r="465" spans="1:26" ht="8.85" x14ac:dyDescent="0.15">
      <c r="A465" s="357"/>
      <c r="B465" s="357"/>
      <c r="C465" s="357"/>
      <c r="D465" s="357"/>
      <c r="E465" s="128"/>
      <c r="F465" s="95"/>
      <c r="G465" s="79"/>
      <c r="H465" s="79"/>
      <c r="I465" s="79"/>
      <c r="J465" s="79"/>
      <c r="K465" s="79"/>
      <c r="L465" s="79"/>
      <c r="M465" s="79"/>
      <c r="N465" s="79"/>
      <c r="O465" s="79"/>
      <c r="P465" s="79"/>
      <c r="Q465" s="79"/>
      <c r="R465" s="79"/>
      <c r="S465" s="79"/>
      <c r="T465" s="79"/>
      <c r="U465" s="79"/>
      <c r="V465" s="79"/>
      <c r="W465" s="79"/>
      <c r="X465" s="79"/>
      <c r="Y465" s="79"/>
      <c r="Z465" s="79"/>
    </row>
    <row r="466" spans="1:26" ht="8.85" x14ac:dyDescent="0.15">
      <c r="A466" s="357"/>
      <c r="B466" s="357"/>
      <c r="C466" s="357"/>
      <c r="D466" s="357"/>
      <c r="E466" s="128"/>
      <c r="F466" s="95"/>
      <c r="G466" s="79"/>
      <c r="H466" s="79"/>
      <c r="I466" s="79"/>
      <c r="J466" s="79"/>
      <c r="K466" s="79"/>
      <c r="L466" s="79"/>
      <c r="M466" s="79"/>
      <c r="N466" s="79"/>
      <c r="O466" s="79"/>
      <c r="P466" s="79"/>
      <c r="Q466" s="79"/>
      <c r="R466" s="79"/>
      <c r="S466" s="79"/>
      <c r="T466" s="79"/>
      <c r="U466" s="79"/>
      <c r="V466" s="79"/>
      <c r="W466" s="79"/>
      <c r="X466" s="79"/>
      <c r="Y466" s="79"/>
      <c r="Z466" s="79"/>
    </row>
    <row r="467" spans="1:26" ht="25" customHeight="1" x14ac:dyDescent="0.15">
      <c r="A467" s="79"/>
      <c r="B467" s="96" t="s">
        <v>2029</v>
      </c>
      <c r="C467" s="94"/>
      <c r="D467" s="95"/>
      <c r="E467" s="87"/>
      <c r="F467" s="95"/>
      <c r="G467" s="79"/>
      <c r="H467" s="79"/>
      <c r="I467" s="79"/>
      <c r="J467" s="79"/>
      <c r="K467" s="99"/>
      <c r="L467" s="79"/>
      <c r="M467" s="79"/>
      <c r="N467" s="79"/>
      <c r="O467" s="79"/>
      <c r="P467" s="79"/>
      <c r="Q467" s="79"/>
      <c r="R467" s="79"/>
      <c r="S467" s="79"/>
      <c r="T467" s="79"/>
      <c r="U467" s="79"/>
      <c r="V467" s="79"/>
      <c r="W467" s="79"/>
      <c r="X467" s="79"/>
      <c r="Y467" s="79"/>
      <c r="Z467" s="79"/>
    </row>
    <row r="468" spans="1:26" ht="24.65" customHeight="1" x14ac:dyDescent="0.15">
      <c r="A468" s="79"/>
      <c r="B468" s="79"/>
      <c r="C468" s="94"/>
      <c r="D468" s="95"/>
      <c r="E468" s="87"/>
      <c r="F468" s="95"/>
      <c r="G468" s="79"/>
      <c r="H468" s="79"/>
      <c r="I468" s="79"/>
      <c r="J468" s="99"/>
      <c r="K468" s="99"/>
      <c r="L468" s="79"/>
      <c r="M468" s="79"/>
      <c r="N468" s="79"/>
      <c r="O468" s="79"/>
      <c r="P468" s="79"/>
      <c r="Q468" s="79"/>
      <c r="R468" s="79"/>
      <c r="S468" s="79"/>
      <c r="T468" s="79"/>
      <c r="U468" s="79"/>
      <c r="V468" s="79"/>
      <c r="W468" s="79"/>
      <c r="X468" s="79"/>
      <c r="Y468" s="79"/>
      <c r="Z468" s="79"/>
    </row>
    <row r="469" spans="1:26" ht="50.95" customHeight="1" x14ac:dyDescent="0.15">
      <c r="A469" s="79"/>
      <c r="B469" s="112" t="s">
        <v>2030</v>
      </c>
      <c r="C469" s="113" t="s">
        <v>2031</v>
      </c>
      <c r="D469" s="114" t="s">
        <v>339</v>
      </c>
      <c r="E469" s="114" t="s">
        <v>2032</v>
      </c>
      <c r="F469" s="114" t="s">
        <v>2033</v>
      </c>
      <c r="G469" s="79"/>
      <c r="H469" s="99"/>
      <c r="I469" s="99"/>
      <c r="J469" s="79"/>
      <c r="K469" s="79"/>
      <c r="L469" s="79"/>
      <c r="M469" s="79"/>
      <c r="N469" s="79"/>
      <c r="O469" s="79"/>
      <c r="P469" s="79"/>
      <c r="Q469" s="79"/>
      <c r="R469" s="79"/>
      <c r="S469" s="79"/>
      <c r="T469" s="79"/>
      <c r="U469" s="79"/>
      <c r="V469" s="79"/>
      <c r="W469" s="79"/>
      <c r="X469" s="79"/>
      <c r="Y469" s="79"/>
      <c r="Z469" s="79"/>
    </row>
    <row r="470" spans="1:26" ht="50.95" customHeight="1" x14ac:dyDescent="0.15">
      <c r="A470" s="79"/>
      <c r="B470" s="115" t="s">
        <v>2034</v>
      </c>
      <c r="C470" s="116" t="s">
        <v>2035</v>
      </c>
      <c r="D470" s="116" t="s">
        <v>407</v>
      </c>
      <c r="E470" s="116" t="s">
        <v>2036</v>
      </c>
      <c r="F470" s="115" t="s">
        <v>2037</v>
      </c>
      <c r="G470" s="99"/>
      <c r="H470" s="79"/>
      <c r="I470" s="99"/>
      <c r="J470" s="79"/>
      <c r="K470" s="79"/>
      <c r="L470" s="79"/>
      <c r="M470" s="79"/>
      <c r="N470" s="79"/>
      <c r="O470" s="79"/>
      <c r="P470" s="79"/>
      <c r="Q470" s="79"/>
      <c r="R470" s="79"/>
      <c r="S470" s="79"/>
      <c r="T470" s="79"/>
      <c r="U470" s="79"/>
      <c r="V470" s="79"/>
      <c r="W470" s="79"/>
      <c r="X470" s="79"/>
      <c r="Y470" s="79"/>
      <c r="Z470" s="79"/>
    </row>
    <row r="471" spans="1:26" ht="8.85" x14ac:dyDescent="0.15">
      <c r="A471" s="79"/>
      <c r="B471" s="117" t="s">
        <v>2038</v>
      </c>
      <c r="C471" s="117" t="s">
        <v>2039</v>
      </c>
      <c r="D471" s="117" t="s">
        <v>412</v>
      </c>
      <c r="E471" s="117" t="s">
        <v>2040</v>
      </c>
      <c r="F471" s="118" t="s">
        <v>261</v>
      </c>
      <c r="G471" s="99"/>
      <c r="H471" s="79"/>
      <c r="I471" s="99"/>
      <c r="J471" s="79"/>
      <c r="K471" s="79"/>
      <c r="L471" s="79"/>
      <c r="M471" s="79"/>
      <c r="N471" s="79"/>
      <c r="O471" s="79"/>
      <c r="P471" s="79"/>
      <c r="Q471" s="79"/>
      <c r="R471" s="79"/>
      <c r="S471" s="79"/>
      <c r="T471" s="79"/>
      <c r="U471" s="79"/>
      <c r="V471" s="79"/>
      <c r="W471" s="79"/>
      <c r="X471" s="79"/>
      <c r="Y471" s="79"/>
      <c r="Z471" s="79"/>
    </row>
    <row r="472" spans="1:26" ht="44.15" x14ac:dyDescent="0.15">
      <c r="A472" s="79"/>
      <c r="B472" s="117" t="s">
        <v>2038</v>
      </c>
      <c r="C472" s="117" t="s">
        <v>2039</v>
      </c>
      <c r="D472" s="117" t="s">
        <v>2041</v>
      </c>
      <c r="E472" s="117" t="s">
        <v>2042</v>
      </c>
      <c r="F472" s="118" t="s">
        <v>2043</v>
      </c>
      <c r="G472" s="99"/>
      <c r="H472" s="79"/>
      <c r="I472" s="99"/>
      <c r="J472" s="79"/>
      <c r="K472" s="79"/>
      <c r="L472" s="79"/>
      <c r="M472" s="79"/>
      <c r="N472" s="79"/>
      <c r="O472" s="79"/>
      <c r="P472" s="79"/>
      <c r="Q472" s="79"/>
      <c r="R472" s="79"/>
      <c r="S472" s="79"/>
      <c r="T472" s="79"/>
      <c r="U472" s="79"/>
      <c r="V472" s="79"/>
      <c r="W472" s="79"/>
      <c r="X472" s="79"/>
      <c r="Y472" s="79"/>
      <c r="Z472" s="79"/>
    </row>
    <row r="473" spans="1:26" ht="35.35" x14ac:dyDescent="0.15">
      <c r="A473" s="79"/>
      <c r="B473" s="117" t="s">
        <v>2038</v>
      </c>
      <c r="C473" s="117" t="s">
        <v>2044</v>
      </c>
      <c r="D473" s="117" t="s">
        <v>426</v>
      </c>
      <c r="E473" s="117" t="s">
        <v>2045</v>
      </c>
      <c r="F473" s="118" t="s">
        <v>2044</v>
      </c>
      <c r="G473" s="99"/>
      <c r="H473" s="79"/>
      <c r="I473" s="99"/>
      <c r="J473" s="79"/>
      <c r="K473" s="79"/>
      <c r="L473" s="79"/>
      <c r="M473" s="79"/>
      <c r="N473" s="79"/>
      <c r="O473" s="79"/>
      <c r="P473" s="79"/>
      <c r="Q473" s="79"/>
      <c r="R473" s="79"/>
      <c r="S473" s="79"/>
      <c r="T473" s="79"/>
      <c r="U473" s="79"/>
      <c r="V473" s="79"/>
      <c r="W473" s="79"/>
      <c r="X473" s="79"/>
      <c r="Y473" s="79"/>
      <c r="Z473" s="79"/>
    </row>
    <row r="474" spans="1:26" ht="35.35" x14ac:dyDescent="0.15">
      <c r="A474" s="79"/>
      <c r="B474" s="117" t="s">
        <v>2038</v>
      </c>
      <c r="C474" s="117" t="s">
        <v>2039</v>
      </c>
      <c r="D474" s="117" t="s">
        <v>431</v>
      </c>
      <c r="E474" s="117" t="s">
        <v>2046</v>
      </c>
      <c r="F474" s="117" t="str">
        <f>+C474</f>
        <v>Factores Institucionales y Políticos</v>
      </c>
      <c r="G474" s="99"/>
      <c r="H474" s="79"/>
      <c r="I474" s="99"/>
      <c r="J474" s="79"/>
      <c r="K474" s="79"/>
      <c r="L474" s="79"/>
      <c r="M474" s="79"/>
      <c r="N474" s="79"/>
      <c r="O474" s="79"/>
      <c r="P474" s="79"/>
      <c r="Q474" s="79"/>
      <c r="R474" s="79"/>
      <c r="S474" s="79"/>
      <c r="T474" s="79"/>
      <c r="U474" s="79"/>
      <c r="V474" s="79"/>
      <c r="W474" s="79"/>
      <c r="X474" s="79"/>
      <c r="Y474" s="79"/>
      <c r="Z474" s="79"/>
    </row>
    <row r="475" spans="1:26" ht="50.95" customHeight="1" x14ac:dyDescent="0.15">
      <c r="A475" s="79"/>
      <c r="B475" s="117" t="s">
        <v>2038</v>
      </c>
      <c r="C475" s="117" t="s">
        <v>2047</v>
      </c>
      <c r="D475" s="117" t="s">
        <v>436</v>
      </c>
      <c r="E475" s="117" t="s">
        <v>2048</v>
      </c>
      <c r="F475" s="118" t="s">
        <v>2049</v>
      </c>
      <c r="G475" s="99"/>
      <c r="H475" s="79"/>
      <c r="I475" s="99"/>
      <c r="J475" s="79"/>
      <c r="K475" s="79"/>
      <c r="L475" s="79"/>
      <c r="M475" s="79"/>
      <c r="N475" s="79"/>
      <c r="O475" s="79"/>
      <c r="P475" s="79"/>
      <c r="Q475" s="79"/>
      <c r="R475" s="79"/>
      <c r="S475" s="79"/>
      <c r="T475" s="79"/>
      <c r="U475" s="79"/>
      <c r="V475" s="79"/>
      <c r="W475" s="79"/>
      <c r="X475" s="79"/>
      <c r="Y475" s="79"/>
      <c r="Z475" s="79"/>
    </row>
    <row r="476" spans="1:26" ht="8.85" x14ac:dyDescent="0.15">
      <c r="A476" s="79"/>
      <c r="B476" s="117" t="s">
        <v>2038</v>
      </c>
      <c r="C476" s="117" t="s">
        <v>2050</v>
      </c>
      <c r="D476" s="117" t="s">
        <v>414</v>
      </c>
      <c r="E476" s="117" t="s">
        <v>2051</v>
      </c>
      <c r="F476" s="118" t="s">
        <v>414</v>
      </c>
      <c r="G476" s="99"/>
      <c r="H476" s="79"/>
      <c r="I476" s="99"/>
      <c r="J476" s="79"/>
      <c r="K476" s="79"/>
      <c r="L476" s="79"/>
      <c r="M476" s="79"/>
      <c r="N476" s="79"/>
      <c r="O476" s="79"/>
      <c r="P476" s="79"/>
      <c r="Q476" s="79"/>
      <c r="R476" s="79"/>
      <c r="S476" s="79"/>
      <c r="T476" s="79"/>
      <c r="U476" s="79"/>
      <c r="V476" s="79"/>
      <c r="W476" s="79"/>
      <c r="X476" s="79"/>
      <c r="Y476" s="79"/>
      <c r="Z476" s="79"/>
    </row>
    <row r="477" spans="1:26" ht="26.5" x14ac:dyDescent="0.15">
      <c r="A477" s="79"/>
      <c r="B477" s="117" t="s">
        <v>2038</v>
      </c>
      <c r="C477" s="117" t="s">
        <v>2039</v>
      </c>
      <c r="D477" s="117" t="s">
        <v>443</v>
      </c>
      <c r="E477" s="117" t="s">
        <v>2052</v>
      </c>
      <c r="F477" s="118" t="s">
        <v>2053</v>
      </c>
      <c r="G477" s="99"/>
      <c r="H477" s="79"/>
      <c r="I477" s="99"/>
      <c r="J477" s="79"/>
      <c r="K477" s="79"/>
      <c r="L477" s="79"/>
      <c r="M477" s="79"/>
      <c r="N477" s="79"/>
      <c r="O477" s="79"/>
      <c r="P477" s="79"/>
      <c r="Q477" s="79"/>
      <c r="R477" s="79"/>
      <c r="S477" s="79"/>
      <c r="T477" s="79"/>
      <c r="U477" s="79"/>
      <c r="V477" s="79"/>
      <c r="W477" s="79"/>
      <c r="X477" s="79"/>
      <c r="Y477" s="79"/>
      <c r="Z477" s="79"/>
    </row>
    <row r="478" spans="1:26" ht="35.35" x14ac:dyDescent="0.15">
      <c r="A478" s="79"/>
      <c r="B478" s="117" t="s">
        <v>2038</v>
      </c>
      <c r="C478" s="117" t="s">
        <v>2054</v>
      </c>
      <c r="D478" s="117" t="s">
        <v>445</v>
      </c>
      <c r="E478" s="117" t="s">
        <v>2055</v>
      </c>
      <c r="F478" s="118" t="s">
        <v>2056</v>
      </c>
      <c r="G478" s="99"/>
      <c r="H478" s="79"/>
      <c r="I478" s="99"/>
      <c r="J478" s="79"/>
      <c r="K478" s="79"/>
      <c r="L478" s="79"/>
      <c r="M478" s="79"/>
      <c r="N478" s="79"/>
      <c r="O478" s="79"/>
      <c r="P478" s="79"/>
      <c r="Q478" s="79"/>
      <c r="R478" s="79"/>
      <c r="S478" s="79"/>
      <c r="T478" s="79"/>
      <c r="U478" s="79"/>
      <c r="V478" s="79"/>
      <c r="W478" s="79"/>
      <c r="X478" s="79"/>
      <c r="Y478" s="79"/>
      <c r="Z478" s="79"/>
    </row>
    <row r="479" spans="1:26" ht="44.15" x14ac:dyDescent="0.15">
      <c r="A479" s="79"/>
      <c r="B479" s="117" t="s">
        <v>2038</v>
      </c>
      <c r="C479" s="117" t="s">
        <v>2057</v>
      </c>
      <c r="D479" s="117" t="s">
        <v>446</v>
      </c>
      <c r="E479" s="117" t="s">
        <v>2058</v>
      </c>
      <c r="F479" s="118" t="s">
        <v>2059</v>
      </c>
      <c r="G479" s="99"/>
      <c r="H479" s="79"/>
      <c r="I479" s="99"/>
      <c r="J479" s="79"/>
      <c r="K479" s="79"/>
      <c r="L479" s="79"/>
      <c r="M479" s="79"/>
      <c r="N479" s="79"/>
      <c r="O479" s="79"/>
      <c r="P479" s="79"/>
      <c r="Q479" s="79"/>
      <c r="R479" s="79"/>
      <c r="S479" s="79"/>
      <c r="T479" s="79"/>
      <c r="U479" s="79"/>
      <c r="V479" s="79"/>
      <c r="W479" s="79"/>
      <c r="X479" s="79"/>
      <c r="Y479" s="79"/>
      <c r="Z479" s="79"/>
    </row>
    <row r="480" spans="1:26" ht="50.95" customHeight="1" x14ac:dyDescent="0.15">
      <c r="A480" s="79"/>
      <c r="B480" s="117" t="s">
        <v>2038</v>
      </c>
      <c r="C480" s="117" t="s">
        <v>2057</v>
      </c>
      <c r="D480" s="117" t="s">
        <v>448</v>
      </c>
      <c r="E480" s="117" t="s">
        <v>2060</v>
      </c>
      <c r="F480" s="118" t="s">
        <v>2061</v>
      </c>
      <c r="G480" s="99"/>
      <c r="H480" s="79"/>
      <c r="I480" s="99"/>
      <c r="J480" s="79"/>
      <c r="K480" s="79"/>
      <c r="L480" s="79"/>
      <c r="M480" s="79"/>
      <c r="N480" s="79"/>
      <c r="O480" s="79"/>
      <c r="P480" s="79"/>
      <c r="Q480" s="79"/>
      <c r="R480" s="79"/>
      <c r="S480" s="79"/>
      <c r="T480" s="79"/>
      <c r="U480" s="79"/>
      <c r="V480" s="79"/>
      <c r="W480" s="79"/>
      <c r="X480" s="79"/>
      <c r="Y480" s="79"/>
      <c r="Z480" s="79"/>
    </row>
    <row r="481" spans="1:26" ht="50.95" customHeight="1" x14ac:dyDescent="0.15">
      <c r="A481" s="79"/>
      <c r="B481" s="117" t="s">
        <v>2038</v>
      </c>
      <c r="C481" s="117" t="s">
        <v>2039</v>
      </c>
      <c r="D481" s="117" t="s">
        <v>413</v>
      </c>
      <c r="E481" s="117" t="s">
        <v>2062</v>
      </c>
      <c r="F481" s="118" t="s">
        <v>2063</v>
      </c>
      <c r="G481" s="99"/>
      <c r="H481" s="79"/>
      <c r="I481" s="99"/>
      <c r="J481" s="79"/>
      <c r="K481" s="79"/>
      <c r="L481" s="79"/>
      <c r="M481" s="79"/>
      <c r="N481" s="79"/>
      <c r="O481" s="79"/>
      <c r="P481" s="79"/>
      <c r="Q481" s="79"/>
      <c r="R481" s="79"/>
      <c r="S481" s="79"/>
      <c r="T481" s="79"/>
      <c r="U481" s="79"/>
      <c r="V481" s="79"/>
      <c r="W481" s="79"/>
      <c r="X481" s="79"/>
      <c r="Y481" s="79"/>
      <c r="Z481" s="79"/>
    </row>
    <row r="482" spans="1:26" ht="8.85" x14ac:dyDescent="0.15">
      <c r="A482" s="79"/>
      <c r="B482" s="117" t="s">
        <v>2038</v>
      </c>
      <c r="C482" s="117" t="s">
        <v>2064</v>
      </c>
      <c r="D482" s="117" t="s">
        <v>421</v>
      </c>
      <c r="E482" s="117" t="s">
        <v>2065</v>
      </c>
      <c r="F482" s="118" t="s">
        <v>2066</v>
      </c>
      <c r="G482" s="99"/>
      <c r="H482" s="79"/>
      <c r="I482" s="99"/>
      <c r="J482" s="79"/>
      <c r="K482" s="79"/>
      <c r="L482" s="79"/>
      <c r="M482" s="79"/>
      <c r="N482" s="79"/>
      <c r="O482" s="79"/>
      <c r="P482" s="79"/>
      <c r="Q482" s="79"/>
      <c r="R482" s="79"/>
      <c r="S482" s="79"/>
      <c r="T482" s="79"/>
      <c r="U482" s="79"/>
      <c r="V482" s="79"/>
      <c r="W482" s="79"/>
      <c r="X482" s="79"/>
      <c r="Y482" s="79"/>
      <c r="Z482" s="79"/>
    </row>
    <row r="483" spans="1:26" ht="44.15" x14ac:dyDescent="0.15">
      <c r="A483" s="79"/>
      <c r="B483" s="117" t="s">
        <v>2038</v>
      </c>
      <c r="C483" s="117" t="s">
        <v>2039</v>
      </c>
      <c r="D483" s="117" t="s">
        <v>2067</v>
      </c>
      <c r="E483" s="117" t="s">
        <v>2068</v>
      </c>
      <c r="F483" s="118" t="s">
        <v>256</v>
      </c>
      <c r="G483" s="99"/>
      <c r="H483" s="79"/>
      <c r="I483" s="99"/>
      <c r="J483" s="79"/>
      <c r="K483" s="79"/>
      <c r="L483" s="79"/>
      <c r="M483" s="79"/>
      <c r="N483" s="79"/>
      <c r="O483" s="79"/>
      <c r="P483" s="79"/>
      <c r="Q483" s="79"/>
      <c r="R483" s="79"/>
      <c r="S483" s="79"/>
      <c r="T483" s="79"/>
      <c r="U483" s="79"/>
      <c r="V483" s="79"/>
      <c r="W483" s="79"/>
      <c r="X483" s="79"/>
      <c r="Y483" s="79"/>
      <c r="Z483" s="79"/>
    </row>
    <row r="484" spans="1:26" ht="26.5" x14ac:dyDescent="0.15">
      <c r="A484" s="79"/>
      <c r="B484" s="117" t="s">
        <v>2038</v>
      </c>
      <c r="C484" s="117" t="s">
        <v>2039</v>
      </c>
      <c r="D484" s="117" t="s">
        <v>432</v>
      </c>
      <c r="E484" s="117" t="s">
        <v>2069</v>
      </c>
      <c r="F484" s="118" t="s">
        <v>2070</v>
      </c>
      <c r="G484" s="99"/>
      <c r="H484" s="79"/>
      <c r="I484" s="99"/>
      <c r="J484" s="79"/>
      <c r="K484" s="79"/>
      <c r="L484" s="79"/>
      <c r="M484" s="79"/>
      <c r="N484" s="79"/>
      <c r="O484" s="79"/>
      <c r="P484" s="79"/>
      <c r="Q484" s="79"/>
      <c r="R484" s="79"/>
      <c r="S484" s="79"/>
      <c r="T484" s="79"/>
      <c r="U484" s="79"/>
      <c r="V484" s="79"/>
      <c r="W484" s="79"/>
      <c r="X484" s="79"/>
      <c r="Y484" s="79"/>
      <c r="Z484" s="79"/>
    </row>
    <row r="485" spans="1:26" ht="35.35" x14ac:dyDescent="0.15">
      <c r="A485" s="79"/>
      <c r="B485" s="117" t="s">
        <v>2038</v>
      </c>
      <c r="C485" s="117" t="s">
        <v>2054</v>
      </c>
      <c r="D485" s="117" t="s">
        <v>437</v>
      </c>
      <c r="E485" s="117" t="s">
        <v>2071</v>
      </c>
      <c r="F485" s="118" t="s">
        <v>2072</v>
      </c>
      <c r="G485" s="99"/>
      <c r="H485" s="79"/>
      <c r="I485" s="99"/>
      <c r="J485" s="79"/>
      <c r="K485" s="79"/>
      <c r="L485" s="79"/>
      <c r="M485" s="79"/>
      <c r="N485" s="79"/>
      <c r="O485" s="79"/>
      <c r="P485" s="79"/>
      <c r="Q485" s="79"/>
      <c r="R485" s="79"/>
      <c r="S485" s="79"/>
      <c r="T485" s="79"/>
      <c r="U485" s="79"/>
      <c r="V485" s="79"/>
      <c r="W485" s="79"/>
      <c r="X485" s="79"/>
      <c r="Y485" s="79"/>
      <c r="Z485" s="79"/>
    </row>
    <row r="486" spans="1:26" ht="26.5" x14ac:dyDescent="0.15">
      <c r="A486" s="79"/>
      <c r="B486" s="117" t="s">
        <v>2038</v>
      </c>
      <c r="C486" s="117" t="s">
        <v>2064</v>
      </c>
      <c r="D486" s="117" t="s">
        <v>422</v>
      </c>
      <c r="E486" s="117" t="s">
        <v>2073</v>
      </c>
      <c r="F486" s="118" t="s">
        <v>2074</v>
      </c>
      <c r="G486" s="99"/>
      <c r="H486" s="79"/>
      <c r="I486" s="99"/>
      <c r="J486" s="79"/>
      <c r="K486" s="79"/>
      <c r="L486" s="79"/>
      <c r="M486" s="79"/>
      <c r="N486" s="79"/>
      <c r="O486" s="79"/>
      <c r="P486" s="79"/>
      <c r="Q486" s="79"/>
      <c r="R486" s="79"/>
      <c r="S486" s="79"/>
      <c r="T486" s="79"/>
      <c r="U486" s="79"/>
      <c r="V486" s="79"/>
      <c r="W486" s="79"/>
      <c r="X486" s="79"/>
      <c r="Y486" s="79"/>
      <c r="Z486" s="79"/>
    </row>
    <row r="487" spans="1:26" ht="17.7" x14ac:dyDescent="0.15">
      <c r="A487" s="79"/>
      <c r="B487" s="117" t="s">
        <v>2038</v>
      </c>
      <c r="C487" s="117" t="s">
        <v>2044</v>
      </c>
      <c r="D487" s="117" t="s">
        <v>444</v>
      </c>
      <c r="E487" s="117" t="s">
        <v>2045</v>
      </c>
      <c r="F487" s="118" t="s">
        <v>2075</v>
      </c>
      <c r="G487" s="99"/>
      <c r="H487" s="79"/>
      <c r="I487" s="99"/>
      <c r="J487" s="79"/>
      <c r="K487" s="79"/>
      <c r="L487" s="79"/>
      <c r="M487" s="79"/>
      <c r="N487" s="79"/>
      <c r="O487" s="79"/>
      <c r="P487" s="79"/>
      <c r="Q487" s="79"/>
      <c r="R487" s="79"/>
      <c r="S487" s="79"/>
      <c r="T487" s="79"/>
      <c r="U487" s="79"/>
      <c r="V487" s="79"/>
      <c r="W487" s="79"/>
      <c r="X487" s="79"/>
      <c r="Y487" s="79"/>
      <c r="Z487" s="79"/>
    </row>
    <row r="488" spans="1:26" ht="17.7" x14ac:dyDescent="0.15">
      <c r="A488" s="79"/>
      <c r="B488" s="117" t="s">
        <v>2038</v>
      </c>
      <c r="C488" s="117" t="s">
        <v>2054</v>
      </c>
      <c r="D488" s="117" t="s">
        <v>442</v>
      </c>
      <c r="E488" s="117" t="s">
        <v>2076</v>
      </c>
      <c r="F488" s="118" t="s">
        <v>2077</v>
      </c>
      <c r="G488" s="99"/>
      <c r="H488" s="79"/>
      <c r="I488" s="99"/>
      <c r="J488" s="79"/>
      <c r="K488" s="79"/>
      <c r="L488" s="79"/>
      <c r="M488" s="79"/>
      <c r="N488" s="79"/>
      <c r="O488" s="79"/>
      <c r="P488" s="79"/>
      <c r="Q488" s="79"/>
      <c r="R488" s="79"/>
      <c r="S488" s="79"/>
      <c r="T488" s="79"/>
      <c r="U488" s="79"/>
      <c r="V488" s="79"/>
      <c r="W488" s="79"/>
      <c r="X488" s="79"/>
      <c r="Y488" s="79"/>
      <c r="Z488" s="79"/>
    </row>
    <row r="489" spans="1:26" ht="35.35" x14ac:dyDescent="0.15">
      <c r="A489" s="79"/>
      <c r="B489" s="117" t="s">
        <v>2038</v>
      </c>
      <c r="C489" s="117" t="s">
        <v>2039</v>
      </c>
      <c r="D489" s="117" t="s">
        <v>447</v>
      </c>
      <c r="E489" s="117" t="s">
        <v>2052</v>
      </c>
      <c r="F489" s="118" t="s">
        <v>2078</v>
      </c>
      <c r="G489" s="99"/>
      <c r="H489" s="79"/>
      <c r="I489" s="99"/>
      <c r="J489" s="79"/>
      <c r="K489" s="79"/>
      <c r="L489" s="79"/>
      <c r="M489" s="79"/>
      <c r="N489" s="79"/>
      <c r="O489" s="79"/>
      <c r="P489" s="79"/>
      <c r="Q489" s="79"/>
      <c r="R489" s="79"/>
      <c r="S489" s="79"/>
      <c r="T489" s="79"/>
      <c r="U489" s="79"/>
      <c r="V489" s="79"/>
      <c r="W489" s="79"/>
      <c r="X489" s="79"/>
      <c r="Y489" s="79"/>
      <c r="Z489" s="79"/>
    </row>
    <row r="490" spans="1:26" ht="44.15" x14ac:dyDescent="0.15">
      <c r="A490" s="79"/>
      <c r="B490" s="117" t="s">
        <v>2038</v>
      </c>
      <c r="C490" s="117" t="s">
        <v>2047</v>
      </c>
      <c r="D490" s="117" t="s">
        <v>449</v>
      </c>
      <c r="E490" s="117" t="s">
        <v>2079</v>
      </c>
      <c r="F490" s="118" t="s">
        <v>2080</v>
      </c>
      <c r="G490" s="99"/>
      <c r="H490" s="79"/>
      <c r="I490" s="99"/>
      <c r="J490" s="79"/>
      <c r="K490" s="79"/>
      <c r="L490" s="79"/>
      <c r="M490" s="79"/>
      <c r="N490" s="79"/>
      <c r="O490" s="79"/>
      <c r="P490" s="79"/>
      <c r="Q490" s="79"/>
      <c r="R490" s="79"/>
      <c r="S490" s="79"/>
      <c r="T490" s="79"/>
      <c r="U490" s="79"/>
      <c r="V490" s="79"/>
      <c r="W490" s="79"/>
      <c r="X490" s="79"/>
      <c r="Y490" s="79"/>
      <c r="Z490" s="79"/>
    </row>
    <row r="491" spans="1:26" ht="50.95" customHeight="1" x14ac:dyDescent="0.15">
      <c r="A491" s="79"/>
      <c r="B491" s="115" t="s">
        <v>2034</v>
      </c>
      <c r="C491" s="119"/>
      <c r="D491" s="116" t="s">
        <v>2081</v>
      </c>
      <c r="E491" s="115"/>
      <c r="F491" s="120"/>
      <c r="G491" s="79"/>
      <c r="H491" s="99"/>
      <c r="I491" s="99"/>
      <c r="J491" s="79"/>
      <c r="K491" s="79"/>
      <c r="L491" s="79"/>
      <c r="M491" s="79"/>
      <c r="N491" s="79"/>
      <c r="O491" s="79"/>
      <c r="P491" s="79"/>
      <c r="Q491" s="79"/>
      <c r="R491" s="79"/>
      <c r="S491" s="79"/>
      <c r="T491" s="79"/>
      <c r="U491" s="79"/>
      <c r="V491" s="79"/>
      <c r="W491" s="79"/>
      <c r="X491" s="79"/>
      <c r="Y491" s="79"/>
      <c r="Z491" s="79"/>
    </row>
    <row r="492" spans="1:26" ht="8.85" x14ac:dyDescent="0.15">
      <c r="A492" s="79"/>
      <c r="B492" s="117" t="s">
        <v>2038</v>
      </c>
      <c r="C492" s="117" t="s">
        <v>2050</v>
      </c>
      <c r="D492" s="117" t="s">
        <v>414</v>
      </c>
      <c r="E492" s="117" t="s">
        <v>2051</v>
      </c>
      <c r="F492" s="118" t="s">
        <v>2082</v>
      </c>
      <c r="G492" s="79"/>
      <c r="H492" s="99"/>
      <c r="I492" s="99"/>
      <c r="J492" s="79"/>
      <c r="K492" s="79"/>
      <c r="L492" s="79"/>
      <c r="M492" s="79"/>
      <c r="N492" s="79"/>
      <c r="O492" s="79"/>
      <c r="P492" s="79"/>
      <c r="Q492" s="79"/>
      <c r="R492" s="79"/>
      <c r="S492" s="79"/>
      <c r="T492" s="79"/>
      <c r="U492" s="79"/>
      <c r="V492" s="79"/>
      <c r="W492" s="79"/>
      <c r="X492" s="79"/>
      <c r="Y492" s="79"/>
      <c r="Z492" s="79"/>
    </row>
    <row r="493" spans="1:26" ht="26.5" x14ac:dyDescent="0.15">
      <c r="A493" s="79"/>
      <c r="B493" s="117" t="s">
        <v>2038</v>
      </c>
      <c r="C493" s="117" t="s">
        <v>2064</v>
      </c>
      <c r="D493" s="117" t="s">
        <v>422</v>
      </c>
      <c r="E493" s="117" t="s">
        <v>2073</v>
      </c>
      <c r="F493" s="118" t="s">
        <v>2074</v>
      </c>
      <c r="G493" s="79"/>
      <c r="H493" s="99"/>
      <c r="I493" s="99"/>
      <c r="J493" s="79"/>
      <c r="K493" s="79"/>
      <c r="L493" s="79"/>
      <c r="M493" s="79"/>
      <c r="N493" s="79"/>
      <c r="O493" s="79"/>
      <c r="P493" s="79"/>
      <c r="Q493" s="79"/>
      <c r="R493" s="79"/>
      <c r="S493" s="79"/>
      <c r="T493" s="79"/>
      <c r="U493" s="79"/>
      <c r="V493" s="79"/>
      <c r="W493" s="79"/>
      <c r="X493" s="79"/>
      <c r="Y493" s="79"/>
      <c r="Z493" s="79"/>
    </row>
    <row r="494" spans="1:26" ht="26.5" x14ac:dyDescent="0.15">
      <c r="A494" s="79"/>
      <c r="B494" s="117" t="s">
        <v>2038</v>
      </c>
      <c r="C494" s="117" t="s">
        <v>2039</v>
      </c>
      <c r="D494" s="117" t="s">
        <v>432</v>
      </c>
      <c r="E494" s="117" t="s">
        <v>2069</v>
      </c>
      <c r="F494" s="118" t="s">
        <v>2083</v>
      </c>
      <c r="G494" s="79"/>
      <c r="H494" s="99"/>
      <c r="I494" s="99"/>
      <c r="J494" s="79"/>
      <c r="K494" s="79"/>
      <c r="L494" s="79"/>
      <c r="M494" s="79"/>
      <c r="N494" s="79"/>
      <c r="O494" s="79"/>
      <c r="P494" s="79"/>
      <c r="Q494" s="79"/>
      <c r="R494" s="79"/>
      <c r="S494" s="79"/>
      <c r="T494" s="79"/>
      <c r="U494" s="79"/>
      <c r="V494" s="79"/>
      <c r="W494" s="79"/>
      <c r="X494" s="79"/>
      <c r="Y494" s="79"/>
      <c r="Z494" s="79"/>
    </row>
    <row r="495" spans="1:26" ht="44.15" x14ac:dyDescent="0.15">
      <c r="A495" s="79"/>
      <c r="B495" s="117" t="s">
        <v>2038</v>
      </c>
      <c r="C495" s="117" t="s">
        <v>2039</v>
      </c>
      <c r="D495" s="117" t="s">
        <v>2067</v>
      </c>
      <c r="E495" s="117" t="s">
        <v>2068</v>
      </c>
      <c r="F495" s="118" t="s">
        <v>2084</v>
      </c>
      <c r="G495" s="79"/>
      <c r="H495" s="99"/>
      <c r="I495" s="99"/>
      <c r="J495" s="79"/>
      <c r="K495" s="79"/>
      <c r="L495" s="79"/>
      <c r="M495" s="79"/>
      <c r="N495" s="79"/>
      <c r="O495" s="79"/>
      <c r="P495" s="79"/>
      <c r="Q495" s="79"/>
      <c r="R495" s="79"/>
      <c r="S495" s="79"/>
      <c r="T495" s="79"/>
      <c r="U495" s="79"/>
      <c r="V495" s="79"/>
      <c r="W495" s="79"/>
      <c r="X495" s="79"/>
      <c r="Y495" s="79"/>
      <c r="Z495" s="79"/>
    </row>
    <row r="496" spans="1:26" ht="8.85" x14ac:dyDescent="0.15">
      <c r="A496" s="79"/>
      <c r="B496" s="117" t="s">
        <v>2038</v>
      </c>
      <c r="C496" s="117" t="s">
        <v>2039</v>
      </c>
      <c r="D496" s="117" t="s">
        <v>412</v>
      </c>
      <c r="E496" s="117" t="s">
        <v>2040</v>
      </c>
      <c r="F496" s="118" t="s">
        <v>261</v>
      </c>
      <c r="G496" s="79"/>
      <c r="H496" s="99"/>
      <c r="I496" s="99"/>
      <c r="J496" s="79"/>
      <c r="K496" s="79"/>
      <c r="L496" s="79"/>
      <c r="M496" s="79"/>
      <c r="N496" s="79"/>
      <c r="O496" s="79"/>
      <c r="P496" s="79"/>
      <c r="Q496" s="79"/>
      <c r="R496" s="79"/>
      <c r="S496" s="79"/>
      <c r="T496" s="79"/>
      <c r="U496" s="79"/>
      <c r="V496" s="79"/>
      <c r="W496" s="79"/>
      <c r="X496" s="79"/>
      <c r="Y496" s="79"/>
      <c r="Z496" s="79"/>
    </row>
    <row r="497" spans="1:26" ht="26.5" x14ac:dyDescent="0.15">
      <c r="A497" s="79"/>
      <c r="B497" s="117" t="s">
        <v>2038</v>
      </c>
      <c r="C497" s="117" t="s">
        <v>2039</v>
      </c>
      <c r="D497" s="117" t="s">
        <v>413</v>
      </c>
      <c r="E497" s="117" t="s">
        <v>2062</v>
      </c>
      <c r="F497" s="118" t="s">
        <v>2085</v>
      </c>
      <c r="G497" s="79"/>
      <c r="H497" s="99"/>
      <c r="I497" s="99"/>
      <c r="J497" s="79"/>
      <c r="K497" s="79"/>
      <c r="L497" s="79"/>
      <c r="M497" s="79"/>
      <c r="N497" s="79"/>
      <c r="O497" s="79"/>
      <c r="P497" s="79"/>
      <c r="Q497" s="79"/>
      <c r="R497" s="79"/>
      <c r="S497" s="79"/>
      <c r="T497" s="79"/>
      <c r="U497" s="79"/>
      <c r="V497" s="79"/>
      <c r="W497" s="79"/>
      <c r="X497" s="79"/>
      <c r="Y497" s="79"/>
      <c r="Z497" s="79"/>
    </row>
    <row r="498" spans="1:26" ht="50.95" customHeight="1" x14ac:dyDescent="0.15">
      <c r="A498" s="79"/>
      <c r="B498" s="117" t="s">
        <v>2038</v>
      </c>
      <c r="C498" s="117" t="s">
        <v>2054</v>
      </c>
      <c r="D498" s="117" t="s">
        <v>437</v>
      </c>
      <c r="E498" s="117" t="s">
        <v>2071</v>
      </c>
      <c r="F498" s="118" t="s">
        <v>2086</v>
      </c>
      <c r="G498" s="79"/>
      <c r="H498" s="99"/>
      <c r="I498" s="99"/>
      <c r="J498" s="79"/>
      <c r="K498" s="79"/>
      <c r="L498" s="79"/>
      <c r="M498" s="79"/>
      <c r="N498" s="79"/>
      <c r="O498" s="79"/>
      <c r="P498" s="79"/>
      <c r="Q498" s="79"/>
      <c r="R498" s="79"/>
      <c r="S498" s="79"/>
      <c r="T498" s="79"/>
      <c r="U498" s="79"/>
      <c r="V498" s="79"/>
      <c r="W498" s="79"/>
      <c r="X498" s="79"/>
      <c r="Y498" s="79"/>
      <c r="Z498" s="79"/>
    </row>
    <row r="499" spans="1:26" ht="8.85" x14ac:dyDescent="0.15">
      <c r="A499" s="79"/>
      <c r="B499" s="117" t="s">
        <v>2038</v>
      </c>
      <c r="C499" s="117" t="s">
        <v>2064</v>
      </c>
      <c r="D499" s="117" t="s">
        <v>421</v>
      </c>
      <c r="E499" s="117" t="s">
        <v>2065</v>
      </c>
      <c r="F499" s="118" t="s">
        <v>2066</v>
      </c>
      <c r="G499" s="79"/>
      <c r="H499" s="99"/>
      <c r="I499" s="99"/>
      <c r="J499" s="79"/>
      <c r="K499" s="79"/>
      <c r="L499" s="79"/>
      <c r="M499" s="79"/>
      <c r="N499" s="79"/>
      <c r="O499" s="79"/>
      <c r="P499" s="79"/>
      <c r="Q499" s="79"/>
      <c r="R499" s="79"/>
      <c r="S499" s="79"/>
      <c r="T499" s="79"/>
      <c r="U499" s="79"/>
      <c r="V499" s="79"/>
      <c r="W499" s="79"/>
      <c r="X499" s="79"/>
      <c r="Y499" s="79"/>
      <c r="Z499" s="79"/>
    </row>
    <row r="500" spans="1:26" ht="26.5" x14ac:dyDescent="0.15">
      <c r="A500" s="79"/>
      <c r="B500" s="117" t="s">
        <v>2038</v>
      </c>
      <c r="C500" s="117" t="s">
        <v>2039</v>
      </c>
      <c r="D500" s="117" t="s">
        <v>423</v>
      </c>
      <c r="E500" s="117" t="s">
        <v>2046</v>
      </c>
      <c r="F500" s="118" t="s">
        <v>2087</v>
      </c>
      <c r="G500" s="79"/>
      <c r="H500" s="99"/>
      <c r="I500" s="99"/>
      <c r="J500" s="79"/>
      <c r="K500" s="79"/>
      <c r="L500" s="79"/>
      <c r="M500" s="79"/>
      <c r="N500" s="79"/>
      <c r="O500" s="79"/>
      <c r="P500" s="79"/>
      <c r="Q500" s="79"/>
      <c r="R500" s="79"/>
      <c r="S500" s="79"/>
      <c r="T500" s="79"/>
      <c r="U500" s="79"/>
      <c r="V500" s="79"/>
      <c r="W500" s="79"/>
      <c r="X500" s="79"/>
      <c r="Y500" s="79"/>
      <c r="Z500" s="79"/>
    </row>
    <row r="501" spans="1:26" ht="8.85" x14ac:dyDescent="0.15">
      <c r="A501" s="79"/>
      <c r="B501" s="117" t="s">
        <v>2038</v>
      </c>
      <c r="C501" s="117" t="s">
        <v>2047</v>
      </c>
      <c r="D501" s="117" t="s">
        <v>428</v>
      </c>
      <c r="E501" s="117" t="s">
        <v>2060</v>
      </c>
      <c r="F501" s="118" t="s">
        <v>2061</v>
      </c>
      <c r="G501" s="79"/>
      <c r="H501" s="99"/>
      <c r="I501" s="99"/>
      <c r="J501" s="79"/>
      <c r="K501" s="79"/>
      <c r="L501" s="79"/>
      <c r="M501" s="79"/>
      <c r="N501" s="79"/>
      <c r="O501" s="79"/>
      <c r="P501" s="79"/>
      <c r="Q501" s="79"/>
      <c r="R501" s="79"/>
      <c r="S501" s="79"/>
      <c r="T501" s="79"/>
      <c r="U501" s="79"/>
      <c r="V501" s="79"/>
      <c r="W501" s="79"/>
      <c r="X501" s="79"/>
      <c r="Y501" s="79"/>
      <c r="Z501" s="79"/>
    </row>
    <row r="502" spans="1:26" ht="26.5" x14ac:dyDescent="0.15">
      <c r="A502" s="79"/>
      <c r="B502" s="117" t="s">
        <v>2038</v>
      </c>
      <c r="C502" s="117" t="s">
        <v>2039</v>
      </c>
      <c r="D502" s="117" t="s">
        <v>433</v>
      </c>
      <c r="E502" s="117" t="s">
        <v>2042</v>
      </c>
      <c r="F502" s="118" t="s">
        <v>2088</v>
      </c>
      <c r="G502" s="79"/>
      <c r="H502" s="99"/>
      <c r="I502" s="99"/>
      <c r="J502" s="79"/>
      <c r="K502" s="79"/>
      <c r="L502" s="79"/>
      <c r="M502" s="79"/>
      <c r="N502" s="79"/>
      <c r="O502" s="79"/>
      <c r="P502" s="79"/>
      <c r="Q502" s="79"/>
      <c r="R502" s="79"/>
      <c r="S502" s="79"/>
      <c r="T502" s="79"/>
      <c r="U502" s="79"/>
      <c r="V502" s="79"/>
      <c r="W502" s="79"/>
      <c r="X502" s="79"/>
      <c r="Y502" s="79"/>
      <c r="Z502" s="79"/>
    </row>
    <row r="503" spans="1:26" ht="26.5" x14ac:dyDescent="0.15">
      <c r="A503" s="79"/>
      <c r="B503" s="117" t="s">
        <v>2038</v>
      </c>
      <c r="C503" s="117" t="s">
        <v>2035</v>
      </c>
      <c r="D503" s="117" t="s">
        <v>438</v>
      </c>
      <c r="E503" s="117" t="s">
        <v>2089</v>
      </c>
      <c r="F503" s="118" t="s">
        <v>2090</v>
      </c>
      <c r="G503" s="79"/>
      <c r="H503" s="99"/>
      <c r="I503" s="99"/>
      <c r="J503" s="79"/>
      <c r="K503" s="79"/>
      <c r="L503" s="79"/>
      <c r="M503" s="79"/>
      <c r="N503" s="79"/>
      <c r="O503" s="79"/>
      <c r="P503" s="79"/>
      <c r="Q503" s="79"/>
      <c r="R503" s="79"/>
      <c r="S503" s="79"/>
      <c r="T503" s="79"/>
      <c r="U503" s="79"/>
      <c r="V503" s="79"/>
      <c r="W503" s="79"/>
      <c r="X503" s="79"/>
      <c r="Y503" s="79"/>
      <c r="Z503" s="79"/>
    </row>
    <row r="504" spans="1:26" ht="17.7" x14ac:dyDescent="0.15">
      <c r="A504" s="79"/>
      <c r="B504" s="117" t="s">
        <v>2038</v>
      </c>
      <c r="C504" s="117" t="s">
        <v>2054</v>
      </c>
      <c r="D504" s="117" t="s">
        <v>442</v>
      </c>
      <c r="E504" s="117" t="s">
        <v>2076</v>
      </c>
      <c r="F504" s="118" t="s">
        <v>2077</v>
      </c>
      <c r="G504" s="79"/>
      <c r="H504" s="99"/>
      <c r="I504" s="99"/>
      <c r="J504" s="79"/>
      <c r="K504" s="79"/>
      <c r="L504" s="79"/>
      <c r="M504" s="79"/>
      <c r="N504" s="79"/>
      <c r="O504" s="79"/>
      <c r="P504" s="79"/>
      <c r="Q504" s="79"/>
      <c r="R504" s="79"/>
      <c r="S504" s="79"/>
      <c r="T504" s="79"/>
      <c r="U504" s="79"/>
      <c r="V504" s="79"/>
      <c r="W504" s="79"/>
      <c r="X504" s="79"/>
      <c r="Y504" s="79"/>
      <c r="Z504" s="79"/>
    </row>
    <row r="505" spans="1:26" ht="26.5" x14ac:dyDescent="0.15">
      <c r="A505" s="79"/>
      <c r="B505" s="117" t="s">
        <v>2034</v>
      </c>
      <c r="C505" s="117"/>
      <c r="D505" s="117" t="s">
        <v>409</v>
      </c>
      <c r="E505" s="117"/>
      <c r="F505" s="121" t="s">
        <v>2091</v>
      </c>
      <c r="G505" s="79"/>
      <c r="H505" s="99"/>
      <c r="I505" s="99"/>
      <c r="J505" s="79"/>
      <c r="K505" s="79"/>
      <c r="L505" s="79"/>
      <c r="M505" s="79"/>
      <c r="N505" s="79"/>
      <c r="O505" s="79"/>
      <c r="P505" s="79"/>
      <c r="Q505" s="79"/>
      <c r="R505" s="79"/>
      <c r="S505" s="79"/>
      <c r="T505" s="79"/>
      <c r="U505" s="79"/>
      <c r="V505" s="79"/>
      <c r="W505" s="79"/>
      <c r="X505" s="79"/>
      <c r="Y505" s="79"/>
      <c r="Z505" s="79"/>
    </row>
    <row r="506" spans="1:26" ht="35.35" x14ac:dyDescent="0.15">
      <c r="A506" s="79"/>
      <c r="B506" s="117" t="s">
        <v>2038</v>
      </c>
      <c r="C506" s="117" t="s">
        <v>2092</v>
      </c>
      <c r="D506" s="117" t="s">
        <v>416</v>
      </c>
      <c r="E506" s="117" t="s">
        <v>2093</v>
      </c>
      <c r="F506" s="82" t="s">
        <v>2094</v>
      </c>
      <c r="G506" s="79"/>
      <c r="H506" s="99"/>
      <c r="I506" s="99"/>
      <c r="J506" s="79"/>
      <c r="K506" s="79"/>
      <c r="L506" s="79"/>
      <c r="M506" s="79"/>
      <c r="N506" s="79"/>
      <c r="O506" s="79"/>
      <c r="P506" s="79"/>
      <c r="Q506" s="79"/>
      <c r="R506" s="79"/>
      <c r="S506" s="79"/>
      <c r="T506" s="79"/>
      <c r="U506" s="79"/>
      <c r="V506" s="79"/>
      <c r="W506" s="79"/>
      <c r="X506" s="79"/>
      <c r="Y506" s="79"/>
      <c r="Z506" s="79"/>
    </row>
    <row r="507" spans="1:26" ht="50.95" customHeight="1" x14ac:dyDescent="0.15">
      <c r="A507" s="79"/>
      <c r="B507" s="117" t="s">
        <v>2038</v>
      </c>
      <c r="C507" s="117" t="s">
        <v>2039</v>
      </c>
      <c r="D507" s="117" t="s">
        <v>2095</v>
      </c>
      <c r="E507" s="117" t="s">
        <v>2052</v>
      </c>
      <c r="F507" s="82" t="s">
        <v>2096</v>
      </c>
      <c r="G507" s="79"/>
      <c r="H507" s="99"/>
      <c r="I507" s="99"/>
      <c r="J507" s="79"/>
      <c r="K507" s="79"/>
      <c r="L507" s="79"/>
      <c r="M507" s="79"/>
      <c r="N507" s="79"/>
      <c r="O507" s="79"/>
      <c r="P507" s="79"/>
      <c r="Q507" s="79"/>
      <c r="R507" s="79"/>
      <c r="S507" s="79"/>
      <c r="T507" s="79"/>
      <c r="U507" s="79"/>
      <c r="V507" s="79"/>
      <c r="W507" s="79"/>
      <c r="X507" s="79"/>
      <c r="Y507" s="79"/>
      <c r="Z507" s="79"/>
    </row>
    <row r="508" spans="1:26" ht="8.85" x14ac:dyDescent="0.15">
      <c r="A508" s="79"/>
      <c r="B508" s="117" t="s">
        <v>2038</v>
      </c>
      <c r="C508" s="117" t="s">
        <v>2054</v>
      </c>
      <c r="D508" s="117" t="s">
        <v>429</v>
      </c>
      <c r="E508" s="117" t="s">
        <v>2097</v>
      </c>
      <c r="F508" s="82" t="s">
        <v>429</v>
      </c>
      <c r="G508" s="79"/>
      <c r="H508" s="99"/>
      <c r="I508" s="99"/>
      <c r="J508" s="79"/>
      <c r="K508" s="79"/>
      <c r="L508" s="79"/>
      <c r="M508" s="79"/>
      <c r="N508" s="79"/>
      <c r="O508" s="79"/>
      <c r="P508" s="79"/>
      <c r="Q508" s="79"/>
      <c r="R508" s="79"/>
      <c r="S508" s="79"/>
      <c r="T508" s="79"/>
      <c r="U508" s="79"/>
      <c r="V508" s="79"/>
      <c r="W508" s="79"/>
      <c r="X508" s="79"/>
      <c r="Y508" s="79"/>
      <c r="Z508" s="79"/>
    </row>
    <row r="509" spans="1:26" ht="44.15" x14ac:dyDescent="0.15">
      <c r="A509" s="79"/>
      <c r="B509" s="117" t="s">
        <v>2038</v>
      </c>
      <c r="C509" s="117" t="s">
        <v>2039</v>
      </c>
      <c r="D509" s="117" t="s">
        <v>2067</v>
      </c>
      <c r="E509" s="117" t="s">
        <v>2068</v>
      </c>
      <c r="F509" s="82" t="s">
        <v>2084</v>
      </c>
      <c r="G509" s="79"/>
      <c r="H509" s="99"/>
      <c r="I509" s="99"/>
      <c r="J509" s="79"/>
      <c r="K509" s="79"/>
      <c r="L509" s="79"/>
      <c r="M509" s="79"/>
      <c r="N509" s="79"/>
      <c r="O509" s="79"/>
      <c r="P509" s="79"/>
      <c r="Q509" s="79"/>
      <c r="R509" s="79"/>
      <c r="S509" s="79"/>
      <c r="T509" s="79"/>
      <c r="U509" s="79"/>
      <c r="V509" s="79"/>
      <c r="W509" s="79"/>
      <c r="X509" s="79"/>
      <c r="Y509" s="79"/>
      <c r="Z509" s="79"/>
    </row>
    <row r="510" spans="1:26" ht="8.85" x14ac:dyDescent="0.15">
      <c r="A510" s="79"/>
      <c r="B510" s="117" t="s">
        <v>2038</v>
      </c>
      <c r="C510" s="117" t="s">
        <v>2039</v>
      </c>
      <c r="D510" s="117" t="s">
        <v>412</v>
      </c>
      <c r="E510" s="117" t="s">
        <v>2040</v>
      </c>
      <c r="F510" s="82" t="s">
        <v>261</v>
      </c>
      <c r="G510" s="79"/>
      <c r="H510" s="99"/>
      <c r="I510" s="99"/>
      <c r="J510" s="79"/>
      <c r="K510" s="79"/>
      <c r="L510" s="79"/>
      <c r="M510" s="79"/>
      <c r="N510" s="79"/>
      <c r="O510" s="79"/>
      <c r="P510" s="79"/>
      <c r="Q510" s="79"/>
      <c r="R510" s="79"/>
      <c r="S510" s="79"/>
      <c r="T510" s="79"/>
      <c r="U510" s="79"/>
      <c r="V510" s="79"/>
      <c r="W510" s="79"/>
      <c r="X510" s="79"/>
      <c r="Y510" s="79"/>
      <c r="Z510" s="79"/>
    </row>
    <row r="511" spans="1:26" ht="8.85" x14ac:dyDescent="0.15">
      <c r="A511" s="79"/>
      <c r="B511" s="117" t="s">
        <v>2038</v>
      </c>
      <c r="C511" s="117" t="s">
        <v>2050</v>
      </c>
      <c r="D511" s="117" t="s">
        <v>414</v>
      </c>
      <c r="E511" s="117" t="s">
        <v>2051</v>
      </c>
      <c r="F511" s="82" t="s">
        <v>414</v>
      </c>
      <c r="G511" s="79"/>
      <c r="H511" s="99"/>
      <c r="I511" s="99"/>
      <c r="J511" s="79"/>
      <c r="K511" s="79"/>
      <c r="L511" s="79"/>
      <c r="M511" s="79"/>
      <c r="N511" s="79"/>
      <c r="O511" s="79"/>
      <c r="P511" s="79"/>
      <c r="Q511" s="79"/>
      <c r="R511" s="79"/>
      <c r="S511" s="79"/>
      <c r="T511" s="79"/>
      <c r="U511" s="79"/>
      <c r="V511" s="79"/>
      <c r="W511" s="79"/>
      <c r="X511" s="79"/>
      <c r="Y511" s="79"/>
      <c r="Z511" s="79"/>
    </row>
    <row r="512" spans="1:26" ht="44.15" x14ac:dyDescent="0.15">
      <c r="A512" s="79"/>
      <c r="B512" s="117" t="s">
        <v>2038</v>
      </c>
      <c r="C512" s="117" t="s">
        <v>2047</v>
      </c>
      <c r="D512" s="117" t="s">
        <v>434</v>
      </c>
      <c r="E512" s="117" t="s">
        <v>2060</v>
      </c>
      <c r="F512" s="82" t="s">
        <v>2098</v>
      </c>
      <c r="G512" s="79"/>
      <c r="H512" s="99"/>
      <c r="I512" s="99"/>
      <c r="J512" s="79"/>
      <c r="K512" s="79"/>
      <c r="L512" s="79"/>
      <c r="M512" s="79"/>
      <c r="N512" s="79"/>
      <c r="O512" s="79"/>
      <c r="P512" s="79"/>
      <c r="Q512" s="79"/>
      <c r="R512" s="79"/>
      <c r="S512" s="79"/>
      <c r="T512" s="79"/>
      <c r="U512" s="79"/>
      <c r="V512" s="79"/>
      <c r="W512" s="79"/>
      <c r="X512" s="79"/>
      <c r="Y512" s="79"/>
      <c r="Z512" s="79"/>
    </row>
    <row r="513" spans="1:26" ht="50.95" customHeight="1" x14ac:dyDescent="0.15">
      <c r="A513" s="79"/>
      <c r="B513" s="122" t="s">
        <v>2034</v>
      </c>
      <c r="C513" s="188"/>
      <c r="D513" s="123" t="s">
        <v>410</v>
      </c>
      <c r="E513" s="189"/>
      <c r="F513" s="189"/>
      <c r="G513" s="79"/>
      <c r="H513" s="79"/>
      <c r="I513" s="79"/>
      <c r="J513" s="79"/>
      <c r="K513" s="79"/>
      <c r="L513" s="79"/>
      <c r="M513" s="79"/>
      <c r="N513" s="79"/>
      <c r="O513" s="79"/>
      <c r="P513" s="79"/>
      <c r="Q513" s="79"/>
      <c r="R513" s="79"/>
      <c r="S513" s="79"/>
      <c r="T513" s="79"/>
      <c r="U513" s="79"/>
      <c r="V513" s="79"/>
      <c r="W513" s="79"/>
      <c r="X513" s="79"/>
      <c r="Y513" s="79"/>
      <c r="Z513" s="79"/>
    </row>
    <row r="514" spans="1:26" ht="50.95" customHeight="1" x14ac:dyDescent="0.15">
      <c r="A514" s="79"/>
      <c r="B514" s="117" t="s">
        <v>2038</v>
      </c>
      <c r="C514" s="117" t="s">
        <v>2044</v>
      </c>
      <c r="D514" s="117" t="s">
        <v>418</v>
      </c>
      <c r="E514" s="117" t="s">
        <v>2099</v>
      </c>
      <c r="F514" s="82" t="s">
        <v>2100</v>
      </c>
      <c r="G514" s="79"/>
      <c r="H514" s="79"/>
      <c r="I514" s="79"/>
      <c r="J514" s="79"/>
      <c r="K514" s="79"/>
      <c r="L514" s="79"/>
      <c r="M514" s="79"/>
      <c r="N514" s="79"/>
      <c r="O514" s="79"/>
      <c r="P514" s="79"/>
      <c r="Q514" s="79"/>
      <c r="R514" s="79"/>
      <c r="S514" s="79"/>
      <c r="T514" s="79"/>
      <c r="U514" s="79"/>
      <c r="V514" s="79"/>
      <c r="W514" s="79"/>
      <c r="X514" s="79"/>
      <c r="Y514" s="79"/>
      <c r="Z514" s="79"/>
    </row>
    <row r="515" spans="1:26" ht="50.95" customHeight="1" x14ac:dyDescent="0.15">
      <c r="A515" s="79"/>
      <c r="B515" s="117" t="s">
        <v>2038</v>
      </c>
      <c r="C515" s="117" t="s">
        <v>2039</v>
      </c>
      <c r="D515" s="117" t="s">
        <v>432</v>
      </c>
      <c r="E515" s="117" t="s">
        <v>2069</v>
      </c>
      <c r="F515" s="82" t="s">
        <v>2101</v>
      </c>
      <c r="G515" s="79"/>
      <c r="H515" s="79"/>
      <c r="I515" s="79"/>
      <c r="J515" s="79"/>
      <c r="K515" s="79"/>
      <c r="L515" s="79"/>
      <c r="M515" s="79"/>
      <c r="N515" s="79"/>
      <c r="O515" s="79"/>
      <c r="P515" s="79"/>
      <c r="Q515" s="79"/>
      <c r="R515" s="79"/>
      <c r="S515" s="79"/>
      <c r="T515" s="79"/>
      <c r="U515" s="79"/>
      <c r="V515" s="79"/>
      <c r="W515" s="79"/>
      <c r="X515" s="79"/>
      <c r="Y515" s="79"/>
      <c r="Z515" s="79"/>
    </row>
    <row r="516" spans="1:26" ht="50.95" customHeight="1" x14ac:dyDescent="0.15">
      <c r="A516" s="79"/>
      <c r="B516" s="117" t="s">
        <v>2038</v>
      </c>
      <c r="C516" s="117" t="s">
        <v>2039</v>
      </c>
      <c r="D516" s="117" t="s">
        <v>2067</v>
      </c>
      <c r="E516" s="117" t="s">
        <v>2068</v>
      </c>
      <c r="F516" s="82" t="s">
        <v>256</v>
      </c>
      <c r="G516" s="79"/>
      <c r="H516" s="79"/>
      <c r="I516" s="79"/>
      <c r="J516" s="79"/>
      <c r="K516" s="79"/>
      <c r="L516" s="79"/>
      <c r="M516" s="79"/>
      <c r="N516" s="79"/>
      <c r="O516" s="79"/>
      <c r="P516" s="79"/>
      <c r="Q516" s="79"/>
      <c r="R516" s="79"/>
      <c r="S516" s="79"/>
      <c r="T516" s="79"/>
      <c r="U516" s="79"/>
      <c r="V516" s="79"/>
      <c r="W516" s="79"/>
      <c r="X516" s="79"/>
      <c r="Y516" s="79"/>
      <c r="Z516" s="79"/>
    </row>
    <row r="517" spans="1:26" ht="50.95" customHeight="1" x14ac:dyDescent="0.15">
      <c r="A517" s="79"/>
      <c r="B517" s="117" t="s">
        <v>2038</v>
      </c>
      <c r="C517" s="117" t="s">
        <v>2039</v>
      </c>
      <c r="D517" s="117" t="s">
        <v>435</v>
      </c>
      <c r="E517" s="117" t="s">
        <v>2062</v>
      </c>
      <c r="F517" s="82" t="s">
        <v>2102</v>
      </c>
      <c r="G517" s="79"/>
      <c r="H517" s="79"/>
      <c r="I517" s="79"/>
      <c r="J517" s="79"/>
      <c r="K517" s="79"/>
      <c r="L517" s="79"/>
      <c r="M517" s="79"/>
      <c r="N517" s="79"/>
      <c r="O517" s="79"/>
      <c r="P517" s="79"/>
      <c r="Q517" s="79"/>
      <c r="R517" s="79"/>
      <c r="S517" s="79"/>
      <c r="T517" s="79"/>
      <c r="U517" s="79"/>
      <c r="V517" s="79"/>
      <c r="W517" s="79"/>
      <c r="X517" s="79"/>
      <c r="Y517" s="79"/>
      <c r="Z517" s="79"/>
    </row>
    <row r="518" spans="1:26" ht="50.95" customHeight="1" x14ac:dyDescent="0.15">
      <c r="A518" s="79"/>
      <c r="B518" s="117" t="s">
        <v>2038</v>
      </c>
      <c r="C518" s="117" t="s">
        <v>2050</v>
      </c>
      <c r="D518" s="117" t="s">
        <v>414</v>
      </c>
      <c r="E518" s="117" t="s">
        <v>2051</v>
      </c>
      <c r="F518" s="82" t="s">
        <v>440</v>
      </c>
      <c r="G518" s="79"/>
      <c r="H518" s="79"/>
      <c r="I518" s="79"/>
      <c r="J518" s="79"/>
      <c r="K518" s="79"/>
      <c r="L518" s="79"/>
      <c r="M518" s="79"/>
      <c r="N518" s="79"/>
      <c r="O518" s="79"/>
      <c r="P518" s="79"/>
      <c r="Q518" s="79"/>
      <c r="R518" s="79"/>
      <c r="S518" s="79"/>
      <c r="T518" s="79"/>
      <c r="U518" s="79"/>
      <c r="V518" s="79"/>
      <c r="W518" s="79"/>
      <c r="X518" s="79"/>
      <c r="Y518" s="79"/>
      <c r="Z518" s="79"/>
    </row>
    <row r="519" spans="1:26" ht="50.95" customHeight="1" x14ac:dyDescent="0.15">
      <c r="A519" s="79"/>
      <c r="B519" s="117" t="s">
        <v>2038</v>
      </c>
      <c r="C519" s="117" t="s">
        <v>2044</v>
      </c>
      <c r="D519" s="117" t="s">
        <v>419</v>
      </c>
      <c r="E519" s="117" t="s">
        <v>2103</v>
      </c>
      <c r="F519" s="82" t="s">
        <v>2104</v>
      </c>
      <c r="G519" s="79"/>
      <c r="H519" s="79"/>
      <c r="I519" s="79"/>
      <c r="J519" s="79"/>
      <c r="K519" s="79"/>
      <c r="L519" s="79"/>
      <c r="M519" s="79"/>
      <c r="N519" s="79"/>
      <c r="O519" s="79"/>
      <c r="P519" s="79"/>
      <c r="Q519" s="79"/>
      <c r="R519" s="79"/>
      <c r="S519" s="79"/>
      <c r="T519" s="79"/>
      <c r="U519" s="79"/>
      <c r="V519" s="79"/>
      <c r="W519" s="79"/>
      <c r="X519" s="79"/>
      <c r="Y519" s="79"/>
      <c r="Z519" s="79"/>
    </row>
    <row r="520" spans="1:26" ht="50.95" customHeight="1" x14ac:dyDescent="0.15">
      <c r="A520" s="79"/>
      <c r="B520" s="117" t="s">
        <v>2038</v>
      </c>
      <c r="C520" s="117" t="s">
        <v>2039</v>
      </c>
      <c r="D520" s="117" t="s">
        <v>423</v>
      </c>
      <c r="E520" s="117" t="s">
        <v>2046</v>
      </c>
      <c r="F520" s="82" t="s">
        <v>2105</v>
      </c>
      <c r="G520" s="79"/>
      <c r="H520" s="79"/>
      <c r="I520" s="79"/>
      <c r="J520" s="79"/>
      <c r="K520" s="79"/>
      <c r="L520" s="79"/>
      <c r="M520" s="79"/>
      <c r="N520" s="79"/>
      <c r="O520" s="79"/>
      <c r="P520" s="79"/>
      <c r="Q520" s="79"/>
      <c r="R520" s="79"/>
      <c r="S520" s="79"/>
      <c r="T520" s="79"/>
      <c r="U520" s="79"/>
      <c r="V520" s="79"/>
      <c r="W520" s="79"/>
      <c r="X520" s="79"/>
      <c r="Y520" s="79"/>
      <c r="Z520" s="79"/>
    </row>
    <row r="521" spans="1:26" ht="50.95" customHeight="1" x14ac:dyDescent="0.15">
      <c r="A521" s="79"/>
      <c r="B521" s="117" t="s">
        <v>2038</v>
      </c>
      <c r="C521" s="117" t="s">
        <v>2039</v>
      </c>
      <c r="D521" s="117" t="s">
        <v>412</v>
      </c>
      <c r="E521" s="117" t="s">
        <v>2040</v>
      </c>
      <c r="F521" s="82" t="s">
        <v>412</v>
      </c>
      <c r="G521" s="79"/>
      <c r="H521" s="79"/>
      <c r="I521" s="79"/>
      <c r="J521" s="79"/>
      <c r="K521" s="79"/>
      <c r="L521" s="79"/>
      <c r="M521" s="79"/>
      <c r="N521" s="79"/>
      <c r="O521" s="79"/>
      <c r="P521" s="79"/>
      <c r="Q521" s="79"/>
      <c r="R521" s="79"/>
      <c r="S521" s="79"/>
      <c r="T521" s="79"/>
      <c r="U521" s="79"/>
      <c r="V521" s="79"/>
      <c r="W521" s="79"/>
      <c r="X521" s="79"/>
      <c r="Y521" s="79"/>
      <c r="Z521" s="79"/>
    </row>
    <row r="522" spans="1:26" ht="50.95" customHeight="1" x14ac:dyDescent="0.15">
      <c r="A522" s="79"/>
      <c r="B522" s="117" t="s">
        <v>2038</v>
      </c>
      <c r="C522" s="117" t="s">
        <v>2064</v>
      </c>
      <c r="D522" s="117" t="s">
        <v>421</v>
      </c>
      <c r="E522" s="117" t="s">
        <v>2065</v>
      </c>
      <c r="F522" s="82" t="s">
        <v>2106</v>
      </c>
      <c r="G522" s="79"/>
      <c r="H522" s="79"/>
      <c r="I522" s="79"/>
      <c r="J522" s="79"/>
      <c r="K522" s="79"/>
      <c r="L522" s="79"/>
      <c r="M522" s="79"/>
      <c r="N522" s="79"/>
      <c r="O522" s="79"/>
      <c r="P522" s="79"/>
      <c r="Q522" s="79"/>
      <c r="R522" s="79"/>
      <c r="S522" s="79"/>
      <c r="T522" s="79"/>
      <c r="U522" s="79"/>
      <c r="V522" s="79"/>
      <c r="W522" s="79"/>
      <c r="X522" s="79"/>
      <c r="Y522" s="79"/>
      <c r="Z522" s="79"/>
    </row>
    <row r="523" spans="1:26" ht="50.95" customHeight="1" x14ac:dyDescent="0.15">
      <c r="A523" s="79"/>
      <c r="B523" s="117" t="s">
        <v>2038</v>
      </c>
      <c r="C523" s="117" t="s">
        <v>2039</v>
      </c>
      <c r="D523" s="117" t="s">
        <v>2107</v>
      </c>
      <c r="E523" s="117" t="s">
        <v>2046</v>
      </c>
      <c r="F523" s="82" t="s">
        <v>2108</v>
      </c>
      <c r="G523" s="79"/>
      <c r="H523" s="79"/>
      <c r="I523" s="79"/>
      <c r="J523" s="79"/>
      <c r="K523" s="79"/>
      <c r="L523" s="79"/>
      <c r="M523" s="79"/>
      <c r="N523" s="79"/>
      <c r="O523" s="79"/>
      <c r="P523" s="79"/>
      <c r="Q523" s="79"/>
      <c r="R523" s="79"/>
      <c r="S523" s="79"/>
      <c r="T523" s="79"/>
      <c r="U523" s="79"/>
      <c r="V523" s="79"/>
      <c r="W523" s="79"/>
      <c r="X523" s="79"/>
      <c r="Y523" s="79"/>
      <c r="Z523" s="79"/>
    </row>
    <row r="524" spans="1:26" ht="50.95" customHeight="1" x14ac:dyDescent="0.15">
      <c r="A524" s="79"/>
      <c r="B524" s="79"/>
      <c r="C524" s="94"/>
      <c r="D524" s="95"/>
      <c r="E524" s="87"/>
      <c r="F524" s="95"/>
      <c r="G524" s="79"/>
      <c r="H524" s="79"/>
      <c r="I524" s="79"/>
      <c r="J524" s="79"/>
      <c r="K524" s="79"/>
      <c r="L524" s="79"/>
      <c r="M524" s="79"/>
      <c r="N524" s="79"/>
      <c r="O524" s="79"/>
      <c r="P524" s="79"/>
      <c r="Q524" s="79"/>
      <c r="R524" s="79"/>
      <c r="S524" s="79"/>
      <c r="T524" s="79"/>
      <c r="U524" s="79"/>
      <c r="V524" s="79"/>
      <c r="W524" s="79"/>
      <c r="X524" s="79"/>
      <c r="Y524" s="79"/>
      <c r="Z524" s="79"/>
    </row>
    <row r="525" spans="1:26" ht="50.95" customHeight="1" x14ac:dyDescent="0.15">
      <c r="A525" s="79"/>
      <c r="B525" s="79"/>
      <c r="C525" s="94"/>
      <c r="D525" s="95"/>
      <c r="E525" s="87"/>
      <c r="F525" s="95"/>
      <c r="G525" s="79"/>
      <c r="H525" s="79"/>
      <c r="I525" s="79"/>
      <c r="J525" s="79"/>
      <c r="K525" s="79"/>
      <c r="L525" s="79"/>
      <c r="M525" s="79"/>
      <c r="N525" s="79"/>
      <c r="O525" s="79"/>
      <c r="P525" s="79"/>
      <c r="Q525" s="79"/>
      <c r="R525" s="79"/>
      <c r="S525" s="79"/>
      <c r="T525" s="79"/>
      <c r="U525" s="79"/>
      <c r="V525" s="79"/>
      <c r="W525" s="79"/>
      <c r="X525" s="79"/>
      <c r="Y525" s="79"/>
      <c r="Z525" s="79"/>
    </row>
    <row r="526" spans="1:26" ht="50.95" customHeight="1" x14ac:dyDescent="0.15">
      <c r="A526" s="79"/>
      <c r="B526" s="79"/>
      <c r="C526" s="94"/>
      <c r="D526" s="95"/>
      <c r="E526" s="87"/>
      <c r="F526" s="95"/>
      <c r="G526" s="79"/>
      <c r="H526" s="79"/>
      <c r="I526" s="79"/>
      <c r="J526" s="79"/>
      <c r="K526" s="79"/>
      <c r="L526" s="79"/>
      <c r="M526" s="79"/>
      <c r="N526" s="79"/>
      <c r="O526" s="79"/>
      <c r="P526" s="79"/>
      <c r="Q526" s="79"/>
      <c r="R526" s="79"/>
      <c r="S526" s="79"/>
      <c r="T526" s="79"/>
      <c r="U526" s="79"/>
      <c r="V526" s="79"/>
      <c r="W526" s="79"/>
      <c r="X526" s="79"/>
      <c r="Y526" s="79"/>
      <c r="Z526" s="79"/>
    </row>
    <row r="527" spans="1:26" ht="50.95" customHeight="1" x14ac:dyDescent="0.15">
      <c r="A527" s="79"/>
      <c r="B527" s="79"/>
      <c r="C527" s="94"/>
      <c r="D527" s="95"/>
      <c r="E527" s="87"/>
      <c r="F527" s="95"/>
      <c r="G527" s="79"/>
      <c r="H527" s="79"/>
      <c r="I527" s="79"/>
      <c r="J527" s="79"/>
      <c r="K527" s="79"/>
      <c r="L527" s="79"/>
      <c r="M527" s="79"/>
      <c r="N527" s="79"/>
      <c r="O527" s="79"/>
      <c r="P527" s="79"/>
      <c r="Q527" s="79"/>
      <c r="R527" s="79"/>
      <c r="S527" s="79"/>
      <c r="T527" s="79"/>
      <c r="U527" s="79"/>
      <c r="V527" s="79"/>
      <c r="W527" s="79"/>
      <c r="X527" s="79"/>
      <c r="Y527" s="79"/>
      <c r="Z527" s="79"/>
    </row>
    <row r="528" spans="1:26" ht="50.95" customHeight="1" x14ac:dyDescent="0.15">
      <c r="A528" s="79"/>
      <c r="B528" s="79"/>
      <c r="C528" s="94"/>
      <c r="D528" s="95"/>
      <c r="E528" s="87"/>
      <c r="F528" s="95"/>
      <c r="G528" s="79"/>
      <c r="H528" s="79"/>
      <c r="I528" s="79"/>
      <c r="J528" s="79"/>
      <c r="K528" s="79"/>
      <c r="L528" s="79"/>
      <c r="M528" s="79"/>
      <c r="N528" s="79"/>
      <c r="O528" s="79"/>
      <c r="P528" s="79"/>
      <c r="Q528" s="79"/>
      <c r="R528" s="79"/>
      <c r="S528" s="79"/>
      <c r="T528" s="79"/>
      <c r="U528" s="79"/>
      <c r="V528" s="79"/>
      <c r="W528" s="79"/>
      <c r="X528" s="79"/>
      <c r="Y528" s="79"/>
      <c r="Z528" s="79"/>
    </row>
    <row r="529" spans="1:26" ht="50.95" customHeight="1" x14ac:dyDescent="0.15">
      <c r="A529" s="79"/>
      <c r="B529" s="79"/>
      <c r="C529" s="94"/>
      <c r="D529" s="95"/>
      <c r="E529" s="87"/>
      <c r="F529" s="95"/>
      <c r="G529" s="79"/>
      <c r="H529" s="79"/>
      <c r="I529" s="79"/>
      <c r="J529" s="79"/>
      <c r="K529" s="79"/>
      <c r="L529" s="79"/>
      <c r="M529" s="79"/>
      <c r="N529" s="79"/>
      <c r="O529" s="79"/>
      <c r="P529" s="79"/>
      <c r="Q529" s="79"/>
      <c r="R529" s="79"/>
      <c r="S529" s="79"/>
      <c r="T529" s="79"/>
      <c r="U529" s="79"/>
      <c r="V529" s="79"/>
      <c r="W529" s="79"/>
      <c r="X529" s="79"/>
      <c r="Y529" s="79"/>
      <c r="Z529" s="79"/>
    </row>
    <row r="530" spans="1:26" ht="50.95" customHeight="1" x14ac:dyDescent="0.15">
      <c r="A530" s="79"/>
      <c r="B530" s="79"/>
      <c r="C530" s="94"/>
      <c r="D530" s="95"/>
      <c r="E530" s="87"/>
      <c r="F530" s="95"/>
      <c r="G530" s="79"/>
      <c r="H530" s="79"/>
      <c r="I530" s="79"/>
      <c r="J530" s="79"/>
      <c r="K530" s="79"/>
      <c r="L530" s="79"/>
      <c r="M530" s="79"/>
      <c r="N530" s="79"/>
      <c r="O530" s="79"/>
      <c r="P530" s="79"/>
      <c r="Q530" s="79"/>
      <c r="R530" s="79"/>
      <c r="S530" s="79"/>
      <c r="T530" s="79"/>
      <c r="U530" s="79"/>
      <c r="V530" s="79"/>
      <c r="W530" s="79"/>
      <c r="X530" s="79"/>
      <c r="Y530" s="79"/>
      <c r="Z530" s="79"/>
    </row>
    <row r="531" spans="1:26" ht="50.95" customHeight="1" x14ac:dyDescent="0.15">
      <c r="A531" s="79"/>
      <c r="B531" s="79"/>
      <c r="C531" s="94"/>
      <c r="D531" s="95"/>
      <c r="E531" s="87"/>
      <c r="F531" s="95"/>
      <c r="G531" s="79"/>
      <c r="H531" s="79"/>
      <c r="I531" s="79"/>
      <c r="J531" s="79"/>
      <c r="K531" s="79"/>
      <c r="L531" s="79"/>
      <c r="M531" s="79"/>
      <c r="N531" s="79"/>
      <c r="O531" s="79"/>
      <c r="P531" s="79"/>
      <c r="Q531" s="79"/>
      <c r="R531" s="79"/>
      <c r="S531" s="79"/>
      <c r="T531" s="79"/>
      <c r="U531" s="79"/>
      <c r="V531" s="79"/>
      <c r="W531" s="79"/>
      <c r="X531" s="79"/>
      <c r="Y531" s="79"/>
      <c r="Z531" s="79"/>
    </row>
    <row r="532" spans="1:26" ht="50.95" customHeight="1" x14ac:dyDescent="0.15">
      <c r="A532" s="79"/>
      <c r="B532" s="79"/>
      <c r="C532" s="94"/>
      <c r="D532" s="95"/>
      <c r="E532" s="87"/>
      <c r="F532" s="95"/>
      <c r="G532" s="79"/>
      <c r="H532" s="79"/>
      <c r="I532" s="79"/>
      <c r="J532" s="79"/>
      <c r="K532" s="79"/>
      <c r="L532" s="79"/>
      <c r="M532" s="79"/>
      <c r="N532" s="79"/>
      <c r="O532" s="79"/>
      <c r="P532" s="79"/>
      <c r="Q532" s="79"/>
      <c r="R532" s="79"/>
      <c r="S532" s="79"/>
      <c r="T532" s="79"/>
      <c r="U532" s="79"/>
      <c r="V532" s="79"/>
      <c r="W532" s="79"/>
      <c r="X532" s="79"/>
      <c r="Y532" s="79"/>
      <c r="Z532" s="79"/>
    </row>
    <row r="533" spans="1:26" ht="50.95" customHeight="1" x14ac:dyDescent="0.15">
      <c r="A533" s="79"/>
      <c r="B533" s="79"/>
      <c r="C533" s="94"/>
      <c r="D533" s="95"/>
      <c r="E533" s="87"/>
      <c r="F533" s="95"/>
      <c r="G533" s="79"/>
      <c r="H533" s="79"/>
      <c r="I533" s="79"/>
      <c r="J533" s="79"/>
      <c r="K533" s="79"/>
      <c r="L533" s="79"/>
      <c r="M533" s="79"/>
      <c r="N533" s="79"/>
      <c r="O533" s="79"/>
      <c r="P533" s="79"/>
      <c r="Q533" s="79"/>
      <c r="R533" s="79"/>
      <c r="S533" s="79"/>
      <c r="T533" s="79"/>
      <c r="U533" s="79"/>
      <c r="V533" s="79"/>
      <c r="W533" s="79"/>
      <c r="X533" s="79"/>
      <c r="Y533" s="79"/>
      <c r="Z533" s="79"/>
    </row>
    <row r="534" spans="1:26" ht="50.95" customHeight="1" x14ac:dyDescent="0.15">
      <c r="A534" s="79"/>
      <c r="B534" s="79"/>
      <c r="C534" s="94"/>
      <c r="D534" s="95"/>
      <c r="E534" s="87"/>
      <c r="F534" s="95"/>
      <c r="G534" s="79"/>
      <c r="H534" s="79"/>
      <c r="I534" s="79"/>
      <c r="J534" s="79"/>
      <c r="K534" s="79"/>
      <c r="L534" s="79"/>
      <c r="M534" s="79"/>
      <c r="N534" s="79"/>
      <c r="O534" s="79"/>
      <c r="P534" s="79"/>
      <c r="Q534" s="79"/>
      <c r="R534" s="79"/>
      <c r="S534" s="79"/>
      <c r="T534" s="79"/>
      <c r="U534" s="79"/>
      <c r="V534" s="79"/>
      <c r="W534" s="79"/>
      <c r="X534" s="79"/>
      <c r="Y534" s="79"/>
      <c r="Z534" s="79"/>
    </row>
    <row r="535" spans="1:26" ht="50.95" customHeight="1" x14ac:dyDescent="0.15">
      <c r="A535" s="79"/>
      <c r="B535" s="79"/>
      <c r="C535" s="94"/>
      <c r="D535" s="95"/>
      <c r="E535" s="87"/>
      <c r="F535" s="95"/>
      <c r="G535" s="79"/>
      <c r="H535" s="79"/>
      <c r="I535" s="79"/>
      <c r="J535" s="79"/>
      <c r="K535" s="79"/>
      <c r="L535" s="79"/>
      <c r="M535" s="79"/>
      <c r="N535" s="79"/>
      <c r="O535" s="79"/>
      <c r="P535" s="79"/>
      <c r="Q535" s="79"/>
      <c r="R535" s="79"/>
      <c r="S535" s="79"/>
      <c r="T535" s="79"/>
      <c r="U535" s="79"/>
      <c r="V535" s="79"/>
      <c r="W535" s="79"/>
      <c r="X535" s="79"/>
      <c r="Y535" s="79"/>
      <c r="Z535" s="79"/>
    </row>
    <row r="536" spans="1:26" ht="50.95" customHeight="1" x14ac:dyDescent="0.15">
      <c r="A536" s="79"/>
      <c r="B536" s="79"/>
      <c r="C536" s="94"/>
      <c r="D536" s="95"/>
      <c r="E536" s="87"/>
      <c r="F536" s="95"/>
      <c r="G536" s="79"/>
      <c r="H536" s="79"/>
      <c r="I536" s="79"/>
      <c r="J536" s="79"/>
      <c r="K536" s="79"/>
      <c r="L536" s="79"/>
      <c r="M536" s="79"/>
      <c r="N536" s="79"/>
      <c r="O536" s="79"/>
      <c r="P536" s="79"/>
      <c r="Q536" s="79"/>
      <c r="R536" s="79"/>
      <c r="S536" s="79"/>
      <c r="T536" s="79"/>
      <c r="U536" s="79"/>
      <c r="V536" s="79"/>
      <c r="W536" s="79"/>
      <c r="X536" s="79"/>
      <c r="Y536" s="79"/>
      <c r="Z536" s="79"/>
    </row>
    <row r="537" spans="1:26" ht="50.95" customHeight="1" x14ac:dyDescent="0.15">
      <c r="A537" s="79"/>
      <c r="B537" s="79"/>
      <c r="C537" s="94"/>
      <c r="D537" s="95"/>
      <c r="E537" s="87"/>
      <c r="F537" s="95"/>
      <c r="G537" s="79"/>
      <c r="H537" s="79"/>
      <c r="I537" s="79"/>
      <c r="J537" s="79"/>
      <c r="K537" s="79"/>
      <c r="L537" s="79"/>
      <c r="M537" s="79"/>
      <c r="N537" s="79"/>
      <c r="O537" s="79"/>
      <c r="P537" s="79"/>
      <c r="Q537" s="79"/>
      <c r="R537" s="79"/>
      <c r="S537" s="79"/>
      <c r="T537" s="79"/>
      <c r="U537" s="79"/>
      <c r="V537" s="79"/>
      <c r="W537" s="79"/>
      <c r="X537" s="79"/>
      <c r="Y537" s="79"/>
      <c r="Z537" s="79"/>
    </row>
    <row r="538" spans="1:26" ht="50.95" customHeight="1" x14ac:dyDescent="0.15">
      <c r="A538" s="79"/>
      <c r="B538" s="79"/>
      <c r="C538" s="94"/>
      <c r="D538" s="95"/>
      <c r="E538" s="87"/>
      <c r="F538" s="95"/>
      <c r="G538" s="79"/>
      <c r="H538" s="79"/>
      <c r="I538" s="79"/>
      <c r="J538" s="79"/>
      <c r="K538" s="79"/>
      <c r="L538" s="79"/>
      <c r="M538" s="79"/>
      <c r="N538" s="79"/>
      <c r="O538" s="79"/>
      <c r="P538" s="79"/>
      <c r="Q538" s="79"/>
      <c r="R538" s="79"/>
      <c r="S538" s="79"/>
      <c r="T538" s="79"/>
      <c r="U538" s="79"/>
      <c r="V538" s="79"/>
      <c r="W538" s="79"/>
      <c r="X538" s="79"/>
      <c r="Y538" s="79"/>
      <c r="Z538" s="79"/>
    </row>
    <row r="539" spans="1:26" ht="50.95" customHeight="1" x14ac:dyDescent="0.15">
      <c r="A539" s="79"/>
      <c r="B539" s="79"/>
      <c r="C539" s="94"/>
      <c r="D539" s="95"/>
      <c r="E539" s="87"/>
      <c r="F539" s="95"/>
      <c r="G539" s="79"/>
      <c r="H539" s="79"/>
      <c r="I539" s="79"/>
      <c r="J539" s="79"/>
      <c r="K539" s="79"/>
      <c r="L539" s="79"/>
      <c r="M539" s="79"/>
      <c r="N539" s="79"/>
      <c r="O539" s="79"/>
      <c r="P539" s="79"/>
      <c r="Q539" s="79"/>
      <c r="R539" s="79"/>
      <c r="S539" s="79"/>
      <c r="T539" s="79"/>
      <c r="U539" s="79"/>
      <c r="V539" s="79"/>
      <c r="W539" s="79"/>
      <c r="X539" s="79"/>
      <c r="Y539" s="79"/>
      <c r="Z539" s="79"/>
    </row>
    <row r="540" spans="1:26" ht="50.95" customHeight="1" x14ac:dyDescent="0.15">
      <c r="A540" s="79"/>
      <c r="B540" s="79"/>
      <c r="C540" s="94"/>
      <c r="D540" s="95"/>
      <c r="E540" s="87"/>
      <c r="F540" s="95"/>
      <c r="G540" s="79"/>
      <c r="H540" s="79"/>
      <c r="I540" s="79"/>
      <c r="J540" s="79"/>
      <c r="K540" s="79"/>
      <c r="L540" s="79"/>
      <c r="M540" s="79"/>
      <c r="N540" s="79"/>
      <c r="O540" s="79"/>
      <c r="P540" s="79"/>
      <c r="Q540" s="79"/>
      <c r="R540" s="79"/>
      <c r="S540" s="79"/>
      <c r="T540" s="79"/>
      <c r="U540" s="79"/>
      <c r="V540" s="79"/>
      <c r="W540" s="79"/>
      <c r="X540" s="79"/>
      <c r="Y540" s="79"/>
      <c r="Z540" s="79"/>
    </row>
    <row r="541" spans="1:26" ht="50.95" customHeight="1" x14ac:dyDescent="0.15">
      <c r="A541" s="79"/>
      <c r="B541" s="79"/>
      <c r="C541" s="94"/>
      <c r="D541" s="95"/>
      <c r="E541" s="87"/>
      <c r="F541" s="95"/>
      <c r="G541" s="79"/>
      <c r="H541" s="79"/>
      <c r="I541" s="79"/>
      <c r="J541" s="79"/>
      <c r="K541" s="79"/>
      <c r="L541" s="79"/>
      <c r="M541" s="79"/>
      <c r="N541" s="79"/>
      <c r="O541" s="79"/>
      <c r="P541" s="79"/>
      <c r="Q541" s="79"/>
      <c r="R541" s="79"/>
      <c r="S541" s="79"/>
      <c r="T541" s="79"/>
      <c r="U541" s="79"/>
      <c r="V541" s="79"/>
      <c r="W541" s="79"/>
      <c r="X541" s="79"/>
      <c r="Y541" s="79"/>
      <c r="Z541" s="79"/>
    </row>
    <row r="542" spans="1:26" ht="50.95" customHeight="1" x14ac:dyDescent="0.15">
      <c r="A542" s="79"/>
      <c r="B542" s="79"/>
      <c r="C542" s="94"/>
      <c r="D542" s="95"/>
      <c r="E542" s="87"/>
      <c r="F542" s="95"/>
      <c r="G542" s="79"/>
      <c r="H542" s="79"/>
      <c r="I542" s="79"/>
      <c r="J542" s="79"/>
      <c r="K542" s="79"/>
      <c r="L542" s="79"/>
      <c r="M542" s="79"/>
      <c r="N542" s="79"/>
      <c r="O542" s="79"/>
      <c r="P542" s="79"/>
      <c r="Q542" s="79"/>
      <c r="R542" s="79"/>
      <c r="S542" s="79"/>
      <c r="T542" s="79"/>
      <c r="U542" s="79"/>
      <c r="V542" s="79"/>
      <c r="W542" s="79"/>
      <c r="X542" s="79"/>
      <c r="Y542" s="79"/>
      <c r="Z542" s="79"/>
    </row>
    <row r="543" spans="1:26" ht="50.95" customHeight="1" x14ac:dyDescent="0.15">
      <c r="A543" s="79"/>
      <c r="B543" s="79"/>
      <c r="C543" s="94"/>
      <c r="D543" s="95"/>
      <c r="E543" s="87"/>
      <c r="F543" s="95"/>
      <c r="G543" s="79"/>
      <c r="H543" s="79"/>
      <c r="I543" s="79"/>
      <c r="J543" s="79"/>
      <c r="K543" s="79"/>
      <c r="L543" s="79"/>
      <c r="M543" s="79"/>
      <c r="N543" s="79"/>
      <c r="O543" s="79"/>
      <c r="P543" s="79"/>
      <c r="Q543" s="79"/>
      <c r="R543" s="79"/>
      <c r="S543" s="79"/>
      <c r="T543" s="79"/>
      <c r="U543" s="79"/>
      <c r="V543" s="79"/>
      <c r="W543" s="79"/>
      <c r="X543" s="79"/>
      <c r="Y543" s="79"/>
      <c r="Z543" s="79"/>
    </row>
    <row r="544" spans="1:26" ht="50.95" customHeight="1" x14ac:dyDescent="0.15">
      <c r="A544" s="79"/>
      <c r="B544" s="79"/>
      <c r="C544" s="94"/>
      <c r="D544" s="95"/>
      <c r="E544" s="87"/>
      <c r="F544" s="95"/>
      <c r="G544" s="79"/>
      <c r="H544" s="79"/>
      <c r="I544" s="79"/>
      <c r="J544" s="79"/>
      <c r="K544" s="79"/>
      <c r="L544" s="79"/>
      <c r="M544" s="79"/>
      <c r="N544" s="79"/>
      <c r="O544" s="79"/>
      <c r="P544" s="79"/>
      <c r="Q544" s="79"/>
      <c r="R544" s="79"/>
      <c r="S544" s="79"/>
      <c r="T544" s="79"/>
      <c r="U544" s="79"/>
      <c r="V544" s="79"/>
      <c r="W544" s="79"/>
      <c r="X544" s="79"/>
      <c r="Y544" s="79"/>
      <c r="Z544" s="79"/>
    </row>
    <row r="545" spans="1:26" ht="50.95" customHeight="1" x14ac:dyDescent="0.15">
      <c r="A545" s="79"/>
      <c r="B545" s="79"/>
      <c r="C545" s="94"/>
      <c r="D545" s="95"/>
      <c r="E545" s="87"/>
      <c r="F545" s="95"/>
      <c r="G545" s="79"/>
      <c r="H545" s="79"/>
      <c r="I545" s="79"/>
      <c r="J545" s="79"/>
      <c r="K545" s="79"/>
      <c r="L545" s="79"/>
      <c r="M545" s="79"/>
      <c r="N545" s="79"/>
      <c r="O545" s="79"/>
      <c r="P545" s="79"/>
      <c r="Q545" s="79"/>
      <c r="R545" s="79"/>
      <c r="S545" s="79"/>
      <c r="T545" s="79"/>
      <c r="U545" s="79"/>
      <c r="V545" s="79"/>
      <c r="W545" s="79"/>
      <c r="X545" s="79"/>
      <c r="Y545" s="79"/>
      <c r="Z545" s="79"/>
    </row>
    <row r="546" spans="1:26" ht="50.95" customHeight="1" x14ac:dyDescent="0.15">
      <c r="A546" s="79"/>
      <c r="B546" s="79"/>
      <c r="C546" s="94"/>
      <c r="D546" s="95"/>
      <c r="E546" s="87"/>
      <c r="F546" s="95"/>
      <c r="G546" s="79"/>
      <c r="H546" s="79"/>
      <c r="I546" s="79"/>
      <c r="J546" s="79"/>
      <c r="K546" s="79"/>
      <c r="L546" s="79"/>
      <c r="M546" s="79"/>
      <c r="N546" s="79"/>
      <c r="O546" s="79"/>
      <c r="P546" s="79"/>
      <c r="Q546" s="79"/>
      <c r="R546" s="79"/>
      <c r="S546" s="79"/>
      <c r="T546" s="79"/>
      <c r="U546" s="79"/>
      <c r="V546" s="79"/>
      <c r="W546" s="79"/>
      <c r="X546" s="79"/>
      <c r="Y546" s="79"/>
      <c r="Z546" s="79"/>
    </row>
    <row r="547" spans="1:26" ht="50.95" customHeight="1" x14ac:dyDescent="0.15">
      <c r="A547" s="79"/>
      <c r="B547" s="79"/>
      <c r="C547" s="94"/>
      <c r="D547" s="95"/>
      <c r="E547" s="87"/>
      <c r="F547" s="95"/>
      <c r="G547" s="79"/>
      <c r="H547" s="79"/>
      <c r="I547" s="79"/>
      <c r="J547" s="79"/>
      <c r="K547" s="79"/>
      <c r="L547" s="79"/>
      <c r="M547" s="79"/>
      <c r="N547" s="79"/>
      <c r="O547" s="79"/>
      <c r="P547" s="79"/>
      <c r="Q547" s="79"/>
      <c r="R547" s="79"/>
      <c r="S547" s="79"/>
      <c r="T547" s="79"/>
      <c r="U547" s="79"/>
      <c r="V547" s="79"/>
      <c r="W547" s="79"/>
      <c r="X547" s="79"/>
      <c r="Y547" s="79"/>
      <c r="Z547" s="79"/>
    </row>
    <row r="548" spans="1:26" ht="50.95" customHeight="1" x14ac:dyDescent="0.15">
      <c r="A548" s="79"/>
      <c r="B548" s="79"/>
      <c r="C548" s="94"/>
      <c r="D548" s="95"/>
      <c r="E548" s="87"/>
      <c r="F548" s="95"/>
      <c r="G548" s="79"/>
      <c r="H548" s="79"/>
      <c r="I548" s="79"/>
      <c r="J548" s="79"/>
      <c r="K548" s="79"/>
      <c r="L548" s="79"/>
      <c r="M548" s="79"/>
      <c r="N548" s="79"/>
      <c r="O548" s="79"/>
      <c r="P548" s="79"/>
      <c r="Q548" s="79"/>
      <c r="R548" s="79"/>
      <c r="S548" s="79"/>
      <c r="T548" s="79"/>
      <c r="U548" s="79"/>
      <c r="V548" s="79"/>
      <c r="W548" s="79"/>
      <c r="X548" s="79"/>
      <c r="Y548" s="79"/>
      <c r="Z548" s="79"/>
    </row>
    <row r="549" spans="1:26" ht="50.95" customHeight="1" x14ac:dyDescent="0.15">
      <c r="A549" s="79"/>
      <c r="B549" s="79"/>
      <c r="C549" s="94"/>
      <c r="D549" s="95"/>
      <c r="E549" s="87"/>
      <c r="F549" s="95"/>
      <c r="G549" s="79"/>
      <c r="H549" s="79"/>
      <c r="I549" s="79"/>
      <c r="J549" s="79"/>
      <c r="K549" s="79"/>
      <c r="L549" s="79"/>
      <c r="M549" s="79"/>
      <c r="N549" s="79"/>
      <c r="O549" s="79"/>
      <c r="P549" s="79"/>
      <c r="Q549" s="79"/>
      <c r="R549" s="79"/>
      <c r="S549" s="79"/>
      <c r="T549" s="79"/>
      <c r="U549" s="79"/>
      <c r="V549" s="79"/>
      <c r="W549" s="79"/>
      <c r="X549" s="79"/>
      <c r="Y549" s="79"/>
      <c r="Z549" s="79"/>
    </row>
    <row r="550" spans="1:26" ht="50.95" customHeight="1" x14ac:dyDescent="0.15">
      <c r="A550" s="79"/>
      <c r="B550" s="79"/>
      <c r="C550" s="94"/>
      <c r="D550" s="95"/>
      <c r="E550" s="87"/>
      <c r="F550" s="95"/>
      <c r="G550" s="79"/>
      <c r="H550" s="79"/>
      <c r="I550" s="79"/>
      <c r="J550" s="79"/>
      <c r="K550" s="79"/>
      <c r="L550" s="79"/>
      <c r="M550" s="79"/>
      <c r="N550" s="79"/>
      <c r="O550" s="79"/>
      <c r="P550" s="79"/>
      <c r="Q550" s="79"/>
      <c r="R550" s="79"/>
      <c r="S550" s="79"/>
      <c r="T550" s="79"/>
      <c r="U550" s="79"/>
      <c r="V550" s="79"/>
      <c r="W550" s="79"/>
      <c r="X550" s="79"/>
      <c r="Y550" s="79"/>
      <c r="Z550" s="79"/>
    </row>
    <row r="551" spans="1:26" ht="50.95" customHeight="1" x14ac:dyDescent="0.15">
      <c r="A551" s="79"/>
      <c r="B551" s="79"/>
      <c r="C551" s="94"/>
      <c r="D551" s="95"/>
      <c r="E551" s="87"/>
      <c r="F551" s="95"/>
      <c r="G551" s="79"/>
      <c r="H551" s="79"/>
      <c r="I551" s="79"/>
      <c r="J551" s="79"/>
      <c r="K551" s="79"/>
      <c r="L551" s="79"/>
      <c r="M551" s="79"/>
      <c r="N551" s="79"/>
      <c r="O551" s="79"/>
      <c r="P551" s="79"/>
      <c r="Q551" s="79"/>
      <c r="R551" s="79"/>
      <c r="S551" s="79"/>
      <c r="T551" s="79"/>
      <c r="U551" s="79"/>
      <c r="V551" s="79"/>
      <c r="W551" s="79"/>
      <c r="X551" s="79"/>
      <c r="Y551" s="79"/>
      <c r="Z551" s="79"/>
    </row>
    <row r="552" spans="1:26" ht="50.95" customHeight="1" x14ac:dyDescent="0.15">
      <c r="A552" s="79"/>
      <c r="B552" s="79"/>
      <c r="C552" s="94"/>
      <c r="D552" s="95"/>
      <c r="E552" s="87"/>
      <c r="F552" s="95"/>
      <c r="G552" s="79"/>
      <c r="H552" s="79"/>
      <c r="I552" s="79"/>
      <c r="J552" s="79"/>
      <c r="K552" s="79"/>
      <c r="L552" s="79"/>
      <c r="M552" s="79"/>
      <c r="N552" s="79"/>
      <c r="O552" s="79"/>
      <c r="P552" s="79"/>
      <c r="Q552" s="79"/>
      <c r="R552" s="79"/>
      <c r="S552" s="79"/>
      <c r="T552" s="79"/>
      <c r="U552" s="79"/>
      <c r="V552" s="79"/>
      <c r="W552" s="79"/>
      <c r="X552" s="79"/>
      <c r="Y552" s="79"/>
      <c r="Z552" s="79"/>
    </row>
    <row r="553" spans="1:26" ht="50.95" customHeight="1" x14ac:dyDescent="0.15">
      <c r="A553" s="79"/>
      <c r="B553" s="79"/>
      <c r="C553" s="94"/>
      <c r="D553" s="95"/>
      <c r="E553" s="87"/>
      <c r="F553" s="95"/>
      <c r="G553" s="79"/>
      <c r="H553" s="79"/>
      <c r="I553" s="79"/>
      <c r="J553" s="79"/>
      <c r="K553" s="79"/>
      <c r="L553" s="79"/>
      <c r="M553" s="79"/>
      <c r="N553" s="79"/>
      <c r="O553" s="79"/>
      <c r="P553" s="79"/>
      <c r="Q553" s="79"/>
      <c r="R553" s="79"/>
      <c r="S553" s="79"/>
      <c r="T553" s="79"/>
      <c r="U553" s="79"/>
      <c r="V553" s="79"/>
      <c r="W553" s="79"/>
      <c r="X553" s="79"/>
      <c r="Y553" s="79"/>
      <c r="Z553" s="79"/>
    </row>
    <row r="554" spans="1:26" ht="50.95" customHeight="1" x14ac:dyDescent="0.15">
      <c r="A554" s="79"/>
      <c r="B554" s="79"/>
      <c r="C554" s="94"/>
      <c r="D554" s="95"/>
      <c r="E554" s="87"/>
      <c r="F554" s="95"/>
      <c r="G554" s="79"/>
      <c r="H554" s="79"/>
      <c r="I554" s="79"/>
      <c r="J554" s="79"/>
      <c r="K554" s="79"/>
      <c r="L554" s="79"/>
      <c r="M554" s="79"/>
      <c r="N554" s="79"/>
      <c r="O554" s="79"/>
      <c r="P554" s="79"/>
      <c r="Q554" s="79"/>
      <c r="R554" s="79"/>
      <c r="S554" s="79"/>
      <c r="T554" s="79"/>
      <c r="U554" s="79"/>
      <c r="V554" s="79"/>
      <c r="W554" s="79"/>
      <c r="X554" s="79"/>
      <c r="Y554" s="79"/>
      <c r="Z554" s="79"/>
    </row>
    <row r="555" spans="1:26" ht="50.95" customHeight="1" x14ac:dyDescent="0.15">
      <c r="A555" s="79"/>
      <c r="B555" s="79"/>
      <c r="C555" s="94"/>
      <c r="D555" s="95"/>
      <c r="E555" s="87"/>
      <c r="F555" s="95"/>
      <c r="G555" s="79"/>
      <c r="H555" s="79"/>
      <c r="I555" s="79"/>
      <c r="J555" s="79"/>
      <c r="K555" s="79"/>
      <c r="L555" s="79"/>
      <c r="M555" s="79"/>
      <c r="N555" s="79"/>
      <c r="O555" s="79"/>
      <c r="P555" s="79"/>
      <c r="Q555" s="79"/>
      <c r="R555" s="79"/>
      <c r="S555" s="79"/>
      <c r="T555" s="79"/>
      <c r="U555" s="79"/>
      <c r="V555" s="79"/>
      <c r="W555" s="79"/>
      <c r="X555" s="79"/>
      <c r="Y555" s="79"/>
      <c r="Z555" s="79"/>
    </row>
    <row r="556" spans="1:26" ht="50.95" customHeight="1" x14ac:dyDescent="0.15">
      <c r="A556" s="79"/>
      <c r="B556" s="79"/>
      <c r="C556" s="94"/>
      <c r="D556" s="95"/>
      <c r="E556" s="87"/>
      <c r="F556" s="95"/>
      <c r="G556" s="79"/>
      <c r="H556" s="79"/>
      <c r="I556" s="79"/>
      <c r="J556" s="79"/>
      <c r="K556" s="79"/>
      <c r="L556" s="79"/>
      <c r="M556" s="79"/>
      <c r="N556" s="79"/>
      <c r="O556" s="79"/>
      <c r="P556" s="79"/>
      <c r="Q556" s="79"/>
      <c r="R556" s="79"/>
      <c r="S556" s="79"/>
      <c r="T556" s="79"/>
      <c r="U556" s="79"/>
      <c r="V556" s="79"/>
      <c r="W556" s="79"/>
      <c r="X556" s="79"/>
      <c r="Y556" s="79"/>
      <c r="Z556" s="79"/>
    </row>
    <row r="557" spans="1:26" ht="50.95" customHeight="1" x14ac:dyDescent="0.15">
      <c r="A557" s="79"/>
      <c r="B557" s="79"/>
      <c r="C557" s="94"/>
      <c r="D557" s="95"/>
      <c r="E557" s="87"/>
      <c r="F557" s="95"/>
      <c r="G557" s="79"/>
      <c r="H557" s="79"/>
      <c r="I557" s="79"/>
      <c r="J557" s="79"/>
      <c r="K557" s="79"/>
      <c r="L557" s="79"/>
      <c r="M557" s="79"/>
      <c r="N557" s="79"/>
      <c r="O557" s="79"/>
      <c r="P557" s="79"/>
      <c r="Q557" s="79"/>
      <c r="R557" s="79"/>
      <c r="S557" s="79"/>
      <c r="T557" s="79"/>
      <c r="U557" s="79"/>
      <c r="V557" s="79"/>
      <c r="W557" s="79"/>
      <c r="X557" s="79"/>
      <c r="Y557" s="79"/>
      <c r="Z557" s="79"/>
    </row>
    <row r="558" spans="1:26" ht="50.95" customHeight="1" x14ac:dyDescent="0.15">
      <c r="A558" s="79"/>
      <c r="B558" s="79"/>
      <c r="C558" s="94"/>
      <c r="D558" s="95"/>
      <c r="E558" s="87"/>
      <c r="F558" s="95"/>
      <c r="G558" s="79"/>
      <c r="H558" s="79"/>
      <c r="I558" s="79"/>
      <c r="J558" s="79"/>
      <c r="K558" s="79"/>
      <c r="L558" s="79"/>
      <c r="M558" s="79"/>
      <c r="N558" s="79"/>
      <c r="O558" s="79"/>
      <c r="P558" s="79"/>
      <c r="Q558" s="79"/>
      <c r="R558" s="79"/>
      <c r="S558" s="79"/>
      <c r="T558" s="79"/>
      <c r="U558" s="79"/>
      <c r="V558" s="79"/>
      <c r="W558" s="79"/>
      <c r="X558" s="79"/>
      <c r="Y558" s="79"/>
      <c r="Z558" s="79"/>
    </row>
    <row r="559" spans="1:26" ht="50.95" customHeight="1" x14ac:dyDescent="0.15">
      <c r="A559" s="79"/>
      <c r="B559" s="79"/>
      <c r="C559" s="94"/>
      <c r="D559" s="95"/>
      <c r="E559" s="87"/>
      <c r="F559" s="95"/>
      <c r="G559" s="79"/>
      <c r="H559" s="79"/>
      <c r="I559" s="79"/>
      <c r="J559" s="79"/>
      <c r="K559" s="79"/>
      <c r="L559" s="79"/>
      <c r="M559" s="79"/>
      <c r="N559" s="79"/>
      <c r="O559" s="79"/>
      <c r="P559" s="79"/>
      <c r="Q559" s="79"/>
      <c r="R559" s="79"/>
      <c r="S559" s="79"/>
      <c r="T559" s="79"/>
      <c r="U559" s="79"/>
      <c r="V559" s="79"/>
      <c r="W559" s="79"/>
      <c r="X559" s="79"/>
      <c r="Y559" s="79"/>
      <c r="Z559" s="79"/>
    </row>
    <row r="560" spans="1:26" ht="50.95" customHeight="1" x14ac:dyDescent="0.15">
      <c r="A560" s="79"/>
      <c r="B560" s="79"/>
      <c r="C560" s="94"/>
      <c r="D560" s="95"/>
      <c r="E560" s="87"/>
      <c r="F560" s="95"/>
      <c r="G560" s="79"/>
      <c r="H560" s="79"/>
      <c r="I560" s="79"/>
      <c r="J560" s="79"/>
      <c r="K560" s="79"/>
      <c r="L560" s="79"/>
      <c r="M560" s="79"/>
      <c r="N560" s="79"/>
      <c r="O560" s="79"/>
      <c r="P560" s="79"/>
      <c r="Q560" s="79"/>
      <c r="R560" s="79"/>
      <c r="S560" s="79"/>
      <c r="T560" s="79"/>
      <c r="U560" s="79"/>
      <c r="V560" s="79"/>
      <c r="W560" s="79"/>
      <c r="X560" s="79"/>
      <c r="Y560" s="79"/>
      <c r="Z560" s="79"/>
    </row>
    <row r="561" spans="1:26" ht="50.95" customHeight="1" x14ac:dyDescent="0.15">
      <c r="A561" s="79"/>
      <c r="B561" s="79"/>
      <c r="C561" s="94"/>
      <c r="D561" s="95"/>
      <c r="E561" s="87"/>
      <c r="F561" s="95"/>
      <c r="G561" s="79"/>
      <c r="H561" s="79"/>
      <c r="I561" s="79"/>
      <c r="J561" s="79"/>
      <c r="K561" s="79"/>
      <c r="L561" s="79"/>
      <c r="M561" s="79"/>
      <c r="N561" s="79"/>
      <c r="O561" s="79"/>
      <c r="P561" s="79"/>
      <c r="Q561" s="79"/>
      <c r="R561" s="79"/>
      <c r="S561" s="79"/>
      <c r="T561" s="79"/>
      <c r="U561" s="79"/>
      <c r="V561" s="79"/>
      <c r="W561" s="79"/>
      <c r="X561" s="79"/>
      <c r="Y561" s="79"/>
      <c r="Z561" s="79"/>
    </row>
    <row r="562" spans="1:26" ht="50.95" customHeight="1" x14ac:dyDescent="0.15">
      <c r="A562" s="79"/>
      <c r="B562" s="79"/>
      <c r="C562" s="94"/>
      <c r="D562" s="95"/>
      <c r="E562" s="87"/>
      <c r="F562" s="95"/>
      <c r="G562" s="79"/>
      <c r="H562" s="79"/>
      <c r="I562" s="79"/>
      <c r="J562" s="79"/>
      <c r="K562" s="79"/>
      <c r="L562" s="79"/>
      <c r="M562" s="79"/>
      <c r="N562" s="79"/>
      <c r="O562" s="79"/>
      <c r="P562" s="79"/>
      <c r="Q562" s="79"/>
      <c r="R562" s="79"/>
      <c r="S562" s="79"/>
      <c r="T562" s="79"/>
      <c r="U562" s="79"/>
      <c r="V562" s="79"/>
      <c r="W562" s="79"/>
      <c r="X562" s="79"/>
      <c r="Y562" s="79"/>
      <c r="Z562" s="79"/>
    </row>
    <row r="563" spans="1:26" ht="50.95" customHeight="1" x14ac:dyDescent="0.15">
      <c r="A563" s="79"/>
      <c r="B563" s="79"/>
      <c r="C563" s="94"/>
      <c r="D563" s="95"/>
      <c r="E563" s="87"/>
      <c r="F563" s="95"/>
      <c r="G563" s="79"/>
      <c r="H563" s="79"/>
      <c r="I563" s="79"/>
      <c r="J563" s="79"/>
      <c r="K563" s="79"/>
      <c r="L563" s="79"/>
      <c r="M563" s="79"/>
      <c r="N563" s="79"/>
      <c r="O563" s="79"/>
      <c r="P563" s="79"/>
      <c r="Q563" s="79"/>
      <c r="R563" s="79"/>
      <c r="S563" s="79"/>
      <c r="T563" s="79"/>
      <c r="U563" s="79"/>
      <c r="V563" s="79"/>
      <c r="W563" s="79"/>
      <c r="X563" s="79"/>
      <c r="Y563" s="79"/>
      <c r="Z563" s="79"/>
    </row>
    <row r="564" spans="1:26" ht="50.95" customHeight="1" x14ac:dyDescent="0.15">
      <c r="A564" s="79"/>
      <c r="B564" s="79"/>
      <c r="C564" s="94"/>
      <c r="D564" s="95"/>
      <c r="E564" s="87"/>
      <c r="F564" s="95"/>
      <c r="G564" s="79"/>
      <c r="H564" s="79"/>
      <c r="I564" s="79"/>
      <c r="J564" s="79"/>
      <c r="K564" s="79"/>
      <c r="L564" s="79"/>
      <c r="M564" s="79"/>
      <c r="N564" s="79"/>
      <c r="O564" s="79"/>
      <c r="P564" s="79"/>
      <c r="Q564" s="79"/>
      <c r="R564" s="79"/>
      <c r="S564" s="79"/>
      <c r="T564" s="79"/>
      <c r="U564" s="79"/>
      <c r="V564" s="79"/>
      <c r="W564" s="79"/>
      <c r="X564" s="79"/>
      <c r="Y564" s="79"/>
      <c r="Z564" s="79"/>
    </row>
    <row r="565" spans="1:26" ht="50.95" customHeight="1" x14ac:dyDescent="0.15">
      <c r="A565" s="79"/>
      <c r="B565" s="79"/>
      <c r="C565" s="94"/>
      <c r="D565" s="95"/>
      <c r="E565" s="87"/>
      <c r="F565" s="95"/>
      <c r="G565" s="79"/>
      <c r="H565" s="79"/>
      <c r="I565" s="79"/>
      <c r="J565" s="79"/>
      <c r="K565" s="79"/>
      <c r="L565" s="79"/>
      <c r="M565" s="79"/>
      <c r="N565" s="79"/>
      <c r="O565" s="79"/>
      <c r="P565" s="79"/>
      <c r="Q565" s="79"/>
      <c r="R565" s="79"/>
      <c r="S565" s="79"/>
      <c r="T565" s="79"/>
      <c r="U565" s="79"/>
      <c r="V565" s="79"/>
      <c r="W565" s="79"/>
      <c r="X565" s="79"/>
      <c r="Y565" s="79"/>
      <c r="Z565" s="79"/>
    </row>
    <row r="566" spans="1:26" ht="50.95" customHeight="1" x14ac:dyDescent="0.15">
      <c r="A566" s="79"/>
      <c r="B566" s="79"/>
      <c r="C566" s="94"/>
      <c r="D566" s="95"/>
      <c r="E566" s="87"/>
      <c r="F566" s="95"/>
      <c r="G566" s="79"/>
      <c r="H566" s="79"/>
      <c r="I566" s="79"/>
      <c r="J566" s="79"/>
      <c r="K566" s="79"/>
      <c r="L566" s="79"/>
      <c r="M566" s="79"/>
      <c r="N566" s="79"/>
      <c r="O566" s="79"/>
      <c r="P566" s="79"/>
      <c r="Q566" s="79"/>
      <c r="R566" s="79"/>
      <c r="S566" s="79"/>
      <c r="T566" s="79"/>
      <c r="U566" s="79"/>
      <c r="V566" s="79"/>
      <c r="W566" s="79"/>
      <c r="X566" s="79"/>
      <c r="Y566" s="79"/>
      <c r="Z566" s="79"/>
    </row>
    <row r="567" spans="1:26" ht="50.95" customHeight="1" x14ac:dyDescent="0.15">
      <c r="A567" s="79"/>
      <c r="B567" s="79"/>
      <c r="C567" s="94"/>
      <c r="D567" s="95"/>
      <c r="E567" s="87"/>
      <c r="F567" s="95"/>
      <c r="G567" s="79"/>
      <c r="H567" s="79"/>
      <c r="I567" s="79"/>
      <c r="J567" s="79"/>
      <c r="K567" s="79"/>
      <c r="L567" s="79"/>
      <c r="M567" s="79"/>
      <c r="N567" s="79"/>
      <c r="O567" s="79"/>
      <c r="P567" s="79"/>
      <c r="Q567" s="79"/>
      <c r="R567" s="79"/>
      <c r="S567" s="79"/>
      <c r="T567" s="79"/>
      <c r="U567" s="79"/>
      <c r="V567" s="79"/>
      <c r="W567" s="79"/>
      <c r="X567" s="79"/>
      <c r="Y567" s="79"/>
      <c r="Z567" s="79"/>
    </row>
    <row r="568" spans="1:26" ht="50.95" customHeight="1" x14ac:dyDescent="0.15">
      <c r="A568" s="79"/>
      <c r="B568" s="79"/>
      <c r="C568" s="94"/>
      <c r="D568" s="95"/>
      <c r="E568" s="87"/>
      <c r="F568" s="95"/>
      <c r="G568" s="79"/>
      <c r="H568" s="79"/>
      <c r="I568" s="79"/>
      <c r="J568" s="79"/>
      <c r="K568" s="79"/>
      <c r="L568" s="79"/>
      <c r="M568" s="79"/>
      <c r="N568" s="79"/>
      <c r="O568" s="79"/>
      <c r="P568" s="79"/>
      <c r="Q568" s="79"/>
      <c r="R568" s="79"/>
      <c r="S568" s="79"/>
      <c r="T568" s="79"/>
      <c r="U568" s="79"/>
      <c r="V568" s="79"/>
      <c r="W568" s="79"/>
      <c r="X568" s="79"/>
      <c r="Y568" s="79"/>
      <c r="Z568" s="79"/>
    </row>
    <row r="569" spans="1:26" ht="50.95" customHeight="1" x14ac:dyDescent="0.15">
      <c r="A569" s="79"/>
      <c r="B569" s="79"/>
      <c r="C569" s="94"/>
      <c r="D569" s="95"/>
      <c r="E569" s="87"/>
      <c r="F569" s="95"/>
      <c r="G569" s="79"/>
      <c r="H569" s="79"/>
      <c r="I569" s="79"/>
      <c r="J569" s="79"/>
      <c r="K569" s="79"/>
      <c r="L569" s="79"/>
      <c r="M569" s="79"/>
      <c r="N569" s="79"/>
      <c r="O569" s="79"/>
      <c r="P569" s="79"/>
      <c r="Q569" s="79"/>
      <c r="R569" s="79"/>
      <c r="S569" s="79"/>
      <c r="T569" s="79"/>
      <c r="U569" s="79"/>
      <c r="V569" s="79"/>
      <c r="W569" s="79"/>
      <c r="X569" s="79"/>
      <c r="Y569" s="79"/>
      <c r="Z569" s="79"/>
    </row>
    <row r="570" spans="1:26" ht="50.95" customHeight="1" x14ac:dyDescent="0.15">
      <c r="A570" s="79"/>
      <c r="B570" s="79"/>
      <c r="C570" s="94"/>
      <c r="D570" s="95"/>
      <c r="E570" s="87"/>
      <c r="F570" s="95"/>
      <c r="G570" s="79"/>
      <c r="H570" s="79"/>
      <c r="I570" s="79"/>
      <c r="J570" s="79"/>
      <c r="K570" s="79"/>
      <c r="L570" s="79"/>
      <c r="M570" s="79"/>
      <c r="N570" s="79"/>
      <c r="O570" s="79"/>
      <c r="P570" s="79"/>
      <c r="Q570" s="79"/>
      <c r="R570" s="79"/>
      <c r="S570" s="79"/>
      <c r="T570" s="79"/>
      <c r="U570" s="79"/>
      <c r="V570" s="79"/>
      <c r="W570" s="79"/>
      <c r="X570" s="79"/>
      <c r="Y570" s="79"/>
      <c r="Z570" s="79"/>
    </row>
    <row r="571" spans="1:26" ht="50.95" customHeight="1" x14ac:dyDescent="0.15">
      <c r="A571" s="79"/>
      <c r="B571" s="79"/>
      <c r="C571" s="94"/>
      <c r="D571" s="95"/>
      <c r="E571" s="87"/>
      <c r="F571" s="95"/>
      <c r="G571" s="79"/>
      <c r="H571" s="79"/>
      <c r="I571" s="79"/>
      <c r="J571" s="79"/>
      <c r="K571" s="79"/>
      <c r="L571" s="79"/>
      <c r="M571" s="79"/>
      <c r="N571" s="79"/>
      <c r="O571" s="79"/>
      <c r="P571" s="79"/>
      <c r="Q571" s="79"/>
      <c r="R571" s="79"/>
      <c r="S571" s="79"/>
      <c r="T571" s="79"/>
      <c r="U571" s="79"/>
      <c r="V571" s="79"/>
      <c r="W571" s="79"/>
      <c r="X571" s="79"/>
      <c r="Y571" s="79"/>
      <c r="Z571" s="79"/>
    </row>
    <row r="572" spans="1:26" ht="50.95" customHeight="1" x14ac:dyDescent="0.15">
      <c r="A572" s="79"/>
      <c r="B572" s="79"/>
      <c r="C572" s="94"/>
      <c r="D572" s="95"/>
      <c r="E572" s="87"/>
      <c r="F572" s="95"/>
      <c r="G572" s="79"/>
      <c r="H572" s="79"/>
      <c r="I572" s="79"/>
      <c r="J572" s="79"/>
      <c r="K572" s="79"/>
      <c r="L572" s="79"/>
      <c r="M572" s="79"/>
      <c r="N572" s="79"/>
      <c r="O572" s="79"/>
      <c r="P572" s="79"/>
      <c r="Q572" s="79"/>
      <c r="R572" s="79"/>
      <c r="S572" s="79"/>
      <c r="T572" s="79"/>
      <c r="U572" s="79"/>
      <c r="V572" s="79"/>
      <c r="W572" s="79"/>
      <c r="X572" s="79"/>
      <c r="Y572" s="79"/>
      <c r="Z572" s="79"/>
    </row>
    <row r="573" spans="1:26" ht="50.95" customHeight="1" x14ac:dyDescent="0.15">
      <c r="A573" s="79"/>
      <c r="B573" s="79"/>
      <c r="C573" s="94"/>
      <c r="D573" s="95"/>
      <c r="E573" s="87"/>
      <c r="F573" s="95"/>
      <c r="G573" s="79"/>
      <c r="H573" s="79"/>
      <c r="I573" s="79"/>
      <c r="J573" s="79"/>
      <c r="K573" s="79"/>
      <c r="L573" s="79"/>
      <c r="M573" s="79"/>
      <c r="N573" s="79"/>
      <c r="O573" s="79"/>
      <c r="P573" s="79"/>
      <c r="Q573" s="79"/>
      <c r="R573" s="79"/>
      <c r="S573" s="79"/>
      <c r="T573" s="79"/>
      <c r="U573" s="79"/>
      <c r="V573" s="79"/>
      <c r="W573" s="79"/>
      <c r="X573" s="79"/>
      <c r="Y573" s="79"/>
      <c r="Z573" s="79"/>
    </row>
    <row r="574" spans="1:26" ht="50.95" customHeight="1" x14ac:dyDescent="0.15">
      <c r="A574" s="79"/>
      <c r="B574" s="79"/>
      <c r="C574" s="94"/>
      <c r="D574" s="95"/>
      <c r="E574" s="87"/>
      <c r="F574" s="95"/>
      <c r="G574" s="79"/>
      <c r="H574" s="79"/>
      <c r="I574" s="79"/>
      <c r="J574" s="79"/>
      <c r="K574" s="79"/>
      <c r="L574" s="79"/>
      <c r="M574" s="79"/>
      <c r="N574" s="79"/>
      <c r="O574" s="79"/>
      <c r="P574" s="79"/>
      <c r="Q574" s="79"/>
      <c r="R574" s="79"/>
      <c r="S574" s="79"/>
      <c r="T574" s="79"/>
      <c r="U574" s="79"/>
      <c r="V574" s="79"/>
      <c r="W574" s="79"/>
      <c r="X574" s="79"/>
      <c r="Y574" s="79"/>
      <c r="Z574" s="79"/>
    </row>
    <row r="575" spans="1:26" ht="50.95" customHeight="1" x14ac:dyDescent="0.15">
      <c r="A575" s="79"/>
      <c r="B575" s="79"/>
      <c r="C575" s="94"/>
      <c r="D575" s="95"/>
      <c r="E575" s="87"/>
      <c r="F575" s="95"/>
      <c r="G575" s="79"/>
      <c r="H575" s="79"/>
      <c r="I575" s="79"/>
      <c r="J575" s="79"/>
      <c r="K575" s="79"/>
      <c r="L575" s="79"/>
      <c r="M575" s="79"/>
      <c r="N575" s="79"/>
      <c r="O575" s="79"/>
      <c r="P575" s="79"/>
      <c r="Q575" s="79"/>
      <c r="R575" s="79"/>
      <c r="S575" s="79"/>
      <c r="T575" s="79"/>
      <c r="U575" s="79"/>
      <c r="V575" s="79"/>
      <c r="W575" s="79"/>
      <c r="X575" s="79"/>
      <c r="Y575" s="79"/>
      <c r="Z575" s="79"/>
    </row>
    <row r="576" spans="1:26" ht="50.95" customHeight="1" x14ac:dyDescent="0.15">
      <c r="A576" s="79"/>
      <c r="B576" s="79"/>
      <c r="C576" s="94"/>
      <c r="D576" s="95"/>
      <c r="E576" s="87"/>
      <c r="F576" s="95"/>
      <c r="G576" s="79"/>
      <c r="H576" s="79"/>
      <c r="I576" s="79"/>
      <c r="J576" s="79"/>
      <c r="K576" s="79"/>
      <c r="L576" s="79"/>
      <c r="M576" s="79"/>
      <c r="N576" s="79"/>
      <c r="O576" s="79"/>
      <c r="P576" s="79"/>
      <c r="Q576" s="79"/>
      <c r="R576" s="79"/>
      <c r="S576" s="79"/>
      <c r="T576" s="79"/>
      <c r="U576" s="79"/>
      <c r="V576" s="79"/>
      <c r="W576" s="79"/>
      <c r="X576" s="79"/>
      <c r="Y576" s="79"/>
      <c r="Z576" s="79"/>
    </row>
    <row r="577" spans="1:26" ht="50.95" customHeight="1" x14ac:dyDescent="0.15">
      <c r="A577" s="79"/>
      <c r="B577" s="79"/>
      <c r="C577" s="94"/>
      <c r="D577" s="95"/>
      <c r="E577" s="87"/>
      <c r="F577" s="95"/>
      <c r="G577" s="79"/>
      <c r="H577" s="79"/>
      <c r="I577" s="79"/>
      <c r="J577" s="79"/>
      <c r="K577" s="79"/>
      <c r="L577" s="79"/>
      <c r="M577" s="79"/>
      <c r="N577" s="79"/>
      <c r="O577" s="79"/>
      <c r="P577" s="79"/>
      <c r="Q577" s="79"/>
      <c r="R577" s="79"/>
      <c r="S577" s="79"/>
      <c r="T577" s="79"/>
      <c r="U577" s="79"/>
      <c r="V577" s="79"/>
      <c r="W577" s="79"/>
      <c r="X577" s="79"/>
      <c r="Y577" s="79"/>
      <c r="Z577" s="79"/>
    </row>
    <row r="578" spans="1:26" ht="50.95" customHeight="1" x14ac:dyDescent="0.15">
      <c r="A578" s="79"/>
      <c r="B578" s="79"/>
      <c r="C578" s="94"/>
      <c r="D578" s="95"/>
      <c r="E578" s="87"/>
      <c r="F578" s="95"/>
      <c r="G578" s="79"/>
      <c r="H578" s="79"/>
      <c r="I578" s="79"/>
      <c r="J578" s="79"/>
      <c r="K578" s="79"/>
      <c r="L578" s="79"/>
      <c r="M578" s="79"/>
      <c r="N578" s="79"/>
      <c r="O578" s="79"/>
      <c r="P578" s="79"/>
      <c r="Q578" s="79"/>
      <c r="R578" s="79"/>
      <c r="S578" s="79"/>
      <c r="T578" s="79"/>
      <c r="U578" s="79"/>
      <c r="V578" s="79"/>
      <c r="W578" s="79"/>
      <c r="X578" s="79"/>
      <c r="Y578" s="79"/>
      <c r="Z578" s="79"/>
    </row>
    <row r="579" spans="1:26" ht="50.95" customHeight="1" x14ac:dyDescent="0.15">
      <c r="A579" s="79"/>
      <c r="B579" s="79"/>
      <c r="C579" s="94"/>
      <c r="D579" s="95"/>
      <c r="E579" s="87"/>
      <c r="F579" s="95"/>
      <c r="G579" s="79"/>
      <c r="H579" s="79"/>
      <c r="I579" s="79"/>
      <c r="J579" s="79"/>
      <c r="K579" s="79"/>
      <c r="L579" s="79"/>
      <c r="M579" s="79"/>
      <c r="N579" s="79"/>
      <c r="O579" s="79"/>
      <c r="P579" s="79"/>
      <c r="Q579" s="79"/>
      <c r="R579" s="79"/>
      <c r="S579" s="79"/>
      <c r="T579" s="79"/>
      <c r="U579" s="79"/>
      <c r="V579" s="79"/>
      <c r="W579" s="79"/>
      <c r="X579" s="79"/>
      <c r="Y579" s="79"/>
      <c r="Z579" s="79"/>
    </row>
    <row r="580" spans="1:26" ht="50.95" customHeight="1" x14ac:dyDescent="0.15">
      <c r="A580" s="79"/>
      <c r="B580" s="79"/>
      <c r="C580" s="94"/>
      <c r="D580" s="95"/>
      <c r="E580" s="87"/>
      <c r="F580" s="95"/>
      <c r="G580" s="79"/>
      <c r="H580" s="79"/>
      <c r="I580" s="79"/>
      <c r="J580" s="79"/>
      <c r="K580" s="79"/>
      <c r="L580" s="79"/>
      <c r="M580" s="79"/>
      <c r="N580" s="79"/>
      <c r="O580" s="79"/>
      <c r="P580" s="79"/>
      <c r="Q580" s="79"/>
      <c r="R580" s="79"/>
      <c r="S580" s="79"/>
      <c r="T580" s="79"/>
      <c r="U580" s="79"/>
      <c r="V580" s="79"/>
      <c r="W580" s="79"/>
      <c r="X580" s="79"/>
      <c r="Y580" s="79"/>
      <c r="Z580" s="79"/>
    </row>
    <row r="581" spans="1:26" ht="50.95" customHeight="1" x14ac:dyDescent="0.15">
      <c r="A581" s="79"/>
      <c r="B581" s="79"/>
      <c r="C581" s="94"/>
      <c r="D581" s="95"/>
      <c r="E581" s="87"/>
      <c r="F581" s="95"/>
      <c r="G581" s="79"/>
      <c r="H581" s="79"/>
      <c r="I581" s="79"/>
      <c r="J581" s="79"/>
      <c r="K581" s="79"/>
      <c r="L581" s="79"/>
      <c r="M581" s="79"/>
      <c r="N581" s="79"/>
      <c r="O581" s="79"/>
      <c r="P581" s="79"/>
      <c r="Q581" s="79"/>
      <c r="R581" s="79"/>
      <c r="S581" s="79"/>
      <c r="T581" s="79"/>
      <c r="U581" s="79"/>
      <c r="V581" s="79"/>
      <c r="W581" s="79"/>
      <c r="X581" s="79"/>
      <c r="Y581" s="79"/>
      <c r="Z581" s="79"/>
    </row>
    <row r="582" spans="1:26" ht="50.95" customHeight="1" x14ac:dyDescent="0.15">
      <c r="A582" s="79"/>
      <c r="B582" s="79"/>
      <c r="C582" s="94"/>
      <c r="D582" s="95"/>
      <c r="E582" s="87"/>
      <c r="F582" s="95"/>
      <c r="G582" s="79"/>
      <c r="H582" s="79"/>
      <c r="I582" s="79"/>
      <c r="J582" s="79"/>
      <c r="K582" s="79"/>
      <c r="L582" s="79"/>
      <c r="M582" s="79"/>
      <c r="N582" s="79"/>
      <c r="O582" s="79"/>
      <c r="P582" s="79"/>
      <c r="Q582" s="79"/>
      <c r="R582" s="79"/>
      <c r="S582" s="79"/>
      <c r="T582" s="79"/>
      <c r="U582" s="79"/>
      <c r="V582" s="79"/>
      <c r="W582" s="79"/>
      <c r="X582" s="79"/>
      <c r="Y582" s="79"/>
      <c r="Z582" s="79"/>
    </row>
    <row r="583" spans="1:26" ht="50.95" customHeight="1" x14ac:dyDescent="0.15">
      <c r="A583" s="79"/>
      <c r="B583" s="79"/>
      <c r="C583" s="94"/>
      <c r="D583" s="95"/>
      <c r="E583" s="87"/>
      <c r="F583" s="95"/>
      <c r="G583" s="79"/>
      <c r="H583" s="79"/>
      <c r="I583" s="79"/>
      <c r="J583" s="79"/>
      <c r="K583" s="79"/>
      <c r="L583" s="79"/>
      <c r="M583" s="79"/>
      <c r="N583" s="79"/>
      <c r="O583" s="79"/>
      <c r="P583" s="79"/>
      <c r="Q583" s="79"/>
      <c r="R583" s="79"/>
      <c r="S583" s="79"/>
      <c r="T583" s="79"/>
      <c r="U583" s="79"/>
      <c r="V583" s="79"/>
      <c r="W583" s="79"/>
      <c r="X583" s="79"/>
      <c r="Y583" s="79"/>
      <c r="Z583" s="79"/>
    </row>
    <row r="584" spans="1:26" ht="50.95" customHeight="1" x14ac:dyDescent="0.15">
      <c r="A584" s="79"/>
      <c r="B584" s="79"/>
      <c r="C584" s="94"/>
      <c r="D584" s="95"/>
      <c r="E584" s="87"/>
      <c r="F584" s="95"/>
      <c r="G584" s="79"/>
      <c r="H584" s="79"/>
      <c r="I584" s="79"/>
      <c r="J584" s="79"/>
      <c r="K584" s="79"/>
      <c r="L584" s="79"/>
      <c r="M584" s="79"/>
      <c r="N584" s="79"/>
      <c r="O584" s="79"/>
      <c r="P584" s="79"/>
      <c r="Q584" s="79"/>
      <c r="R584" s="79"/>
      <c r="S584" s="79"/>
      <c r="T584" s="79"/>
      <c r="U584" s="79"/>
      <c r="V584" s="79"/>
      <c r="W584" s="79"/>
      <c r="X584" s="79"/>
      <c r="Y584" s="79"/>
      <c r="Z584" s="79"/>
    </row>
    <row r="585" spans="1:26" ht="50.95" customHeight="1" x14ac:dyDescent="0.15">
      <c r="A585" s="79"/>
      <c r="B585" s="79"/>
      <c r="C585" s="94"/>
      <c r="D585" s="95"/>
      <c r="E585" s="87"/>
      <c r="F585" s="95"/>
      <c r="G585" s="79"/>
      <c r="H585" s="79"/>
      <c r="I585" s="79"/>
      <c r="J585" s="79"/>
      <c r="K585" s="79"/>
      <c r="L585" s="79"/>
      <c r="M585" s="79"/>
      <c r="N585" s="79"/>
      <c r="O585" s="79"/>
      <c r="P585" s="79"/>
      <c r="Q585" s="79"/>
      <c r="R585" s="79"/>
      <c r="S585" s="79"/>
      <c r="T585" s="79"/>
      <c r="U585" s="79"/>
      <c r="V585" s="79"/>
      <c r="W585" s="79"/>
      <c r="X585" s="79"/>
      <c r="Y585" s="79"/>
      <c r="Z585" s="79"/>
    </row>
    <row r="586" spans="1:26" ht="50.95" customHeight="1" x14ac:dyDescent="0.15">
      <c r="A586" s="79"/>
      <c r="B586" s="79"/>
      <c r="C586" s="94"/>
      <c r="D586" s="95"/>
      <c r="E586" s="87"/>
      <c r="F586" s="95"/>
      <c r="G586" s="79"/>
      <c r="H586" s="79"/>
      <c r="I586" s="79"/>
      <c r="J586" s="79"/>
      <c r="K586" s="79"/>
      <c r="L586" s="79"/>
      <c r="M586" s="79"/>
      <c r="N586" s="79"/>
      <c r="O586" s="79"/>
      <c r="P586" s="79"/>
      <c r="Q586" s="79"/>
      <c r="R586" s="79"/>
      <c r="S586" s="79"/>
      <c r="T586" s="79"/>
      <c r="U586" s="79"/>
      <c r="V586" s="79"/>
      <c r="W586" s="79"/>
      <c r="X586" s="79"/>
      <c r="Y586" s="79"/>
      <c r="Z586" s="79"/>
    </row>
    <row r="587" spans="1:26" ht="50.95" customHeight="1" x14ac:dyDescent="0.15">
      <c r="A587" s="79"/>
      <c r="B587" s="79"/>
      <c r="C587" s="94"/>
      <c r="D587" s="95"/>
      <c r="E587" s="87"/>
      <c r="F587" s="95"/>
      <c r="G587" s="79"/>
      <c r="H587" s="79"/>
      <c r="I587" s="79"/>
      <c r="J587" s="79"/>
      <c r="K587" s="79"/>
      <c r="L587" s="79"/>
      <c r="M587" s="79"/>
      <c r="N587" s="79"/>
      <c r="O587" s="79"/>
      <c r="P587" s="79"/>
      <c r="Q587" s="79"/>
      <c r="R587" s="79"/>
      <c r="S587" s="79"/>
      <c r="T587" s="79"/>
      <c r="U587" s="79"/>
      <c r="V587" s="79"/>
      <c r="W587" s="79"/>
      <c r="X587" s="79"/>
      <c r="Y587" s="79"/>
      <c r="Z587" s="79"/>
    </row>
    <row r="588" spans="1:26" ht="50.95" customHeight="1" x14ac:dyDescent="0.15">
      <c r="A588" s="79"/>
      <c r="B588" s="79"/>
      <c r="C588" s="94"/>
      <c r="D588" s="95"/>
      <c r="E588" s="87"/>
      <c r="F588" s="95"/>
      <c r="G588" s="79"/>
      <c r="H588" s="79"/>
      <c r="I588" s="79"/>
      <c r="J588" s="79"/>
      <c r="K588" s="79"/>
      <c r="L588" s="79"/>
      <c r="M588" s="79"/>
      <c r="N588" s="79"/>
      <c r="O588" s="79"/>
      <c r="P588" s="79"/>
      <c r="Q588" s="79"/>
      <c r="R588" s="79"/>
      <c r="S588" s="79"/>
      <c r="T588" s="79"/>
      <c r="U588" s="79"/>
      <c r="V588" s="79"/>
      <c r="W588" s="79"/>
      <c r="X588" s="79"/>
      <c r="Y588" s="79"/>
      <c r="Z588" s="79"/>
    </row>
    <row r="589" spans="1:26" ht="50.95" customHeight="1" x14ac:dyDescent="0.15">
      <c r="A589" s="79"/>
      <c r="B589" s="79"/>
      <c r="C589" s="94"/>
      <c r="D589" s="95"/>
      <c r="E589" s="87"/>
      <c r="F589" s="95"/>
      <c r="G589" s="79"/>
      <c r="H589" s="79"/>
      <c r="I589" s="79"/>
      <c r="J589" s="79"/>
      <c r="K589" s="79"/>
      <c r="L589" s="79"/>
      <c r="M589" s="79"/>
      <c r="N589" s="79"/>
      <c r="O589" s="79"/>
      <c r="P589" s="79"/>
      <c r="Q589" s="79"/>
      <c r="R589" s="79"/>
      <c r="S589" s="79"/>
      <c r="T589" s="79"/>
      <c r="U589" s="79"/>
      <c r="V589" s="79"/>
      <c r="W589" s="79"/>
      <c r="X589" s="79"/>
      <c r="Y589" s="79"/>
      <c r="Z589" s="79"/>
    </row>
    <row r="590" spans="1:26" ht="50.95" customHeight="1" x14ac:dyDescent="0.15">
      <c r="A590" s="79"/>
      <c r="B590" s="79"/>
      <c r="C590" s="94"/>
      <c r="D590" s="95"/>
      <c r="E590" s="87"/>
      <c r="F590" s="95"/>
      <c r="G590" s="79"/>
      <c r="H590" s="79"/>
      <c r="I590" s="79"/>
      <c r="J590" s="79"/>
      <c r="K590" s="79"/>
      <c r="L590" s="79"/>
      <c r="M590" s="79"/>
      <c r="N590" s="79"/>
      <c r="O590" s="79"/>
      <c r="P590" s="79"/>
      <c r="Q590" s="79"/>
      <c r="R590" s="79"/>
      <c r="S590" s="79"/>
      <c r="T590" s="79"/>
      <c r="U590" s="79"/>
      <c r="V590" s="79"/>
      <c r="W590" s="79"/>
      <c r="X590" s="79"/>
      <c r="Y590" s="79"/>
      <c r="Z590" s="79"/>
    </row>
    <row r="591" spans="1:26" ht="50.95" customHeight="1" x14ac:dyDescent="0.15">
      <c r="A591" s="79"/>
      <c r="B591" s="79"/>
      <c r="C591" s="94"/>
      <c r="D591" s="95"/>
      <c r="E591" s="87"/>
      <c r="F591" s="95"/>
      <c r="G591" s="79"/>
      <c r="H591" s="79"/>
      <c r="I591" s="79"/>
      <c r="J591" s="79"/>
      <c r="K591" s="79"/>
      <c r="L591" s="79"/>
      <c r="M591" s="79"/>
      <c r="N591" s="79"/>
      <c r="O591" s="79"/>
      <c r="P591" s="79"/>
      <c r="Q591" s="79"/>
      <c r="R591" s="79"/>
      <c r="S591" s="79"/>
      <c r="T591" s="79"/>
      <c r="U591" s="79"/>
      <c r="V591" s="79"/>
      <c r="W591" s="79"/>
      <c r="X591" s="79"/>
      <c r="Y591" s="79"/>
      <c r="Z591" s="79"/>
    </row>
    <row r="592" spans="1:26" ht="50.95" customHeight="1" x14ac:dyDescent="0.15">
      <c r="A592" s="79"/>
      <c r="B592" s="79"/>
      <c r="C592" s="94"/>
      <c r="D592" s="95"/>
      <c r="E592" s="87"/>
      <c r="F592" s="95"/>
      <c r="G592" s="79"/>
      <c r="H592" s="79"/>
      <c r="I592" s="79"/>
      <c r="J592" s="79"/>
      <c r="K592" s="79"/>
      <c r="L592" s="79"/>
      <c r="M592" s="79"/>
      <c r="N592" s="79"/>
      <c r="O592" s="79"/>
      <c r="P592" s="79"/>
      <c r="Q592" s="79"/>
      <c r="R592" s="79"/>
      <c r="S592" s="79"/>
      <c r="T592" s="79"/>
      <c r="U592" s="79"/>
      <c r="V592" s="79"/>
      <c r="W592" s="79"/>
      <c r="X592" s="79"/>
      <c r="Y592" s="79"/>
      <c r="Z592" s="79"/>
    </row>
    <row r="593" spans="1:26" ht="50.95" customHeight="1" x14ac:dyDescent="0.15">
      <c r="A593" s="79"/>
      <c r="B593" s="79"/>
      <c r="C593" s="94"/>
      <c r="D593" s="95"/>
      <c r="E593" s="87"/>
      <c r="F593" s="95"/>
      <c r="G593" s="79"/>
      <c r="H593" s="79"/>
      <c r="I593" s="79"/>
      <c r="J593" s="79"/>
      <c r="K593" s="79"/>
      <c r="L593" s="79"/>
      <c r="M593" s="79"/>
      <c r="N593" s="79"/>
      <c r="O593" s="79"/>
      <c r="P593" s="79"/>
      <c r="Q593" s="79"/>
      <c r="R593" s="79"/>
      <c r="S593" s="79"/>
      <c r="T593" s="79"/>
      <c r="U593" s="79"/>
      <c r="V593" s="79"/>
      <c r="W593" s="79"/>
      <c r="X593" s="79"/>
      <c r="Y593" s="79"/>
      <c r="Z593" s="79"/>
    </row>
    <row r="594" spans="1:26" ht="50.95" customHeight="1" x14ac:dyDescent="0.15">
      <c r="A594" s="79"/>
      <c r="B594" s="79"/>
      <c r="C594" s="94"/>
      <c r="D594" s="95"/>
      <c r="E594" s="87"/>
      <c r="F594" s="95"/>
      <c r="G594" s="79"/>
      <c r="H594" s="79"/>
      <c r="I594" s="79"/>
      <c r="J594" s="79"/>
      <c r="K594" s="79"/>
      <c r="L594" s="79"/>
      <c r="M594" s="79"/>
      <c r="N594" s="79"/>
      <c r="O594" s="79"/>
      <c r="P594" s="79"/>
      <c r="Q594" s="79"/>
      <c r="R594" s="79"/>
      <c r="S594" s="79"/>
      <c r="T594" s="79"/>
      <c r="U594" s="79"/>
      <c r="V594" s="79"/>
      <c r="W594" s="79"/>
      <c r="X594" s="79"/>
      <c r="Y594" s="79"/>
      <c r="Z594" s="79"/>
    </row>
    <row r="595" spans="1:26" ht="50.95" customHeight="1" x14ac:dyDescent="0.15">
      <c r="A595" s="79"/>
      <c r="B595" s="79"/>
      <c r="C595" s="94"/>
      <c r="D595" s="95"/>
      <c r="E595" s="87"/>
      <c r="F595" s="95"/>
      <c r="G595" s="79"/>
      <c r="H595" s="79"/>
      <c r="I595" s="79"/>
      <c r="J595" s="79"/>
      <c r="K595" s="79"/>
      <c r="L595" s="79"/>
      <c r="M595" s="79"/>
      <c r="N595" s="79"/>
      <c r="O595" s="79"/>
      <c r="P595" s="79"/>
      <c r="Q595" s="79"/>
      <c r="R595" s="79"/>
      <c r="S595" s="79"/>
      <c r="T595" s="79"/>
      <c r="U595" s="79"/>
      <c r="V595" s="79"/>
      <c r="W595" s="79"/>
      <c r="X595" s="79"/>
      <c r="Y595" s="79"/>
      <c r="Z595" s="79"/>
    </row>
    <row r="596" spans="1:26" ht="50.95" customHeight="1" x14ac:dyDescent="0.15">
      <c r="A596" s="79"/>
      <c r="B596" s="79"/>
      <c r="C596" s="94"/>
      <c r="D596" s="95"/>
      <c r="E596" s="87"/>
      <c r="F596" s="95"/>
      <c r="G596" s="79"/>
      <c r="H596" s="79"/>
      <c r="I596" s="79"/>
      <c r="J596" s="79"/>
      <c r="K596" s="79"/>
      <c r="L596" s="79"/>
      <c r="M596" s="79"/>
      <c r="N596" s="79"/>
      <c r="O596" s="79"/>
      <c r="P596" s="79"/>
      <c r="Q596" s="79"/>
      <c r="R596" s="79"/>
      <c r="S596" s="79"/>
      <c r="T596" s="79"/>
      <c r="U596" s="79"/>
      <c r="V596" s="79"/>
      <c r="W596" s="79"/>
      <c r="X596" s="79"/>
      <c r="Y596" s="79"/>
      <c r="Z596" s="79"/>
    </row>
    <row r="597" spans="1:26" ht="50.95" customHeight="1" x14ac:dyDescent="0.15">
      <c r="A597" s="79"/>
      <c r="B597" s="79"/>
      <c r="C597" s="94"/>
      <c r="D597" s="95"/>
      <c r="E597" s="87"/>
      <c r="F597" s="95"/>
      <c r="G597" s="79"/>
      <c r="H597" s="79"/>
      <c r="I597" s="79"/>
      <c r="J597" s="79"/>
      <c r="K597" s="79"/>
      <c r="L597" s="79"/>
      <c r="M597" s="79"/>
      <c r="N597" s="79"/>
      <c r="O597" s="79"/>
      <c r="P597" s="79"/>
      <c r="Q597" s="79"/>
      <c r="R597" s="79"/>
      <c r="S597" s="79"/>
      <c r="T597" s="79"/>
      <c r="U597" s="79"/>
      <c r="V597" s="79"/>
      <c r="W597" s="79"/>
      <c r="X597" s="79"/>
      <c r="Y597" s="79"/>
      <c r="Z597" s="79"/>
    </row>
    <row r="598" spans="1:26" ht="50.95" customHeight="1" x14ac:dyDescent="0.15">
      <c r="A598" s="79"/>
      <c r="B598" s="79"/>
      <c r="C598" s="94"/>
      <c r="D598" s="95"/>
      <c r="E598" s="87"/>
      <c r="F598" s="95"/>
      <c r="G598" s="79"/>
      <c r="H598" s="79"/>
      <c r="I598" s="79"/>
      <c r="J598" s="79"/>
      <c r="K598" s="79"/>
      <c r="L598" s="79"/>
      <c r="M598" s="79"/>
      <c r="N598" s="79"/>
      <c r="O598" s="79"/>
      <c r="P598" s="79"/>
      <c r="Q598" s="79"/>
      <c r="R598" s="79"/>
      <c r="S598" s="79"/>
      <c r="T598" s="79"/>
      <c r="U598" s="79"/>
      <c r="V598" s="79"/>
      <c r="W598" s="79"/>
      <c r="X598" s="79"/>
      <c r="Y598" s="79"/>
      <c r="Z598" s="79"/>
    </row>
    <row r="599" spans="1:26" ht="50.95" customHeight="1" x14ac:dyDescent="0.15">
      <c r="A599" s="79"/>
      <c r="B599" s="79"/>
      <c r="C599" s="94"/>
      <c r="D599" s="95"/>
      <c r="E599" s="87"/>
      <c r="F599" s="95"/>
      <c r="G599" s="79"/>
      <c r="H599" s="79"/>
      <c r="I599" s="79"/>
      <c r="J599" s="79"/>
      <c r="K599" s="79"/>
      <c r="L599" s="79"/>
      <c r="M599" s="79"/>
      <c r="N599" s="79"/>
      <c r="O599" s="79"/>
      <c r="P599" s="79"/>
      <c r="Q599" s="79"/>
      <c r="R599" s="79"/>
      <c r="S599" s="79"/>
      <c r="T599" s="79"/>
      <c r="U599" s="79"/>
      <c r="V599" s="79"/>
      <c r="W599" s="79"/>
      <c r="X599" s="79"/>
      <c r="Y599" s="79"/>
      <c r="Z599" s="79"/>
    </row>
    <row r="600" spans="1:26" ht="50.95" customHeight="1" x14ac:dyDescent="0.15">
      <c r="A600" s="79"/>
      <c r="B600" s="79"/>
      <c r="C600" s="94"/>
      <c r="D600" s="95"/>
      <c r="E600" s="87"/>
      <c r="F600" s="95"/>
      <c r="G600" s="79"/>
      <c r="H600" s="79"/>
      <c r="I600" s="79"/>
      <c r="J600" s="79"/>
      <c r="K600" s="79"/>
      <c r="L600" s="79"/>
      <c r="M600" s="79"/>
      <c r="N600" s="79"/>
      <c r="O600" s="79"/>
      <c r="P600" s="79"/>
      <c r="Q600" s="79"/>
      <c r="R600" s="79"/>
      <c r="S600" s="79"/>
      <c r="T600" s="79"/>
      <c r="U600" s="79"/>
      <c r="V600" s="79"/>
      <c r="W600" s="79"/>
      <c r="X600" s="79"/>
      <c r="Y600" s="79"/>
      <c r="Z600" s="79"/>
    </row>
    <row r="601" spans="1:26" ht="50.95" customHeight="1" x14ac:dyDescent="0.15">
      <c r="A601" s="79"/>
      <c r="B601" s="79"/>
      <c r="C601" s="94"/>
      <c r="D601" s="95"/>
      <c r="E601" s="87"/>
      <c r="F601" s="95"/>
      <c r="G601" s="79"/>
      <c r="H601" s="79"/>
      <c r="I601" s="79"/>
      <c r="J601" s="79"/>
      <c r="K601" s="79"/>
      <c r="L601" s="79"/>
      <c r="M601" s="79"/>
      <c r="N601" s="79"/>
      <c r="O601" s="79"/>
      <c r="P601" s="79"/>
      <c r="Q601" s="79"/>
      <c r="R601" s="79"/>
      <c r="S601" s="79"/>
      <c r="T601" s="79"/>
      <c r="U601" s="79"/>
      <c r="V601" s="79"/>
      <c r="W601" s="79"/>
      <c r="X601" s="79"/>
      <c r="Y601" s="79"/>
      <c r="Z601" s="79"/>
    </row>
    <row r="602" spans="1:26" ht="50.95" customHeight="1" x14ac:dyDescent="0.15">
      <c r="A602" s="79"/>
      <c r="B602" s="79"/>
      <c r="C602" s="94"/>
      <c r="D602" s="95"/>
      <c r="E602" s="87"/>
      <c r="F602" s="95"/>
      <c r="G602" s="79"/>
      <c r="H602" s="79"/>
      <c r="I602" s="79"/>
      <c r="J602" s="79"/>
      <c r="K602" s="79"/>
      <c r="L602" s="79"/>
      <c r="M602" s="79"/>
      <c r="N602" s="79"/>
      <c r="O602" s="79"/>
      <c r="P602" s="79"/>
      <c r="Q602" s="79"/>
      <c r="R602" s="79"/>
      <c r="S602" s="79"/>
      <c r="T602" s="79"/>
      <c r="U602" s="79"/>
      <c r="V602" s="79"/>
      <c r="W602" s="79"/>
      <c r="X602" s="79"/>
      <c r="Y602" s="79"/>
      <c r="Z602" s="79"/>
    </row>
    <row r="603" spans="1:26" ht="50.95" customHeight="1" x14ac:dyDescent="0.15">
      <c r="A603" s="79"/>
      <c r="B603" s="79"/>
      <c r="C603" s="94"/>
      <c r="D603" s="95"/>
      <c r="E603" s="87"/>
      <c r="F603" s="95"/>
      <c r="G603" s="79"/>
      <c r="H603" s="79"/>
      <c r="I603" s="79"/>
      <c r="J603" s="79"/>
      <c r="K603" s="79"/>
      <c r="L603" s="79"/>
      <c r="M603" s="79"/>
      <c r="N603" s="79"/>
      <c r="O603" s="79"/>
      <c r="P603" s="79"/>
      <c r="Q603" s="79"/>
      <c r="R603" s="79"/>
      <c r="S603" s="79"/>
      <c r="T603" s="79"/>
      <c r="U603" s="79"/>
      <c r="V603" s="79"/>
      <c r="W603" s="79"/>
      <c r="X603" s="79"/>
      <c r="Y603" s="79"/>
      <c r="Z603" s="79"/>
    </row>
    <row r="604" spans="1:26" ht="50.95" customHeight="1" x14ac:dyDescent="0.15">
      <c r="A604" s="79"/>
      <c r="B604" s="79"/>
      <c r="C604" s="94"/>
      <c r="D604" s="95"/>
      <c r="E604" s="87"/>
      <c r="F604" s="95"/>
      <c r="G604" s="79"/>
      <c r="H604" s="79"/>
      <c r="I604" s="79"/>
      <c r="J604" s="79"/>
      <c r="K604" s="79"/>
      <c r="L604" s="79"/>
      <c r="M604" s="79"/>
      <c r="N604" s="79"/>
      <c r="O604" s="79"/>
      <c r="P604" s="79"/>
      <c r="Q604" s="79"/>
      <c r="R604" s="79"/>
      <c r="S604" s="79"/>
      <c r="T604" s="79"/>
      <c r="U604" s="79"/>
      <c r="V604" s="79"/>
      <c r="W604" s="79"/>
      <c r="X604" s="79"/>
      <c r="Y604" s="79"/>
      <c r="Z604" s="79"/>
    </row>
    <row r="605" spans="1:26" ht="50.95" customHeight="1" x14ac:dyDescent="0.15">
      <c r="A605" s="79"/>
      <c r="B605" s="79"/>
      <c r="C605" s="94"/>
      <c r="D605" s="95"/>
      <c r="E605" s="87"/>
      <c r="F605" s="95"/>
      <c r="G605" s="79"/>
      <c r="H605" s="79"/>
      <c r="I605" s="79"/>
      <c r="J605" s="79"/>
      <c r="K605" s="79"/>
      <c r="L605" s="79"/>
      <c r="M605" s="79"/>
      <c r="N605" s="79"/>
      <c r="O605" s="79"/>
      <c r="P605" s="79"/>
      <c r="Q605" s="79"/>
      <c r="R605" s="79"/>
      <c r="S605" s="79"/>
      <c r="T605" s="79"/>
      <c r="U605" s="79"/>
      <c r="V605" s="79"/>
      <c r="W605" s="79"/>
      <c r="X605" s="79"/>
      <c r="Y605" s="79"/>
      <c r="Z605" s="79"/>
    </row>
    <row r="606" spans="1:26" ht="50.95" customHeight="1" x14ac:dyDescent="0.15">
      <c r="A606" s="79"/>
      <c r="B606" s="79"/>
      <c r="C606" s="94"/>
      <c r="D606" s="95"/>
      <c r="E606" s="87"/>
      <c r="F606" s="95"/>
      <c r="G606" s="79"/>
      <c r="H606" s="79"/>
      <c r="I606" s="79"/>
      <c r="J606" s="79"/>
      <c r="K606" s="79"/>
      <c r="L606" s="79"/>
      <c r="M606" s="79"/>
      <c r="N606" s="79"/>
      <c r="O606" s="79"/>
      <c r="P606" s="79"/>
      <c r="Q606" s="79"/>
      <c r="R606" s="79"/>
      <c r="S606" s="79"/>
      <c r="T606" s="79"/>
      <c r="U606" s="79"/>
      <c r="V606" s="79"/>
      <c r="W606" s="79"/>
      <c r="X606" s="79"/>
      <c r="Y606" s="79"/>
      <c r="Z606" s="79"/>
    </row>
    <row r="607" spans="1:26" ht="50.95" customHeight="1" x14ac:dyDescent="0.15">
      <c r="A607" s="79"/>
      <c r="B607" s="79"/>
      <c r="C607" s="94"/>
      <c r="D607" s="95"/>
      <c r="E607" s="87"/>
      <c r="F607" s="95"/>
      <c r="G607" s="79"/>
      <c r="H607" s="79"/>
      <c r="I607" s="79"/>
      <c r="J607" s="79"/>
      <c r="K607" s="79"/>
      <c r="L607" s="79"/>
      <c r="M607" s="79"/>
      <c r="N607" s="79"/>
      <c r="O607" s="79"/>
      <c r="P607" s="79"/>
      <c r="Q607" s="79"/>
      <c r="R607" s="79"/>
      <c r="S607" s="79"/>
      <c r="T607" s="79"/>
      <c r="U607" s="79"/>
      <c r="V607" s="79"/>
      <c r="W607" s="79"/>
      <c r="X607" s="79"/>
      <c r="Y607" s="79"/>
      <c r="Z607" s="79"/>
    </row>
    <row r="608" spans="1:26" ht="50.95" customHeight="1" x14ac:dyDescent="0.15">
      <c r="A608" s="79"/>
      <c r="B608" s="79"/>
      <c r="C608" s="94"/>
      <c r="D608" s="95"/>
      <c r="E608" s="87"/>
      <c r="F608" s="95"/>
      <c r="G608" s="79"/>
      <c r="H608" s="79"/>
      <c r="I608" s="79"/>
      <c r="J608" s="79"/>
      <c r="K608" s="79"/>
      <c r="L608" s="79"/>
      <c r="M608" s="79"/>
      <c r="N608" s="79"/>
      <c r="O608" s="79"/>
      <c r="P608" s="79"/>
      <c r="Q608" s="79"/>
      <c r="R608" s="79"/>
      <c r="S608" s="79"/>
      <c r="T608" s="79"/>
      <c r="U608" s="79"/>
      <c r="V608" s="79"/>
      <c r="W608" s="79"/>
      <c r="X608" s="79"/>
      <c r="Y608" s="79"/>
      <c r="Z608" s="79"/>
    </row>
    <row r="609" spans="1:26" ht="50.95" customHeight="1" x14ac:dyDescent="0.15">
      <c r="A609" s="79"/>
      <c r="B609" s="79"/>
      <c r="C609" s="94"/>
      <c r="D609" s="95"/>
      <c r="E609" s="87"/>
      <c r="F609" s="95"/>
      <c r="G609" s="79"/>
      <c r="H609" s="79"/>
      <c r="I609" s="79"/>
      <c r="J609" s="79"/>
      <c r="K609" s="79"/>
      <c r="L609" s="79"/>
      <c r="M609" s="79"/>
      <c r="N609" s="79"/>
      <c r="O609" s="79"/>
      <c r="P609" s="79"/>
      <c r="Q609" s="79"/>
      <c r="R609" s="79"/>
      <c r="S609" s="79"/>
      <c r="T609" s="79"/>
      <c r="U609" s="79"/>
      <c r="V609" s="79"/>
      <c r="W609" s="79"/>
      <c r="X609" s="79"/>
      <c r="Y609" s="79"/>
      <c r="Z609" s="79"/>
    </row>
    <row r="610" spans="1:26" ht="50.95" customHeight="1" x14ac:dyDescent="0.15">
      <c r="A610" s="79"/>
      <c r="B610" s="79"/>
      <c r="C610" s="94"/>
      <c r="D610" s="95"/>
      <c r="E610" s="87"/>
      <c r="F610" s="95"/>
      <c r="G610" s="79"/>
      <c r="H610" s="79"/>
      <c r="I610" s="79"/>
      <c r="J610" s="79"/>
      <c r="K610" s="79"/>
      <c r="L610" s="79"/>
      <c r="M610" s="79"/>
      <c r="N610" s="79"/>
      <c r="O610" s="79"/>
      <c r="P610" s="79"/>
      <c r="Q610" s="79"/>
      <c r="R610" s="79"/>
      <c r="S610" s="79"/>
      <c r="T610" s="79"/>
      <c r="U610" s="79"/>
      <c r="V610" s="79"/>
      <c r="W610" s="79"/>
      <c r="X610" s="79"/>
      <c r="Y610" s="79"/>
      <c r="Z610" s="79"/>
    </row>
    <row r="611" spans="1:26" ht="50.95" customHeight="1" x14ac:dyDescent="0.15">
      <c r="A611" s="79"/>
      <c r="B611" s="79"/>
      <c r="C611" s="94"/>
      <c r="D611" s="95"/>
      <c r="E611" s="87"/>
      <c r="F611" s="95"/>
      <c r="G611" s="79"/>
      <c r="H611" s="79"/>
      <c r="I611" s="79"/>
      <c r="J611" s="79"/>
      <c r="K611" s="79"/>
      <c r="L611" s="79"/>
      <c r="M611" s="79"/>
      <c r="N611" s="79"/>
      <c r="O611" s="79"/>
      <c r="P611" s="79"/>
      <c r="Q611" s="79"/>
      <c r="R611" s="79"/>
      <c r="S611" s="79"/>
      <c r="T611" s="79"/>
      <c r="U611" s="79"/>
      <c r="V611" s="79"/>
      <c r="W611" s="79"/>
      <c r="X611" s="79"/>
      <c r="Y611" s="79"/>
      <c r="Z611" s="79"/>
    </row>
    <row r="612" spans="1:26" ht="50.95" customHeight="1" x14ac:dyDescent="0.15">
      <c r="A612" s="79"/>
      <c r="B612" s="79"/>
      <c r="C612" s="94"/>
      <c r="D612" s="95"/>
      <c r="E612" s="87"/>
      <c r="F612" s="95"/>
      <c r="G612" s="79"/>
      <c r="H612" s="79"/>
      <c r="I612" s="79"/>
      <c r="J612" s="79"/>
      <c r="K612" s="79"/>
      <c r="L612" s="79"/>
      <c r="M612" s="79"/>
      <c r="N612" s="79"/>
      <c r="O612" s="79"/>
      <c r="P612" s="79"/>
      <c r="Q612" s="79"/>
      <c r="R612" s="79"/>
      <c r="S612" s="79"/>
      <c r="T612" s="79"/>
      <c r="U612" s="79"/>
      <c r="V612" s="79"/>
      <c r="W612" s="79"/>
      <c r="X612" s="79"/>
      <c r="Y612" s="79"/>
      <c r="Z612" s="79"/>
    </row>
    <row r="613" spans="1:26" ht="50.95" customHeight="1" x14ac:dyDescent="0.15">
      <c r="A613" s="79"/>
      <c r="B613" s="79"/>
      <c r="C613" s="94"/>
      <c r="D613" s="95"/>
      <c r="E613" s="87"/>
      <c r="F613" s="95"/>
      <c r="G613" s="79"/>
      <c r="H613" s="79"/>
      <c r="I613" s="79"/>
      <c r="J613" s="79"/>
      <c r="K613" s="79"/>
      <c r="L613" s="79"/>
      <c r="M613" s="79"/>
      <c r="N613" s="79"/>
      <c r="O613" s="79"/>
      <c r="P613" s="79"/>
      <c r="Q613" s="79"/>
      <c r="R613" s="79"/>
      <c r="S613" s="79"/>
      <c r="T613" s="79"/>
      <c r="U613" s="79"/>
      <c r="V613" s="79"/>
      <c r="W613" s="79"/>
      <c r="X613" s="79"/>
      <c r="Y613" s="79"/>
      <c r="Z613" s="79"/>
    </row>
    <row r="614" spans="1:26" ht="50.95" customHeight="1" x14ac:dyDescent="0.15">
      <c r="A614" s="79"/>
      <c r="B614" s="79"/>
      <c r="C614" s="94"/>
      <c r="D614" s="95"/>
      <c r="E614" s="87"/>
      <c r="F614" s="95"/>
      <c r="G614" s="79"/>
      <c r="H614" s="79"/>
      <c r="I614" s="79"/>
      <c r="J614" s="79"/>
      <c r="K614" s="79"/>
      <c r="L614" s="79"/>
      <c r="M614" s="79"/>
      <c r="N614" s="79"/>
      <c r="O614" s="79"/>
      <c r="P614" s="79"/>
      <c r="Q614" s="79"/>
      <c r="R614" s="79"/>
      <c r="S614" s="79"/>
      <c r="T614" s="79"/>
      <c r="U614" s="79"/>
      <c r="V614" s="79"/>
      <c r="W614" s="79"/>
      <c r="X614" s="79"/>
      <c r="Y614" s="79"/>
      <c r="Z614" s="79"/>
    </row>
    <row r="615" spans="1:26" ht="50.95" customHeight="1" x14ac:dyDescent="0.15">
      <c r="A615" s="79"/>
      <c r="B615" s="79"/>
      <c r="C615" s="94"/>
      <c r="D615" s="95"/>
      <c r="E615" s="87"/>
      <c r="F615" s="95"/>
      <c r="G615" s="79"/>
      <c r="H615" s="79"/>
      <c r="I615" s="79"/>
      <c r="J615" s="79"/>
      <c r="K615" s="79"/>
      <c r="L615" s="79"/>
      <c r="M615" s="79"/>
      <c r="N615" s="79"/>
      <c r="O615" s="79"/>
      <c r="P615" s="79"/>
      <c r="Q615" s="79"/>
      <c r="R615" s="79"/>
      <c r="S615" s="79"/>
      <c r="T615" s="79"/>
      <c r="U615" s="79"/>
      <c r="V615" s="79"/>
      <c r="W615" s="79"/>
      <c r="X615" s="79"/>
      <c r="Y615" s="79"/>
      <c r="Z615" s="79"/>
    </row>
    <row r="616" spans="1:26" ht="50.95" customHeight="1" x14ac:dyDescent="0.15">
      <c r="A616" s="79"/>
      <c r="B616" s="79"/>
      <c r="C616" s="94"/>
      <c r="D616" s="95"/>
      <c r="E616" s="87"/>
      <c r="F616" s="95"/>
      <c r="G616" s="79"/>
      <c r="H616" s="79"/>
      <c r="I616" s="79"/>
      <c r="J616" s="79"/>
      <c r="K616" s="79"/>
      <c r="L616" s="79"/>
      <c r="M616" s="79"/>
      <c r="N616" s="79"/>
      <c r="O616" s="79"/>
      <c r="P616" s="79"/>
      <c r="Q616" s="79"/>
      <c r="R616" s="79"/>
      <c r="S616" s="79"/>
      <c r="T616" s="79"/>
      <c r="U616" s="79"/>
      <c r="V616" s="79"/>
      <c r="W616" s="79"/>
      <c r="X616" s="79"/>
      <c r="Y616" s="79"/>
      <c r="Z616" s="79"/>
    </row>
    <row r="617" spans="1:26" ht="50.95" customHeight="1" x14ac:dyDescent="0.15">
      <c r="A617" s="79"/>
      <c r="B617" s="79"/>
      <c r="C617" s="94"/>
      <c r="D617" s="95"/>
      <c r="E617" s="87"/>
      <c r="F617" s="95"/>
      <c r="G617" s="79"/>
      <c r="H617" s="79"/>
      <c r="I617" s="79"/>
      <c r="J617" s="79"/>
      <c r="K617" s="79"/>
      <c r="L617" s="79"/>
      <c r="M617" s="79"/>
      <c r="N617" s="79"/>
      <c r="O617" s="79"/>
      <c r="P617" s="79"/>
      <c r="Q617" s="79"/>
      <c r="R617" s="79"/>
      <c r="S617" s="79"/>
      <c r="T617" s="79"/>
      <c r="U617" s="79"/>
      <c r="V617" s="79"/>
      <c r="W617" s="79"/>
      <c r="X617" s="79"/>
      <c r="Y617" s="79"/>
      <c r="Z617" s="79"/>
    </row>
    <row r="618" spans="1:26" ht="50.95" customHeight="1" x14ac:dyDescent="0.15">
      <c r="A618" s="79"/>
      <c r="B618" s="79"/>
      <c r="C618" s="94"/>
      <c r="D618" s="95"/>
      <c r="E618" s="87"/>
      <c r="F618" s="95"/>
      <c r="G618" s="79"/>
      <c r="H618" s="79"/>
      <c r="I618" s="79"/>
      <c r="J618" s="79"/>
      <c r="K618" s="79"/>
      <c r="L618" s="79"/>
      <c r="M618" s="79"/>
      <c r="N618" s="79"/>
      <c r="O618" s="79"/>
      <c r="P618" s="79"/>
      <c r="Q618" s="79"/>
      <c r="R618" s="79"/>
      <c r="S618" s="79"/>
      <c r="T618" s="79"/>
      <c r="U618" s="79"/>
      <c r="V618" s="79"/>
      <c r="W618" s="79"/>
      <c r="X618" s="79"/>
      <c r="Y618" s="79"/>
      <c r="Z618" s="79"/>
    </row>
    <row r="619" spans="1:26" ht="50.95" customHeight="1" x14ac:dyDescent="0.15">
      <c r="A619" s="79"/>
      <c r="B619" s="79"/>
      <c r="C619" s="94"/>
      <c r="D619" s="95"/>
      <c r="E619" s="87"/>
      <c r="F619" s="95"/>
      <c r="G619" s="79"/>
      <c r="H619" s="79"/>
      <c r="I619" s="79"/>
      <c r="J619" s="79"/>
      <c r="K619" s="79"/>
      <c r="L619" s="79"/>
      <c r="M619" s="79"/>
      <c r="N619" s="79"/>
      <c r="O619" s="79"/>
      <c r="P619" s="79"/>
      <c r="Q619" s="79"/>
      <c r="R619" s="79"/>
      <c r="S619" s="79"/>
      <c r="T619" s="79"/>
      <c r="U619" s="79"/>
      <c r="V619" s="79"/>
      <c r="W619" s="79"/>
      <c r="X619" s="79"/>
      <c r="Y619" s="79"/>
      <c r="Z619" s="79"/>
    </row>
    <row r="620" spans="1:26" ht="50.95" customHeight="1" x14ac:dyDescent="0.15">
      <c r="A620" s="79"/>
      <c r="B620" s="79"/>
      <c r="C620" s="94"/>
      <c r="D620" s="95"/>
      <c r="E620" s="87"/>
      <c r="F620" s="95"/>
      <c r="G620" s="79"/>
      <c r="H620" s="79"/>
      <c r="I620" s="79"/>
      <c r="J620" s="79"/>
      <c r="K620" s="79"/>
      <c r="L620" s="79"/>
      <c r="M620" s="79"/>
      <c r="N620" s="79"/>
      <c r="O620" s="79"/>
      <c r="P620" s="79"/>
      <c r="Q620" s="79"/>
      <c r="R620" s="79"/>
      <c r="S620" s="79"/>
      <c r="T620" s="79"/>
      <c r="U620" s="79"/>
      <c r="V620" s="79"/>
      <c r="W620" s="79"/>
      <c r="X620" s="79"/>
      <c r="Y620" s="79"/>
      <c r="Z620" s="79"/>
    </row>
    <row r="621" spans="1:26" ht="50.95" customHeight="1" x14ac:dyDescent="0.15">
      <c r="A621" s="79"/>
      <c r="B621" s="79"/>
      <c r="C621" s="94"/>
      <c r="D621" s="95"/>
      <c r="E621" s="87"/>
      <c r="F621" s="95"/>
      <c r="G621" s="79"/>
      <c r="H621" s="79"/>
      <c r="I621" s="79"/>
      <c r="J621" s="79"/>
      <c r="K621" s="79"/>
      <c r="L621" s="79"/>
      <c r="M621" s="79"/>
      <c r="N621" s="79"/>
      <c r="O621" s="79"/>
      <c r="P621" s="79"/>
      <c r="Q621" s="79"/>
      <c r="R621" s="79"/>
      <c r="S621" s="79"/>
      <c r="T621" s="79"/>
      <c r="U621" s="79"/>
      <c r="V621" s="79"/>
      <c r="W621" s="79"/>
      <c r="X621" s="79"/>
      <c r="Y621" s="79"/>
      <c r="Z621" s="79"/>
    </row>
    <row r="622" spans="1:26" ht="50.95" customHeight="1" x14ac:dyDescent="0.15">
      <c r="A622" s="79"/>
      <c r="B622" s="79"/>
      <c r="C622" s="94"/>
      <c r="D622" s="95"/>
      <c r="E622" s="87"/>
      <c r="F622" s="95"/>
      <c r="G622" s="79"/>
      <c r="H622" s="79"/>
      <c r="I622" s="79"/>
      <c r="J622" s="79"/>
      <c r="K622" s="79"/>
      <c r="L622" s="79"/>
      <c r="M622" s="79"/>
      <c r="N622" s="79"/>
      <c r="O622" s="79"/>
      <c r="P622" s="79"/>
      <c r="Q622" s="79"/>
      <c r="R622" s="79"/>
      <c r="S622" s="79"/>
      <c r="T622" s="79"/>
      <c r="U622" s="79"/>
      <c r="V622" s="79"/>
      <c r="W622" s="79"/>
      <c r="X622" s="79"/>
      <c r="Y622" s="79"/>
      <c r="Z622" s="79"/>
    </row>
    <row r="623" spans="1:26" ht="50.95" customHeight="1" x14ac:dyDescent="0.15">
      <c r="A623" s="79"/>
      <c r="B623" s="79"/>
      <c r="C623" s="94"/>
      <c r="D623" s="95"/>
      <c r="E623" s="87"/>
      <c r="F623" s="95"/>
      <c r="G623" s="79"/>
      <c r="H623" s="79"/>
      <c r="I623" s="79"/>
      <c r="J623" s="79"/>
      <c r="K623" s="79"/>
      <c r="L623" s="79"/>
      <c r="M623" s="79"/>
      <c r="N623" s="79"/>
      <c r="O623" s="79"/>
      <c r="P623" s="79"/>
      <c r="Q623" s="79"/>
      <c r="R623" s="79"/>
      <c r="S623" s="79"/>
      <c r="T623" s="79"/>
      <c r="U623" s="79"/>
      <c r="V623" s="79"/>
      <c r="W623" s="79"/>
      <c r="X623" s="79"/>
      <c r="Y623" s="79"/>
      <c r="Z623" s="79"/>
    </row>
    <row r="624" spans="1:26" ht="50.95" customHeight="1" x14ac:dyDescent="0.15">
      <c r="A624" s="79"/>
      <c r="B624" s="79"/>
      <c r="C624" s="94"/>
      <c r="D624" s="95"/>
      <c r="E624" s="87"/>
      <c r="F624" s="95"/>
      <c r="G624" s="79"/>
      <c r="H624" s="79"/>
      <c r="I624" s="79"/>
      <c r="J624" s="79"/>
      <c r="K624" s="79"/>
      <c r="L624" s="79"/>
      <c r="M624" s="79"/>
      <c r="N624" s="79"/>
      <c r="O624" s="79"/>
      <c r="P624" s="79"/>
      <c r="Q624" s="79"/>
      <c r="R624" s="79"/>
      <c r="S624" s="79"/>
      <c r="T624" s="79"/>
      <c r="U624" s="79"/>
      <c r="V624" s="79"/>
      <c r="W624" s="79"/>
      <c r="X624" s="79"/>
      <c r="Y624" s="79"/>
      <c r="Z624" s="79"/>
    </row>
    <row r="625" spans="1:26" ht="50.95" customHeight="1" x14ac:dyDescent="0.15">
      <c r="A625" s="79"/>
      <c r="B625" s="79"/>
      <c r="C625" s="94"/>
      <c r="D625" s="95"/>
      <c r="E625" s="87"/>
      <c r="F625" s="95"/>
      <c r="G625" s="79"/>
      <c r="H625" s="79"/>
      <c r="I625" s="79"/>
      <c r="J625" s="79"/>
      <c r="K625" s="79"/>
      <c r="L625" s="79"/>
      <c r="M625" s="79"/>
      <c r="N625" s="79"/>
      <c r="O625" s="79"/>
      <c r="P625" s="79"/>
      <c r="Q625" s="79"/>
      <c r="R625" s="79"/>
      <c r="S625" s="79"/>
      <c r="T625" s="79"/>
      <c r="U625" s="79"/>
      <c r="V625" s="79"/>
      <c r="W625" s="79"/>
      <c r="X625" s="79"/>
      <c r="Y625" s="79"/>
      <c r="Z625" s="79"/>
    </row>
    <row r="626" spans="1:26" ht="50.95" customHeight="1" x14ac:dyDescent="0.15">
      <c r="A626" s="79"/>
      <c r="B626" s="79"/>
      <c r="C626" s="94"/>
      <c r="D626" s="95"/>
      <c r="E626" s="87"/>
      <c r="F626" s="95"/>
      <c r="G626" s="79"/>
      <c r="H626" s="79"/>
      <c r="I626" s="79"/>
      <c r="J626" s="79"/>
      <c r="K626" s="79"/>
      <c r="L626" s="79"/>
      <c r="M626" s="79"/>
      <c r="N626" s="79"/>
      <c r="O626" s="79"/>
      <c r="P626" s="79"/>
      <c r="Q626" s="79"/>
      <c r="R626" s="79"/>
      <c r="S626" s="79"/>
      <c r="T626" s="79"/>
      <c r="U626" s="79"/>
      <c r="V626" s="79"/>
      <c r="W626" s="79"/>
      <c r="X626" s="79"/>
      <c r="Y626" s="79"/>
      <c r="Z626" s="79"/>
    </row>
    <row r="627" spans="1:26" ht="50.95" customHeight="1" x14ac:dyDescent="0.15">
      <c r="A627" s="79"/>
      <c r="B627" s="79"/>
      <c r="C627" s="94"/>
      <c r="D627" s="95"/>
      <c r="E627" s="87"/>
      <c r="F627" s="95"/>
      <c r="G627" s="79"/>
      <c r="H627" s="79"/>
      <c r="I627" s="79"/>
      <c r="J627" s="79"/>
      <c r="K627" s="79"/>
      <c r="L627" s="79"/>
      <c r="M627" s="79"/>
      <c r="N627" s="79"/>
      <c r="O627" s="79"/>
      <c r="P627" s="79"/>
      <c r="Q627" s="79"/>
      <c r="R627" s="79"/>
      <c r="S627" s="79"/>
      <c r="T627" s="79"/>
      <c r="U627" s="79"/>
      <c r="V627" s="79"/>
      <c r="W627" s="79"/>
      <c r="X627" s="79"/>
      <c r="Y627" s="79"/>
      <c r="Z627" s="79"/>
    </row>
    <row r="628" spans="1:26" ht="50.95" customHeight="1" x14ac:dyDescent="0.15">
      <c r="A628" s="79"/>
      <c r="B628" s="79"/>
      <c r="C628" s="94"/>
      <c r="D628" s="95"/>
      <c r="E628" s="87"/>
      <c r="F628" s="95"/>
      <c r="G628" s="79"/>
      <c r="H628" s="79"/>
      <c r="I628" s="79"/>
      <c r="J628" s="79"/>
      <c r="K628" s="79"/>
      <c r="L628" s="79"/>
      <c r="M628" s="79"/>
      <c r="N628" s="79"/>
      <c r="O628" s="79"/>
      <c r="P628" s="79"/>
      <c r="Q628" s="79"/>
      <c r="R628" s="79"/>
      <c r="S628" s="79"/>
      <c r="T628" s="79"/>
      <c r="U628" s="79"/>
      <c r="V628" s="79"/>
      <c r="W628" s="79"/>
      <c r="X628" s="79"/>
      <c r="Y628" s="79"/>
      <c r="Z628" s="79"/>
    </row>
    <row r="629" spans="1:26" ht="50.95" customHeight="1" x14ac:dyDescent="0.15">
      <c r="A629" s="79"/>
      <c r="B629" s="79"/>
      <c r="C629" s="94"/>
      <c r="D629" s="95"/>
      <c r="E629" s="87"/>
      <c r="F629" s="95"/>
      <c r="G629" s="79"/>
      <c r="H629" s="79"/>
      <c r="I629" s="79"/>
      <c r="J629" s="79"/>
      <c r="K629" s="79"/>
      <c r="L629" s="79"/>
      <c r="M629" s="79"/>
      <c r="N629" s="79"/>
      <c r="O629" s="79"/>
      <c r="P629" s="79"/>
      <c r="Q629" s="79"/>
      <c r="R629" s="79"/>
      <c r="S629" s="79"/>
      <c r="T629" s="79"/>
      <c r="U629" s="79"/>
      <c r="V629" s="79"/>
      <c r="W629" s="79"/>
      <c r="X629" s="79"/>
      <c r="Y629" s="79"/>
      <c r="Z629" s="79"/>
    </row>
    <row r="630" spans="1:26" ht="50.95" customHeight="1" x14ac:dyDescent="0.15">
      <c r="A630" s="79"/>
      <c r="B630" s="79"/>
      <c r="C630" s="94"/>
      <c r="D630" s="95"/>
      <c r="E630" s="87"/>
      <c r="F630" s="95"/>
      <c r="G630" s="79"/>
      <c r="H630" s="79"/>
      <c r="I630" s="79"/>
      <c r="J630" s="79"/>
      <c r="K630" s="79"/>
      <c r="L630" s="79"/>
      <c r="M630" s="79"/>
      <c r="N630" s="79"/>
      <c r="O630" s="79"/>
      <c r="P630" s="79"/>
      <c r="Q630" s="79"/>
      <c r="R630" s="79"/>
      <c r="S630" s="79"/>
      <c r="T630" s="79"/>
      <c r="U630" s="79"/>
      <c r="V630" s="79"/>
      <c r="W630" s="79"/>
      <c r="X630" s="79"/>
      <c r="Y630" s="79"/>
      <c r="Z630" s="79"/>
    </row>
    <row r="631" spans="1:26" ht="50.95" customHeight="1" x14ac:dyDescent="0.15">
      <c r="A631" s="79"/>
      <c r="B631" s="79"/>
      <c r="C631" s="94"/>
      <c r="D631" s="95"/>
      <c r="E631" s="87"/>
      <c r="F631" s="95"/>
      <c r="G631" s="79"/>
      <c r="H631" s="79"/>
      <c r="I631" s="79"/>
      <c r="J631" s="79"/>
      <c r="K631" s="79"/>
      <c r="L631" s="79"/>
      <c r="M631" s="79"/>
      <c r="N631" s="79"/>
      <c r="O631" s="79"/>
      <c r="P631" s="79"/>
      <c r="Q631" s="79"/>
      <c r="R631" s="79"/>
      <c r="S631" s="79"/>
      <c r="T631" s="79"/>
      <c r="U631" s="79"/>
      <c r="V631" s="79"/>
      <c r="W631" s="79"/>
      <c r="X631" s="79"/>
      <c r="Y631" s="79"/>
      <c r="Z631" s="79"/>
    </row>
    <row r="632" spans="1:26" ht="50.95" customHeight="1" x14ac:dyDescent="0.15">
      <c r="A632" s="79"/>
      <c r="B632" s="79"/>
      <c r="C632" s="94"/>
      <c r="D632" s="95"/>
      <c r="E632" s="87"/>
      <c r="F632" s="95"/>
      <c r="G632" s="79"/>
      <c r="H632" s="79"/>
      <c r="I632" s="79"/>
      <c r="J632" s="79"/>
      <c r="K632" s="79"/>
      <c r="L632" s="79"/>
      <c r="M632" s="79"/>
      <c r="N632" s="79"/>
      <c r="O632" s="79"/>
      <c r="P632" s="79"/>
      <c r="Q632" s="79"/>
      <c r="R632" s="79"/>
      <c r="S632" s="79"/>
      <c r="T632" s="79"/>
      <c r="U632" s="79"/>
      <c r="V632" s="79"/>
      <c r="W632" s="79"/>
      <c r="X632" s="79"/>
      <c r="Y632" s="79"/>
      <c r="Z632" s="79"/>
    </row>
    <row r="633" spans="1:26" ht="50.95" customHeight="1" x14ac:dyDescent="0.15">
      <c r="A633" s="79"/>
      <c r="B633" s="79"/>
      <c r="C633" s="94"/>
      <c r="D633" s="95"/>
      <c r="E633" s="87"/>
      <c r="F633" s="95"/>
      <c r="G633" s="79"/>
      <c r="H633" s="79"/>
      <c r="I633" s="79"/>
      <c r="J633" s="79"/>
      <c r="K633" s="79"/>
      <c r="L633" s="79"/>
      <c r="M633" s="79"/>
      <c r="N633" s="79"/>
      <c r="O633" s="79"/>
      <c r="P633" s="79"/>
      <c r="Q633" s="79"/>
      <c r="R633" s="79"/>
      <c r="S633" s="79"/>
      <c r="T633" s="79"/>
      <c r="U633" s="79"/>
      <c r="V633" s="79"/>
      <c r="W633" s="79"/>
      <c r="X633" s="79"/>
      <c r="Y633" s="79"/>
      <c r="Z633" s="79"/>
    </row>
    <row r="634" spans="1:26" ht="50.95" customHeight="1" x14ac:dyDescent="0.15">
      <c r="A634" s="79"/>
      <c r="B634" s="79"/>
      <c r="C634" s="94"/>
      <c r="D634" s="95"/>
      <c r="E634" s="87"/>
      <c r="F634" s="95"/>
      <c r="G634" s="79"/>
      <c r="H634" s="79"/>
      <c r="I634" s="79"/>
      <c r="J634" s="79"/>
      <c r="K634" s="79"/>
      <c r="L634" s="79"/>
      <c r="M634" s="79"/>
      <c r="N634" s="79"/>
      <c r="O634" s="79"/>
      <c r="P634" s="79"/>
      <c r="Q634" s="79"/>
      <c r="R634" s="79"/>
      <c r="S634" s="79"/>
      <c r="T634" s="79"/>
      <c r="U634" s="79"/>
      <c r="V634" s="79"/>
      <c r="W634" s="79"/>
      <c r="X634" s="79"/>
      <c r="Y634" s="79"/>
      <c r="Z634" s="79"/>
    </row>
    <row r="635" spans="1:26" ht="50.95" customHeight="1" x14ac:dyDescent="0.15">
      <c r="A635" s="79"/>
      <c r="B635" s="79"/>
      <c r="C635" s="94"/>
      <c r="D635" s="95"/>
      <c r="E635" s="87"/>
      <c r="F635" s="95"/>
      <c r="G635" s="79"/>
      <c r="H635" s="79"/>
      <c r="I635" s="79"/>
      <c r="J635" s="79"/>
      <c r="K635" s="79"/>
      <c r="L635" s="79"/>
      <c r="M635" s="79"/>
      <c r="N635" s="79"/>
      <c r="O635" s="79"/>
      <c r="P635" s="79"/>
      <c r="Q635" s="79"/>
      <c r="R635" s="79"/>
      <c r="S635" s="79"/>
      <c r="T635" s="79"/>
      <c r="U635" s="79"/>
      <c r="V635" s="79"/>
      <c r="W635" s="79"/>
      <c r="X635" s="79"/>
      <c r="Y635" s="79"/>
      <c r="Z635" s="79"/>
    </row>
    <row r="636" spans="1:26" ht="50.95" customHeight="1" x14ac:dyDescent="0.15">
      <c r="A636" s="79"/>
      <c r="B636" s="79"/>
      <c r="C636" s="94"/>
      <c r="D636" s="95"/>
      <c r="E636" s="87"/>
      <c r="F636" s="95"/>
      <c r="G636" s="79"/>
      <c r="H636" s="79"/>
      <c r="I636" s="79"/>
      <c r="J636" s="79"/>
      <c r="K636" s="79"/>
      <c r="L636" s="79"/>
      <c r="M636" s="79"/>
      <c r="N636" s="79"/>
      <c r="O636" s="79"/>
      <c r="P636" s="79"/>
      <c r="Q636" s="79"/>
      <c r="R636" s="79"/>
      <c r="S636" s="79"/>
      <c r="T636" s="79"/>
      <c r="U636" s="79"/>
      <c r="V636" s="79"/>
      <c r="W636" s="79"/>
      <c r="X636" s="79"/>
      <c r="Y636" s="79"/>
      <c r="Z636" s="79"/>
    </row>
    <row r="637" spans="1:26" ht="50.95" customHeight="1" x14ac:dyDescent="0.15">
      <c r="A637" s="79"/>
      <c r="B637" s="79"/>
      <c r="C637" s="94"/>
      <c r="D637" s="95"/>
      <c r="E637" s="87"/>
      <c r="F637" s="95"/>
      <c r="G637" s="79"/>
      <c r="H637" s="79"/>
      <c r="I637" s="79"/>
      <c r="J637" s="79"/>
      <c r="K637" s="79"/>
      <c r="L637" s="79"/>
      <c r="M637" s="79"/>
      <c r="N637" s="79"/>
      <c r="O637" s="79"/>
      <c r="P637" s="79"/>
      <c r="Q637" s="79"/>
      <c r="R637" s="79"/>
      <c r="S637" s="79"/>
      <c r="T637" s="79"/>
      <c r="U637" s="79"/>
      <c r="V637" s="79"/>
      <c r="W637" s="79"/>
      <c r="X637" s="79"/>
      <c r="Y637" s="79"/>
      <c r="Z637" s="79"/>
    </row>
    <row r="638" spans="1:26" ht="50.95" customHeight="1" x14ac:dyDescent="0.15">
      <c r="A638" s="79"/>
      <c r="B638" s="79"/>
      <c r="C638" s="94"/>
      <c r="D638" s="95"/>
      <c r="E638" s="87"/>
      <c r="F638" s="95"/>
      <c r="G638" s="79"/>
      <c r="H638" s="79"/>
      <c r="I638" s="79"/>
      <c r="J638" s="79"/>
      <c r="K638" s="79"/>
      <c r="L638" s="79"/>
      <c r="M638" s="79"/>
      <c r="N638" s="79"/>
      <c r="O638" s="79"/>
      <c r="P638" s="79"/>
      <c r="Q638" s="79"/>
      <c r="R638" s="79"/>
      <c r="S638" s="79"/>
      <c r="T638" s="79"/>
      <c r="U638" s="79"/>
      <c r="V638" s="79"/>
      <c r="W638" s="79"/>
      <c r="X638" s="79"/>
      <c r="Y638" s="79"/>
      <c r="Z638" s="79"/>
    </row>
    <row r="639" spans="1:26" ht="50.95" customHeight="1" x14ac:dyDescent="0.15">
      <c r="A639" s="79"/>
      <c r="B639" s="79"/>
      <c r="C639" s="94"/>
      <c r="D639" s="95"/>
      <c r="E639" s="87"/>
      <c r="F639" s="95"/>
      <c r="G639" s="79"/>
      <c r="H639" s="79"/>
      <c r="I639" s="79"/>
      <c r="J639" s="79"/>
      <c r="K639" s="79"/>
      <c r="L639" s="79"/>
      <c r="M639" s="79"/>
      <c r="N639" s="79"/>
      <c r="O639" s="79"/>
      <c r="P639" s="79"/>
      <c r="Q639" s="79"/>
      <c r="R639" s="79"/>
      <c r="S639" s="79"/>
      <c r="T639" s="79"/>
      <c r="U639" s="79"/>
      <c r="V639" s="79"/>
      <c r="W639" s="79"/>
      <c r="X639" s="79"/>
      <c r="Y639" s="79"/>
      <c r="Z639" s="79"/>
    </row>
    <row r="640" spans="1:26" ht="50.95" customHeight="1" x14ac:dyDescent="0.15">
      <c r="A640" s="79"/>
      <c r="B640" s="79"/>
      <c r="C640" s="94"/>
      <c r="D640" s="95"/>
      <c r="E640" s="87"/>
      <c r="F640" s="95"/>
      <c r="G640" s="79"/>
      <c r="H640" s="79"/>
      <c r="I640" s="79"/>
      <c r="J640" s="79"/>
      <c r="K640" s="79"/>
      <c r="L640" s="79"/>
      <c r="M640" s="79"/>
      <c r="N640" s="79"/>
      <c r="O640" s="79"/>
      <c r="P640" s="79"/>
      <c r="Q640" s="79"/>
      <c r="R640" s="79"/>
      <c r="S640" s="79"/>
      <c r="T640" s="79"/>
      <c r="U640" s="79"/>
      <c r="V640" s="79"/>
      <c r="W640" s="79"/>
      <c r="X640" s="79"/>
      <c r="Y640" s="79"/>
      <c r="Z640" s="79"/>
    </row>
    <row r="641" spans="1:26" ht="50.95" customHeight="1" x14ac:dyDescent="0.15">
      <c r="A641" s="79"/>
      <c r="B641" s="79"/>
      <c r="C641" s="94"/>
      <c r="D641" s="95"/>
      <c r="E641" s="87"/>
      <c r="F641" s="95"/>
      <c r="G641" s="79"/>
      <c r="H641" s="79"/>
      <c r="I641" s="79"/>
      <c r="J641" s="79"/>
      <c r="K641" s="79"/>
      <c r="L641" s="79"/>
      <c r="M641" s="79"/>
      <c r="N641" s="79"/>
      <c r="O641" s="79"/>
      <c r="P641" s="79"/>
      <c r="Q641" s="79"/>
      <c r="R641" s="79"/>
      <c r="S641" s="79"/>
      <c r="T641" s="79"/>
      <c r="U641" s="79"/>
      <c r="V641" s="79"/>
      <c r="W641" s="79"/>
      <c r="X641" s="79"/>
      <c r="Y641" s="79"/>
      <c r="Z641" s="79"/>
    </row>
    <row r="642" spans="1:26" ht="50.95" customHeight="1" x14ac:dyDescent="0.15">
      <c r="A642" s="79"/>
      <c r="B642" s="79"/>
      <c r="C642" s="94"/>
      <c r="D642" s="95"/>
      <c r="E642" s="87"/>
      <c r="F642" s="95"/>
      <c r="G642" s="79"/>
      <c r="H642" s="79"/>
      <c r="I642" s="79"/>
      <c r="J642" s="79"/>
      <c r="K642" s="79"/>
      <c r="L642" s="79"/>
      <c r="M642" s="79"/>
      <c r="N642" s="79"/>
      <c r="O642" s="79"/>
      <c r="P642" s="79"/>
      <c r="Q642" s="79"/>
      <c r="R642" s="79"/>
      <c r="S642" s="79"/>
      <c r="T642" s="79"/>
      <c r="U642" s="79"/>
      <c r="V642" s="79"/>
      <c r="W642" s="79"/>
      <c r="X642" s="79"/>
      <c r="Y642" s="79"/>
      <c r="Z642" s="79"/>
    </row>
    <row r="643" spans="1:26" ht="50.95" customHeight="1" x14ac:dyDescent="0.15">
      <c r="A643" s="79"/>
      <c r="B643" s="79"/>
      <c r="C643" s="94"/>
      <c r="D643" s="95"/>
      <c r="E643" s="87"/>
      <c r="F643" s="95"/>
      <c r="G643" s="79"/>
      <c r="H643" s="79"/>
      <c r="I643" s="79"/>
      <c r="J643" s="79"/>
      <c r="K643" s="79"/>
      <c r="L643" s="79"/>
      <c r="M643" s="79"/>
      <c r="N643" s="79"/>
      <c r="O643" s="79"/>
      <c r="P643" s="79"/>
      <c r="Q643" s="79"/>
      <c r="R643" s="79"/>
      <c r="S643" s="79"/>
      <c r="T643" s="79"/>
      <c r="U643" s="79"/>
      <c r="V643" s="79"/>
      <c r="W643" s="79"/>
      <c r="X643" s="79"/>
      <c r="Y643" s="79"/>
      <c r="Z643" s="79"/>
    </row>
    <row r="644" spans="1:26" ht="50.95" customHeight="1" x14ac:dyDescent="0.15">
      <c r="A644" s="79"/>
      <c r="B644" s="79"/>
      <c r="C644" s="94"/>
      <c r="D644" s="95"/>
      <c r="E644" s="87"/>
      <c r="F644" s="95"/>
      <c r="G644" s="79"/>
      <c r="H644" s="79"/>
      <c r="I644" s="79"/>
      <c r="J644" s="79"/>
      <c r="K644" s="79"/>
      <c r="L644" s="79"/>
      <c r="M644" s="79"/>
      <c r="N644" s="79"/>
      <c r="O644" s="79"/>
      <c r="P644" s="79"/>
      <c r="Q644" s="79"/>
      <c r="R644" s="79"/>
      <c r="S644" s="79"/>
      <c r="T644" s="79"/>
      <c r="U644" s="79"/>
      <c r="V644" s="79"/>
      <c r="W644" s="79"/>
      <c r="X644" s="79"/>
      <c r="Y644" s="79"/>
      <c r="Z644" s="79"/>
    </row>
    <row r="645" spans="1:26" ht="50.95" customHeight="1" x14ac:dyDescent="0.15">
      <c r="A645" s="79"/>
      <c r="B645" s="79"/>
      <c r="C645" s="94"/>
      <c r="D645" s="95"/>
      <c r="E645" s="87"/>
      <c r="F645" s="95"/>
      <c r="G645" s="79"/>
      <c r="H645" s="79"/>
      <c r="I645" s="79"/>
      <c r="J645" s="79"/>
      <c r="K645" s="79"/>
      <c r="L645" s="79"/>
      <c r="M645" s="79"/>
      <c r="N645" s="79"/>
      <c r="O645" s="79"/>
      <c r="P645" s="79"/>
      <c r="Q645" s="79"/>
      <c r="R645" s="79"/>
      <c r="S645" s="79"/>
      <c r="T645" s="79"/>
      <c r="U645" s="79"/>
      <c r="V645" s="79"/>
      <c r="W645" s="79"/>
      <c r="X645" s="79"/>
      <c r="Y645" s="79"/>
      <c r="Z645" s="79"/>
    </row>
    <row r="646" spans="1:26" ht="50.95" customHeight="1" x14ac:dyDescent="0.15">
      <c r="A646" s="79"/>
      <c r="B646" s="79"/>
      <c r="C646" s="94"/>
      <c r="D646" s="95"/>
      <c r="E646" s="87"/>
      <c r="F646" s="95"/>
      <c r="G646" s="79"/>
      <c r="H646" s="79"/>
      <c r="I646" s="79"/>
      <c r="J646" s="79"/>
      <c r="K646" s="79"/>
      <c r="L646" s="79"/>
      <c r="M646" s="79"/>
      <c r="N646" s="79"/>
      <c r="O646" s="79"/>
      <c r="P646" s="79"/>
      <c r="Q646" s="79"/>
      <c r="R646" s="79"/>
      <c r="S646" s="79"/>
      <c r="T646" s="79"/>
      <c r="U646" s="79"/>
      <c r="V646" s="79"/>
      <c r="W646" s="79"/>
      <c r="X646" s="79"/>
      <c r="Y646" s="79"/>
      <c r="Z646" s="79"/>
    </row>
    <row r="647" spans="1:26" ht="50.95" customHeight="1" x14ac:dyDescent="0.15">
      <c r="A647" s="79"/>
      <c r="B647" s="79"/>
      <c r="C647" s="94"/>
      <c r="D647" s="95"/>
      <c r="E647" s="87"/>
      <c r="F647" s="95"/>
      <c r="G647" s="79"/>
      <c r="H647" s="79"/>
      <c r="I647" s="79"/>
      <c r="J647" s="79"/>
      <c r="K647" s="79"/>
      <c r="L647" s="79"/>
      <c r="M647" s="79"/>
      <c r="N647" s="79"/>
      <c r="O647" s="79"/>
      <c r="P647" s="79"/>
      <c r="Q647" s="79"/>
      <c r="R647" s="79"/>
      <c r="S647" s="79"/>
      <c r="T647" s="79"/>
      <c r="U647" s="79"/>
      <c r="V647" s="79"/>
      <c r="W647" s="79"/>
      <c r="X647" s="79"/>
      <c r="Y647" s="79"/>
      <c r="Z647" s="79"/>
    </row>
    <row r="648" spans="1:26" ht="50.95" customHeight="1" x14ac:dyDescent="0.15">
      <c r="A648" s="79"/>
      <c r="B648" s="79"/>
      <c r="C648" s="94"/>
      <c r="D648" s="95"/>
      <c r="E648" s="87"/>
      <c r="F648" s="95"/>
      <c r="G648" s="79"/>
      <c r="H648" s="79"/>
      <c r="I648" s="79"/>
      <c r="J648" s="79"/>
      <c r="K648" s="79"/>
      <c r="L648" s="79"/>
      <c r="M648" s="79"/>
      <c r="N648" s="79"/>
      <c r="O648" s="79"/>
      <c r="P648" s="79"/>
      <c r="Q648" s="79"/>
      <c r="R648" s="79"/>
      <c r="S648" s="79"/>
      <c r="T648" s="79"/>
      <c r="U648" s="79"/>
      <c r="V648" s="79"/>
      <c r="W648" s="79"/>
      <c r="X648" s="79"/>
      <c r="Y648" s="79"/>
      <c r="Z648" s="79"/>
    </row>
    <row r="649" spans="1:26" ht="50.95" customHeight="1" x14ac:dyDescent="0.15">
      <c r="A649" s="79"/>
      <c r="B649" s="79"/>
      <c r="C649" s="94"/>
      <c r="D649" s="95"/>
      <c r="E649" s="87"/>
      <c r="F649" s="95"/>
      <c r="G649" s="79"/>
      <c r="H649" s="79"/>
      <c r="I649" s="79"/>
      <c r="J649" s="79"/>
      <c r="K649" s="79"/>
      <c r="L649" s="79"/>
      <c r="M649" s="79"/>
      <c r="N649" s="79"/>
      <c r="O649" s="79"/>
      <c r="P649" s="79"/>
      <c r="Q649" s="79"/>
      <c r="R649" s="79"/>
      <c r="S649" s="79"/>
      <c r="T649" s="79"/>
      <c r="U649" s="79"/>
      <c r="V649" s="79"/>
      <c r="W649" s="79"/>
      <c r="X649" s="79"/>
      <c r="Y649" s="79"/>
      <c r="Z649" s="79"/>
    </row>
    <row r="650" spans="1:26" ht="50.95" customHeight="1" x14ac:dyDescent="0.15">
      <c r="A650" s="79"/>
      <c r="B650" s="79"/>
      <c r="C650" s="94"/>
      <c r="D650" s="95"/>
      <c r="E650" s="87"/>
      <c r="F650" s="95"/>
      <c r="G650" s="79"/>
      <c r="H650" s="79"/>
      <c r="I650" s="79"/>
      <c r="J650" s="79"/>
      <c r="K650" s="79"/>
      <c r="L650" s="79"/>
      <c r="M650" s="79"/>
      <c r="N650" s="79"/>
      <c r="O650" s="79"/>
      <c r="P650" s="79"/>
      <c r="Q650" s="79"/>
      <c r="R650" s="79"/>
      <c r="S650" s="79"/>
      <c r="T650" s="79"/>
      <c r="U650" s="79"/>
      <c r="V650" s="79"/>
      <c r="W650" s="79"/>
      <c r="X650" s="79"/>
      <c r="Y650" s="79"/>
      <c r="Z650" s="79"/>
    </row>
    <row r="651" spans="1:26" ht="50.95" customHeight="1" x14ac:dyDescent="0.15">
      <c r="A651" s="79"/>
      <c r="B651" s="79"/>
      <c r="C651" s="94"/>
      <c r="D651" s="95"/>
      <c r="E651" s="87"/>
      <c r="F651" s="95"/>
      <c r="G651" s="79"/>
      <c r="H651" s="79"/>
      <c r="I651" s="79"/>
      <c r="J651" s="79"/>
      <c r="K651" s="79"/>
      <c r="L651" s="79"/>
      <c r="M651" s="79"/>
      <c r="N651" s="79"/>
      <c r="O651" s="79"/>
      <c r="P651" s="79"/>
      <c r="Q651" s="79"/>
      <c r="R651" s="79"/>
      <c r="S651" s="79"/>
      <c r="T651" s="79"/>
      <c r="U651" s="79"/>
      <c r="V651" s="79"/>
      <c r="W651" s="79"/>
      <c r="X651" s="79"/>
      <c r="Y651" s="79"/>
      <c r="Z651" s="79"/>
    </row>
    <row r="652" spans="1:26" ht="50.95" customHeight="1" x14ac:dyDescent="0.15">
      <c r="A652" s="79"/>
      <c r="B652" s="79"/>
      <c r="C652" s="94"/>
      <c r="D652" s="95"/>
      <c r="E652" s="87"/>
      <c r="F652" s="95"/>
      <c r="G652" s="79"/>
      <c r="H652" s="79"/>
      <c r="I652" s="79"/>
      <c r="J652" s="79"/>
      <c r="K652" s="79"/>
      <c r="L652" s="79"/>
      <c r="M652" s="79"/>
      <c r="N652" s="79"/>
      <c r="O652" s="79"/>
      <c r="P652" s="79"/>
      <c r="Q652" s="79"/>
      <c r="R652" s="79"/>
      <c r="S652" s="79"/>
      <c r="T652" s="79"/>
      <c r="U652" s="79"/>
      <c r="V652" s="79"/>
      <c r="W652" s="79"/>
      <c r="X652" s="79"/>
      <c r="Y652" s="79"/>
      <c r="Z652" s="79"/>
    </row>
    <row r="653" spans="1:26" ht="50.95" customHeight="1" x14ac:dyDescent="0.15">
      <c r="A653" s="79"/>
      <c r="B653" s="79"/>
      <c r="C653" s="94"/>
      <c r="D653" s="95"/>
      <c r="E653" s="87"/>
      <c r="F653" s="95"/>
      <c r="G653" s="79"/>
      <c r="H653" s="79"/>
      <c r="I653" s="79"/>
      <c r="J653" s="79"/>
      <c r="K653" s="79"/>
      <c r="L653" s="79"/>
      <c r="M653" s="79"/>
      <c r="N653" s="79"/>
      <c r="O653" s="79"/>
      <c r="P653" s="79"/>
      <c r="Q653" s="79"/>
      <c r="R653" s="79"/>
      <c r="S653" s="79"/>
      <c r="T653" s="79"/>
      <c r="U653" s="79"/>
      <c r="V653" s="79"/>
      <c r="W653" s="79"/>
      <c r="X653" s="79"/>
      <c r="Y653" s="79"/>
      <c r="Z653" s="79"/>
    </row>
    <row r="654" spans="1:26" ht="50.95" customHeight="1" x14ac:dyDescent="0.15">
      <c r="A654" s="79"/>
      <c r="B654" s="79"/>
      <c r="C654" s="94"/>
      <c r="D654" s="95"/>
      <c r="E654" s="87"/>
      <c r="F654" s="95"/>
      <c r="G654" s="79"/>
      <c r="H654" s="79"/>
      <c r="I654" s="79"/>
      <c r="J654" s="79"/>
      <c r="K654" s="79"/>
      <c r="L654" s="79"/>
      <c r="M654" s="79"/>
      <c r="N654" s="79"/>
      <c r="O654" s="79"/>
      <c r="P654" s="79"/>
      <c r="Q654" s="79"/>
      <c r="R654" s="79"/>
      <c r="S654" s="79"/>
      <c r="T654" s="79"/>
      <c r="U654" s="79"/>
      <c r="V654" s="79"/>
      <c r="W654" s="79"/>
      <c r="X654" s="79"/>
      <c r="Y654" s="79"/>
      <c r="Z654" s="79"/>
    </row>
    <row r="655" spans="1:26" ht="50.95" customHeight="1" x14ac:dyDescent="0.15">
      <c r="A655" s="79"/>
      <c r="B655" s="79"/>
      <c r="C655" s="94"/>
      <c r="D655" s="95"/>
      <c r="E655" s="87"/>
      <c r="F655" s="95"/>
      <c r="G655" s="79"/>
      <c r="H655" s="79"/>
      <c r="I655" s="79"/>
      <c r="J655" s="79"/>
      <c r="K655" s="79"/>
      <c r="L655" s="79"/>
      <c r="M655" s="79"/>
      <c r="N655" s="79"/>
      <c r="O655" s="79"/>
      <c r="P655" s="79"/>
      <c r="Q655" s="79"/>
      <c r="R655" s="79"/>
      <c r="S655" s="79"/>
      <c r="T655" s="79"/>
      <c r="U655" s="79"/>
      <c r="V655" s="79"/>
      <c r="W655" s="79"/>
      <c r="X655" s="79"/>
      <c r="Y655" s="79"/>
      <c r="Z655" s="79"/>
    </row>
    <row r="656" spans="1:26" ht="50.95" customHeight="1" x14ac:dyDescent="0.15">
      <c r="A656" s="79"/>
      <c r="B656" s="79"/>
      <c r="C656" s="94"/>
      <c r="D656" s="95"/>
      <c r="E656" s="87"/>
      <c r="F656" s="95"/>
      <c r="G656" s="79"/>
      <c r="H656" s="79"/>
      <c r="I656" s="79"/>
      <c r="J656" s="79"/>
      <c r="K656" s="79"/>
      <c r="L656" s="79"/>
      <c r="M656" s="79"/>
      <c r="N656" s="79"/>
      <c r="O656" s="79"/>
      <c r="P656" s="79"/>
      <c r="Q656" s="79"/>
      <c r="R656" s="79"/>
      <c r="S656" s="79"/>
      <c r="T656" s="79"/>
      <c r="U656" s="79"/>
      <c r="V656" s="79"/>
      <c r="W656" s="79"/>
      <c r="X656" s="79"/>
      <c r="Y656" s="79"/>
      <c r="Z656" s="79"/>
    </row>
    <row r="657" spans="1:26" ht="50.95" customHeight="1" x14ac:dyDescent="0.15">
      <c r="A657" s="79"/>
      <c r="B657" s="79"/>
      <c r="C657" s="94"/>
      <c r="D657" s="95"/>
      <c r="E657" s="87"/>
      <c r="F657" s="95"/>
      <c r="G657" s="79"/>
      <c r="H657" s="79"/>
      <c r="I657" s="79"/>
      <c r="J657" s="79"/>
      <c r="K657" s="79"/>
      <c r="L657" s="79"/>
      <c r="M657" s="79"/>
      <c r="N657" s="79"/>
      <c r="O657" s="79"/>
      <c r="P657" s="79"/>
      <c r="Q657" s="79"/>
      <c r="R657" s="79"/>
      <c r="S657" s="79"/>
      <c r="T657" s="79"/>
      <c r="U657" s="79"/>
      <c r="V657" s="79"/>
      <c r="W657" s="79"/>
      <c r="X657" s="79"/>
      <c r="Y657" s="79"/>
      <c r="Z657" s="79"/>
    </row>
    <row r="658" spans="1:26" ht="50.95" customHeight="1" x14ac:dyDescent="0.15">
      <c r="A658" s="79"/>
      <c r="B658" s="79"/>
      <c r="C658" s="94"/>
      <c r="D658" s="95"/>
      <c r="E658" s="87"/>
      <c r="F658" s="95"/>
      <c r="G658" s="79"/>
      <c r="H658" s="79"/>
      <c r="I658" s="79"/>
      <c r="J658" s="79"/>
      <c r="K658" s="79"/>
      <c r="L658" s="79"/>
      <c r="M658" s="79"/>
      <c r="N658" s="79"/>
      <c r="O658" s="79"/>
      <c r="P658" s="79"/>
      <c r="Q658" s="79"/>
      <c r="R658" s="79"/>
      <c r="S658" s="79"/>
      <c r="T658" s="79"/>
      <c r="U658" s="79"/>
      <c r="V658" s="79"/>
      <c r="W658" s="79"/>
      <c r="X658" s="79"/>
      <c r="Y658" s="79"/>
      <c r="Z658" s="79"/>
    </row>
    <row r="659" spans="1:26" ht="50.95" customHeight="1" x14ac:dyDescent="0.15">
      <c r="A659" s="79"/>
      <c r="B659" s="79"/>
      <c r="C659" s="94"/>
      <c r="D659" s="95"/>
      <c r="E659" s="87"/>
      <c r="F659" s="95"/>
      <c r="G659" s="79"/>
      <c r="H659" s="79"/>
      <c r="I659" s="79"/>
      <c r="J659" s="79"/>
      <c r="K659" s="79"/>
      <c r="L659" s="79"/>
      <c r="M659" s="79"/>
      <c r="N659" s="79"/>
      <c r="O659" s="79"/>
      <c r="P659" s="79"/>
      <c r="Q659" s="79"/>
      <c r="R659" s="79"/>
      <c r="S659" s="79"/>
      <c r="T659" s="79"/>
      <c r="U659" s="79"/>
      <c r="V659" s="79"/>
      <c r="W659" s="79"/>
      <c r="X659" s="79"/>
      <c r="Y659" s="79"/>
      <c r="Z659" s="79"/>
    </row>
    <row r="660" spans="1:26" ht="50.95" customHeight="1" x14ac:dyDescent="0.15">
      <c r="A660" s="79"/>
      <c r="B660" s="79"/>
      <c r="C660" s="94"/>
      <c r="D660" s="95"/>
      <c r="E660" s="87"/>
      <c r="F660" s="95"/>
      <c r="G660" s="79"/>
      <c r="H660" s="79"/>
      <c r="I660" s="79"/>
      <c r="J660" s="79"/>
      <c r="K660" s="79"/>
      <c r="L660" s="79"/>
      <c r="M660" s="79"/>
      <c r="N660" s="79"/>
      <c r="O660" s="79"/>
      <c r="P660" s="79"/>
      <c r="Q660" s="79"/>
      <c r="R660" s="79"/>
      <c r="S660" s="79"/>
      <c r="T660" s="79"/>
      <c r="U660" s="79"/>
      <c r="V660" s="79"/>
      <c r="W660" s="79"/>
      <c r="X660" s="79"/>
      <c r="Y660" s="79"/>
      <c r="Z660" s="79"/>
    </row>
    <row r="661" spans="1:26" ht="50.95" customHeight="1" x14ac:dyDescent="0.15">
      <c r="A661" s="79"/>
      <c r="B661" s="79"/>
      <c r="C661" s="94"/>
      <c r="D661" s="95"/>
      <c r="E661" s="87"/>
      <c r="F661" s="95"/>
      <c r="G661" s="79"/>
      <c r="H661" s="79"/>
      <c r="I661" s="79"/>
      <c r="J661" s="79"/>
      <c r="K661" s="79"/>
      <c r="L661" s="79"/>
      <c r="M661" s="79"/>
      <c r="N661" s="79"/>
      <c r="O661" s="79"/>
      <c r="P661" s="79"/>
      <c r="Q661" s="79"/>
      <c r="R661" s="79"/>
      <c r="S661" s="79"/>
      <c r="T661" s="79"/>
      <c r="U661" s="79"/>
      <c r="V661" s="79"/>
      <c r="W661" s="79"/>
      <c r="X661" s="79"/>
      <c r="Y661" s="79"/>
      <c r="Z661" s="79"/>
    </row>
    <row r="662" spans="1:26" ht="50.95" customHeight="1" x14ac:dyDescent="0.15">
      <c r="A662" s="79"/>
      <c r="B662" s="79"/>
      <c r="C662" s="94"/>
      <c r="D662" s="95"/>
      <c r="E662" s="87"/>
      <c r="F662" s="95"/>
      <c r="G662" s="79"/>
      <c r="H662" s="79"/>
      <c r="I662" s="79"/>
      <c r="J662" s="79"/>
      <c r="K662" s="79"/>
      <c r="L662" s="79"/>
      <c r="M662" s="79"/>
      <c r="N662" s="79"/>
      <c r="O662" s="79"/>
      <c r="P662" s="79"/>
      <c r="Q662" s="79"/>
      <c r="R662" s="79"/>
      <c r="S662" s="79"/>
      <c r="T662" s="79"/>
      <c r="U662" s="79"/>
      <c r="V662" s="79"/>
      <c r="W662" s="79"/>
      <c r="X662" s="79"/>
      <c r="Y662" s="79"/>
      <c r="Z662" s="79"/>
    </row>
    <row r="663" spans="1:26" ht="50.95" customHeight="1" x14ac:dyDescent="0.15">
      <c r="A663" s="79"/>
      <c r="B663" s="79"/>
      <c r="C663" s="94"/>
      <c r="D663" s="95"/>
      <c r="E663" s="87"/>
      <c r="F663" s="95"/>
      <c r="G663" s="79"/>
      <c r="H663" s="79"/>
      <c r="I663" s="79"/>
      <c r="J663" s="79"/>
      <c r="K663" s="79"/>
      <c r="L663" s="79"/>
      <c r="M663" s="79"/>
      <c r="N663" s="79"/>
      <c r="O663" s="79"/>
      <c r="P663" s="79"/>
      <c r="Q663" s="79"/>
      <c r="R663" s="79"/>
      <c r="S663" s="79"/>
      <c r="T663" s="79"/>
      <c r="U663" s="79"/>
      <c r="V663" s="79"/>
      <c r="W663" s="79"/>
      <c r="X663" s="79"/>
      <c r="Y663" s="79"/>
      <c r="Z663" s="79"/>
    </row>
    <row r="664" spans="1:26" ht="50.95" customHeight="1" x14ac:dyDescent="0.15">
      <c r="A664" s="79"/>
      <c r="B664" s="79"/>
      <c r="C664" s="94"/>
      <c r="D664" s="95"/>
      <c r="E664" s="87"/>
      <c r="F664" s="95"/>
      <c r="G664" s="79"/>
      <c r="H664" s="79"/>
      <c r="I664" s="79"/>
      <c r="J664" s="79"/>
      <c r="K664" s="79"/>
      <c r="L664" s="79"/>
      <c r="M664" s="79"/>
      <c r="N664" s="79"/>
      <c r="O664" s="79"/>
      <c r="P664" s="79"/>
      <c r="Q664" s="79"/>
      <c r="R664" s="79"/>
      <c r="S664" s="79"/>
      <c r="T664" s="79"/>
      <c r="U664" s="79"/>
      <c r="V664" s="79"/>
      <c r="W664" s="79"/>
      <c r="X664" s="79"/>
      <c r="Y664" s="79"/>
      <c r="Z664" s="79"/>
    </row>
    <row r="665" spans="1:26" ht="50.95" customHeight="1" x14ac:dyDescent="0.15">
      <c r="A665" s="79"/>
      <c r="B665" s="79"/>
      <c r="C665" s="94"/>
      <c r="D665" s="95"/>
      <c r="E665" s="87"/>
      <c r="F665" s="95"/>
      <c r="G665" s="79"/>
      <c r="H665" s="79"/>
      <c r="I665" s="79"/>
      <c r="J665" s="79"/>
      <c r="K665" s="79"/>
      <c r="L665" s="79"/>
      <c r="M665" s="79"/>
      <c r="N665" s="79"/>
      <c r="O665" s="79"/>
      <c r="P665" s="79"/>
      <c r="Q665" s="79"/>
      <c r="R665" s="79"/>
      <c r="S665" s="79"/>
      <c r="T665" s="79"/>
      <c r="U665" s="79"/>
      <c r="V665" s="79"/>
      <c r="W665" s="79"/>
      <c r="X665" s="79"/>
      <c r="Y665" s="79"/>
      <c r="Z665" s="79"/>
    </row>
    <row r="666" spans="1:26" ht="50.95" customHeight="1" x14ac:dyDescent="0.15">
      <c r="A666" s="79"/>
      <c r="B666" s="79"/>
      <c r="C666" s="94"/>
      <c r="D666" s="95"/>
      <c r="E666" s="87"/>
      <c r="F666" s="95"/>
      <c r="G666" s="79"/>
      <c r="H666" s="79"/>
      <c r="I666" s="79"/>
      <c r="J666" s="79"/>
      <c r="K666" s="79"/>
      <c r="L666" s="79"/>
      <c r="M666" s="79"/>
      <c r="N666" s="79"/>
      <c r="O666" s="79"/>
      <c r="P666" s="79"/>
      <c r="Q666" s="79"/>
      <c r="R666" s="79"/>
      <c r="S666" s="79"/>
      <c r="T666" s="79"/>
      <c r="U666" s="79"/>
      <c r="V666" s="79"/>
      <c r="W666" s="79"/>
      <c r="X666" s="79"/>
      <c r="Y666" s="79"/>
      <c r="Z666" s="79"/>
    </row>
    <row r="667" spans="1:26" ht="50.95" customHeight="1" x14ac:dyDescent="0.15">
      <c r="A667" s="79"/>
      <c r="B667" s="79"/>
      <c r="C667" s="94"/>
      <c r="D667" s="95"/>
      <c r="E667" s="87"/>
      <c r="F667" s="95"/>
      <c r="G667" s="79"/>
      <c r="H667" s="79"/>
      <c r="I667" s="79"/>
      <c r="J667" s="79"/>
      <c r="K667" s="79"/>
      <c r="L667" s="79"/>
      <c r="M667" s="79"/>
      <c r="N667" s="79"/>
      <c r="O667" s="79"/>
      <c r="P667" s="79"/>
      <c r="Q667" s="79"/>
      <c r="R667" s="79"/>
      <c r="S667" s="79"/>
      <c r="T667" s="79"/>
      <c r="U667" s="79"/>
      <c r="V667" s="79"/>
      <c r="W667" s="79"/>
      <c r="X667" s="79"/>
      <c r="Y667" s="79"/>
      <c r="Z667" s="79"/>
    </row>
    <row r="668" spans="1:26" ht="50.95" customHeight="1" x14ac:dyDescent="0.15">
      <c r="A668" s="79"/>
      <c r="B668" s="79"/>
      <c r="C668" s="94"/>
      <c r="D668" s="95"/>
      <c r="E668" s="87"/>
      <c r="F668" s="95"/>
      <c r="G668" s="79"/>
      <c r="H668" s="79"/>
      <c r="I668" s="79"/>
      <c r="J668" s="79"/>
      <c r="K668" s="79"/>
      <c r="L668" s="79"/>
      <c r="M668" s="79"/>
      <c r="N668" s="79"/>
      <c r="O668" s="79"/>
      <c r="P668" s="79"/>
      <c r="Q668" s="79"/>
      <c r="R668" s="79"/>
      <c r="S668" s="79"/>
      <c r="T668" s="79"/>
      <c r="U668" s="79"/>
      <c r="V668" s="79"/>
      <c r="W668" s="79"/>
      <c r="X668" s="79"/>
      <c r="Y668" s="79"/>
      <c r="Z668" s="79"/>
    </row>
    <row r="669" spans="1:26" ht="50.95" customHeight="1" x14ac:dyDescent="0.15">
      <c r="A669" s="79"/>
      <c r="B669" s="79"/>
      <c r="C669" s="94"/>
      <c r="D669" s="95"/>
      <c r="E669" s="87"/>
      <c r="F669" s="95"/>
      <c r="G669" s="79"/>
      <c r="H669" s="79"/>
      <c r="I669" s="79"/>
      <c r="J669" s="79"/>
      <c r="K669" s="79"/>
      <c r="L669" s="79"/>
      <c r="M669" s="79"/>
      <c r="N669" s="79"/>
      <c r="O669" s="79"/>
      <c r="P669" s="79"/>
      <c r="Q669" s="79"/>
      <c r="R669" s="79"/>
      <c r="S669" s="79"/>
      <c r="T669" s="79"/>
      <c r="U669" s="79"/>
      <c r="V669" s="79"/>
      <c r="W669" s="79"/>
      <c r="X669" s="79"/>
      <c r="Y669" s="79"/>
      <c r="Z669" s="79"/>
    </row>
    <row r="670" spans="1:26" ht="50.95" customHeight="1" x14ac:dyDescent="0.15">
      <c r="A670" s="79"/>
      <c r="B670" s="79"/>
      <c r="C670" s="94"/>
      <c r="D670" s="95"/>
      <c r="E670" s="87"/>
      <c r="F670" s="95"/>
      <c r="G670" s="79"/>
      <c r="H670" s="79"/>
      <c r="I670" s="79"/>
      <c r="J670" s="79"/>
      <c r="K670" s="79"/>
      <c r="L670" s="79"/>
      <c r="M670" s="79"/>
      <c r="N670" s="79"/>
      <c r="O670" s="79"/>
      <c r="P670" s="79"/>
      <c r="Q670" s="79"/>
      <c r="R670" s="79"/>
      <c r="S670" s="79"/>
      <c r="T670" s="79"/>
      <c r="U670" s="79"/>
      <c r="V670" s="79"/>
      <c r="W670" s="79"/>
      <c r="X670" s="79"/>
      <c r="Y670" s="79"/>
      <c r="Z670" s="79"/>
    </row>
    <row r="671" spans="1:26" ht="50.95" customHeight="1" x14ac:dyDescent="0.15">
      <c r="A671" s="79"/>
      <c r="B671" s="79"/>
      <c r="C671" s="94"/>
      <c r="D671" s="95"/>
      <c r="E671" s="87"/>
      <c r="F671" s="95"/>
      <c r="G671" s="79"/>
      <c r="H671" s="79"/>
      <c r="I671" s="79"/>
      <c r="J671" s="79"/>
      <c r="K671" s="79"/>
      <c r="L671" s="79"/>
      <c r="M671" s="79"/>
      <c r="N671" s="79"/>
      <c r="O671" s="79"/>
      <c r="P671" s="79"/>
      <c r="Q671" s="79"/>
      <c r="R671" s="79"/>
      <c r="S671" s="79"/>
      <c r="T671" s="79"/>
      <c r="U671" s="79"/>
      <c r="V671" s="79"/>
      <c r="W671" s="79"/>
      <c r="X671" s="79"/>
      <c r="Y671" s="79"/>
      <c r="Z671" s="79"/>
    </row>
    <row r="672" spans="1:26" ht="50.95" customHeight="1" x14ac:dyDescent="0.15">
      <c r="A672" s="79"/>
      <c r="B672" s="79"/>
      <c r="C672" s="94"/>
      <c r="D672" s="95"/>
      <c r="E672" s="87"/>
      <c r="F672" s="95"/>
      <c r="G672" s="79"/>
      <c r="H672" s="79"/>
      <c r="I672" s="79"/>
      <c r="J672" s="79"/>
      <c r="K672" s="79"/>
      <c r="L672" s="79"/>
      <c r="M672" s="79"/>
      <c r="N672" s="79"/>
      <c r="O672" s="79"/>
      <c r="P672" s="79"/>
      <c r="Q672" s="79"/>
      <c r="R672" s="79"/>
      <c r="S672" s="79"/>
      <c r="T672" s="79"/>
      <c r="U672" s="79"/>
      <c r="V672" s="79"/>
      <c r="W672" s="79"/>
      <c r="X672" s="79"/>
      <c r="Y672" s="79"/>
      <c r="Z672" s="79"/>
    </row>
    <row r="673" spans="1:26" ht="50.95" customHeight="1" x14ac:dyDescent="0.15">
      <c r="A673" s="79"/>
      <c r="B673" s="79"/>
      <c r="C673" s="94"/>
      <c r="D673" s="95"/>
      <c r="E673" s="87"/>
      <c r="F673" s="95"/>
      <c r="G673" s="79"/>
      <c r="H673" s="79"/>
      <c r="I673" s="79"/>
      <c r="J673" s="79"/>
      <c r="K673" s="79"/>
      <c r="L673" s="79"/>
      <c r="M673" s="79"/>
      <c r="N673" s="79"/>
      <c r="O673" s="79"/>
      <c r="P673" s="79"/>
      <c r="Q673" s="79"/>
      <c r="R673" s="79"/>
      <c r="S673" s="79"/>
      <c r="T673" s="79"/>
      <c r="U673" s="79"/>
      <c r="V673" s="79"/>
      <c r="W673" s="79"/>
      <c r="X673" s="79"/>
      <c r="Y673" s="79"/>
      <c r="Z673" s="79"/>
    </row>
    <row r="674" spans="1:26" ht="50.95" customHeight="1" x14ac:dyDescent="0.15">
      <c r="A674" s="79"/>
      <c r="B674" s="79"/>
      <c r="C674" s="94"/>
      <c r="D674" s="95"/>
      <c r="E674" s="87"/>
      <c r="F674" s="95"/>
      <c r="G674" s="79"/>
      <c r="H674" s="79"/>
      <c r="I674" s="79"/>
      <c r="J674" s="79"/>
      <c r="K674" s="79"/>
      <c r="L674" s="79"/>
      <c r="M674" s="79"/>
      <c r="N674" s="79"/>
      <c r="O674" s="79"/>
      <c r="P674" s="79"/>
      <c r="Q674" s="79"/>
      <c r="R674" s="79"/>
      <c r="S674" s="79"/>
      <c r="T674" s="79"/>
      <c r="U674" s="79"/>
      <c r="V674" s="79"/>
      <c r="W674" s="79"/>
      <c r="X674" s="79"/>
      <c r="Y674" s="79"/>
      <c r="Z674" s="79"/>
    </row>
    <row r="675" spans="1:26" ht="50.95" customHeight="1" x14ac:dyDescent="0.15">
      <c r="A675" s="79"/>
      <c r="B675" s="79"/>
      <c r="C675" s="94"/>
      <c r="D675" s="95"/>
      <c r="E675" s="87"/>
      <c r="F675" s="95"/>
      <c r="G675" s="79"/>
      <c r="H675" s="79"/>
      <c r="I675" s="79"/>
      <c r="J675" s="79"/>
      <c r="K675" s="79"/>
      <c r="L675" s="79"/>
      <c r="M675" s="79"/>
      <c r="N675" s="79"/>
      <c r="O675" s="79"/>
      <c r="P675" s="79"/>
      <c r="Q675" s="79"/>
      <c r="R675" s="79"/>
      <c r="S675" s="79"/>
      <c r="T675" s="79"/>
      <c r="U675" s="79"/>
      <c r="V675" s="79"/>
      <c r="W675" s="79"/>
      <c r="X675" s="79"/>
      <c r="Y675" s="79"/>
      <c r="Z675" s="79"/>
    </row>
    <row r="676" spans="1:26" ht="50.95" customHeight="1" x14ac:dyDescent="0.15">
      <c r="A676" s="79"/>
      <c r="B676" s="79"/>
      <c r="C676" s="94"/>
      <c r="D676" s="95"/>
      <c r="E676" s="87"/>
      <c r="F676" s="95"/>
      <c r="G676" s="79"/>
      <c r="H676" s="79"/>
      <c r="I676" s="79"/>
      <c r="J676" s="79"/>
      <c r="K676" s="79"/>
      <c r="L676" s="79"/>
      <c r="M676" s="79"/>
      <c r="N676" s="79"/>
      <c r="O676" s="79"/>
      <c r="P676" s="79"/>
      <c r="Q676" s="79"/>
      <c r="R676" s="79"/>
      <c r="S676" s="79"/>
      <c r="T676" s="79"/>
      <c r="U676" s="79"/>
      <c r="V676" s="79"/>
      <c r="W676" s="79"/>
      <c r="X676" s="79"/>
      <c r="Y676" s="79"/>
      <c r="Z676" s="79"/>
    </row>
    <row r="677" spans="1:26" ht="50.95" customHeight="1" x14ac:dyDescent="0.15">
      <c r="A677" s="79"/>
      <c r="B677" s="79"/>
      <c r="C677" s="94"/>
      <c r="D677" s="95"/>
      <c r="E677" s="87"/>
      <c r="F677" s="95"/>
      <c r="G677" s="79"/>
      <c r="H677" s="79"/>
      <c r="I677" s="79"/>
      <c r="J677" s="79"/>
      <c r="K677" s="79"/>
      <c r="L677" s="79"/>
      <c r="M677" s="79"/>
      <c r="N677" s="79"/>
      <c r="O677" s="79"/>
      <c r="P677" s="79"/>
      <c r="Q677" s="79"/>
      <c r="R677" s="79"/>
      <c r="S677" s="79"/>
      <c r="T677" s="79"/>
      <c r="U677" s="79"/>
      <c r="V677" s="79"/>
      <c r="W677" s="79"/>
      <c r="X677" s="79"/>
      <c r="Y677" s="79"/>
      <c r="Z677" s="79"/>
    </row>
    <row r="678" spans="1:26" ht="50.95" customHeight="1" x14ac:dyDescent="0.15">
      <c r="A678" s="79"/>
      <c r="B678" s="79"/>
      <c r="C678" s="94"/>
      <c r="D678" s="95"/>
      <c r="E678" s="87"/>
      <c r="F678" s="95"/>
      <c r="G678" s="79"/>
      <c r="H678" s="79"/>
      <c r="I678" s="79"/>
      <c r="J678" s="79"/>
      <c r="K678" s="79"/>
      <c r="L678" s="79"/>
      <c r="M678" s="79"/>
      <c r="N678" s="79"/>
      <c r="O678" s="79"/>
      <c r="P678" s="79"/>
      <c r="Q678" s="79"/>
      <c r="R678" s="79"/>
      <c r="S678" s="79"/>
      <c r="T678" s="79"/>
      <c r="U678" s="79"/>
      <c r="V678" s="79"/>
      <c r="W678" s="79"/>
      <c r="X678" s="79"/>
      <c r="Y678" s="79"/>
      <c r="Z678" s="79"/>
    </row>
    <row r="679" spans="1:26" ht="50.95" customHeight="1" x14ac:dyDescent="0.15">
      <c r="A679" s="79"/>
      <c r="B679" s="79"/>
      <c r="C679" s="94"/>
      <c r="D679" s="95"/>
      <c r="E679" s="87"/>
      <c r="F679" s="95"/>
      <c r="G679" s="79"/>
      <c r="H679" s="79"/>
      <c r="I679" s="79"/>
      <c r="J679" s="79"/>
      <c r="K679" s="79"/>
      <c r="L679" s="79"/>
      <c r="M679" s="79"/>
      <c r="N679" s="79"/>
      <c r="O679" s="79"/>
      <c r="P679" s="79"/>
      <c r="Q679" s="79"/>
      <c r="R679" s="79"/>
      <c r="S679" s="79"/>
      <c r="T679" s="79"/>
      <c r="U679" s="79"/>
      <c r="V679" s="79"/>
      <c r="W679" s="79"/>
      <c r="X679" s="79"/>
      <c r="Y679" s="79"/>
      <c r="Z679" s="79"/>
    </row>
    <row r="680" spans="1:26" ht="50.95" customHeight="1" x14ac:dyDescent="0.15">
      <c r="A680" s="79"/>
      <c r="B680" s="79"/>
      <c r="C680" s="94"/>
      <c r="D680" s="95"/>
      <c r="E680" s="87"/>
      <c r="F680" s="95"/>
      <c r="G680" s="79"/>
      <c r="H680" s="79"/>
      <c r="I680" s="79"/>
      <c r="J680" s="79"/>
      <c r="K680" s="79"/>
      <c r="L680" s="79"/>
      <c r="M680" s="79"/>
      <c r="N680" s="79"/>
      <c r="O680" s="79"/>
      <c r="P680" s="79"/>
      <c r="Q680" s="79"/>
      <c r="R680" s="79"/>
      <c r="S680" s="79"/>
      <c r="T680" s="79"/>
      <c r="U680" s="79"/>
      <c r="V680" s="79"/>
      <c r="W680" s="79"/>
      <c r="X680" s="79"/>
      <c r="Y680" s="79"/>
      <c r="Z680" s="79"/>
    </row>
    <row r="681" spans="1:26" ht="50.95" customHeight="1" x14ac:dyDescent="0.15">
      <c r="A681" s="79"/>
      <c r="B681" s="79"/>
      <c r="C681" s="94"/>
      <c r="D681" s="95"/>
      <c r="E681" s="87"/>
      <c r="F681" s="95"/>
      <c r="G681" s="79"/>
      <c r="H681" s="79"/>
      <c r="I681" s="79"/>
      <c r="J681" s="79"/>
      <c r="K681" s="79"/>
      <c r="L681" s="79"/>
      <c r="M681" s="79"/>
      <c r="N681" s="79"/>
      <c r="O681" s="79"/>
      <c r="P681" s="79"/>
      <c r="Q681" s="79"/>
      <c r="R681" s="79"/>
      <c r="S681" s="79"/>
      <c r="T681" s="79"/>
      <c r="U681" s="79"/>
      <c r="V681" s="79"/>
      <c r="W681" s="79"/>
      <c r="X681" s="79"/>
      <c r="Y681" s="79"/>
      <c r="Z681" s="79"/>
    </row>
    <row r="682" spans="1:26" ht="50.95" customHeight="1" x14ac:dyDescent="0.15">
      <c r="A682" s="79"/>
      <c r="B682" s="79"/>
      <c r="C682" s="94"/>
      <c r="D682" s="95"/>
      <c r="E682" s="87"/>
      <c r="F682" s="95"/>
      <c r="G682" s="79"/>
      <c r="H682" s="79"/>
      <c r="I682" s="79"/>
      <c r="J682" s="79"/>
      <c r="K682" s="79"/>
      <c r="L682" s="79"/>
      <c r="M682" s="79"/>
      <c r="N682" s="79"/>
      <c r="O682" s="79"/>
      <c r="P682" s="79"/>
      <c r="Q682" s="79"/>
      <c r="R682" s="79"/>
      <c r="S682" s="79"/>
      <c r="T682" s="79"/>
      <c r="U682" s="79"/>
      <c r="V682" s="79"/>
      <c r="W682" s="79"/>
      <c r="X682" s="79"/>
      <c r="Y682" s="79"/>
      <c r="Z682" s="79"/>
    </row>
    <row r="683" spans="1:26" ht="50.95" customHeight="1" x14ac:dyDescent="0.15">
      <c r="A683" s="79"/>
      <c r="B683" s="79"/>
      <c r="C683" s="94"/>
      <c r="D683" s="95"/>
      <c r="E683" s="87"/>
      <c r="F683" s="95"/>
      <c r="G683" s="79"/>
      <c r="H683" s="79"/>
      <c r="I683" s="79"/>
      <c r="J683" s="79"/>
      <c r="K683" s="79"/>
      <c r="L683" s="79"/>
      <c r="M683" s="79"/>
      <c r="N683" s="79"/>
      <c r="O683" s="79"/>
      <c r="P683" s="79"/>
      <c r="Q683" s="79"/>
      <c r="R683" s="79"/>
      <c r="S683" s="79"/>
      <c r="T683" s="79"/>
      <c r="U683" s="79"/>
      <c r="V683" s="79"/>
      <c r="W683" s="79"/>
      <c r="X683" s="79"/>
      <c r="Y683" s="79"/>
      <c r="Z683" s="79"/>
    </row>
    <row r="684" spans="1:26" ht="50.95" customHeight="1" x14ac:dyDescent="0.15">
      <c r="A684" s="79"/>
      <c r="B684" s="79"/>
      <c r="C684" s="94"/>
      <c r="D684" s="95"/>
      <c r="E684" s="87"/>
      <c r="F684" s="95"/>
      <c r="G684" s="79"/>
      <c r="H684" s="79"/>
      <c r="I684" s="79"/>
      <c r="J684" s="79"/>
      <c r="K684" s="79"/>
      <c r="L684" s="79"/>
      <c r="M684" s="79"/>
      <c r="N684" s="79"/>
      <c r="O684" s="79"/>
      <c r="P684" s="79"/>
      <c r="Q684" s="79"/>
      <c r="R684" s="79"/>
      <c r="S684" s="79"/>
      <c r="T684" s="79"/>
      <c r="U684" s="79"/>
      <c r="V684" s="79"/>
      <c r="W684" s="79"/>
      <c r="X684" s="79"/>
      <c r="Y684" s="79"/>
      <c r="Z684" s="79"/>
    </row>
    <row r="685" spans="1:26" ht="50.95" customHeight="1" x14ac:dyDescent="0.15">
      <c r="A685" s="79"/>
      <c r="B685" s="79"/>
      <c r="C685" s="94"/>
      <c r="D685" s="95"/>
      <c r="E685" s="87"/>
      <c r="F685" s="95"/>
      <c r="G685" s="79"/>
      <c r="H685" s="79"/>
      <c r="I685" s="79"/>
      <c r="J685" s="79"/>
      <c r="K685" s="79"/>
      <c r="L685" s="79"/>
      <c r="M685" s="79"/>
      <c r="N685" s="79"/>
      <c r="O685" s="79"/>
      <c r="P685" s="79"/>
      <c r="Q685" s="79"/>
      <c r="R685" s="79"/>
      <c r="S685" s="79"/>
      <c r="T685" s="79"/>
      <c r="U685" s="79"/>
      <c r="V685" s="79"/>
      <c r="W685" s="79"/>
      <c r="X685" s="79"/>
      <c r="Y685" s="79"/>
      <c r="Z685" s="79"/>
    </row>
    <row r="686" spans="1:26" ht="50.95" customHeight="1" x14ac:dyDescent="0.15">
      <c r="A686" s="79"/>
      <c r="B686" s="79"/>
      <c r="C686" s="94"/>
      <c r="D686" s="95"/>
      <c r="E686" s="87"/>
      <c r="F686" s="95"/>
      <c r="G686" s="79"/>
      <c r="H686" s="79"/>
      <c r="I686" s="79"/>
      <c r="J686" s="79"/>
      <c r="K686" s="79"/>
      <c r="L686" s="79"/>
      <c r="M686" s="79"/>
      <c r="N686" s="79"/>
      <c r="O686" s="79"/>
      <c r="P686" s="79"/>
      <c r="Q686" s="79"/>
      <c r="R686" s="79"/>
      <c r="S686" s="79"/>
      <c r="T686" s="79"/>
      <c r="U686" s="79"/>
      <c r="V686" s="79"/>
      <c r="W686" s="79"/>
      <c r="X686" s="79"/>
      <c r="Y686" s="79"/>
      <c r="Z686" s="79"/>
    </row>
    <row r="687" spans="1:26" ht="50.95" customHeight="1" x14ac:dyDescent="0.15">
      <c r="A687" s="79"/>
      <c r="B687" s="79"/>
      <c r="C687" s="94"/>
      <c r="D687" s="95"/>
      <c r="E687" s="87"/>
      <c r="F687" s="95"/>
      <c r="G687" s="79"/>
      <c r="H687" s="79"/>
      <c r="I687" s="79"/>
      <c r="J687" s="79"/>
      <c r="K687" s="79"/>
      <c r="L687" s="79"/>
      <c r="M687" s="79"/>
      <c r="N687" s="79"/>
      <c r="O687" s="79"/>
      <c r="P687" s="79"/>
      <c r="Q687" s="79"/>
      <c r="R687" s="79"/>
      <c r="S687" s="79"/>
      <c r="T687" s="79"/>
      <c r="U687" s="79"/>
      <c r="V687" s="79"/>
      <c r="W687" s="79"/>
      <c r="X687" s="79"/>
      <c r="Y687" s="79"/>
      <c r="Z687" s="79"/>
    </row>
    <row r="688" spans="1:26" ht="50.95" customHeight="1" x14ac:dyDescent="0.15">
      <c r="A688" s="79"/>
      <c r="B688" s="79"/>
      <c r="C688" s="94"/>
      <c r="D688" s="95"/>
      <c r="E688" s="87"/>
      <c r="F688" s="95"/>
      <c r="G688" s="79"/>
      <c r="H688" s="79"/>
      <c r="I688" s="79"/>
      <c r="J688" s="79"/>
      <c r="K688" s="79"/>
      <c r="L688" s="79"/>
      <c r="M688" s="79"/>
      <c r="N688" s="79"/>
      <c r="O688" s="79"/>
      <c r="P688" s="79"/>
      <c r="Q688" s="79"/>
      <c r="R688" s="79"/>
      <c r="S688" s="79"/>
      <c r="T688" s="79"/>
      <c r="U688" s="79"/>
      <c r="V688" s="79"/>
      <c r="W688" s="79"/>
      <c r="X688" s="79"/>
      <c r="Y688" s="79"/>
      <c r="Z688" s="79"/>
    </row>
    <row r="689" spans="1:26" ht="50.95" customHeight="1" x14ac:dyDescent="0.15">
      <c r="A689" s="79"/>
      <c r="B689" s="79"/>
      <c r="C689" s="94"/>
      <c r="D689" s="95"/>
      <c r="E689" s="87"/>
      <c r="F689" s="95"/>
      <c r="G689" s="79"/>
      <c r="H689" s="79"/>
      <c r="I689" s="79"/>
      <c r="J689" s="79"/>
      <c r="K689" s="79"/>
      <c r="L689" s="79"/>
      <c r="M689" s="79"/>
      <c r="N689" s="79"/>
      <c r="O689" s="79"/>
      <c r="P689" s="79"/>
      <c r="Q689" s="79"/>
      <c r="R689" s="79"/>
      <c r="S689" s="79"/>
      <c r="T689" s="79"/>
      <c r="U689" s="79"/>
      <c r="V689" s="79"/>
      <c r="W689" s="79"/>
      <c r="X689" s="79"/>
      <c r="Y689" s="79"/>
      <c r="Z689" s="79"/>
    </row>
    <row r="690" spans="1:26" ht="50.95" customHeight="1" x14ac:dyDescent="0.15">
      <c r="A690" s="79"/>
      <c r="B690" s="79"/>
      <c r="C690" s="94"/>
      <c r="D690" s="95"/>
      <c r="E690" s="87"/>
      <c r="F690" s="95"/>
      <c r="G690" s="79"/>
      <c r="H690" s="79"/>
      <c r="I690" s="79"/>
      <c r="J690" s="79"/>
      <c r="K690" s="79"/>
      <c r="L690" s="79"/>
      <c r="M690" s="79"/>
      <c r="N690" s="79"/>
      <c r="O690" s="79"/>
      <c r="P690" s="79"/>
      <c r="Q690" s="79"/>
      <c r="R690" s="79"/>
      <c r="S690" s="79"/>
      <c r="T690" s="79"/>
      <c r="U690" s="79"/>
      <c r="V690" s="79"/>
      <c r="W690" s="79"/>
      <c r="X690" s="79"/>
      <c r="Y690" s="79"/>
      <c r="Z690" s="79"/>
    </row>
    <row r="691" spans="1:26" ht="50.95" customHeight="1" x14ac:dyDescent="0.15">
      <c r="A691" s="79"/>
      <c r="B691" s="79"/>
      <c r="C691" s="94"/>
      <c r="D691" s="95"/>
      <c r="E691" s="87"/>
      <c r="F691" s="95"/>
      <c r="G691" s="79"/>
      <c r="H691" s="79"/>
      <c r="I691" s="79"/>
      <c r="J691" s="79"/>
      <c r="K691" s="79"/>
      <c r="L691" s="79"/>
      <c r="M691" s="79"/>
      <c r="N691" s="79"/>
      <c r="O691" s="79"/>
      <c r="P691" s="79"/>
      <c r="Q691" s="79"/>
      <c r="R691" s="79"/>
      <c r="S691" s="79"/>
      <c r="T691" s="79"/>
      <c r="U691" s="79"/>
      <c r="V691" s="79"/>
      <c r="W691" s="79"/>
      <c r="X691" s="79"/>
      <c r="Y691" s="79"/>
      <c r="Z691" s="79"/>
    </row>
    <row r="692" spans="1:26" ht="50.95" customHeight="1" x14ac:dyDescent="0.15">
      <c r="A692" s="79"/>
      <c r="B692" s="79"/>
      <c r="C692" s="94"/>
      <c r="D692" s="95"/>
      <c r="E692" s="87"/>
      <c r="F692" s="95"/>
      <c r="G692" s="79"/>
      <c r="H692" s="79"/>
      <c r="I692" s="79"/>
      <c r="J692" s="79"/>
      <c r="K692" s="79"/>
      <c r="L692" s="79"/>
      <c r="M692" s="79"/>
      <c r="N692" s="79"/>
      <c r="O692" s="79"/>
      <c r="P692" s="79"/>
      <c r="Q692" s="79"/>
      <c r="R692" s="79"/>
      <c r="S692" s="79"/>
      <c r="T692" s="79"/>
      <c r="U692" s="79"/>
      <c r="V692" s="79"/>
      <c r="W692" s="79"/>
      <c r="X692" s="79"/>
      <c r="Y692" s="79"/>
      <c r="Z692" s="79"/>
    </row>
    <row r="693" spans="1:26" ht="50.95" customHeight="1" x14ac:dyDescent="0.15">
      <c r="A693" s="79"/>
      <c r="B693" s="79"/>
      <c r="C693" s="94"/>
      <c r="D693" s="95"/>
      <c r="E693" s="87"/>
      <c r="F693" s="95"/>
      <c r="G693" s="79"/>
      <c r="H693" s="79"/>
      <c r="I693" s="79"/>
      <c r="J693" s="79"/>
      <c r="K693" s="79"/>
      <c r="L693" s="79"/>
      <c r="M693" s="79"/>
      <c r="N693" s="79"/>
      <c r="O693" s="79"/>
      <c r="P693" s="79"/>
      <c r="Q693" s="79"/>
      <c r="R693" s="79"/>
      <c r="S693" s="79"/>
      <c r="T693" s="79"/>
      <c r="U693" s="79"/>
      <c r="V693" s="79"/>
      <c r="W693" s="79"/>
      <c r="X693" s="79"/>
      <c r="Y693" s="79"/>
      <c r="Z693" s="79"/>
    </row>
    <row r="694" spans="1:26" ht="50.95" customHeight="1" x14ac:dyDescent="0.15">
      <c r="A694" s="79"/>
      <c r="B694" s="79"/>
      <c r="C694" s="94"/>
      <c r="D694" s="95"/>
      <c r="E694" s="87"/>
      <c r="F694" s="95"/>
      <c r="G694" s="79"/>
      <c r="H694" s="79"/>
      <c r="I694" s="79"/>
      <c r="J694" s="79"/>
      <c r="K694" s="79"/>
      <c r="L694" s="79"/>
      <c r="M694" s="79"/>
      <c r="N694" s="79"/>
      <c r="O694" s="79"/>
      <c r="P694" s="79"/>
      <c r="Q694" s="79"/>
      <c r="R694" s="79"/>
      <c r="S694" s="79"/>
      <c r="T694" s="79"/>
      <c r="U694" s="79"/>
      <c r="V694" s="79"/>
      <c r="W694" s="79"/>
      <c r="X694" s="79"/>
      <c r="Y694" s="79"/>
      <c r="Z694" s="79"/>
    </row>
    <row r="695" spans="1:26" ht="50.95" customHeight="1" x14ac:dyDescent="0.15">
      <c r="A695" s="79"/>
      <c r="B695" s="79"/>
      <c r="C695" s="94"/>
      <c r="D695" s="95"/>
      <c r="E695" s="87"/>
      <c r="F695" s="95"/>
      <c r="G695" s="79"/>
      <c r="H695" s="79"/>
      <c r="I695" s="79"/>
      <c r="J695" s="79"/>
      <c r="K695" s="79"/>
      <c r="L695" s="79"/>
      <c r="M695" s="79"/>
      <c r="N695" s="79"/>
      <c r="O695" s="79"/>
      <c r="P695" s="79"/>
      <c r="Q695" s="79"/>
      <c r="R695" s="79"/>
      <c r="S695" s="79"/>
      <c r="T695" s="79"/>
      <c r="U695" s="79"/>
      <c r="V695" s="79"/>
      <c r="W695" s="79"/>
      <c r="X695" s="79"/>
      <c r="Y695" s="79"/>
      <c r="Z695" s="79"/>
    </row>
    <row r="696" spans="1:26" ht="50.95" customHeight="1" x14ac:dyDescent="0.15">
      <c r="A696" s="79"/>
      <c r="B696" s="79"/>
      <c r="C696" s="94"/>
      <c r="D696" s="95"/>
      <c r="E696" s="87"/>
      <c r="F696" s="95"/>
      <c r="G696" s="79"/>
      <c r="H696" s="79"/>
      <c r="I696" s="79"/>
      <c r="J696" s="79"/>
      <c r="K696" s="79"/>
      <c r="L696" s="79"/>
      <c r="M696" s="79"/>
      <c r="N696" s="79"/>
      <c r="O696" s="79"/>
      <c r="P696" s="79"/>
      <c r="Q696" s="79"/>
      <c r="R696" s="79"/>
      <c r="S696" s="79"/>
      <c r="T696" s="79"/>
      <c r="U696" s="79"/>
      <c r="V696" s="79"/>
      <c r="W696" s="79"/>
      <c r="X696" s="79"/>
      <c r="Y696" s="79"/>
      <c r="Z696" s="79"/>
    </row>
    <row r="697" spans="1:26" ht="50.95" customHeight="1" x14ac:dyDescent="0.15">
      <c r="A697" s="79"/>
      <c r="B697" s="79"/>
      <c r="C697" s="94"/>
      <c r="D697" s="95"/>
      <c r="E697" s="87"/>
      <c r="F697" s="95"/>
      <c r="G697" s="79"/>
      <c r="H697" s="79"/>
      <c r="I697" s="79"/>
      <c r="J697" s="79"/>
      <c r="K697" s="79"/>
      <c r="L697" s="79"/>
      <c r="M697" s="79"/>
      <c r="N697" s="79"/>
      <c r="O697" s="79"/>
      <c r="P697" s="79"/>
      <c r="Q697" s="79"/>
      <c r="R697" s="79"/>
      <c r="S697" s="79"/>
      <c r="T697" s="79"/>
      <c r="U697" s="79"/>
      <c r="V697" s="79"/>
      <c r="W697" s="79"/>
      <c r="X697" s="79"/>
      <c r="Y697" s="79"/>
      <c r="Z697" s="79"/>
    </row>
    <row r="698" spans="1:26" ht="50.95" customHeight="1" x14ac:dyDescent="0.15">
      <c r="A698" s="79"/>
      <c r="B698" s="79"/>
      <c r="C698" s="94"/>
      <c r="D698" s="95"/>
      <c r="E698" s="87"/>
      <c r="F698" s="95"/>
      <c r="G698" s="79"/>
      <c r="H698" s="79"/>
      <c r="I698" s="79"/>
      <c r="J698" s="79"/>
      <c r="K698" s="79"/>
      <c r="L698" s="79"/>
      <c r="M698" s="79"/>
      <c r="N698" s="79"/>
      <c r="O698" s="79"/>
      <c r="P698" s="79"/>
      <c r="Q698" s="79"/>
      <c r="R698" s="79"/>
      <c r="S698" s="79"/>
      <c r="T698" s="79"/>
      <c r="U698" s="79"/>
      <c r="V698" s="79"/>
      <c r="W698" s="79"/>
      <c r="X698" s="79"/>
      <c r="Y698" s="79"/>
      <c r="Z698" s="79"/>
    </row>
    <row r="699" spans="1:26" ht="50.95" customHeight="1" x14ac:dyDescent="0.15">
      <c r="A699" s="79"/>
      <c r="B699" s="79"/>
      <c r="C699" s="94"/>
      <c r="D699" s="95"/>
      <c r="E699" s="87"/>
      <c r="F699" s="95"/>
      <c r="G699" s="79"/>
      <c r="H699" s="79"/>
      <c r="I699" s="79"/>
      <c r="J699" s="79"/>
      <c r="K699" s="79"/>
      <c r="L699" s="79"/>
      <c r="M699" s="79"/>
      <c r="N699" s="79"/>
      <c r="O699" s="79"/>
      <c r="P699" s="79"/>
      <c r="Q699" s="79"/>
      <c r="R699" s="79"/>
      <c r="S699" s="79"/>
      <c r="T699" s="79"/>
      <c r="U699" s="79"/>
      <c r="V699" s="79"/>
      <c r="W699" s="79"/>
      <c r="X699" s="79"/>
      <c r="Y699" s="79"/>
      <c r="Z699" s="79"/>
    </row>
    <row r="700" spans="1:26" ht="50.95" customHeight="1" x14ac:dyDescent="0.15">
      <c r="A700" s="79"/>
      <c r="B700" s="79"/>
      <c r="C700" s="94"/>
      <c r="D700" s="95"/>
      <c r="E700" s="87"/>
      <c r="F700" s="95"/>
      <c r="G700" s="79"/>
      <c r="H700" s="79"/>
      <c r="I700" s="79"/>
      <c r="J700" s="79"/>
      <c r="K700" s="79"/>
      <c r="L700" s="79"/>
      <c r="M700" s="79"/>
      <c r="N700" s="79"/>
      <c r="O700" s="79"/>
      <c r="P700" s="79"/>
      <c r="Q700" s="79"/>
      <c r="R700" s="79"/>
      <c r="S700" s="79"/>
      <c r="T700" s="79"/>
      <c r="U700" s="79"/>
      <c r="V700" s="79"/>
      <c r="W700" s="79"/>
      <c r="X700" s="79"/>
      <c r="Y700" s="79"/>
      <c r="Z700" s="79"/>
    </row>
    <row r="701" spans="1:26" ht="50.95" customHeight="1" x14ac:dyDescent="0.15">
      <c r="A701" s="79"/>
      <c r="B701" s="79"/>
      <c r="C701" s="94"/>
      <c r="D701" s="95"/>
      <c r="E701" s="87"/>
      <c r="F701" s="95"/>
      <c r="G701" s="79"/>
      <c r="H701" s="79"/>
      <c r="I701" s="79"/>
      <c r="J701" s="79"/>
      <c r="K701" s="79"/>
      <c r="L701" s="79"/>
      <c r="M701" s="79"/>
      <c r="N701" s="79"/>
      <c r="O701" s="79"/>
      <c r="P701" s="79"/>
      <c r="Q701" s="79"/>
      <c r="R701" s="79"/>
      <c r="S701" s="79"/>
      <c r="T701" s="79"/>
      <c r="U701" s="79"/>
      <c r="V701" s="79"/>
      <c r="W701" s="79"/>
      <c r="X701" s="79"/>
      <c r="Y701" s="79"/>
      <c r="Z701" s="79"/>
    </row>
    <row r="702" spans="1:26" ht="50.95" customHeight="1" x14ac:dyDescent="0.15">
      <c r="A702" s="79"/>
      <c r="B702" s="79"/>
      <c r="C702" s="94"/>
      <c r="D702" s="95"/>
      <c r="E702" s="87"/>
      <c r="F702" s="95"/>
      <c r="G702" s="79"/>
      <c r="H702" s="79"/>
      <c r="I702" s="79"/>
      <c r="J702" s="79"/>
      <c r="K702" s="79"/>
      <c r="L702" s="79"/>
      <c r="M702" s="79"/>
      <c r="N702" s="79"/>
      <c r="O702" s="79"/>
      <c r="P702" s="79"/>
      <c r="Q702" s="79"/>
      <c r="R702" s="79"/>
      <c r="S702" s="79"/>
      <c r="T702" s="79"/>
      <c r="U702" s="79"/>
      <c r="V702" s="79"/>
      <c r="W702" s="79"/>
      <c r="X702" s="79"/>
      <c r="Y702" s="79"/>
      <c r="Z702" s="79"/>
    </row>
    <row r="703" spans="1:26" ht="50.95" customHeight="1" x14ac:dyDescent="0.15">
      <c r="A703" s="79"/>
      <c r="B703" s="79"/>
      <c r="C703" s="94"/>
      <c r="D703" s="95"/>
      <c r="E703" s="87"/>
      <c r="F703" s="95"/>
      <c r="G703" s="79"/>
      <c r="H703" s="79"/>
      <c r="I703" s="79"/>
      <c r="J703" s="79"/>
      <c r="K703" s="79"/>
      <c r="L703" s="79"/>
      <c r="M703" s="79"/>
      <c r="N703" s="79"/>
      <c r="O703" s="79"/>
      <c r="P703" s="79"/>
      <c r="Q703" s="79"/>
      <c r="R703" s="79"/>
      <c r="S703" s="79"/>
      <c r="T703" s="79"/>
      <c r="U703" s="79"/>
      <c r="V703" s="79"/>
      <c r="W703" s="79"/>
      <c r="X703" s="79"/>
      <c r="Y703" s="79"/>
      <c r="Z703" s="79"/>
    </row>
    <row r="704" spans="1:26" ht="50.95" customHeight="1" x14ac:dyDescent="0.15">
      <c r="A704" s="79"/>
      <c r="B704" s="79"/>
      <c r="C704" s="94"/>
      <c r="D704" s="95"/>
      <c r="E704" s="87"/>
      <c r="F704" s="95"/>
      <c r="G704" s="79"/>
      <c r="H704" s="79"/>
      <c r="I704" s="79"/>
      <c r="J704" s="79"/>
      <c r="K704" s="79"/>
      <c r="L704" s="79"/>
      <c r="M704" s="79"/>
      <c r="N704" s="79"/>
      <c r="O704" s="79"/>
      <c r="P704" s="79"/>
      <c r="Q704" s="79"/>
      <c r="R704" s="79"/>
      <c r="S704" s="79"/>
      <c r="T704" s="79"/>
      <c r="U704" s="79"/>
      <c r="V704" s="79"/>
      <c r="W704" s="79"/>
      <c r="X704" s="79"/>
      <c r="Y704" s="79"/>
      <c r="Z704" s="79"/>
    </row>
    <row r="705" spans="1:26" ht="50.95" customHeight="1" x14ac:dyDescent="0.15">
      <c r="A705" s="79"/>
      <c r="B705" s="79"/>
      <c r="C705" s="94"/>
      <c r="D705" s="95"/>
      <c r="E705" s="87"/>
      <c r="F705" s="95"/>
      <c r="G705" s="79"/>
      <c r="H705" s="79"/>
      <c r="I705" s="79"/>
      <c r="J705" s="79"/>
      <c r="K705" s="79"/>
      <c r="L705" s="79"/>
      <c r="M705" s="79"/>
      <c r="N705" s="79"/>
      <c r="O705" s="79"/>
      <c r="P705" s="79"/>
      <c r="Q705" s="79"/>
      <c r="R705" s="79"/>
      <c r="S705" s="79"/>
      <c r="T705" s="79"/>
      <c r="U705" s="79"/>
      <c r="V705" s="79"/>
      <c r="W705" s="79"/>
      <c r="X705" s="79"/>
      <c r="Y705" s="79"/>
      <c r="Z705" s="79"/>
    </row>
    <row r="706" spans="1:26" ht="50.95" customHeight="1" x14ac:dyDescent="0.15">
      <c r="A706" s="79"/>
      <c r="B706" s="79"/>
      <c r="C706" s="94"/>
      <c r="D706" s="95"/>
      <c r="E706" s="87"/>
      <c r="F706" s="95"/>
      <c r="G706" s="79"/>
      <c r="H706" s="79"/>
      <c r="I706" s="79"/>
      <c r="J706" s="79"/>
      <c r="K706" s="79"/>
      <c r="L706" s="79"/>
      <c r="M706" s="79"/>
      <c r="N706" s="79"/>
      <c r="O706" s="79"/>
      <c r="P706" s="79"/>
      <c r="Q706" s="79"/>
      <c r="R706" s="79"/>
      <c r="S706" s="79"/>
      <c r="T706" s="79"/>
      <c r="U706" s="79"/>
      <c r="V706" s="79"/>
      <c r="W706" s="79"/>
      <c r="X706" s="79"/>
      <c r="Y706" s="79"/>
      <c r="Z706" s="79"/>
    </row>
    <row r="707" spans="1:26" ht="50.95" customHeight="1" x14ac:dyDescent="0.15">
      <c r="A707" s="79"/>
      <c r="B707" s="79"/>
      <c r="C707" s="94"/>
      <c r="D707" s="95"/>
      <c r="E707" s="87"/>
      <c r="F707" s="95"/>
      <c r="G707" s="79"/>
      <c r="H707" s="79"/>
      <c r="I707" s="79"/>
      <c r="J707" s="79"/>
      <c r="K707" s="79"/>
      <c r="L707" s="79"/>
      <c r="M707" s="79"/>
      <c r="N707" s="79"/>
      <c r="O707" s="79"/>
      <c r="P707" s="79"/>
      <c r="Q707" s="79"/>
      <c r="R707" s="79"/>
      <c r="S707" s="79"/>
      <c r="T707" s="79"/>
      <c r="U707" s="79"/>
      <c r="V707" s="79"/>
      <c r="W707" s="79"/>
      <c r="X707" s="79"/>
      <c r="Y707" s="79"/>
      <c r="Z707" s="79"/>
    </row>
    <row r="708" spans="1:26" ht="50.95" customHeight="1" x14ac:dyDescent="0.15">
      <c r="A708" s="79"/>
      <c r="B708" s="79"/>
      <c r="C708" s="94"/>
      <c r="D708" s="95"/>
      <c r="E708" s="87"/>
      <c r="F708" s="95"/>
      <c r="G708" s="79"/>
      <c r="H708" s="79"/>
      <c r="I708" s="79"/>
      <c r="J708" s="79"/>
      <c r="K708" s="79"/>
      <c r="L708" s="79"/>
      <c r="M708" s="79"/>
      <c r="N708" s="79"/>
      <c r="O708" s="79"/>
      <c r="P708" s="79"/>
      <c r="Q708" s="79"/>
      <c r="R708" s="79"/>
      <c r="S708" s="79"/>
      <c r="T708" s="79"/>
      <c r="U708" s="79"/>
      <c r="V708" s="79"/>
      <c r="W708" s="79"/>
      <c r="X708" s="79"/>
      <c r="Y708" s="79"/>
      <c r="Z708" s="79"/>
    </row>
    <row r="709" spans="1:26" ht="50.95" customHeight="1" x14ac:dyDescent="0.15">
      <c r="A709" s="79"/>
      <c r="B709" s="79"/>
      <c r="C709" s="94"/>
      <c r="D709" s="95"/>
      <c r="E709" s="87"/>
      <c r="F709" s="95"/>
      <c r="G709" s="79"/>
      <c r="H709" s="79"/>
      <c r="I709" s="79"/>
      <c r="J709" s="79"/>
      <c r="K709" s="79"/>
      <c r="L709" s="79"/>
      <c r="M709" s="79"/>
      <c r="N709" s="79"/>
      <c r="O709" s="79"/>
      <c r="P709" s="79"/>
      <c r="Q709" s="79"/>
      <c r="R709" s="79"/>
      <c r="S709" s="79"/>
      <c r="T709" s="79"/>
      <c r="U709" s="79"/>
      <c r="V709" s="79"/>
      <c r="W709" s="79"/>
      <c r="X709" s="79"/>
      <c r="Y709" s="79"/>
      <c r="Z709" s="79"/>
    </row>
    <row r="710" spans="1:26" ht="50.95" customHeight="1" x14ac:dyDescent="0.15">
      <c r="A710" s="79"/>
      <c r="B710" s="79"/>
      <c r="C710" s="94"/>
      <c r="D710" s="95"/>
      <c r="E710" s="87"/>
      <c r="F710" s="95"/>
      <c r="G710" s="79"/>
      <c r="H710" s="79"/>
      <c r="I710" s="79"/>
      <c r="J710" s="79"/>
      <c r="K710" s="79"/>
      <c r="L710" s="79"/>
      <c r="M710" s="79"/>
      <c r="N710" s="79"/>
      <c r="O710" s="79"/>
      <c r="P710" s="79"/>
      <c r="Q710" s="79"/>
      <c r="R710" s="79"/>
      <c r="S710" s="79"/>
      <c r="T710" s="79"/>
      <c r="U710" s="79"/>
      <c r="V710" s="79"/>
      <c r="W710" s="79"/>
      <c r="X710" s="79"/>
      <c r="Y710" s="79"/>
      <c r="Z710" s="79"/>
    </row>
    <row r="711" spans="1:26" ht="50.95" customHeight="1" x14ac:dyDescent="0.15">
      <c r="A711" s="79"/>
      <c r="B711" s="79"/>
      <c r="C711" s="94"/>
      <c r="D711" s="95"/>
      <c r="E711" s="87"/>
      <c r="F711" s="95"/>
      <c r="G711" s="79"/>
      <c r="H711" s="79"/>
      <c r="I711" s="79"/>
      <c r="J711" s="79"/>
      <c r="K711" s="79"/>
      <c r="L711" s="79"/>
      <c r="M711" s="79"/>
      <c r="N711" s="79"/>
      <c r="O711" s="79"/>
      <c r="P711" s="79"/>
      <c r="Q711" s="79"/>
      <c r="R711" s="79"/>
      <c r="S711" s="79"/>
      <c r="T711" s="79"/>
      <c r="U711" s="79"/>
      <c r="V711" s="79"/>
      <c r="W711" s="79"/>
      <c r="X711" s="79"/>
      <c r="Y711" s="79"/>
      <c r="Z711" s="79"/>
    </row>
    <row r="712" spans="1:26" ht="50.95" customHeight="1" x14ac:dyDescent="0.15">
      <c r="A712" s="79"/>
      <c r="B712" s="79"/>
      <c r="C712" s="94"/>
      <c r="D712" s="95"/>
      <c r="E712" s="87"/>
      <c r="F712" s="95"/>
      <c r="G712" s="79"/>
      <c r="H712" s="79"/>
      <c r="I712" s="79"/>
      <c r="J712" s="79"/>
      <c r="K712" s="79"/>
      <c r="L712" s="79"/>
      <c r="M712" s="79"/>
      <c r="N712" s="79"/>
      <c r="O712" s="79"/>
      <c r="P712" s="79"/>
      <c r="Q712" s="79"/>
      <c r="R712" s="79"/>
      <c r="S712" s="79"/>
      <c r="T712" s="79"/>
      <c r="U712" s="79"/>
      <c r="V712" s="79"/>
      <c r="W712" s="79"/>
      <c r="X712" s="79"/>
      <c r="Y712" s="79"/>
      <c r="Z712" s="79"/>
    </row>
    <row r="713" spans="1:26" ht="50.95" customHeight="1" x14ac:dyDescent="0.15">
      <c r="A713" s="79"/>
      <c r="B713" s="79"/>
      <c r="C713" s="94"/>
      <c r="D713" s="95"/>
      <c r="E713" s="87"/>
      <c r="F713" s="95"/>
      <c r="G713" s="79"/>
      <c r="H713" s="79"/>
      <c r="I713" s="79"/>
      <c r="J713" s="79"/>
      <c r="K713" s="79"/>
      <c r="L713" s="79"/>
      <c r="M713" s="79"/>
      <c r="N713" s="79"/>
      <c r="O713" s="79"/>
      <c r="P713" s="79"/>
      <c r="Q713" s="79"/>
      <c r="R713" s="79"/>
      <c r="S713" s="79"/>
      <c r="T713" s="79"/>
      <c r="U713" s="79"/>
      <c r="V713" s="79"/>
      <c r="W713" s="79"/>
      <c r="X713" s="79"/>
      <c r="Y713" s="79"/>
      <c r="Z713" s="79"/>
    </row>
    <row r="714" spans="1:26" ht="50.95" customHeight="1" x14ac:dyDescent="0.15">
      <c r="A714" s="79"/>
      <c r="B714" s="79"/>
      <c r="C714" s="94"/>
      <c r="D714" s="95"/>
      <c r="E714" s="87"/>
      <c r="F714" s="95"/>
      <c r="G714" s="79"/>
      <c r="H714" s="79"/>
      <c r="I714" s="79"/>
      <c r="J714" s="79"/>
      <c r="K714" s="79"/>
      <c r="L714" s="79"/>
      <c r="M714" s="79"/>
      <c r="N714" s="79"/>
      <c r="O714" s="79"/>
      <c r="P714" s="79"/>
      <c r="Q714" s="79"/>
      <c r="R714" s="79"/>
      <c r="S714" s="79"/>
      <c r="T714" s="79"/>
      <c r="U714" s="79"/>
      <c r="V714" s="79"/>
      <c r="W714" s="79"/>
      <c r="X714" s="79"/>
      <c r="Y714" s="79"/>
      <c r="Z714" s="79"/>
    </row>
    <row r="715" spans="1:26" ht="50.95" customHeight="1" x14ac:dyDescent="0.15">
      <c r="A715" s="79"/>
      <c r="B715" s="79"/>
      <c r="C715" s="94"/>
      <c r="D715" s="95"/>
      <c r="E715" s="87"/>
      <c r="F715" s="95"/>
      <c r="G715" s="79"/>
      <c r="H715" s="79"/>
      <c r="I715" s="79"/>
      <c r="J715" s="79"/>
      <c r="K715" s="79"/>
      <c r="L715" s="79"/>
      <c r="M715" s="79"/>
      <c r="N715" s="79"/>
      <c r="O715" s="79"/>
      <c r="P715" s="79"/>
      <c r="Q715" s="79"/>
      <c r="R715" s="79"/>
      <c r="S715" s="79"/>
      <c r="T715" s="79"/>
      <c r="U715" s="79"/>
      <c r="V715" s="79"/>
      <c r="W715" s="79"/>
      <c r="X715" s="79"/>
      <c r="Y715" s="79"/>
      <c r="Z715" s="79"/>
    </row>
    <row r="716" spans="1:26" ht="50.95" customHeight="1" x14ac:dyDescent="0.15">
      <c r="A716" s="79"/>
      <c r="B716" s="79"/>
      <c r="C716" s="94"/>
      <c r="D716" s="95"/>
      <c r="E716" s="87"/>
      <c r="F716" s="95"/>
      <c r="G716" s="79"/>
      <c r="H716" s="79"/>
      <c r="I716" s="79"/>
      <c r="J716" s="79"/>
      <c r="K716" s="79"/>
      <c r="L716" s="79"/>
      <c r="M716" s="79"/>
      <c r="N716" s="79"/>
      <c r="O716" s="79"/>
      <c r="P716" s="79"/>
      <c r="Q716" s="79"/>
      <c r="R716" s="79"/>
      <c r="S716" s="79"/>
      <c r="T716" s="79"/>
      <c r="U716" s="79"/>
      <c r="V716" s="79"/>
      <c r="W716" s="79"/>
      <c r="X716" s="79"/>
      <c r="Y716" s="79"/>
      <c r="Z716" s="79"/>
    </row>
    <row r="717" spans="1:26" ht="50.95" customHeight="1" x14ac:dyDescent="0.15">
      <c r="A717" s="79"/>
      <c r="B717" s="79"/>
      <c r="C717" s="94"/>
      <c r="D717" s="95"/>
      <c r="E717" s="87"/>
      <c r="F717" s="95"/>
      <c r="G717" s="79"/>
      <c r="H717" s="79"/>
      <c r="I717" s="79"/>
      <c r="J717" s="79"/>
      <c r="K717" s="79"/>
      <c r="L717" s="79"/>
      <c r="M717" s="79"/>
      <c r="N717" s="79"/>
      <c r="O717" s="79"/>
      <c r="P717" s="79"/>
      <c r="Q717" s="79"/>
      <c r="R717" s="79"/>
      <c r="S717" s="79"/>
      <c r="T717" s="79"/>
      <c r="U717" s="79"/>
      <c r="V717" s="79"/>
      <c r="W717" s="79"/>
      <c r="X717" s="79"/>
      <c r="Y717" s="79"/>
      <c r="Z717" s="79"/>
    </row>
    <row r="718" spans="1:26" ht="50.95" customHeight="1" x14ac:dyDescent="0.15">
      <c r="A718" s="79"/>
      <c r="B718" s="79"/>
      <c r="C718" s="94"/>
      <c r="D718" s="95"/>
      <c r="E718" s="87"/>
      <c r="F718" s="95"/>
      <c r="G718" s="79"/>
      <c r="H718" s="79"/>
      <c r="I718" s="79"/>
      <c r="J718" s="79"/>
      <c r="K718" s="79"/>
      <c r="L718" s="79"/>
      <c r="M718" s="79"/>
      <c r="N718" s="79"/>
      <c r="O718" s="79"/>
      <c r="P718" s="79"/>
      <c r="Q718" s="79"/>
      <c r="R718" s="79"/>
      <c r="S718" s="79"/>
      <c r="T718" s="79"/>
      <c r="U718" s="79"/>
      <c r="V718" s="79"/>
      <c r="W718" s="79"/>
      <c r="X718" s="79"/>
      <c r="Y718" s="79"/>
      <c r="Z718" s="79"/>
    </row>
    <row r="719" spans="1:26" ht="50.95" customHeight="1" x14ac:dyDescent="0.15">
      <c r="A719" s="79"/>
      <c r="B719" s="79"/>
      <c r="C719" s="94"/>
      <c r="D719" s="95"/>
      <c r="E719" s="87"/>
      <c r="F719" s="95"/>
      <c r="G719" s="79"/>
      <c r="H719" s="79"/>
      <c r="I719" s="79"/>
      <c r="J719" s="79"/>
      <c r="K719" s="79"/>
      <c r="L719" s="79"/>
      <c r="M719" s="79"/>
      <c r="N719" s="79"/>
      <c r="O719" s="79"/>
      <c r="P719" s="79"/>
      <c r="Q719" s="79"/>
      <c r="R719" s="79"/>
      <c r="S719" s="79"/>
      <c r="T719" s="79"/>
      <c r="U719" s="79"/>
      <c r="V719" s="79"/>
      <c r="W719" s="79"/>
      <c r="X719" s="79"/>
      <c r="Y719" s="79"/>
      <c r="Z719" s="79"/>
    </row>
    <row r="720" spans="1:26" ht="50.95" customHeight="1" x14ac:dyDescent="0.15">
      <c r="A720" s="79"/>
      <c r="B720" s="79"/>
      <c r="C720" s="94"/>
      <c r="D720" s="95"/>
      <c r="E720" s="87"/>
      <c r="F720" s="95"/>
      <c r="G720" s="79"/>
      <c r="H720" s="79"/>
      <c r="I720" s="79"/>
      <c r="J720" s="79"/>
      <c r="K720" s="79"/>
      <c r="L720" s="79"/>
      <c r="M720" s="79"/>
      <c r="N720" s="79"/>
      <c r="O720" s="79"/>
      <c r="P720" s="79"/>
      <c r="Q720" s="79"/>
      <c r="R720" s="79"/>
      <c r="S720" s="79"/>
      <c r="T720" s="79"/>
      <c r="U720" s="79"/>
      <c r="V720" s="79"/>
      <c r="W720" s="79"/>
      <c r="X720" s="79"/>
      <c r="Y720" s="79"/>
      <c r="Z720" s="79"/>
    </row>
    <row r="721" spans="1:26" ht="50.95" customHeight="1" x14ac:dyDescent="0.15">
      <c r="A721" s="79"/>
      <c r="B721" s="79"/>
      <c r="C721" s="94"/>
      <c r="D721" s="95"/>
      <c r="E721" s="87"/>
      <c r="F721" s="95"/>
      <c r="G721" s="79"/>
      <c r="H721" s="79"/>
      <c r="I721" s="79"/>
      <c r="J721" s="79"/>
      <c r="K721" s="79"/>
      <c r="L721" s="79"/>
      <c r="M721" s="79"/>
      <c r="N721" s="79"/>
      <c r="O721" s="79"/>
      <c r="P721" s="79"/>
      <c r="Q721" s="79"/>
      <c r="R721" s="79"/>
      <c r="S721" s="79"/>
      <c r="T721" s="79"/>
      <c r="U721" s="79"/>
      <c r="V721" s="79"/>
      <c r="W721" s="79"/>
      <c r="X721" s="79"/>
      <c r="Y721" s="79"/>
      <c r="Z721" s="79"/>
    </row>
    <row r="722" spans="1:26" ht="50.95" customHeight="1" x14ac:dyDescent="0.15">
      <c r="A722" s="79"/>
      <c r="B722" s="79"/>
      <c r="C722" s="94"/>
      <c r="D722" s="95"/>
      <c r="E722" s="87"/>
      <c r="F722" s="95"/>
      <c r="G722" s="79"/>
      <c r="H722" s="79"/>
      <c r="I722" s="79"/>
      <c r="J722" s="79"/>
      <c r="K722" s="79"/>
      <c r="L722" s="79"/>
      <c r="M722" s="79"/>
      <c r="N722" s="79"/>
      <c r="O722" s="79"/>
      <c r="P722" s="79"/>
      <c r="Q722" s="79"/>
      <c r="R722" s="79"/>
      <c r="S722" s="79"/>
      <c r="T722" s="79"/>
      <c r="U722" s="79"/>
      <c r="V722" s="79"/>
      <c r="W722" s="79"/>
      <c r="X722" s="79"/>
      <c r="Y722" s="79"/>
      <c r="Z722" s="79"/>
    </row>
    <row r="723" spans="1:26" ht="50.95" customHeight="1" x14ac:dyDescent="0.15">
      <c r="A723" s="79"/>
      <c r="B723" s="79"/>
      <c r="C723" s="94"/>
      <c r="D723" s="95"/>
      <c r="E723" s="87"/>
      <c r="F723" s="95"/>
      <c r="G723" s="79"/>
      <c r="H723" s="79"/>
      <c r="I723" s="79"/>
      <c r="J723" s="79"/>
      <c r="K723" s="79"/>
      <c r="L723" s="79"/>
      <c r="M723" s="79"/>
      <c r="N723" s="79"/>
      <c r="O723" s="79"/>
      <c r="P723" s="79"/>
      <c r="Q723" s="79"/>
      <c r="R723" s="79"/>
      <c r="S723" s="79"/>
      <c r="T723" s="79"/>
      <c r="U723" s="79"/>
      <c r="V723" s="79"/>
      <c r="W723" s="79"/>
      <c r="X723" s="79"/>
      <c r="Y723" s="79"/>
      <c r="Z723" s="79"/>
    </row>
    <row r="724" spans="1:26" ht="50.95" customHeight="1" x14ac:dyDescent="0.15">
      <c r="A724" s="79"/>
      <c r="B724" s="79"/>
      <c r="C724" s="94"/>
      <c r="D724" s="95"/>
      <c r="E724" s="87"/>
      <c r="F724" s="95"/>
      <c r="G724" s="79"/>
      <c r="H724" s="79"/>
      <c r="I724" s="79"/>
      <c r="J724" s="79"/>
      <c r="K724" s="79"/>
      <c r="L724" s="79"/>
      <c r="M724" s="79"/>
      <c r="N724" s="79"/>
      <c r="O724" s="79"/>
      <c r="P724" s="79"/>
      <c r="Q724" s="79"/>
      <c r="R724" s="79"/>
      <c r="S724" s="79"/>
      <c r="T724" s="79"/>
      <c r="U724" s="79"/>
      <c r="V724" s="79"/>
      <c r="W724" s="79"/>
      <c r="X724" s="79"/>
      <c r="Y724" s="79"/>
      <c r="Z724" s="79"/>
    </row>
    <row r="725" spans="1:26" ht="50.95" customHeight="1" x14ac:dyDescent="0.15">
      <c r="A725" s="79"/>
      <c r="B725" s="79"/>
      <c r="C725" s="94"/>
      <c r="D725" s="95"/>
      <c r="E725" s="87"/>
      <c r="F725" s="95"/>
      <c r="G725" s="79"/>
      <c r="H725" s="79"/>
      <c r="I725" s="79"/>
      <c r="J725" s="79"/>
      <c r="K725" s="79"/>
      <c r="L725" s="79"/>
      <c r="M725" s="79"/>
      <c r="N725" s="79"/>
      <c r="O725" s="79"/>
      <c r="P725" s="79"/>
      <c r="Q725" s="79"/>
      <c r="R725" s="79"/>
      <c r="S725" s="79"/>
      <c r="T725" s="79"/>
      <c r="U725" s="79"/>
      <c r="V725" s="79"/>
      <c r="W725" s="79"/>
      <c r="X725" s="79"/>
      <c r="Y725" s="79"/>
      <c r="Z725" s="79"/>
    </row>
    <row r="726" spans="1:26" ht="50.95" customHeight="1" x14ac:dyDescent="0.15">
      <c r="A726" s="79"/>
      <c r="B726" s="79"/>
      <c r="C726" s="94"/>
      <c r="D726" s="95"/>
      <c r="E726" s="87"/>
      <c r="F726" s="95"/>
      <c r="G726" s="79"/>
      <c r="H726" s="79"/>
      <c r="I726" s="79"/>
      <c r="J726" s="79"/>
      <c r="K726" s="79"/>
      <c r="L726" s="79"/>
      <c r="M726" s="79"/>
      <c r="N726" s="79"/>
      <c r="O726" s="79"/>
      <c r="P726" s="79"/>
      <c r="Q726" s="79"/>
      <c r="R726" s="79"/>
      <c r="S726" s="79"/>
      <c r="T726" s="79"/>
      <c r="U726" s="79"/>
      <c r="V726" s="79"/>
      <c r="W726" s="79"/>
      <c r="X726" s="79"/>
      <c r="Y726" s="79"/>
      <c r="Z726" s="79"/>
    </row>
    <row r="727" spans="1:26" ht="50.95" customHeight="1" x14ac:dyDescent="0.15">
      <c r="A727" s="79"/>
      <c r="B727" s="79"/>
      <c r="C727" s="94"/>
      <c r="D727" s="95"/>
      <c r="E727" s="87"/>
      <c r="F727" s="95"/>
      <c r="G727" s="79"/>
      <c r="H727" s="79"/>
      <c r="I727" s="79"/>
      <c r="J727" s="79"/>
      <c r="K727" s="79"/>
      <c r="L727" s="79"/>
      <c r="M727" s="79"/>
      <c r="N727" s="79"/>
      <c r="O727" s="79"/>
      <c r="P727" s="79"/>
      <c r="Q727" s="79"/>
      <c r="R727" s="79"/>
      <c r="S727" s="79"/>
      <c r="T727" s="79"/>
      <c r="U727" s="79"/>
      <c r="V727" s="79"/>
      <c r="W727" s="79"/>
      <c r="X727" s="79"/>
      <c r="Y727" s="79"/>
      <c r="Z727" s="79"/>
    </row>
    <row r="728" spans="1:26" ht="50.95" customHeight="1" x14ac:dyDescent="0.15">
      <c r="A728" s="79"/>
      <c r="B728" s="79"/>
      <c r="C728" s="94"/>
      <c r="D728" s="95"/>
      <c r="E728" s="87"/>
      <c r="F728" s="95"/>
      <c r="G728" s="79"/>
      <c r="H728" s="79"/>
      <c r="I728" s="79"/>
      <c r="J728" s="79"/>
      <c r="K728" s="79"/>
      <c r="L728" s="79"/>
      <c r="M728" s="79"/>
      <c r="N728" s="79"/>
      <c r="O728" s="79"/>
      <c r="P728" s="79"/>
      <c r="Q728" s="79"/>
      <c r="R728" s="79"/>
      <c r="S728" s="79"/>
      <c r="T728" s="79"/>
      <c r="U728" s="79"/>
      <c r="V728" s="79"/>
      <c r="W728" s="79"/>
      <c r="X728" s="79"/>
      <c r="Y728" s="79"/>
      <c r="Z728" s="79"/>
    </row>
    <row r="729" spans="1:26" ht="50.95" customHeight="1" x14ac:dyDescent="0.15">
      <c r="A729" s="79"/>
      <c r="B729" s="79"/>
      <c r="C729" s="94"/>
      <c r="D729" s="95"/>
      <c r="E729" s="87"/>
      <c r="F729" s="95"/>
      <c r="G729" s="79"/>
      <c r="H729" s="79"/>
      <c r="I729" s="79"/>
      <c r="J729" s="79"/>
      <c r="K729" s="79"/>
      <c r="L729" s="79"/>
      <c r="M729" s="79"/>
      <c r="N729" s="79"/>
      <c r="O729" s="79"/>
      <c r="P729" s="79"/>
      <c r="Q729" s="79"/>
      <c r="R729" s="79"/>
      <c r="S729" s="79"/>
      <c r="T729" s="79"/>
      <c r="U729" s="79"/>
      <c r="V729" s="79"/>
      <c r="W729" s="79"/>
      <c r="X729" s="79"/>
      <c r="Y729" s="79"/>
      <c r="Z729" s="79"/>
    </row>
    <row r="730" spans="1:26" ht="50.95" customHeight="1" x14ac:dyDescent="0.15">
      <c r="A730" s="79"/>
      <c r="B730" s="79"/>
      <c r="C730" s="94"/>
      <c r="D730" s="95"/>
      <c r="E730" s="87"/>
      <c r="F730" s="95"/>
      <c r="G730" s="79"/>
      <c r="H730" s="79"/>
      <c r="I730" s="79"/>
      <c r="J730" s="79"/>
      <c r="K730" s="79"/>
      <c r="L730" s="79"/>
      <c r="M730" s="79"/>
      <c r="N730" s="79"/>
      <c r="O730" s="79"/>
      <c r="P730" s="79"/>
      <c r="Q730" s="79"/>
      <c r="R730" s="79"/>
      <c r="S730" s="79"/>
      <c r="T730" s="79"/>
      <c r="U730" s="79"/>
      <c r="V730" s="79"/>
      <c r="W730" s="79"/>
      <c r="X730" s="79"/>
      <c r="Y730" s="79"/>
      <c r="Z730" s="79"/>
    </row>
    <row r="731" spans="1:26" ht="50.95" customHeight="1" x14ac:dyDescent="0.15">
      <c r="A731" s="79"/>
      <c r="B731" s="79"/>
      <c r="C731" s="94"/>
      <c r="D731" s="95"/>
      <c r="E731" s="87"/>
      <c r="F731" s="95"/>
      <c r="G731" s="79"/>
      <c r="H731" s="79"/>
      <c r="I731" s="79"/>
      <c r="J731" s="79"/>
      <c r="K731" s="79"/>
      <c r="L731" s="79"/>
      <c r="M731" s="79"/>
      <c r="N731" s="79"/>
      <c r="O731" s="79"/>
      <c r="P731" s="79"/>
      <c r="Q731" s="79"/>
      <c r="R731" s="79"/>
      <c r="S731" s="79"/>
      <c r="T731" s="79"/>
      <c r="U731" s="79"/>
      <c r="V731" s="79"/>
      <c r="W731" s="79"/>
      <c r="X731" s="79"/>
      <c r="Y731" s="79"/>
      <c r="Z731" s="79"/>
    </row>
    <row r="732" spans="1:26" ht="50.95" customHeight="1" x14ac:dyDescent="0.15">
      <c r="A732" s="79"/>
      <c r="B732" s="79"/>
      <c r="C732" s="94"/>
      <c r="D732" s="95"/>
      <c r="E732" s="87"/>
      <c r="F732" s="95"/>
      <c r="G732" s="79"/>
      <c r="H732" s="79"/>
      <c r="I732" s="79"/>
      <c r="J732" s="79"/>
      <c r="K732" s="79"/>
      <c r="L732" s="79"/>
      <c r="M732" s="79"/>
      <c r="N732" s="79"/>
      <c r="O732" s="79"/>
      <c r="P732" s="79"/>
      <c r="Q732" s="79"/>
      <c r="R732" s="79"/>
      <c r="S732" s="79"/>
      <c r="T732" s="79"/>
      <c r="U732" s="79"/>
      <c r="V732" s="79"/>
      <c r="W732" s="79"/>
      <c r="X732" s="79"/>
      <c r="Y732" s="79"/>
      <c r="Z732" s="79"/>
    </row>
    <row r="733" spans="1:26" ht="50.95" customHeight="1" x14ac:dyDescent="0.15">
      <c r="A733" s="79"/>
      <c r="B733" s="79"/>
      <c r="C733" s="94"/>
      <c r="D733" s="95"/>
      <c r="E733" s="87"/>
      <c r="F733" s="95"/>
      <c r="G733" s="79"/>
      <c r="H733" s="79"/>
      <c r="I733" s="79"/>
      <c r="J733" s="79"/>
      <c r="K733" s="79"/>
      <c r="L733" s="79"/>
      <c r="M733" s="79"/>
      <c r="N733" s="79"/>
      <c r="O733" s="79"/>
      <c r="P733" s="79"/>
      <c r="Q733" s="79"/>
      <c r="R733" s="79"/>
      <c r="S733" s="79"/>
      <c r="T733" s="79"/>
      <c r="U733" s="79"/>
      <c r="V733" s="79"/>
      <c r="W733" s="79"/>
      <c r="X733" s="79"/>
      <c r="Y733" s="79"/>
      <c r="Z733" s="79"/>
    </row>
    <row r="734" spans="1:26" ht="50.95" customHeight="1" x14ac:dyDescent="0.15">
      <c r="A734" s="79"/>
      <c r="B734" s="79"/>
      <c r="C734" s="94"/>
      <c r="D734" s="95"/>
      <c r="E734" s="87"/>
      <c r="F734" s="95"/>
      <c r="G734" s="79"/>
      <c r="H734" s="79"/>
      <c r="I734" s="79"/>
      <c r="J734" s="79"/>
      <c r="K734" s="79"/>
      <c r="L734" s="79"/>
      <c r="M734" s="79"/>
      <c r="N734" s="79"/>
      <c r="O734" s="79"/>
      <c r="P734" s="79"/>
      <c r="Q734" s="79"/>
      <c r="R734" s="79"/>
      <c r="S734" s="79"/>
      <c r="T734" s="79"/>
      <c r="U734" s="79"/>
      <c r="V734" s="79"/>
      <c r="W734" s="79"/>
      <c r="X734" s="79"/>
      <c r="Y734" s="79"/>
      <c r="Z734" s="79"/>
    </row>
    <row r="735" spans="1:26" ht="50.95" customHeight="1" x14ac:dyDescent="0.15">
      <c r="A735" s="79"/>
      <c r="B735" s="79"/>
      <c r="C735" s="94"/>
      <c r="D735" s="95"/>
      <c r="E735" s="87"/>
      <c r="F735" s="95"/>
      <c r="G735" s="79"/>
      <c r="H735" s="79"/>
      <c r="I735" s="79"/>
      <c r="J735" s="79"/>
      <c r="K735" s="79"/>
      <c r="L735" s="79"/>
      <c r="M735" s="79"/>
      <c r="N735" s="79"/>
      <c r="O735" s="79"/>
      <c r="P735" s="79"/>
      <c r="Q735" s="79"/>
      <c r="R735" s="79"/>
      <c r="S735" s="79"/>
      <c r="T735" s="79"/>
      <c r="U735" s="79"/>
      <c r="V735" s="79"/>
      <c r="W735" s="79"/>
      <c r="X735" s="79"/>
      <c r="Y735" s="79"/>
      <c r="Z735" s="79"/>
    </row>
    <row r="736" spans="1:26" ht="50.95" customHeight="1" x14ac:dyDescent="0.15">
      <c r="A736" s="79"/>
      <c r="B736" s="79"/>
      <c r="C736" s="94"/>
      <c r="D736" s="95"/>
      <c r="E736" s="87"/>
      <c r="F736" s="95"/>
      <c r="G736" s="79"/>
      <c r="H736" s="79"/>
      <c r="I736" s="79"/>
      <c r="J736" s="79"/>
      <c r="K736" s="79"/>
      <c r="L736" s="79"/>
      <c r="M736" s="79"/>
      <c r="N736" s="79"/>
      <c r="O736" s="79"/>
      <c r="P736" s="79"/>
      <c r="Q736" s="79"/>
      <c r="R736" s="79"/>
      <c r="S736" s="79"/>
      <c r="T736" s="79"/>
      <c r="U736" s="79"/>
      <c r="V736" s="79"/>
      <c r="W736" s="79"/>
      <c r="X736" s="79"/>
      <c r="Y736" s="79"/>
      <c r="Z736" s="79"/>
    </row>
    <row r="737" spans="1:26" ht="50.95" customHeight="1" x14ac:dyDescent="0.15">
      <c r="A737" s="79"/>
      <c r="B737" s="79"/>
      <c r="C737" s="94"/>
      <c r="D737" s="95"/>
      <c r="E737" s="87"/>
      <c r="F737" s="95"/>
      <c r="G737" s="79"/>
      <c r="H737" s="79"/>
      <c r="I737" s="79"/>
      <c r="J737" s="79"/>
      <c r="K737" s="79"/>
      <c r="L737" s="79"/>
      <c r="M737" s="79"/>
      <c r="N737" s="79"/>
      <c r="O737" s="79"/>
      <c r="P737" s="79"/>
      <c r="Q737" s="79"/>
      <c r="R737" s="79"/>
      <c r="S737" s="79"/>
      <c r="T737" s="79"/>
      <c r="U737" s="79"/>
      <c r="V737" s="79"/>
      <c r="W737" s="79"/>
      <c r="X737" s="79"/>
      <c r="Y737" s="79"/>
      <c r="Z737" s="79"/>
    </row>
    <row r="738" spans="1:26" ht="50.95" customHeight="1" x14ac:dyDescent="0.15">
      <c r="A738" s="79"/>
      <c r="B738" s="79"/>
      <c r="C738" s="94"/>
      <c r="D738" s="95"/>
      <c r="E738" s="87"/>
      <c r="F738" s="95"/>
      <c r="G738" s="79"/>
      <c r="H738" s="79"/>
      <c r="I738" s="79"/>
      <c r="J738" s="79"/>
      <c r="K738" s="79"/>
      <c r="L738" s="79"/>
      <c r="M738" s="79"/>
      <c r="N738" s="79"/>
      <c r="O738" s="79"/>
      <c r="P738" s="79"/>
      <c r="Q738" s="79"/>
      <c r="R738" s="79"/>
      <c r="S738" s="79"/>
      <c r="T738" s="79"/>
      <c r="U738" s="79"/>
      <c r="V738" s="79"/>
      <c r="W738" s="79"/>
      <c r="X738" s="79"/>
      <c r="Y738" s="79"/>
      <c r="Z738" s="79"/>
    </row>
    <row r="739" spans="1:26" ht="50.95" customHeight="1" x14ac:dyDescent="0.15">
      <c r="A739" s="79"/>
      <c r="B739" s="79"/>
      <c r="C739" s="94"/>
      <c r="D739" s="95"/>
      <c r="E739" s="87"/>
      <c r="F739" s="95"/>
      <c r="G739" s="79"/>
      <c r="H739" s="79"/>
      <c r="I739" s="79"/>
      <c r="J739" s="79"/>
      <c r="K739" s="79"/>
      <c r="L739" s="79"/>
      <c r="M739" s="79"/>
      <c r="N739" s="79"/>
      <c r="O739" s="79"/>
      <c r="P739" s="79"/>
      <c r="Q739" s="79"/>
      <c r="R739" s="79"/>
      <c r="S739" s="79"/>
      <c r="T739" s="79"/>
      <c r="U739" s="79"/>
      <c r="V739" s="79"/>
      <c r="W739" s="79"/>
      <c r="X739" s="79"/>
      <c r="Y739" s="79"/>
      <c r="Z739" s="79"/>
    </row>
    <row r="740" spans="1:26" ht="50.95" customHeight="1" x14ac:dyDescent="0.15">
      <c r="A740" s="79"/>
      <c r="B740" s="79"/>
      <c r="C740" s="94"/>
      <c r="D740" s="95"/>
      <c r="E740" s="87"/>
      <c r="F740" s="95"/>
      <c r="G740" s="79"/>
      <c r="H740" s="79"/>
      <c r="I740" s="79"/>
      <c r="J740" s="79"/>
      <c r="K740" s="79"/>
      <c r="L740" s="79"/>
      <c r="M740" s="79"/>
      <c r="N740" s="79"/>
      <c r="O740" s="79"/>
      <c r="P740" s="79"/>
      <c r="Q740" s="79"/>
      <c r="R740" s="79"/>
      <c r="S740" s="79"/>
      <c r="T740" s="79"/>
      <c r="U740" s="79"/>
      <c r="V740" s="79"/>
      <c r="W740" s="79"/>
      <c r="X740" s="79"/>
      <c r="Y740" s="79"/>
      <c r="Z740" s="79"/>
    </row>
    <row r="741" spans="1:26" ht="50.95" customHeight="1" x14ac:dyDescent="0.15">
      <c r="A741" s="79"/>
      <c r="B741" s="79"/>
      <c r="C741" s="94"/>
      <c r="D741" s="95"/>
      <c r="E741" s="87"/>
      <c r="F741" s="95"/>
      <c r="G741" s="79"/>
      <c r="H741" s="79"/>
      <c r="I741" s="79"/>
      <c r="J741" s="79"/>
      <c r="K741" s="79"/>
      <c r="L741" s="79"/>
      <c r="M741" s="79"/>
      <c r="N741" s="79"/>
      <c r="O741" s="79"/>
      <c r="P741" s="79"/>
      <c r="Q741" s="79"/>
      <c r="R741" s="79"/>
      <c r="S741" s="79"/>
      <c r="T741" s="79"/>
      <c r="U741" s="79"/>
      <c r="V741" s="79"/>
      <c r="W741" s="79"/>
      <c r="X741" s="79"/>
      <c r="Y741" s="79"/>
      <c r="Z741" s="79"/>
    </row>
    <row r="742" spans="1:26" ht="50.95" customHeight="1" x14ac:dyDescent="0.15">
      <c r="A742" s="79"/>
      <c r="B742" s="79"/>
      <c r="C742" s="94"/>
      <c r="D742" s="95"/>
      <c r="E742" s="87"/>
      <c r="F742" s="95"/>
      <c r="G742" s="79"/>
      <c r="H742" s="79"/>
      <c r="I742" s="79"/>
      <c r="J742" s="79"/>
      <c r="K742" s="79"/>
      <c r="L742" s="79"/>
      <c r="M742" s="79"/>
      <c r="N742" s="79"/>
      <c r="O742" s="79"/>
      <c r="P742" s="79"/>
      <c r="Q742" s="79"/>
      <c r="R742" s="79"/>
      <c r="S742" s="79"/>
      <c r="T742" s="79"/>
      <c r="U742" s="79"/>
      <c r="V742" s="79"/>
      <c r="W742" s="79"/>
      <c r="X742" s="79"/>
      <c r="Y742" s="79"/>
      <c r="Z742" s="79"/>
    </row>
    <row r="743" spans="1:26" ht="50.95" customHeight="1" x14ac:dyDescent="0.15">
      <c r="A743" s="79"/>
      <c r="B743" s="79"/>
      <c r="C743" s="94"/>
      <c r="D743" s="95"/>
      <c r="E743" s="87"/>
      <c r="F743" s="95"/>
      <c r="G743" s="79"/>
      <c r="H743" s="79"/>
      <c r="I743" s="79"/>
      <c r="J743" s="79"/>
      <c r="K743" s="79"/>
      <c r="L743" s="79"/>
      <c r="M743" s="79"/>
      <c r="N743" s="79"/>
      <c r="O743" s="79"/>
      <c r="P743" s="79"/>
      <c r="Q743" s="79"/>
      <c r="R743" s="79"/>
      <c r="S743" s="79"/>
      <c r="T743" s="79"/>
      <c r="U743" s="79"/>
      <c r="V743" s="79"/>
      <c r="W743" s="79"/>
      <c r="X743" s="79"/>
      <c r="Y743" s="79"/>
      <c r="Z743" s="79"/>
    </row>
    <row r="744" spans="1:26" ht="50.95" customHeight="1" x14ac:dyDescent="0.15">
      <c r="A744" s="79"/>
      <c r="B744" s="79"/>
      <c r="C744" s="94"/>
      <c r="D744" s="95"/>
      <c r="E744" s="87"/>
      <c r="F744" s="95"/>
      <c r="G744" s="79"/>
      <c r="H744" s="79"/>
      <c r="I744" s="79"/>
      <c r="J744" s="79"/>
      <c r="K744" s="79"/>
      <c r="L744" s="79"/>
      <c r="M744" s="79"/>
      <c r="N744" s="79"/>
      <c r="O744" s="79"/>
      <c r="P744" s="79"/>
      <c r="Q744" s="79"/>
      <c r="R744" s="79"/>
      <c r="S744" s="79"/>
      <c r="T744" s="79"/>
      <c r="U744" s="79"/>
      <c r="V744" s="79"/>
      <c r="W744" s="79"/>
      <c r="X744" s="79"/>
      <c r="Y744" s="79"/>
      <c r="Z744" s="79"/>
    </row>
    <row r="745" spans="1:26" ht="50.95" customHeight="1" x14ac:dyDescent="0.15">
      <c r="A745" s="79"/>
      <c r="B745" s="79"/>
      <c r="C745" s="94"/>
      <c r="D745" s="95"/>
      <c r="E745" s="87"/>
      <c r="F745" s="95"/>
      <c r="G745" s="79"/>
      <c r="H745" s="79"/>
      <c r="I745" s="79"/>
      <c r="J745" s="79"/>
      <c r="K745" s="79"/>
      <c r="L745" s="79"/>
      <c r="M745" s="79"/>
      <c r="N745" s="79"/>
      <c r="O745" s="79"/>
      <c r="P745" s="79"/>
      <c r="Q745" s="79"/>
      <c r="R745" s="79"/>
      <c r="S745" s="79"/>
      <c r="T745" s="79"/>
      <c r="U745" s="79"/>
      <c r="V745" s="79"/>
      <c r="W745" s="79"/>
      <c r="X745" s="79"/>
      <c r="Y745" s="79"/>
      <c r="Z745" s="79"/>
    </row>
    <row r="746" spans="1:26" ht="50.95" customHeight="1" x14ac:dyDescent="0.15">
      <c r="A746" s="79"/>
      <c r="B746" s="79"/>
      <c r="C746" s="94"/>
      <c r="D746" s="95"/>
      <c r="E746" s="87"/>
      <c r="F746" s="95"/>
      <c r="G746" s="79"/>
      <c r="H746" s="79"/>
      <c r="I746" s="79"/>
      <c r="J746" s="79"/>
      <c r="K746" s="79"/>
      <c r="L746" s="79"/>
      <c r="M746" s="79"/>
      <c r="N746" s="79"/>
      <c r="O746" s="79"/>
      <c r="P746" s="79"/>
      <c r="Q746" s="79"/>
      <c r="R746" s="79"/>
      <c r="S746" s="79"/>
      <c r="T746" s="79"/>
      <c r="U746" s="79"/>
      <c r="V746" s="79"/>
      <c r="W746" s="79"/>
      <c r="X746" s="79"/>
      <c r="Y746" s="79"/>
      <c r="Z746" s="79"/>
    </row>
    <row r="747" spans="1:26" ht="50.95" customHeight="1" x14ac:dyDescent="0.15">
      <c r="A747" s="79"/>
      <c r="B747" s="79"/>
      <c r="C747" s="94"/>
      <c r="D747" s="95"/>
      <c r="E747" s="87"/>
      <c r="F747" s="95"/>
      <c r="G747" s="79"/>
      <c r="H747" s="79"/>
      <c r="I747" s="79"/>
      <c r="J747" s="79"/>
      <c r="K747" s="79"/>
      <c r="L747" s="79"/>
      <c r="M747" s="79"/>
      <c r="N747" s="79"/>
      <c r="O747" s="79"/>
      <c r="P747" s="79"/>
      <c r="Q747" s="79"/>
      <c r="R747" s="79"/>
      <c r="S747" s="79"/>
      <c r="T747" s="79"/>
      <c r="U747" s="79"/>
      <c r="V747" s="79"/>
      <c r="W747" s="79"/>
      <c r="X747" s="79"/>
      <c r="Y747" s="79"/>
      <c r="Z747" s="79"/>
    </row>
    <row r="748" spans="1:26" ht="50.95" customHeight="1" x14ac:dyDescent="0.15">
      <c r="A748" s="79"/>
      <c r="B748" s="79"/>
      <c r="C748" s="94"/>
      <c r="D748" s="95"/>
      <c r="E748" s="87"/>
      <c r="F748" s="95"/>
      <c r="G748" s="79"/>
      <c r="H748" s="79"/>
      <c r="I748" s="79"/>
      <c r="J748" s="79"/>
      <c r="K748" s="79"/>
      <c r="L748" s="79"/>
      <c r="M748" s="79"/>
      <c r="N748" s="79"/>
      <c r="O748" s="79"/>
      <c r="P748" s="79"/>
      <c r="Q748" s="79"/>
      <c r="R748" s="79"/>
      <c r="S748" s="79"/>
      <c r="T748" s="79"/>
      <c r="U748" s="79"/>
      <c r="V748" s="79"/>
      <c r="W748" s="79"/>
      <c r="X748" s="79"/>
      <c r="Y748" s="79"/>
      <c r="Z748" s="79"/>
    </row>
    <row r="749" spans="1:26" ht="50.95" customHeight="1" x14ac:dyDescent="0.15">
      <c r="A749" s="79"/>
      <c r="B749" s="79"/>
      <c r="C749" s="94"/>
      <c r="D749" s="95"/>
      <c r="E749" s="87"/>
      <c r="F749" s="95"/>
      <c r="G749" s="79"/>
      <c r="H749" s="79"/>
      <c r="I749" s="79"/>
      <c r="J749" s="79"/>
      <c r="K749" s="79"/>
      <c r="L749" s="79"/>
      <c r="M749" s="79"/>
      <c r="N749" s="79"/>
      <c r="O749" s="79"/>
      <c r="P749" s="79"/>
      <c r="Q749" s="79"/>
      <c r="R749" s="79"/>
      <c r="S749" s="79"/>
      <c r="T749" s="79"/>
      <c r="U749" s="79"/>
      <c r="V749" s="79"/>
      <c r="W749" s="79"/>
      <c r="X749" s="79"/>
      <c r="Y749" s="79"/>
      <c r="Z749" s="79"/>
    </row>
    <row r="750" spans="1:26" ht="50.95" customHeight="1" x14ac:dyDescent="0.15">
      <c r="A750" s="79"/>
      <c r="B750" s="79"/>
      <c r="C750" s="94"/>
      <c r="D750" s="95"/>
      <c r="E750" s="87"/>
      <c r="F750" s="95"/>
      <c r="G750" s="79"/>
      <c r="H750" s="79"/>
      <c r="I750" s="79"/>
      <c r="J750" s="79"/>
      <c r="K750" s="79"/>
      <c r="L750" s="79"/>
      <c r="M750" s="79"/>
      <c r="N750" s="79"/>
      <c r="O750" s="79"/>
      <c r="P750" s="79"/>
      <c r="Q750" s="79"/>
      <c r="R750" s="79"/>
      <c r="S750" s="79"/>
      <c r="T750" s="79"/>
      <c r="U750" s="79"/>
      <c r="V750" s="79"/>
      <c r="W750" s="79"/>
      <c r="X750" s="79"/>
      <c r="Y750" s="79"/>
      <c r="Z750" s="79"/>
    </row>
    <row r="751" spans="1:26" ht="50.95" customHeight="1" x14ac:dyDescent="0.15">
      <c r="A751" s="79"/>
      <c r="B751" s="79"/>
      <c r="C751" s="94"/>
      <c r="D751" s="95"/>
      <c r="E751" s="87"/>
      <c r="F751" s="95"/>
      <c r="G751" s="79"/>
      <c r="H751" s="79"/>
      <c r="I751" s="79"/>
      <c r="J751" s="79"/>
      <c r="K751" s="79"/>
      <c r="L751" s="79"/>
      <c r="M751" s="79"/>
      <c r="N751" s="79"/>
      <c r="O751" s="79"/>
      <c r="P751" s="79"/>
      <c r="Q751" s="79"/>
      <c r="R751" s="79"/>
      <c r="S751" s="79"/>
      <c r="T751" s="79"/>
      <c r="U751" s="79"/>
      <c r="V751" s="79"/>
      <c r="W751" s="79"/>
      <c r="X751" s="79"/>
      <c r="Y751" s="79"/>
      <c r="Z751" s="79"/>
    </row>
    <row r="752" spans="1:26" ht="50.95" customHeight="1" x14ac:dyDescent="0.15">
      <c r="A752" s="79"/>
      <c r="B752" s="79"/>
      <c r="C752" s="94"/>
      <c r="D752" s="95"/>
      <c r="E752" s="87"/>
      <c r="F752" s="95"/>
      <c r="G752" s="79"/>
      <c r="H752" s="79"/>
      <c r="I752" s="79"/>
      <c r="J752" s="79"/>
      <c r="K752" s="79"/>
      <c r="L752" s="79"/>
      <c r="M752" s="79"/>
      <c r="N752" s="79"/>
      <c r="O752" s="79"/>
      <c r="P752" s="79"/>
      <c r="Q752" s="79"/>
      <c r="R752" s="79"/>
      <c r="S752" s="79"/>
      <c r="T752" s="79"/>
      <c r="U752" s="79"/>
      <c r="V752" s="79"/>
      <c r="W752" s="79"/>
      <c r="X752" s="79"/>
      <c r="Y752" s="79"/>
      <c r="Z752" s="79"/>
    </row>
    <row r="753" spans="1:26" ht="50.95" customHeight="1" x14ac:dyDescent="0.15">
      <c r="A753" s="79"/>
      <c r="B753" s="79"/>
      <c r="C753" s="94"/>
      <c r="D753" s="95"/>
      <c r="E753" s="87"/>
      <c r="F753" s="95"/>
      <c r="G753" s="79"/>
      <c r="H753" s="79"/>
      <c r="I753" s="79"/>
      <c r="J753" s="79"/>
      <c r="K753" s="79"/>
      <c r="L753" s="79"/>
      <c r="M753" s="79"/>
      <c r="N753" s="79"/>
      <c r="O753" s="79"/>
      <c r="P753" s="79"/>
      <c r="Q753" s="79"/>
      <c r="R753" s="79"/>
      <c r="S753" s="79"/>
      <c r="T753" s="79"/>
      <c r="U753" s="79"/>
      <c r="V753" s="79"/>
      <c r="W753" s="79"/>
      <c r="X753" s="79"/>
      <c r="Y753" s="79"/>
      <c r="Z753" s="79"/>
    </row>
    <row r="754" spans="1:26" ht="50.95" customHeight="1" x14ac:dyDescent="0.15">
      <c r="A754" s="79"/>
      <c r="B754" s="79"/>
      <c r="C754" s="94"/>
      <c r="D754" s="95"/>
      <c r="E754" s="87"/>
      <c r="F754" s="95"/>
      <c r="G754" s="79"/>
      <c r="H754" s="79"/>
      <c r="I754" s="79"/>
      <c r="J754" s="79"/>
      <c r="K754" s="79"/>
      <c r="L754" s="79"/>
      <c r="M754" s="79"/>
      <c r="N754" s="79"/>
      <c r="O754" s="79"/>
      <c r="P754" s="79"/>
      <c r="Q754" s="79"/>
      <c r="R754" s="79"/>
      <c r="S754" s="79"/>
      <c r="T754" s="79"/>
      <c r="U754" s="79"/>
      <c r="V754" s="79"/>
      <c r="W754" s="79"/>
      <c r="X754" s="79"/>
      <c r="Y754" s="79"/>
      <c r="Z754" s="79"/>
    </row>
    <row r="755" spans="1:26" ht="50.95" customHeight="1" x14ac:dyDescent="0.15">
      <c r="A755" s="79"/>
      <c r="B755" s="79"/>
      <c r="C755" s="94"/>
      <c r="D755" s="95"/>
      <c r="E755" s="87"/>
      <c r="F755" s="95"/>
      <c r="G755" s="79"/>
      <c r="H755" s="79"/>
      <c r="I755" s="79"/>
      <c r="J755" s="79"/>
      <c r="K755" s="79"/>
      <c r="L755" s="79"/>
      <c r="M755" s="79"/>
      <c r="N755" s="79"/>
      <c r="O755" s="79"/>
      <c r="P755" s="79"/>
      <c r="Q755" s="79"/>
      <c r="R755" s="79"/>
      <c r="S755" s="79"/>
      <c r="T755" s="79"/>
      <c r="U755" s="79"/>
      <c r="V755" s="79"/>
      <c r="W755" s="79"/>
      <c r="X755" s="79"/>
      <c r="Y755" s="79"/>
      <c r="Z755" s="79"/>
    </row>
    <row r="756" spans="1:26" ht="50.95" customHeight="1" x14ac:dyDescent="0.15">
      <c r="A756" s="79"/>
      <c r="B756" s="79"/>
      <c r="C756" s="94"/>
      <c r="D756" s="95"/>
      <c r="E756" s="87"/>
      <c r="F756" s="95"/>
      <c r="G756" s="79"/>
      <c r="H756" s="79"/>
      <c r="I756" s="79"/>
      <c r="J756" s="79"/>
      <c r="K756" s="79"/>
      <c r="L756" s="79"/>
      <c r="M756" s="79"/>
      <c r="N756" s="79"/>
      <c r="O756" s="79"/>
      <c r="P756" s="79"/>
      <c r="Q756" s="79"/>
      <c r="R756" s="79"/>
      <c r="S756" s="79"/>
      <c r="T756" s="79"/>
      <c r="U756" s="79"/>
      <c r="V756" s="79"/>
      <c r="W756" s="79"/>
      <c r="X756" s="79"/>
      <c r="Y756" s="79"/>
      <c r="Z756" s="79"/>
    </row>
    <row r="757" spans="1:26" ht="50.95" customHeight="1" x14ac:dyDescent="0.15">
      <c r="A757" s="79"/>
      <c r="B757" s="79"/>
      <c r="C757" s="94"/>
      <c r="D757" s="95"/>
      <c r="E757" s="87"/>
      <c r="F757" s="95"/>
      <c r="G757" s="79"/>
      <c r="H757" s="79"/>
      <c r="I757" s="79"/>
      <c r="J757" s="79"/>
      <c r="K757" s="79"/>
      <c r="L757" s="79"/>
      <c r="M757" s="79"/>
      <c r="N757" s="79"/>
      <c r="O757" s="79"/>
      <c r="P757" s="79"/>
      <c r="Q757" s="79"/>
      <c r="R757" s="79"/>
      <c r="S757" s="79"/>
      <c r="T757" s="79"/>
      <c r="U757" s="79"/>
      <c r="V757" s="79"/>
      <c r="W757" s="79"/>
      <c r="X757" s="79"/>
      <c r="Y757" s="79"/>
      <c r="Z757" s="79"/>
    </row>
    <row r="758" spans="1:26" ht="50.95" customHeight="1" x14ac:dyDescent="0.15">
      <c r="A758" s="79"/>
      <c r="B758" s="79"/>
      <c r="C758" s="94"/>
      <c r="D758" s="95"/>
      <c r="E758" s="87"/>
      <c r="F758" s="95"/>
      <c r="G758" s="79"/>
      <c r="H758" s="79"/>
      <c r="I758" s="79"/>
      <c r="J758" s="79"/>
      <c r="K758" s="79"/>
      <c r="L758" s="79"/>
      <c r="M758" s="79"/>
      <c r="N758" s="79"/>
      <c r="O758" s="79"/>
      <c r="P758" s="79"/>
      <c r="Q758" s="79"/>
      <c r="R758" s="79"/>
      <c r="S758" s="79"/>
      <c r="T758" s="79"/>
      <c r="U758" s="79"/>
      <c r="V758" s="79"/>
      <c r="W758" s="79"/>
      <c r="X758" s="79"/>
      <c r="Y758" s="79"/>
      <c r="Z758" s="79"/>
    </row>
    <row r="759" spans="1:26" ht="50.95" customHeight="1" x14ac:dyDescent="0.15">
      <c r="A759" s="79"/>
      <c r="B759" s="79"/>
      <c r="C759" s="94"/>
      <c r="D759" s="95"/>
      <c r="E759" s="87"/>
      <c r="F759" s="95"/>
      <c r="G759" s="79"/>
      <c r="H759" s="79"/>
      <c r="I759" s="79"/>
      <c r="J759" s="79"/>
      <c r="K759" s="79"/>
      <c r="L759" s="79"/>
      <c r="M759" s="79"/>
      <c r="N759" s="79"/>
      <c r="O759" s="79"/>
      <c r="P759" s="79"/>
      <c r="Q759" s="79"/>
      <c r="R759" s="79"/>
      <c r="S759" s="79"/>
      <c r="T759" s="79"/>
      <c r="U759" s="79"/>
      <c r="V759" s="79"/>
      <c r="W759" s="79"/>
      <c r="X759" s="79"/>
      <c r="Y759" s="79"/>
      <c r="Z759" s="79"/>
    </row>
    <row r="760" spans="1:26" ht="50.95" customHeight="1" x14ac:dyDescent="0.15">
      <c r="A760" s="79"/>
      <c r="B760" s="79"/>
      <c r="C760" s="94"/>
      <c r="D760" s="95"/>
      <c r="E760" s="87"/>
      <c r="F760" s="95"/>
      <c r="G760" s="79"/>
      <c r="H760" s="79"/>
      <c r="I760" s="79"/>
      <c r="J760" s="79"/>
      <c r="K760" s="79"/>
      <c r="L760" s="79"/>
      <c r="M760" s="79"/>
      <c r="N760" s="79"/>
      <c r="O760" s="79"/>
      <c r="P760" s="79"/>
      <c r="Q760" s="79"/>
      <c r="R760" s="79"/>
      <c r="S760" s="79"/>
      <c r="T760" s="79"/>
      <c r="U760" s="79"/>
      <c r="V760" s="79"/>
      <c r="W760" s="79"/>
      <c r="X760" s="79"/>
      <c r="Y760" s="79"/>
      <c r="Z760" s="79"/>
    </row>
    <row r="761" spans="1:26" ht="50.95" customHeight="1" x14ac:dyDescent="0.15">
      <c r="A761" s="79"/>
      <c r="B761" s="79"/>
      <c r="C761" s="94"/>
      <c r="D761" s="95"/>
      <c r="E761" s="87"/>
      <c r="F761" s="95"/>
      <c r="G761" s="79"/>
      <c r="H761" s="79"/>
      <c r="I761" s="79"/>
      <c r="J761" s="79"/>
      <c r="K761" s="79"/>
      <c r="L761" s="79"/>
      <c r="M761" s="79"/>
      <c r="N761" s="79"/>
      <c r="O761" s="79"/>
      <c r="P761" s="79"/>
      <c r="Q761" s="79"/>
      <c r="R761" s="79"/>
      <c r="S761" s="79"/>
      <c r="T761" s="79"/>
      <c r="U761" s="79"/>
      <c r="V761" s="79"/>
      <c r="W761" s="79"/>
      <c r="X761" s="79"/>
      <c r="Y761" s="79"/>
      <c r="Z761" s="79"/>
    </row>
    <row r="762" spans="1:26" ht="50.95" customHeight="1" x14ac:dyDescent="0.15">
      <c r="A762" s="79"/>
      <c r="B762" s="79"/>
      <c r="C762" s="94"/>
      <c r="D762" s="95"/>
      <c r="E762" s="87"/>
      <c r="F762" s="95"/>
      <c r="G762" s="79"/>
      <c r="H762" s="79"/>
      <c r="I762" s="79"/>
      <c r="J762" s="79"/>
      <c r="K762" s="79"/>
      <c r="L762" s="79"/>
      <c r="M762" s="79"/>
      <c r="N762" s="79"/>
      <c r="O762" s="79"/>
      <c r="P762" s="79"/>
      <c r="Q762" s="79"/>
      <c r="R762" s="79"/>
      <c r="S762" s="79"/>
      <c r="T762" s="79"/>
      <c r="U762" s="79"/>
      <c r="V762" s="79"/>
      <c r="W762" s="79"/>
      <c r="X762" s="79"/>
      <c r="Y762" s="79"/>
      <c r="Z762" s="79"/>
    </row>
    <row r="763" spans="1:26" ht="50.95" customHeight="1" x14ac:dyDescent="0.15">
      <c r="A763" s="79"/>
      <c r="B763" s="79"/>
      <c r="C763" s="94"/>
      <c r="D763" s="95"/>
      <c r="E763" s="87"/>
      <c r="F763" s="95"/>
      <c r="G763" s="79"/>
      <c r="H763" s="79"/>
      <c r="I763" s="79"/>
      <c r="J763" s="79"/>
      <c r="K763" s="79"/>
      <c r="L763" s="79"/>
      <c r="M763" s="79"/>
      <c r="N763" s="79"/>
      <c r="O763" s="79"/>
      <c r="P763" s="79"/>
      <c r="Q763" s="79"/>
      <c r="R763" s="79"/>
      <c r="S763" s="79"/>
      <c r="T763" s="79"/>
      <c r="U763" s="79"/>
      <c r="V763" s="79"/>
      <c r="W763" s="79"/>
      <c r="X763" s="79"/>
      <c r="Y763" s="79"/>
      <c r="Z763" s="79"/>
    </row>
    <row r="764" spans="1:26" ht="50.95" customHeight="1" x14ac:dyDescent="0.15">
      <c r="A764" s="79"/>
      <c r="B764" s="79"/>
      <c r="C764" s="94"/>
      <c r="D764" s="95"/>
      <c r="E764" s="87"/>
      <c r="F764" s="95"/>
      <c r="G764" s="79"/>
      <c r="H764" s="79"/>
      <c r="I764" s="79"/>
      <c r="J764" s="79"/>
      <c r="K764" s="79"/>
      <c r="L764" s="79"/>
      <c r="M764" s="79"/>
      <c r="N764" s="79"/>
      <c r="O764" s="79"/>
      <c r="P764" s="79"/>
      <c r="Q764" s="79"/>
      <c r="R764" s="79"/>
      <c r="S764" s="79"/>
      <c r="T764" s="79"/>
      <c r="U764" s="79"/>
      <c r="V764" s="79"/>
      <c r="W764" s="79"/>
      <c r="X764" s="79"/>
      <c r="Y764" s="79"/>
      <c r="Z764" s="79"/>
    </row>
    <row r="765" spans="1:26" ht="50.95" customHeight="1" x14ac:dyDescent="0.15">
      <c r="A765" s="79"/>
      <c r="B765" s="79"/>
      <c r="C765" s="94"/>
      <c r="D765" s="95"/>
      <c r="E765" s="87"/>
      <c r="F765" s="95"/>
      <c r="G765" s="79"/>
      <c r="H765" s="79"/>
      <c r="I765" s="79"/>
      <c r="J765" s="79"/>
      <c r="K765" s="79"/>
      <c r="L765" s="79"/>
      <c r="M765" s="79"/>
      <c r="N765" s="79"/>
      <c r="O765" s="79"/>
      <c r="P765" s="79"/>
      <c r="Q765" s="79"/>
      <c r="R765" s="79"/>
      <c r="S765" s="79"/>
      <c r="T765" s="79"/>
      <c r="U765" s="79"/>
      <c r="V765" s="79"/>
      <c r="W765" s="79"/>
      <c r="X765" s="79"/>
      <c r="Y765" s="79"/>
      <c r="Z765" s="79"/>
    </row>
    <row r="766" spans="1:26" ht="50.95" customHeight="1" x14ac:dyDescent="0.15">
      <c r="A766" s="79"/>
      <c r="B766" s="79"/>
      <c r="C766" s="94"/>
      <c r="D766" s="95"/>
      <c r="E766" s="87"/>
      <c r="F766" s="95"/>
      <c r="G766" s="79"/>
      <c r="H766" s="79"/>
      <c r="I766" s="79"/>
      <c r="J766" s="79"/>
      <c r="K766" s="79"/>
      <c r="L766" s="79"/>
      <c r="M766" s="79"/>
      <c r="N766" s="79"/>
      <c r="O766" s="79"/>
      <c r="P766" s="79"/>
      <c r="Q766" s="79"/>
      <c r="R766" s="79"/>
      <c r="S766" s="79"/>
      <c r="T766" s="79"/>
      <c r="U766" s="79"/>
      <c r="V766" s="79"/>
      <c r="W766" s="79"/>
      <c r="X766" s="79"/>
      <c r="Y766" s="79"/>
      <c r="Z766" s="79"/>
    </row>
    <row r="767" spans="1:26" ht="50.95" customHeight="1" x14ac:dyDescent="0.15">
      <c r="A767" s="79"/>
      <c r="B767" s="79"/>
      <c r="C767" s="94"/>
      <c r="D767" s="95"/>
      <c r="E767" s="87"/>
      <c r="F767" s="95"/>
      <c r="G767" s="79"/>
      <c r="H767" s="79"/>
      <c r="I767" s="79"/>
      <c r="J767" s="79"/>
      <c r="K767" s="79"/>
      <c r="L767" s="79"/>
      <c r="M767" s="79"/>
      <c r="N767" s="79"/>
      <c r="O767" s="79"/>
      <c r="P767" s="79"/>
      <c r="Q767" s="79"/>
      <c r="R767" s="79"/>
      <c r="S767" s="79"/>
      <c r="T767" s="79"/>
      <c r="U767" s="79"/>
      <c r="V767" s="79"/>
      <c r="W767" s="79"/>
      <c r="X767" s="79"/>
      <c r="Y767" s="79"/>
      <c r="Z767" s="79"/>
    </row>
    <row r="768" spans="1:26" ht="50.95" customHeight="1" x14ac:dyDescent="0.15">
      <c r="A768" s="79"/>
      <c r="B768" s="79"/>
      <c r="C768" s="94"/>
      <c r="D768" s="95"/>
      <c r="E768" s="87"/>
      <c r="F768" s="95"/>
      <c r="G768" s="79"/>
      <c r="H768" s="79"/>
      <c r="I768" s="79"/>
      <c r="J768" s="79"/>
      <c r="K768" s="79"/>
      <c r="L768" s="79"/>
      <c r="M768" s="79"/>
      <c r="N768" s="79"/>
      <c r="O768" s="79"/>
      <c r="P768" s="79"/>
      <c r="Q768" s="79"/>
      <c r="R768" s="79"/>
      <c r="S768" s="79"/>
      <c r="T768" s="79"/>
      <c r="U768" s="79"/>
      <c r="V768" s="79"/>
      <c r="W768" s="79"/>
      <c r="X768" s="79"/>
      <c r="Y768" s="79"/>
      <c r="Z768" s="79"/>
    </row>
    <row r="769" spans="1:26" ht="50.95" customHeight="1" x14ac:dyDescent="0.15">
      <c r="A769" s="79"/>
      <c r="B769" s="79"/>
      <c r="C769" s="94"/>
      <c r="D769" s="95"/>
      <c r="E769" s="87"/>
      <c r="F769" s="95"/>
      <c r="G769" s="79"/>
      <c r="H769" s="79"/>
      <c r="I769" s="79"/>
      <c r="J769" s="79"/>
      <c r="K769" s="79"/>
      <c r="L769" s="79"/>
      <c r="M769" s="79"/>
      <c r="N769" s="79"/>
      <c r="O769" s="79"/>
      <c r="P769" s="79"/>
      <c r="Q769" s="79"/>
      <c r="R769" s="79"/>
      <c r="S769" s="79"/>
      <c r="T769" s="79"/>
      <c r="U769" s="79"/>
      <c r="V769" s="79"/>
      <c r="W769" s="79"/>
      <c r="X769" s="79"/>
      <c r="Y769" s="79"/>
      <c r="Z769" s="79"/>
    </row>
    <row r="770" spans="1:26" ht="50.95" customHeight="1" x14ac:dyDescent="0.15">
      <c r="A770" s="79"/>
      <c r="B770" s="79"/>
      <c r="C770" s="94"/>
      <c r="D770" s="95"/>
      <c r="E770" s="87"/>
      <c r="F770" s="95"/>
      <c r="G770" s="79"/>
      <c r="H770" s="79"/>
      <c r="I770" s="79"/>
      <c r="J770" s="79"/>
      <c r="K770" s="79"/>
      <c r="L770" s="79"/>
      <c r="M770" s="79"/>
      <c r="N770" s="79"/>
      <c r="O770" s="79"/>
      <c r="P770" s="79"/>
      <c r="Q770" s="79"/>
      <c r="R770" s="79"/>
      <c r="S770" s="79"/>
      <c r="T770" s="79"/>
      <c r="U770" s="79"/>
      <c r="V770" s="79"/>
      <c r="W770" s="79"/>
      <c r="X770" s="79"/>
      <c r="Y770" s="79"/>
      <c r="Z770" s="79"/>
    </row>
    <row r="771" spans="1:26" ht="50.95" customHeight="1" x14ac:dyDescent="0.15">
      <c r="A771" s="79"/>
      <c r="B771" s="79"/>
      <c r="C771" s="94"/>
      <c r="D771" s="95"/>
      <c r="E771" s="87"/>
      <c r="F771" s="95"/>
      <c r="G771" s="79"/>
      <c r="H771" s="79"/>
      <c r="I771" s="79"/>
      <c r="J771" s="79"/>
      <c r="K771" s="79"/>
      <c r="L771" s="79"/>
      <c r="M771" s="79"/>
      <c r="N771" s="79"/>
      <c r="O771" s="79"/>
      <c r="P771" s="79"/>
      <c r="Q771" s="79"/>
      <c r="R771" s="79"/>
      <c r="S771" s="79"/>
      <c r="T771" s="79"/>
      <c r="U771" s="79"/>
      <c r="V771" s="79"/>
      <c r="W771" s="79"/>
      <c r="X771" s="79"/>
      <c r="Y771" s="79"/>
      <c r="Z771" s="79"/>
    </row>
    <row r="772" spans="1:26" ht="50.95" customHeight="1" x14ac:dyDescent="0.15">
      <c r="A772" s="79"/>
      <c r="B772" s="79"/>
      <c r="C772" s="94"/>
      <c r="D772" s="95"/>
      <c r="E772" s="87"/>
      <c r="F772" s="95"/>
      <c r="G772" s="79"/>
      <c r="H772" s="79"/>
      <c r="I772" s="79"/>
      <c r="J772" s="79"/>
      <c r="K772" s="79"/>
      <c r="L772" s="79"/>
      <c r="M772" s="79"/>
      <c r="N772" s="79"/>
      <c r="O772" s="79"/>
      <c r="P772" s="79"/>
      <c r="Q772" s="79"/>
      <c r="R772" s="79"/>
      <c r="S772" s="79"/>
      <c r="T772" s="79"/>
      <c r="U772" s="79"/>
      <c r="V772" s="79"/>
      <c r="W772" s="79"/>
      <c r="X772" s="79"/>
      <c r="Y772" s="79"/>
      <c r="Z772" s="79"/>
    </row>
    <row r="773" spans="1:26" ht="50.95" customHeight="1" x14ac:dyDescent="0.15">
      <c r="A773" s="79"/>
      <c r="B773" s="79"/>
      <c r="C773" s="94"/>
      <c r="D773" s="95"/>
      <c r="E773" s="87"/>
      <c r="F773" s="95"/>
      <c r="G773" s="79"/>
      <c r="H773" s="79"/>
      <c r="I773" s="79"/>
      <c r="J773" s="79"/>
      <c r="K773" s="79"/>
      <c r="L773" s="79"/>
      <c r="M773" s="79"/>
      <c r="N773" s="79"/>
      <c r="O773" s="79"/>
      <c r="P773" s="79"/>
      <c r="Q773" s="79"/>
      <c r="R773" s="79"/>
      <c r="S773" s="79"/>
      <c r="T773" s="79"/>
      <c r="U773" s="79"/>
      <c r="V773" s="79"/>
      <c r="W773" s="79"/>
      <c r="X773" s="79"/>
      <c r="Y773" s="79"/>
      <c r="Z773" s="79"/>
    </row>
    <row r="774" spans="1:26" ht="50.95" customHeight="1" x14ac:dyDescent="0.15">
      <c r="A774" s="79"/>
      <c r="B774" s="79"/>
      <c r="C774" s="94"/>
      <c r="D774" s="95"/>
      <c r="E774" s="87"/>
      <c r="F774" s="95"/>
      <c r="G774" s="79"/>
      <c r="H774" s="79"/>
      <c r="I774" s="79"/>
      <c r="J774" s="79"/>
      <c r="K774" s="79"/>
      <c r="L774" s="79"/>
      <c r="M774" s="79"/>
      <c r="N774" s="79"/>
      <c r="O774" s="79"/>
      <c r="P774" s="79"/>
      <c r="Q774" s="79"/>
      <c r="R774" s="79"/>
      <c r="S774" s="79"/>
      <c r="T774" s="79"/>
      <c r="U774" s="79"/>
      <c r="V774" s="79"/>
      <c r="W774" s="79"/>
      <c r="X774" s="79"/>
      <c r="Y774" s="79"/>
      <c r="Z774" s="79"/>
    </row>
    <row r="775" spans="1:26" ht="50.95" customHeight="1" x14ac:dyDescent="0.15">
      <c r="A775" s="79"/>
      <c r="B775" s="79"/>
      <c r="C775" s="94"/>
      <c r="D775" s="95"/>
      <c r="E775" s="87"/>
      <c r="F775" s="95"/>
      <c r="G775" s="79"/>
      <c r="H775" s="79"/>
      <c r="I775" s="79"/>
      <c r="J775" s="79"/>
      <c r="K775" s="79"/>
      <c r="L775" s="79"/>
      <c r="M775" s="79"/>
      <c r="N775" s="79"/>
      <c r="O775" s="79"/>
      <c r="P775" s="79"/>
      <c r="Q775" s="79"/>
      <c r="R775" s="79"/>
      <c r="S775" s="79"/>
      <c r="T775" s="79"/>
      <c r="U775" s="79"/>
      <c r="V775" s="79"/>
      <c r="W775" s="79"/>
      <c r="X775" s="79"/>
      <c r="Y775" s="79"/>
      <c r="Z775" s="79"/>
    </row>
    <row r="776" spans="1:26" ht="50.95" customHeight="1" x14ac:dyDescent="0.15">
      <c r="A776" s="79"/>
      <c r="B776" s="79"/>
      <c r="C776" s="94"/>
      <c r="D776" s="95"/>
      <c r="E776" s="87"/>
      <c r="F776" s="95"/>
      <c r="G776" s="79"/>
      <c r="H776" s="79"/>
      <c r="I776" s="79"/>
      <c r="J776" s="79"/>
      <c r="K776" s="79"/>
      <c r="L776" s="79"/>
      <c r="M776" s="79"/>
      <c r="N776" s="79"/>
      <c r="O776" s="79"/>
      <c r="P776" s="79"/>
      <c r="Q776" s="79"/>
      <c r="R776" s="79"/>
      <c r="S776" s="79"/>
      <c r="T776" s="79"/>
      <c r="U776" s="79"/>
      <c r="V776" s="79"/>
      <c r="W776" s="79"/>
      <c r="X776" s="79"/>
      <c r="Y776" s="79"/>
      <c r="Z776" s="79"/>
    </row>
    <row r="777" spans="1:26" ht="50.95" customHeight="1" x14ac:dyDescent="0.15">
      <c r="A777" s="79"/>
      <c r="B777" s="79"/>
      <c r="C777" s="94"/>
      <c r="D777" s="95"/>
      <c r="E777" s="87"/>
      <c r="F777" s="95"/>
      <c r="G777" s="79"/>
      <c r="H777" s="79"/>
      <c r="I777" s="79"/>
      <c r="J777" s="79"/>
      <c r="K777" s="79"/>
      <c r="L777" s="79"/>
      <c r="M777" s="79"/>
      <c r="N777" s="79"/>
      <c r="O777" s="79"/>
      <c r="P777" s="79"/>
      <c r="Q777" s="79"/>
      <c r="R777" s="79"/>
      <c r="S777" s="79"/>
      <c r="T777" s="79"/>
      <c r="U777" s="79"/>
      <c r="V777" s="79"/>
      <c r="W777" s="79"/>
      <c r="X777" s="79"/>
      <c r="Y777" s="79"/>
      <c r="Z777" s="79"/>
    </row>
    <row r="778" spans="1:26" ht="50.95" customHeight="1" x14ac:dyDescent="0.15">
      <c r="A778" s="79"/>
      <c r="B778" s="79"/>
      <c r="C778" s="94"/>
      <c r="D778" s="95"/>
      <c r="E778" s="87"/>
      <c r="F778" s="95"/>
      <c r="G778" s="79"/>
      <c r="H778" s="79"/>
      <c r="I778" s="79"/>
      <c r="J778" s="79"/>
      <c r="K778" s="79"/>
      <c r="L778" s="79"/>
      <c r="M778" s="79"/>
      <c r="N778" s="79"/>
      <c r="O778" s="79"/>
      <c r="P778" s="79"/>
      <c r="Q778" s="79"/>
      <c r="R778" s="79"/>
      <c r="S778" s="79"/>
      <c r="T778" s="79"/>
      <c r="U778" s="79"/>
      <c r="V778" s="79"/>
      <c r="W778" s="79"/>
      <c r="X778" s="79"/>
      <c r="Y778" s="79"/>
      <c r="Z778" s="79"/>
    </row>
    <row r="779" spans="1:26" ht="50.95" customHeight="1" x14ac:dyDescent="0.15">
      <c r="A779" s="79"/>
      <c r="B779" s="79"/>
      <c r="C779" s="94"/>
      <c r="D779" s="95"/>
      <c r="E779" s="87"/>
      <c r="F779" s="95"/>
      <c r="G779" s="79"/>
      <c r="H779" s="79"/>
      <c r="I779" s="79"/>
      <c r="J779" s="79"/>
      <c r="K779" s="79"/>
      <c r="L779" s="79"/>
      <c r="M779" s="79"/>
      <c r="N779" s="79"/>
      <c r="O779" s="79"/>
      <c r="P779" s="79"/>
      <c r="Q779" s="79"/>
      <c r="R779" s="79"/>
      <c r="S779" s="79"/>
      <c r="T779" s="79"/>
      <c r="U779" s="79"/>
      <c r="V779" s="79"/>
      <c r="W779" s="79"/>
      <c r="X779" s="79"/>
      <c r="Y779" s="79"/>
      <c r="Z779" s="79"/>
    </row>
    <row r="780" spans="1:26" ht="50.95" customHeight="1" x14ac:dyDescent="0.15">
      <c r="A780" s="79"/>
      <c r="B780" s="79"/>
      <c r="C780" s="94"/>
      <c r="D780" s="95"/>
      <c r="E780" s="87"/>
      <c r="F780" s="95"/>
      <c r="G780" s="79"/>
      <c r="H780" s="79"/>
      <c r="I780" s="79"/>
      <c r="J780" s="79"/>
      <c r="K780" s="79"/>
      <c r="L780" s="79"/>
      <c r="M780" s="79"/>
      <c r="N780" s="79"/>
      <c r="O780" s="79"/>
      <c r="P780" s="79"/>
      <c r="Q780" s="79"/>
      <c r="R780" s="79"/>
      <c r="S780" s="79"/>
      <c r="T780" s="79"/>
      <c r="U780" s="79"/>
      <c r="V780" s="79"/>
      <c r="W780" s="79"/>
      <c r="X780" s="79"/>
      <c r="Y780" s="79"/>
      <c r="Z780" s="79"/>
    </row>
    <row r="781" spans="1:26" ht="50.95" customHeight="1" x14ac:dyDescent="0.15">
      <c r="A781" s="79"/>
      <c r="B781" s="79"/>
      <c r="C781" s="94"/>
      <c r="D781" s="95"/>
      <c r="E781" s="87"/>
      <c r="F781" s="95"/>
      <c r="G781" s="79"/>
      <c r="H781" s="79"/>
      <c r="I781" s="79"/>
      <c r="J781" s="79"/>
      <c r="K781" s="79"/>
      <c r="L781" s="79"/>
      <c r="M781" s="79"/>
      <c r="N781" s="79"/>
      <c r="O781" s="79"/>
      <c r="P781" s="79"/>
      <c r="Q781" s="79"/>
      <c r="R781" s="79"/>
      <c r="S781" s="79"/>
      <c r="T781" s="79"/>
      <c r="U781" s="79"/>
      <c r="V781" s="79"/>
      <c r="W781" s="79"/>
      <c r="X781" s="79"/>
      <c r="Y781" s="79"/>
      <c r="Z781" s="79"/>
    </row>
    <row r="782" spans="1:26" ht="50.95" customHeight="1" x14ac:dyDescent="0.15">
      <c r="A782" s="79"/>
      <c r="B782" s="79"/>
      <c r="C782" s="94"/>
      <c r="D782" s="95"/>
      <c r="E782" s="87"/>
      <c r="F782" s="95"/>
      <c r="G782" s="79"/>
      <c r="H782" s="79"/>
      <c r="I782" s="79"/>
      <c r="J782" s="79"/>
      <c r="K782" s="79"/>
      <c r="L782" s="79"/>
      <c r="M782" s="79"/>
      <c r="N782" s="79"/>
      <c r="O782" s="79"/>
      <c r="P782" s="79"/>
      <c r="Q782" s="79"/>
      <c r="R782" s="79"/>
      <c r="S782" s="79"/>
      <c r="T782" s="79"/>
      <c r="U782" s="79"/>
      <c r="V782" s="79"/>
      <c r="W782" s="79"/>
      <c r="X782" s="79"/>
      <c r="Y782" s="79"/>
      <c r="Z782" s="79"/>
    </row>
    <row r="783" spans="1:26" ht="50.95" customHeight="1" x14ac:dyDescent="0.15">
      <c r="A783" s="79"/>
      <c r="B783" s="79"/>
      <c r="C783" s="94"/>
      <c r="D783" s="95"/>
      <c r="E783" s="87"/>
      <c r="F783" s="95"/>
      <c r="G783" s="79"/>
      <c r="H783" s="79"/>
      <c r="I783" s="79"/>
      <c r="J783" s="79"/>
      <c r="K783" s="79"/>
      <c r="L783" s="79"/>
      <c r="M783" s="79"/>
      <c r="N783" s="79"/>
      <c r="O783" s="79"/>
      <c r="P783" s="79"/>
      <c r="Q783" s="79"/>
      <c r="R783" s="79"/>
      <c r="S783" s="79"/>
      <c r="T783" s="79"/>
      <c r="U783" s="79"/>
      <c r="V783" s="79"/>
      <c r="W783" s="79"/>
      <c r="X783" s="79"/>
      <c r="Y783" s="79"/>
      <c r="Z783" s="79"/>
    </row>
    <row r="784" spans="1:26" ht="50.95" customHeight="1" x14ac:dyDescent="0.15">
      <c r="A784" s="79"/>
      <c r="B784" s="79"/>
      <c r="C784" s="94"/>
      <c r="D784" s="95"/>
      <c r="E784" s="87"/>
      <c r="F784" s="95"/>
      <c r="G784" s="79"/>
      <c r="H784" s="79"/>
      <c r="I784" s="79"/>
      <c r="J784" s="79"/>
      <c r="K784" s="79"/>
      <c r="L784" s="79"/>
      <c r="M784" s="79"/>
      <c r="N784" s="79"/>
      <c r="O784" s="79"/>
      <c r="P784" s="79"/>
      <c r="Q784" s="79"/>
      <c r="R784" s="79"/>
      <c r="S784" s="79"/>
      <c r="T784" s="79"/>
      <c r="U784" s="79"/>
      <c r="V784" s="79"/>
      <c r="W784" s="79"/>
      <c r="X784" s="79"/>
      <c r="Y784" s="79"/>
      <c r="Z784" s="79"/>
    </row>
    <row r="785" spans="1:26" ht="50.95" customHeight="1" x14ac:dyDescent="0.15">
      <c r="A785" s="79"/>
      <c r="B785" s="79"/>
      <c r="C785" s="94"/>
      <c r="D785" s="95"/>
      <c r="E785" s="87"/>
      <c r="F785" s="95"/>
      <c r="G785" s="79"/>
      <c r="H785" s="79"/>
      <c r="I785" s="79"/>
      <c r="J785" s="79"/>
      <c r="K785" s="79"/>
      <c r="L785" s="79"/>
      <c r="M785" s="79"/>
      <c r="N785" s="79"/>
      <c r="O785" s="79"/>
      <c r="P785" s="79"/>
      <c r="Q785" s="79"/>
      <c r="R785" s="79"/>
      <c r="S785" s="79"/>
      <c r="T785" s="79"/>
      <c r="U785" s="79"/>
      <c r="V785" s="79"/>
      <c r="W785" s="79"/>
      <c r="X785" s="79"/>
      <c r="Y785" s="79"/>
      <c r="Z785" s="79"/>
    </row>
    <row r="786" spans="1:26" ht="50.95" customHeight="1" x14ac:dyDescent="0.15">
      <c r="A786" s="79"/>
      <c r="B786" s="79"/>
      <c r="C786" s="94"/>
      <c r="D786" s="95"/>
      <c r="E786" s="87"/>
      <c r="F786" s="95"/>
      <c r="G786" s="79"/>
      <c r="H786" s="79"/>
      <c r="I786" s="79"/>
      <c r="J786" s="79"/>
      <c r="K786" s="79"/>
      <c r="L786" s="79"/>
      <c r="M786" s="79"/>
      <c r="N786" s="79"/>
      <c r="O786" s="79"/>
      <c r="P786" s="79"/>
      <c r="Q786" s="79"/>
      <c r="R786" s="79"/>
      <c r="S786" s="79"/>
      <c r="T786" s="79"/>
      <c r="U786" s="79"/>
      <c r="V786" s="79"/>
      <c r="W786" s="79"/>
      <c r="X786" s="79"/>
      <c r="Y786" s="79"/>
      <c r="Z786" s="79"/>
    </row>
    <row r="787" spans="1:26" ht="50.95" customHeight="1" x14ac:dyDescent="0.15">
      <c r="A787" s="79"/>
      <c r="B787" s="79"/>
      <c r="C787" s="94"/>
      <c r="D787" s="95"/>
      <c r="E787" s="87"/>
      <c r="F787" s="95"/>
      <c r="G787" s="79"/>
      <c r="H787" s="79"/>
      <c r="I787" s="79"/>
      <c r="J787" s="79"/>
      <c r="K787" s="79"/>
      <c r="L787" s="79"/>
      <c r="M787" s="79"/>
      <c r="N787" s="79"/>
      <c r="O787" s="79"/>
      <c r="P787" s="79"/>
      <c r="Q787" s="79"/>
      <c r="R787" s="79"/>
      <c r="S787" s="79"/>
      <c r="T787" s="79"/>
      <c r="U787" s="79"/>
      <c r="V787" s="79"/>
      <c r="W787" s="79"/>
      <c r="X787" s="79"/>
      <c r="Y787" s="79"/>
      <c r="Z787" s="79"/>
    </row>
    <row r="788" spans="1:26" ht="50.95" customHeight="1" x14ac:dyDescent="0.15">
      <c r="A788" s="79"/>
      <c r="B788" s="79"/>
      <c r="C788" s="94"/>
      <c r="D788" s="95"/>
      <c r="E788" s="87"/>
      <c r="F788" s="95"/>
      <c r="G788" s="79"/>
      <c r="H788" s="79"/>
      <c r="I788" s="79"/>
      <c r="J788" s="79"/>
      <c r="K788" s="79"/>
      <c r="L788" s="79"/>
      <c r="M788" s="79"/>
      <c r="N788" s="79"/>
      <c r="O788" s="79"/>
      <c r="P788" s="79"/>
      <c r="Q788" s="79"/>
      <c r="R788" s="79"/>
      <c r="S788" s="79"/>
      <c r="T788" s="79"/>
      <c r="U788" s="79"/>
      <c r="V788" s="79"/>
      <c r="W788" s="79"/>
      <c r="X788" s="79"/>
      <c r="Y788" s="79"/>
      <c r="Z788" s="79"/>
    </row>
    <row r="789" spans="1:26" ht="50.95" customHeight="1" x14ac:dyDescent="0.15">
      <c r="A789" s="79"/>
      <c r="B789" s="79"/>
      <c r="C789" s="94"/>
      <c r="D789" s="95"/>
      <c r="E789" s="87"/>
      <c r="F789" s="95"/>
      <c r="G789" s="79"/>
      <c r="H789" s="79"/>
      <c r="I789" s="79"/>
      <c r="J789" s="79"/>
      <c r="K789" s="79"/>
      <c r="L789" s="79"/>
      <c r="M789" s="79"/>
      <c r="N789" s="79"/>
      <c r="O789" s="79"/>
      <c r="P789" s="79"/>
      <c r="Q789" s="79"/>
      <c r="R789" s="79"/>
      <c r="S789" s="79"/>
      <c r="T789" s="79"/>
      <c r="U789" s="79"/>
      <c r="V789" s="79"/>
      <c r="W789" s="79"/>
      <c r="X789" s="79"/>
      <c r="Y789" s="79"/>
      <c r="Z789" s="79"/>
    </row>
    <row r="790" spans="1:26" ht="50.95" customHeight="1" x14ac:dyDescent="0.15">
      <c r="A790" s="79"/>
      <c r="B790" s="79"/>
      <c r="C790" s="94"/>
      <c r="D790" s="95"/>
      <c r="E790" s="87"/>
      <c r="F790" s="95"/>
      <c r="G790" s="79"/>
      <c r="H790" s="79"/>
      <c r="I790" s="79"/>
      <c r="J790" s="79"/>
      <c r="K790" s="79"/>
      <c r="L790" s="79"/>
      <c r="M790" s="79"/>
      <c r="N790" s="79"/>
      <c r="O790" s="79"/>
      <c r="P790" s="79"/>
      <c r="Q790" s="79"/>
      <c r="R790" s="79"/>
      <c r="S790" s="79"/>
      <c r="T790" s="79"/>
      <c r="U790" s="79"/>
      <c r="V790" s="79"/>
      <c r="W790" s="79"/>
      <c r="X790" s="79"/>
      <c r="Y790" s="79"/>
      <c r="Z790" s="79"/>
    </row>
    <row r="791" spans="1:26" ht="50.95" customHeight="1" x14ac:dyDescent="0.15">
      <c r="A791" s="79"/>
      <c r="B791" s="79"/>
      <c r="C791" s="94"/>
      <c r="D791" s="95"/>
      <c r="E791" s="87"/>
      <c r="F791" s="95"/>
      <c r="G791" s="79"/>
      <c r="H791" s="79"/>
      <c r="I791" s="79"/>
      <c r="J791" s="79"/>
      <c r="K791" s="79"/>
      <c r="L791" s="79"/>
      <c r="M791" s="79"/>
      <c r="N791" s="79"/>
      <c r="O791" s="79"/>
      <c r="P791" s="79"/>
      <c r="Q791" s="79"/>
      <c r="R791" s="79"/>
      <c r="S791" s="79"/>
      <c r="T791" s="79"/>
      <c r="U791" s="79"/>
      <c r="V791" s="79"/>
      <c r="W791" s="79"/>
      <c r="X791" s="79"/>
      <c r="Y791" s="79"/>
      <c r="Z791" s="79"/>
    </row>
    <row r="792" spans="1:26" ht="50.95" customHeight="1" x14ac:dyDescent="0.15">
      <c r="A792" s="79"/>
      <c r="B792" s="79"/>
      <c r="C792" s="94"/>
      <c r="D792" s="95"/>
      <c r="E792" s="87"/>
      <c r="F792" s="95"/>
      <c r="G792" s="79"/>
      <c r="H792" s="79"/>
      <c r="I792" s="79"/>
      <c r="J792" s="79"/>
      <c r="K792" s="79"/>
      <c r="L792" s="79"/>
      <c r="M792" s="79"/>
      <c r="N792" s="79"/>
      <c r="O792" s="79"/>
      <c r="P792" s="79"/>
      <c r="Q792" s="79"/>
      <c r="R792" s="79"/>
      <c r="S792" s="79"/>
      <c r="T792" s="79"/>
      <c r="U792" s="79"/>
      <c r="V792" s="79"/>
      <c r="W792" s="79"/>
      <c r="X792" s="79"/>
      <c r="Y792" s="79"/>
      <c r="Z792" s="79"/>
    </row>
    <row r="793" spans="1:26" ht="50.95" customHeight="1" x14ac:dyDescent="0.15">
      <c r="A793" s="79"/>
      <c r="B793" s="79"/>
      <c r="C793" s="94"/>
      <c r="D793" s="95"/>
      <c r="E793" s="87"/>
      <c r="F793" s="95"/>
      <c r="G793" s="79"/>
      <c r="H793" s="79"/>
      <c r="I793" s="79"/>
      <c r="J793" s="79"/>
      <c r="K793" s="79"/>
      <c r="L793" s="79"/>
      <c r="M793" s="79"/>
      <c r="N793" s="79"/>
      <c r="O793" s="79"/>
      <c r="P793" s="79"/>
      <c r="Q793" s="79"/>
      <c r="R793" s="79"/>
      <c r="S793" s="79"/>
      <c r="T793" s="79"/>
      <c r="U793" s="79"/>
      <c r="V793" s="79"/>
      <c r="W793" s="79"/>
      <c r="X793" s="79"/>
      <c r="Y793" s="79"/>
      <c r="Z793" s="79"/>
    </row>
    <row r="794" spans="1:26" ht="50.95" customHeight="1" x14ac:dyDescent="0.15">
      <c r="A794" s="79"/>
      <c r="B794" s="79"/>
      <c r="C794" s="94"/>
      <c r="D794" s="95"/>
      <c r="E794" s="87"/>
      <c r="F794" s="95"/>
      <c r="G794" s="79"/>
      <c r="H794" s="79"/>
      <c r="I794" s="79"/>
      <c r="J794" s="79"/>
      <c r="K794" s="79"/>
      <c r="L794" s="79"/>
      <c r="M794" s="79"/>
      <c r="N794" s="79"/>
      <c r="O794" s="79"/>
      <c r="P794" s="79"/>
      <c r="Q794" s="79"/>
      <c r="R794" s="79"/>
      <c r="S794" s="79"/>
      <c r="T794" s="79"/>
      <c r="U794" s="79"/>
      <c r="V794" s="79"/>
      <c r="W794" s="79"/>
      <c r="X794" s="79"/>
      <c r="Y794" s="79"/>
      <c r="Z794" s="79"/>
    </row>
    <row r="795" spans="1:26" ht="50.95" customHeight="1" x14ac:dyDescent="0.15">
      <c r="A795" s="79"/>
      <c r="B795" s="79"/>
      <c r="C795" s="94"/>
      <c r="D795" s="95"/>
      <c r="E795" s="87"/>
      <c r="F795" s="95"/>
      <c r="G795" s="79"/>
      <c r="H795" s="79"/>
      <c r="I795" s="79"/>
      <c r="J795" s="79"/>
      <c r="K795" s="79"/>
      <c r="L795" s="79"/>
      <c r="M795" s="79"/>
      <c r="N795" s="79"/>
      <c r="O795" s="79"/>
      <c r="P795" s="79"/>
      <c r="Q795" s="79"/>
      <c r="R795" s="79"/>
      <c r="S795" s="79"/>
      <c r="T795" s="79"/>
      <c r="U795" s="79"/>
      <c r="V795" s="79"/>
      <c r="W795" s="79"/>
      <c r="X795" s="79"/>
      <c r="Y795" s="79"/>
      <c r="Z795" s="79"/>
    </row>
    <row r="796" spans="1:26" ht="50.95" customHeight="1" x14ac:dyDescent="0.15">
      <c r="A796" s="79"/>
      <c r="B796" s="79"/>
      <c r="C796" s="94"/>
      <c r="D796" s="95"/>
      <c r="E796" s="87"/>
      <c r="F796" s="95"/>
      <c r="G796" s="79"/>
      <c r="H796" s="79"/>
      <c r="I796" s="79"/>
      <c r="J796" s="79"/>
      <c r="K796" s="79"/>
      <c r="L796" s="79"/>
      <c r="M796" s="79"/>
      <c r="N796" s="79"/>
      <c r="O796" s="79"/>
      <c r="P796" s="79"/>
      <c r="Q796" s="79"/>
      <c r="R796" s="79"/>
      <c r="S796" s="79"/>
      <c r="T796" s="79"/>
      <c r="U796" s="79"/>
      <c r="V796" s="79"/>
      <c r="W796" s="79"/>
      <c r="X796" s="79"/>
      <c r="Y796" s="79"/>
      <c r="Z796" s="79"/>
    </row>
    <row r="797" spans="1:26" ht="50.95" customHeight="1" x14ac:dyDescent="0.15">
      <c r="A797" s="79"/>
      <c r="B797" s="79"/>
      <c r="C797" s="94"/>
      <c r="D797" s="95"/>
      <c r="E797" s="87"/>
      <c r="F797" s="95"/>
      <c r="G797" s="79"/>
      <c r="H797" s="79"/>
      <c r="I797" s="79"/>
      <c r="J797" s="79"/>
      <c r="K797" s="79"/>
      <c r="L797" s="79"/>
      <c r="M797" s="79"/>
      <c r="N797" s="79"/>
      <c r="O797" s="79"/>
      <c r="P797" s="79"/>
      <c r="Q797" s="79"/>
      <c r="R797" s="79"/>
      <c r="S797" s="79"/>
      <c r="T797" s="79"/>
      <c r="U797" s="79"/>
      <c r="V797" s="79"/>
      <c r="W797" s="79"/>
      <c r="X797" s="79"/>
      <c r="Y797" s="79"/>
      <c r="Z797" s="79"/>
    </row>
    <row r="798" spans="1:26" ht="50.95" customHeight="1" x14ac:dyDescent="0.15">
      <c r="A798" s="79"/>
      <c r="B798" s="79"/>
      <c r="C798" s="94"/>
      <c r="D798" s="95"/>
      <c r="E798" s="87"/>
      <c r="F798" s="95"/>
      <c r="G798" s="79"/>
      <c r="H798" s="79"/>
      <c r="I798" s="79"/>
      <c r="J798" s="79"/>
      <c r="K798" s="79"/>
      <c r="L798" s="79"/>
      <c r="M798" s="79"/>
      <c r="N798" s="79"/>
      <c r="O798" s="79"/>
      <c r="P798" s="79"/>
      <c r="Q798" s="79"/>
      <c r="R798" s="79"/>
      <c r="S798" s="79"/>
      <c r="T798" s="79"/>
      <c r="U798" s="79"/>
      <c r="V798" s="79"/>
      <c r="W798" s="79"/>
      <c r="X798" s="79"/>
      <c r="Y798" s="79"/>
      <c r="Z798" s="79"/>
    </row>
    <row r="799" spans="1:26" ht="50.95" customHeight="1" x14ac:dyDescent="0.15">
      <c r="A799" s="79"/>
      <c r="B799" s="79"/>
      <c r="C799" s="94"/>
      <c r="D799" s="95"/>
      <c r="E799" s="87"/>
      <c r="F799" s="95"/>
      <c r="G799" s="79"/>
      <c r="H799" s="79"/>
      <c r="I799" s="79"/>
      <c r="J799" s="79"/>
      <c r="K799" s="79"/>
      <c r="L799" s="79"/>
      <c r="M799" s="79"/>
      <c r="N799" s="79"/>
      <c r="O799" s="79"/>
      <c r="P799" s="79"/>
      <c r="Q799" s="79"/>
      <c r="R799" s="79"/>
      <c r="S799" s="79"/>
      <c r="T799" s="79"/>
      <c r="U799" s="79"/>
      <c r="V799" s="79"/>
      <c r="W799" s="79"/>
      <c r="X799" s="79"/>
      <c r="Y799" s="79"/>
      <c r="Z799" s="79"/>
    </row>
    <row r="800" spans="1:26" ht="50.95" customHeight="1" x14ac:dyDescent="0.15">
      <c r="A800" s="79"/>
      <c r="B800" s="79"/>
      <c r="C800" s="94"/>
      <c r="D800" s="95"/>
      <c r="E800" s="87"/>
      <c r="F800" s="95"/>
      <c r="G800" s="79"/>
      <c r="H800" s="79"/>
      <c r="I800" s="79"/>
      <c r="J800" s="79"/>
      <c r="K800" s="79"/>
      <c r="L800" s="79"/>
      <c r="M800" s="79"/>
      <c r="N800" s="79"/>
      <c r="O800" s="79"/>
      <c r="P800" s="79"/>
      <c r="Q800" s="79"/>
      <c r="R800" s="79"/>
      <c r="S800" s="79"/>
      <c r="T800" s="79"/>
      <c r="U800" s="79"/>
      <c r="V800" s="79"/>
      <c r="W800" s="79"/>
      <c r="X800" s="79"/>
      <c r="Y800" s="79"/>
      <c r="Z800" s="79"/>
    </row>
    <row r="801" spans="1:26" ht="50.95" customHeight="1" x14ac:dyDescent="0.15">
      <c r="A801" s="79"/>
      <c r="B801" s="79"/>
      <c r="C801" s="94"/>
      <c r="D801" s="95"/>
      <c r="E801" s="87"/>
      <c r="F801" s="95"/>
      <c r="G801" s="79"/>
      <c r="H801" s="79"/>
      <c r="I801" s="79"/>
      <c r="J801" s="79"/>
      <c r="K801" s="79"/>
      <c r="L801" s="79"/>
      <c r="M801" s="79"/>
      <c r="N801" s="79"/>
      <c r="O801" s="79"/>
      <c r="P801" s="79"/>
      <c r="Q801" s="79"/>
      <c r="R801" s="79"/>
      <c r="S801" s="79"/>
      <c r="T801" s="79"/>
      <c r="U801" s="79"/>
      <c r="V801" s="79"/>
      <c r="W801" s="79"/>
      <c r="X801" s="79"/>
      <c r="Y801" s="79"/>
      <c r="Z801" s="79"/>
    </row>
    <row r="802" spans="1:26" ht="50.95" customHeight="1" x14ac:dyDescent="0.15">
      <c r="A802" s="79"/>
      <c r="B802" s="79"/>
      <c r="C802" s="94"/>
      <c r="D802" s="95"/>
      <c r="E802" s="87"/>
      <c r="F802" s="95"/>
      <c r="G802" s="79"/>
      <c r="H802" s="79"/>
      <c r="I802" s="79"/>
      <c r="J802" s="79"/>
      <c r="K802" s="79"/>
      <c r="L802" s="79"/>
      <c r="M802" s="79"/>
      <c r="N802" s="79"/>
      <c r="O802" s="79"/>
      <c r="P802" s="79"/>
      <c r="Q802" s="79"/>
      <c r="R802" s="79"/>
      <c r="S802" s="79"/>
      <c r="T802" s="79"/>
      <c r="U802" s="79"/>
      <c r="V802" s="79"/>
      <c r="W802" s="79"/>
      <c r="X802" s="79"/>
      <c r="Y802" s="79"/>
      <c r="Z802" s="79"/>
    </row>
    <row r="803" spans="1:26" ht="50.95" customHeight="1" x14ac:dyDescent="0.15">
      <c r="A803" s="79"/>
      <c r="B803" s="79"/>
      <c r="C803" s="94"/>
      <c r="D803" s="95"/>
      <c r="E803" s="87"/>
      <c r="F803" s="95"/>
      <c r="G803" s="79"/>
      <c r="H803" s="79"/>
      <c r="I803" s="79"/>
      <c r="J803" s="79"/>
      <c r="K803" s="79"/>
      <c r="L803" s="79"/>
      <c r="M803" s="79"/>
      <c r="N803" s="79"/>
      <c r="O803" s="79"/>
      <c r="P803" s="79"/>
      <c r="Q803" s="79"/>
      <c r="R803" s="79"/>
      <c r="S803" s="79"/>
      <c r="T803" s="79"/>
      <c r="U803" s="79"/>
      <c r="V803" s="79"/>
      <c r="W803" s="79"/>
      <c r="X803" s="79"/>
      <c r="Y803" s="79"/>
      <c r="Z803" s="79"/>
    </row>
    <row r="804" spans="1:26" ht="50.95" customHeight="1" x14ac:dyDescent="0.15">
      <c r="A804" s="79"/>
      <c r="B804" s="79"/>
      <c r="C804" s="94"/>
      <c r="D804" s="95"/>
      <c r="E804" s="87"/>
      <c r="F804" s="95"/>
      <c r="G804" s="79"/>
      <c r="H804" s="79"/>
      <c r="I804" s="79"/>
      <c r="J804" s="79"/>
      <c r="K804" s="79"/>
      <c r="L804" s="79"/>
      <c r="M804" s="79"/>
      <c r="N804" s="79"/>
      <c r="O804" s="79"/>
      <c r="P804" s="79"/>
      <c r="Q804" s="79"/>
      <c r="R804" s="79"/>
      <c r="S804" s="79"/>
      <c r="T804" s="79"/>
      <c r="U804" s="79"/>
      <c r="V804" s="79"/>
      <c r="W804" s="79"/>
      <c r="X804" s="79"/>
      <c r="Y804" s="79"/>
      <c r="Z804" s="79"/>
    </row>
    <row r="805" spans="1:26" ht="50.95" customHeight="1" x14ac:dyDescent="0.15">
      <c r="A805" s="79"/>
      <c r="B805" s="79"/>
      <c r="C805" s="94"/>
      <c r="D805" s="95"/>
      <c r="E805" s="87"/>
      <c r="F805" s="95"/>
      <c r="G805" s="79"/>
      <c r="H805" s="79"/>
      <c r="I805" s="79"/>
      <c r="J805" s="79"/>
      <c r="K805" s="79"/>
      <c r="L805" s="79"/>
      <c r="M805" s="79"/>
      <c r="N805" s="79"/>
      <c r="O805" s="79"/>
      <c r="P805" s="79"/>
      <c r="Q805" s="79"/>
      <c r="R805" s="79"/>
      <c r="S805" s="79"/>
      <c r="T805" s="79"/>
      <c r="U805" s="79"/>
      <c r="V805" s="79"/>
      <c r="W805" s="79"/>
      <c r="X805" s="79"/>
      <c r="Y805" s="79"/>
      <c r="Z805" s="79"/>
    </row>
    <row r="806" spans="1:26" ht="50.95" customHeight="1" x14ac:dyDescent="0.15">
      <c r="A806" s="79"/>
      <c r="B806" s="79"/>
      <c r="C806" s="94"/>
      <c r="D806" s="95"/>
      <c r="E806" s="87"/>
      <c r="F806" s="95"/>
      <c r="G806" s="79"/>
      <c r="H806" s="79"/>
      <c r="I806" s="79"/>
      <c r="J806" s="79"/>
      <c r="K806" s="79"/>
      <c r="L806" s="79"/>
      <c r="M806" s="79"/>
      <c r="N806" s="79"/>
      <c r="O806" s="79"/>
      <c r="P806" s="79"/>
      <c r="Q806" s="79"/>
      <c r="R806" s="79"/>
      <c r="S806" s="79"/>
      <c r="T806" s="79"/>
      <c r="U806" s="79"/>
      <c r="V806" s="79"/>
      <c r="W806" s="79"/>
      <c r="X806" s="79"/>
      <c r="Y806" s="79"/>
      <c r="Z806" s="79"/>
    </row>
    <row r="807" spans="1:26" ht="50.95" customHeight="1" x14ac:dyDescent="0.15">
      <c r="A807" s="79"/>
      <c r="B807" s="79"/>
      <c r="C807" s="94"/>
      <c r="D807" s="95"/>
      <c r="E807" s="87"/>
      <c r="F807" s="95"/>
      <c r="G807" s="79"/>
      <c r="H807" s="79"/>
      <c r="I807" s="79"/>
      <c r="J807" s="79"/>
      <c r="K807" s="79"/>
      <c r="L807" s="79"/>
      <c r="M807" s="79"/>
      <c r="N807" s="79"/>
      <c r="O807" s="79"/>
      <c r="P807" s="79"/>
      <c r="Q807" s="79"/>
      <c r="R807" s="79"/>
      <c r="S807" s="79"/>
      <c r="T807" s="79"/>
      <c r="U807" s="79"/>
      <c r="V807" s="79"/>
      <c r="W807" s="79"/>
      <c r="X807" s="79"/>
      <c r="Y807" s="79"/>
      <c r="Z807" s="79"/>
    </row>
    <row r="808" spans="1:26" ht="50.95" customHeight="1" x14ac:dyDescent="0.15">
      <c r="A808" s="79"/>
      <c r="B808" s="79"/>
      <c r="C808" s="94"/>
      <c r="D808" s="95"/>
      <c r="E808" s="87"/>
      <c r="F808" s="95"/>
      <c r="G808" s="79"/>
      <c r="H808" s="79"/>
      <c r="I808" s="79"/>
      <c r="J808" s="79"/>
      <c r="K808" s="79"/>
      <c r="L808" s="79"/>
      <c r="M808" s="79"/>
      <c r="N808" s="79"/>
      <c r="O808" s="79"/>
      <c r="P808" s="79"/>
      <c r="Q808" s="79"/>
      <c r="R808" s="79"/>
      <c r="S808" s="79"/>
      <c r="T808" s="79"/>
      <c r="U808" s="79"/>
      <c r="V808" s="79"/>
      <c r="W808" s="79"/>
      <c r="X808" s="79"/>
      <c r="Y808" s="79"/>
      <c r="Z808" s="79"/>
    </row>
    <row r="809" spans="1:26" ht="50.95" customHeight="1" x14ac:dyDescent="0.15">
      <c r="A809" s="79"/>
      <c r="B809" s="79"/>
      <c r="C809" s="94"/>
      <c r="D809" s="95"/>
      <c r="E809" s="87"/>
      <c r="F809" s="95"/>
      <c r="G809" s="79"/>
      <c r="H809" s="79"/>
      <c r="I809" s="79"/>
      <c r="J809" s="79"/>
      <c r="K809" s="79"/>
      <c r="L809" s="79"/>
      <c r="M809" s="79"/>
      <c r="N809" s="79"/>
      <c r="O809" s="79"/>
      <c r="P809" s="79"/>
      <c r="Q809" s="79"/>
      <c r="R809" s="79"/>
      <c r="S809" s="79"/>
      <c r="T809" s="79"/>
      <c r="U809" s="79"/>
      <c r="V809" s="79"/>
      <c r="W809" s="79"/>
      <c r="X809" s="79"/>
      <c r="Y809" s="79"/>
      <c r="Z809" s="79"/>
    </row>
    <row r="810" spans="1:26" ht="50.95" customHeight="1" x14ac:dyDescent="0.15">
      <c r="A810" s="79"/>
      <c r="B810" s="79"/>
      <c r="C810" s="94"/>
      <c r="D810" s="95"/>
      <c r="E810" s="87"/>
      <c r="F810" s="95"/>
      <c r="G810" s="79"/>
      <c r="H810" s="79"/>
      <c r="I810" s="79"/>
      <c r="J810" s="79"/>
      <c r="K810" s="79"/>
      <c r="L810" s="79"/>
      <c r="M810" s="79"/>
      <c r="N810" s="79"/>
      <c r="O810" s="79"/>
      <c r="P810" s="79"/>
      <c r="Q810" s="79"/>
      <c r="R810" s="79"/>
      <c r="S810" s="79"/>
      <c r="T810" s="79"/>
      <c r="U810" s="79"/>
      <c r="V810" s="79"/>
      <c r="W810" s="79"/>
      <c r="X810" s="79"/>
      <c r="Y810" s="79"/>
      <c r="Z810" s="79"/>
    </row>
    <row r="811" spans="1:26" ht="50.95" customHeight="1" x14ac:dyDescent="0.15">
      <c r="A811" s="79"/>
      <c r="B811" s="79"/>
      <c r="C811" s="94"/>
      <c r="D811" s="95"/>
      <c r="E811" s="87"/>
      <c r="F811" s="95"/>
      <c r="G811" s="79"/>
      <c r="H811" s="79"/>
      <c r="I811" s="79"/>
      <c r="J811" s="79"/>
      <c r="K811" s="79"/>
      <c r="L811" s="79"/>
      <c r="M811" s="79"/>
      <c r="N811" s="79"/>
      <c r="O811" s="79"/>
      <c r="P811" s="79"/>
      <c r="Q811" s="79"/>
      <c r="R811" s="79"/>
      <c r="S811" s="79"/>
      <c r="T811" s="79"/>
      <c r="U811" s="79"/>
      <c r="V811" s="79"/>
      <c r="W811" s="79"/>
      <c r="X811" s="79"/>
      <c r="Y811" s="79"/>
      <c r="Z811" s="79"/>
    </row>
    <row r="812" spans="1:26" ht="50.95" customHeight="1" x14ac:dyDescent="0.15">
      <c r="A812" s="79"/>
      <c r="B812" s="79"/>
      <c r="C812" s="94"/>
      <c r="D812" s="95"/>
      <c r="E812" s="87"/>
      <c r="F812" s="95"/>
      <c r="G812" s="79"/>
      <c r="H812" s="79"/>
      <c r="I812" s="79"/>
      <c r="J812" s="79"/>
      <c r="K812" s="79"/>
      <c r="L812" s="79"/>
      <c r="M812" s="79"/>
      <c r="N812" s="79"/>
      <c r="O812" s="79"/>
      <c r="P812" s="79"/>
      <c r="Q812" s="79"/>
      <c r="R812" s="79"/>
      <c r="S812" s="79"/>
      <c r="T812" s="79"/>
      <c r="U812" s="79"/>
      <c r="V812" s="79"/>
      <c r="W812" s="79"/>
      <c r="X812" s="79"/>
      <c r="Y812" s="79"/>
      <c r="Z812" s="79"/>
    </row>
    <row r="813" spans="1:26" ht="50.95" customHeight="1" x14ac:dyDescent="0.15">
      <c r="A813" s="79"/>
      <c r="B813" s="79"/>
      <c r="C813" s="94"/>
      <c r="D813" s="95"/>
      <c r="E813" s="87"/>
      <c r="F813" s="95"/>
      <c r="G813" s="79"/>
      <c r="H813" s="79"/>
      <c r="I813" s="79"/>
      <c r="J813" s="79"/>
      <c r="K813" s="79"/>
      <c r="L813" s="79"/>
      <c r="M813" s="79"/>
      <c r="N813" s="79"/>
      <c r="O813" s="79"/>
      <c r="P813" s="79"/>
      <c r="Q813" s="79"/>
      <c r="R813" s="79"/>
      <c r="S813" s="79"/>
      <c r="T813" s="79"/>
      <c r="U813" s="79"/>
      <c r="V813" s="79"/>
      <c r="W813" s="79"/>
      <c r="X813" s="79"/>
      <c r="Y813" s="79"/>
      <c r="Z813" s="79"/>
    </row>
    <row r="814" spans="1:26" ht="50.95" customHeight="1" x14ac:dyDescent="0.15">
      <c r="A814" s="79"/>
      <c r="B814" s="79"/>
      <c r="C814" s="94"/>
      <c r="D814" s="95"/>
      <c r="E814" s="87"/>
      <c r="F814" s="95"/>
      <c r="G814" s="79"/>
      <c r="H814" s="79"/>
      <c r="I814" s="79"/>
      <c r="J814" s="79"/>
      <c r="K814" s="79"/>
      <c r="L814" s="79"/>
      <c r="M814" s="79"/>
      <c r="N814" s="79"/>
      <c r="O814" s="79"/>
      <c r="P814" s="79"/>
      <c r="Q814" s="79"/>
      <c r="R814" s="79"/>
      <c r="S814" s="79"/>
      <c r="T814" s="79"/>
      <c r="U814" s="79"/>
      <c r="V814" s="79"/>
      <c r="W814" s="79"/>
      <c r="X814" s="79"/>
      <c r="Y814" s="79"/>
      <c r="Z814" s="79"/>
    </row>
    <row r="815" spans="1:26" ht="50.95" customHeight="1" x14ac:dyDescent="0.15">
      <c r="A815" s="79"/>
      <c r="B815" s="79"/>
      <c r="C815" s="94"/>
      <c r="D815" s="95"/>
      <c r="E815" s="87"/>
      <c r="F815" s="95"/>
      <c r="G815" s="79"/>
      <c r="H815" s="79"/>
      <c r="I815" s="79"/>
      <c r="J815" s="79"/>
      <c r="K815" s="79"/>
      <c r="L815" s="79"/>
      <c r="M815" s="79"/>
      <c r="N815" s="79"/>
      <c r="O815" s="79"/>
      <c r="P815" s="79"/>
      <c r="Q815" s="79"/>
      <c r="R815" s="79"/>
      <c r="S815" s="79"/>
      <c r="T815" s="79"/>
      <c r="U815" s="79"/>
      <c r="V815" s="79"/>
      <c r="W815" s="79"/>
      <c r="X815" s="79"/>
      <c r="Y815" s="79"/>
      <c r="Z815" s="79"/>
    </row>
    <row r="816" spans="1:26" ht="50.95" customHeight="1" x14ac:dyDescent="0.15">
      <c r="A816" s="79"/>
      <c r="B816" s="79"/>
      <c r="C816" s="94"/>
      <c r="D816" s="95"/>
      <c r="E816" s="87"/>
      <c r="F816" s="95"/>
      <c r="G816" s="79"/>
      <c r="H816" s="79"/>
      <c r="I816" s="79"/>
      <c r="J816" s="79"/>
      <c r="K816" s="79"/>
      <c r="L816" s="79"/>
      <c r="M816" s="79"/>
      <c r="N816" s="79"/>
      <c r="O816" s="79"/>
      <c r="P816" s="79"/>
      <c r="Q816" s="79"/>
      <c r="R816" s="79"/>
      <c r="S816" s="79"/>
      <c r="T816" s="79"/>
      <c r="U816" s="79"/>
      <c r="V816" s="79"/>
      <c r="W816" s="79"/>
      <c r="X816" s="79"/>
      <c r="Y816" s="79"/>
      <c r="Z816" s="79"/>
    </row>
    <row r="817" spans="1:26" ht="50.95" customHeight="1" x14ac:dyDescent="0.15">
      <c r="A817" s="79"/>
      <c r="B817" s="79"/>
      <c r="C817" s="94"/>
      <c r="D817" s="95"/>
      <c r="E817" s="87"/>
      <c r="F817" s="95"/>
      <c r="G817" s="79"/>
      <c r="H817" s="79"/>
      <c r="I817" s="79"/>
      <c r="J817" s="79"/>
      <c r="K817" s="79"/>
      <c r="L817" s="79"/>
      <c r="M817" s="79"/>
      <c r="N817" s="79"/>
      <c r="O817" s="79"/>
      <c r="P817" s="79"/>
      <c r="Q817" s="79"/>
      <c r="R817" s="79"/>
      <c r="S817" s="79"/>
      <c r="T817" s="79"/>
      <c r="U817" s="79"/>
      <c r="V817" s="79"/>
      <c r="W817" s="79"/>
      <c r="X817" s="79"/>
      <c r="Y817" s="79"/>
      <c r="Z817" s="79"/>
    </row>
    <row r="818" spans="1:26" ht="50.95" customHeight="1" x14ac:dyDescent="0.15">
      <c r="A818" s="79"/>
      <c r="B818" s="79"/>
      <c r="C818" s="94"/>
      <c r="D818" s="95"/>
      <c r="E818" s="87"/>
      <c r="F818" s="95"/>
      <c r="G818" s="79"/>
      <c r="H818" s="79"/>
      <c r="I818" s="79"/>
      <c r="J818" s="79"/>
      <c r="K818" s="79"/>
      <c r="L818" s="79"/>
      <c r="M818" s="79"/>
      <c r="N818" s="79"/>
      <c r="O818" s="79"/>
      <c r="P818" s="79"/>
      <c r="Q818" s="79"/>
      <c r="R818" s="79"/>
      <c r="S818" s="79"/>
      <c r="T818" s="79"/>
      <c r="U818" s="79"/>
      <c r="V818" s="79"/>
      <c r="W818" s="79"/>
      <c r="X818" s="79"/>
      <c r="Y818" s="79"/>
      <c r="Z818" s="79"/>
    </row>
    <row r="819" spans="1:26" ht="50.95" customHeight="1" x14ac:dyDescent="0.15">
      <c r="A819" s="79"/>
      <c r="B819" s="79"/>
      <c r="C819" s="94"/>
      <c r="D819" s="95"/>
      <c r="E819" s="87"/>
      <c r="F819" s="95"/>
      <c r="G819" s="79"/>
      <c r="H819" s="79"/>
      <c r="I819" s="79"/>
      <c r="J819" s="79"/>
      <c r="K819" s="79"/>
      <c r="L819" s="79"/>
      <c r="M819" s="79"/>
      <c r="N819" s="79"/>
      <c r="O819" s="79"/>
      <c r="P819" s="79"/>
      <c r="Q819" s="79"/>
      <c r="R819" s="79"/>
      <c r="S819" s="79"/>
      <c r="T819" s="79"/>
      <c r="U819" s="79"/>
      <c r="V819" s="79"/>
      <c r="W819" s="79"/>
      <c r="X819" s="79"/>
      <c r="Y819" s="79"/>
      <c r="Z819" s="79"/>
    </row>
    <row r="820" spans="1:26" ht="50.95" customHeight="1" x14ac:dyDescent="0.15">
      <c r="A820" s="79"/>
      <c r="B820" s="79"/>
      <c r="C820" s="94"/>
      <c r="D820" s="95"/>
      <c r="E820" s="87"/>
      <c r="F820" s="95"/>
      <c r="G820" s="79"/>
      <c r="H820" s="79"/>
      <c r="I820" s="79"/>
      <c r="J820" s="79"/>
      <c r="K820" s="79"/>
      <c r="L820" s="79"/>
      <c r="M820" s="79"/>
      <c r="N820" s="79"/>
      <c r="O820" s="79"/>
      <c r="P820" s="79"/>
      <c r="Q820" s="79"/>
      <c r="R820" s="79"/>
      <c r="S820" s="79"/>
      <c r="T820" s="79"/>
      <c r="U820" s="79"/>
      <c r="V820" s="79"/>
      <c r="W820" s="79"/>
      <c r="X820" s="79"/>
      <c r="Y820" s="79"/>
      <c r="Z820" s="79"/>
    </row>
    <row r="821" spans="1:26" ht="50.95" customHeight="1" x14ac:dyDescent="0.15">
      <c r="A821" s="79"/>
      <c r="B821" s="79"/>
      <c r="C821" s="94"/>
      <c r="D821" s="95"/>
      <c r="E821" s="87"/>
      <c r="F821" s="95"/>
      <c r="G821" s="79"/>
      <c r="H821" s="79"/>
      <c r="I821" s="79"/>
      <c r="J821" s="79"/>
      <c r="K821" s="79"/>
      <c r="L821" s="79"/>
      <c r="M821" s="79"/>
      <c r="N821" s="79"/>
      <c r="O821" s="79"/>
      <c r="P821" s="79"/>
      <c r="Q821" s="79"/>
      <c r="R821" s="79"/>
      <c r="S821" s="79"/>
      <c r="T821" s="79"/>
      <c r="U821" s="79"/>
      <c r="V821" s="79"/>
      <c r="W821" s="79"/>
      <c r="X821" s="79"/>
      <c r="Y821" s="79"/>
      <c r="Z821" s="79"/>
    </row>
    <row r="822" spans="1:26" ht="50.95" customHeight="1" x14ac:dyDescent="0.15">
      <c r="A822" s="79"/>
      <c r="B822" s="79"/>
      <c r="C822" s="94"/>
      <c r="D822" s="95"/>
      <c r="E822" s="87"/>
      <c r="F822" s="95"/>
      <c r="G822" s="79"/>
      <c r="H822" s="79"/>
      <c r="I822" s="79"/>
      <c r="J822" s="79"/>
      <c r="K822" s="79"/>
      <c r="L822" s="79"/>
      <c r="M822" s="79"/>
      <c r="N822" s="79"/>
      <c r="O822" s="79"/>
      <c r="P822" s="79"/>
      <c r="Q822" s="79"/>
      <c r="R822" s="79"/>
      <c r="S822" s="79"/>
      <c r="T822" s="79"/>
      <c r="U822" s="79"/>
      <c r="V822" s="79"/>
      <c r="W822" s="79"/>
      <c r="X822" s="79"/>
      <c r="Y822" s="79"/>
      <c r="Z822" s="79"/>
    </row>
    <row r="823" spans="1:26" ht="50.95" customHeight="1" x14ac:dyDescent="0.15">
      <c r="A823" s="79"/>
      <c r="B823" s="79"/>
      <c r="C823" s="94"/>
      <c r="D823" s="95"/>
      <c r="E823" s="87"/>
      <c r="F823" s="95"/>
      <c r="G823" s="79"/>
      <c r="H823" s="79"/>
      <c r="I823" s="79"/>
      <c r="J823" s="79"/>
      <c r="K823" s="79"/>
      <c r="L823" s="79"/>
      <c r="M823" s="79"/>
      <c r="N823" s="79"/>
      <c r="O823" s="79"/>
      <c r="P823" s="79"/>
      <c r="Q823" s="79"/>
      <c r="R823" s="79"/>
      <c r="S823" s="79"/>
      <c r="T823" s="79"/>
      <c r="U823" s="79"/>
      <c r="V823" s="79"/>
      <c r="W823" s="79"/>
      <c r="X823" s="79"/>
      <c r="Y823" s="79"/>
      <c r="Z823" s="79"/>
    </row>
    <row r="824" spans="1:26" ht="50.95" customHeight="1" x14ac:dyDescent="0.15">
      <c r="A824" s="79"/>
      <c r="B824" s="79"/>
      <c r="C824" s="94"/>
      <c r="D824" s="95"/>
      <c r="E824" s="87"/>
      <c r="F824" s="95"/>
      <c r="G824" s="79"/>
      <c r="H824" s="79"/>
      <c r="I824" s="79"/>
      <c r="J824" s="79"/>
      <c r="K824" s="79"/>
      <c r="L824" s="79"/>
      <c r="M824" s="79"/>
      <c r="N824" s="79"/>
      <c r="O824" s="79"/>
      <c r="P824" s="79"/>
      <c r="Q824" s="79"/>
      <c r="R824" s="79"/>
      <c r="S824" s="79"/>
      <c r="T824" s="79"/>
      <c r="U824" s="79"/>
      <c r="V824" s="79"/>
      <c r="W824" s="79"/>
      <c r="X824" s="79"/>
      <c r="Y824" s="79"/>
      <c r="Z824" s="79"/>
    </row>
    <row r="825" spans="1:26" ht="50.95" customHeight="1" x14ac:dyDescent="0.15">
      <c r="A825" s="79"/>
      <c r="B825" s="79"/>
      <c r="C825" s="94"/>
      <c r="D825" s="95"/>
      <c r="E825" s="87"/>
      <c r="F825" s="95"/>
      <c r="G825" s="79"/>
      <c r="H825" s="79"/>
      <c r="I825" s="79"/>
      <c r="J825" s="79"/>
      <c r="K825" s="79"/>
      <c r="L825" s="79"/>
      <c r="M825" s="79"/>
      <c r="N825" s="79"/>
      <c r="O825" s="79"/>
      <c r="P825" s="79"/>
      <c r="Q825" s="79"/>
      <c r="R825" s="79"/>
      <c r="S825" s="79"/>
      <c r="T825" s="79"/>
      <c r="U825" s="79"/>
      <c r="V825" s="79"/>
      <c r="W825" s="79"/>
      <c r="X825" s="79"/>
      <c r="Y825" s="79"/>
      <c r="Z825" s="79"/>
    </row>
    <row r="826" spans="1:26" ht="50.95" customHeight="1" x14ac:dyDescent="0.15">
      <c r="A826" s="79"/>
      <c r="B826" s="79"/>
      <c r="C826" s="94"/>
      <c r="D826" s="95"/>
      <c r="E826" s="87"/>
      <c r="F826" s="95"/>
      <c r="G826" s="79"/>
      <c r="H826" s="79"/>
      <c r="I826" s="79"/>
      <c r="J826" s="79"/>
      <c r="K826" s="79"/>
      <c r="L826" s="79"/>
      <c r="M826" s="79"/>
      <c r="N826" s="79"/>
      <c r="O826" s="79"/>
      <c r="P826" s="79"/>
      <c r="Q826" s="79"/>
      <c r="R826" s="79"/>
      <c r="S826" s="79"/>
      <c r="T826" s="79"/>
      <c r="U826" s="79"/>
      <c r="V826" s="79"/>
      <c r="W826" s="79"/>
      <c r="X826" s="79"/>
      <c r="Y826" s="79"/>
      <c r="Z826" s="79"/>
    </row>
    <row r="827" spans="1:26" ht="50.95" customHeight="1" x14ac:dyDescent="0.15">
      <c r="A827" s="79"/>
      <c r="B827" s="79"/>
      <c r="C827" s="94"/>
      <c r="D827" s="95"/>
      <c r="E827" s="87"/>
      <c r="F827" s="95"/>
      <c r="G827" s="79"/>
      <c r="H827" s="79"/>
      <c r="I827" s="79"/>
      <c r="J827" s="79"/>
      <c r="K827" s="79"/>
      <c r="L827" s="79"/>
      <c r="M827" s="79"/>
      <c r="N827" s="79"/>
      <c r="O827" s="79"/>
      <c r="P827" s="79"/>
      <c r="Q827" s="79"/>
      <c r="R827" s="79"/>
      <c r="S827" s="79"/>
      <c r="T827" s="79"/>
      <c r="U827" s="79"/>
      <c r="V827" s="79"/>
      <c r="W827" s="79"/>
      <c r="X827" s="79"/>
      <c r="Y827" s="79"/>
      <c r="Z827" s="79"/>
    </row>
    <row r="828" spans="1:26" ht="50.95" customHeight="1" x14ac:dyDescent="0.15">
      <c r="A828" s="79"/>
      <c r="B828" s="79"/>
      <c r="C828" s="94"/>
      <c r="D828" s="95"/>
      <c r="E828" s="87"/>
      <c r="F828" s="95"/>
      <c r="G828" s="79"/>
      <c r="H828" s="79"/>
      <c r="I828" s="79"/>
      <c r="J828" s="79"/>
      <c r="K828" s="79"/>
      <c r="L828" s="79"/>
      <c r="M828" s="79"/>
      <c r="N828" s="79"/>
      <c r="O828" s="79"/>
      <c r="P828" s="79"/>
      <c r="Q828" s="79"/>
      <c r="R828" s="79"/>
      <c r="S828" s="79"/>
      <c r="T828" s="79"/>
      <c r="U828" s="79"/>
      <c r="V828" s="79"/>
      <c r="W828" s="79"/>
      <c r="X828" s="79"/>
      <c r="Y828" s="79"/>
      <c r="Z828" s="79"/>
    </row>
    <row r="829" spans="1:26" ht="50.95" customHeight="1" x14ac:dyDescent="0.15">
      <c r="A829" s="79"/>
      <c r="B829" s="79"/>
      <c r="C829" s="94"/>
      <c r="D829" s="95"/>
      <c r="E829" s="87"/>
      <c r="F829" s="95"/>
      <c r="G829" s="79"/>
      <c r="H829" s="79"/>
      <c r="I829" s="79"/>
      <c r="J829" s="79"/>
      <c r="K829" s="79"/>
      <c r="L829" s="79"/>
      <c r="M829" s="79"/>
      <c r="N829" s="79"/>
      <c r="O829" s="79"/>
      <c r="P829" s="79"/>
      <c r="Q829" s="79"/>
      <c r="R829" s="79"/>
      <c r="S829" s="79"/>
      <c r="T829" s="79"/>
      <c r="U829" s="79"/>
      <c r="V829" s="79"/>
      <c r="W829" s="79"/>
      <c r="X829" s="79"/>
      <c r="Y829" s="79"/>
      <c r="Z829" s="79"/>
    </row>
    <row r="830" spans="1:26" ht="50.95" customHeight="1" x14ac:dyDescent="0.15">
      <c r="A830" s="79"/>
      <c r="B830" s="79"/>
      <c r="C830" s="94"/>
      <c r="D830" s="95"/>
      <c r="E830" s="87"/>
      <c r="F830" s="95"/>
      <c r="G830" s="79"/>
      <c r="H830" s="79"/>
      <c r="I830" s="79"/>
      <c r="J830" s="79"/>
      <c r="K830" s="79"/>
      <c r="L830" s="79"/>
      <c r="M830" s="79"/>
      <c r="N830" s="79"/>
      <c r="O830" s="79"/>
      <c r="P830" s="79"/>
      <c r="Q830" s="79"/>
      <c r="R830" s="79"/>
      <c r="S830" s="79"/>
      <c r="T830" s="79"/>
      <c r="U830" s="79"/>
      <c r="V830" s="79"/>
      <c r="W830" s="79"/>
      <c r="X830" s="79"/>
      <c r="Y830" s="79"/>
      <c r="Z830" s="79"/>
    </row>
    <row r="831" spans="1:26" ht="50.95" customHeight="1" x14ac:dyDescent="0.15">
      <c r="A831" s="79"/>
      <c r="B831" s="79"/>
      <c r="C831" s="94"/>
      <c r="D831" s="95"/>
      <c r="E831" s="87"/>
      <c r="F831" s="95"/>
      <c r="G831" s="79"/>
      <c r="H831" s="79"/>
      <c r="I831" s="79"/>
      <c r="J831" s="79"/>
      <c r="K831" s="79"/>
      <c r="L831" s="79"/>
      <c r="M831" s="79"/>
      <c r="N831" s="79"/>
      <c r="O831" s="79"/>
      <c r="P831" s="79"/>
      <c r="Q831" s="79"/>
      <c r="R831" s="79"/>
      <c r="S831" s="79"/>
      <c r="T831" s="79"/>
      <c r="U831" s="79"/>
      <c r="V831" s="79"/>
      <c r="W831" s="79"/>
      <c r="X831" s="79"/>
      <c r="Y831" s="79"/>
      <c r="Z831" s="79"/>
    </row>
    <row r="832" spans="1:26" ht="50.95" customHeight="1" x14ac:dyDescent="0.15">
      <c r="A832" s="79"/>
      <c r="B832" s="79"/>
      <c r="C832" s="94"/>
      <c r="D832" s="95"/>
      <c r="E832" s="87"/>
      <c r="F832" s="95"/>
      <c r="G832" s="79"/>
      <c r="H832" s="79"/>
      <c r="I832" s="79"/>
      <c r="J832" s="79"/>
      <c r="K832" s="79"/>
      <c r="L832" s="79"/>
      <c r="M832" s="79"/>
      <c r="N832" s="79"/>
      <c r="O832" s="79"/>
      <c r="P832" s="79"/>
      <c r="Q832" s="79"/>
      <c r="R832" s="79"/>
      <c r="S832" s="79"/>
      <c r="T832" s="79"/>
      <c r="U832" s="79"/>
      <c r="V832" s="79"/>
      <c r="W832" s="79"/>
      <c r="X832" s="79"/>
      <c r="Y832" s="79"/>
      <c r="Z832" s="79"/>
    </row>
    <row r="833" spans="1:26" ht="50.95" customHeight="1" x14ac:dyDescent="0.15">
      <c r="A833" s="79"/>
      <c r="B833" s="79"/>
      <c r="C833" s="94"/>
      <c r="D833" s="95"/>
      <c r="E833" s="87"/>
      <c r="F833" s="95"/>
      <c r="G833" s="79"/>
      <c r="H833" s="79"/>
      <c r="I833" s="79"/>
      <c r="J833" s="79"/>
      <c r="K833" s="79"/>
      <c r="L833" s="79"/>
      <c r="M833" s="79"/>
      <c r="N833" s="79"/>
      <c r="O833" s="79"/>
      <c r="P833" s="79"/>
      <c r="Q833" s="79"/>
      <c r="R833" s="79"/>
      <c r="S833" s="79"/>
      <c r="T833" s="79"/>
      <c r="U833" s="79"/>
      <c r="V833" s="79"/>
      <c r="W833" s="79"/>
      <c r="X833" s="79"/>
      <c r="Y833" s="79"/>
      <c r="Z833" s="79"/>
    </row>
    <row r="834" spans="1:26" ht="50.95" customHeight="1" x14ac:dyDescent="0.15">
      <c r="A834" s="79"/>
      <c r="B834" s="79"/>
      <c r="C834" s="94"/>
      <c r="D834" s="95"/>
      <c r="E834" s="87"/>
      <c r="F834" s="95"/>
      <c r="G834" s="79"/>
      <c r="H834" s="79"/>
      <c r="I834" s="79"/>
      <c r="J834" s="79"/>
      <c r="K834" s="79"/>
      <c r="L834" s="79"/>
      <c r="M834" s="79"/>
      <c r="N834" s="79"/>
      <c r="O834" s="79"/>
      <c r="P834" s="79"/>
      <c r="Q834" s="79"/>
      <c r="R834" s="79"/>
      <c r="S834" s="79"/>
      <c r="T834" s="79"/>
      <c r="U834" s="79"/>
      <c r="V834" s="79"/>
      <c r="W834" s="79"/>
      <c r="X834" s="79"/>
      <c r="Y834" s="79"/>
      <c r="Z834" s="79"/>
    </row>
    <row r="835" spans="1:26" ht="50.95" customHeight="1" x14ac:dyDescent="0.15">
      <c r="A835" s="79"/>
      <c r="B835" s="79"/>
      <c r="C835" s="94"/>
      <c r="D835" s="95"/>
      <c r="E835" s="87"/>
      <c r="F835" s="95"/>
      <c r="G835" s="79"/>
      <c r="H835" s="79"/>
      <c r="I835" s="79"/>
      <c r="J835" s="79"/>
      <c r="K835" s="79"/>
      <c r="L835" s="79"/>
      <c r="M835" s="79"/>
      <c r="N835" s="79"/>
      <c r="O835" s="79"/>
      <c r="P835" s="79"/>
      <c r="Q835" s="79"/>
      <c r="R835" s="79"/>
      <c r="S835" s="79"/>
      <c r="T835" s="79"/>
      <c r="U835" s="79"/>
      <c r="V835" s="79"/>
      <c r="W835" s="79"/>
      <c r="X835" s="79"/>
      <c r="Y835" s="79"/>
      <c r="Z835" s="79"/>
    </row>
    <row r="836" spans="1:26" ht="50.95" customHeight="1" x14ac:dyDescent="0.15">
      <c r="A836" s="79"/>
      <c r="B836" s="79"/>
      <c r="C836" s="94"/>
      <c r="D836" s="95"/>
      <c r="E836" s="87"/>
      <c r="F836" s="95"/>
      <c r="G836" s="79"/>
      <c r="H836" s="79"/>
      <c r="I836" s="79"/>
      <c r="J836" s="79"/>
      <c r="K836" s="79"/>
      <c r="L836" s="79"/>
      <c r="M836" s="79"/>
      <c r="N836" s="79"/>
      <c r="O836" s="79"/>
      <c r="P836" s="79"/>
      <c r="Q836" s="79"/>
      <c r="R836" s="79"/>
      <c r="S836" s="79"/>
      <c r="T836" s="79"/>
      <c r="U836" s="79"/>
      <c r="V836" s="79"/>
      <c r="W836" s="79"/>
      <c r="X836" s="79"/>
      <c r="Y836" s="79"/>
      <c r="Z836" s="79"/>
    </row>
    <row r="837" spans="1:26" ht="50.95" customHeight="1" x14ac:dyDescent="0.15">
      <c r="A837" s="79"/>
      <c r="B837" s="79"/>
      <c r="C837" s="94"/>
      <c r="D837" s="95"/>
      <c r="E837" s="87"/>
      <c r="F837" s="95"/>
      <c r="G837" s="79"/>
      <c r="H837" s="79"/>
      <c r="I837" s="79"/>
      <c r="J837" s="79"/>
      <c r="K837" s="79"/>
      <c r="L837" s="79"/>
      <c r="M837" s="79"/>
      <c r="N837" s="79"/>
      <c r="O837" s="79"/>
      <c r="P837" s="79"/>
      <c r="Q837" s="79"/>
      <c r="R837" s="79"/>
      <c r="S837" s="79"/>
      <c r="T837" s="79"/>
      <c r="U837" s="79"/>
      <c r="V837" s="79"/>
      <c r="W837" s="79"/>
      <c r="X837" s="79"/>
      <c r="Y837" s="79"/>
      <c r="Z837" s="79"/>
    </row>
    <row r="838" spans="1:26" ht="50.95" customHeight="1" x14ac:dyDescent="0.15">
      <c r="A838" s="79"/>
      <c r="B838" s="79"/>
      <c r="C838" s="94"/>
      <c r="D838" s="95"/>
      <c r="E838" s="87"/>
      <c r="F838" s="95"/>
      <c r="G838" s="79"/>
      <c r="H838" s="79"/>
      <c r="I838" s="79"/>
      <c r="J838" s="79"/>
      <c r="K838" s="79"/>
      <c r="L838" s="79"/>
      <c r="M838" s="79"/>
      <c r="N838" s="79"/>
      <c r="O838" s="79"/>
      <c r="P838" s="79"/>
      <c r="Q838" s="79"/>
      <c r="R838" s="79"/>
      <c r="S838" s="79"/>
      <c r="T838" s="79"/>
      <c r="U838" s="79"/>
      <c r="V838" s="79"/>
      <c r="W838" s="79"/>
      <c r="X838" s="79"/>
      <c r="Y838" s="79"/>
      <c r="Z838" s="79"/>
    </row>
    <row r="839" spans="1:26" ht="50.95" customHeight="1" x14ac:dyDescent="0.15">
      <c r="A839" s="79"/>
      <c r="B839" s="79"/>
      <c r="C839" s="94"/>
      <c r="D839" s="95"/>
      <c r="E839" s="87"/>
      <c r="F839" s="95"/>
      <c r="G839" s="79"/>
      <c r="H839" s="79"/>
      <c r="I839" s="79"/>
      <c r="J839" s="79"/>
      <c r="K839" s="79"/>
      <c r="L839" s="79"/>
      <c r="M839" s="79"/>
      <c r="N839" s="79"/>
      <c r="O839" s="79"/>
      <c r="P839" s="79"/>
      <c r="Q839" s="79"/>
      <c r="R839" s="79"/>
      <c r="S839" s="79"/>
      <c r="T839" s="79"/>
      <c r="U839" s="79"/>
      <c r="V839" s="79"/>
      <c r="W839" s="79"/>
      <c r="X839" s="79"/>
      <c r="Y839" s="79"/>
      <c r="Z839" s="79"/>
    </row>
    <row r="840" spans="1:26" ht="50.95" customHeight="1" x14ac:dyDescent="0.15">
      <c r="A840" s="79"/>
      <c r="B840" s="79"/>
      <c r="C840" s="94"/>
      <c r="D840" s="95"/>
      <c r="E840" s="87"/>
      <c r="F840" s="95"/>
      <c r="G840" s="79"/>
      <c r="H840" s="79"/>
      <c r="I840" s="79"/>
      <c r="J840" s="79"/>
      <c r="K840" s="79"/>
      <c r="L840" s="79"/>
      <c r="M840" s="79"/>
      <c r="N840" s="79"/>
      <c r="O840" s="79"/>
      <c r="P840" s="79"/>
      <c r="Q840" s="79"/>
      <c r="R840" s="79"/>
      <c r="S840" s="79"/>
      <c r="T840" s="79"/>
      <c r="U840" s="79"/>
      <c r="V840" s="79"/>
      <c r="W840" s="79"/>
      <c r="X840" s="79"/>
      <c r="Y840" s="79"/>
      <c r="Z840" s="79"/>
    </row>
    <row r="841" spans="1:26" ht="50.95" customHeight="1" x14ac:dyDescent="0.15">
      <c r="A841" s="79"/>
      <c r="B841" s="79"/>
      <c r="C841" s="94"/>
      <c r="D841" s="95"/>
      <c r="E841" s="87"/>
      <c r="F841" s="95"/>
      <c r="G841" s="79"/>
      <c r="H841" s="79"/>
      <c r="I841" s="79"/>
      <c r="J841" s="79"/>
      <c r="K841" s="79"/>
      <c r="L841" s="79"/>
      <c r="M841" s="79"/>
      <c r="N841" s="79"/>
      <c r="O841" s="79"/>
      <c r="P841" s="79"/>
      <c r="Q841" s="79"/>
      <c r="R841" s="79"/>
      <c r="S841" s="79"/>
      <c r="T841" s="79"/>
      <c r="U841" s="79"/>
      <c r="V841" s="79"/>
      <c r="W841" s="79"/>
      <c r="X841" s="79"/>
      <c r="Y841" s="79"/>
      <c r="Z841" s="79"/>
    </row>
    <row r="842" spans="1:26" ht="50.95" customHeight="1" x14ac:dyDescent="0.15">
      <c r="A842" s="79"/>
      <c r="B842" s="79"/>
      <c r="C842" s="94"/>
      <c r="D842" s="95"/>
      <c r="E842" s="87"/>
      <c r="F842" s="95"/>
      <c r="G842" s="79"/>
      <c r="H842" s="79"/>
      <c r="I842" s="79"/>
      <c r="J842" s="79"/>
      <c r="K842" s="79"/>
      <c r="L842" s="79"/>
      <c r="M842" s="79"/>
      <c r="N842" s="79"/>
      <c r="O842" s="79"/>
      <c r="P842" s="79"/>
      <c r="Q842" s="79"/>
      <c r="R842" s="79"/>
      <c r="S842" s="79"/>
      <c r="T842" s="79"/>
      <c r="U842" s="79"/>
      <c r="V842" s="79"/>
      <c r="W842" s="79"/>
      <c r="X842" s="79"/>
      <c r="Y842" s="79"/>
      <c r="Z842" s="79"/>
    </row>
    <row r="843" spans="1:26" ht="50.95" customHeight="1" x14ac:dyDescent="0.15">
      <c r="A843" s="79"/>
      <c r="B843" s="79"/>
      <c r="C843" s="94"/>
      <c r="D843" s="95"/>
      <c r="E843" s="87"/>
      <c r="F843" s="95"/>
      <c r="G843" s="79"/>
      <c r="H843" s="79"/>
      <c r="I843" s="79"/>
      <c r="J843" s="79"/>
      <c r="K843" s="79"/>
      <c r="L843" s="79"/>
      <c r="M843" s="79"/>
      <c r="N843" s="79"/>
      <c r="O843" s="79"/>
      <c r="P843" s="79"/>
      <c r="Q843" s="79"/>
      <c r="R843" s="79"/>
      <c r="S843" s="79"/>
      <c r="T843" s="79"/>
      <c r="U843" s="79"/>
      <c r="V843" s="79"/>
      <c r="W843" s="79"/>
      <c r="X843" s="79"/>
      <c r="Y843" s="79"/>
      <c r="Z843" s="79"/>
    </row>
    <row r="844" spans="1:26" ht="50.95" customHeight="1" x14ac:dyDescent="0.15">
      <c r="A844" s="79"/>
      <c r="B844" s="79"/>
      <c r="C844" s="94"/>
      <c r="D844" s="95"/>
      <c r="E844" s="87"/>
      <c r="F844" s="95"/>
      <c r="G844" s="79"/>
      <c r="H844" s="79"/>
      <c r="I844" s="79"/>
      <c r="J844" s="79"/>
      <c r="K844" s="79"/>
      <c r="L844" s="79"/>
      <c r="M844" s="79"/>
      <c r="N844" s="79"/>
      <c r="O844" s="79"/>
      <c r="P844" s="79"/>
      <c r="Q844" s="79"/>
      <c r="R844" s="79"/>
      <c r="S844" s="79"/>
      <c r="T844" s="79"/>
      <c r="U844" s="79"/>
      <c r="V844" s="79"/>
      <c r="W844" s="79"/>
      <c r="X844" s="79"/>
      <c r="Y844" s="79"/>
      <c r="Z844" s="79"/>
    </row>
    <row r="845" spans="1:26" ht="50.95" customHeight="1" x14ac:dyDescent="0.15">
      <c r="A845" s="79"/>
      <c r="B845" s="79"/>
      <c r="C845" s="94"/>
      <c r="D845" s="95"/>
      <c r="E845" s="87"/>
      <c r="F845" s="95"/>
      <c r="G845" s="79"/>
      <c r="H845" s="79"/>
      <c r="I845" s="79"/>
      <c r="J845" s="79"/>
      <c r="K845" s="79"/>
      <c r="L845" s="79"/>
      <c r="M845" s="79"/>
      <c r="N845" s="79"/>
      <c r="O845" s="79"/>
      <c r="P845" s="79"/>
      <c r="Q845" s="79"/>
      <c r="R845" s="79"/>
      <c r="S845" s="79"/>
      <c r="T845" s="79"/>
      <c r="U845" s="79"/>
      <c r="V845" s="79"/>
      <c r="W845" s="79"/>
      <c r="X845" s="79"/>
      <c r="Y845" s="79"/>
      <c r="Z845" s="79"/>
    </row>
    <row r="846" spans="1:26" ht="50.95" customHeight="1" x14ac:dyDescent="0.15">
      <c r="A846" s="79"/>
      <c r="B846" s="79"/>
      <c r="C846" s="94"/>
      <c r="D846" s="95"/>
      <c r="E846" s="87"/>
      <c r="F846" s="95"/>
      <c r="G846" s="79"/>
      <c r="H846" s="79"/>
      <c r="I846" s="79"/>
      <c r="J846" s="79"/>
      <c r="K846" s="79"/>
      <c r="L846" s="79"/>
      <c r="M846" s="79"/>
      <c r="N846" s="79"/>
      <c r="O846" s="79"/>
      <c r="P846" s="79"/>
      <c r="Q846" s="79"/>
      <c r="R846" s="79"/>
      <c r="S846" s="79"/>
      <c r="T846" s="79"/>
      <c r="U846" s="79"/>
      <c r="V846" s="79"/>
      <c r="W846" s="79"/>
      <c r="X846" s="79"/>
      <c r="Y846" s="79"/>
      <c r="Z846" s="79"/>
    </row>
    <row r="847" spans="1:26" ht="50.95" customHeight="1" x14ac:dyDescent="0.15">
      <c r="A847" s="79"/>
      <c r="B847" s="79"/>
      <c r="C847" s="94"/>
      <c r="D847" s="95"/>
      <c r="E847" s="87"/>
      <c r="F847" s="95"/>
      <c r="G847" s="79"/>
      <c r="H847" s="79"/>
      <c r="I847" s="79"/>
      <c r="J847" s="79"/>
      <c r="K847" s="79"/>
      <c r="L847" s="79"/>
      <c r="M847" s="79"/>
      <c r="N847" s="79"/>
      <c r="O847" s="79"/>
      <c r="P847" s="79"/>
      <c r="Q847" s="79"/>
      <c r="R847" s="79"/>
      <c r="S847" s="79"/>
      <c r="T847" s="79"/>
      <c r="U847" s="79"/>
      <c r="V847" s="79"/>
      <c r="W847" s="79"/>
      <c r="X847" s="79"/>
      <c r="Y847" s="79"/>
      <c r="Z847" s="79"/>
    </row>
    <row r="848" spans="1:26" ht="50.95" customHeight="1" x14ac:dyDescent="0.15">
      <c r="A848" s="79"/>
      <c r="B848" s="79"/>
      <c r="C848" s="94"/>
      <c r="D848" s="95"/>
      <c r="E848" s="87"/>
      <c r="F848" s="95"/>
      <c r="G848" s="79"/>
      <c r="H848" s="79"/>
      <c r="I848" s="79"/>
      <c r="J848" s="79"/>
      <c r="K848" s="79"/>
      <c r="L848" s="79"/>
      <c r="M848" s="79"/>
      <c r="N848" s="79"/>
      <c r="O848" s="79"/>
      <c r="P848" s="79"/>
      <c r="Q848" s="79"/>
      <c r="R848" s="79"/>
      <c r="S848" s="79"/>
      <c r="T848" s="79"/>
      <c r="U848" s="79"/>
      <c r="V848" s="79"/>
      <c r="W848" s="79"/>
      <c r="X848" s="79"/>
      <c r="Y848" s="79"/>
      <c r="Z848" s="79"/>
    </row>
    <row r="849" spans="1:26" ht="50.95" customHeight="1" x14ac:dyDescent="0.15">
      <c r="A849" s="79"/>
      <c r="B849" s="79"/>
      <c r="C849" s="94"/>
      <c r="D849" s="95"/>
      <c r="E849" s="87"/>
      <c r="F849" s="95"/>
      <c r="G849" s="79"/>
      <c r="H849" s="79"/>
      <c r="I849" s="79"/>
      <c r="J849" s="79"/>
      <c r="K849" s="79"/>
      <c r="L849" s="79"/>
      <c r="M849" s="79"/>
      <c r="N849" s="79"/>
      <c r="O849" s="79"/>
      <c r="P849" s="79"/>
      <c r="Q849" s="79"/>
      <c r="R849" s="79"/>
      <c r="S849" s="79"/>
      <c r="T849" s="79"/>
      <c r="U849" s="79"/>
      <c r="V849" s="79"/>
      <c r="W849" s="79"/>
      <c r="X849" s="79"/>
      <c r="Y849" s="79"/>
      <c r="Z849" s="79"/>
    </row>
    <row r="850" spans="1:26" ht="50.95" customHeight="1" x14ac:dyDescent="0.15">
      <c r="A850" s="79"/>
      <c r="B850" s="79"/>
      <c r="C850" s="94"/>
      <c r="D850" s="95"/>
      <c r="E850" s="87"/>
      <c r="F850" s="95"/>
      <c r="G850" s="79"/>
      <c r="H850" s="79"/>
      <c r="I850" s="79"/>
      <c r="J850" s="79"/>
      <c r="K850" s="79"/>
      <c r="L850" s="79"/>
      <c r="M850" s="79"/>
      <c r="N850" s="79"/>
      <c r="O850" s="79"/>
      <c r="P850" s="79"/>
      <c r="Q850" s="79"/>
      <c r="R850" s="79"/>
      <c r="S850" s="79"/>
      <c r="T850" s="79"/>
      <c r="U850" s="79"/>
      <c r="V850" s="79"/>
      <c r="W850" s="79"/>
      <c r="X850" s="79"/>
      <c r="Y850" s="79"/>
      <c r="Z850" s="79"/>
    </row>
    <row r="851" spans="1:26" ht="50.95" customHeight="1" x14ac:dyDescent="0.15">
      <c r="A851" s="79"/>
      <c r="B851" s="79"/>
      <c r="C851" s="94"/>
      <c r="D851" s="95"/>
      <c r="E851" s="87"/>
      <c r="F851" s="95"/>
      <c r="G851" s="79"/>
      <c r="H851" s="79"/>
      <c r="I851" s="79"/>
      <c r="J851" s="79"/>
      <c r="K851" s="79"/>
      <c r="L851" s="79"/>
      <c r="M851" s="79"/>
      <c r="N851" s="79"/>
      <c r="O851" s="79"/>
      <c r="P851" s="79"/>
      <c r="Q851" s="79"/>
      <c r="R851" s="79"/>
      <c r="S851" s="79"/>
      <c r="T851" s="79"/>
      <c r="U851" s="79"/>
      <c r="V851" s="79"/>
      <c r="W851" s="79"/>
      <c r="X851" s="79"/>
      <c r="Y851" s="79"/>
      <c r="Z851" s="79"/>
    </row>
    <row r="852" spans="1:26" ht="50.95" customHeight="1" x14ac:dyDescent="0.15">
      <c r="A852" s="79"/>
      <c r="B852" s="79"/>
      <c r="C852" s="94"/>
      <c r="D852" s="95"/>
      <c r="E852" s="87"/>
      <c r="F852" s="95"/>
      <c r="G852" s="79"/>
      <c r="H852" s="79"/>
      <c r="I852" s="79"/>
      <c r="J852" s="79"/>
      <c r="K852" s="79"/>
      <c r="L852" s="79"/>
      <c r="M852" s="79"/>
      <c r="N852" s="79"/>
      <c r="O852" s="79"/>
      <c r="P852" s="79"/>
      <c r="Q852" s="79"/>
      <c r="R852" s="79"/>
      <c r="S852" s="79"/>
      <c r="T852" s="79"/>
      <c r="U852" s="79"/>
      <c r="V852" s="79"/>
      <c r="W852" s="79"/>
      <c r="X852" s="79"/>
      <c r="Y852" s="79"/>
      <c r="Z852" s="79"/>
    </row>
    <row r="853" spans="1:26" ht="50.95" customHeight="1" x14ac:dyDescent="0.15">
      <c r="A853" s="79"/>
      <c r="B853" s="79"/>
      <c r="C853" s="94"/>
      <c r="D853" s="95"/>
      <c r="E853" s="87"/>
      <c r="F853" s="95"/>
      <c r="G853" s="79"/>
      <c r="H853" s="79"/>
      <c r="I853" s="79"/>
      <c r="J853" s="79"/>
      <c r="K853" s="79"/>
      <c r="L853" s="79"/>
      <c r="M853" s="79"/>
      <c r="N853" s="79"/>
      <c r="O853" s="79"/>
      <c r="P853" s="79"/>
      <c r="Q853" s="79"/>
      <c r="R853" s="79"/>
      <c r="S853" s="79"/>
      <c r="T853" s="79"/>
      <c r="U853" s="79"/>
      <c r="V853" s="79"/>
      <c r="W853" s="79"/>
      <c r="X853" s="79"/>
      <c r="Y853" s="79"/>
      <c r="Z853" s="79"/>
    </row>
    <row r="854" spans="1:26" ht="50.95" customHeight="1" x14ac:dyDescent="0.15">
      <c r="A854" s="79"/>
      <c r="B854" s="79"/>
      <c r="C854" s="94"/>
      <c r="D854" s="95"/>
      <c r="E854" s="87"/>
      <c r="F854" s="95"/>
      <c r="G854" s="79"/>
      <c r="H854" s="79"/>
      <c r="I854" s="79"/>
      <c r="J854" s="79"/>
      <c r="K854" s="79"/>
      <c r="L854" s="79"/>
      <c r="M854" s="79"/>
      <c r="N854" s="79"/>
      <c r="O854" s="79"/>
      <c r="P854" s="79"/>
      <c r="Q854" s="79"/>
      <c r="R854" s="79"/>
      <c r="S854" s="79"/>
      <c r="T854" s="79"/>
      <c r="U854" s="79"/>
      <c r="V854" s="79"/>
      <c r="W854" s="79"/>
      <c r="X854" s="79"/>
      <c r="Y854" s="79"/>
      <c r="Z854" s="79"/>
    </row>
    <row r="855" spans="1:26" ht="50.95" customHeight="1" x14ac:dyDescent="0.15">
      <c r="A855" s="79"/>
      <c r="B855" s="79"/>
      <c r="C855" s="94"/>
      <c r="D855" s="95"/>
      <c r="E855" s="87"/>
      <c r="F855" s="95"/>
      <c r="G855" s="79"/>
      <c r="H855" s="79"/>
      <c r="I855" s="79"/>
      <c r="J855" s="79"/>
      <c r="K855" s="79"/>
      <c r="L855" s="79"/>
      <c r="M855" s="79"/>
      <c r="N855" s="79"/>
      <c r="O855" s="79"/>
      <c r="P855" s="79"/>
      <c r="Q855" s="79"/>
      <c r="R855" s="79"/>
      <c r="S855" s="79"/>
      <c r="T855" s="79"/>
      <c r="U855" s="79"/>
      <c r="V855" s="79"/>
      <c r="W855" s="79"/>
      <c r="X855" s="79"/>
      <c r="Y855" s="79"/>
      <c r="Z855" s="79"/>
    </row>
    <row r="856" spans="1:26" ht="50.95" customHeight="1" x14ac:dyDescent="0.15">
      <c r="A856" s="79"/>
      <c r="B856" s="79"/>
      <c r="C856" s="94"/>
      <c r="D856" s="95"/>
      <c r="E856" s="87"/>
      <c r="F856" s="95"/>
      <c r="G856" s="79"/>
      <c r="H856" s="79"/>
      <c r="I856" s="79"/>
      <c r="J856" s="79"/>
      <c r="K856" s="79"/>
      <c r="L856" s="79"/>
      <c r="M856" s="79"/>
      <c r="N856" s="79"/>
      <c r="O856" s="79"/>
      <c r="P856" s="79"/>
      <c r="Q856" s="79"/>
      <c r="R856" s="79"/>
      <c r="S856" s="79"/>
      <c r="T856" s="79"/>
      <c r="U856" s="79"/>
      <c r="V856" s="79"/>
      <c r="W856" s="79"/>
      <c r="X856" s="79"/>
      <c r="Y856" s="79"/>
      <c r="Z856" s="79"/>
    </row>
    <row r="857" spans="1:26" ht="50.95" customHeight="1" x14ac:dyDescent="0.15">
      <c r="A857" s="79"/>
      <c r="B857" s="79"/>
      <c r="C857" s="94"/>
      <c r="D857" s="95"/>
      <c r="E857" s="87"/>
      <c r="F857" s="95"/>
      <c r="G857" s="79"/>
      <c r="H857" s="79"/>
      <c r="I857" s="79"/>
      <c r="J857" s="79"/>
      <c r="K857" s="79"/>
      <c r="L857" s="79"/>
      <c r="M857" s="79"/>
      <c r="N857" s="79"/>
      <c r="O857" s="79"/>
      <c r="P857" s="79"/>
      <c r="Q857" s="79"/>
      <c r="R857" s="79"/>
      <c r="S857" s="79"/>
      <c r="T857" s="79"/>
      <c r="U857" s="79"/>
      <c r="V857" s="79"/>
      <c r="W857" s="79"/>
      <c r="X857" s="79"/>
      <c r="Y857" s="79"/>
      <c r="Z857" s="79"/>
    </row>
    <row r="858" spans="1:26" ht="50.95" customHeight="1" x14ac:dyDescent="0.15">
      <c r="A858" s="79"/>
      <c r="B858" s="79"/>
      <c r="C858" s="94"/>
      <c r="D858" s="95"/>
      <c r="E858" s="87"/>
      <c r="F858" s="95"/>
      <c r="G858" s="79"/>
      <c r="H858" s="79"/>
      <c r="I858" s="79"/>
      <c r="J858" s="79"/>
      <c r="K858" s="79"/>
      <c r="L858" s="79"/>
      <c r="M858" s="79"/>
      <c r="N858" s="79"/>
      <c r="O858" s="79"/>
      <c r="P858" s="79"/>
      <c r="Q858" s="79"/>
      <c r="R858" s="79"/>
      <c r="S858" s="79"/>
      <c r="T858" s="79"/>
      <c r="U858" s="79"/>
      <c r="V858" s="79"/>
      <c r="W858" s="79"/>
      <c r="X858" s="79"/>
      <c r="Y858" s="79"/>
      <c r="Z858" s="79"/>
    </row>
    <row r="859" spans="1:26" ht="50.95" customHeight="1" x14ac:dyDescent="0.15">
      <c r="A859" s="79"/>
      <c r="B859" s="79"/>
      <c r="C859" s="94"/>
      <c r="D859" s="95"/>
      <c r="E859" s="87"/>
      <c r="F859" s="95"/>
      <c r="G859" s="79"/>
      <c r="H859" s="79"/>
      <c r="I859" s="79"/>
      <c r="J859" s="79"/>
      <c r="K859" s="79"/>
      <c r="L859" s="79"/>
      <c r="M859" s="79"/>
      <c r="N859" s="79"/>
      <c r="O859" s="79"/>
      <c r="P859" s="79"/>
      <c r="Q859" s="79"/>
      <c r="R859" s="79"/>
      <c r="S859" s="79"/>
      <c r="T859" s="79"/>
      <c r="U859" s="79"/>
      <c r="V859" s="79"/>
      <c r="W859" s="79"/>
      <c r="X859" s="79"/>
      <c r="Y859" s="79"/>
      <c r="Z859" s="79"/>
    </row>
    <row r="860" spans="1:26" ht="50.95" customHeight="1" x14ac:dyDescent="0.15">
      <c r="A860" s="79"/>
      <c r="B860" s="79"/>
      <c r="C860" s="94"/>
      <c r="D860" s="95"/>
      <c r="E860" s="87"/>
      <c r="F860" s="95"/>
      <c r="G860" s="79"/>
      <c r="H860" s="79"/>
      <c r="I860" s="79"/>
      <c r="J860" s="79"/>
      <c r="K860" s="79"/>
      <c r="L860" s="79"/>
      <c r="M860" s="79"/>
      <c r="N860" s="79"/>
      <c r="O860" s="79"/>
      <c r="P860" s="79"/>
      <c r="Q860" s="79"/>
      <c r="R860" s="79"/>
      <c r="S860" s="79"/>
      <c r="T860" s="79"/>
      <c r="U860" s="79"/>
      <c r="V860" s="79"/>
      <c r="W860" s="79"/>
      <c r="X860" s="79"/>
      <c r="Y860" s="79"/>
      <c r="Z860" s="79"/>
    </row>
    <row r="861" spans="1:26" ht="50.95" customHeight="1" x14ac:dyDescent="0.15">
      <c r="A861" s="79"/>
      <c r="B861" s="79"/>
      <c r="C861" s="94"/>
      <c r="D861" s="95"/>
      <c r="E861" s="87"/>
      <c r="F861" s="95"/>
      <c r="G861" s="79"/>
      <c r="H861" s="79"/>
      <c r="I861" s="79"/>
      <c r="J861" s="79"/>
      <c r="K861" s="79"/>
      <c r="L861" s="79"/>
      <c r="M861" s="79"/>
      <c r="N861" s="79"/>
      <c r="O861" s="79"/>
      <c r="P861" s="79"/>
      <c r="Q861" s="79"/>
      <c r="R861" s="79"/>
      <c r="S861" s="79"/>
      <c r="T861" s="79"/>
      <c r="U861" s="79"/>
      <c r="V861" s="79"/>
      <c r="W861" s="79"/>
      <c r="X861" s="79"/>
      <c r="Y861" s="79"/>
      <c r="Z861" s="79"/>
    </row>
    <row r="862" spans="1:26" ht="50.95" customHeight="1" x14ac:dyDescent="0.15">
      <c r="A862" s="79"/>
      <c r="B862" s="79"/>
      <c r="C862" s="94"/>
      <c r="D862" s="95"/>
      <c r="E862" s="87"/>
      <c r="F862" s="95"/>
      <c r="G862" s="79"/>
      <c r="H862" s="79"/>
      <c r="I862" s="79"/>
      <c r="J862" s="79"/>
      <c r="K862" s="79"/>
      <c r="L862" s="79"/>
      <c r="M862" s="79"/>
      <c r="N862" s="79"/>
      <c r="O862" s="79"/>
      <c r="P862" s="79"/>
      <c r="Q862" s="79"/>
      <c r="R862" s="79"/>
      <c r="S862" s="79"/>
      <c r="T862" s="79"/>
      <c r="U862" s="79"/>
      <c r="V862" s="79"/>
      <c r="W862" s="79"/>
      <c r="X862" s="79"/>
      <c r="Y862" s="79"/>
      <c r="Z862" s="79"/>
    </row>
    <row r="863" spans="1:26" ht="50.95" customHeight="1" x14ac:dyDescent="0.15">
      <c r="A863" s="79"/>
      <c r="B863" s="79"/>
      <c r="C863" s="94"/>
      <c r="D863" s="95"/>
      <c r="E863" s="87"/>
      <c r="F863" s="95"/>
      <c r="G863" s="79"/>
      <c r="H863" s="79"/>
      <c r="I863" s="79"/>
      <c r="J863" s="79"/>
      <c r="K863" s="79"/>
      <c r="L863" s="79"/>
      <c r="M863" s="79"/>
      <c r="N863" s="79"/>
      <c r="O863" s="79"/>
      <c r="P863" s="79"/>
      <c r="Q863" s="79"/>
      <c r="R863" s="79"/>
      <c r="S863" s="79"/>
      <c r="T863" s="79"/>
      <c r="U863" s="79"/>
      <c r="V863" s="79"/>
      <c r="W863" s="79"/>
      <c r="X863" s="79"/>
      <c r="Y863" s="79"/>
      <c r="Z863" s="79"/>
    </row>
    <row r="864" spans="1:26" ht="50.95" customHeight="1" x14ac:dyDescent="0.15">
      <c r="A864" s="79"/>
      <c r="B864" s="79"/>
      <c r="C864" s="94"/>
      <c r="D864" s="95"/>
      <c r="E864" s="87"/>
      <c r="F864" s="95"/>
      <c r="G864" s="79"/>
      <c r="H864" s="79"/>
      <c r="I864" s="79"/>
      <c r="J864" s="79"/>
      <c r="K864" s="79"/>
      <c r="L864" s="79"/>
      <c r="M864" s="79"/>
      <c r="N864" s="79"/>
      <c r="O864" s="79"/>
      <c r="P864" s="79"/>
      <c r="Q864" s="79"/>
      <c r="R864" s="79"/>
      <c r="S864" s="79"/>
      <c r="T864" s="79"/>
      <c r="U864" s="79"/>
      <c r="V864" s="79"/>
      <c r="W864" s="79"/>
      <c r="X864" s="79"/>
      <c r="Y864" s="79"/>
      <c r="Z864" s="79"/>
    </row>
    <row r="865" spans="1:26" ht="50.95" customHeight="1" x14ac:dyDescent="0.15">
      <c r="A865" s="79"/>
      <c r="B865" s="79"/>
      <c r="C865" s="94"/>
      <c r="D865" s="95"/>
      <c r="E865" s="87"/>
      <c r="F865" s="95"/>
      <c r="G865" s="79"/>
      <c r="H865" s="79"/>
      <c r="I865" s="79"/>
      <c r="J865" s="79"/>
      <c r="K865" s="79"/>
      <c r="L865" s="79"/>
      <c r="M865" s="79"/>
      <c r="N865" s="79"/>
      <c r="O865" s="79"/>
      <c r="P865" s="79"/>
      <c r="Q865" s="79"/>
      <c r="R865" s="79"/>
      <c r="S865" s="79"/>
      <c r="T865" s="79"/>
      <c r="U865" s="79"/>
      <c r="V865" s="79"/>
      <c r="W865" s="79"/>
      <c r="X865" s="79"/>
      <c r="Y865" s="79"/>
      <c r="Z865" s="79"/>
    </row>
    <row r="866" spans="1:26" ht="50.95" customHeight="1" x14ac:dyDescent="0.15">
      <c r="A866" s="79"/>
      <c r="B866" s="79"/>
      <c r="C866" s="94"/>
      <c r="D866" s="95"/>
      <c r="E866" s="87"/>
      <c r="F866" s="95"/>
      <c r="G866" s="79"/>
      <c r="H866" s="79"/>
      <c r="I866" s="79"/>
      <c r="J866" s="79"/>
      <c r="K866" s="79"/>
      <c r="L866" s="79"/>
      <c r="M866" s="79"/>
      <c r="N866" s="79"/>
      <c r="O866" s="79"/>
      <c r="P866" s="79"/>
      <c r="Q866" s="79"/>
      <c r="R866" s="79"/>
      <c r="S866" s="79"/>
      <c r="T866" s="79"/>
      <c r="U866" s="79"/>
      <c r="V866" s="79"/>
      <c r="W866" s="79"/>
      <c r="X866" s="79"/>
      <c r="Y866" s="79"/>
      <c r="Z866" s="79"/>
    </row>
    <row r="867" spans="1:26" ht="50.95" customHeight="1" x14ac:dyDescent="0.15">
      <c r="A867" s="79"/>
      <c r="B867" s="79"/>
      <c r="C867" s="94"/>
      <c r="D867" s="95"/>
      <c r="E867" s="87"/>
      <c r="F867" s="95"/>
      <c r="G867" s="79"/>
      <c r="H867" s="79"/>
      <c r="I867" s="79"/>
      <c r="J867" s="79"/>
      <c r="K867" s="79"/>
      <c r="L867" s="79"/>
      <c r="M867" s="79"/>
      <c r="N867" s="79"/>
      <c r="O867" s="79"/>
      <c r="P867" s="79"/>
      <c r="Q867" s="79"/>
      <c r="R867" s="79"/>
      <c r="S867" s="79"/>
      <c r="T867" s="79"/>
      <c r="U867" s="79"/>
      <c r="V867" s="79"/>
      <c r="W867" s="79"/>
      <c r="X867" s="79"/>
      <c r="Y867" s="79"/>
      <c r="Z867" s="79"/>
    </row>
    <row r="868" spans="1:26" ht="50.95" customHeight="1" x14ac:dyDescent="0.15">
      <c r="A868" s="79"/>
      <c r="B868" s="79"/>
      <c r="C868" s="94"/>
      <c r="D868" s="95"/>
      <c r="E868" s="87"/>
      <c r="F868" s="95"/>
      <c r="G868" s="79"/>
      <c r="H868" s="79"/>
      <c r="I868" s="79"/>
      <c r="J868" s="79"/>
      <c r="K868" s="79"/>
      <c r="L868" s="79"/>
      <c r="M868" s="79"/>
      <c r="N868" s="79"/>
      <c r="O868" s="79"/>
      <c r="P868" s="79"/>
      <c r="Q868" s="79"/>
      <c r="R868" s="79"/>
      <c r="S868" s="79"/>
      <c r="T868" s="79"/>
      <c r="U868" s="79"/>
      <c r="V868" s="79"/>
      <c r="W868" s="79"/>
      <c r="X868" s="79"/>
      <c r="Y868" s="79"/>
      <c r="Z868" s="79"/>
    </row>
    <row r="869" spans="1:26" ht="50.95" customHeight="1" x14ac:dyDescent="0.15">
      <c r="A869" s="79"/>
      <c r="B869" s="79"/>
      <c r="C869" s="94"/>
      <c r="D869" s="95"/>
      <c r="E869" s="87"/>
      <c r="F869" s="95"/>
      <c r="G869" s="79"/>
      <c r="H869" s="79"/>
      <c r="I869" s="79"/>
      <c r="J869" s="79"/>
      <c r="K869" s="79"/>
      <c r="L869" s="79"/>
      <c r="M869" s="79"/>
      <c r="N869" s="79"/>
      <c r="O869" s="79"/>
      <c r="P869" s="79"/>
      <c r="Q869" s="79"/>
      <c r="R869" s="79"/>
      <c r="S869" s="79"/>
      <c r="T869" s="79"/>
      <c r="U869" s="79"/>
      <c r="V869" s="79"/>
      <c r="W869" s="79"/>
      <c r="X869" s="79"/>
      <c r="Y869" s="79"/>
      <c r="Z869" s="79"/>
    </row>
    <row r="870" spans="1:26" ht="50.95" customHeight="1" x14ac:dyDescent="0.15">
      <c r="A870" s="79"/>
      <c r="B870" s="79"/>
      <c r="C870" s="94"/>
      <c r="D870" s="95"/>
      <c r="E870" s="87"/>
      <c r="F870" s="95"/>
      <c r="G870" s="79"/>
      <c r="H870" s="79"/>
      <c r="I870" s="79"/>
      <c r="J870" s="79"/>
      <c r="K870" s="79"/>
      <c r="L870" s="79"/>
      <c r="M870" s="79"/>
      <c r="N870" s="79"/>
      <c r="O870" s="79"/>
      <c r="P870" s="79"/>
      <c r="Q870" s="79"/>
      <c r="R870" s="79"/>
      <c r="S870" s="79"/>
      <c r="T870" s="79"/>
      <c r="U870" s="79"/>
      <c r="V870" s="79"/>
      <c r="W870" s="79"/>
      <c r="X870" s="79"/>
      <c r="Y870" s="79"/>
      <c r="Z870" s="79"/>
    </row>
    <row r="871" spans="1:26" ht="50.95" customHeight="1" x14ac:dyDescent="0.15">
      <c r="A871" s="79"/>
      <c r="B871" s="79"/>
      <c r="C871" s="94"/>
      <c r="D871" s="95"/>
      <c r="E871" s="87"/>
      <c r="F871" s="95"/>
      <c r="G871" s="79"/>
      <c r="H871" s="79"/>
      <c r="I871" s="79"/>
      <c r="J871" s="79"/>
      <c r="K871" s="79"/>
      <c r="L871" s="79"/>
      <c r="M871" s="79"/>
      <c r="N871" s="79"/>
      <c r="O871" s="79"/>
      <c r="P871" s="79"/>
      <c r="Q871" s="79"/>
      <c r="R871" s="79"/>
      <c r="S871" s="79"/>
      <c r="T871" s="79"/>
      <c r="U871" s="79"/>
      <c r="V871" s="79"/>
      <c r="W871" s="79"/>
      <c r="X871" s="79"/>
      <c r="Y871" s="79"/>
      <c r="Z871" s="79"/>
    </row>
    <row r="872" spans="1:26" ht="50.95" customHeight="1" x14ac:dyDescent="0.15">
      <c r="A872" s="79"/>
      <c r="B872" s="79"/>
      <c r="C872" s="94"/>
      <c r="D872" s="95"/>
      <c r="E872" s="87"/>
      <c r="F872" s="95"/>
      <c r="G872" s="79"/>
      <c r="H872" s="79"/>
      <c r="I872" s="79"/>
      <c r="J872" s="79"/>
      <c r="K872" s="79"/>
      <c r="L872" s="79"/>
      <c r="M872" s="79"/>
      <c r="N872" s="79"/>
      <c r="O872" s="79"/>
      <c r="P872" s="79"/>
      <c r="Q872" s="79"/>
      <c r="R872" s="79"/>
      <c r="S872" s="79"/>
      <c r="T872" s="79"/>
      <c r="U872" s="79"/>
      <c r="V872" s="79"/>
      <c r="W872" s="79"/>
      <c r="X872" s="79"/>
      <c r="Y872" s="79"/>
      <c r="Z872" s="79"/>
    </row>
    <row r="873" spans="1:26" ht="50.95" customHeight="1" x14ac:dyDescent="0.15">
      <c r="A873" s="79"/>
      <c r="B873" s="79"/>
      <c r="C873" s="94"/>
      <c r="D873" s="95"/>
      <c r="E873" s="87"/>
      <c r="F873" s="95"/>
      <c r="G873" s="79"/>
      <c r="H873" s="79"/>
      <c r="I873" s="79"/>
      <c r="J873" s="79"/>
      <c r="K873" s="79"/>
      <c r="L873" s="79"/>
      <c r="M873" s="79"/>
      <c r="N873" s="79"/>
      <c r="O873" s="79"/>
      <c r="P873" s="79"/>
      <c r="Q873" s="79"/>
      <c r="R873" s="79"/>
      <c r="S873" s="79"/>
      <c r="T873" s="79"/>
      <c r="U873" s="79"/>
      <c r="V873" s="79"/>
      <c r="W873" s="79"/>
      <c r="X873" s="79"/>
      <c r="Y873" s="79"/>
      <c r="Z873" s="79"/>
    </row>
    <row r="874" spans="1:26" ht="50.95" customHeight="1" x14ac:dyDescent="0.15">
      <c r="A874" s="79"/>
      <c r="B874" s="79"/>
      <c r="C874" s="94"/>
      <c r="D874" s="95"/>
      <c r="E874" s="87"/>
      <c r="F874" s="95"/>
      <c r="G874" s="79"/>
      <c r="H874" s="79"/>
      <c r="I874" s="79"/>
      <c r="J874" s="79"/>
      <c r="K874" s="79"/>
      <c r="L874" s="79"/>
      <c r="M874" s="79"/>
      <c r="N874" s="79"/>
      <c r="O874" s="79"/>
      <c r="P874" s="79"/>
      <c r="Q874" s="79"/>
      <c r="R874" s="79"/>
      <c r="S874" s="79"/>
      <c r="T874" s="79"/>
      <c r="U874" s="79"/>
      <c r="V874" s="79"/>
      <c r="W874" s="79"/>
      <c r="X874" s="79"/>
      <c r="Y874" s="79"/>
      <c r="Z874" s="79"/>
    </row>
    <row r="875" spans="1:26" ht="50.95" customHeight="1" x14ac:dyDescent="0.15">
      <c r="A875" s="79"/>
      <c r="B875" s="79"/>
      <c r="C875" s="94"/>
      <c r="D875" s="95"/>
      <c r="E875" s="87"/>
      <c r="F875" s="95"/>
      <c r="G875" s="79"/>
      <c r="H875" s="79"/>
      <c r="I875" s="79"/>
      <c r="J875" s="79"/>
      <c r="K875" s="79"/>
      <c r="L875" s="79"/>
      <c r="M875" s="79"/>
      <c r="N875" s="79"/>
      <c r="O875" s="79"/>
      <c r="P875" s="79"/>
      <c r="Q875" s="79"/>
      <c r="R875" s="79"/>
      <c r="S875" s="79"/>
      <c r="T875" s="79"/>
      <c r="U875" s="79"/>
      <c r="V875" s="79"/>
      <c r="W875" s="79"/>
      <c r="X875" s="79"/>
      <c r="Y875" s="79"/>
      <c r="Z875" s="79"/>
    </row>
    <row r="876" spans="1:26" ht="50.95" customHeight="1" x14ac:dyDescent="0.15">
      <c r="A876" s="79"/>
      <c r="B876" s="79"/>
      <c r="C876" s="94"/>
      <c r="D876" s="95"/>
      <c r="E876" s="87"/>
      <c r="F876" s="95"/>
      <c r="G876" s="79"/>
      <c r="H876" s="79"/>
      <c r="I876" s="79"/>
      <c r="J876" s="79"/>
      <c r="K876" s="79"/>
      <c r="L876" s="79"/>
      <c r="M876" s="79"/>
      <c r="N876" s="79"/>
      <c r="O876" s="79"/>
      <c r="P876" s="79"/>
      <c r="Q876" s="79"/>
      <c r="R876" s="79"/>
      <c r="S876" s="79"/>
      <c r="T876" s="79"/>
      <c r="U876" s="79"/>
      <c r="V876" s="79"/>
      <c r="W876" s="79"/>
      <c r="X876" s="79"/>
      <c r="Y876" s="79"/>
      <c r="Z876" s="79"/>
    </row>
    <row r="877" spans="1:26" ht="50.95" customHeight="1" x14ac:dyDescent="0.15">
      <c r="A877" s="79"/>
      <c r="B877" s="79"/>
      <c r="C877" s="94"/>
      <c r="D877" s="95"/>
      <c r="E877" s="87"/>
      <c r="F877" s="95"/>
      <c r="G877" s="79"/>
      <c r="H877" s="79"/>
      <c r="I877" s="79"/>
      <c r="J877" s="79"/>
      <c r="K877" s="79"/>
      <c r="L877" s="79"/>
      <c r="M877" s="79"/>
      <c r="N877" s="79"/>
      <c r="O877" s="79"/>
      <c r="P877" s="79"/>
      <c r="Q877" s="79"/>
      <c r="R877" s="79"/>
      <c r="S877" s="79"/>
      <c r="T877" s="79"/>
      <c r="U877" s="79"/>
      <c r="V877" s="79"/>
      <c r="W877" s="79"/>
      <c r="X877" s="79"/>
      <c r="Y877" s="79"/>
      <c r="Z877" s="79"/>
    </row>
    <row r="878" spans="1:26" ht="50.95" customHeight="1" x14ac:dyDescent="0.15">
      <c r="A878" s="79"/>
      <c r="B878" s="79"/>
      <c r="C878" s="94"/>
      <c r="D878" s="95"/>
      <c r="E878" s="87"/>
      <c r="F878" s="95"/>
      <c r="G878" s="79"/>
      <c r="H878" s="79"/>
      <c r="I878" s="79"/>
      <c r="J878" s="79"/>
      <c r="K878" s="79"/>
      <c r="L878" s="79"/>
      <c r="M878" s="79"/>
      <c r="N878" s="79"/>
      <c r="O878" s="79"/>
      <c r="P878" s="79"/>
      <c r="Q878" s="79"/>
      <c r="R878" s="79"/>
      <c r="S878" s="79"/>
      <c r="T878" s="79"/>
      <c r="U878" s="79"/>
      <c r="V878" s="79"/>
      <c r="W878" s="79"/>
      <c r="X878" s="79"/>
      <c r="Y878" s="79"/>
      <c r="Z878" s="79"/>
    </row>
    <row r="879" spans="1:26" ht="50.95" customHeight="1" x14ac:dyDescent="0.15">
      <c r="A879" s="79"/>
      <c r="B879" s="79"/>
      <c r="C879" s="94"/>
      <c r="D879" s="95"/>
      <c r="E879" s="87"/>
      <c r="F879" s="95"/>
      <c r="G879" s="79"/>
      <c r="H879" s="79"/>
      <c r="I879" s="79"/>
      <c r="J879" s="79"/>
      <c r="K879" s="79"/>
      <c r="L879" s="79"/>
      <c r="M879" s="79"/>
      <c r="N879" s="79"/>
      <c r="O879" s="79"/>
      <c r="P879" s="79"/>
      <c r="Q879" s="79"/>
      <c r="R879" s="79"/>
      <c r="S879" s="79"/>
      <c r="T879" s="79"/>
      <c r="U879" s="79"/>
      <c r="V879" s="79"/>
      <c r="W879" s="79"/>
      <c r="X879" s="79"/>
      <c r="Y879" s="79"/>
      <c r="Z879" s="79"/>
    </row>
    <row r="880" spans="1:26" ht="50.95" customHeight="1" x14ac:dyDescent="0.15">
      <c r="A880" s="79"/>
      <c r="B880" s="79"/>
      <c r="C880" s="94"/>
      <c r="D880" s="95"/>
      <c r="E880" s="87"/>
      <c r="F880" s="95"/>
      <c r="G880" s="79"/>
      <c r="H880" s="79"/>
      <c r="I880" s="79"/>
      <c r="J880" s="79"/>
      <c r="K880" s="79"/>
      <c r="L880" s="79"/>
      <c r="M880" s="79"/>
      <c r="N880" s="79"/>
      <c r="O880" s="79"/>
      <c r="P880" s="79"/>
      <c r="Q880" s="79"/>
      <c r="R880" s="79"/>
      <c r="S880" s="79"/>
      <c r="T880" s="79"/>
      <c r="U880" s="79"/>
      <c r="V880" s="79"/>
      <c r="W880" s="79"/>
      <c r="X880" s="79"/>
      <c r="Y880" s="79"/>
      <c r="Z880" s="79"/>
    </row>
    <row r="881" spans="1:26" ht="50.95" customHeight="1" x14ac:dyDescent="0.15">
      <c r="A881" s="79"/>
      <c r="B881" s="79"/>
      <c r="C881" s="94"/>
      <c r="D881" s="95"/>
      <c r="E881" s="87"/>
      <c r="F881" s="95"/>
      <c r="G881" s="79"/>
      <c r="H881" s="79"/>
      <c r="I881" s="79"/>
      <c r="J881" s="79"/>
      <c r="K881" s="79"/>
      <c r="L881" s="79"/>
      <c r="M881" s="79"/>
      <c r="N881" s="79"/>
      <c r="O881" s="79"/>
      <c r="P881" s="79"/>
      <c r="Q881" s="79"/>
      <c r="R881" s="79"/>
      <c r="S881" s="79"/>
      <c r="T881" s="79"/>
      <c r="U881" s="79"/>
      <c r="V881" s="79"/>
      <c r="W881" s="79"/>
      <c r="X881" s="79"/>
      <c r="Y881" s="79"/>
      <c r="Z881" s="79"/>
    </row>
    <row r="882" spans="1:26" ht="50.95" customHeight="1" x14ac:dyDescent="0.15">
      <c r="A882" s="79"/>
      <c r="B882" s="79"/>
      <c r="C882" s="94"/>
      <c r="D882" s="95"/>
      <c r="E882" s="87"/>
      <c r="F882" s="95"/>
      <c r="G882" s="79"/>
      <c r="H882" s="79"/>
      <c r="I882" s="79"/>
      <c r="J882" s="79"/>
      <c r="K882" s="79"/>
      <c r="L882" s="79"/>
      <c r="M882" s="79"/>
      <c r="N882" s="79"/>
      <c r="O882" s="79"/>
      <c r="P882" s="79"/>
      <c r="Q882" s="79"/>
      <c r="R882" s="79"/>
      <c r="S882" s="79"/>
      <c r="T882" s="79"/>
      <c r="U882" s="79"/>
      <c r="V882" s="79"/>
      <c r="W882" s="79"/>
      <c r="X882" s="79"/>
      <c r="Y882" s="79"/>
      <c r="Z882" s="79"/>
    </row>
    <row r="883" spans="1:26" ht="50.95" customHeight="1" x14ac:dyDescent="0.15">
      <c r="A883" s="79"/>
      <c r="B883" s="79"/>
      <c r="C883" s="94"/>
      <c r="D883" s="95"/>
      <c r="E883" s="87"/>
      <c r="F883" s="95"/>
      <c r="G883" s="79"/>
      <c r="H883" s="79"/>
      <c r="I883" s="79"/>
      <c r="J883" s="79"/>
      <c r="K883" s="79"/>
      <c r="L883" s="79"/>
      <c r="M883" s="79"/>
      <c r="N883" s="79"/>
      <c r="O883" s="79"/>
      <c r="P883" s="79"/>
      <c r="Q883" s="79"/>
      <c r="R883" s="79"/>
      <c r="S883" s="79"/>
      <c r="T883" s="79"/>
      <c r="U883" s="79"/>
      <c r="V883" s="79"/>
      <c r="W883" s="79"/>
      <c r="X883" s="79"/>
      <c r="Y883" s="79"/>
      <c r="Z883" s="79"/>
    </row>
    <row r="884" spans="1:26" ht="50.95" customHeight="1" x14ac:dyDescent="0.15">
      <c r="A884" s="79"/>
      <c r="B884" s="79"/>
      <c r="C884" s="94"/>
      <c r="D884" s="95"/>
      <c r="E884" s="87"/>
      <c r="F884" s="95"/>
      <c r="G884" s="79"/>
      <c r="H884" s="79"/>
      <c r="I884" s="79"/>
      <c r="J884" s="79"/>
      <c r="K884" s="79"/>
      <c r="L884" s="79"/>
      <c r="M884" s="79"/>
      <c r="N884" s="79"/>
      <c r="O884" s="79"/>
      <c r="P884" s="79"/>
      <c r="Q884" s="79"/>
      <c r="R884" s="79"/>
      <c r="S884" s="79"/>
      <c r="T884" s="79"/>
      <c r="U884" s="79"/>
      <c r="V884" s="79"/>
      <c r="W884" s="79"/>
      <c r="X884" s="79"/>
      <c r="Y884" s="79"/>
      <c r="Z884" s="79"/>
    </row>
    <row r="885" spans="1:26" ht="50.95" customHeight="1" x14ac:dyDescent="0.15">
      <c r="A885" s="79"/>
      <c r="B885" s="79"/>
      <c r="C885" s="94"/>
      <c r="D885" s="95"/>
      <c r="E885" s="87"/>
      <c r="F885" s="95"/>
      <c r="G885" s="79"/>
      <c r="H885" s="79"/>
      <c r="I885" s="79"/>
      <c r="J885" s="79"/>
      <c r="K885" s="79"/>
      <c r="L885" s="79"/>
      <c r="M885" s="79"/>
      <c r="N885" s="79"/>
      <c r="O885" s="79"/>
      <c r="P885" s="79"/>
      <c r="Q885" s="79"/>
      <c r="R885" s="79"/>
      <c r="S885" s="79"/>
      <c r="T885" s="79"/>
      <c r="U885" s="79"/>
      <c r="V885" s="79"/>
      <c r="W885" s="79"/>
      <c r="X885" s="79"/>
      <c r="Y885" s="79"/>
      <c r="Z885" s="79"/>
    </row>
    <row r="886" spans="1:26" ht="50.95" customHeight="1" x14ac:dyDescent="0.15">
      <c r="A886" s="79"/>
      <c r="B886" s="79"/>
      <c r="C886" s="94"/>
      <c r="D886" s="95"/>
      <c r="E886" s="87"/>
      <c r="F886" s="95"/>
      <c r="G886" s="79"/>
      <c r="H886" s="79"/>
      <c r="I886" s="79"/>
      <c r="J886" s="79"/>
      <c r="K886" s="79"/>
      <c r="L886" s="79"/>
      <c r="M886" s="79"/>
      <c r="N886" s="79"/>
      <c r="O886" s="79"/>
      <c r="P886" s="79"/>
      <c r="Q886" s="79"/>
      <c r="R886" s="79"/>
      <c r="S886" s="79"/>
      <c r="T886" s="79"/>
      <c r="U886" s="79"/>
      <c r="V886" s="79"/>
      <c r="W886" s="79"/>
      <c r="X886" s="79"/>
      <c r="Y886" s="79"/>
      <c r="Z886" s="79"/>
    </row>
    <row r="887" spans="1:26" ht="50.95" customHeight="1" x14ac:dyDescent="0.15">
      <c r="A887" s="79"/>
      <c r="B887" s="79"/>
      <c r="C887" s="94"/>
      <c r="D887" s="95"/>
      <c r="E887" s="87"/>
      <c r="F887" s="95"/>
      <c r="G887" s="79"/>
      <c r="H887" s="79"/>
      <c r="I887" s="79"/>
      <c r="J887" s="79"/>
      <c r="K887" s="79"/>
      <c r="L887" s="79"/>
      <c r="M887" s="79"/>
      <c r="N887" s="79"/>
      <c r="O887" s="79"/>
      <c r="P887" s="79"/>
      <c r="Q887" s="79"/>
      <c r="R887" s="79"/>
      <c r="S887" s="79"/>
      <c r="T887" s="79"/>
      <c r="U887" s="79"/>
      <c r="V887" s="79"/>
      <c r="W887" s="79"/>
      <c r="X887" s="79"/>
      <c r="Y887" s="79"/>
      <c r="Z887" s="79"/>
    </row>
    <row r="888" spans="1:26" ht="50.95" customHeight="1" x14ac:dyDescent="0.15">
      <c r="A888" s="79"/>
      <c r="B888" s="79"/>
      <c r="C888" s="94"/>
      <c r="D888" s="95"/>
      <c r="E888" s="87"/>
      <c r="F888" s="95"/>
      <c r="G888" s="79"/>
      <c r="H888" s="79"/>
      <c r="I888" s="79"/>
      <c r="J888" s="79"/>
      <c r="K888" s="79"/>
      <c r="L888" s="79"/>
      <c r="M888" s="79"/>
      <c r="N888" s="79"/>
      <c r="O888" s="79"/>
      <c r="P888" s="79"/>
      <c r="Q888" s="79"/>
      <c r="R888" s="79"/>
      <c r="S888" s="79"/>
      <c r="T888" s="79"/>
      <c r="U888" s="79"/>
      <c r="V888" s="79"/>
      <c r="W888" s="79"/>
      <c r="X888" s="79"/>
      <c r="Y888" s="79"/>
      <c r="Z888" s="79"/>
    </row>
    <row r="889" spans="1:26" ht="50.95" customHeight="1" x14ac:dyDescent="0.15">
      <c r="A889" s="79"/>
      <c r="B889" s="79"/>
      <c r="C889" s="94"/>
      <c r="D889" s="95"/>
      <c r="E889" s="87"/>
      <c r="F889" s="95"/>
      <c r="G889" s="79"/>
      <c r="H889" s="79"/>
      <c r="I889" s="79"/>
      <c r="J889" s="79"/>
      <c r="K889" s="79"/>
      <c r="L889" s="79"/>
      <c r="M889" s="79"/>
      <c r="N889" s="79"/>
      <c r="O889" s="79"/>
      <c r="P889" s="79"/>
      <c r="Q889" s="79"/>
      <c r="R889" s="79"/>
      <c r="S889" s="79"/>
      <c r="T889" s="79"/>
      <c r="U889" s="79"/>
      <c r="V889" s="79"/>
      <c r="W889" s="79"/>
      <c r="X889" s="79"/>
      <c r="Y889" s="79"/>
      <c r="Z889" s="79"/>
    </row>
    <row r="890" spans="1:26" ht="50.95" customHeight="1" x14ac:dyDescent="0.15">
      <c r="A890" s="79"/>
      <c r="B890" s="79"/>
      <c r="C890" s="94"/>
      <c r="D890" s="95"/>
      <c r="E890" s="87"/>
      <c r="F890" s="95"/>
      <c r="G890" s="79"/>
      <c r="H890" s="79"/>
      <c r="I890" s="79"/>
      <c r="J890" s="79"/>
      <c r="K890" s="79"/>
      <c r="L890" s="79"/>
      <c r="M890" s="79"/>
      <c r="N890" s="79"/>
      <c r="O890" s="79"/>
      <c r="P890" s="79"/>
      <c r="Q890" s="79"/>
      <c r="R890" s="79"/>
      <c r="S890" s="79"/>
      <c r="T890" s="79"/>
      <c r="U890" s="79"/>
      <c r="V890" s="79"/>
      <c r="W890" s="79"/>
      <c r="X890" s="79"/>
      <c r="Y890" s="79"/>
      <c r="Z890" s="79"/>
    </row>
    <row r="891" spans="1:26" ht="50.95" customHeight="1" x14ac:dyDescent="0.15">
      <c r="A891" s="79"/>
      <c r="B891" s="79"/>
      <c r="C891" s="94"/>
      <c r="D891" s="95"/>
      <c r="E891" s="87"/>
      <c r="F891" s="95"/>
      <c r="G891" s="79"/>
      <c r="H891" s="79"/>
      <c r="I891" s="79"/>
      <c r="J891" s="79"/>
      <c r="K891" s="79"/>
      <c r="L891" s="79"/>
      <c r="M891" s="79"/>
      <c r="N891" s="79"/>
      <c r="O891" s="79"/>
      <c r="P891" s="79"/>
      <c r="Q891" s="79"/>
      <c r="R891" s="79"/>
      <c r="S891" s="79"/>
      <c r="T891" s="79"/>
      <c r="U891" s="79"/>
      <c r="V891" s="79"/>
      <c r="W891" s="79"/>
      <c r="X891" s="79"/>
      <c r="Y891" s="79"/>
      <c r="Z891" s="79"/>
    </row>
    <row r="892" spans="1:26" ht="50.95" customHeight="1" x14ac:dyDescent="0.15">
      <c r="A892" s="79"/>
      <c r="B892" s="79"/>
      <c r="C892" s="94"/>
      <c r="D892" s="95"/>
      <c r="E892" s="87"/>
      <c r="F892" s="95"/>
      <c r="G892" s="79"/>
      <c r="H892" s="79"/>
      <c r="I892" s="79"/>
      <c r="J892" s="79"/>
      <c r="K892" s="79"/>
      <c r="L892" s="79"/>
      <c r="M892" s="79"/>
      <c r="N892" s="79"/>
      <c r="O892" s="79"/>
      <c r="P892" s="79"/>
      <c r="Q892" s="79"/>
      <c r="R892" s="79"/>
      <c r="S892" s="79"/>
      <c r="T892" s="79"/>
      <c r="U892" s="79"/>
      <c r="V892" s="79"/>
      <c r="W892" s="79"/>
      <c r="X892" s="79"/>
      <c r="Y892" s="79"/>
      <c r="Z892" s="79"/>
    </row>
    <row r="893" spans="1:26" ht="50.95" customHeight="1" x14ac:dyDescent="0.15">
      <c r="A893" s="79"/>
      <c r="B893" s="79"/>
      <c r="C893" s="94"/>
      <c r="D893" s="95"/>
      <c r="E893" s="87"/>
      <c r="F893" s="95"/>
      <c r="G893" s="79"/>
      <c r="H893" s="79"/>
      <c r="I893" s="79"/>
      <c r="J893" s="79"/>
      <c r="K893" s="79"/>
      <c r="L893" s="79"/>
      <c r="M893" s="79"/>
      <c r="N893" s="79"/>
      <c r="O893" s="79"/>
      <c r="P893" s="79"/>
      <c r="Q893" s="79"/>
      <c r="R893" s="79"/>
      <c r="S893" s="79"/>
      <c r="T893" s="79"/>
      <c r="U893" s="79"/>
      <c r="V893" s="79"/>
      <c r="W893" s="79"/>
      <c r="X893" s="79"/>
      <c r="Y893" s="79"/>
      <c r="Z893" s="79"/>
    </row>
    <row r="894" spans="1:26" ht="50.95" customHeight="1" x14ac:dyDescent="0.15">
      <c r="A894" s="79"/>
      <c r="B894" s="79"/>
      <c r="C894" s="94"/>
      <c r="D894" s="95"/>
      <c r="E894" s="87"/>
      <c r="F894" s="95"/>
      <c r="G894" s="79"/>
      <c r="H894" s="79"/>
      <c r="I894" s="79"/>
      <c r="J894" s="79"/>
      <c r="K894" s="79"/>
      <c r="L894" s="79"/>
      <c r="M894" s="79"/>
      <c r="N894" s="79"/>
      <c r="O894" s="79"/>
      <c r="P894" s="79"/>
      <c r="Q894" s="79"/>
      <c r="R894" s="79"/>
      <c r="S894" s="79"/>
      <c r="T894" s="79"/>
      <c r="U894" s="79"/>
      <c r="V894" s="79"/>
      <c r="W894" s="79"/>
      <c r="X894" s="79"/>
      <c r="Y894" s="79"/>
      <c r="Z894" s="79"/>
    </row>
    <row r="895" spans="1:26" ht="50.95" customHeight="1" x14ac:dyDescent="0.15">
      <c r="A895" s="79"/>
      <c r="B895" s="79"/>
      <c r="C895" s="94"/>
      <c r="D895" s="95"/>
      <c r="E895" s="87"/>
      <c r="F895" s="95"/>
      <c r="G895" s="79"/>
      <c r="H895" s="79"/>
      <c r="I895" s="79"/>
      <c r="J895" s="79"/>
      <c r="K895" s="79"/>
      <c r="L895" s="79"/>
      <c r="M895" s="79"/>
      <c r="N895" s="79"/>
      <c r="O895" s="79"/>
      <c r="P895" s="79"/>
      <c r="Q895" s="79"/>
      <c r="R895" s="79"/>
      <c r="S895" s="79"/>
      <c r="T895" s="79"/>
      <c r="U895" s="79"/>
      <c r="V895" s="79"/>
      <c r="W895" s="79"/>
      <c r="X895" s="79"/>
      <c r="Y895" s="79"/>
      <c r="Z895" s="79"/>
    </row>
    <row r="896" spans="1:26" ht="50.95" customHeight="1" x14ac:dyDescent="0.15">
      <c r="A896" s="79"/>
      <c r="B896" s="79"/>
      <c r="C896" s="94"/>
      <c r="D896" s="95"/>
      <c r="E896" s="87"/>
      <c r="F896" s="95"/>
      <c r="G896" s="79"/>
      <c r="H896" s="79"/>
      <c r="I896" s="79"/>
      <c r="J896" s="79"/>
      <c r="K896" s="79"/>
      <c r="L896" s="79"/>
      <c r="M896" s="79"/>
      <c r="N896" s="79"/>
      <c r="O896" s="79"/>
      <c r="P896" s="79"/>
      <c r="Q896" s="79"/>
      <c r="R896" s="79"/>
      <c r="S896" s="79"/>
      <c r="T896" s="79"/>
      <c r="U896" s="79"/>
      <c r="V896" s="79"/>
      <c r="W896" s="79"/>
      <c r="X896" s="79"/>
      <c r="Y896" s="79"/>
      <c r="Z896" s="79"/>
    </row>
    <row r="897" spans="1:26" ht="50.95" customHeight="1" x14ac:dyDescent="0.15">
      <c r="A897" s="79"/>
      <c r="B897" s="79"/>
      <c r="C897" s="94"/>
      <c r="D897" s="95"/>
      <c r="E897" s="87"/>
      <c r="F897" s="95"/>
      <c r="G897" s="79"/>
      <c r="H897" s="79"/>
      <c r="I897" s="79"/>
      <c r="J897" s="79"/>
      <c r="K897" s="79"/>
      <c r="L897" s="79"/>
      <c r="M897" s="79"/>
      <c r="N897" s="79"/>
      <c r="O897" s="79"/>
      <c r="P897" s="79"/>
      <c r="Q897" s="79"/>
      <c r="R897" s="79"/>
      <c r="S897" s="79"/>
      <c r="T897" s="79"/>
      <c r="U897" s="79"/>
      <c r="V897" s="79"/>
      <c r="W897" s="79"/>
      <c r="X897" s="79"/>
      <c r="Y897" s="79"/>
      <c r="Z897" s="79"/>
    </row>
    <row r="898" spans="1:26" ht="50.95" customHeight="1" x14ac:dyDescent="0.15">
      <c r="A898" s="79"/>
      <c r="B898" s="79"/>
      <c r="C898" s="94"/>
      <c r="D898" s="95"/>
      <c r="E898" s="87"/>
      <c r="F898" s="95"/>
      <c r="G898" s="79"/>
      <c r="H898" s="79"/>
      <c r="I898" s="79"/>
      <c r="J898" s="79"/>
      <c r="K898" s="79"/>
      <c r="L898" s="79"/>
      <c r="M898" s="79"/>
      <c r="N898" s="79"/>
      <c r="O898" s="79"/>
      <c r="P898" s="79"/>
      <c r="Q898" s="79"/>
      <c r="R898" s="79"/>
      <c r="S898" s="79"/>
      <c r="T898" s="79"/>
      <c r="U898" s="79"/>
      <c r="V898" s="79"/>
      <c r="W898" s="79"/>
      <c r="X898" s="79"/>
      <c r="Y898" s="79"/>
      <c r="Z898" s="79"/>
    </row>
    <row r="899" spans="1:26" ht="50.95" customHeight="1" x14ac:dyDescent="0.15">
      <c r="A899" s="79"/>
      <c r="B899" s="79"/>
      <c r="C899" s="94"/>
      <c r="D899" s="95"/>
      <c r="E899" s="87"/>
      <c r="F899" s="95"/>
      <c r="G899" s="79"/>
      <c r="H899" s="79"/>
      <c r="I899" s="79"/>
      <c r="J899" s="79"/>
      <c r="K899" s="79"/>
      <c r="L899" s="79"/>
      <c r="M899" s="79"/>
      <c r="N899" s="79"/>
      <c r="O899" s="79"/>
      <c r="P899" s="79"/>
      <c r="Q899" s="79"/>
      <c r="R899" s="79"/>
      <c r="S899" s="79"/>
      <c r="T899" s="79"/>
      <c r="U899" s="79"/>
      <c r="V899" s="79"/>
      <c r="W899" s="79"/>
      <c r="X899" s="79"/>
      <c r="Y899" s="79"/>
      <c r="Z899" s="79"/>
    </row>
    <row r="900" spans="1:26" ht="50.95" customHeight="1" x14ac:dyDescent="0.15">
      <c r="A900" s="79"/>
      <c r="B900" s="79"/>
      <c r="C900" s="94"/>
      <c r="D900" s="95"/>
      <c r="E900" s="87"/>
      <c r="F900" s="95"/>
      <c r="G900" s="79"/>
      <c r="H900" s="79"/>
      <c r="I900" s="79"/>
      <c r="J900" s="79"/>
      <c r="K900" s="79"/>
      <c r="L900" s="79"/>
      <c r="M900" s="79"/>
      <c r="N900" s="79"/>
      <c r="O900" s="79"/>
      <c r="P900" s="79"/>
      <c r="Q900" s="79"/>
      <c r="R900" s="79"/>
      <c r="S900" s="79"/>
      <c r="T900" s="79"/>
      <c r="U900" s="79"/>
      <c r="V900" s="79"/>
      <c r="W900" s="79"/>
      <c r="X900" s="79"/>
      <c r="Y900" s="79"/>
      <c r="Z900" s="79"/>
    </row>
    <row r="901" spans="1:26" ht="50.95" customHeight="1" x14ac:dyDescent="0.15">
      <c r="A901" s="79"/>
      <c r="B901" s="79"/>
      <c r="C901" s="94"/>
      <c r="D901" s="95"/>
      <c r="E901" s="87"/>
      <c r="F901" s="95"/>
      <c r="G901" s="79"/>
      <c r="H901" s="79"/>
      <c r="I901" s="79"/>
      <c r="J901" s="79"/>
      <c r="K901" s="79"/>
      <c r="L901" s="79"/>
      <c r="M901" s="79"/>
      <c r="N901" s="79"/>
      <c r="O901" s="79"/>
      <c r="P901" s="79"/>
      <c r="Q901" s="79"/>
      <c r="R901" s="79"/>
      <c r="S901" s="79"/>
      <c r="T901" s="79"/>
      <c r="U901" s="79"/>
      <c r="V901" s="79"/>
      <c r="W901" s="79"/>
      <c r="X901" s="79"/>
      <c r="Y901" s="79"/>
      <c r="Z901" s="79"/>
    </row>
    <row r="902" spans="1:26" ht="50.95" customHeight="1" x14ac:dyDescent="0.15">
      <c r="A902" s="79"/>
      <c r="B902" s="79"/>
      <c r="C902" s="94"/>
      <c r="D902" s="95"/>
      <c r="E902" s="87"/>
      <c r="F902" s="95"/>
      <c r="G902" s="79"/>
      <c r="H902" s="79"/>
      <c r="I902" s="79"/>
      <c r="J902" s="79"/>
      <c r="K902" s="79"/>
      <c r="L902" s="79"/>
      <c r="M902" s="79"/>
      <c r="N902" s="79"/>
      <c r="O902" s="79"/>
      <c r="P902" s="79"/>
      <c r="Q902" s="79"/>
      <c r="R902" s="79"/>
      <c r="S902" s="79"/>
      <c r="T902" s="79"/>
      <c r="U902" s="79"/>
      <c r="V902" s="79"/>
      <c r="W902" s="79"/>
      <c r="X902" s="79"/>
      <c r="Y902" s="79"/>
      <c r="Z902" s="79"/>
    </row>
    <row r="903" spans="1:26" ht="50.95" customHeight="1" x14ac:dyDescent="0.15">
      <c r="A903" s="79"/>
      <c r="B903" s="79"/>
      <c r="C903" s="94"/>
      <c r="D903" s="95"/>
      <c r="E903" s="87"/>
      <c r="F903" s="95"/>
      <c r="G903" s="79"/>
      <c r="H903" s="79"/>
      <c r="I903" s="79"/>
      <c r="J903" s="79"/>
      <c r="K903" s="79"/>
      <c r="L903" s="79"/>
      <c r="M903" s="79"/>
      <c r="N903" s="79"/>
      <c r="O903" s="79"/>
      <c r="P903" s="79"/>
      <c r="Q903" s="79"/>
      <c r="R903" s="79"/>
      <c r="S903" s="79"/>
      <c r="T903" s="79"/>
      <c r="U903" s="79"/>
      <c r="V903" s="79"/>
      <c r="W903" s="79"/>
      <c r="X903" s="79"/>
      <c r="Y903" s="79"/>
      <c r="Z903" s="79"/>
    </row>
    <row r="904" spans="1:26" ht="50.95" customHeight="1" x14ac:dyDescent="0.15">
      <c r="A904" s="79"/>
      <c r="B904" s="79"/>
      <c r="C904" s="94"/>
      <c r="D904" s="95"/>
      <c r="E904" s="87"/>
      <c r="F904" s="95"/>
      <c r="G904" s="79"/>
      <c r="H904" s="79"/>
      <c r="I904" s="79"/>
      <c r="J904" s="79"/>
      <c r="K904" s="79"/>
      <c r="L904" s="79"/>
      <c r="M904" s="79"/>
      <c r="N904" s="79"/>
      <c r="O904" s="79"/>
      <c r="P904" s="79"/>
      <c r="Q904" s="79"/>
      <c r="R904" s="79"/>
      <c r="S904" s="79"/>
      <c r="T904" s="79"/>
      <c r="U904" s="79"/>
      <c r="V904" s="79"/>
      <c r="W904" s="79"/>
      <c r="X904" s="79"/>
      <c r="Y904" s="79"/>
      <c r="Z904" s="79"/>
    </row>
    <row r="905" spans="1:26" ht="50.95" customHeight="1" x14ac:dyDescent="0.15">
      <c r="A905" s="79"/>
      <c r="B905" s="79"/>
      <c r="C905" s="94"/>
      <c r="D905" s="95"/>
      <c r="E905" s="87"/>
      <c r="F905" s="95"/>
      <c r="G905" s="79"/>
      <c r="H905" s="79"/>
      <c r="I905" s="79"/>
      <c r="J905" s="79"/>
      <c r="K905" s="79"/>
      <c r="L905" s="79"/>
      <c r="M905" s="79"/>
      <c r="N905" s="79"/>
      <c r="O905" s="79"/>
      <c r="P905" s="79"/>
      <c r="Q905" s="79"/>
      <c r="R905" s="79"/>
      <c r="S905" s="79"/>
      <c r="T905" s="79"/>
      <c r="U905" s="79"/>
      <c r="V905" s="79"/>
      <c r="W905" s="79"/>
      <c r="X905" s="79"/>
      <c r="Y905" s="79"/>
      <c r="Z905" s="79"/>
    </row>
    <row r="906" spans="1:26" ht="50.95" customHeight="1" x14ac:dyDescent="0.15">
      <c r="A906" s="79"/>
      <c r="B906" s="79"/>
      <c r="C906" s="94"/>
      <c r="D906" s="95"/>
      <c r="E906" s="87"/>
      <c r="F906" s="95"/>
      <c r="G906" s="79"/>
      <c r="H906" s="79"/>
      <c r="I906" s="79"/>
      <c r="J906" s="79"/>
      <c r="K906" s="79"/>
      <c r="L906" s="79"/>
      <c r="M906" s="79"/>
      <c r="N906" s="79"/>
      <c r="O906" s="79"/>
      <c r="P906" s="79"/>
      <c r="Q906" s="79"/>
      <c r="R906" s="79"/>
      <c r="S906" s="79"/>
      <c r="T906" s="79"/>
      <c r="U906" s="79"/>
      <c r="V906" s="79"/>
      <c r="W906" s="79"/>
      <c r="X906" s="79"/>
      <c r="Y906" s="79"/>
      <c r="Z906" s="79"/>
    </row>
    <row r="907" spans="1:26" ht="50.95" customHeight="1" x14ac:dyDescent="0.15">
      <c r="A907" s="79"/>
      <c r="B907" s="79"/>
      <c r="C907" s="94"/>
      <c r="D907" s="95"/>
      <c r="E907" s="87"/>
      <c r="F907" s="95"/>
      <c r="G907" s="79"/>
      <c r="H907" s="79"/>
      <c r="I907" s="79"/>
      <c r="J907" s="79"/>
      <c r="K907" s="79"/>
      <c r="L907" s="79"/>
      <c r="M907" s="79"/>
      <c r="N907" s="79"/>
      <c r="O907" s="79"/>
      <c r="P907" s="79"/>
      <c r="Q907" s="79"/>
      <c r="R907" s="79"/>
      <c r="S907" s="79"/>
      <c r="T907" s="79"/>
      <c r="U907" s="79"/>
      <c r="V907" s="79"/>
      <c r="W907" s="79"/>
      <c r="X907" s="79"/>
      <c r="Y907" s="79"/>
      <c r="Z907" s="79"/>
    </row>
    <row r="908" spans="1:26" ht="50.95" customHeight="1" x14ac:dyDescent="0.15">
      <c r="A908" s="79"/>
      <c r="B908" s="79"/>
      <c r="C908" s="94"/>
      <c r="D908" s="95"/>
      <c r="E908" s="87"/>
      <c r="F908" s="95"/>
      <c r="G908" s="79"/>
      <c r="H908" s="79"/>
      <c r="I908" s="79"/>
      <c r="J908" s="79"/>
      <c r="K908" s="79"/>
      <c r="L908" s="79"/>
      <c r="M908" s="79"/>
      <c r="N908" s="79"/>
      <c r="O908" s="79"/>
      <c r="P908" s="79"/>
      <c r="Q908" s="79"/>
      <c r="R908" s="79"/>
      <c r="S908" s="79"/>
      <c r="T908" s="79"/>
      <c r="U908" s="79"/>
      <c r="V908" s="79"/>
      <c r="W908" s="79"/>
      <c r="X908" s="79"/>
      <c r="Y908" s="79"/>
      <c r="Z908" s="79"/>
    </row>
    <row r="909" spans="1:26" ht="50.95" customHeight="1" x14ac:dyDescent="0.15">
      <c r="A909" s="79"/>
      <c r="B909" s="79"/>
      <c r="C909" s="94"/>
      <c r="D909" s="95"/>
      <c r="E909" s="87"/>
      <c r="F909" s="95"/>
      <c r="G909" s="79"/>
      <c r="H909" s="79"/>
      <c r="I909" s="79"/>
      <c r="J909" s="79"/>
      <c r="K909" s="79"/>
      <c r="L909" s="79"/>
      <c r="M909" s="79"/>
      <c r="N909" s="79"/>
      <c r="O909" s="79"/>
      <c r="P909" s="79"/>
      <c r="Q909" s="79"/>
      <c r="R909" s="79"/>
      <c r="S909" s="79"/>
      <c r="T909" s="79"/>
      <c r="U909" s="79"/>
      <c r="V909" s="79"/>
      <c r="W909" s="79"/>
      <c r="X909" s="79"/>
      <c r="Y909" s="79"/>
      <c r="Z909" s="79"/>
    </row>
    <row r="910" spans="1:26" ht="50.95" customHeight="1" x14ac:dyDescent="0.15">
      <c r="A910" s="79"/>
      <c r="B910" s="79"/>
      <c r="C910" s="94"/>
      <c r="D910" s="95"/>
      <c r="E910" s="87"/>
      <c r="F910" s="95"/>
      <c r="G910" s="79"/>
      <c r="H910" s="79"/>
      <c r="I910" s="79"/>
      <c r="J910" s="79"/>
      <c r="K910" s="79"/>
      <c r="L910" s="79"/>
      <c r="M910" s="79"/>
      <c r="N910" s="79"/>
      <c r="O910" s="79"/>
      <c r="P910" s="79"/>
      <c r="Q910" s="79"/>
      <c r="R910" s="79"/>
      <c r="S910" s="79"/>
      <c r="T910" s="79"/>
      <c r="U910" s="79"/>
      <c r="V910" s="79"/>
      <c r="W910" s="79"/>
      <c r="X910" s="79"/>
      <c r="Y910" s="79"/>
      <c r="Z910" s="79"/>
    </row>
    <row r="911" spans="1:26" ht="50.95" customHeight="1" x14ac:dyDescent="0.15">
      <c r="A911" s="79"/>
      <c r="B911" s="79"/>
      <c r="C911" s="94"/>
      <c r="D911" s="95"/>
      <c r="E911" s="87"/>
      <c r="F911" s="95"/>
      <c r="G911" s="79"/>
      <c r="H911" s="79"/>
      <c r="I911" s="79"/>
      <c r="J911" s="79"/>
      <c r="K911" s="79"/>
      <c r="L911" s="79"/>
      <c r="M911" s="79"/>
      <c r="N911" s="79"/>
      <c r="O911" s="79"/>
      <c r="P911" s="79"/>
      <c r="Q911" s="79"/>
      <c r="R911" s="79"/>
      <c r="S911" s="79"/>
      <c r="T911" s="79"/>
      <c r="U911" s="79"/>
      <c r="V911" s="79"/>
      <c r="W911" s="79"/>
      <c r="X911" s="79"/>
      <c r="Y911" s="79"/>
      <c r="Z911" s="79"/>
    </row>
    <row r="912" spans="1:26" ht="50.95" customHeight="1" x14ac:dyDescent="0.15">
      <c r="A912" s="79"/>
      <c r="B912" s="79"/>
      <c r="C912" s="94"/>
      <c r="D912" s="95"/>
      <c r="E912" s="87"/>
      <c r="F912" s="95"/>
      <c r="G912" s="79"/>
      <c r="H912" s="79"/>
      <c r="I912" s="79"/>
      <c r="J912" s="79"/>
      <c r="K912" s="79"/>
      <c r="L912" s="79"/>
      <c r="M912" s="79"/>
      <c r="N912" s="79"/>
      <c r="O912" s="79"/>
      <c r="P912" s="79"/>
      <c r="Q912" s="79"/>
      <c r="R912" s="79"/>
      <c r="S912" s="79"/>
      <c r="T912" s="79"/>
      <c r="U912" s="79"/>
      <c r="V912" s="79"/>
      <c r="W912" s="79"/>
      <c r="X912" s="79"/>
      <c r="Y912" s="79"/>
      <c r="Z912" s="79"/>
    </row>
    <row r="913" spans="1:26" ht="50.95" customHeight="1" x14ac:dyDescent="0.15">
      <c r="A913" s="79"/>
      <c r="B913" s="79"/>
      <c r="C913" s="94"/>
      <c r="D913" s="95"/>
      <c r="E913" s="87"/>
      <c r="F913" s="95"/>
      <c r="G913" s="79"/>
      <c r="H913" s="79"/>
      <c r="I913" s="79"/>
      <c r="J913" s="79"/>
      <c r="K913" s="79"/>
      <c r="L913" s="79"/>
      <c r="M913" s="79"/>
      <c r="N913" s="79"/>
      <c r="O913" s="79"/>
      <c r="P913" s="79"/>
      <c r="Q913" s="79"/>
      <c r="R913" s="79"/>
      <c r="S913" s="79"/>
      <c r="T913" s="79"/>
      <c r="U913" s="79"/>
      <c r="V913" s="79"/>
      <c r="W913" s="79"/>
      <c r="X913" s="79"/>
      <c r="Y913" s="79"/>
      <c r="Z913" s="79"/>
    </row>
    <row r="914" spans="1:26" ht="50.95" customHeight="1" x14ac:dyDescent="0.15">
      <c r="A914" s="79"/>
      <c r="B914" s="79"/>
      <c r="C914" s="94"/>
      <c r="D914" s="95"/>
      <c r="E914" s="87"/>
      <c r="F914" s="95"/>
      <c r="G914" s="79"/>
      <c r="H914" s="79"/>
      <c r="I914" s="79"/>
      <c r="J914" s="79"/>
      <c r="K914" s="79"/>
      <c r="L914" s="79"/>
      <c r="M914" s="79"/>
      <c r="N914" s="79"/>
      <c r="O914" s="79"/>
      <c r="P914" s="79"/>
      <c r="Q914" s="79"/>
      <c r="R914" s="79"/>
      <c r="S914" s="79"/>
      <c r="T914" s="79"/>
      <c r="U914" s="79"/>
      <c r="V914" s="79"/>
      <c r="W914" s="79"/>
      <c r="X914" s="79"/>
      <c r="Y914" s="79"/>
      <c r="Z914" s="79"/>
    </row>
    <row r="915" spans="1:26" ht="50.95" customHeight="1" x14ac:dyDescent="0.15">
      <c r="A915" s="79"/>
      <c r="B915" s="79"/>
      <c r="C915" s="94"/>
      <c r="D915" s="95"/>
      <c r="E915" s="87"/>
      <c r="F915" s="95"/>
      <c r="G915" s="79"/>
      <c r="H915" s="79"/>
      <c r="I915" s="79"/>
      <c r="J915" s="79"/>
      <c r="K915" s="79"/>
      <c r="L915" s="79"/>
      <c r="M915" s="79"/>
      <c r="N915" s="79"/>
      <c r="O915" s="79"/>
      <c r="P915" s="79"/>
      <c r="Q915" s="79"/>
      <c r="R915" s="79"/>
      <c r="S915" s="79"/>
      <c r="T915" s="79"/>
      <c r="U915" s="79"/>
      <c r="V915" s="79"/>
      <c r="W915" s="79"/>
      <c r="X915" s="79"/>
      <c r="Y915" s="79"/>
      <c r="Z915" s="79"/>
    </row>
    <row r="916" spans="1:26" ht="50.95" customHeight="1" x14ac:dyDescent="0.15">
      <c r="A916" s="79"/>
      <c r="B916" s="79"/>
      <c r="C916" s="94"/>
      <c r="D916" s="95"/>
      <c r="E916" s="87"/>
      <c r="F916" s="95"/>
      <c r="G916" s="79"/>
      <c r="H916" s="79"/>
      <c r="I916" s="79"/>
      <c r="J916" s="79"/>
      <c r="K916" s="79"/>
      <c r="L916" s="79"/>
      <c r="M916" s="79"/>
      <c r="N916" s="79"/>
      <c r="O916" s="79"/>
      <c r="P916" s="79"/>
      <c r="Q916" s="79"/>
      <c r="R916" s="79"/>
      <c r="S916" s="79"/>
      <c r="T916" s="79"/>
      <c r="U916" s="79"/>
      <c r="V916" s="79"/>
      <c r="W916" s="79"/>
      <c r="X916" s="79"/>
      <c r="Y916" s="79"/>
      <c r="Z916" s="79"/>
    </row>
    <row r="917" spans="1:26" ht="50.95" customHeight="1" x14ac:dyDescent="0.15">
      <c r="A917" s="79"/>
      <c r="B917" s="79"/>
      <c r="C917" s="94"/>
      <c r="D917" s="95"/>
      <c r="E917" s="87"/>
      <c r="F917" s="95"/>
      <c r="G917" s="79"/>
      <c r="H917" s="79"/>
      <c r="I917" s="79"/>
      <c r="J917" s="79"/>
      <c r="K917" s="79"/>
      <c r="L917" s="79"/>
      <c r="M917" s="79"/>
      <c r="N917" s="79"/>
      <c r="O917" s="79"/>
      <c r="P917" s="79"/>
      <c r="Q917" s="79"/>
      <c r="R917" s="79"/>
      <c r="S917" s="79"/>
      <c r="T917" s="79"/>
      <c r="U917" s="79"/>
      <c r="V917" s="79"/>
      <c r="W917" s="79"/>
      <c r="X917" s="79"/>
      <c r="Y917" s="79"/>
      <c r="Z917" s="79"/>
    </row>
    <row r="918" spans="1:26" ht="50.95" customHeight="1" x14ac:dyDescent="0.15">
      <c r="A918" s="79"/>
      <c r="B918" s="79"/>
      <c r="C918" s="94"/>
      <c r="D918" s="95"/>
      <c r="E918" s="87"/>
      <c r="F918" s="95"/>
      <c r="G918" s="79"/>
      <c r="H918" s="79"/>
      <c r="I918" s="79"/>
      <c r="J918" s="79"/>
      <c r="K918" s="79"/>
      <c r="L918" s="79"/>
      <c r="M918" s="79"/>
      <c r="N918" s="79"/>
      <c r="O918" s="79"/>
      <c r="P918" s="79"/>
      <c r="Q918" s="79"/>
      <c r="R918" s="79"/>
      <c r="S918" s="79"/>
      <c r="T918" s="79"/>
      <c r="U918" s="79"/>
      <c r="V918" s="79"/>
      <c r="W918" s="79"/>
      <c r="X918" s="79"/>
      <c r="Y918" s="79"/>
      <c r="Z918" s="79"/>
    </row>
    <row r="919" spans="1:26" ht="50.95" customHeight="1" x14ac:dyDescent="0.15">
      <c r="A919" s="79"/>
      <c r="B919" s="79"/>
      <c r="C919" s="94"/>
      <c r="D919" s="95"/>
      <c r="E919" s="87"/>
      <c r="F919" s="95"/>
      <c r="G919" s="79"/>
      <c r="H919" s="79"/>
      <c r="I919" s="79"/>
      <c r="J919" s="79"/>
      <c r="K919" s="79"/>
      <c r="L919" s="79"/>
      <c r="M919" s="79"/>
      <c r="N919" s="79"/>
      <c r="O919" s="79"/>
      <c r="P919" s="79"/>
      <c r="Q919" s="79"/>
      <c r="R919" s="79"/>
      <c r="S919" s="79"/>
      <c r="T919" s="79"/>
      <c r="U919" s="79"/>
      <c r="V919" s="79"/>
      <c r="W919" s="79"/>
      <c r="X919" s="79"/>
      <c r="Y919" s="79"/>
      <c r="Z919" s="79"/>
    </row>
    <row r="920" spans="1:26" ht="50.95" customHeight="1" x14ac:dyDescent="0.15">
      <c r="A920" s="79"/>
      <c r="B920" s="79"/>
      <c r="C920" s="94"/>
      <c r="D920" s="95"/>
      <c r="E920" s="87"/>
      <c r="F920" s="95"/>
      <c r="G920" s="79"/>
      <c r="H920" s="79"/>
      <c r="I920" s="79"/>
      <c r="J920" s="79"/>
      <c r="K920" s="79"/>
      <c r="L920" s="79"/>
      <c r="M920" s="79"/>
      <c r="N920" s="79"/>
      <c r="O920" s="79"/>
      <c r="P920" s="79"/>
      <c r="Q920" s="79"/>
      <c r="R920" s="79"/>
      <c r="S920" s="79"/>
      <c r="T920" s="79"/>
      <c r="U920" s="79"/>
      <c r="V920" s="79"/>
      <c r="W920" s="79"/>
      <c r="X920" s="79"/>
      <c r="Y920" s="79"/>
      <c r="Z920" s="79"/>
    </row>
    <row r="921" spans="1:26" ht="50.95" customHeight="1" x14ac:dyDescent="0.15">
      <c r="A921" s="79"/>
      <c r="B921" s="79"/>
      <c r="C921" s="94"/>
      <c r="D921" s="95"/>
      <c r="E921" s="87"/>
      <c r="F921" s="95"/>
      <c r="G921" s="79"/>
      <c r="H921" s="79"/>
      <c r="I921" s="79"/>
      <c r="J921" s="79"/>
      <c r="K921" s="79"/>
      <c r="L921" s="79"/>
      <c r="M921" s="79"/>
      <c r="N921" s="79"/>
      <c r="O921" s="79"/>
      <c r="P921" s="79"/>
      <c r="Q921" s="79"/>
      <c r="R921" s="79"/>
      <c r="S921" s="79"/>
      <c r="T921" s="79"/>
      <c r="U921" s="79"/>
      <c r="V921" s="79"/>
      <c r="W921" s="79"/>
      <c r="X921" s="79"/>
      <c r="Y921" s="79"/>
      <c r="Z921" s="79"/>
    </row>
    <row r="922" spans="1:26" ht="50.95" customHeight="1" x14ac:dyDescent="0.15">
      <c r="A922" s="79"/>
      <c r="B922" s="79"/>
      <c r="C922" s="94"/>
      <c r="D922" s="95"/>
      <c r="E922" s="87"/>
      <c r="F922" s="95"/>
      <c r="G922" s="79"/>
      <c r="H922" s="79"/>
      <c r="I922" s="79"/>
      <c r="J922" s="79"/>
      <c r="K922" s="79"/>
      <c r="L922" s="79"/>
      <c r="M922" s="79"/>
      <c r="N922" s="79"/>
      <c r="O922" s="79"/>
      <c r="P922" s="79"/>
      <c r="Q922" s="79"/>
      <c r="R922" s="79"/>
      <c r="S922" s="79"/>
      <c r="T922" s="79"/>
      <c r="U922" s="79"/>
      <c r="V922" s="79"/>
      <c r="W922" s="79"/>
      <c r="X922" s="79"/>
      <c r="Y922" s="79"/>
      <c r="Z922" s="79"/>
    </row>
    <row r="923" spans="1:26" ht="50.95" customHeight="1" x14ac:dyDescent="0.15">
      <c r="A923" s="79"/>
      <c r="B923" s="79"/>
      <c r="C923" s="94"/>
      <c r="D923" s="95"/>
      <c r="E923" s="87"/>
      <c r="F923" s="95"/>
      <c r="G923" s="79"/>
      <c r="H923" s="79"/>
      <c r="I923" s="79"/>
      <c r="J923" s="79"/>
      <c r="K923" s="79"/>
      <c r="L923" s="79"/>
      <c r="M923" s="79"/>
      <c r="N923" s="79"/>
      <c r="O923" s="79"/>
      <c r="P923" s="79"/>
      <c r="Q923" s="79"/>
      <c r="R923" s="79"/>
      <c r="S923" s="79"/>
      <c r="T923" s="79"/>
      <c r="U923" s="79"/>
      <c r="V923" s="79"/>
      <c r="W923" s="79"/>
      <c r="X923" s="79"/>
      <c r="Y923" s="79"/>
      <c r="Z923" s="79"/>
    </row>
    <row r="924" spans="1:26" ht="50.95" customHeight="1" x14ac:dyDescent="0.15">
      <c r="A924" s="79"/>
      <c r="B924" s="79"/>
      <c r="C924" s="94"/>
      <c r="D924" s="95"/>
      <c r="E924" s="87"/>
      <c r="F924" s="95"/>
      <c r="G924" s="79"/>
      <c r="H924" s="79"/>
      <c r="I924" s="79"/>
      <c r="J924" s="79"/>
      <c r="K924" s="79"/>
      <c r="L924" s="79"/>
      <c r="M924" s="79"/>
      <c r="N924" s="79"/>
      <c r="O924" s="79"/>
      <c r="P924" s="79"/>
      <c r="Q924" s="79"/>
      <c r="R924" s="79"/>
      <c r="S924" s="79"/>
      <c r="T924" s="79"/>
      <c r="U924" s="79"/>
      <c r="V924" s="79"/>
      <c r="W924" s="79"/>
      <c r="X924" s="79"/>
      <c r="Y924" s="79"/>
      <c r="Z924" s="79"/>
    </row>
    <row r="925" spans="1:26" ht="50.95" customHeight="1" x14ac:dyDescent="0.15">
      <c r="A925" s="79"/>
      <c r="B925" s="79"/>
      <c r="C925" s="94"/>
      <c r="D925" s="95"/>
      <c r="E925" s="87"/>
      <c r="F925" s="95"/>
      <c r="G925" s="79"/>
      <c r="H925" s="79"/>
      <c r="I925" s="79"/>
      <c r="J925" s="79"/>
      <c r="K925" s="79"/>
      <c r="L925" s="79"/>
      <c r="M925" s="79"/>
      <c r="N925" s="79"/>
      <c r="O925" s="79"/>
      <c r="P925" s="79"/>
      <c r="Q925" s="79"/>
      <c r="R925" s="79"/>
      <c r="S925" s="79"/>
      <c r="T925" s="79"/>
      <c r="U925" s="79"/>
      <c r="V925" s="79"/>
      <c r="W925" s="79"/>
      <c r="X925" s="79"/>
      <c r="Y925" s="79"/>
      <c r="Z925" s="79"/>
    </row>
    <row r="926" spans="1:26" ht="50.95" customHeight="1" x14ac:dyDescent="0.15">
      <c r="A926" s="79"/>
      <c r="B926" s="79"/>
      <c r="C926" s="94"/>
      <c r="D926" s="95"/>
      <c r="E926" s="87"/>
      <c r="F926" s="95"/>
      <c r="G926" s="79"/>
      <c r="H926" s="79"/>
      <c r="I926" s="79"/>
      <c r="J926" s="79"/>
      <c r="K926" s="79"/>
      <c r="L926" s="79"/>
      <c r="M926" s="79"/>
      <c r="N926" s="79"/>
      <c r="O926" s="79"/>
      <c r="P926" s="79"/>
      <c r="Q926" s="79"/>
      <c r="R926" s="79"/>
      <c r="S926" s="79"/>
      <c r="T926" s="79"/>
      <c r="U926" s="79"/>
      <c r="V926" s="79"/>
      <c r="W926" s="79"/>
      <c r="X926" s="79"/>
      <c r="Y926" s="79"/>
      <c r="Z926" s="79"/>
    </row>
    <row r="927" spans="1:26" ht="50.95" customHeight="1" x14ac:dyDescent="0.15">
      <c r="A927" s="79"/>
      <c r="B927" s="79"/>
      <c r="C927" s="94"/>
      <c r="D927" s="95"/>
      <c r="E927" s="87"/>
      <c r="F927" s="95"/>
      <c r="G927" s="79"/>
      <c r="H927" s="79"/>
      <c r="I927" s="79"/>
      <c r="J927" s="79"/>
      <c r="K927" s="79"/>
      <c r="L927" s="79"/>
      <c r="M927" s="79"/>
      <c r="N927" s="79"/>
      <c r="O927" s="79"/>
      <c r="P927" s="79"/>
      <c r="Q927" s="79"/>
      <c r="R927" s="79"/>
      <c r="S927" s="79"/>
      <c r="T927" s="79"/>
      <c r="U927" s="79"/>
      <c r="V927" s="79"/>
      <c r="W927" s="79"/>
      <c r="X927" s="79"/>
      <c r="Y927" s="79"/>
      <c r="Z927" s="79"/>
    </row>
    <row r="928" spans="1:26" ht="50.95" customHeight="1" x14ac:dyDescent="0.15">
      <c r="A928" s="79"/>
      <c r="B928" s="79"/>
      <c r="C928" s="94"/>
      <c r="D928" s="95"/>
      <c r="E928" s="87"/>
      <c r="F928" s="95"/>
      <c r="G928" s="79"/>
      <c r="H928" s="79"/>
      <c r="I928" s="79"/>
      <c r="J928" s="79"/>
      <c r="K928" s="79"/>
      <c r="L928" s="79"/>
      <c r="M928" s="79"/>
      <c r="N928" s="79"/>
      <c r="O928" s="79"/>
      <c r="P928" s="79"/>
      <c r="Q928" s="79"/>
      <c r="R928" s="79"/>
      <c r="S928" s="79"/>
      <c r="T928" s="79"/>
      <c r="U928" s="79"/>
      <c r="V928" s="79"/>
      <c r="W928" s="79"/>
      <c r="X928" s="79"/>
      <c r="Y928" s="79"/>
      <c r="Z928" s="79"/>
    </row>
    <row r="929" spans="1:26" ht="50.95" customHeight="1" x14ac:dyDescent="0.15">
      <c r="A929" s="79"/>
      <c r="B929" s="79"/>
      <c r="C929" s="94"/>
      <c r="D929" s="95"/>
      <c r="E929" s="87"/>
      <c r="F929" s="95"/>
      <c r="G929" s="79"/>
      <c r="H929" s="79"/>
      <c r="I929" s="79"/>
      <c r="J929" s="79"/>
      <c r="K929" s="79"/>
      <c r="L929" s="79"/>
      <c r="M929" s="79"/>
      <c r="N929" s="79"/>
      <c r="O929" s="79"/>
      <c r="P929" s="79"/>
      <c r="Q929" s="79"/>
      <c r="R929" s="79"/>
      <c r="S929" s="79"/>
      <c r="T929" s="79"/>
      <c r="U929" s="79"/>
      <c r="V929" s="79"/>
      <c r="W929" s="79"/>
      <c r="X929" s="79"/>
      <c r="Y929" s="79"/>
      <c r="Z929" s="79"/>
    </row>
    <row r="930" spans="1:26" ht="50.95" customHeight="1" x14ac:dyDescent="0.15">
      <c r="A930" s="79"/>
      <c r="B930" s="79"/>
      <c r="C930" s="94"/>
      <c r="D930" s="95"/>
      <c r="E930" s="87"/>
      <c r="F930" s="95"/>
      <c r="G930" s="79"/>
      <c r="H930" s="79"/>
      <c r="I930" s="79"/>
      <c r="J930" s="79"/>
      <c r="K930" s="79"/>
      <c r="L930" s="79"/>
      <c r="M930" s="79"/>
      <c r="N930" s="79"/>
      <c r="O930" s="79"/>
      <c r="P930" s="79"/>
      <c r="Q930" s="79"/>
      <c r="R930" s="79"/>
      <c r="S930" s="79"/>
      <c r="T930" s="79"/>
      <c r="U930" s="79"/>
      <c r="V930" s="79"/>
      <c r="W930" s="79"/>
      <c r="X930" s="79"/>
      <c r="Y930" s="79"/>
      <c r="Z930" s="79"/>
    </row>
    <row r="931" spans="1:26" ht="50.95" customHeight="1" x14ac:dyDescent="0.15">
      <c r="A931" s="79"/>
      <c r="B931" s="79"/>
      <c r="C931" s="94"/>
      <c r="D931" s="95"/>
      <c r="E931" s="87"/>
      <c r="F931" s="95"/>
      <c r="G931" s="79"/>
      <c r="H931" s="79"/>
      <c r="I931" s="79"/>
      <c r="J931" s="79"/>
      <c r="K931" s="79"/>
      <c r="L931" s="79"/>
      <c r="M931" s="79"/>
      <c r="N931" s="79"/>
      <c r="O931" s="79"/>
      <c r="P931" s="79"/>
      <c r="Q931" s="79"/>
      <c r="R931" s="79"/>
      <c r="S931" s="79"/>
      <c r="T931" s="79"/>
      <c r="U931" s="79"/>
      <c r="V931" s="79"/>
      <c r="W931" s="79"/>
      <c r="X931" s="79"/>
      <c r="Y931" s="79"/>
      <c r="Z931" s="79"/>
    </row>
    <row r="932" spans="1:26" ht="50.95" customHeight="1" x14ac:dyDescent="0.15">
      <c r="A932" s="79"/>
      <c r="B932" s="79"/>
      <c r="C932" s="94"/>
      <c r="D932" s="95"/>
      <c r="E932" s="87"/>
      <c r="F932" s="95"/>
      <c r="G932" s="79"/>
      <c r="H932" s="79"/>
      <c r="I932" s="79"/>
      <c r="J932" s="79"/>
      <c r="K932" s="79"/>
      <c r="L932" s="79"/>
      <c r="M932" s="79"/>
      <c r="N932" s="79"/>
      <c r="O932" s="79"/>
      <c r="P932" s="79"/>
      <c r="Q932" s="79"/>
      <c r="R932" s="79"/>
      <c r="S932" s="79"/>
      <c r="T932" s="79"/>
      <c r="U932" s="79"/>
      <c r="V932" s="79"/>
      <c r="W932" s="79"/>
      <c r="X932" s="79"/>
      <c r="Y932" s="79"/>
      <c r="Z932" s="79"/>
    </row>
    <row r="933" spans="1:26" ht="50.95" customHeight="1" x14ac:dyDescent="0.15">
      <c r="A933" s="79"/>
      <c r="B933" s="79"/>
      <c r="C933" s="94"/>
      <c r="D933" s="95"/>
      <c r="E933" s="87"/>
      <c r="F933" s="95"/>
      <c r="G933" s="79"/>
      <c r="H933" s="79"/>
      <c r="I933" s="79"/>
      <c r="J933" s="79"/>
      <c r="K933" s="79"/>
      <c r="L933" s="79"/>
      <c r="M933" s="79"/>
      <c r="N933" s="79"/>
      <c r="O933" s="79"/>
      <c r="P933" s="79"/>
      <c r="Q933" s="79"/>
      <c r="R933" s="79"/>
      <c r="S933" s="79"/>
      <c r="T933" s="79"/>
      <c r="U933" s="79"/>
      <c r="V933" s="79"/>
      <c r="W933" s="79"/>
      <c r="X933" s="79"/>
      <c r="Y933" s="79"/>
      <c r="Z933" s="79"/>
    </row>
    <row r="934" spans="1:26" ht="50.95" customHeight="1" x14ac:dyDescent="0.15">
      <c r="A934" s="79"/>
      <c r="B934" s="79"/>
      <c r="C934" s="94"/>
      <c r="D934" s="95"/>
      <c r="E934" s="87"/>
      <c r="F934" s="95"/>
      <c r="G934" s="79"/>
      <c r="H934" s="79"/>
      <c r="I934" s="79"/>
      <c r="J934" s="79"/>
      <c r="K934" s="79"/>
      <c r="L934" s="79"/>
      <c r="M934" s="79"/>
      <c r="N934" s="79"/>
      <c r="O934" s="79"/>
      <c r="P934" s="79"/>
      <c r="Q934" s="79"/>
      <c r="R934" s="79"/>
      <c r="S934" s="79"/>
      <c r="T934" s="79"/>
      <c r="U934" s="79"/>
      <c r="V934" s="79"/>
      <c r="W934" s="79"/>
      <c r="X934" s="79"/>
      <c r="Y934" s="79"/>
      <c r="Z934" s="79"/>
    </row>
    <row r="935" spans="1:26" ht="50.95" customHeight="1" x14ac:dyDescent="0.15">
      <c r="A935" s="79"/>
      <c r="B935" s="79"/>
      <c r="C935" s="94"/>
      <c r="D935" s="95"/>
      <c r="E935" s="87"/>
      <c r="F935" s="95"/>
      <c r="G935" s="79"/>
      <c r="H935" s="79"/>
      <c r="I935" s="79"/>
      <c r="J935" s="79"/>
      <c r="K935" s="79"/>
      <c r="L935" s="79"/>
      <c r="M935" s="79"/>
      <c r="N935" s="79"/>
      <c r="O935" s="79"/>
      <c r="P935" s="79"/>
      <c r="Q935" s="79"/>
      <c r="R935" s="79"/>
      <c r="S935" s="79"/>
      <c r="T935" s="79"/>
      <c r="U935" s="79"/>
      <c r="V935" s="79"/>
      <c r="W935" s="79"/>
      <c r="X935" s="79"/>
      <c r="Y935" s="79"/>
      <c r="Z935" s="79"/>
    </row>
    <row r="936" spans="1:26" ht="50.95" customHeight="1" x14ac:dyDescent="0.15">
      <c r="A936" s="79"/>
      <c r="B936" s="79"/>
      <c r="C936" s="94"/>
      <c r="D936" s="95"/>
      <c r="E936" s="87"/>
      <c r="F936" s="95"/>
      <c r="G936" s="79"/>
      <c r="H936" s="79"/>
      <c r="I936" s="79"/>
      <c r="J936" s="79"/>
      <c r="K936" s="79"/>
      <c r="L936" s="79"/>
      <c r="M936" s="79"/>
      <c r="N936" s="79"/>
      <c r="O936" s="79"/>
      <c r="P936" s="79"/>
      <c r="Q936" s="79"/>
      <c r="R936" s="79"/>
      <c r="S936" s="79"/>
      <c r="T936" s="79"/>
      <c r="U936" s="79"/>
      <c r="V936" s="79"/>
      <c r="W936" s="79"/>
      <c r="X936" s="79"/>
      <c r="Y936" s="79"/>
      <c r="Z936" s="79"/>
    </row>
    <row r="937" spans="1:26" ht="50.95" customHeight="1" x14ac:dyDescent="0.15">
      <c r="A937" s="79"/>
      <c r="B937" s="79"/>
      <c r="C937" s="94"/>
      <c r="D937" s="95"/>
      <c r="E937" s="87"/>
      <c r="F937" s="95"/>
      <c r="G937" s="79"/>
      <c r="H937" s="79"/>
      <c r="I937" s="79"/>
      <c r="J937" s="79"/>
      <c r="K937" s="79"/>
      <c r="L937" s="79"/>
      <c r="M937" s="79"/>
      <c r="N937" s="79"/>
      <c r="O937" s="79"/>
      <c r="P937" s="79"/>
      <c r="Q937" s="79"/>
      <c r="R937" s="79"/>
      <c r="S937" s="79"/>
      <c r="T937" s="79"/>
      <c r="U937" s="79"/>
      <c r="V937" s="79"/>
      <c r="W937" s="79"/>
      <c r="X937" s="79"/>
      <c r="Y937" s="79"/>
      <c r="Z937" s="79"/>
    </row>
    <row r="938" spans="1:26" ht="50.95" customHeight="1" x14ac:dyDescent="0.15">
      <c r="A938" s="79"/>
      <c r="B938" s="79"/>
      <c r="C938" s="94"/>
      <c r="D938" s="95"/>
      <c r="E938" s="87"/>
      <c r="F938" s="95"/>
      <c r="G938" s="79"/>
      <c r="H938" s="79"/>
      <c r="I938" s="79"/>
      <c r="J938" s="79"/>
      <c r="K938" s="79"/>
      <c r="L938" s="79"/>
      <c r="M938" s="79"/>
      <c r="N938" s="79"/>
      <c r="O938" s="79"/>
      <c r="P938" s="79"/>
      <c r="Q938" s="79"/>
      <c r="R938" s="79"/>
      <c r="S938" s="79"/>
      <c r="T938" s="79"/>
      <c r="U938" s="79"/>
      <c r="V938" s="79"/>
      <c r="W938" s="79"/>
      <c r="X938" s="79"/>
      <c r="Y938" s="79"/>
      <c r="Z938" s="79"/>
    </row>
    <row r="939" spans="1:26" ht="50.95" customHeight="1" x14ac:dyDescent="0.15">
      <c r="A939" s="79"/>
      <c r="B939" s="79"/>
      <c r="C939" s="94"/>
      <c r="D939" s="95"/>
      <c r="E939" s="87"/>
      <c r="F939" s="95"/>
      <c r="G939" s="79"/>
      <c r="H939" s="79"/>
      <c r="I939" s="79"/>
      <c r="J939" s="79"/>
      <c r="K939" s="79"/>
      <c r="L939" s="79"/>
      <c r="M939" s="79"/>
      <c r="N939" s="79"/>
      <c r="O939" s="79"/>
      <c r="P939" s="79"/>
      <c r="Q939" s="79"/>
      <c r="R939" s="79"/>
      <c r="S939" s="79"/>
      <c r="T939" s="79"/>
      <c r="U939" s="79"/>
      <c r="V939" s="79"/>
      <c r="W939" s="79"/>
      <c r="X939" s="79"/>
      <c r="Y939" s="79"/>
      <c r="Z939" s="79"/>
    </row>
    <row r="940" spans="1:26" ht="50.95" customHeight="1" x14ac:dyDescent="0.15">
      <c r="A940" s="79"/>
      <c r="B940" s="79"/>
      <c r="C940" s="94"/>
      <c r="D940" s="95"/>
      <c r="E940" s="87"/>
      <c r="F940" s="95"/>
      <c r="G940" s="79"/>
      <c r="H940" s="79"/>
      <c r="I940" s="79"/>
      <c r="J940" s="79"/>
      <c r="K940" s="79"/>
      <c r="L940" s="79"/>
      <c r="M940" s="79"/>
      <c r="N940" s="79"/>
      <c r="O940" s="79"/>
      <c r="P940" s="79"/>
      <c r="Q940" s="79"/>
      <c r="R940" s="79"/>
      <c r="S940" s="79"/>
      <c r="T940" s="79"/>
      <c r="U940" s="79"/>
      <c r="V940" s="79"/>
      <c r="W940" s="79"/>
      <c r="X940" s="79"/>
      <c r="Y940" s="79"/>
      <c r="Z940" s="79"/>
    </row>
    <row r="941" spans="1:26" ht="50.95" customHeight="1" x14ac:dyDescent="0.15">
      <c r="A941" s="79"/>
      <c r="B941" s="79"/>
      <c r="C941" s="94"/>
      <c r="D941" s="95"/>
      <c r="E941" s="87"/>
      <c r="F941" s="95"/>
      <c r="G941" s="79"/>
      <c r="H941" s="79"/>
      <c r="I941" s="79"/>
      <c r="J941" s="79"/>
      <c r="K941" s="79"/>
      <c r="L941" s="79"/>
      <c r="M941" s="79"/>
      <c r="N941" s="79"/>
      <c r="O941" s="79"/>
      <c r="P941" s="79"/>
      <c r="Q941" s="79"/>
      <c r="R941" s="79"/>
      <c r="S941" s="79"/>
      <c r="T941" s="79"/>
      <c r="U941" s="79"/>
      <c r="V941" s="79"/>
      <c r="W941" s="79"/>
      <c r="X941" s="79"/>
      <c r="Y941" s="79"/>
      <c r="Z941" s="79"/>
    </row>
    <row r="942" spans="1:26" ht="50.95" customHeight="1" x14ac:dyDescent="0.15">
      <c r="A942" s="79"/>
      <c r="B942" s="79"/>
      <c r="C942" s="94"/>
      <c r="D942" s="95"/>
      <c r="E942" s="87"/>
      <c r="F942" s="95"/>
      <c r="G942" s="79"/>
      <c r="H942" s="79"/>
      <c r="I942" s="79"/>
      <c r="J942" s="79"/>
      <c r="K942" s="79"/>
      <c r="L942" s="79"/>
      <c r="M942" s="79"/>
      <c r="N942" s="79"/>
      <c r="O942" s="79"/>
      <c r="P942" s="79"/>
      <c r="Q942" s="79"/>
      <c r="R942" s="79"/>
      <c r="S942" s="79"/>
      <c r="T942" s="79"/>
      <c r="U942" s="79"/>
      <c r="V942" s="79"/>
      <c r="W942" s="79"/>
      <c r="X942" s="79"/>
      <c r="Y942" s="79"/>
      <c r="Z942" s="79"/>
    </row>
    <row r="943" spans="1:26" ht="50.95" customHeight="1" x14ac:dyDescent="0.15">
      <c r="A943" s="79"/>
      <c r="B943" s="79"/>
      <c r="C943" s="94"/>
      <c r="D943" s="95"/>
      <c r="E943" s="87"/>
      <c r="F943" s="95"/>
      <c r="G943" s="79"/>
      <c r="H943" s="79"/>
      <c r="I943" s="79"/>
      <c r="J943" s="79"/>
      <c r="K943" s="79"/>
      <c r="L943" s="79"/>
      <c r="M943" s="79"/>
      <c r="N943" s="79"/>
      <c r="O943" s="79"/>
      <c r="P943" s="79"/>
      <c r="Q943" s="79"/>
      <c r="R943" s="79"/>
      <c r="S943" s="79"/>
      <c r="T943" s="79"/>
      <c r="U943" s="79"/>
      <c r="V943" s="79"/>
      <c r="W943" s="79"/>
      <c r="X943" s="79"/>
      <c r="Y943" s="79"/>
      <c r="Z943" s="79"/>
    </row>
    <row r="944" spans="1:26" ht="50.95" customHeight="1" x14ac:dyDescent="0.15">
      <c r="A944" s="79"/>
      <c r="B944" s="79"/>
      <c r="C944" s="94"/>
      <c r="D944" s="95"/>
      <c r="E944" s="87"/>
      <c r="F944" s="95"/>
      <c r="G944" s="79"/>
      <c r="H944" s="79"/>
      <c r="I944" s="79"/>
      <c r="J944" s="79"/>
      <c r="K944" s="79"/>
      <c r="L944" s="79"/>
      <c r="M944" s="79"/>
      <c r="N944" s="79"/>
      <c r="O944" s="79"/>
      <c r="P944" s="79"/>
      <c r="Q944" s="79"/>
      <c r="R944" s="79"/>
      <c r="S944" s="79"/>
      <c r="T944" s="79"/>
      <c r="U944" s="79"/>
      <c r="V944" s="79"/>
      <c r="W944" s="79"/>
      <c r="X944" s="79"/>
      <c r="Y944" s="79"/>
      <c r="Z944" s="79"/>
    </row>
    <row r="945" spans="1:26" ht="50.95" customHeight="1" x14ac:dyDescent="0.15">
      <c r="A945" s="79"/>
      <c r="B945" s="79"/>
      <c r="C945" s="94"/>
      <c r="D945" s="95"/>
      <c r="E945" s="87"/>
      <c r="F945" s="95"/>
      <c r="G945" s="79"/>
      <c r="H945" s="79"/>
      <c r="I945" s="79"/>
      <c r="J945" s="79"/>
      <c r="K945" s="79"/>
      <c r="L945" s="79"/>
      <c r="M945" s="79"/>
      <c r="N945" s="79"/>
      <c r="O945" s="79"/>
      <c r="P945" s="79"/>
      <c r="Q945" s="79"/>
      <c r="R945" s="79"/>
      <c r="S945" s="79"/>
      <c r="T945" s="79"/>
      <c r="U945" s="79"/>
      <c r="V945" s="79"/>
      <c r="W945" s="79"/>
      <c r="X945" s="79"/>
      <c r="Y945" s="79"/>
      <c r="Z945" s="79"/>
    </row>
    <row r="946" spans="1:26" ht="50.95" customHeight="1" x14ac:dyDescent="0.15">
      <c r="A946" s="79"/>
      <c r="B946" s="79"/>
      <c r="C946" s="94"/>
      <c r="D946" s="95"/>
      <c r="E946" s="87"/>
      <c r="F946" s="95"/>
      <c r="G946" s="79"/>
      <c r="H946" s="79"/>
      <c r="I946" s="79"/>
      <c r="J946" s="79"/>
      <c r="K946" s="79"/>
      <c r="L946" s="79"/>
      <c r="M946" s="79"/>
      <c r="N946" s="79"/>
      <c r="O946" s="79"/>
      <c r="P946" s="79"/>
      <c r="Q946" s="79"/>
      <c r="R946" s="79"/>
      <c r="S946" s="79"/>
      <c r="T946" s="79"/>
      <c r="U946" s="79"/>
      <c r="V946" s="79"/>
      <c r="W946" s="79"/>
      <c r="X946" s="79"/>
      <c r="Y946" s="79"/>
      <c r="Z946" s="79"/>
    </row>
    <row r="947" spans="1:26" ht="50.95" customHeight="1" x14ac:dyDescent="0.15">
      <c r="A947" s="79"/>
      <c r="B947" s="79"/>
      <c r="C947" s="94"/>
      <c r="D947" s="95"/>
      <c r="E947" s="87"/>
      <c r="F947" s="95"/>
      <c r="G947" s="79"/>
      <c r="H947" s="79"/>
      <c r="I947" s="79"/>
      <c r="J947" s="79"/>
      <c r="K947" s="79"/>
      <c r="L947" s="79"/>
      <c r="M947" s="79"/>
      <c r="N947" s="79"/>
      <c r="O947" s="79"/>
      <c r="P947" s="79"/>
      <c r="Q947" s="79"/>
      <c r="R947" s="79"/>
      <c r="S947" s="79"/>
      <c r="T947" s="79"/>
      <c r="U947" s="79"/>
      <c r="V947" s="79"/>
      <c r="W947" s="79"/>
      <c r="X947" s="79"/>
      <c r="Y947" s="79"/>
      <c r="Z947" s="79"/>
    </row>
    <row r="948" spans="1:26" ht="50.95" customHeight="1" x14ac:dyDescent="0.15">
      <c r="A948" s="79"/>
      <c r="B948" s="79"/>
      <c r="C948" s="94"/>
      <c r="D948" s="95"/>
      <c r="E948" s="87"/>
      <c r="F948" s="95"/>
      <c r="G948" s="79"/>
      <c r="H948" s="79"/>
      <c r="I948" s="79"/>
      <c r="J948" s="79"/>
      <c r="K948" s="79"/>
      <c r="L948" s="79"/>
      <c r="M948" s="79"/>
      <c r="N948" s="79"/>
      <c r="O948" s="79"/>
      <c r="P948" s="79"/>
      <c r="Q948" s="79"/>
      <c r="R948" s="79"/>
      <c r="S948" s="79"/>
      <c r="T948" s="79"/>
      <c r="U948" s="79"/>
      <c r="V948" s="79"/>
      <c r="W948" s="79"/>
      <c r="X948" s="79"/>
      <c r="Y948" s="79"/>
      <c r="Z948" s="79"/>
    </row>
    <row r="949" spans="1:26" ht="50.95" customHeight="1" x14ac:dyDescent="0.15">
      <c r="A949" s="79"/>
      <c r="B949" s="79"/>
      <c r="C949" s="94"/>
      <c r="D949" s="95"/>
      <c r="E949" s="87"/>
      <c r="F949" s="95"/>
      <c r="G949" s="79"/>
      <c r="H949" s="79"/>
      <c r="I949" s="79"/>
      <c r="J949" s="79"/>
      <c r="K949" s="79"/>
      <c r="L949" s="79"/>
      <c r="M949" s="79"/>
      <c r="N949" s="79"/>
      <c r="O949" s="79"/>
      <c r="P949" s="79"/>
      <c r="Q949" s="79"/>
      <c r="R949" s="79"/>
      <c r="S949" s="79"/>
      <c r="T949" s="79"/>
      <c r="U949" s="79"/>
      <c r="V949" s="79"/>
      <c r="W949" s="79"/>
      <c r="X949" s="79"/>
      <c r="Y949" s="79"/>
      <c r="Z949" s="79"/>
    </row>
    <row r="950" spans="1:26" ht="50.95" customHeight="1" x14ac:dyDescent="0.15">
      <c r="A950" s="79"/>
      <c r="B950" s="79"/>
      <c r="C950" s="94"/>
      <c r="D950" s="95"/>
      <c r="E950" s="87"/>
      <c r="F950" s="95"/>
      <c r="G950" s="79"/>
      <c r="H950" s="79"/>
      <c r="I950" s="79"/>
      <c r="J950" s="79"/>
      <c r="K950" s="79"/>
      <c r="L950" s="79"/>
      <c r="M950" s="79"/>
      <c r="N950" s="79"/>
      <c r="O950" s="79"/>
      <c r="P950" s="79"/>
      <c r="Q950" s="79"/>
      <c r="R950" s="79"/>
      <c r="S950" s="79"/>
      <c r="T950" s="79"/>
      <c r="U950" s="79"/>
      <c r="V950" s="79"/>
      <c r="W950" s="79"/>
      <c r="X950" s="79"/>
      <c r="Y950" s="79"/>
      <c r="Z950" s="79"/>
    </row>
    <row r="951" spans="1:26" ht="50.95" customHeight="1" x14ac:dyDescent="0.15">
      <c r="A951" s="79"/>
      <c r="B951" s="79"/>
      <c r="C951" s="94"/>
      <c r="D951" s="95"/>
      <c r="E951" s="87"/>
      <c r="F951" s="95"/>
      <c r="G951" s="79"/>
      <c r="H951" s="79"/>
      <c r="I951" s="79"/>
      <c r="J951" s="79"/>
      <c r="K951" s="79"/>
      <c r="L951" s="79"/>
      <c r="M951" s="79"/>
      <c r="N951" s="79"/>
      <c r="O951" s="79"/>
      <c r="P951" s="79"/>
      <c r="Q951" s="79"/>
      <c r="R951" s="79"/>
      <c r="S951" s="79"/>
      <c r="T951" s="79"/>
      <c r="U951" s="79"/>
      <c r="V951" s="79"/>
      <c r="W951" s="79"/>
      <c r="X951" s="79"/>
      <c r="Y951" s="79"/>
      <c r="Z951" s="79"/>
    </row>
    <row r="952" spans="1:26" ht="50.95" customHeight="1" x14ac:dyDescent="0.15">
      <c r="A952" s="79"/>
      <c r="B952" s="79"/>
      <c r="C952" s="94"/>
      <c r="D952" s="95"/>
      <c r="E952" s="87"/>
      <c r="F952" s="95"/>
      <c r="G952" s="79"/>
      <c r="H952" s="79"/>
      <c r="I952" s="79"/>
      <c r="J952" s="79"/>
      <c r="K952" s="79"/>
      <c r="L952" s="79"/>
      <c r="M952" s="79"/>
      <c r="N952" s="79"/>
      <c r="O952" s="79"/>
      <c r="P952" s="79"/>
      <c r="Q952" s="79"/>
      <c r="R952" s="79"/>
      <c r="S952" s="79"/>
      <c r="T952" s="79"/>
      <c r="U952" s="79"/>
      <c r="V952" s="79"/>
      <c r="W952" s="79"/>
      <c r="X952" s="79"/>
      <c r="Y952" s="79"/>
      <c r="Z952" s="79"/>
    </row>
    <row r="953" spans="1:26" ht="50.95" customHeight="1" x14ac:dyDescent="0.15">
      <c r="A953" s="79"/>
      <c r="B953" s="79"/>
      <c r="C953" s="94"/>
      <c r="D953" s="95"/>
      <c r="E953" s="87"/>
      <c r="F953" s="95"/>
      <c r="G953" s="79"/>
      <c r="H953" s="79"/>
      <c r="I953" s="79"/>
      <c r="J953" s="79"/>
      <c r="K953" s="79"/>
      <c r="L953" s="79"/>
      <c r="M953" s="79"/>
      <c r="N953" s="79"/>
      <c r="O953" s="79"/>
      <c r="P953" s="79"/>
      <c r="Q953" s="79"/>
      <c r="R953" s="79"/>
      <c r="S953" s="79"/>
      <c r="T953" s="79"/>
      <c r="U953" s="79"/>
      <c r="V953" s="79"/>
      <c r="W953" s="79"/>
      <c r="X953" s="79"/>
      <c r="Y953" s="79"/>
      <c r="Z953" s="79"/>
    </row>
    <row r="954" spans="1:26" ht="50.95" customHeight="1" x14ac:dyDescent="0.15">
      <c r="A954" s="79"/>
      <c r="B954" s="79"/>
      <c r="C954" s="94"/>
      <c r="D954" s="95"/>
      <c r="E954" s="87"/>
      <c r="F954" s="95"/>
      <c r="G954" s="79"/>
      <c r="H954" s="79"/>
      <c r="I954" s="79"/>
      <c r="J954" s="79"/>
      <c r="K954" s="79"/>
      <c r="L954" s="79"/>
      <c r="M954" s="79"/>
      <c r="N954" s="79"/>
      <c r="O954" s="79"/>
      <c r="P954" s="79"/>
      <c r="Q954" s="79"/>
      <c r="R954" s="79"/>
      <c r="S954" s="79"/>
      <c r="T954" s="79"/>
      <c r="U954" s="79"/>
      <c r="V954" s="79"/>
      <c r="W954" s="79"/>
      <c r="X954" s="79"/>
      <c r="Y954" s="79"/>
      <c r="Z954" s="79"/>
    </row>
    <row r="955" spans="1:26" ht="50.95" customHeight="1" x14ac:dyDescent="0.15">
      <c r="A955" s="79"/>
      <c r="B955" s="79"/>
      <c r="C955" s="94"/>
      <c r="D955" s="95"/>
      <c r="E955" s="87"/>
      <c r="F955" s="95"/>
      <c r="G955" s="79"/>
      <c r="H955" s="79"/>
      <c r="I955" s="79"/>
      <c r="J955" s="79"/>
      <c r="K955" s="79"/>
      <c r="L955" s="79"/>
      <c r="M955" s="79"/>
      <c r="N955" s="79"/>
      <c r="O955" s="79"/>
      <c r="P955" s="79"/>
      <c r="Q955" s="79"/>
      <c r="R955" s="79"/>
      <c r="S955" s="79"/>
      <c r="T955" s="79"/>
      <c r="U955" s="79"/>
      <c r="V955" s="79"/>
      <c r="W955" s="79"/>
      <c r="X955" s="79"/>
      <c r="Y955" s="79"/>
      <c r="Z955" s="79"/>
    </row>
    <row r="956" spans="1:26" ht="50.95" customHeight="1" x14ac:dyDescent="0.15">
      <c r="A956" s="79"/>
      <c r="B956" s="79"/>
      <c r="C956" s="94"/>
      <c r="D956" s="95"/>
      <c r="E956" s="87"/>
      <c r="F956" s="95"/>
      <c r="G956" s="79"/>
      <c r="H956" s="79"/>
      <c r="I956" s="79"/>
      <c r="J956" s="79"/>
      <c r="K956" s="79"/>
      <c r="L956" s="79"/>
      <c r="M956" s="79"/>
      <c r="N956" s="79"/>
      <c r="O956" s="79"/>
      <c r="P956" s="79"/>
      <c r="Q956" s="79"/>
      <c r="R956" s="79"/>
      <c r="S956" s="79"/>
      <c r="T956" s="79"/>
      <c r="U956" s="79"/>
      <c r="V956" s="79"/>
      <c r="W956" s="79"/>
      <c r="X956" s="79"/>
      <c r="Y956" s="79"/>
      <c r="Z956" s="79"/>
    </row>
    <row r="957" spans="1:26" ht="50.95" customHeight="1" x14ac:dyDescent="0.15">
      <c r="A957" s="79"/>
      <c r="B957" s="79"/>
      <c r="C957" s="94"/>
      <c r="D957" s="95"/>
      <c r="E957" s="87"/>
      <c r="F957" s="95"/>
      <c r="G957" s="79"/>
      <c r="H957" s="79"/>
      <c r="I957" s="79"/>
      <c r="J957" s="79"/>
      <c r="K957" s="79"/>
      <c r="L957" s="79"/>
      <c r="M957" s="79"/>
      <c r="N957" s="79"/>
      <c r="O957" s="79"/>
      <c r="P957" s="79"/>
      <c r="Q957" s="79"/>
      <c r="R957" s="79"/>
      <c r="S957" s="79"/>
      <c r="T957" s="79"/>
      <c r="U957" s="79"/>
      <c r="V957" s="79"/>
      <c r="W957" s="79"/>
      <c r="X957" s="79"/>
      <c r="Y957" s="79"/>
      <c r="Z957" s="79"/>
    </row>
    <row r="958" spans="1:26" ht="50.95" customHeight="1" x14ac:dyDescent="0.15">
      <c r="A958" s="79"/>
      <c r="B958" s="79"/>
      <c r="C958" s="94"/>
      <c r="D958" s="95"/>
      <c r="E958" s="87"/>
      <c r="F958" s="95"/>
      <c r="G958" s="79"/>
      <c r="H958" s="79"/>
      <c r="I958" s="79"/>
      <c r="J958" s="79"/>
      <c r="K958" s="79"/>
      <c r="L958" s="79"/>
      <c r="M958" s="79"/>
      <c r="N958" s="79"/>
      <c r="O958" s="79"/>
      <c r="P958" s="79"/>
      <c r="Q958" s="79"/>
      <c r="R958" s="79"/>
      <c r="S958" s="79"/>
      <c r="T958" s="79"/>
      <c r="U958" s="79"/>
      <c r="V958" s="79"/>
      <c r="W958" s="79"/>
      <c r="X958" s="79"/>
      <c r="Y958" s="79"/>
      <c r="Z958" s="79"/>
    </row>
    <row r="959" spans="1:26" ht="50.95" customHeight="1" x14ac:dyDescent="0.15">
      <c r="A959" s="79"/>
      <c r="B959" s="79"/>
      <c r="C959" s="94"/>
      <c r="D959" s="95"/>
      <c r="E959" s="87"/>
      <c r="F959" s="95"/>
      <c r="G959" s="79"/>
      <c r="H959" s="79"/>
      <c r="I959" s="79"/>
      <c r="J959" s="79"/>
      <c r="K959" s="79"/>
      <c r="L959" s="79"/>
      <c r="M959" s="79"/>
      <c r="N959" s="79"/>
      <c r="O959" s="79"/>
      <c r="P959" s="79"/>
      <c r="Q959" s="79"/>
      <c r="R959" s="79"/>
      <c r="S959" s="79"/>
      <c r="T959" s="79"/>
      <c r="U959" s="79"/>
      <c r="V959" s="79"/>
      <c r="W959" s="79"/>
      <c r="X959" s="79"/>
      <c r="Y959" s="79"/>
      <c r="Z959" s="79"/>
    </row>
    <row r="960" spans="1:26" ht="50.95" customHeight="1" x14ac:dyDescent="0.15">
      <c r="A960" s="79"/>
      <c r="B960" s="79"/>
      <c r="C960" s="94"/>
      <c r="D960" s="95"/>
      <c r="E960" s="87"/>
      <c r="F960" s="95"/>
      <c r="G960" s="79"/>
      <c r="H960" s="79"/>
      <c r="I960" s="79"/>
      <c r="J960" s="79"/>
      <c r="K960" s="79"/>
      <c r="L960" s="79"/>
      <c r="M960" s="79"/>
      <c r="N960" s="79"/>
      <c r="O960" s="79"/>
      <c r="P960" s="79"/>
      <c r="Q960" s="79"/>
      <c r="R960" s="79"/>
      <c r="S960" s="79"/>
      <c r="T960" s="79"/>
      <c r="U960" s="79"/>
      <c r="V960" s="79"/>
      <c r="W960" s="79"/>
      <c r="X960" s="79"/>
      <c r="Y960" s="79"/>
      <c r="Z960" s="79"/>
    </row>
    <row r="961" spans="1:26" ht="50.95" customHeight="1" x14ac:dyDescent="0.15">
      <c r="A961" s="79"/>
      <c r="B961" s="79"/>
      <c r="C961" s="94"/>
      <c r="D961" s="95"/>
      <c r="E961" s="87"/>
      <c r="F961" s="95"/>
      <c r="G961" s="79"/>
      <c r="H961" s="79"/>
      <c r="I961" s="79"/>
      <c r="J961" s="79"/>
      <c r="K961" s="79"/>
      <c r="L961" s="79"/>
      <c r="M961" s="79"/>
      <c r="N961" s="79"/>
      <c r="O961" s="79"/>
      <c r="P961" s="79"/>
      <c r="Q961" s="79"/>
      <c r="R961" s="79"/>
      <c r="S961" s="79"/>
      <c r="T961" s="79"/>
      <c r="U961" s="79"/>
      <c r="V961" s="79"/>
      <c r="W961" s="79"/>
      <c r="X961" s="79"/>
      <c r="Y961" s="79"/>
      <c r="Z961" s="79"/>
    </row>
    <row r="962" spans="1:26" ht="50.95" customHeight="1" x14ac:dyDescent="0.15">
      <c r="A962" s="79"/>
      <c r="B962" s="79"/>
      <c r="C962" s="94"/>
      <c r="D962" s="95"/>
      <c r="E962" s="87"/>
      <c r="F962" s="95"/>
      <c r="G962" s="79"/>
      <c r="H962" s="79"/>
      <c r="I962" s="79"/>
      <c r="J962" s="79"/>
      <c r="K962" s="79"/>
      <c r="L962" s="79"/>
      <c r="M962" s="79"/>
      <c r="N962" s="79"/>
      <c r="O962" s="79"/>
      <c r="P962" s="79"/>
      <c r="Q962" s="79"/>
      <c r="R962" s="79"/>
      <c r="S962" s="79"/>
      <c r="T962" s="79"/>
      <c r="U962" s="79"/>
      <c r="V962" s="79"/>
      <c r="W962" s="79"/>
      <c r="X962" s="79"/>
      <c r="Y962" s="79"/>
      <c r="Z962" s="79"/>
    </row>
    <row r="963" spans="1:26" ht="50.95" customHeight="1" x14ac:dyDescent="0.15">
      <c r="A963" s="79"/>
      <c r="B963" s="79"/>
      <c r="C963" s="94"/>
      <c r="D963" s="95"/>
      <c r="E963" s="87"/>
      <c r="F963" s="95"/>
      <c r="G963" s="79"/>
      <c r="H963" s="79"/>
      <c r="I963" s="79"/>
      <c r="J963" s="79"/>
      <c r="K963" s="79"/>
      <c r="L963" s="79"/>
      <c r="M963" s="79"/>
      <c r="N963" s="79"/>
      <c r="O963" s="79"/>
      <c r="P963" s="79"/>
      <c r="Q963" s="79"/>
      <c r="R963" s="79"/>
      <c r="S963" s="79"/>
      <c r="T963" s="79"/>
      <c r="U963" s="79"/>
      <c r="V963" s="79"/>
      <c r="W963" s="79"/>
      <c r="X963" s="79"/>
      <c r="Y963" s="79"/>
      <c r="Z963" s="79"/>
    </row>
    <row r="964" spans="1:26" ht="50.95" customHeight="1" x14ac:dyDescent="0.15">
      <c r="A964" s="79"/>
      <c r="B964" s="79"/>
      <c r="C964" s="94"/>
      <c r="D964" s="95"/>
      <c r="E964" s="87"/>
      <c r="F964" s="95"/>
      <c r="G964" s="79"/>
      <c r="H964" s="79"/>
      <c r="I964" s="79"/>
      <c r="J964" s="79"/>
      <c r="K964" s="79"/>
      <c r="L964" s="79"/>
      <c r="M964" s="79"/>
      <c r="N964" s="79"/>
      <c r="O964" s="79"/>
      <c r="P964" s="79"/>
      <c r="Q964" s="79"/>
      <c r="R964" s="79"/>
      <c r="S964" s="79"/>
      <c r="T964" s="79"/>
      <c r="U964" s="79"/>
      <c r="V964" s="79"/>
      <c r="W964" s="79"/>
      <c r="X964" s="79"/>
      <c r="Y964" s="79"/>
      <c r="Z964" s="79"/>
    </row>
    <row r="965" spans="1:26" ht="50.95" customHeight="1" x14ac:dyDescent="0.15">
      <c r="A965" s="79"/>
      <c r="B965" s="79"/>
      <c r="C965" s="94"/>
      <c r="D965" s="95"/>
      <c r="E965" s="87"/>
      <c r="F965" s="95"/>
      <c r="G965" s="79"/>
      <c r="H965" s="79"/>
      <c r="I965" s="79"/>
      <c r="J965" s="79"/>
      <c r="K965" s="79"/>
      <c r="L965" s="79"/>
      <c r="M965" s="79"/>
      <c r="N965" s="79"/>
      <c r="O965" s="79"/>
      <c r="P965" s="79"/>
      <c r="Q965" s="79"/>
      <c r="R965" s="79"/>
      <c r="S965" s="79"/>
      <c r="T965" s="79"/>
      <c r="U965" s="79"/>
      <c r="V965" s="79"/>
      <c r="W965" s="79"/>
      <c r="X965" s="79"/>
      <c r="Y965" s="79"/>
      <c r="Z965" s="79"/>
    </row>
    <row r="966" spans="1:26" ht="50.95" customHeight="1" x14ac:dyDescent="0.15">
      <c r="A966" s="79"/>
      <c r="B966" s="79"/>
      <c r="C966" s="94"/>
      <c r="D966" s="95"/>
      <c r="E966" s="87"/>
      <c r="F966" s="95"/>
      <c r="G966" s="79"/>
      <c r="H966" s="79"/>
      <c r="I966" s="79"/>
      <c r="J966" s="79"/>
      <c r="K966" s="79"/>
      <c r="L966" s="79"/>
      <c r="M966" s="79"/>
      <c r="N966" s="79"/>
      <c r="O966" s="79"/>
      <c r="P966" s="79"/>
      <c r="Q966" s="79"/>
      <c r="R966" s="79"/>
      <c r="S966" s="79"/>
      <c r="T966" s="79"/>
      <c r="U966" s="79"/>
      <c r="V966" s="79"/>
      <c r="W966" s="79"/>
      <c r="X966" s="79"/>
      <c r="Y966" s="79"/>
      <c r="Z966" s="79"/>
    </row>
    <row r="967" spans="1:26" ht="50.95" customHeight="1" x14ac:dyDescent="0.15">
      <c r="A967" s="79"/>
      <c r="B967" s="79"/>
      <c r="C967" s="94"/>
      <c r="D967" s="95"/>
      <c r="E967" s="87"/>
      <c r="F967" s="95"/>
      <c r="G967" s="79"/>
      <c r="H967" s="79"/>
      <c r="I967" s="79"/>
      <c r="J967" s="79"/>
      <c r="K967" s="79"/>
      <c r="L967" s="79"/>
      <c r="M967" s="79"/>
      <c r="N967" s="79"/>
      <c r="O967" s="79"/>
      <c r="P967" s="79"/>
      <c r="Q967" s="79"/>
      <c r="R967" s="79"/>
      <c r="S967" s="79"/>
      <c r="T967" s="79"/>
      <c r="U967" s="79"/>
      <c r="V967" s="79"/>
      <c r="W967" s="79"/>
      <c r="X967" s="79"/>
      <c r="Y967" s="79"/>
      <c r="Z967" s="79"/>
    </row>
    <row r="968" spans="1:26" ht="50.95" customHeight="1" x14ac:dyDescent="0.15">
      <c r="A968" s="79"/>
      <c r="B968" s="79"/>
      <c r="C968" s="94"/>
      <c r="D968" s="95"/>
      <c r="E968" s="87"/>
      <c r="F968" s="95"/>
      <c r="G968" s="79"/>
      <c r="H968" s="79"/>
      <c r="I968" s="79"/>
      <c r="J968" s="79"/>
      <c r="K968" s="79"/>
      <c r="L968" s="79"/>
      <c r="M968" s="79"/>
      <c r="N968" s="79"/>
      <c r="O968" s="79"/>
      <c r="P968" s="79"/>
      <c r="Q968" s="79"/>
      <c r="R968" s="79"/>
      <c r="S968" s="79"/>
      <c r="T968" s="79"/>
      <c r="U968" s="79"/>
      <c r="V968" s="79"/>
      <c r="W968" s="79"/>
      <c r="X968" s="79"/>
      <c r="Y968" s="79"/>
      <c r="Z968" s="79"/>
    </row>
    <row r="969" spans="1:26" ht="50.95" customHeight="1" x14ac:dyDescent="0.15">
      <c r="A969" s="79"/>
      <c r="B969" s="79"/>
      <c r="C969" s="94"/>
      <c r="D969" s="95"/>
      <c r="E969" s="87"/>
      <c r="F969" s="95"/>
      <c r="G969" s="79"/>
      <c r="H969" s="79"/>
      <c r="I969" s="79"/>
      <c r="J969" s="79"/>
      <c r="K969" s="79"/>
      <c r="L969" s="79"/>
      <c r="M969" s="79"/>
      <c r="N969" s="79"/>
      <c r="O969" s="79"/>
      <c r="P969" s="79"/>
      <c r="Q969" s="79"/>
      <c r="R969" s="79"/>
      <c r="S969" s="79"/>
      <c r="T969" s="79"/>
      <c r="U969" s="79"/>
      <c r="V969" s="79"/>
      <c r="W969" s="79"/>
      <c r="X969" s="79"/>
      <c r="Y969" s="79"/>
      <c r="Z969" s="79"/>
    </row>
    <row r="970" spans="1:26" ht="50.95" customHeight="1" x14ac:dyDescent="0.15">
      <c r="A970" s="79"/>
      <c r="B970" s="79"/>
      <c r="C970" s="94"/>
      <c r="D970" s="95"/>
      <c r="E970" s="87"/>
      <c r="F970" s="95"/>
      <c r="G970" s="79"/>
      <c r="H970" s="79"/>
      <c r="I970" s="79"/>
      <c r="J970" s="79"/>
      <c r="K970" s="79"/>
      <c r="L970" s="79"/>
      <c r="M970" s="79"/>
      <c r="N970" s="79"/>
      <c r="O970" s="79"/>
      <c r="P970" s="79"/>
      <c r="Q970" s="79"/>
      <c r="R970" s="79"/>
      <c r="S970" s="79"/>
      <c r="T970" s="79"/>
      <c r="U970" s="79"/>
      <c r="V970" s="79"/>
      <c r="W970" s="79"/>
      <c r="X970" s="79"/>
      <c r="Y970" s="79"/>
      <c r="Z970" s="79"/>
    </row>
    <row r="971" spans="1:26" ht="50.95" customHeight="1" x14ac:dyDescent="0.15">
      <c r="A971" s="79"/>
      <c r="B971" s="79"/>
      <c r="C971" s="94"/>
      <c r="D971" s="95"/>
      <c r="E971" s="87"/>
      <c r="F971" s="95"/>
      <c r="G971" s="79"/>
      <c r="H971" s="79"/>
      <c r="I971" s="79"/>
      <c r="J971" s="79"/>
      <c r="K971" s="79"/>
      <c r="L971" s="79"/>
      <c r="M971" s="79"/>
      <c r="N971" s="79"/>
      <c r="O971" s="79"/>
      <c r="P971" s="79"/>
      <c r="Q971" s="79"/>
      <c r="R971" s="79"/>
      <c r="S971" s="79"/>
      <c r="T971" s="79"/>
      <c r="U971" s="79"/>
      <c r="V971" s="79"/>
      <c r="W971" s="79"/>
      <c r="X971" s="79"/>
      <c r="Y971" s="79"/>
      <c r="Z971" s="79"/>
    </row>
    <row r="972" spans="1:26" ht="50.95" customHeight="1" x14ac:dyDescent="0.15">
      <c r="A972" s="79"/>
      <c r="B972" s="79"/>
      <c r="C972" s="94"/>
      <c r="D972" s="95"/>
      <c r="E972" s="87"/>
      <c r="F972" s="95"/>
      <c r="G972" s="79"/>
      <c r="H972" s="79"/>
      <c r="I972" s="79"/>
      <c r="J972" s="79"/>
      <c r="K972" s="79"/>
      <c r="L972" s="79"/>
      <c r="M972" s="79"/>
      <c r="N972" s="79"/>
      <c r="O972" s="79"/>
      <c r="P972" s="79"/>
      <c r="Q972" s="79"/>
      <c r="R972" s="79"/>
      <c r="S972" s="79"/>
      <c r="T972" s="79"/>
      <c r="U972" s="79"/>
      <c r="V972" s="79"/>
      <c r="W972" s="79"/>
      <c r="X972" s="79"/>
      <c r="Y972" s="79"/>
      <c r="Z972" s="79"/>
    </row>
    <row r="973" spans="1:26" ht="50.95" customHeight="1" x14ac:dyDescent="0.15">
      <c r="A973" s="79"/>
      <c r="B973" s="79"/>
      <c r="C973" s="94"/>
      <c r="D973" s="95"/>
      <c r="E973" s="87"/>
      <c r="F973" s="95"/>
      <c r="G973" s="79"/>
      <c r="H973" s="79"/>
      <c r="I973" s="79"/>
      <c r="J973" s="79"/>
      <c r="K973" s="79"/>
      <c r="L973" s="79"/>
      <c r="M973" s="79"/>
      <c r="N973" s="79"/>
      <c r="O973" s="79"/>
      <c r="P973" s="79"/>
      <c r="Q973" s="79"/>
      <c r="R973" s="79"/>
      <c r="S973" s="79"/>
      <c r="T973" s="79"/>
      <c r="U973" s="79"/>
      <c r="V973" s="79"/>
      <c r="W973" s="79"/>
      <c r="X973" s="79"/>
      <c r="Y973" s="79"/>
      <c r="Z973" s="79"/>
    </row>
    <row r="974" spans="1:26" ht="50.95" customHeight="1" x14ac:dyDescent="0.15">
      <c r="A974" s="79"/>
      <c r="B974" s="79"/>
      <c r="C974" s="94"/>
      <c r="D974" s="95"/>
      <c r="E974" s="87"/>
      <c r="F974" s="95"/>
      <c r="G974" s="79"/>
      <c r="H974" s="79"/>
      <c r="I974" s="79"/>
      <c r="J974" s="79"/>
      <c r="K974" s="79"/>
      <c r="L974" s="79"/>
      <c r="M974" s="79"/>
      <c r="N974" s="79"/>
      <c r="O974" s="79"/>
      <c r="P974" s="79"/>
      <c r="Q974" s="79"/>
      <c r="R974" s="79"/>
      <c r="S974" s="79"/>
      <c r="T974" s="79"/>
      <c r="U974" s="79"/>
      <c r="V974" s="79"/>
      <c r="W974" s="79"/>
      <c r="X974" s="79"/>
      <c r="Y974" s="79"/>
      <c r="Z974" s="79"/>
    </row>
    <row r="975" spans="1:26" ht="50.95" customHeight="1" x14ac:dyDescent="0.15">
      <c r="A975" s="79"/>
      <c r="B975" s="79"/>
      <c r="C975" s="94"/>
      <c r="D975" s="95"/>
      <c r="E975" s="87"/>
      <c r="F975" s="95"/>
      <c r="G975" s="79"/>
      <c r="H975" s="79"/>
      <c r="I975" s="79"/>
      <c r="J975" s="79"/>
      <c r="K975" s="79"/>
      <c r="L975" s="79"/>
      <c r="M975" s="79"/>
      <c r="N975" s="79"/>
      <c r="O975" s="79"/>
      <c r="P975" s="79"/>
      <c r="Q975" s="79"/>
      <c r="R975" s="79"/>
      <c r="S975" s="79"/>
      <c r="T975" s="79"/>
      <c r="U975" s="79"/>
      <c r="V975" s="79"/>
      <c r="W975" s="79"/>
      <c r="X975" s="79"/>
      <c r="Y975" s="79"/>
      <c r="Z975" s="79"/>
    </row>
    <row r="976" spans="1:26" ht="50.95" customHeight="1" x14ac:dyDescent="0.15">
      <c r="A976" s="79"/>
      <c r="B976" s="79"/>
      <c r="C976" s="94"/>
      <c r="D976" s="95"/>
      <c r="E976" s="87"/>
      <c r="F976" s="95"/>
      <c r="G976" s="79"/>
      <c r="H976" s="79"/>
      <c r="I976" s="79"/>
      <c r="J976" s="79"/>
      <c r="K976" s="79"/>
      <c r="L976" s="79"/>
      <c r="M976" s="79"/>
      <c r="N976" s="79"/>
      <c r="O976" s="79"/>
      <c r="P976" s="79"/>
      <c r="Q976" s="79"/>
      <c r="R976" s="79"/>
      <c r="S976" s="79"/>
      <c r="T976" s="79"/>
      <c r="U976" s="79"/>
      <c r="V976" s="79"/>
      <c r="W976" s="79"/>
      <c r="X976" s="79"/>
      <c r="Y976" s="79"/>
      <c r="Z976" s="79"/>
    </row>
    <row r="977" spans="1:26" ht="50.95" customHeight="1" x14ac:dyDescent="0.15">
      <c r="A977" s="79"/>
      <c r="B977" s="79"/>
      <c r="C977" s="94"/>
      <c r="D977" s="95"/>
      <c r="E977" s="87"/>
      <c r="F977" s="95"/>
      <c r="G977" s="79"/>
      <c r="H977" s="79"/>
      <c r="I977" s="79"/>
      <c r="J977" s="79"/>
      <c r="K977" s="79"/>
      <c r="L977" s="79"/>
      <c r="M977" s="79"/>
      <c r="N977" s="79"/>
      <c r="O977" s="79"/>
      <c r="P977" s="79"/>
      <c r="Q977" s="79"/>
      <c r="R977" s="79"/>
      <c r="S977" s="79"/>
      <c r="T977" s="79"/>
      <c r="U977" s="79"/>
      <c r="V977" s="79"/>
      <c r="W977" s="79"/>
      <c r="X977" s="79"/>
      <c r="Y977" s="79"/>
      <c r="Z977" s="79"/>
    </row>
    <row r="978" spans="1:26" ht="50.95" customHeight="1" x14ac:dyDescent="0.15">
      <c r="A978" s="79"/>
      <c r="B978" s="79"/>
      <c r="C978" s="94"/>
      <c r="D978" s="95"/>
      <c r="E978" s="87"/>
      <c r="F978" s="95"/>
      <c r="G978" s="79"/>
      <c r="H978" s="79"/>
      <c r="I978" s="79"/>
      <c r="J978" s="79"/>
      <c r="K978" s="79"/>
      <c r="L978" s="79"/>
      <c r="M978" s="79"/>
      <c r="N978" s="79"/>
      <c r="O978" s="79"/>
      <c r="P978" s="79"/>
      <c r="Q978" s="79"/>
      <c r="R978" s="79"/>
      <c r="S978" s="79"/>
      <c r="T978" s="79"/>
      <c r="U978" s="79"/>
      <c r="V978" s="79"/>
      <c r="W978" s="79"/>
      <c r="X978" s="79"/>
      <c r="Y978" s="79"/>
      <c r="Z978" s="79"/>
    </row>
    <row r="979" spans="1:26" ht="50.95" customHeight="1" x14ac:dyDescent="0.15">
      <c r="A979" s="79"/>
      <c r="B979" s="79"/>
      <c r="C979" s="94"/>
      <c r="D979" s="95"/>
      <c r="E979" s="87"/>
      <c r="F979" s="95"/>
      <c r="G979" s="79"/>
      <c r="H979" s="79"/>
      <c r="I979" s="79"/>
      <c r="J979" s="79"/>
      <c r="K979" s="79"/>
      <c r="L979" s="79"/>
      <c r="M979" s="79"/>
      <c r="N979" s="79"/>
      <c r="O979" s="79"/>
      <c r="P979" s="79"/>
      <c r="Q979" s="79"/>
      <c r="R979" s="79"/>
      <c r="S979" s="79"/>
      <c r="T979" s="79"/>
      <c r="U979" s="79"/>
      <c r="V979" s="79"/>
      <c r="W979" s="79"/>
      <c r="X979" s="79"/>
      <c r="Y979" s="79"/>
      <c r="Z979" s="79"/>
    </row>
    <row r="980" spans="1:26" ht="50.95" customHeight="1" x14ac:dyDescent="0.15">
      <c r="A980" s="79"/>
      <c r="B980" s="79"/>
      <c r="C980" s="94"/>
      <c r="D980" s="95"/>
      <c r="E980" s="87"/>
      <c r="F980" s="95"/>
      <c r="G980" s="79"/>
      <c r="H980" s="79"/>
      <c r="I980" s="79"/>
      <c r="J980" s="79"/>
      <c r="K980" s="79"/>
      <c r="L980" s="79"/>
      <c r="M980" s="79"/>
      <c r="N980" s="79"/>
      <c r="O980" s="79"/>
      <c r="P980" s="79"/>
      <c r="Q980" s="79"/>
      <c r="R980" s="79"/>
      <c r="S980" s="79"/>
      <c r="T980" s="79"/>
      <c r="U980" s="79"/>
      <c r="V980" s="79"/>
      <c r="W980" s="79"/>
      <c r="X980" s="79"/>
      <c r="Y980" s="79"/>
      <c r="Z980" s="79"/>
    </row>
    <row r="981" spans="1:26" ht="50.95" customHeight="1" x14ac:dyDescent="0.15">
      <c r="A981" s="79"/>
      <c r="B981" s="79"/>
      <c r="C981" s="94"/>
      <c r="D981" s="95"/>
      <c r="E981" s="87"/>
      <c r="F981" s="95"/>
      <c r="G981" s="79"/>
      <c r="H981" s="79"/>
      <c r="I981" s="79"/>
      <c r="J981" s="79"/>
      <c r="K981" s="79"/>
      <c r="L981" s="79"/>
      <c r="M981" s="79"/>
      <c r="N981" s="79"/>
      <c r="O981" s="79"/>
      <c r="P981" s="79"/>
      <c r="Q981" s="79"/>
      <c r="R981" s="79"/>
      <c r="S981" s="79"/>
      <c r="T981" s="79"/>
      <c r="U981" s="79"/>
      <c r="V981" s="79"/>
      <c r="W981" s="79"/>
      <c r="X981" s="79"/>
      <c r="Y981" s="79"/>
      <c r="Z981" s="79"/>
    </row>
    <row r="982" spans="1:26" ht="50.95" customHeight="1" x14ac:dyDescent="0.15">
      <c r="A982" s="79"/>
      <c r="B982" s="79"/>
      <c r="C982" s="94"/>
      <c r="D982" s="95"/>
      <c r="E982" s="87"/>
      <c r="F982" s="95"/>
      <c r="G982" s="79"/>
      <c r="H982" s="79"/>
      <c r="I982" s="79"/>
      <c r="J982" s="79"/>
      <c r="K982" s="79"/>
      <c r="L982" s="79"/>
      <c r="M982" s="79"/>
      <c r="N982" s="79"/>
      <c r="O982" s="79"/>
      <c r="P982" s="79"/>
      <c r="Q982" s="79"/>
      <c r="R982" s="79"/>
      <c r="S982" s="79"/>
      <c r="T982" s="79"/>
      <c r="U982" s="79"/>
      <c r="V982" s="79"/>
      <c r="W982" s="79"/>
      <c r="X982" s="79"/>
      <c r="Y982" s="79"/>
      <c r="Z982" s="79"/>
    </row>
    <row r="983" spans="1:26" ht="50.95" customHeight="1" x14ac:dyDescent="0.15">
      <c r="A983" s="79"/>
      <c r="B983" s="79"/>
      <c r="C983" s="94"/>
      <c r="D983" s="95"/>
      <c r="E983" s="87"/>
      <c r="F983" s="95"/>
      <c r="G983" s="79"/>
      <c r="H983" s="79"/>
      <c r="I983" s="79"/>
      <c r="J983" s="79"/>
      <c r="K983" s="79"/>
      <c r="L983" s="79"/>
      <c r="M983" s="79"/>
      <c r="N983" s="79"/>
      <c r="O983" s="79"/>
      <c r="P983" s="79"/>
      <c r="Q983" s="79"/>
      <c r="R983" s="79"/>
      <c r="S983" s="79"/>
      <c r="T983" s="79"/>
      <c r="U983" s="79"/>
      <c r="V983" s="79"/>
      <c r="W983" s="79"/>
      <c r="X983" s="79"/>
      <c r="Y983" s="79"/>
      <c r="Z983" s="79"/>
    </row>
    <row r="984" spans="1:26" ht="50.95" customHeight="1" x14ac:dyDescent="0.15">
      <c r="A984" s="79"/>
      <c r="B984" s="79"/>
      <c r="C984" s="94"/>
      <c r="D984" s="95"/>
      <c r="E984" s="87"/>
      <c r="F984" s="95"/>
      <c r="G984" s="79"/>
      <c r="H984" s="79"/>
      <c r="I984" s="79"/>
      <c r="J984" s="79"/>
      <c r="K984" s="79"/>
      <c r="L984" s="79"/>
      <c r="M984" s="79"/>
      <c r="N984" s="79"/>
      <c r="O984" s="79"/>
      <c r="P984" s="79"/>
      <c r="Q984" s="79"/>
      <c r="R984" s="79"/>
      <c r="S984" s="79"/>
      <c r="T984" s="79"/>
      <c r="U984" s="79"/>
      <c r="V984" s="79"/>
      <c r="W984" s="79"/>
      <c r="X984" s="79"/>
      <c r="Y984" s="79"/>
      <c r="Z984" s="79"/>
    </row>
    <row r="985" spans="1:26" ht="50.95" customHeight="1" x14ac:dyDescent="0.15">
      <c r="A985" s="79"/>
      <c r="B985" s="79"/>
      <c r="C985" s="94"/>
      <c r="D985" s="95"/>
      <c r="E985" s="87"/>
      <c r="F985" s="95"/>
      <c r="G985" s="79"/>
      <c r="H985" s="79"/>
      <c r="I985" s="79"/>
      <c r="J985" s="79"/>
      <c r="K985" s="79"/>
      <c r="L985" s="79"/>
      <c r="M985" s="79"/>
      <c r="N985" s="79"/>
      <c r="O985" s="79"/>
      <c r="P985" s="79"/>
      <c r="Q985" s="79"/>
      <c r="R985" s="79"/>
      <c r="S985" s="79"/>
      <c r="T985" s="79"/>
      <c r="U985" s="79"/>
      <c r="V985" s="79"/>
      <c r="W985" s="79"/>
      <c r="X985" s="79"/>
      <c r="Y985" s="79"/>
      <c r="Z985" s="79"/>
    </row>
    <row r="986" spans="1:26" ht="50.95" customHeight="1" x14ac:dyDescent="0.15">
      <c r="A986" s="79"/>
      <c r="B986" s="79"/>
      <c r="C986" s="94"/>
      <c r="D986" s="95"/>
      <c r="E986" s="87"/>
      <c r="F986" s="95"/>
      <c r="G986" s="79"/>
      <c r="H986" s="79"/>
      <c r="I986" s="79"/>
      <c r="J986" s="79"/>
      <c r="K986" s="79"/>
      <c r="L986" s="79"/>
      <c r="M986" s="79"/>
      <c r="N986" s="79"/>
      <c r="O986" s="79"/>
      <c r="P986" s="79"/>
      <c r="Q986" s="79"/>
      <c r="R986" s="79"/>
      <c r="S986" s="79"/>
      <c r="T986" s="79"/>
      <c r="U986" s="79"/>
      <c r="V986" s="79"/>
      <c r="W986" s="79"/>
      <c r="X986" s="79"/>
      <c r="Y986" s="79"/>
      <c r="Z986" s="79"/>
    </row>
    <row r="987" spans="1:26" ht="50.95" customHeight="1" x14ac:dyDescent="0.15">
      <c r="A987" s="79"/>
      <c r="B987" s="79"/>
      <c r="C987" s="94"/>
      <c r="D987" s="95"/>
      <c r="E987" s="87"/>
      <c r="F987" s="95"/>
      <c r="G987" s="79"/>
      <c r="H987" s="79"/>
      <c r="I987" s="79"/>
      <c r="J987" s="79"/>
      <c r="K987" s="79"/>
      <c r="L987" s="79"/>
      <c r="M987" s="79"/>
      <c r="N987" s="79"/>
      <c r="O987" s="79"/>
      <c r="P987" s="79"/>
      <c r="Q987" s="79"/>
      <c r="R987" s="79"/>
      <c r="S987" s="79"/>
      <c r="T987" s="79"/>
      <c r="U987" s="79"/>
      <c r="V987" s="79"/>
      <c r="W987" s="79"/>
      <c r="X987" s="79"/>
      <c r="Y987" s="79"/>
      <c r="Z987" s="79"/>
    </row>
    <row r="988" spans="1:26" ht="50.95" customHeight="1" x14ac:dyDescent="0.15">
      <c r="A988" s="79"/>
      <c r="B988" s="79"/>
      <c r="C988" s="94"/>
      <c r="D988" s="95"/>
      <c r="E988" s="87"/>
      <c r="F988" s="95"/>
      <c r="G988" s="79"/>
      <c r="H988" s="79"/>
      <c r="I988" s="79"/>
      <c r="J988" s="79"/>
      <c r="K988" s="79"/>
      <c r="L988" s="79"/>
      <c r="M988" s="79"/>
      <c r="N988" s="79"/>
      <c r="O988" s="79"/>
      <c r="P988" s="79"/>
      <c r="Q988" s="79"/>
      <c r="R988" s="79"/>
      <c r="S988" s="79"/>
      <c r="T988" s="79"/>
      <c r="U988" s="79"/>
      <c r="V988" s="79"/>
      <c r="W988" s="79"/>
      <c r="X988" s="79"/>
      <c r="Y988" s="79"/>
      <c r="Z988" s="79"/>
    </row>
    <row r="989" spans="1:26" ht="50.95" customHeight="1" x14ac:dyDescent="0.15">
      <c r="A989" s="79"/>
      <c r="B989" s="79"/>
      <c r="C989" s="94"/>
      <c r="D989" s="95"/>
      <c r="E989" s="87"/>
      <c r="F989" s="95"/>
      <c r="G989" s="79"/>
      <c r="H989" s="79"/>
      <c r="I989" s="79"/>
      <c r="J989" s="79"/>
      <c r="K989" s="79"/>
      <c r="L989" s="79"/>
      <c r="M989" s="79"/>
      <c r="N989" s="79"/>
      <c r="O989" s="79"/>
      <c r="P989" s="79"/>
      <c r="Q989" s="79"/>
      <c r="R989" s="79"/>
      <c r="S989" s="79"/>
      <c r="T989" s="79"/>
      <c r="U989" s="79"/>
      <c r="V989" s="79"/>
      <c r="W989" s="79"/>
      <c r="X989" s="79"/>
      <c r="Y989" s="79"/>
      <c r="Z989" s="79"/>
    </row>
    <row r="990" spans="1:26" ht="50.95" customHeight="1" x14ac:dyDescent="0.15">
      <c r="A990" s="79"/>
      <c r="B990" s="79"/>
      <c r="C990" s="94"/>
      <c r="D990" s="95"/>
      <c r="E990" s="87"/>
      <c r="F990" s="95"/>
      <c r="G990" s="79"/>
      <c r="H990" s="79"/>
      <c r="I990" s="79"/>
      <c r="J990" s="79"/>
      <c r="K990" s="79"/>
      <c r="L990" s="79"/>
      <c r="M990" s="79"/>
      <c r="N990" s="79"/>
      <c r="O990" s="79"/>
      <c r="P990" s="79"/>
      <c r="Q990" s="79"/>
      <c r="R990" s="79"/>
      <c r="S990" s="79"/>
      <c r="T990" s="79"/>
      <c r="U990" s="79"/>
      <c r="V990" s="79"/>
      <c r="W990" s="79"/>
      <c r="X990" s="79"/>
      <c r="Y990" s="79"/>
      <c r="Z990" s="79"/>
    </row>
    <row r="991" spans="1:26" ht="50.95" customHeight="1" x14ac:dyDescent="0.15">
      <c r="A991" s="79"/>
      <c r="B991" s="79"/>
      <c r="C991" s="94"/>
      <c r="D991" s="95"/>
      <c r="E991" s="87"/>
      <c r="F991" s="95"/>
      <c r="G991" s="79"/>
      <c r="H991" s="79"/>
      <c r="I991" s="79"/>
      <c r="J991" s="79"/>
      <c r="K991" s="79"/>
      <c r="L991" s="79"/>
      <c r="M991" s="79"/>
      <c r="N991" s="79"/>
      <c r="O991" s="79"/>
      <c r="P991" s="79"/>
      <c r="Q991" s="79"/>
      <c r="R991" s="79"/>
      <c r="S991" s="79"/>
      <c r="T991" s="79"/>
      <c r="U991" s="79"/>
      <c r="V991" s="79"/>
      <c r="W991" s="79"/>
      <c r="X991" s="79"/>
      <c r="Y991" s="79"/>
      <c r="Z991" s="79"/>
    </row>
    <row r="992" spans="1:26" ht="50.95" customHeight="1" x14ac:dyDescent="0.15">
      <c r="A992" s="79"/>
      <c r="B992" s="79"/>
      <c r="C992" s="94"/>
      <c r="D992" s="95"/>
      <c r="E992" s="87"/>
      <c r="F992" s="95"/>
      <c r="G992" s="79"/>
      <c r="H992" s="79"/>
      <c r="I992" s="79"/>
      <c r="J992" s="79"/>
      <c r="K992" s="79"/>
      <c r="L992" s="79"/>
      <c r="M992" s="79"/>
      <c r="N992" s="79"/>
      <c r="O992" s="79"/>
      <c r="P992" s="79"/>
      <c r="Q992" s="79"/>
      <c r="R992" s="79"/>
      <c r="S992" s="79"/>
      <c r="T992" s="79"/>
      <c r="U992" s="79"/>
      <c r="V992" s="79"/>
      <c r="W992" s="79"/>
      <c r="X992" s="79"/>
      <c r="Y992" s="79"/>
      <c r="Z992" s="79"/>
    </row>
    <row r="993" spans="1:26" ht="50.95" customHeight="1" x14ac:dyDescent="0.15">
      <c r="A993" s="79"/>
      <c r="B993" s="79"/>
      <c r="C993" s="94"/>
      <c r="D993" s="95"/>
      <c r="E993" s="87"/>
      <c r="F993" s="95"/>
      <c r="G993" s="79"/>
      <c r="H993" s="79"/>
      <c r="I993" s="79"/>
      <c r="J993" s="79"/>
      <c r="K993" s="79"/>
      <c r="L993" s="79"/>
      <c r="M993" s="79"/>
      <c r="N993" s="79"/>
      <c r="O993" s="79"/>
      <c r="P993" s="79"/>
      <c r="Q993" s="79"/>
      <c r="R993" s="79"/>
      <c r="S993" s="79"/>
      <c r="T993" s="79"/>
      <c r="U993" s="79"/>
      <c r="V993" s="79"/>
      <c r="W993" s="79"/>
      <c r="X993" s="79"/>
      <c r="Y993" s="79"/>
      <c r="Z993" s="79"/>
    </row>
    <row r="994" spans="1:26" ht="50.95" customHeight="1" x14ac:dyDescent="0.15">
      <c r="A994" s="79"/>
      <c r="B994" s="79"/>
      <c r="C994" s="94"/>
      <c r="D994" s="95"/>
      <c r="E994" s="87"/>
      <c r="F994" s="95"/>
      <c r="G994" s="79"/>
      <c r="H994" s="79"/>
      <c r="I994" s="79"/>
      <c r="J994" s="79"/>
      <c r="K994" s="79"/>
      <c r="L994" s="79"/>
      <c r="M994" s="79"/>
      <c r="N994" s="79"/>
      <c r="O994" s="79"/>
      <c r="P994" s="79"/>
      <c r="Q994" s="79"/>
      <c r="R994" s="79"/>
      <c r="S994" s="79"/>
      <c r="T994" s="79"/>
      <c r="U994" s="79"/>
      <c r="V994" s="79"/>
      <c r="W994" s="79"/>
      <c r="X994" s="79"/>
      <c r="Y994" s="79"/>
      <c r="Z994" s="79"/>
    </row>
    <row r="995" spans="1:26" ht="50.95" customHeight="1" x14ac:dyDescent="0.15">
      <c r="A995" s="79"/>
      <c r="B995" s="79"/>
      <c r="C995" s="94"/>
      <c r="D995" s="95"/>
      <c r="E995" s="87"/>
      <c r="F995" s="95"/>
      <c r="G995" s="79"/>
      <c r="H995" s="79"/>
      <c r="I995" s="79"/>
      <c r="J995" s="79"/>
      <c r="K995" s="79"/>
      <c r="L995" s="79"/>
      <c r="M995" s="79"/>
      <c r="N995" s="79"/>
      <c r="O995" s="79"/>
      <c r="P995" s="79"/>
      <c r="Q995" s="79"/>
      <c r="R995" s="79"/>
      <c r="S995" s="79"/>
      <c r="T995" s="79"/>
      <c r="U995" s="79"/>
      <c r="V995" s="79"/>
      <c r="W995" s="79"/>
      <c r="X995" s="79"/>
      <c r="Y995" s="79"/>
      <c r="Z995" s="79"/>
    </row>
    <row r="996" spans="1:26" ht="50.95" customHeight="1" x14ac:dyDescent="0.15">
      <c r="A996" s="79"/>
      <c r="B996" s="79"/>
      <c r="C996" s="94"/>
      <c r="D996" s="95"/>
      <c r="E996" s="87"/>
      <c r="F996" s="95"/>
      <c r="G996" s="79"/>
      <c r="H996" s="79"/>
      <c r="I996" s="79"/>
      <c r="J996" s="79"/>
      <c r="K996" s="79"/>
      <c r="L996" s="79"/>
      <c r="M996" s="79"/>
      <c r="N996" s="79"/>
      <c r="O996" s="79"/>
      <c r="P996" s="79"/>
      <c r="Q996" s="79"/>
      <c r="R996" s="79"/>
      <c r="S996" s="79"/>
      <c r="T996" s="79"/>
      <c r="U996" s="79"/>
      <c r="V996" s="79"/>
      <c r="W996" s="79"/>
      <c r="X996" s="79"/>
      <c r="Y996" s="79"/>
      <c r="Z996" s="79"/>
    </row>
    <row r="997" spans="1:26" ht="50.95" customHeight="1" x14ac:dyDescent="0.15">
      <c r="A997" s="79"/>
      <c r="B997" s="79"/>
      <c r="C997" s="94"/>
      <c r="D997" s="95"/>
      <c r="E997" s="87"/>
      <c r="F997" s="95"/>
      <c r="G997" s="79"/>
      <c r="H997" s="79"/>
      <c r="I997" s="79"/>
      <c r="J997" s="79"/>
      <c r="K997" s="79"/>
      <c r="L997" s="79"/>
      <c r="M997" s="79"/>
      <c r="N997" s="79"/>
      <c r="O997" s="79"/>
      <c r="P997" s="79"/>
      <c r="Q997" s="79"/>
      <c r="R997" s="79"/>
      <c r="S997" s="79"/>
      <c r="T997" s="79"/>
      <c r="U997" s="79"/>
      <c r="V997" s="79"/>
      <c r="W997" s="79"/>
      <c r="X997" s="79"/>
      <c r="Y997" s="79"/>
      <c r="Z997" s="79"/>
    </row>
    <row r="998" spans="1:26" ht="50.95" customHeight="1" x14ac:dyDescent="0.15">
      <c r="A998" s="79"/>
      <c r="B998" s="79"/>
      <c r="C998" s="94"/>
      <c r="D998" s="95"/>
      <c r="E998" s="87"/>
      <c r="F998" s="95"/>
      <c r="G998" s="79"/>
      <c r="H998" s="79"/>
      <c r="I998" s="79"/>
      <c r="J998" s="79"/>
      <c r="K998" s="79"/>
      <c r="L998" s="79"/>
      <c r="M998" s="79"/>
      <c r="N998" s="79"/>
      <c r="O998" s="79"/>
      <c r="P998" s="79"/>
      <c r="Q998" s="79"/>
      <c r="R998" s="79"/>
      <c r="S998" s="79"/>
      <c r="T998" s="79"/>
      <c r="U998" s="79"/>
      <c r="V998" s="79"/>
      <c r="W998" s="79"/>
      <c r="X998" s="79"/>
      <c r="Y998" s="79"/>
      <c r="Z998" s="79"/>
    </row>
    <row r="999" spans="1:26" ht="50.95" customHeight="1" x14ac:dyDescent="0.15">
      <c r="A999" s="79"/>
      <c r="B999" s="79"/>
      <c r="C999" s="94"/>
      <c r="D999" s="95"/>
      <c r="E999" s="87"/>
      <c r="F999" s="95"/>
      <c r="G999" s="79"/>
      <c r="H999" s="79"/>
      <c r="I999" s="79"/>
      <c r="J999" s="79"/>
      <c r="K999" s="79"/>
      <c r="L999" s="79"/>
      <c r="M999" s="79"/>
      <c r="N999" s="79"/>
      <c r="O999" s="79"/>
      <c r="P999" s="79"/>
      <c r="Q999" s="79"/>
      <c r="R999" s="79"/>
      <c r="S999" s="79"/>
      <c r="T999" s="79"/>
      <c r="U999" s="79"/>
      <c r="V999" s="79"/>
      <c r="W999" s="79"/>
      <c r="X999" s="79"/>
      <c r="Y999" s="79"/>
      <c r="Z999" s="79"/>
    </row>
    <row r="1000" spans="1:26" ht="50.95" customHeight="1" x14ac:dyDescent="0.15">
      <c r="A1000" s="79"/>
      <c r="B1000" s="79"/>
      <c r="C1000" s="94"/>
      <c r="D1000" s="95"/>
      <c r="E1000" s="87"/>
      <c r="F1000" s="95"/>
      <c r="G1000" s="79"/>
      <c r="H1000" s="79"/>
      <c r="I1000" s="79"/>
      <c r="J1000" s="79"/>
      <c r="K1000" s="79"/>
      <c r="L1000" s="79"/>
      <c r="M1000" s="79"/>
      <c r="N1000" s="79"/>
      <c r="O1000" s="79"/>
      <c r="P1000" s="79"/>
      <c r="Q1000" s="79"/>
      <c r="R1000" s="79"/>
      <c r="S1000" s="79"/>
      <c r="T1000" s="79"/>
      <c r="U1000" s="79"/>
      <c r="V1000" s="79"/>
      <c r="W1000" s="79"/>
      <c r="X1000" s="79"/>
      <c r="Y1000" s="79"/>
      <c r="Z1000" s="79"/>
    </row>
    <row r="1001" spans="1:26" ht="50.95" customHeight="1" x14ac:dyDescent="0.15">
      <c r="A1001" s="79"/>
      <c r="B1001" s="79"/>
      <c r="C1001" s="94"/>
      <c r="D1001" s="95"/>
      <c r="E1001" s="87"/>
      <c r="F1001" s="95"/>
      <c r="G1001" s="79"/>
      <c r="H1001" s="79"/>
      <c r="I1001" s="79"/>
      <c r="J1001" s="79"/>
      <c r="K1001" s="79"/>
      <c r="L1001" s="79"/>
      <c r="M1001" s="79"/>
      <c r="N1001" s="79"/>
      <c r="O1001" s="79"/>
      <c r="P1001" s="79"/>
      <c r="Q1001" s="79"/>
      <c r="R1001" s="79"/>
      <c r="S1001" s="79"/>
      <c r="T1001" s="79"/>
      <c r="U1001" s="79"/>
      <c r="V1001" s="79"/>
      <c r="W1001" s="79"/>
      <c r="X1001" s="79"/>
      <c r="Y1001" s="79"/>
      <c r="Z1001" s="79"/>
    </row>
    <row r="1002" spans="1:26" ht="50.95" customHeight="1" x14ac:dyDescent="0.15">
      <c r="A1002" s="79"/>
      <c r="B1002" s="79"/>
      <c r="C1002" s="94"/>
      <c r="D1002" s="95"/>
      <c r="E1002" s="87"/>
      <c r="F1002" s="95"/>
      <c r="G1002" s="79"/>
      <c r="H1002" s="79"/>
      <c r="I1002" s="79"/>
      <c r="J1002" s="79"/>
      <c r="K1002" s="79"/>
      <c r="L1002" s="79"/>
      <c r="M1002" s="79"/>
      <c r="N1002" s="79"/>
      <c r="O1002" s="79"/>
      <c r="P1002" s="79"/>
      <c r="Q1002" s="79"/>
      <c r="R1002" s="79"/>
      <c r="S1002" s="79"/>
      <c r="T1002" s="79"/>
      <c r="U1002" s="79"/>
      <c r="V1002" s="79"/>
      <c r="W1002" s="79"/>
      <c r="X1002" s="79"/>
      <c r="Y1002" s="79"/>
      <c r="Z1002" s="79"/>
    </row>
    <row r="1003" spans="1:26" ht="50.95" customHeight="1" x14ac:dyDescent="0.15">
      <c r="A1003" s="79"/>
      <c r="B1003" s="79"/>
      <c r="C1003" s="94"/>
      <c r="D1003" s="95"/>
      <c r="E1003" s="87"/>
      <c r="F1003" s="95"/>
      <c r="G1003" s="79"/>
      <c r="H1003" s="79"/>
      <c r="I1003" s="79"/>
      <c r="J1003" s="79"/>
      <c r="K1003" s="79"/>
      <c r="L1003" s="79"/>
      <c r="M1003" s="79"/>
      <c r="N1003" s="79"/>
      <c r="O1003" s="79"/>
      <c r="P1003" s="79"/>
      <c r="Q1003" s="79"/>
      <c r="R1003" s="79"/>
      <c r="S1003" s="79"/>
      <c r="T1003" s="79"/>
      <c r="U1003" s="79"/>
      <c r="V1003" s="79"/>
      <c r="W1003" s="79"/>
      <c r="X1003" s="79"/>
      <c r="Y1003" s="79"/>
      <c r="Z1003" s="79"/>
    </row>
    <row r="1004" spans="1:26" ht="50.95" customHeight="1" x14ac:dyDescent="0.15">
      <c r="A1004" s="79"/>
      <c r="B1004" s="79"/>
      <c r="C1004" s="94"/>
      <c r="D1004" s="95"/>
      <c r="E1004" s="87"/>
      <c r="F1004" s="95"/>
      <c r="G1004" s="79"/>
      <c r="H1004" s="79"/>
      <c r="I1004" s="79"/>
      <c r="J1004" s="79"/>
      <c r="K1004" s="79"/>
      <c r="L1004" s="79"/>
      <c r="M1004" s="79"/>
      <c r="N1004" s="79"/>
      <c r="O1004" s="79"/>
      <c r="P1004" s="79"/>
      <c r="Q1004" s="79"/>
      <c r="R1004" s="79"/>
      <c r="S1004" s="79"/>
      <c r="T1004" s="79"/>
      <c r="U1004" s="79"/>
      <c r="V1004" s="79"/>
      <c r="W1004" s="79"/>
      <c r="X1004" s="79"/>
      <c r="Y1004" s="79"/>
      <c r="Z1004" s="79"/>
    </row>
    <row r="1005" spans="1:26" ht="50.95" customHeight="1" x14ac:dyDescent="0.15">
      <c r="A1005" s="79"/>
      <c r="B1005" s="79"/>
      <c r="C1005" s="94"/>
      <c r="D1005" s="95"/>
      <c r="E1005" s="87"/>
      <c r="F1005" s="95"/>
      <c r="G1005" s="79"/>
      <c r="H1005" s="79"/>
      <c r="I1005" s="79"/>
      <c r="J1005" s="79"/>
      <c r="K1005" s="79"/>
      <c r="L1005" s="79"/>
      <c r="M1005" s="79"/>
      <c r="N1005" s="79"/>
      <c r="O1005" s="79"/>
      <c r="P1005" s="79"/>
      <c r="Q1005" s="79"/>
      <c r="R1005" s="79"/>
      <c r="S1005" s="79"/>
      <c r="T1005" s="79"/>
      <c r="U1005" s="79"/>
      <c r="V1005" s="79"/>
      <c r="W1005" s="79"/>
      <c r="X1005" s="79"/>
      <c r="Y1005" s="79"/>
      <c r="Z1005" s="79"/>
    </row>
    <row r="1006" spans="1:26" ht="50.95" customHeight="1" x14ac:dyDescent="0.15">
      <c r="A1006" s="79"/>
      <c r="B1006" s="79"/>
      <c r="C1006" s="94"/>
      <c r="D1006" s="95"/>
      <c r="E1006" s="87"/>
      <c r="F1006" s="95"/>
      <c r="G1006" s="79"/>
      <c r="H1006" s="79"/>
      <c r="I1006" s="79"/>
      <c r="J1006" s="79"/>
      <c r="K1006" s="79"/>
      <c r="L1006" s="79"/>
      <c r="M1006" s="79"/>
      <c r="N1006" s="79"/>
      <c r="O1006" s="79"/>
      <c r="P1006" s="79"/>
      <c r="Q1006" s="79"/>
      <c r="R1006" s="79"/>
      <c r="S1006" s="79"/>
      <c r="T1006" s="79"/>
      <c r="U1006" s="79"/>
      <c r="V1006" s="79"/>
      <c r="W1006" s="79"/>
      <c r="X1006" s="79"/>
      <c r="Y1006" s="79"/>
      <c r="Z1006" s="79"/>
    </row>
    <row r="1007" spans="1:26" ht="50.95" customHeight="1" x14ac:dyDescent="0.15">
      <c r="A1007" s="79"/>
      <c r="B1007" s="79"/>
      <c r="C1007" s="94"/>
      <c r="D1007" s="95"/>
      <c r="E1007" s="87"/>
      <c r="F1007" s="95"/>
      <c r="G1007" s="79"/>
      <c r="H1007" s="79"/>
      <c r="I1007" s="79"/>
      <c r="J1007" s="79"/>
      <c r="K1007" s="79"/>
      <c r="L1007" s="79"/>
      <c r="M1007" s="79"/>
      <c r="N1007" s="79"/>
      <c r="O1007" s="79"/>
      <c r="P1007" s="79"/>
      <c r="Q1007" s="79"/>
      <c r="R1007" s="79"/>
      <c r="S1007" s="79"/>
      <c r="T1007" s="79"/>
      <c r="U1007" s="79"/>
      <c r="V1007" s="79"/>
      <c r="W1007" s="79"/>
      <c r="X1007" s="79"/>
      <c r="Y1007" s="79"/>
      <c r="Z1007" s="79"/>
    </row>
    <row r="1008" spans="1:26" ht="50.95" customHeight="1" x14ac:dyDescent="0.15">
      <c r="A1008" s="79"/>
      <c r="B1008" s="79"/>
      <c r="C1008" s="94"/>
      <c r="D1008" s="95"/>
      <c r="E1008" s="87"/>
      <c r="F1008" s="95"/>
      <c r="G1008" s="79"/>
      <c r="H1008" s="79"/>
      <c r="I1008" s="79"/>
      <c r="J1008" s="79"/>
      <c r="K1008" s="79"/>
      <c r="L1008" s="79"/>
      <c r="M1008" s="79"/>
      <c r="N1008" s="79"/>
      <c r="O1008" s="79"/>
      <c r="P1008" s="79"/>
      <c r="Q1008" s="79"/>
      <c r="R1008" s="79"/>
      <c r="S1008" s="79"/>
      <c r="T1008" s="79"/>
      <c r="U1008" s="79"/>
      <c r="V1008" s="79"/>
      <c r="W1008" s="79"/>
      <c r="X1008" s="79"/>
      <c r="Y1008" s="79"/>
      <c r="Z1008" s="79"/>
    </row>
    <row r="1009" spans="1:26" ht="50.95" customHeight="1" x14ac:dyDescent="0.15">
      <c r="A1009" s="79"/>
      <c r="B1009" s="79"/>
      <c r="C1009" s="94"/>
      <c r="D1009" s="95"/>
      <c r="E1009" s="87"/>
      <c r="F1009" s="95"/>
      <c r="G1009" s="79"/>
      <c r="H1009" s="79"/>
      <c r="I1009" s="79"/>
      <c r="J1009" s="79"/>
      <c r="K1009" s="79"/>
      <c r="L1009" s="79"/>
      <c r="M1009" s="79"/>
      <c r="N1009" s="79"/>
      <c r="O1009" s="79"/>
      <c r="P1009" s="79"/>
      <c r="Q1009" s="79"/>
      <c r="R1009" s="79"/>
      <c r="S1009" s="79"/>
      <c r="T1009" s="79"/>
      <c r="U1009" s="79"/>
      <c r="V1009" s="79"/>
      <c r="W1009" s="79"/>
      <c r="X1009" s="79"/>
      <c r="Y1009" s="79"/>
      <c r="Z1009" s="79"/>
    </row>
    <row r="1010" spans="1:26" ht="50.95" customHeight="1" x14ac:dyDescent="0.15">
      <c r="A1010" s="79"/>
      <c r="B1010" s="79"/>
      <c r="C1010" s="94"/>
      <c r="D1010" s="95"/>
      <c r="E1010" s="87"/>
      <c r="F1010" s="95"/>
      <c r="G1010" s="79"/>
      <c r="H1010" s="79"/>
      <c r="I1010" s="79"/>
      <c r="J1010" s="79"/>
      <c r="K1010" s="79"/>
      <c r="L1010" s="79"/>
      <c r="M1010" s="79"/>
      <c r="N1010" s="79"/>
      <c r="O1010" s="79"/>
      <c r="P1010" s="79"/>
      <c r="Q1010" s="79"/>
      <c r="R1010" s="79"/>
      <c r="S1010" s="79"/>
      <c r="T1010" s="79"/>
      <c r="U1010" s="79"/>
      <c r="V1010" s="79"/>
      <c r="W1010" s="79"/>
      <c r="X1010" s="79"/>
      <c r="Y1010" s="79"/>
      <c r="Z1010" s="79"/>
    </row>
    <row r="1011" spans="1:26" ht="50.95" customHeight="1" x14ac:dyDescent="0.15">
      <c r="A1011" s="79"/>
      <c r="B1011" s="79"/>
      <c r="C1011" s="94"/>
      <c r="D1011" s="95"/>
      <c r="E1011" s="87"/>
      <c r="F1011" s="95"/>
      <c r="G1011" s="79"/>
      <c r="H1011" s="79"/>
      <c r="I1011" s="79"/>
      <c r="J1011" s="79"/>
      <c r="K1011" s="79"/>
      <c r="L1011" s="79"/>
      <c r="M1011" s="79"/>
      <c r="N1011" s="79"/>
      <c r="O1011" s="79"/>
      <c r="P1011" s="79"/>
      <c r="Q1011" s="79"/>
      <c r="R1011" s="79"/>
      <c r="S1011" s="79"/>
      <c r="T1011" s="79"/>
      <c r="U1011" s="79"/>
      <c r="V1011" s="79"/>
      <c r="W1011" s="79"/>
      <c r="X1011" s="79"/>
      <c r="Y1011" s="79"/>
      <c r="Z1011" s="79"/>
    </row>
    <row r="1012" spans="1:26" ht="50.95" customHeight="1" x14ac:dyDescent="0.15">
      <c r="A1012" s="79"/>
      <c r="B1012" s="79"/>
      <c r="C1012" s="94"/>
      <c r="D1012" s="95"/>
      <c r="E1012" s="87"/>
      <c r="F1012" s="95"/>
      <c r="G1012" s="79"/>
      <c r="H1012" s="79"/>
      <c r="I1012" s="79"/>
      <c r="J1012" s="79"/>
      <c r="K1012" s="79"/>
      <c r="L1012" s="79"/>
      <c r="M1012" s="79"/>
      <c r="N1012" s="79"/>
      <c r="O1012" s="79"/>
      <c r="P1012" s="79"/>
      <c r="Q1012" s="79"/>
      <c r="R1012" s="79"/>
      <c r="S1012" s="79"/>
      <c r="T1012" s="79"/>
      <c r="U1012" s="79"/>
      <c r="V1012" s="79"/>
      <c r="W1012" s="79"/>
      <c r="X1012" s="79"/>
      <c r="Y1012" s="79"/>
      <c r="Z1012" s="79"/>
    </row>
    <row r="1013" spans="1:26" ht="50.95" customHeight="1" x14ac:dyDescent="0.15">
      <c r="A1013" s="79"/>
      <c r="B1013" s="79"/>
      <c r="C1013" s="94"/>
      <c r="D1013" s="95"/>
      <c r="E1013" s="87"/>
      <c r="F1013" s="95"/>
      <c r="G1013" s="79"/>
      <c r="H1013" s="79"/>
      <c r="I1013" s="79"/>
      <c r="J1013" s="79"/>
      <c r="K1013" s="79"/>
      <c r="L1013" s="79"/>
      <c r="M1013" s="79"/>
      <c r="N1013" s="79"/>
      <c r="O1013" s="79"/>
      <c r="P1013" s="79"/>
      <c r="Q1013" s="79"/>
      <c r="R1013" s="79"/>
      <c r="S1013" s="79"/>
      <c r="T1013" s="79"/>
      <c r="U1013" s="79"/>
      <c r="V1013" s="79"/>
      <c r="W1013" s="79"/>
      <c r="X1013" s="79"/>
      <c r="Y1013" s="79"/>
      <c r="Z1013" s="79"/>
    </row>
    <row r="1014" spans="1:26" ht="50.95" customHeight="1" x14ac:dyDescent="0.15">
      <c r="A1014" s="79"/>
      <c r="B1014" s="79"/>
      <c r="C1014" s="94"/>
      <c r="D1014" s="95"/>
      <c r="E1014" s="87"/>
      <c r="F1014" s="95"/>
      <c r="G1014" s="79"/>
      <c r="H1014" s="79"/>
      <c r="I1014" s="79"/>
      <c r="J1014" s="79"/>
      <c r="K1014" s="79"/>
      <c r="L1014" s="79"/>
      <c r="M1014" s="79"/>
      <c r="N1014" s="79"/>
      <c r="O1014" s="79"/>
      <c r="P1014" s="79"/>
      <c r="Q1014" s="79"/>
      <c r="R1014" s="79"/>
      <c r="S1014" s="79"/>
      <c r="T1014" s="79"/>
      <c r="U1014" s="79"/>
      <c r="V1014" s="79"/>
      <c r="W1014" s="79"/>
      <c r="X1014" s="79"/>
      <c r="Y1014" s="79"/>
      <c r="Z1014" s="79"/>
    </row>
    <row r="1015" spans="1:26" ht="50.95" customHeight="1" x14ac:dyDescent="0.15">
      <c r="A1015" s="79"/>
      <c r="B1015" s="79"/>
      <c r="C1015" s="94"/>
      <c r="D1015" s="95"/>
      <c r="E1015" s="87"/>
      <c r="F1015" s="95"/>
      <c r="G1015" s="79"/>
      <c r="H1015" s="79"/>
      <c r="I1015" s="79"/>
      <c r="J1015" s="79"/>
      <c r="K1015" s="79"/>
      <c r="L1015" s="79"/>
      <c r="M1015" s="79"/>
      <c r="N1015" s="79"/>
      <c r="O1015" s="79"/>
      <c r="P1015" s="79"/>
      <c r="Q1015" s="79"/>
      <c r="R1015" s="79"/>
      <c r="S1015" s="79"/>
      <c r="T1015" s="79"/>
      <c r="U1015" s="79"/>
      <c r="V1015" s="79"/>
      <c r="W1015" s="79"/>
      <c r="X1015" s="79"/>
      <c r="Y1015" s="79"/>
      <c r="Z1015" s="79"/>
    </row>
    <row r="1016" spans="1:26" ht="50.95" customHeight="1" x14ac:dyDescent="0.15">
      <c r="A1016" s="79"/>
      <c r="B1016" s="79"/>
      <c r="C1016" s="94"/>
      <c r="D1016" s="95"/>
      <c r="E1016" s="87"/>
      <c r="F1016" s="95"/>
      <c r="G1016" s="79"/>
      <c r="H1016" s="79"/>
      <c r="I1016" s="79"/>
      <c r="J1016" s="79"/>
      <c r="K1016" s="79"/>
      <c r="L1016" s="79"/>
      <c r="M1016" s="79"/>
      <c r="N1016" s="79"/>
      <c r="O1016" s="79"/>
      <c r="P1016" s="79"/>
      <c r="Q1016" s="79"/>
      <c r="R1016" s="79"/>
      <c r="S1016" s="79"/>
      <c r="T1016" s="79"/>
      <c r="U1016" s="79"/>
      <c r="V1016" s="79"/>
      <c r="W1016" s="79"/>
      <c r="X1016" s="79"/>
      <c r="Y1016" s="79"/>
      <c r="Z1016" s="79"/>
    </row>
    <row r="1017" spans="1:26" ht="50.95" customHeight="1" x14ac:dyDescent="0.15">
      <c r="A1017" s="79"/>
      <c r="B1017" s="79"/>
      <c r="C1017" s="94"/>
      <c r="D1017" s="95"/>
      <c r="E1017" s="87"/>
      <c r="F1017" s="95"/>
      <c r="G1017" s="79"/>
      <c r="H1017" s="79"/>
      <c r="I1017" s="79"/>
      <c r="J1017" s="79"/>
      <c r="K1017" s="79"/>
      <c r="L1017" s="79"/>
      <c r="M1017" s="79"/>
      <c r="N1017" s="79"/>
      <c r="O1017" s="79"/>
      <c r="P1017" s="79"/>
      <c r="Q1017" s="79"/>
      <c r="R1017" s="79"/>
      <c r="S1017" s="79"/>
      <c r="T1017" s="79"/>
      <c r="U1017" s="79"/>
      <c r="V1017" s="79"/>
      <c r="W1017" s="79"/>
      <c r="X1017" s="79"/>
      <c r="Y1017" s="79"/>
      <c r="Z1017" s="79"/>
    </row>
    <row r="1018" spans="1:26" ht="50.95" customHeight="1" x14ac:dyDescent="0.15">
      <c r="A1018" s="79"/>
      <c r="B1018" s="79"/>
      <c r="C1018" s="94"/>
      <c r="D1018" s="95"/>
      <c r="E1018" s="87"/>
      <c r="F1018" s="95"/>
      <c r="G1018" s="79"/>
      <c r="H1018" s="79"/>
      <c r="I1018" s="79"/>
      <c r="J1018" s="79"/>
      <c r="K1018" s="79"/>
      <c r="L1018" s="79"/>
      <c r="M1018" s="79"/>
      <c r="N1018" s="79"/>
      <c r="O1018" s="79"/>
      <c r="P1018" s="79"/>
      <c r="Q1018" s="79"/>
      <c r="R1018" s="79"/>
      <c r="S1018" s="79"/>
      <c r="T1018" s="79"/>
      <c r="U1018" s="79"/>
      <c r="V1018" s="79"/>
      <c r="W1018" s="79"/>
      <c r="X1018" s="79"/>
      <c r="Y1018" s="79"/>
      <c r="Z1018" s="79"/>
    </row>
    <row r="1019" spans="1:26" ht="50.95" customHeight="1" x14ac:dyDescent="0.15">
      <c r="A1019" s="79"/>
      <c r="B1019" s="79"/>
      <c r="C1019" s="94"/>
      <c r="D1019" s="95"/>
      <c r="E1019" s="87"/>
      <c r="F1019" s="95"/>
      <c r="G1019" s="79"/>
      <c r="H1019" s="79"/>
      <c r="I1019" s="79"/>
      <c r="J1019" s="79"/>
      <c r="K1019" s="79"/>
      <c r="L1019" s="79"/>
      <c r="M1019" s="79"/>
      <c r="N1019" s="79"/>
      <c r="O1019" s="79"/>
      <c r="P1019" s="79"/>
      <c r="Q1019" s="79"/>
      <c r="R1019" s="79"/>
      <c r="S1019" s="79"/>
      <c r="T1019" s="79"/>
      <c r="U1019" s="79"/>
      <c r="V1019" s="79"/>
      <c r="W1019" s="79"/>
      <c r="X1019" s="79"/>
      <c r="Y1019" s="79"/>
      <c r="Z1019" s="79"/>
    </row>
    <row r="1020" spans="1:26" ht="50.95" customHeight="1" x14ac:dyDescent="0.15">
      <c r="A1020" s="79"/>
      <c r="B1020" s="79"/>
      <c r="C1020" s="94"/>
      <c r="D1020" s="95"/>
      <c r="E1020" s="87"/>
      <c r="F1020" s="95"/>
      <c r="G1020" s="79"/>
      <c r="H1020" s="79"/>
      <c r="I1020" s="79"/>
      <c r="J1020" s="79"/>
      <c r="K1020" s="79"/>
      <c r="L1020" s="79"/>
      <c r="M1020" s="79"/>
      <c r="N1020" s="79"/>
      <c r="O1020" s="79"/>
      <c r="P1020" s="79"/>
      <c r="Q1020" s="79"/>
      <c r="R1020" s="79"/>
      <c r="S1020" s="79"/>
      <c r="T1020" s="79"/>
      <c r="U1020" s="79"/>
      <c r="V1020" s="79"/>
      <c r="W1020" s="79"/>
      <c r="X1020" s="79"/>
      <c r="Y1020" s="79"/>
      <c r="Z1020" s="79"/>
    </row>
    <row r="1021" spans="1:26" ht="50.95" customHeight="1" x14ac:dyDescent="0.15">
      <c r="A1021" s="79"/>
      <c r="B1021" s="79"/>
      <c r="C1021" s="94"/>
      <c r="D1021" s="95"/>
      <c r="E1021" s="87"/>
      <c r="F1021" s="95"/>
      <c r="G1021" s="79"/>
      <c r="H1021" s="79"/>
      <c r="I1021" s="79"/>
      <c r="J1021" s="79"/>
      <c r="K1021" s="79"/>
      <c r="L1021" s="79"/>
      <c r="M1021" s="79"/>
      <c r="N1021" s="79"/>
      <c r="O1021" s="79"/>
      <c r="P1021" s="79"/>
      <c r="Q1021" s="79"/>
      <c r="R1021" s="79"/>
      <c r="S1021" s="79"/>
      <c r="T1021" s="79"/>
      <c r="U1021" s="79"/>
      <c r="V1021" s="79"/>
      <c r="W1021" s="79"/>
      <c r="X1021" s="79"/>
      <c r="Y1021" s="79"/>
      <c r="Z1021" s="79"/>
    </row>
    <row r="1022" spans="1:26" ht="50.95" customHeight="1" x14ac:dyDescent="0.15">
      <c r="A1022" s="79"/>
      <c r="B1022" s="79"/>
      <c r="C1022" s="94"/>
      <c r="D1022" s="95"/>
      <c r="E1022" s="87"/>
      <c r="F1022" s="95"/>
      <c r="G1022" s="79"/>
      <c r="H1022" s="79"/>
      <c r="I1022" s="79"/>
      <c r="J1022" s="79"/>
      <c r="K1022" s="79"/>
      <c r="L1022" s="79"/>
      <c r="M1022" s="79"/>
      <c r="N1022" s="79"/>
      <c r="O1022" s="79"/>
      <c r="P1022" s="79"/>
      <c r="Q1022" s="79"/>
      <c r="R1022" s="79"/>
      <c r="S1022" s="79"/>
      <c r="T1022" s="79"/>
      <c r="U1022" s="79"/>
      <c r="V1022" s="79"/>
      <c r="W1022" s="79"/>
      <c r="X1022" s="79"/>
      <c r="Y1022" s="79"/>
      <c r="Z1022" s="79"/>
    </row>
    <row r="1023" spans="1:26" ht="50.95" customHeight="1" x14ac:dyDescent="0.15">
      <c r="A1023" s="79"/>
      <c r="B1023" s="79"/>
      <c r="C1023" s="94"/>
      <c r="D1023" s="95"/>
      <c r="E1023" s="87"/>
      <c r="F1023" s="95"/>
      <c r="G1023" s="79"/>
      <c r="H1023" s="79"/>
      <c r="I1023" s="79"/>
      <c r="J1023" s="79"/>
      <c r="K1023" s="79"/>
      <c r="L1023" s="79"/>
      <c r="M1023" s="79"/>
      <c r="N1023" s="79"/>
      <c r="O1023" s="79"/>
      <c r="P1023" s="79"/>
      <c r="Q1023" s="79"/>
      <c r="R1023" s="79"/>
      <c r="S1023" s="79"/>
      <c r="T1023" s="79"/>
      <c r="U1023" s="79"/>
      <c r="V1023" s="79"/>
      <c r="W1023" s="79"/>
      <c r="X1023" s="79"/>
      <c r="Y1023" s="79"/>
      <c r="Z1023" s="79"/>
    </row>
    <row r="1024" spans="1:26" ht="50.95" customHeight="1" x14ac:dyDescent="0.15">
      <c r="A1024" s="79"/>
      <c r="B1024" s="79"/>
      <c r="C1024" s="94"/>
      <c r="D1024" s="95"/>
      <c r="E1024" s="87"/>
      <c r="F1024" s="95"/>
      <c r="G1024" s="79"/>
      <c r="H1024" s="79"/>
      <c r="I1024" s="79"/>
      <c r="J1024" s="79"/>
      <c r="K1024" s="79"/>
      <c r="L1024" s="79"/>
      <c r="M1024" s="79"/>
      <c r="N1024" s="79"/>
      <c r="O1024" s="79"/>
      <c r="P1024" s="79"/>
      <c r="Q1024" s="79"/>
      <c r="R1024" s="79"/>
      <c r="S1024" s="79"/>
      <c r="T1024" s="79"/>
      <c r="U1024" s="79"/>
      <c r="V1024" s="79"/>
      <c r="W1024" s="79"/>
      <c r="X1024" s="79"/>
      <c r="Y1024" s="79"/>
      <c r="Z1024" s="79"/>
    </row>
    <row r="1025" spans="1:26" ht="50.95" customHeight="1" x14ac:dyDescent="0.15">
      <c r="A1025" s="79"/>
      <c r="B1025" s="79"/>
      <c r="C1025" s="94"/>
      <c r="D1025" s="95"/>
      <c r="E1025" s="87"/>
      <c r="F1025" s="95"/>
      <c r="G1025" s="79"/>
      <c r="H1025" s="79"/>
      <c r="I1025" s="79"/>
      <c r="J1025" s="79"/>
      <c r="K1025" s="79"/>
      <c r="L1025" s="79"/>
      <c r="M1025" s="79"/>
      <c r="N1025" s="79"/>
      <c r="O1025" s="79"/>
      <c r="P1025" s="79"/>
      <c r="Q1025" s="79"/>
      <c r="R1025" s="79"/>
      <c r="S1025" s="79"/>
      <c r="T1025" s="79"/>
      <c r="U1025" s="79"/>
      <c r="V1025" s="79"/>
      <c r="W1025" s="79"/>
      <c r="X1025" s="79"/>
      <c r="Y1025" s="79"/>
      <c r="Z1025" s="79"/>
    </row>
    <row r="1026" spans="1:26" ht="50.95" customHeight="1" x14ac:dyDescent="0.15">
      <c r="A1026" s="79"/>
      <c r="B1026" s="79"/>
      <c r="C1026" s="94"/>
      <c r="D1026" s="95"/>
      <c r="E1026" s="87"/>
      <c r="F1026" s="95"/>
      <c r="G1026" s="79"/>
      <c r="H1026" s="79"/>
      <c r="I1026" s="79"/>
      <c r="J1026" s="79"/>
      <c r="K1026" s="79"/>
      <c r="L1026" s="79"/>
      <c r="M1026" s="79"/>
      <c r="N1026" s="79"/>
      <c r="O1026" s="79"/>
      <c r="P1026" s="79"/>
      <c r="Q1026" s="79"/>
      <c r="R1026" s="79"/>
      <c r="S1026" s="79"/>
      <c r="T1026" s="79"/>
      <c r="U1026" s="79"/>
      <c r="V1026" s="79"/>
      <c r="W1026" s="79"/>
      <c r="X1026" s="79"/>
      <c r="Y1026" s="79"/>
      <c r="Z1026" s="79"/>
    </row>
    <row r="1027" spans="1:26" ht="50.95" customHeight="1" x14ac:dyDescent="0.15">
      <c r="A1027" s="79"/>
      <c r="B1027" s="79"/>
      <c r="C1027" s="94"/>
      <c r="D1027" s="95"/>
      <c r="E1027" s="87"/>
      <c r="F1027" s="95"/>
      <c r="G1027" s="79"/>
      <c r="H1027" s="79"/>
      <c r="I1027" s="79"/>
      <c r="J1027" s="79"/>
      <c r="K1027" s="79"/>
      <c r="L1027" s="79"/>
      <c r="M1027" s="79"/>
      <c r="N1027" s="79"/>
      <c r="O1027" s="79"/>
      <c r="P1027" s="79"/>
      <c r="Q1027" s="79"/>
      <c r="R1027" s="79"/>
      <c r="S1027" s="79"/>
      <c r="T1027" s="79"/>
      <c r="U1027" s="79"/>
      <c r="V1027" s="79"/>
      <c r="W1027" s="79"/>
      <c r="X1027" s="79"/>
      <c r="Y1027" s="79"/>
      <c r="Z1027" s="79"/>
    </row>
    <row r="1028" spans="1:26" ht="50.95" customHeight="1" x14ac:dyDescent="0.15">
      <c r="A1028" s="79"/>
      <c r="B1028" s="79"/>
      <c r="C1028" s="94"/>
      <c r="D1028" s="95"/>
      <c r="E1028" s="87"/>
      <c r="F1028" s="95"/>
      <c r="G1028" s="79"/>
      <c r="H1028" s="79"/>
      <c r="I1028" s="79"/>
      <c r="J1028" s="79"/>
      <c r="K1028" s="79"/>
      <c r="L1028" s="79"/>
      <c r="M1028" s="79"/>
      <c r="N1028" s="79"/>
      <c r="O1028" s="79"/>
      <c r="P1028" s="79"/>
      <c r="Q1028" s="79"/>
      <c r="R1028" s="79"/>
      <c r="S1028" s="79"/>
      <c r="T1028" s="79"/>
      <c r="U1028" s="79"/>
      <c r="V1028" s="79"/>
      <c r="W1028" s="79"/>
      <c r="X1028" s="79"/>
      <c r="Y1028" s="79"/>
      <c r="Z1028" s="79"/>
    </row>
    <row r="1029" spans="1:26" ht="50.95" customHeight="1" x14ac:dyDescent="0.15">
      <c r="A1029" s="79"/>
      <c r="B1029" s="79"/>
      <c r="C1029" s="94"/>
      <c r="D1029" s="95"/>
      <c r="E1029" s="87"/>
      <c r="F1029" s="95"/>
      <c r="G1029" s="79"/>
      <c r="H1029" s="79"/>
      <c r="I1029" s="79"/>
      <c r="J1029" s="79"/>
      <c r="K1029" s="79"/>
      <c r="L1029" s="79"/>
      <c r="M1029" s="79"/>
      <c r="N1029" s="79"/>
      <c r="O1029" s="79"/>
      <c r="P1029" s="79"/>
      <c r="Q1029" s="79"/>
      <c r="R1029" s="79"/>
      <c r="S1029" s="79"/>
      <c r="T1029" s="79"/>
      <c r="U1029" s="79"/>
      <c r="V1029" s="79"/>
      <c r="W1029" s="79"/>
      <c r="X1029" s="79"/>
      <c r="Y1029" s="79"/>
      <c r="Z1029" s="79"/>
    </row>
    <row r="1030" spans="1:26" ht="50.95" customHeight="1" x14ac:dyDescent="0.15">
      <c r="A1030" s="79"/>
      <c r="B1030" s="79"/>
      <c r="C1030" s="94"/>
      <c r="D1030" s="95"/>
      <c r="E1030" s="87"/>
      <c r="F1030" s="95"/>
      <c r="G1030" s="79"/>
      <c r="H1030" s="79"/>
      <c r="I1030" s="79"/>
      <c r="J1030" s="79"/>
      <c r="K1030" s="79"/>
      <c r="L1030" s="79"/>
      <c r="M1030" s="79"/>
      <c r="N1030" s="79"/>
      <c r="O1030" s="79"/>
      <c r="P1030" s="79"/>
      <c r="Q1030" s="79"/>
      <c r="R1030" s="79"/>
      <c r="S1030" s="79"/>
      <c r="T1030" s="79"/>
      <c r="U1030" s="79"/>
      <c r="V1030" s="79"/>
      <c r="W1030" s="79"/>
      <c r="X1030" s="79"/>
      <c r="Y1030" s="79"/>
      <c r="Z1030" s="79"/>
    </row>
    <row r="1031" spans="1:26" ht="50.95" customHeight="1" x14ac:dyDescent="0.15">
      <c r="A1031" s="79"/>
      <c r="B1031" s="79"/>
      <c r="C1031" s="94"/>
      <c r="D1031" s="95"/>
      <c r="E1031" s="87"/>
      <c r="F1031" s="95"/>
      <c r="G1031" s="79"/>
      <c r="H1031" s="79"/>
      <c r="I1031" s="79"/>
      <c r="J1031" s="79"/>
      <c r="K1031" s="79"/>
      <c r="L1031" s="79"/>
      <c r="M1031" s="79"/>
      <c r="N1031" s="79"/>
      <c r="O1031" s="79"/>
      <c r="P1031" s="79"/>
      <c r="Q1031" s="79"/>
      <c r="R1031" s="79"/>
      <c r="S1031" s="79"/>
      <c r="T1031" s="79"/>
      <c r="U1031" s="79"/>
      <c r="V1031" s="79"/>
      <c r="W1031" s="79"/>
      <c r="X1031" s="79"/>
      <c r="Y1031" s="79"/>
      <c r="Z1031" s="79"/>
    </row>
    <row r="1032" spans="1:26" ht="50.95" customHeight="1" x14ac:dyDescent="0.15">
      <c r="A1032" s="79"/>
      <c r="B1032" s="79"/>
      <c r="C1032" s="94"/>
      <c r="D1032" s="95"/>
      <c r="E1032" s="87"/>
      <c r="F1032" s="95"/>
      <c r="G1032" s="79"/>
      <c r="H1032" s="79"/>
      <c r="I1032" s="79"/>
      <c r="J1032" s="79"/>
      <c r="K1032" s="79"/>
      <c r="L1032" s="79"/>
      <c r="M1032" s="79"/>
      <c r="N1032" s="79"/>
      <c r="O1032" s="79"/>
      <c r="P1032" s="79"/>
      <c r="Q1032" s="79"/>
      <c r="R1032" s="79"/>
      <c r="S1032" s="79"/>
      <c r="T1032" s="79"/>
      <c r="U1032" s="79"/>
      <c r="V1032" s="79"/>
      <c r="W1032" s="79"/>
      <c r="X1032" s="79"/>
      <c r="Y1032" s="79"/>
      <c r="Z1032" s="79"/>
    </row>
    <row r="1033" spans="1:26" ht="50.95" customHeight="1" x14ac:dyDescent="0.15">
      <c r="A1033" s="79"/>
      <c r="B1033" s="79"/>
      <c r="C1033" s="94"/>
      <c r="D1033" s="95"/>
      <c r="E1033" s="87"/>
      <c r="F1033" s="95"/>
      <c r="G1033" s="79"/>
      <c r="H1033" s="79"/>
      <c r="I1033" s="79"/>
      <c r="J1033" s="79"/>
      <c r="K1033" s="79"/>
      <c r="L1033" s="79"/>
      <c r="M1033" s="79"/>
      <c r="N1033" s="79"/>
      <c r="O1033" s="79"/>
      <c r="P1033" s="79"/>
      <c r="Q1033" s="79"/>
      <c r="R1033" s="79"/>
      <c r="S1033" s="79"/>
      <c r="T1033" s="79"/>
      <c r="U1033" s="79"/>
      <c r="V1033" s="79"/>
      <c r="W1033" s="79"/>
      <c r="X1033" s="79"/>
      <c r="Y1033" s="79"/>
      <c r="Z1033" s="79"/>
    </row>
    <row r="1034" spans="1:26" ht="50.95" customHeight="1" x14ac:dyDescent="0.15">
      <c r="A1034" s="79"/>
      <c r="B1034" s="79"/>
      <c r="C1034" s="94"/>
      <c r="D1034" s="95"/>
      <c r="E1034" s="87"/>
      <c r="F1034" s="95"/>
      <c r="G1034" s="79"/>
      <c r="H1034" s="79"/>
      <c r="I1034" s="79"/>
      <c r="J1034" s="79"/>
      <c r="K1034" s="79"/>
      <c r="L1034" s="79"/>
      <c r="M1034" s="79"/>
      <c r="N1034" s="79"/>
      <c r="O1034" s="79"/>
      <c r="P1034" s="79"/>
      <c r="Q1034" s="79"/>
      <c r="R1034" s="79"/>
      <c r="S1034" s="79"/>
      <c r="T1034" s="79"/>
      <c r="U1034" s="79"/>
      <c r="V1034" s="79"/>
      <c r="W1034" s="79"/>
      <c r="X1034" s="79"/>
      <c r="Y1034" s="79"/>
      <c r="Z1034" s="79"/>
    </row>
    <row r="1035" spans="1:26" ht="50.95" customHeight="1" x14ac:dyDescent="0.15">
      <c r="A1035" s="79"/>
      <c r="B1035" s="79"/>
      <c r="C1035" s="94"/>
      <c r="D1035" s="95"/>
      <c r="E1035" s="87"/>
      <c r="F1035" s="95"/>
      <c r="G1035" s="79"/>
      <c r="H1035" s="79"/>
      <c r="I1035" s="79"/>
      <c r="J1035" s="79"/>
      <c r="K1035" s="79"/>
      <c r="L1035" s="79"/>
      <c r="M1035" s="79"/>
      <c r="N1035" s="79"/>
      <c r="O1035" s="79"/>
      <c r="P1035" s="79"/>
      <c r="Q1035" s="79"/>
      <c r="R1035" s="79"/>
      <c r="S1035" s="79"/>
      <c r="T1035" s="79"/>
      <c r="U1035" s="79"/>
      <c r="V1035" s="79"/>
      <c r="W1035" s="79"/>
      <c r="X1035" s="79"/>
      <c r="Y1035" s="79"/>
      <c r="Z1035" s="79"/>
    </row>
    <row r="1036" spans="1:26" ht="50.95" customHeight="1" x14ac:dyDescent="0.15">
      <c r="A1036" s="79"/>
      <c r="B1036" s="79"/>
      <c r="C1036" s="94"/>
      <c r="D1036" s="95"/>
      <c r="E1036" s="87"/>
      <c r="F1036" s="95"/>
      <c r="G1036" s="79"/>
      <c r="H1036" s="79"/>
      <c r="I1036" s="79"/>
      <c r="J1036" s="79"/>
      <c r="K1036" s="79"/>
      <c r="L1036" s="79"/>
      <c r="M1036" s="79"/>
      <c r="N1036" s="79"/>
      <c r="O1036" s="79"/>
      <c r="P1036" s="79"/>
      <c r="Q1036" s="79"/>
      <c r="R1036" s="79"/>
      <c r="S1036" s="79"/>
      <c r="T1036" s="79"/>
      <c r="U1036" s="79"/>
      <c r="V1036" s="79"/>
      <c r="W1036" s="79"/>
      <c r="X1036" s="79"/>
      <c r="Y1036" s="79"/>
      <c r="Z1036" s="79"/>
    </row>
    <row r="1037" spans="1:26" ht="50.95" customHeight="1" x14ac:dyDescent="0.15">
      <c r="A1037" s="79"/>
      <c r="B1037" s="79"/>
      <c r="C1037" s="94"/>
      <c r="D1037" s="95"/>
      <c r="E1037" s="87"/>
      <c r="F1037" s="95"/>
      <c r="G1037" s="79"/>
      <c r="H1037" s="79"/>
      <c r="I1037" s="79"/>
      <c r="J1037" s="79"/>
      <c r="K1037" s="79"/>
      <c r="L1037" s="79"/>
      <c r="M1037" s="79"/>
      <c r="N1037" s="79"/>
      <c r="O1037" s="79"/>
      <c r="P1037" s="79"/>
      <c r="Q1037" s="79"/>
      <c r="R1037" s="79"/>
      <c r="S1037" s="79"/>
      <c r="T1037" s="79"/>
      <c r="U1037" s="79"/>
      <c r="V1037" s="79"/>
      <c r="W1037" s="79"/>
      <c r="X1037" s="79"/>
      <c r="Y1037" s="79"/>
      <c r="Z1037" s="79"/>
    </row>
    <row r="1038" spans="1:26" ht="50.95" customHeight="1" x14ac:dyDescent="0.15">
      <c r="A1038" s="79"/>
      <c r="B1038" s="79"/>
      <c r="C1038" s="94"/>
      <c r="D1038" s="95"/>
      <c r="E1038" s="87"/>
      <c r="F1038" s="95"/>
      <c r="G1038" s="79"/>
      <c r="H1038" s="79"/>
      <c r="I1038" s="79"/>
      <c r="J1038" s="79"/>
      <c r="K1038" s="79"/>
      <c r="L1038" s="79"/>
      <c r="M1038" s="79"/>
      <c r="N1038" s="79"/>
      <c r="O1038" s="79"/>
      <c r="P1038" s="79"/>
      <c r="Q1038" s="79"/>
      <c r="R1038" s="79"/>
      <c r="S1038" s="79"/>
      <c r="T1038" s="79"/>
      <c r="U1038" s="79"/>
      <c r="V1038" s="79"/>
      <c r="W1038" s="79"/>
      <c r="X1038" s="79"/>
      <c r="Y1038" s="79"/>
      <c r="Z1038" s="79"/>
    </row>
    <row r="1039" spans="1:26" ht="50.95" customHeight="1" x14ac:dyDescent="0.15">
      <c r="A1039" s="79"/>
      <c r="B1039" s="79"/>
      <c r="C1039" s="94"/>
      <c r="D1039" s="95"/>
      <c r="E1039" s="87"/>
      <c r="F1039" s="95"/>
      <c r="G1039" s="79"/>
      <c r="H1039" s="79"/>
      <c r="I1039" s="79"/>
      <c r="J1039" s="79"/>
      <c r="K1039" s="79"/>
      <c r="L1039" s="79"/>
      <c r="M1039" s="79"/>
      <c r="N1039" s="79"/>
      <c r="O1039" s="79"/>
      <c r="P1039" s="79"/>
      <c r="Q1039" s="79"/>
      <c r="R1039" s="79"/>
      <c r="S1039" s="79"/>
      <c r="T1039" s="79"/>
      <c r="U1039" s="79"/>
      <c r="V1039" s="79"/>
      <c r="W1039" s="79"/>
      <c r="X1039" s="79"/>
      <c r="Y1039" s="79"/>
      <c r="Z1039" s="79"/>
    </row>
  </sheetData>
  <mergeCells count="146">
    <mergeCell ref="B461:B462"/>
    <mergeCell ref="C116:C118"/>
    <mergeCell ref="D116:D118"/>
    <mergeCell ref="A20:A23"/>
    <mergeCell ref="B20:B23"/>
    <mergeCell ref="A24:A26"/>
    <mergeCell ref="B24:B26"/>
    <mergeCell ref="A27:A30"/>
    <mergeCell ref="B27:B30"/>
    <mergeCell ref="B31:B32"/>
    <mergeCell ref="A31:A32"/>
    <mergeCell ref="A33:A35"/>
    <mergeCell ref="B33:B35"/>
    <mergeCell ref="A42:A46"/>
    <mergeCell ref="A47:A49"/>
    <mergeCell ref="B47:B49"/>
    <mergeCell ref="D47:E47"/>
    <mergeCell ref="D48:E48"/>
    <mergeCell ref="D49:E49"/>
    <mergeCell ref="D25:E25"/>
    <mergeCell ref="D26:E26"/>
    <mergeCell ref="D27:E27"/>
    <mergeCell ref="D28:E28"/>
    <mergeCell ref="D29:E29"/>
    <mergeCell ref="D6:E6"/>
    <mergeCell ref="B7:B8"/>
    <mergeCell ref="C7:C8"/>
    <mergeCell ref="D7:E8"/>
    <mergeCell ref="B9:B10"/>
    <mergeCell ref="C9:C10"/>
    <mergeCell ref="D9:E10"/>
    <mergeCell ref="B11:B12"/>
    <mergeCell ref="C11:C12"/>
    <mergeCell ref="D11:E12"/>
    <mergeCell ref="B13:B15"/>
    <mergeCell ref="C13:C15"/>
    <mergeCell ref="D13:E15"/>
    <mergeCell ref="D19:E19"/>
    <mergeCell ref="D20:E20"/>
    <mergeCell ref="D21:E21"/>
    <mergeCell ref="D22:E22"/>
    <mergeCell ref="D23:E23"/>
    <mergeCell ref="D24:E24"/>
    <mergeCell ref="D30:E30"/>
    <mergeCell ref="D31:E31"/>
    <mergeCell ref="D32:E32"/>
    <mergeCell ref="D33:E33"/>
    <mergeCell ref="A36:A39"/>
    <mergeCell ref="B36:B39"/>
    <mergeCell ref="A40:A41"/>
    <mergeCell ref="B40:B41"/>
    <mergeCell ref="D41:E41"/>
    <mergeCell ref="D46:E46"/>
    <mergeCell ref="C129:C131"/>
    <mergeCell ref="D129:D131"/>
    <mergeCell ref="D43:E43"/>
    <mergeCell ref="C87:C94"/>
    <mergeCell ref="D87:D94"/>
    <mergeCell ref="C98:C105"/>
    <mergeCell ref="D98:D105"/>
    <mergeCell ref="C109:C112"/>
    <mergeCell ref="D109:D112"/>
    <mergeCell ref="C122:C126"/>
    <mergeCell ref="D122:D126"/>
    <mergeCell ref="D42:E42"/>
    <mergeCell ref="D44:E44"/>
    <mergeCell ref="D45:E45"/>
    <mergeCell ref="D34:E34"/>
    <mergeCell ref="D35:E35"/>
    <mergeCell ref="D36:E36"/>
    <mergeCell ref="D37:E37"/>
    <mergeCell ref="D38:E38"/>
    <mergeCell ref="D39:E39"/>
    <mergeCell ref="D40:E40"/>
    <mergeCell ref="C425:D425"/>
    <mergeCell ref="D238:D244"/>
    <mergeCell ref="C238:C244"/>
    <mergeCell ref="C286:C293"/>
    <mergeCell ref="C297:C300"/>
    <mergeCell ref="C304:C311"/>
    <mergeCell ref="D286:D293"/>
    <mergeCell ref="D297:D300"/>
    <mergeCell ref="D304:D311"/>
    <mergeCell ref="D315:D317"/>
    <mergeCell ref="C392:C394"/>
    <mergeCell ref="C398:C405"/>
    <mergeCell ref="C315:C317"/>
    <mergeCell ref="D398:D405"/>
    <mergeCell ref="D385:D388"/>
    <mergeCell ref="D392:D394"/>
    <mergeCell ref="C385:C388"/>
    <mergeCell ref="C356:C363"/>
    <mergeCell ref="D356:D363"/>
    <mergeCell ref="C367:C374"/>
    <mergeCell ref="D367:D374"/>
    <mergeCell ref="C416:C422"/>
    <mergeCell ref="D416:D422"/>
    <mergeCell ref="C409:C413"/>
    <mergeCell ref="C231:C235"/>
    <mergeCell ref="D231:D235"/>
    <mergeCell ref="D198:D205"/>
    <mergeCell ref="C148:C154"/>
    <mergeCell ref="D148:D154"/>
    <mergeCell ref="C198:C205"/>
    <mergeCell ref="D209:D212"/>
    <mergeCell ref="D216:D222"/>
    <mergeCell ref="D226:D228"/>
    <mergeCell ref="C209:C212"/>
    <mergeCell ref="C216:C222"/>
    <mergeCell ref="C226:C228"/>
    <mergeCell ref="D141:D145"/>
    <mergeCell ref="B50:B53"/>
    <mergeCell ref="D50:E50"/>
    <mergeCell ref="D51:E51"/>
    <mergeCell ref="D52:E52"/>
    <mergeCell ref="D53:E53"/>
    <mergeCell ref="A50:A53"/>
    <mergeCell ref="C59:C73"/>
    <mergeCell ref="D59:D73"/>
    <mergeCell ref="C76:C83"/>
    <mergeCell ref="D76:D83"/>
    <mergeCell ref="C141:C145"/>
    <mergeCell ref="C426:D464"/>
    <mergeCell ref="C135:C138"/>
    <mergeCell ref="D135:D138"/>
    <mergeCell ref="D409:D413"/>
    <mergeCell ref="C248:C264"/>
    <mergeCell ref="D248:D264"/>
    <mergeCell ref="C268:C275"/>
    <mergeCell ref="D268:D275"/>
    <mergeCell ref="C279:C282"/>
    <mergeCell ref="D279:D282"/>
    <mergeCell ref="C320:C324"/>
    <mergeCell ref="D320:D324"/>
    <mergeCell ref="C336:C351"/>
    <mergeCell ref="D336:D351"/>
    <mergeCell ref="C327:C332"/>
    <mergeCell ref="D327:D332"/>
    <mergeCell ref="C378:C381"/>
    <mergeCell ref="D378:D381"/>
    <mergeCell ref="C158:C172"/>
    <mergeCell ref="D158:D172"/>
    <mergeCell ref="C176:C183"/>
    <mergeCell ref="D176:D183"/>
    <mergeCell ref="D187:D194"/>
    <mergeCell ref="C187:C194"/>
  </mergeCells>
  <pageMargins left="0" right="0" top="0" bottom="0" header="0" footer="0"/>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1:F1001"/>
  <sheetViews>
    <sheetView workbookViewId="0">
      <selection activeCell="H80" sqref="H80"/>
    </sheetView>
  </sheetViews>
  <sheetFormatPr baseColWidth="10" defaultColWidth="11.19921875" defaultRowHeight="14.95" customHeight="1" x14ac:dyDescent="0.25"/>
  <cols>
    <col min="1" max="1" width="3.69921875" customWidth="1"/>
    <col min="2" max="2" width="24.09765625" customWidth="1"/>
    <col min="3" max="3" width="20.3984375" customWidth="1"/>
    <col min="4" max="4" width="21.796875" customWidth="1"/>
    <col min="5" max="5" width="11" customWidth="1"/>
    <col min="6" max="26" width="10.796875" customWidth="1"/>
  </cols>
  <sheetData>
    <row r="1" spans="2:6" ht="15.8" customHeight="1" x14ac:dyDescent="0.3">
      <c r="B1" s="43" t="s">
        <v>2109</v>
      </c>
      <c r="C1" s="17"/>
      <c r="D1" s="17"/>
      <c r="E1" s="44"/>
      <c r="F1" s="825"/>
    </row>
    <row r="2" spans="2:6" ht="15.8" customHeight="1" x14ac:dyDescent="0.3">
      <c r="B2" s="17"/>
      <c r="C2" s="17"/>
      <c r="D2" s="17"/>
      <c r="E2" s="44"/>
      <c r="F2" s="825"/>
    </row>
    <row r="3" spans="2:6" ht="15.8" customHeight="1" x14ac:dyDescent="0.25">
      <c r="B3" s="196" t="s">
        <v>142</v>
      </c>
      <c r="C3" s="197" t="s">
        <v>2110</v>
      </c>
      <c r="D3" s="197" t="s">
        <v>2111</v>
      </c>
      <c r="E3" s="198" t="s">
        <v>2112</v>
      </c>
      <c r="F3" s="825"/>
    </row>
    <row r="4" spans="2:6" ht="15.8" customHeight="1" x14ac:dyDescent="0.25">
      <c r="B4" s="199" t="s">
        <v>2113</v>
      </c>
      <c r="C4" s="200" t="s">
        <v>2114</v>
      </c>
      <c r="D4" s="201" t="s">
        <v>2115</v>
      </c>
      <c r="E4" s="202">
        <v>82217.97112221898</v>
      </c>
      <c r="F4" s="825"/>
    </row>
    <row r="5" spans="2:6" ht="15.8" customHeight="1" x14ac:dyDescent="0.3">
      <c r="B5" s="199" t="s">
        <v>2113</v>
      </c>
      <c r="C5" s="200" t="s">
        <v>2114</v>
      </c>
      <c r="D5" s="201" t="s">
        <v>2116</v>
      </c>
      <c r="E5" s="202">
        <v>226474.08747977664</v>
      </c>
      <c r="F5" s="17"/>
    </row>
    <row r="6" spans="2:6" ht="15.8" customHeight="1" x14ac:dyDescent="0.25">
      <c r="B6" s="199" t="s">
        <v>2113</v>
      </c>
      <c r="C6" s="200" t="s">
        <v>2114</v>
      </c>
      <c r="D6" s="201" t="s">
        <v>2117</v>
      </c>
      <c r="E6" s="202">
        <v>127856.661217962</v>
      </c>
      <c r="F6" s="825"/>
    </row>
    <row r="7" spans="2:6" ht="15.8" customHeight="1" x14ac:dyDescent="0.25">
      <c r="B7" s="199" t="s">
        <v>2113</v>
      </c>
      <c r="C7" s="200" t="s">
        <v>2114</v>
      </c>
      <c r="D7" s="201" t="s">
        <v>2114</v>
      </c>
      <c r="E7" s="202">
        <v>72116.864937293765</v>
      </c>
      <c r="F7" s="825"/>
    </row>
    <row r="8" spans="2:6" ht="15.8" customHeight="1" x14ac:dyDescent="0.25">
      <c r="B8" s="199" t="s">
        <v>2113</v>
      </c>
      <c r="C8" s="200" t="s">
        <v>2114</v>
      </c>
      <c r="D8" s="201" t="s">
        <v>2118</v>
      </c>
      <c r="E8" s="202">
        <v>116647.06676563101</v>
      </c>
      <c r="F8" s="825"/>
    </row>
    <row r="9" spans="2:6" ht="15.8" customHeight="1" x14ac:dyDescent="0.25">
      <c r="B9" s="199" t="s">
        <v>2119</v>
      </c>
      <c r="C9" s="200" t="s">
        <v>2120</v>
      </c>
      <c r="D9" s="201" t="s">
        <v>2121</v>
      </c>
      <c r="E9" s="202">
        <v>11821.257002829945</v>
      </c>
      <c r="F9" s="825"/>
    </row>
    <row r="10" spans="2:6" ht="15.8" customHeight="1" x14ac:dyDescent="0.25">
      <c r="B10" s="199" t="s">
        <v>2119</v>
      </c>
      <c r="C10" s="200" t="s">
        <v>2120</v>
      </c>
      <c r="D10" s="201" t="s">
        <v>2122</v>
      </c>
      <c r="E10" s="202">
        <v>6793.6268958636811</v>
      </c>
      <c r="F10" s="825"/>
    </row>
    <row r="11" spans="2:6" ht="15.8" customHeight="1" x14ac:dyDescent="0.25">
      <c r="B11" s="199" t="s">
        <v>2119</v>
      </c>
      <c r="C11" s="200" t="s">
        <v>2120</v>
      </c>
      <c r="D11" s="201" t="s">
        <v>2123</v>
      </c>
      <c r="E11" s="202">
        <v>36908.245043170704</v>
      </c>
      <c r="F11" s="825"/>
    </row>
    <row r="12" spans="2:6" ht="15.8" customHeight="1" x14ac:dyDescent="0.25">
      <c r="B12" s="199" t="s">
        <v>2119</v>
      </c>
      <c r="C12" s="200" t="s">
        <v>2120</v>
      </c>
      <c r="D12" s="201" t="s">
        <v>2120</v>
      </c>
      <c r="E12" s="202">
        <v>276253.78168147878</v>
      </c>
      <c r="F12" s="825"/>
    </row>
    <row r="13" spans="2:6" ht="15.8" customHeight="1" x14ac:dyDescent="0.25">
      <c r="B13" s="199" t="s">
        <v>2119</v>
      </c>
      <c r="C13" s="200" t="s">
        <v>2120</v>
      </c>
      <c r="D13" s="201" t="s">
        <v>2124</v>
      </c>
      <c r="E13" s="202">
        <v>58003.999763516804</v>
      </c>
      <c r="F13" s="825"/>
    </row>
    <row r="14" spans="2:6" ht="15.8" customHeight="1" x14ac:dyDescent="0.3">
      <c r="B14" s="199" t="s">
        <v>2119</v>
      </c>
      <c r="C14" s="200" t="s">
        <v>2120</v>
      </c>
      <c r="D14" s="201" t="s">
        <v>2125</v>
      </c>
      <c r="E14" s="202">
        <v>7042.2555282112453</v>
      </c>
      <c r="F14" s="17"/>
    </row>
    <row r="15" spans="2:6" ht="15.8" customHeight="1" x14ac:dyDescent="0.25">
      <c r="B15" s="199" t="s">
        <v>2119</v>
      </c>
      <c r="C15" s="200" t="s">
        <v>2126</v>
      </c>
      <c r="D15" s="201" t="s">
        <v>2127</v>
      </c>
      <c r="E15" s="202">
        <v>50742.677851942281</v>
      </c>
      <c r="F15" s="825"/>
    </row>
    <row r="16" spans="2:6" ht="15.8" customHeight="1" x14ac:dyDescent="0.25">
      <c r="B16" s="199" t="s">
        <v>2119</v>
      </c>
      <c r="C16" s="200" t="s">
        <v>2126</v>
      </c>
      <c r="D16" s="201" t="s">
        <v>2128</v>
      </c>
      <c r="E16" s="202">
        <v>17448.886945124934</v>
      </c>
      <c r="F16" s="825"/>
    </row>
    <row r="17" spans="2:6" ht="15.8" customHeight="1" x14ac:dyDescent="0.25">
      <c r="B17" s="199" t="s">
        <v>2119</v>
      </c>
      <c r="C17" s="200" t="s">
        <v>2126</v>
      </c>
      <c r="D17" s="201" t="s">
        <v>2129</v>
      </c>
      <c r="E17" s="202">
        <v>33615.849177727148</v>
      </c>
      <c r="F17" s="825"/>
    </row>
    <row r="18" spans="2:6" ht="15.8" customHeight="1" x14ac:dyDescent="0.25">
      <c r="B18" s="199" t="s">
        <v>2119</v>
      </c>
      <c r="C18" s="200" t="s">
        <v>2126</v>
      </c>
      <c r="D18" s="201" t="s">
        <v>2130</v>
      </c>
      <c r="E18" s="202">
        <v>116616.16225182614</v>
      </c>
      <c r="F18" s="825"/>
    </row>
    <row r="19" spans="2:6" ht="15.8" customHeight="1" x14ac:dyDescent="0.25">
      <c r="B19" s="199" t="s">
        <v>2119</v>
      </c>
      <c r="C19" s="200" t="s">
        <v>2126</v>
      </c>
      <c r="D19" s="201" t="s">
        <v>2131</v>
      </c>
      <c r="E19" s="202">
        <v>5177.7817287144671</v>
      </c>
      <c r="F19" s="825"/>
    </row>
    <row r="20" spans="2:6" ht="15.8" customHeight="1" x14ac:dyDescent="0.25">
      <c r="B20" s="199" t="s">
        <v>2119</v>
      </c>
      <c r="C20" s="200" t="s">
        <v>2126</v>
      </c>
      <c r="D20" s="201" t="s">
        <v>2126</v>
      </c>
      <c r="E20" s="202">
        <v>20425.718408814166</v>
      </c>
      <c r="F20" s="825"/>
    </row>
    <row r="21" spans="2:6" ht="15.8" customHeight="1" x14ac:dyDescent="0.25">
      <c r="B21" s="199" t="s">
        <v>2119</v>
      </c>
      <c r="C21" s="200" t="s">
        <v>2126</v>
      </c>
      <c r="D21" s="201" t="s">
        <v>2132</v>
      </c>
      <c r="E21" s="202">
        <v>6995.6196735647445</v>
      </c>
      <c r="F21" s="825"/>
    </row>
    <row r="22" spans="2:6" ht="15.8" customHeight="1" x14ac:dyDescent="0.25">
      <c r="B22" s="199" t="s">
        <v>2119</v>
      </c>
      <c r="C22" s="200" t="s">
        <v>2126</v>
      </c>
      <c r="D22" s="201" t="s">
        <v>2133</v>
      </c>
      <c r="E22" s="202">
        <v>8098.044175822346</v>
      </c>
      <c r="F22" s="825"/>
    </row>
    <row r="23" spans="2:6" ht="15.8" customHeight="1" x14ac:dyDescent="0.25">
      <c r="B23" s="199" t="s">
        <v>2119</v>
      </c>
      <c r="C23" s="200" t="s">
        <v>2126</v>
      </c>
      <c r="D23" s="201" t="s">
        <v>2134</v>
      </c>
      <c r="E23" s="202">
        <v>6047.7090195442552</v>
      </c>
      <c r="F23" s="825"/>
    </row>
    <row r="24" spans="2:6" ht="15.8" customHeight="1" x14ac:dyDescent="0.25">
      <c r="B24" s="199" t="s">
        <v>2135</v>
      </c>
      <c r="C24" s="200" t="s">
        <v>2136</v>
      </c>
      <c r="D24" s="201" t="s">
        <v>2137</v>
      </c>
      <c r="E24" s="202">
        <v>104882.05298028846</v>
      </c>
      <c r="F24" s="825"/>
    </row>
    <row r="25" spans="2:6" ht="15.8" customHeight="1" x14ac:dyDescent="0.25">
      <c r="B25" s="199" t="s">
        <v>2135</v>
      </c>
      <c r="C25" s="200" t="s">
        <v>2136</v>
      </c>
      <c r="D25" s="201" t="s">
        <v>2138</v>
      </c>
      <c r="E25" s="202">
        <v>134070.31812231566</v>
      </c>
      <c r="F25" s="825"/>
    </row>
    <row r="26" spans="2:6" ht="15.8" customHeight="1" x14ac:dyDescent="0.25">
      <c r="B26" s="199" t="s">
        <v>2135</v>
      </c>
      <c r="C26" s="200" t="s">
        <v>2139</v>
      </c>
      <c r="D26" s="201" t="s">
        <v>2140</v>
      </c>
      <c r="E26" s="202">
        <v>110783.57157714301</v>
      </c>
      <c r="F26" s="825"/>
    </row>
    <row r="27" spans="2:6" ht="15.8" customHeight="1" x14ac:dyDescent="0.3">
      <c r="B27" s="199" t="s">
        <v>2135</v>
      </c>
      <c r="C27" s="200" t="s">
        <v>2139</v>
      </c>
      <c r="D27" s="201" t="s">
        <v>2141</v>
      </c>
      <c r="E27" s="202">
        <v>28360.265132080669</v>
      </c>
      <c r="F27" s="17"/>
    </row>
    <row r="28" spans="2:6" ht="15.8" customHeight="1" x14ac:dyDescent="0.25">
      <c r="B28" s="199" t="s">
        <v>2135</v>
      </c>
      <c r="C28" s="200" t="s">
        <v>2139</v>
      </c>
      <c r="D28" s="201" t="s">
        <v>2142</v>
      </c>
      <c r="E28" s="202">
        <v>43526.377265714276</v>
      </c>
      <c r="F28" s="825"/>
    </row>
    <row r="29" spans="2:6" ht="15.8" customHeight="1" x14ac:dyDescent="0.25">
      <c r="B29" s="199" t="s">
        <v>2135</v>
      </c>
      <c r="C29" s="200" t="s">
        <v>2139</v>
      </c>
      <c r="D29" s="201" t="s">
        <v>2143</v>
      </c>
      <c r="E29" s="202">
        <v>165722.09427186075</v>
      </c>
      <c r="F29" s="825"/>
    </row>
    <row r="30" spans="2:6" ht="15.8" customHeight="1" x14ac:dyDescent="0.25">
      <c r="B30" s="199" t="s">
        <v>2135</v>
      </c>
      <c r="C30" s="200" t="s">
        <v>2139</v>
      </c>
      <c r="D30" s="201" t="s">
        <v>2144</v>
      </c>
      <c r="E30" s="202">
        <v>103058.93162312976</v>
      </c>
      <c r="F30" s="825"/>
    </row>
    <row r="31" spans="2:6" ht="15.8" customHeight="1" x14ac:dyDescent="0.25">
      <c r="B31" s="199" t="s">
        <v>2145</v>
      </c>
      <c r="C31" s="200" t="s">
        <v>2146</v>
      </c>
      <c r="D31" s="201" t="s">
        <v>2147</v>
      </c>
      <c r="E31" s="202">
        <v>602319.2476507182</v>
      </c>
      <c r="F31" s="825"/>
    </row>
    <row r="32" spans="2:6" ht="15.8" customHeight="1" x14ac:dyDescent="0.25">
      <c r="B32" s="199" t="s">
        <v>2145</v>
      </c>
      <c r="C32" s="200" t="s">
        <v>2146</v>
      </c>
      <c r="D32" s="201" t="s">
        <v>2148</v>
      </c>
      <c r="E32" s="202">
        <v>113199.69680633685</v>
      </c>
      <c r="F32" s="825"/>
    </row>
    <row r="33" spans="2:6" ht="15.8" customHeight="1" x14ac:dyDescent="0.3">
      <c r="B33" s="199" t="s">
        <v>2145</v>
      </c>
      <c r="C33" s="200" t="s">
        <v>2146</v>
      </c>
      <c r="D33" s="201" t="s">
        <v>2146</v>
      </c>
      <c r="E33" s="202">
        <v>33564.992410398663</v>
      </c>
      <c r="F33" s="17"/>
    </row>
    <row r="34" spans="2:6" ht="15.8" customHeight="1" x14ac:dyDescent="0.3">
      <c r="B34" s="199" t="s">
        <v>2145</v>
      </c>
      <c r="C34" s="200" t="s">
        <v>2146</v>
      </c>
      <c r="D34" s="201" t="s">
        <v>2149</v>
      </c>
      <c r="E34" s="202">
        <v>26962.2233405427</v>
      </c>
      <c r="F34" s="17"/>
    </row>
    <row r="35" spans="2:6" ht="15.8" customHeight="1" x14ac:dyDescent="0.25">
      <c r="B35" s="199" t="s">
        <v>2145</v>
      </c>
      <c r="C35" s="200" t="s">
        <v>2146</v>
      </c>
      <c r="D35" s="201" t="s">
        <v>2150</v>
      </c>
      <c r="E35" s="202">
        <v>35610.68945698499</v>
      </c>
      <c r="F35" s="825"/>
    </row>
    <row r="36" spans="2:6" ht="15.8" customHeight="1" x14ac:dyDescent="0.25">
      <c r="B36" s="199" t="s">
        <v>2145</v>
      </c>
      <c r="C36" s="200" t="s">
        <v>2146</v>
      </c>
      <c r="D36" s="201" t="s">
        <v>2151</v>
      </c>
      <c r="E36" s="202">
        <v>10607.43053039878</v>
      </c>
      <c r="F36" s="825"/>
    </row>
    <row r="37" spans="2:6" ht="15.8" customHeight="1" x14ac:dyDescent="0.25">
      <c r="B37" s="199" t="s">
        <v>2145</v>
      </c>
      <c r="C37" s="200" t="s">
        <v>2152</v>
      </c>
      <c r="D37" s="201" t="s">
        <v>2153</v>
      </c>
      <c r="E37" s="202">
        <v>17573.847395823061</v>
      </c>
      <c r="F37" s="825"/>
    </row>
    <row r="38" spans="2:6" ht="15.8" customHeight="1" x14ac:dyDescent="0.25">
      <c r="B38" s="199" t="s">
        <v>2145</v>
      </c>
      <c r="C38" s="200" t="s">
        <v>2152</v>
      </c>
      <c r="D38" s="201" t="s">
        <v>2154</v>
      </c>
      <c r="E38" s="202">
        <v>25814.42000278422</v>
      </c>
      <c r="F38" s="825"/>
    </row>
    <row r="39" spans="2:6" ht="15.8" customHeight="1" x14ac:dyDescent="0.3">
      <c r="B39" s="199" t="s">
        <v>2145</v>
      </c>
      <c r="C39" s="200" t="s">
        <v>2152</v>
      </c>
      <c r="D39" s="201" t="s">
        <v>2155</v>
      </c>
      <c r="E39" s="202">
        <v>49534.753128546188</v>
      </c>
      <c r="F39" s="17"/>
    </row>
    <row r="40" spans="2:6" ht="15.8" customHeight="1" x14ac:dyDescent="0.25">
      <c r="B40" s="199" t="s">
        <v>2145</v>
      </c>
      <c r="C40" s="200" t="s">
        <v>2152</v>
      </c>
      <c r="D40" s="201" t="s">
        <v>2156</v>
      </c>
      <c r="E40" s="202">
        <v>26839.787170712705</v>
      </c>
      <c r="F40" s="825"/>
    </row>
    <row r="41" spans="2:6" ht="15.8" customHeight="1" x14ac:dyDescent="0.25">
      <c r="B41" s="199" t="s">
        <v>2145</v>
      </c>
      <c r="C41" s="200" t="s">
        <v>2152</v>
      </c>
      <c r="D41" s="201" t="s">
        <v>2157</v>
      </c>
      <c r="E41" s="202">
        <v>7816.2144782595742</v>
      </c>
      <c r="F41" s="825"/>
    </row>
    <row r="42" spans="2:6" ht="15.8" customHeight="1" x14ac:dyDescent="0.3">
      <c r="B42" s="199" t="s">
        <v>2145</v>
      </c>
      <c r="C42" s="200" t="s">
        <v>2149</v>
      </c>
      <c r="D42" s="201" t="s">
        <v>2158</v>
      </c>
      <c r="E42" s="202">
        <v>140617.13735818586</v>
      </c>
      <c r="F42" s="17"/>
    </row>
    <row r="43" spans="2:6" ht="15.8" customHeight="1" x14ac:dyDescent="0.25">
      <c r="B43" s="199" t="s">
        <v>2145</v>
      </c>
      <c r="C43" s="200" t="s">
        <v>2149</v>
      </c>
      <c r="D43" s="201" t="s">
        <v>2159</v>
      </c>
      <c r="E43" s="202">
        <v>5135.62655123484</v>
      </c>
      <c r="F43" s="825"/>
    </row>
    <row r="44" spans="2:6" ht="15.8" customHeight="1" x14ac:dyDescent="0.25">
      <c r="B44" s="199" t="s">
        <v>2145</v>
      </c>
      <c r="C44" s="200" t="s">
        <v>2149</v>
      </c>
      <c r="D44" s="201" t="s">
        <v>2160</v>
      </c>
      <c r="E44" s="202">
        <v>18858.215608406474</v>
      </c>
      <c r="F44" s="825"/>
    </row>
    <row r="45" spans="2:6" ht="15.8" customHeight="1" x14ac:dyDescent="0.25">
      <c r="B45" s="199" t="s">
        <v>2145</v>
      </c>
      <c r="C45" s="200" t="s">
        <v>2149</v>
      </c>
      <c r="D45" s="201" t="s">
        <v>2161</v>
      </c>
      <c r="E45" s="202">
        <v>15275.13466366272</v>
      </c>
      <c r="F45" s="825"/>
    </row>
    <row r="46" spans="2:6" ht="15.8" customHeight="1" x14ac:dyDescent="0.3">
      <c r="B46" s="199" t="s">
        <v>2145</v>
      </c>
      <c r="C46" s="200" t="s">
        <v>2149</v>
      </c>
      <c r="D46" s="201" t="s">
        <v>2162</v>
      </c>
      <c r="E46" s="202">
        <v>539075.50209202222</v>
      </c>
      <c r="F46" s="17"/>
    </row>
    <row r="47" spans="2:6" ht="15.8" customHeight="1" x14ac:dyDescent="0.25">
      <c r="B47" s="199" t="s">
        <v>2145</v>
      </c>
      <c r="C47" s="200" t="s">
        <v>2149</v>
      </c>
      <c r="D47" s="201" t="s">
        <v>2163</v>
      </c>
      <c r="E47" s="202">
        <v>3115.3792467810849</v>
      </c>
      <c r="F47" s="825"/>
    </row>
    <row r="48" spans="2:6" ht="15.8" customHeight="1" x14ac:dyDescent="0.25">
      <c r="B48" s="199" t="s">
        <v>2145</v>
      </c>
      <c r="C48" s="200" t="s">
        <v>2136</v>
      </c>
      <c r="D48" s="201" t="s">
        <v>2164</v>
      </c>
      <c r="E48" s="202">
        <v>26439.749500094433</v>
      </c>
      <c r="F48" s="825"/>
    </row>
    <row r="49" spans="2:6" ht="15.8" customHeight="1" x14ac:dyDescent="0.25">
      <c r="B49" s="199" t="s">
        <v>2145</v>
      </c>
      <c r="C49" s="200" t="s">
        <v>2136</v>
      </c>
      <c r="D49" s="201" t="s">
        <v>2165</v>
      </c>
      <c r="E49" s="202">
        <v>19047.280094805868</v>
      </c>
      <c r="F49" s="825"/>
    </row>
    <row r="50" spans="2:6" ht="15.8" customHeight="1" x14ac:dyDescent="0.25">
      <c r="B50" s="199" t="s">
        <v>2145</v>
      </c>
      <c r="C50" s="200" t="s">
        <v>2136</v>
      </c>
      <c r="D50" s="201" t="s">
        <v>2136</v>
      </c>
      <c r="E50" s="202">
        <v>8619.8404718265665</v>
      </c>
      <c r="F50" s="825"/>
    </row>
    <row r="51" spans="2:6" ht="15.8" customHeight="1" x14ac:dyDescent="0.3">
      <c r="B51" s="199" t="s">
        <v>2145</v>
      </c>
      <c r="C51" s="200" t="s">
        <v>2136</v>
      </c>
      <c r="D51" s="201" t="s">
        <v>2166</v>
      </c>
      <c r="E51" s="202">
        <v>57089.506359068386</v>
      </c>
      <c r="F51" s="17"/>
    </row>
    <row r="52" spans="2:6" ht="15.8" customHeight="1" x14ac:dyDescent="0.25">
      <c r="B52" s="199" t="s">
        <v>2145</v>
      </c>
      <c r="C52" s="200" t="s">
        <v>2136</v>
      </c>
      <c r="D52" s="201" t="s">
        <v>2167</v>
      </c>
      <c r="E52" s="202">
        <v>4082.4469338020526</v>
      </c>
      <c r="F52" s="825"/>
    </row>
    <row r="53" spans="2:6" ht="15.8" customHeight="1" x14ac:dyDescent="0.25">
      <c r="B53" s="199" t="s">
        <v>2145</v>
      </c>
      <c r="C53" s="200" t="s">
        <v>2136</v>
      </c>
      <c r="D53" s="201" t="s">
        <v>2168</v>
      </c>
      <c r="E53" s="202">
        <v>63155.308478983272</v>
      </c>
      <c r="F53" s="825"/>
    </row>
    <row r="54" spans="2:6" ht="15.8" customHeight="1" x14ac:dyDescent="0.3">
      <c r="B54" s="199" t="s">
        <v>2145</v>
      </c>
      <c r="C54" s="200" t="s">
        <v>2136</v>
      </c>
      <c r="D54" s="201" t="s">
        <v>2169</v>
      </c>
      <c r="E54" s="202">
        <v>3526.203563730613</v>
      </c>
      <c r="F54" s="17"/>
    </row>
    <row r="55" spans="2:6" ht="15.8" customHeight="1" x14ac:dyDescent="0.25">
      <c r="B55" s="199" t="s">
        <v>2145</v>
      </c>
      <c r="C55" s="200" t="s">
        <v>2136</v>
      </c>
      <c r="D55" s="201" t="s">
        <v>2170</v>
      </c>
      <c r="E55" s="202">
        <v>39192.598440198541</v>
      </c>
      <c r="F55" s="825"/>
    </row>
    <row r="56" spans="2:6" ht="15.8" customHeight="1" x14ac:dyDescent="0.25">
      <c r="B56" s="199" t="s">
        <v>2145</v>
      </c>
      <c r="C56" s="200" t="s">
        <v>2136</v>
      </c>
      <c r="D56" s="201" t="s">
        <v>2171</v>
      </c>
      <c r="E56" s="202">
        <v>17985.645061625517</v>
      </c>
      <c r="F56" s="825"/>
    </row>
    <row r="57" spans="2:6" ht="15.8" customHeight="1" x14ac:dyDescent="0.25">
      <c r="B57" s="199" t="s">
        <v>2145</v>
      </c>
      <c r="C57" s="200" t="s">
        <v>2172</v>
      </c>
      <c r="D57" s="201" t="s">
        <v>2173</v>
      </c>
      <c r="E57" s="202">
        <v>200924.200144325</v>
      </c>
      <c r="F57" s="825"/>
    </row>
    <row r="58" spans="2:6" ht="15.8" customHeight="1" x14ac:dyDescent="0.25">
      <c r="B58" s="199" t="s">
        <v>2145</v>
      </c>
      <c r="C58" s="200" t="s">
        <v>2172</v>
      </c>
      <c r="D58" s="201" t="s">
        <v>2174</v>
      </c>
      <c r="E58" s="202">
        <v>559786.1641814959</v>
      </c>
      <c r="F58" s="825"/>
    </row>
    <row r="59" spans="2:6" ht="15.8" customHeight="1" x14ac:dyDescent="0.25">
      <c r="B59" s="199" t="s">
        <v>2145</v>
      </c>
      <c r="C59" s="200" t="s">
        <v>2172</v>
      </c>
      <c r="D59" s="201" t="s">
        <v>2175</v>
      </c>
      <c r="E59" s="202">
        <v>34003.687708086931</v>
      </c>
      <c r="F59" s="825"/>
    </row>
    <row r="60" spans="2:6" ht="15.8" customHeight="1" x14ac:dyDescent="0.25">
      <c r="B60" s="199" t="s">
        <v>2145</v>
      </c>
      <c r="C60" s="200" t="s">
        <v>2172</v>
      </c>
      <c r="D60" s="201" t="s">
        <v>2176</v>
      </c>
      <c r="E60" s="202">
        <v>105447.61394669322</v>
      </c>
      <c r="F60" s="825"/>
    </row>
    <row r="61" spans="2:6" ht="15.8" customHeight="1" x14ac:dyDescent="0.25">
      <c r="B61" s="199" t="s">
        <v>2145</v>
      </c>
      <c r="C61" s="200" t="s">
        <v>2172</v>
      </c>
      <c r="D61" s="201" t="s">
        <v>2177</v>
      </c>
      <c r="E61" s="202">
        <v>32161.833518914631</v>
      </c>
      <c r="F61" s="825"/>
    </row>
    <row r="62" spans="2:6" ht="15.8" customHeight="1" x14ac:dyDescent="0.25">
      <c r="B62" s="199" t="s">
        <v>2145</v>
      </c>
      <c r="C62" s="200" t="s">
        <v>2178</v>
      </c>
      <c r="D62" s="201" t="s">
        <v>2179</v>
      </c>
      <c r="E62" s="202">
        <v>27725.171291295592</v>
      </c>
      <c r="F62" s="825"/>
    </row>
    <row r="63" spans="2:6" ht="15.8" customHeight="1" x14ac:dyDescent="0.25">
      <c r="B63" s="199" t="s">
        <v>2145</v>
      </c>
      <c r="C63" s="200" t="s">
        <v>2178</v>
      </c>
      <c r="D63" s="201" t="s">
        <v>2180</v>
      </c>
      <c r="E63" s="202">
        <v>10527.938522048058</v>
      </c>
      <c r="F63" s="825"/>
    </row>
    <row r="64" spans="2:6" ht="15.8" customHeight="1" x14ac:dyDescent="0.25">
      <c r="B64" s="199" t="s">
        <v>2145</v>
      </c>
      <c r="C64" s="200" t="s">
        <v>2178</v>
      </c>
      <c r="D64" s="201" t="s">
        <v>2178</v>
      </c>
      <c r="E64" s="202">
        <v>19157.794973682601</v>
      </c>
      <c r="F64" s="825"/>
    </row>
    <row r="65" spans="2:6" ht="15.8" customHeight="1" x14ac:dyDescent="0.25">
      <c r="B65" s="199" t="s">
        <v>2145</v>
      </c>
      <c r="C65" s="200" t="s">
        <v>2178</v>
      </c>
      <c r="D65" s="201" t="s">
        <v>2181</v>
      </c>
      <c r="E65" s="202">
        <v>7425.0541148148059</v>
      </c>
      <c r="F65" s="825"/>
    </row>
    <row r="66" spans="2:6" ht="15.8" customHeight="1" x14ac:dyDescent="0.25">
      <c r="B66" s="199" t="s">
        <v>2145</v>
      </c>
      <c r="C66" s="200" t="s">
        <v>2178</v>
      </c>
      <c r="D66" s="201" t="s">
        <v>2182</v>
      </c>
      <c r="E66" s="202">
        <v>20408.221201053409</v>
      </c>
      <c r="F66" s="825"/>
    </row>
    <row r="67" spans="2:6" ht="15.8" customHeight="1" x14ac:dyDescent="0.3">
      <c r="B67" s="199" t="s">
        <v>2145</v>
      </c>
      <c r="C67" s="200" t="s">
        <v>2178</v>
      </c>
      <c r="D67" s="201" t="s">
        <v>2183</v>
      </c>
      <c r="E67" s="202">
        <v>4381.4883136731569</v>
      </c>
      <c r="F67" s="17"/>
    </row>
    <row r="68" spans="2:6" ht="15.8" customHeight="1" x14ac:dyDescent="0.25">
      <c r="B68" s="199" t="s">
        <v>2145</v>
      </c>
      <c r="C68" s="200" t="s">
        <v>2178</v>
      </c>
      <c r="D68" s="201" t="s">
        <v>2184</v>
      </c>
      <c r="E68" s="202">
        <v>6297.677420293774</v>
      </c>
      <c r="F68" s="825"/>
    </row>
    <row r="69" spans="2:6" ht="15.8" customHeight="1" x14ac:dyDescent="0.25">
      <c r="B69" s="199" t="s">
        <v>2145</v>
      </c>
      <c r="C69" s="200" t="s">
        <v>2178</v>
      </c>
      <c r="D69" s="201" t="s">
        <v>2185</v>
      </c>
      <c r="E69" s="202">
        <v>42182.606832325597</v>
      </c>
      <c r="F69" s="825"/>
    </row>
    <row r="70" spans="2:6" ht="15.8" customHeight="1" x14ac:dyDescent="0.25">
      <c r="B70" s="199" t="s">
        <v>2145</v>
      </c>
      <c r="C70" s="200" t="s">
        <v>2178</v>
      </c>
      <c r="D70" s="201" t="s">
        <v>2186</v>
      </c>
      <c r="E70" s="202">
        <v>33318.351236772985</v>
      </c>
      <c r="F70" s="825"/>
    </row>
    <row r="71" spans="2:6" ht="15.8" customHeight="1" x14ac:dyDescent="0.25">
      <c r="B71" s="199" t="s">
        <v>2145</v>
      </c>
      <c r="C71" s="200" t="s">
        <v>2178</v>
      </c>
      <c r="D71" s="201" t="s">
        <v>2187</v>
      </c>
      <c r="E71" s="202">
        <v>34417.320362957267</v>
      </c>
      <c r="F71" s="825"/>
    </row>
    <row r="72" spans="2:6" ht="15.8" customHeight="1" x14ac:dyDescent="0.25">
      <c r="B72" s="199" t="s">
        <v>2145</v>
      </c>
      <c r="C72" s="200" t="s">
        <v>2139</v>
      </c>
      <c r="D72" s="201" t="s">
        <v>2188</v>
      </c>
      <c r="E72" s="202">
        <v>4962.0837305676041</v>
      </c>
      <c r="F72" s="825"/>
    </row>
    <row r="73" spans="2:6" ht="15.8" customHeight="1" x14ac:dyDescent="0.25">
      <c r="B73" s="199" t="s">
        <v>2145</v>
      </c>
      <c r="C73" s="200" t="s">
        <v>2139</v>
      </c>
      <c r="D73" s="201" t="s">
        <v>2189</v>
      </c>
      <c r="E73" s="202">
        <v>4505.7330038328264</v>
      </c>
      <c r="F73" s="825"/>
    </row>
    <row r="74" spans="2:6" ht="15.8" customHeight="1" x14ac:dyDescent="0.3">
      <c r="B74" s="199" t="s">
        <v>2145</v>
      </c>
      <c r="C74" s="200" t="s">
        <v>2139</v>
      </c>
      <c r="D74" s="201" t="s">
        <v>2190</v>
      </c>
      <c r="E74" s="202">
        <v>22202.391157347447</v>
      </c>
      <c r="F74" s="17"/>
    </row>
    <row r="75" spans="2:6" ht="15.8" customHeight="1" x14ac:dyDescent="0.25">
      <c r="B75" s="199" t="s">
        <v>2145</v>
      </c>
      <c r="C75" s="200" t="s">
        <v>2139</v>
      </c>
      <c r="D75" s="201" t="s">
        <v>2191</v>
      </c>
      <c r="E75" s="202">
        <v>23671.885351559267</v>
      </c>
      <c r="F75" s="825"/>
    </row>
    <row r="76" spans="2:6" ht="15.8" customHeight="1" x14ac:dyDescent="0.25">
      <c r="B76" s="199" t="s">
        <v>2145</v>
      </c>
      <c r="C76" s="200" t="s">
        <v>2139</v>
      </c>
      <c r="D76" s="201" t="s">
        <v>2192</v>
      </c>
      <c r="E76" s="202">
        <v>5245.9795532657599</v>
      </c>
      <c r="F76" s="825"/>
    </row>
    <row r="77" spans="2:6" ht="15.8" customHeight="1" x14ac:dyDescent="0.25">
      <c r="B77" s="199" t="s">
        <v>2145</v>
      </c>
      <c r="C77" s="200" t="s">
        <v>2139</v>
      </c>
      <c r="D77" s="201" t="s">
        <v>2193</v>
      </c>
      <c r="E77" s="202">
        <v>12522.633147401852</v>
      </c>
      <c r="F77" s="825"/>
    </row>
    <row r="78" spans="2:6" ht="15.8" customHeight="1" x14ac:dyDescent="0.25">
      <c r="B78" s="199" t="s">
        <v>2145</v>
      </c>
      <c r="C78" s="200" t="s">
        <v>2139</v>
      </c>
      <c r="D78" s="201" t="s">
        <v>2194</v>
      </c>
      <c r="E78" s="202">
        <v>16821.646487671263</v>
      </c>
      <c r="F78" s="825"/>
    </row>
    <row r="79" spans="2:6" ht="15.8" customHeight="1" x14ac:dyDescent="0.25">
      <c r="B79" s="199" t="s">
        <v>2145</v>
      </c>
      <c r="C79" s="200" t="s">
        <v>2139</v>
      </c>
      <c r="D79" s="201" t="s">
        <v>2195</v>
      </c>
      <c r="E79" s="202">
        <v>13316.978414881236</v>
      </c>
      <c r="F79" s="825"/>
    </row>
    <row r="80" spans="2:6" ht="15.8" customHeight="1" x14ac:dyDescent="0.25">
      <c r="B80" s="199" t="s">
        <v>2145</v>
      </c>
      <c r="C80" s="200" t="s">
        <v>2139</v>
      </c>
      <c r="D80" s="201" t="s">
        <v>2196</v>
      </c>
      <c r="E80" s="202">
        <v>4538.5814845601462</v>
      </c>
      <c r="F80" s="825"/>
    </row>
    <row r="81" spans="2:6" ht="15.8" customHeight="1" x14ac:dyDescent="0.25">
      <c r="B81" s="203" t="s">
        <v>141</v>
      </c>
      <c r="C81" s="203"/>
      <c r="D81" s="203"/>
      <c r="E81" s="204">
        <v>5134719.7905390197</v>
      </c>
      <c r="F81" s="208"/>
    </row>
    <row r="82" spans="2:6" s="207" customFormat="1" ht="15.8" customHeight="1" x14ac:dyDescent="0.25">
      <c r="B82" s="205"/>
      <c r="C82" s="205"/>
      <c r="D82" s="205"/>
      <c r="E82" s="206"/>
    </row>
    <row r="83" spans="2:6" ht="15.8" customHeight="1" x14ac:dyDescent="0.3">
      <c r="B83" s="45" t="s">
        <v>2197</v>
      </c>
      <c r="C83" s="45" t="s">
        <v>108</v>
      </c>
      <c r="D83" s="46" t="s">
        <v>109</v>
      </c>
      <c r="E83" s="46" t="s">
        <v>2198</v>
      </c>
      <c r="F83" s="825"/>
    </row>
    <row r="84" spans="2:6" ht="15.8" customHeight="1" x14ac:dyDescent="0.3">
      <c r="B84" s="2" t="s">
        <v>2199</v>
      </c>
      <c r="C84" s="5">
        <v>1</v>
      </c>
      <c r="D84" s="47">
        <v>5</v>
      </c>
      <c r="E84" s="6">
        <f>SUM(E4:E8)</f>
        <v>625312.6515228824</v>
      </c>
      <c r="F84" s="208"/>
    </row>
    <row r="85" spans="2:6" ht="15.8" customHeight="1" x14ac:dyDescent="0.3">
      <c r="B85" s="2" t="s">
        <v>2200</v>
      </c>
      <c r="C85" s="5">
        <v>2</v>
      </c>
      <c r="D85" s="47">
        <v>15</v>
      </c>
      <c r="E85" s="6">
        <f>SUM(E9:E23)</f>
        <v>661991.61514815176</v>
      </c>
      <c r="F85" s="825"/>
    </row>
    <row r="86" spans="2:6" ht="15.8" customHeight="1" x14ac:dyDescent="0.3">
      <c r="B86" s="2" t="s">
        <v>2201</v>
      </c>
      <c r="C86" s="5">
        <v>2</v>
      </c>
      <c r="D86" s="47">
        <v>7</v>
      </c>
      <c r="E86" s="6">
        <f>SUM(E24:E30)</f>
        <v>690403.61097253254</v>
      </c>
      <c r="F86" s="825"/>
    </row>
    <row r="87" spans="2:6" ht="15.8" customHeight="1" x14ac:dyDescent="0.3">
      <c r="B87" s="2" t="s">
        <v>2202</v>
      </c>
      <c r="C87" s="5">
        <v>7</v>
      </c>
      <c r="D87" s="47">
        <v>50</v>
      </c>
      <c r="E87" s="6">
        <f>SUM(E31:E80)</f>
        <v>3157011.9128954536</v>
      </c>
      <c r="F87" s="825"/>
    </row>
    <row r="88" spans="2:6" ht="15.8" customHeight="1" x14ac:dyDescent="0.25">
      <c r="B88" s="7" t="s">
        <v>116</v>
      </c>
      <c r="C88" s="8">
        <v>10</v>
      </c>
      <c r="D88" s="48">
        <f t="shared" ref="D88" si="0">SUBTOTAL(9,D84:D87)</f>
        <v>77</v>
      </c>
      <c r="E88" s="9">
        <f>SUM(E84:E87)</f>
        <v>5134719.7905390207</v>
      </c>
      <c r="F88" s="825"/>
    </row>
    <row r="89" spans="2:6" ht="15.8" customHeight="1" x14ac:dyDescent="0.3">
      <c r="B89" s="17"/>
      <c r="C89" s="17"/>
      <c r="D89" s="17"/>
      <c r="E89" s="44"/>
      <c r="F89" s="825"/>
    </row>
    <row r="90" spans="2:6" ht="15.8" customHeight="1" x14ac:dyDescent="0.3">
      <c r="B90" s="17"/>
      <c r="C90" s="17"/>
      <c r="D90" s="17"/>
      <c r="E90" s="44"/>
      <c r="F90" s="825"/>
    </row>
    <row r="91" spans="2:6" ht="15.8" customHeight="1" x14ac:dyDescent="0.3">
      <c r="B91" s="17"/>
      <c r="C91" s="17"/>
      <c r="D91" s="17"/>
      <c r="E91" s="44"/>
      <c r="F91" s="825"/>
    </row>
    <row r="92" spans="2:6" ht="15.8" customHeight="1" x14ac:dyDescent="0.3">
      <c r="B92" s="17"/>
      <c r="C92" s="17"/>
      <c r="D92" s="17"/>
      <c r="E92" s="44"/>
      <c r="F92" s="825"/>
    </row>
    <row r="93" spans="2:6" ht="15.8" customHeight="1" x14ac:dyDescent="0.3">
      <c r="B93" s="17"/>
      <c r="C93" s="17"/>
      <c r="D93" s="17"/>
      <c r="E93" s="44"/>
      <c r="F93" s="825"/>
    </row>
    <row r="94" spans="2:6" ht="15.8" customHeight="1" x14ac:dyDescent="0.3">
      <c r="B94" s="17"/>
      <c r="C94" s="17"/>
      <c r="D94" s="17"/>
      <c r="E94" s="44"/>
      <c r="F94" s="825"/>
    </row>
    <row r="95" spans="2:6" ht="15.8" customHeight="1" x14ac:dyDescent="0.3">
      <c r="B95" s="17"/>
      <c r="C95" s="17"/>
      <c r="D95" s="17"/>
      <c r="E95" s="44"/>
      <c r="F95" s="825"/>
    </row>
    <row r="96" spans="2:6" ht="15.8" customHeight="1" x14ac:dyDescent="0.3">
      <c r="B96" s="17"/>
      <c r="C96" s="17"/>
      <c r="D96" s="17"/>
      <c r="E96" s="44"/>
      <c r="F96" s="825"/>
    </row>
    <row r="97" spans="2:5" ht="15.8" customHeight="1" x14ac:dyDescent="0.3">
      <c r="B97" s="17"/>
      <c r="C97" s="17"/>
      <c r="D97" s="17"/>
      <c r="E97" s="44"/>
    </row>
    <row r="98" spans="2:5" ht="15.8" customHeight="1" x14ac:dyDescent="0.3">
      <c r="B98" s="17"/>
      <c r="C98" s="17"/>
      <c r="D98" s="17"/>
      <c r="E98" s="44"/>
    </row>
    <row r="99" spans="2:5" ht="15.8" customHeight="1" x14ac:dyDescent="0.3">
      <c r="B99" s="17"/>
      <c r="C99" s="17"/>
      <c r="D99" s="17"/>
      <c r="E99" s="44"/>
    </row>
    <row r="100" spans="2:5" ht="15.8" customHeight="1" x14ac:dyDescent="0.3">
      <c r="B100" s="17"/>
      <c r="C100" s="17"/>
      <c r="D100" s="17"/>
      <c r="E100" s="44"/>
    </row>
    <row r="101" spans="2:5" ht="15.8" customHeight="1" x14ac:dyDescent="0.3">
      <c r="B101" s="17"/>
      <c r="C101" s="17"/>
      <c r="D101" s="17"/>
      <c r="E101" s="44"/>
    </row>
    <row r="102" spans="2:5" ht="15.8" customHeight="1" x14ac:dyDescent="0.3">
      <c r="B102" s="17"/>
      <c r="C102" s="17"/>
      <c r="D102" s="17"/>
      <c r="E102" s="44"/>
    </row>
    <row r="103" spans="2:5" ht="15.8" customHeight="1" x14ac:dyDescent="0.3">
      <c r="B103" s="17"/>
      <c r="C103" s="17"/>
      <c r="D103" s="17"/>
      <c r="E103" s="44"/>
    </row>
    <row r="104" spans="2:5" ht="15.8" customHeight="1" x14ac:dyDescent="0.3">
      <c r="B104" s="17"/>
      <c r="C104" s="17"/>
      <c r="D104" s="17"/>
      <c r="E104" s="44"/>
    </row>
    <row r="105" spans="2:5" ht="15.8" customHeight="1" x14ac:dyDescent="0.3">
      <c r="B105" s="17"/>
      <c r="C105" s="17"/>
      <c r="D105" s="17"/>
      <c r="E105" s="44"/>
    </row>
    <row r="106" spans="2:5" ht="15.8" customHeight="1" x14ac:dyDescent="0.3">
      <c r="B106" s="17"/>
      <c r="C106" s="17"/>
      <c r="D106" s="17"/>
      <c r="E106" s="44"/>
    </row>
    <row r="107" spans="2:5" ht="15.8" customHeight="1" x14ac:dyDescent="0.3">
      <c r="B107" s="17"/>
      <c r="C107" s="17"/>
      <c r="D107" s="17"/>
      <c r="E107" s="44"/>
    </row>
    <row r="108" spans="2:5" ht="15.8" customHeight="1" x14ac:dyDescent="0.3">
      <c r="B108" s="17"/>
      <c r="C108" s="17"/>
      <c r="D108" s="17"/>
      <c r="E108" s="44"/>
    </row>
    <row r="109" spans="2:5" ht="15.8" customHeight="1" x14ac:dyDescent="0.3">
      <c r="B109" s="17"/>
      <c r="C109" s="17"/>
      <c r="D109" s="17"/>
      <c r="E109" s="44"/>
    </row>
    <row r="110" spans="2:5" ht="15.8" customHeight="1" x14ac:dyDescent="0.3">
      <c r="B110" s="17"/>
      <c r="C110" s="17"/>
      <c r="D110" s="17"/>
      <c r="E110" s="44"/>
    </row>
    <row r="111" spans="2:5" ht="15.8" customHeight="1" x14ac:dyDescent="0.3">
      <c r="B111" s="17"/>
      <c r="C111" s="17"/>
      <c r="D111" s="17"/>
      <c r="E111" s="44"/>
    </row>
    <row r="112" spans="2:5" ht="15.8" customHeight="1" x14ac:dyDescent="0.3">
      <c r="B112" s="17"/>
      <c r="C112" s="17"/>
      <c r="D112" s="17"/>
      <c r="E112" s="44"/>
    </row>
    <row r="113" spans="2:5" ht="15.8" customHeight="1" x14ac:dyDescent="0.3">
      <c r="B113" s="17"/>
      <c r="C113" s="17"/>
      <c r="D113" s="17"/>
      <c r="E113" s="44"/>
    </row>
    <row r="114" spans="2:5" ht="15.8" customHeight="1" x14ac:dyDescent="0.3">
      <c r="B114" s="17"/>
      <c r="C114" s="17"/>
      <c r="D114" s="17"/>
      <c r="E114" s="44"/>
    </row>
    <row r="115" spans="2:5" ht="15.8" customHeight="1" x14ac:dyDescent="0.3">
      <c r="B115" s="17"/>
      <c r="C115" s="17"/>
      <c r="D115" s="17"/>
      <c r="E115" s="44"/>
    </row>
    <row r="116" spans="2:5" ht="15.8" customHeight="1" x14ac:dyDescent="0.3">
      <c r="B116" s="17"/>
      <c r="C116" s="17"/>
      <c r="D116" s="17"/>
      <c r="E116" s="44"/>
    </row>
    <row r="117" spans="2:5" ht="15.8" customHeight="1" x14ac:dyDescent="0.3">
      <c r="B117" s="17"/>
      <c r="C117" s="17"/>
      <c r="D117" s="17"/>
      <c r="E117" s="44"/>
    </row>
    <row r="118" spans="2:5" ht="15.8" customHeight="1" x14ac:dyDescent="0.3">
      <c r="B118" s="17"/>
      <c r="C118" s="17"/>
      <c r="D118" s="17"/>
      <c r="E118" s="44"/>
    </row>
    <row r="119" spans="2:5" ht="15.8" customHeight="1" x14ac:dyDescent="0.3">
      <c r="B119" s="17"/>
      <c r="C119" s="17"/>
      <c r="D119" s="17"/>
      <c r="E119" s="44"/>
    </row>
    <row r="120" spans="2:5" ht="15.8" customHeight="1" x14ac:dyDescent="0.3">
      <c r="B120" s="17"/>
      <c r="C120" s="17"/>
      <c r="D120" s="17"/>
      <c r="E120" s="44"/>
    </row>
    <row r="121" spans="2:5" ht="15.8" customHeight="1" x14ac:dyDescent="0.3">
      <c r="B121" s="17"/>
      <c r="C121" s="17"/>
      <c r="D121" s="17"/>
      <c r="E121" s="44"/>
    </row>
    <row r="122" spans="2:5" ht="15.8" customHeight="1" x14ac:dyDescent="0.3">
      <c r="B122" s="17"/>
      <c r="C122" s="17"/>
      <c r="D122" s="17"/>
      <c r="E122" s="44"/>
    </row>
    <row r="123" spans="2:5" ht="15.8" customHeight="1" x14ac:dyDescent="0.3">
      <c r="B123" s="17"/>
      <c r="C123" s="17"/>
      <c r="D123" s="17"/>
      <c r="E123" s="44"/>
    </row>
    <row r="124" spans="2:5" ht="15.8" customHeight="1" x14ac:dyDescent="0.3">
      <c r="B124" s="17"/>
      <c r="C124" s="17"/>
      <c r="D124" s="17"/>
      <c r="E124" s="44"/>
    </row>
    <row r="125" spans="2:5" ht="15.8" customHeight="1" x14ac:dyDescent="0.3">
      <c r="B125" s="17"/>
      <c r="C125" s="17"/>
      <c r="D125" s="17"/>
      <c r="E125" s="44"/>
    </row>
    <row r="126" spans="2:5" ht="15.8" customHeight="1" x14ac:dyDescent="0.3">
      <c r="B126" s="17"/>
      <c r="C126" s="17"/>
      <c r="D126" s="17"/>
      <c r="E126" s="44"/>
    </row>
    <row r="127" spans="2:5" ht="15.8" customHeight="1" x14ac:dyDescent="0.3">
      <c r="B127" s="17"/>
      <c r="C127" s="17"/>
      <c r="D127" s="17"/>
      <c r="E127" s="44"/>
    </row>
    <row r="128" spans="2:5" ht="15.8" customHeight="1" x14ac:dyDescent="0.3">
      <c r="B128" s="17"/>
      <c r="C128" s="17"/>
      <c r="D128" s="17"/>
      <c r="E128" s="44"/>
    </row>
    <row r="129" spans="2:5" ht="15.8" customHeight="1" x14ac:dyDescent="0.3">
      <c r="B129" s="17"/>
      <c r="C129" s="17"/>
      <c r="D129" s="17"/>
      <c r="E129" s="44"/>
    </row>
    <row r="130" spans="2:5" ht="15.8" customHeight="1" x14ac:dyDescent="0.3">
      <c r="B130" s="17"/>
      <c r="C130" s="17"/>
      <c r="D130" s="17"/>
      <c r="E130" s="44"/>
    </row>
    <row r="131" spans="2:5" ht="15.8" customHeight="1" x14ac:dyDescent="0.3">
      <c r="B131" s="17"/>
      <c r="C131" s="17"/>
      <c r="D131" s="17"/>
      <c r="E131" s="44"/>
    </row>
    <row r="132" spans="2:5" ht="15.8" customHeight="1" x14ac:dyDescent="0.3">
      <c r="B132" s="17"/>
      <c r="C132" s="17"/>
      <c r="D132" s="17"/>
      <c r="E132" s="44"/>
    </row>
    <row r="133" spans="2:5" ht="15.8" customHeight="1" x14ac:dyDescent="0.3">
      <c r="B133" s="17"/>
      <c r="C133" s="17"/>
      <c r="D133" s="17"/>
      <c r="E133" s="44"/>
    </row>
    <row r="134" spans="2:5" ht="15.8" customHeight="1" x14ac:dyDescent="0.3">
      <c r="B134" s="17"/>
      <c r="C134" s="17"/>
      <c r="D134" s="17"/>
      <c r="E134" s="44"/>
    </row>
    <row r="135" spans="2:5" ht="15.8" customHeight="1" x14ac:dyDescent="0.3">
      <c r="B135" s="17"/>
      <c r="C135" s="17"/>
      <c r="D135" s="17"/>
      <c r="E135" s="44"/>
    </row>
    <row r="136" spans="2:5" ht="15.8" customHeight="1" x14ac:dyDescent="0.3">
      <c r="B136" s="17"/>
      <c r="C136" s="17"/>
      <c r="D136" s="17"/>
      <c r="E136" s="44"/>
    </row>
    <row r="137" spans="2:5" ht="15.8" customHeight="1" x14ac:dyDescent="0.3">
      <c r="B137" s="17"/>
      <c r="C137" s="17"/>
      <c r="D137" s="17"/>
      <c r="E137" s="44"/>
    </row>
    <row r="138" spans="2:5" ht="15.8" customHeight="1" x14ac:dyDescent="0.3">
      <c r="B138" s="17"/>
      <c r="C138" s="17"/>
      <c r="D138" s="17"/>
      <c r="E138" s="44"/>
    </row>
    <row r="139" spans="2:5" ht="15.8" customHeight="1" x14ac:dyDescent="0.3">
      <c r="B139" s="17"/>
      <c r="C139" s="17"/>
      <c r="D139" s="17"/>
      <c r="E139" s="44"/>
    </row>
    <row r="140" spans="2:5" ht="15.8" customHeight="1" x14ac:dyDescent="0.3">
      <c r="B140" s="17"/>
      <c r="C140" s="17"/>
      <c r="D140" s="17"/>
      <c r="E140" s="44"/>
    </row>
    <row r="141" spans="2:5" ht="15.8" customHeight="1" x14ac:dyDescent="0.3">
      <c r="B141" s="17"/>
      <c r="C141" s="17"/>
      <c r="D141" s="17"/>
      <c r="E141" s="44"/>
    </row>
    <row r="142" spans="2:5" ht="15.8" customHeight="1" x14ac:dyDescent="0.3">
      <c r="B142" s="17"/>
      <c r="C142" s="17"/>
      <c r="D142" s="17"/>
      <c r="E142" s="44"/>
    </row>
    <row r="143" spans="2:5" ht="15.8" customHeight="1" x14ac:dyDescent="0.3">
      <c r="B143" s="17"/>
      <c r="C143" s="17"/>
      <c r="D143" s="17"/>
      <c r="E143" s="44"/>
    </row>
    <row r="144" spans="2:5" ht="15.8" customHeight="1" x14ac:dyDescent="0.3">
      <c r="B144" s="17"/>
      <c r="C144" s="17"/>
      <c r="D144" s="17"/>
      <c r="E144" s="44"/>
    </row>
    <row r="145" spans="2:5" ht="15.8" customHeight="1" x14ac:dyDescent="0.3">
      <c r="B145" s="17"/>
      <c r="C145" s="17"/>
      <c r="D145" s="17"/>
      <c r="E145" s="44"/>
    </row>
    <row r="146" spans="2:5" ht="15.8" customHeight="1" x14ac:dyDescent="0.3">
      <c r="B146" s="17"/>
      <c r="C146" s="17"/>
      <c r="D146" s="17"/>
      <c r="E146" s="44"/>
    </row>
    <row r="147" spans="2:5" ht="15.8" customHeight="1" x14ac:dyDescent="0.3">
      <c r="B147" s="17"/>
      <c r="C147" s="17"/>
      <c r="D147" s="17"/>
      <c r="E147" s="44"/>
    </row>
    <row r="148" spans="2:5" ht="15.8" customHeight="1" x14ac:dyDescent="0.3">
      <c r="B148" s="17"/>
      <c r="C148" s="17"/>
      <c r="D148" s="17"/>
      <c r="E148" s="44"/>
    </row>
    <row r="149" spans="2:5" ht="15.8" customHeight="1" x14ac:dyDescent="0.3">
      <c r="B149" s="17"/>
      <c r="C149" s="17"/>
      <c r="D149" s="17"/>
      <c r="E149" s="44"/>
    </row>
    <row r="150" spans="2:5" ht="15.8" customHeight="1" x14ac:dyDescent="0.3">
      <c r="B150" s="17"/>
      <c r="C150" s="17"/>
      <c r="D150" s="17"/>
      <c r="E150" s="44"/>
    </row>
    <row r="151" spans="2:5" ht="15.8" customHeight="1" x14ac:dyDescent="0.3">
      <c r="B151" s="17"/>
      <c r="C151" s="17"/>
      <c r="D151" s="17"/>
      <c r="E151" s="44"/>
    </row>
    <row r="152" spans="2:5" ht="15.8" customHeight="1" x14ac:dyDescent="0.3">
      <c r="B152" s="17"/>
      <c r="C152" s="17"/>
      <c r="D152" s="17"/>
      <c r="E152" s="44"/>
    </row>
    <row r="153" spans="2:5" ht="15.8" customHeight="1" x14ac:dyDescent="0.3">
      <c r="B153" s="17"/>
      <c r="C153" s="17"/>
      <c r="D153" s="17"/>
      <c r="E153" s="44"/>
    </row>
    <row r="154" spans="2:5" ht="15.8" customHeight="1" x14ac:dyDescent="0.3">
      <c r="B154" s="17"/>
      <c r="C154" s="17"/>
      <c r="D154" s="17"/>
      <c r="E154" s="44"/>
    </row>
    <row r="155" spans="2:5" ht="15.8" customHeight="1" x14ac:dyDescent="0.3">
      <c r="B155" s="17"/>
      <c r="C155" s="17"/>
      <c r="D155" s="17"/>
      <c r="E155" s="44"/>
    </row>
    <row r="156" spans="2:5" ht="15.8" customHeight="1" x14ac:dyDescent="0.3">
      <c r="B156" s="17"/>
      <c r="C156" s="17"/>
      <c r="D156" s="17"/>
      <c r="E156" s="44"/>
    </row>
    <row r="157" spans="2:5" ht="15.8" customHeight="1" x14ac:dyDescent="0.3">
      <c r="B157" s="17"/>
      <c r="C157" s="17"/>
      <c r="D157" s="17"/>
      <c r="E157" s="44"/>
    </row>
    <row r="158" spans="2:5" ht="15.8" customHeight="1" x14ac:dyDescent="0.3">
      <c r="B158" s="17"/>
      <c r="C158" s="17"/>
      <c r="D158" s="17"/>
      <c r="E158" s="44"/>
    </row>
    <row r="159" spans="2:5" ht="15.8" customHeight="1" x14ac:dyDescent="0.3">
      <c r="B159" s="17"/>
      <c r="C159" s="17"/>
      <c r="D159" s="17"/>
      <c r="E159" s="44"/>
    </row>
    <row r="160" spans="2:5" ht="15.8" customHeight="1" x14ac:dyDescent="0.3">
      <c r="B160" s="17"/>
      <c r="C160" s="17"/>
      <c r="D160" s="17"/>
      <c r="E160" s="44"/>
    </row>
    <row r="161" spans="2:5" ht="15.8" customHeight="1" x14ac:dyDescent="0.3">
      <c r="B161" s="17"/>
      <c r="C161" s="17"/>
      <c r="D161" s="17"/>
      <c r="E161" s="44"/>
    </row>
    <row r="162" spans="2:5" ht="15.8" customHeight="1" x14ac:dyDescent="0.3">
      <c r="B162" s="17"/>
      <c r="C162" s="17"/>
      <c r="D162" s="17"/>
      <c r="E162" s="44"/>
    </row>
    <row r="163" spans="2:5" ht="15.8" customHeight="1" x14ac:dyDescent="0.3">
      <c r="B163" s="17"/>
      <c r="C163" s="17"/>
      <c r="D163" s="17"/>
      <c r="E163" s="44"/>
    </row>
    <row r="164" spans="2:5" ht="15.8" customHeight="1" x14ac:dyDescent="0.3">
      <c r="B164" s="17"/>
      <c r="C164" s="17"/>
      <c r="D164" s="17"/>
      <c r="E164" s="44"/>
    </row>
    <row r="165" spans="2:5" ht="15.8" customHeight="1" x14ac:dyDescent="0.3">
      <c r="B165" s="17"/>
      <c r="C165" s="17"/>
      <c r="D165" s="17"/>
      <c r="E165" s="44"/>
    </row>
    <row r="166" spans="2:5" ht="15.8" customHeight="1" x14ac:dyDescent="0.3">
      <c r="B166" s="17"/>
      <c r="C166" s="17"/>
      <c r="D166" s="17"/>
      <c r="E166" s="44"/>
    </row>
    <row r="167" spans="2:5" ht="15.8" customHeight="1" x14ac:dyDescent="0.3">
      <c r="B167" s="17"/>
      <c r="C167" s="17"/>
      <c r="D167" s="17"/>
      <c r="E167" s="44"/>
    </row>
    <row r="168" spans="2:5" ht="15.8" customHeight="1" x14ac:dyDescent="0.3">
      <c r="B168" s="17"/>
      <c r="C168" s="17"/>
      <c r="D168" s="17"/>
      <c r="E168" s="44"/>
    </row>
    <row r="169" spans="2:5" ht="15.8" customHeight="1" x14ac:dyDescent="0.3">
      <c r="B169" s="17"/>
      <c r="C169" s="17"/>
      <c r="D169" s="17"/>
      <c r="E169" s="44"/>
    </row>
    <row r="170" spans="2:5" ht="15.8" customHeight="1" x14ac:dyDescent="0.3">
      <c r="B170" s="17"/>
      <c r="C170" s="17"/>
      <c r="D170" s="17"/>
      <c r="E170" s="44"/>
    </row>
    <row r="171" spans="2:5" ht="15.8" customHeight="1" x14ac:dyDescent="0.3">
      <c r="B171" s="17"/>
      <c r="C171" s="17"/>
      <c r="D171" s="17"/>
      <c r="E171" s="44"/>
    </row>
    <row r="172" spans="2:5" ht="15.8" customHeight="1" x14ac:dyDescent="0.3">
      <c r="B172" s="17"/>
      <c r="C172" s="17"/>
      <c r="D172" s="17"/>
      <c r="E172" s="44"/>
    </row>
    <row r="173" spans="2:5" ht="15.8" customHeight="1" x14ac:dyDescent="0.3">
      <c r="B173" s="17"/>
      <c r="C173" s="17"/>
      <c r="D173" s="17"/>
      <c r="E173" s="44"/>
    </row>
    <row r="174" spans="2:5" ht="15.8" customHeight="1" x14ac:dyDescent="0.3">
      <c r="B174" s="17"/>
      <c r="C174" s="17"/>
      <c r="D174" s="17"/>
      <c r="E174" s="44"/>
    </row>
    <row r="175" spans="2:5" ht="15.8" customHeight="1" x14ac:dyDescent="0.3">
      <c r="B175" s="17"/>
      <c r="C175" s="17"/>
      <c r="D175" s="17"/>
      <c r="E175" s="44"/>
    </row>
    <row r="176" spans="2:5" ht="15.8" customHeight="1" x14ac:dyDescent="0.3">
      <c r="B176" s="17"/>
      <c r="C176" s="17"/>
      <c r="D176" s="17"/>
      <c r="E176" s="44"/>
    </row>
    <row r="177" spans="2:5" ht="15.8" customHeight="1" x14ac:dyDescent="0.3">
      <c r="B177" s="17"/>
      <c r="C177" s="17"/>
      <c r="D177" s="17"/>
      <c r="E177" s="44"/>
    </row>
    <row r="178" spans="2:5" ht="15.8" customHeight="1" x14ac:dyDescent="0.3">
      <c r="B178" s="17"/>
      <c r="C178" s="17"/>
      <c r="D178" s="17"/>
      <c r="E178" s="44"/>
    </row>
    <row r="179" spans="2:5" ht="15.8" customHeight="1" x14ac:dyDescent="0.3">
      <c r="B179" s="17"/>
      <c r="C179" s="17"/>
      <c r="D179" s="17"/>
      <c r="E179" s="44"/>
    </row>
    <row r="180" spans="2:5" ht="15.8" customHeight="1" x14ac:dyDescent="0.3">
      <c r="B180" s="17"/>
      <c r="C180" s="17"/>
      <c r="D180" s="17"/>
      <c r="E180" s="44"/>
    </row>
    <row r="181" spans="2:5" ht="15.8" customHeight="1" x14ac:dyDescent="0.3">
      <c r="B181" s="17"/>
      <c r="C181" s="17"/>
      <c r="D181" s="17"/>
      <c r="E181" s="44"/>
    </row>
    <row r="182" spans="2:5" ht="15.8" customHeight="1" x14ac:dyDescent="0.3">
      <c r="B182" s="17"/>
      <c r="C182" s="17"/>
      <c r="D182" s="17"/>
      <c r="E182" s="44"/>
    </row>
    <row r="183" spans="2:5" ht="15.8" customHeight="1" x14ac:dyDescent="0.3">
      <c r="B183" s="17"/>
      <c r="C183" s="17"/>
      <c r="D183" s="17"/>
      <c r="E183" s="44"/>
    </row>
    <row r="184" spans="2:5" ht="15.8" customHeight="1" x14ac:dyDescent="0.3">
      <c r="B184" s="17"/>
      <c r="C184" s="17"/>
      <c r="D184" s="17"/>
      <c r="E184" s="44"/>
    </row>
    <row r="185" spans="2:5" ht="15.8" customHeight="1" x14ac:dyDescent="0.3">
      <c r="B185" s="17"/>
      <c r="C185" s="17"/>
      <c r="D185" s="17"/>
      <c r="E185" s="44"/>
    </row>
    <row r="186" spans="2:5" ht="15.8" customHeight="1" x14ac:dyDescent="0.3">
      <c r="B186" s="17"/>
      <c r="C186" s="17"/>
      <c r="D186" s="17"/>
      <c r="E186" s="44"/>
    </row>
    <row r="187" spans="2:5" ht="15.8" customHeight="1" x14ac:dyDescent="0.3">
      <c r="B187" s="17"/>
      <c r="C187" s="17"/>
      <c r="D187" s="17"/>
      <c r="E187" s="44"/>
    </row>
    <row r="188" spans="2:5" ht="15.8" customHeight="1" x14ac:dyDescent="0.3">
      <c r="B188" s="17"/>
      <c r="C188" s="17"/>
      <c r="D188" s="17"/>
      <c r="E188" s="44"/>
    </row>
    <row r="189" spans="2:5" ht="15.8" customHeight="1" x14ac:dyDescent="0.3">
      <c r="B189" s="17"/>
      <c r="C189" s="17"/>
      <c r="D189" s="17"/>
      <c r="E189" s="44"/>
    </row>
    <row r="190" spans="2:5" ht="15.8" customHeight="1" x14ac:dyDescent="0.3">
      <c r="B190" s="17"/>
      <c r="C190" s="17"/>
      <c r="D190" s="17"/>
      <c r="E190" s="44"/>
    </row>
    <row r="191" spans="2:5" ht="15.8" customHeight="1" x14ac:dyDescent="0.3">
      <c r="B191" s="17"/>
      <c r="C191" s="17"/>
      <c r="D191" s="17"/>
      <c r="E191" s="44"/>
    </row>
    <row r="192" spans="2:5" ht="15.8" customHeight="1" x14ac:dyDescent="0.3">
      <c r="B192" s="17"/>
      <c r="C192" s="17"/>
      <c r="D192" s="17"/>
      <c r="E192" s="44"/>
    </row>
    <row r="193" spans="2:5" ht="15.8" customHeight="1" x14ac:dyDescent="0.3">
      <c r="B193" s="17"/>
      <c r="C193" s="17"/>
      <c r="D193" s="17"/>
      <c r="E193" s="44"/>
    </row>
    <row r="194" spans="2:5" ht="15.8" customHeight="1" x14ac:dyDescent="0.3">
      <c r="B194" s="17"/>
      <c r="C194" s="17"/>
      <c r="D194" s="17"/>
      <c r="E194" s="44"/>
    </row>
    <row r="195" spans="2:5" ht="15.8" customHeight="1" x14ac:dyDescent="0.3">
      <c r="B195" s="17"/>
      <c r="C195" s="17"/>
      <c r="D195" s="17"/>
      <c r="E195" s="44"/>
    </row>
    <row r="196" spans="2:5" ht="15.8" customHeight="1" x14ac:dyDescent="0.3">
      <c r="B196" s="17"/>
      <c r="C196" s="17"/>
      <c r="D196" s="17"/>
      <c r="E196" s="44"/>
    </row>
    <row r="197" spans="2:5" ht="15.8" customHeight="1" x14ac:dyDescent="0.3">
      <c r="B197" s="17"/>
      <c r="C197" s="17"/>
      <c r="D197" s="17"/>
      <c r="E197" s="44"/>
    </row>
    <row r="198" spans="2:5" ht="15.8" customHeight="1" x14ac:dyDescent="0.3">
      <c r="B198" s="17"/>
      <c r="C198" s="17"/>
      <c r="D198" s="17"/>
      <c r="E198" s="44"/>
    </row>
    <row r="199" spans="2:5" ht="15.8" customHeight="1" x14ac:dyDescent="0.3">
      <c r="B199" s="17"/>
      <c r="C199" s="17"/>
      <c r="D199" s="17"/>
      <c r="E199" s="44"/>
    </row>
    <row r="200" spans="2:5" ht="15.8" customHeight="1" x14ac:dyDescent="0.3">
      <c r="B200" s="17"/>
      <c r="C200" s="17"/>
      <c r="D200" s="17"/>
      <c r="E200" s="44"/>
    </row>
    <row r="201" spans="2:5" ht="15.8" customHeight="1" x14ac:dyDescent="0.3">
      <c r="B201" s="17"/>
      <c r="C201" s="17"/>
      <c r="D201" s="17"/>
      <c r="E201" s="44"/>
    </row>
    <row r="202" spans="2:5" ht="15.8" customHeight="1" x14ac:dyDescent="0.3">
      <c r="B202" s="17"/>
      <c r="C202" s="17"/>
      <c r="D202" s="17"/>
      <c r="E202" s="44"/>
    </row>
    <row r="203" spans="2:5" ht="15.8" customHeight="1" x14ac:dyDescent="0.3">
      <c r="B203" s="17"/>
      <c r="C203" s="17"/>
      <c r="D203" s="17"/>
      <c r="E203" s="44"/>
    </row>
    <row r="204" spans="2:5" ht="15.8" customHeight="1" x14ac:dyDescent="0.3">
      <c r="B204" s="17"/>
      <c r="C204" s="17"/>
      <c r="D204" s="17"/>
      <c r="E204" s="44"/>
    </row>
    <row r="205" spans="2:5" ht="15.8" customHeight="1" x14ac:dyDescent="0.3">
      <c r="B205" s="17"/>
      <c r="C205" s="17"/>
      <c r="D205" s="17"/>
      <c r="E205" s="44"/>
    </row>
    <row r="206" spans="2:5" ht="15.8" customHeight="1" x14ac:dyDescent="0.3">
      <c r="B206" s="17"/>
      <c r="C206" s="17"/>
      <c r="D206" s="17"/>
      <c r="E206" s="44"/>
    </row>
    <row r="207" spans="2:5" ht="15.8" customHeight="1" x14ac:dyDescent="0.3">
      <c r="B207" s="17"/>
      <c r="C207" s="17"/>
      <c r="D207" s="17"/>
      <c r="E207" s="44"/>
    </row>
    <row r="208" spans="2:5" ht="15.8" customHeight="1" x14ac:dyDescent="0.3">
      <c r="B208" s="17"/>
      <c r="C208" s="17"/>
      <c r="D208" s="17"/>
      <c r="E208" s="44"/>
    </row>
    <row r="209" spans="2:5" ht="15.8" customHeight="1" x14ac:dyDescent="0.3">
      <c r="B209" s="17"/>
      <c r="C209" s="17"/>
      <c r="D209" s="17"/>
      <c r="E209" s="44"/>
    </row>
    <row r="210" spans="2:5" ht="15.8" customHeight="1" x14ac:dyDescent="0.3">
      <c r="B210" s="17"/>
      <c r="C210" s="17"/>
      <c r="D210" s="17"/>
      <c r="E210" s="44"/>
    </row>
    <row r="211" spans="2:5" ht="15.8" customHeight="1" x14ac:dyDescent="0.3">
      <c r="B211" s="17"/>
      <c r="C211" s="17"/>
      <c r="D211" s="17"/>
      <c r="E211" s="44"/>
    </row>
    <row r="212" spans="2:5" ht="15.8" customHeight="1" x14ac:dyDescent="0.3">
      <c r="B212" s="17"/>
      <c r="C212" s="17"/>
      <c r="D212" s="17"/>
      <c r="E212" s="44"/>
    </row>
    <row r="213" spans="2:5" ht="15.8" customHeight="1" x14ac:dyDescent="0.3">
      <c r="B213" s="17"/>
      <c r="C213" s="17"/>
      <c r="D213" s="17"/>
      <c r="E213" s="44"/>
    </row>
    <row r="214" spans="2:5" ht="15.8" customHeight="1" x14ac:dyDescent="0.3">
      <c r="B214" s="17"/>
      <c r="C214" s="17"/>
      <c r="D214" s="17"/>
      <c r="E214" s="44"/>
    </row>
    <row r="215" spans="2:5" ht="15.8" customHeight="1" x14ac:dyDescent="0.3">
      <c r="B215" s="17"/>
      <c r="C215" s="17"/>
      <c r="D215" s="17"/>
      <c r="E215" s="44"/>
    </row>
    <row r="216" spans="2:5" ht="15.8" customHeight="1" x14ac:dyDescent="0.3">
      <c r="B216" s="17"/>
      <c r="C216" s="17"/>
      <c r="D216" s="17"/>
      <c r="E216" s="44"/>
    </row>
    <row r="217" spans="2:5" ht="15.8" customHeight="1" x14ac:dyDescent="0.3">
      <c r="B217" s="17"/>
      <c r="C217" s="17"/>
      <c r="D217" s="17"/>
      <c r="E217" s="44"/>
    </row>
    <row r="218" spans="2:5" ht="15.8" customHeight="1" x14ac:dyDescent="0.3">
      <c r="B218" s="17"/>
      <c r="C218" s="17"/>
      <c r="D218" s="17"/>
      <c r="E218" s="44"/>
    </row>
    <row r="219" spans="2:5" ht="15.8" customHeight="1" x14ac:dyDescent="0.3">
      <c r="B219" s="17"/>
      <c r="C219" s="17"/>
      <c r="D219" s="17"/>
      <c r="E219" s="44"/>
    </row>
    <row r="220" spans="2:5" ht="15.8" customHeight="1" x14ac:dyDescent="0.3">
      <c r="B220" s="17"/>
      <c r="C220" s="17"/>
      <c r="D220" s="17"/>
      <c r="E220" s="44"/>
    </row>
    <row r="221" spans="2:5" ht="15.8" customHeight="1" x14ac:dyDescent="0.3">
      <c r="B221" s="17"/>
      <c r="C221" s="17"/>
      <c r="D221" s="17"/>
      <c r="E221" s="44"/>
    </row>
    <row r="222" spans="2:5" ht="15.8" customHeight="1" x14ac:dyDescent="0.3">
      <c r="B222" s="17"/>
      <c r="C222" s="17"/>
      <c r="D222" s="17"/>
      <c r="E222" s="44"/>
    </row>
    <row r="223" spans="2:5" ht="15.8" customHeight="1" x14ac:dyDescent="0.3">
      <c r="B223" s="17"/>
      <c r="C223" s="17"/>
      <c r="D223" s="17"/>
      <c r="E223" s="44"/>
    </row>
    <row r="224" spans="2:5" ht="15.8" customHeight="1" x14ac:dyDescent="0.3">
      <c r="B224" s="17"/>
      <c r="C224" s="17"/>
      <c r="D224" s="17"/>
      <c r="E224" s="44"/>
    </row>
    <row r="225" spans="2:5" ht="15.8" customHeight="1" x14ac:dyDescent="0.3">
      <c r="B225" s="17"/>
      <c r="C225" s="17"/>
      <c r="D225" s="17"/>
      <c r="E225" s="44"/>
    </row>
    <row r="226" spans="2:5" ht="15.8" customHeight="1" x14ac:dyDescent="0.3">
      <c r="B226" s="17"/>
      <c r="C226" s="17"/>
      <c r="D226" s="17"/>
      <c r="E226" s="44"/>
    </row>
    <row r="227" spans="2:5" ht="15.8" customHeight="1" x14ac:dyDescent="0.3">
      <c r="B227" s="17"/>
      <c r="C227" s="17"/>
      <c r="D227" s="17"/>
      <c r="E227" s="44"/>
    </row>
    <row r="228" spans="2:5" ht="15.8" customHeight="1" x14ac:dyDescent="0.3">
      <c r="B228" s="17"/>
      <c r="C228" s="17"/>
      <c r="D228" s="17"/>
      <c r="E228" s="44"/>
    </row>
    <row r="229" spans="2:5" ht="15.8" customHeight="1" x14ac:dyDescent="0.3">
      <c r="B229" s="17"/>
      <c r="C229" s="17"/>
      <c r="D229" s="17"/>
      <c r="E229" s="44"/>
    </row>
    <row r="230" spans="2:5" ht="15.8" customHeight="1" x14ac:dyDescent="0.3">
      <c r="B230" s="17"/>
      <c r="C230" s="17"/>
      <c r="D230" s="17"/>
      <c r="E230" s="44"/>
    </row>
    <row r="231" spans="2:5" ht="15.8" customHeight="1" x14ac:dyDescent="0.3">
      <c r="B231" s="17"/>
      <c r="C231" s="17"/>
      <c r="D231" s="17"/>
      <c r="E231" s="44"/>
    </row>
    <row r="232" spans="2:5" ht="15.8" customHeight="1" x14ac:dyDescent="0.3">
      <c r="B232" s="17"/>
      <c r="C232" s="17"/>
      <c r="D232" s="17"/>
      <c r="E232" s="44"/>
    </row>
    <row r="233" spans="2:5" ht="15.8" customHeight="1" x14ac:dyDescent="0.3">
      <c r="B233" s="17"/>
      <c r="C233" s="17"/>
      <c r="D233" s="17"/>
      <c r="E233" s="44"/>
    </row>
    <row r="234" spans="2:5" ht="15.8" customHeight="1" x14ac:dyDescent="0.3">
      <c r="B234" s="17"/>
      <c r="C234" s="17"/>
      <c r="D234" s="17"/>
      <c r="E234" s="44"/>
    </row>
    <row r="235" spans="2:5" ht="15.8" customHeight="1" x14ac:dyDescent="0.3">
      <c r="B235" s="17"/>
      <c r="C235" s="17"/>
      <c r="D235" s="17"/>
      <c r="E235" s="44"/>
    </row>
    <row r="236" spans="2:5" ht="15.8" customHeight="1" x14ac:dyDescent="0.3">
      <c r="B236" s="17"/>
      <c r="C236" s="17"/>
      <c r="D236" s="17"/>
      <c r="E236" s="44"/>
    </row>
    <row r="237" spans="2:5" ht="15.8" customHeight="1" x14ac:dyDescent="0.3">
      <c r="B237" s="17"/>
      <c r="C237" s="17"/>
      <c r="D237" s="17"/>
      <c r="E237" s="44"/>
    </row>
    <row r="238" spans="2:5" ht="15.8" customHeight="1" x14ac:dyDescent="0.3">
      <c r="B238" s="17"/>
      <c r="C238" s="17"/>
      <c r="D238" s="17"/>
      <c r="E238" s="44"/>
    </row>
    <row r="239" spans="2:5" ht="15.8" customHeight="1" x14ac:dyDescent="0.3">
      <c r="B239" s="17"/>
      <c r="C239" s="17"/>
      <c r="D239" s="17"/>
      <c r="E239" s="44"/>
    </row>
    <row r="240" spans="2:5" ht="15.8" customHeight="1" x14ac:dyDescent="0.3">
      <c r="B240" s="17"/>
      <c r="C240" s="17"/>
      <c r="D240" s="17"/>
      <c r="E240" s="44"/>
    </row>
    <row r="241" spans="2:5" ht="15.8" customHeight="1" x14ac:dyDescent="0.3">
      <c r="B241" s="17"/>
      <c r="C241" s="17"/>
      <c r="D241" s="17"/>
      <c r="E241" s="44"/>
    </row>
    <row r="242" spans="2:5" ht="15.8" customHeight="1" x14ac:dyDescent="0.3">
      <c r="B242" s="17"/>
      <c r="C242" s="17"/>
      <c r="D242" s="17"/>
      <c r="E242" s="44"/>
    </row>
    <row r="243" spans="2:5" ht="15.8" customHeight="1" x14ac:dyDescent="0.3">
      <c r="B243" s="17"/>
      <c r="C243" s="17"/>
      <c r="D243" s="17"/>
      <c r="E243" s="44"/>
    </row>
    <row r="244" spans="2:5" ht="15.8" customHeight="1" x14ac:dyDescent="0.3">
      <c r="B244" s="17"/>
      <c r="C244" s="17"/>
      <c r="D244" s="17"/>
      <c r="E244" s="44"/>
    </row>
    <row r="245" spans="2:5" ht="15.8" customHeight="1" x14ac:dyDescent="0.3">
      <c r="B245" s="17"/>
      <c r="C245" s="17"/>
      <c r="D245" s="17"/>
      <c r="E245" s="44"/>
    </row>
    <row r="246" spans="2:5" ht="15.8" customHeight="1" x14ac:dyDescent="0.3">
      <c r="B246" s="17"/>
      <c r="C246" s="17"/>
      <c r="D246" s="17"/>
      <c r="E246" s="44"/>
    </row>
    <row r="247" spans="2:5" ht="15.8" customHeight="1" x14ac:dyDescent="0.3">
      <c r="B247" s="17"/>
      <c r="C247" s="17"/>
      <c r="D247" s="17"/>
      <c r="E247" s="44"/>
    </row>
    <row r="248" spans="2:5" ht="15.8" customHeight="1" x14ac:dyDescent="0.3">
      <c r="B248" s="17"/>
      <c r="C248" s="17"/>
      <c r="D248" s="17"/>
      <c r="E248" s="44"/>
    </row>
    <row r="249" spans="2:5" ht="15.8" customHeight="1" x14ac:dyDescent="0.3">
      <c r="B249" s="17"/>
      <c r="C249" s="17"/>
      <c r="D249" s="17"/>
      <c r="E249" s="44"/>
    </row>
    <row r="250" spans="2:5" ht="15.8" customHeight="1" x14ac:dyDescent="0.3">
      <c r="B250" s="17"/>
      <c r="C250" s="17"/>
      <c r="D250" s="17"/>
      <c r="E250" s="44"/>
    </row>
    <row r="251" spans="2:5" ht="15.8" customHeight="1" x14ac:dyDescent="0.3">
      <c r="B251" s="17"/>
      <c r="C251" s="17"/>
      <c r="D251" s="17"/>
      <c r="E251" s="44"/>
    </row>
    <row r="252" spans="2:5" ht="15.8" customHeight="1" x14ac:dyDescent="0.3">
      <c r="B252" s="17"/>
      <c r="C252" s="17"/>
      <c r="D252" s="17"/>
      <c r="E252" s="44"/>
    </row>
    <row r="253" spans="2:5" ht="15.8" customHeight="1" x14ac:dyDescent="0.3">
      <c r="B253" s="17"/>
      <c r="C253" s="17"/>
      <c r="D253" s="17"/>
      <c r="E253" s="44"/>
    </row>
    <row r="254" spans="2:5" ht="15.8" customHeight="1" x14ac:dyDescent="0.3">
      <c r="B254" s="17"/>
      <c r="C254" s="17"/>
      <c r="D254" s="17"/>
      <c r="E254" s="44"/>
    </row>
    <row r="255" spans="2:5" ht="15.8" customHeight="1" x14ac:dyDescent="0.3">
      <c r="B255" s="17"/>
      <c r="C255" s="17"/>
      <c r="D255" s="17"/>
      <c r="E255" s="44"/>
    </row>
    <row r="256" spans="2:5" ht="15.8" customHeight="1" x14ac:dyDescent="0.3">
      <c r="B256" s="17"/>
      <c r="C256" s="17"/>
      <c r="D256" s="17"/>
      <c r="E256" s="44"/>
    </row>
    <row r="257" spans="2:5" ht="15.8" customHeight="1" x14ac:dyDescent="0.3">
      <c r="B257" s="17"/>
      <c r="C257" s="17"/>
      <c r="D257" s="17"/>
      <c r="E257" s="44"/>
    </row>
    <row r="258" spans="2:5" ht="15.8" customHeight="1" x14ac:dyDescent="0.3">
      <c r="B258" s="17"/>
      <c r="C258" s="17"/>
      <c r="D258" s="17"/>
      <c r="E258" s="44"/>
    </row>
    <row r="259" spans="2:5" ht="15.8" customHeight="1" x14ac:dyDescent="0.3">
      <c r="B259" s="17"/>
      <c r="C259" s="17"/>
      <c r="D259" s="17"/>
      <c r="E259" s="44"/>
    </row>
    <row r="260" spans="2:5" ht="15.8" customHeight="1" x14ac:dyDescent="0.3">
      <c r="B260" s="17"/>
      <c r="C260" s="17"/>
      <c r="D260" s="17"/>
      <c r="E260" s="44"/>
    </row>
    <row r="261" spans="2:5" ht="15.8" customHeight="1" x14ac:dyDescent="0.3">
      <c r="B261" s="17"/>
      <c r="C261" s="17"/>
      <c r="D261" s="17"/>
      <c r="E261" s="44"/>
    </row>
    <row r="262" spans="2:5" ht="15.8" customHeight="1" x14ac:dyDescent="0.3">
      <c r="B262" s="17"/>
      <c r="C262" s="17"/>
      <c r="D262" s="17"/>
      <c r="E262" s="44"/>
    </row>
    <row r="263" spans="2:5" ht="15.8" customHeight="1" x14ac:dyDescent="0.3">
      <c r="B263" s="17"/>
      <c r="C263" s="17"/>
      <c r="D263" s="17"/>
      <c r="E263" s="44"/>
    </row>
    <row r="264" spans="2:5" ht="15.8" customHeight="1" x14ac:dyDescent="0.3">
      <c r="B264" s="17"/>
      <c r="C264" s="17"/>
      <c r="D264" s="17"/>
      <c r="E264" s="44"/>
    </row>
    <row r="265" spans="2:5" ht="15.8" customHeight="1" x14ac:dyDescent="0.3">
      <c r="B265" s="17"/>
      <c r="C265" s="17"/>
      <c r="D265" s="17"/>
      <c r="E265" s="44"/>
    </row>
    <row r="266" spans="2:5" ht="15.8" customHeight="1" x14ac:dyDescent="0.3">
      <c r="B266" s="17"/>
      <c r="C266" s="17"/>
      <c r="D266" s="17"/>
      <c r="E266" s="44"/>
    </row>
    <row r="267" spans="2:5" ht="15.8" customHeight="1" x14ac:dyDescent="0.3">
      <c r="B267" s="17"/>
      <c r="C267" s="17"/>
      <c r="D267" s="17"/>
      <c r="E267" s="44"/>
    </row>
    <row r="268" spans="2:5" ht="15.8" customHeight="1" x14ac:dyDescent="0.3">
      <c r="B268" s="17"/>
      <c r="C268" s="17"/>
      <c r="D268" s="17"/>
      <c r="E268" s="44"/>
    </row>
    <row r="269" spans="2:5" ht="15.8" customHeight="1" x14ac:dyDescent="0.3">
      <c r="B269" s="17"/>
      <c r="C269" s="17"/>
      <c r="D269" s="17"/>
      <c r="E269" s="44"/>
    </row>
    <row r="270" spans="2:5" ht="15.8" customHeight="1" x14ac:dyDescent="0.3">
      <c r="B270" s="17"/>
      <c r="C270" s="17"/>
      <c r="D270" s="17"/>
      <c r="E270" s="44"/>
    </row>
    <row r="271" spans="2:5" ht="15.8" customHeight="1" x14ac:dyDescent="0.3">
      <c r="B271" s="17"/>
      <c r="C271" s="17"/>
      <c r="D271" s="17"/>
      <c r="E271" s="44"/>
    </row>
    <row r="272" spans="2:5" ht="15.8" customHeight="1" x14ac:dyDescent="0.3">
      <c r="B272" s="17"/>
      <c r="C272" s="17"/>
      <c r="D272" s="17"/>
      <c r="E272" s="44"/>
    </row>
    <row r="273" spans="2:5" ht="15.8" customHeight="1" x14ac:dyDescent="0.3">
      <c r="B273" s="17"/>
      <c r="C273" s="17"/>
      <c r="D273" s="17"/>
      <c r="E273" s="44"/>
    </row>
    <row r="274" spans="2:5" ht="15.8" customHeight="1" x14ac:dyDescent="0.3">
      <c r="B274" s="17"/>
      <c r="C274" s="17"/>
      <c r="D274" s="17"/>
      <c r="E274" s="44"/>
    </row>
    <row r="275" spans="2:5" ht="15.8" customHeight="1" x14ac:dyDescent="0.3">
      <c r="B275" s="17"/>
      <c r="C275" s="17"/>
      <c r="D275" s="17"/>
      <c r="E275" s="44"/>
    </row>
    <row r="276" spans="2:5" ht="15.8" customHeight="1" x14ac:dyDescent="0.3">
      <c r="B276" s="17"/>
      <c r="C276" s="17"/>
      <c r="D276" s="17"/>
      <c r="E276" s="44"/>
    </row>
    <row r="277" spans="2:5" ht="15.8" customHeight="1" x14ac:dyDescent="0.3">
      <c r="B277" s="17"/>
      <c r="C277" s="17"/>
      <c r="D277" s="17"/>
      <c r="E277" s="44"/>
    </row>
    <row r="278" spans="2:5" ht="15.8" customHeight="1" x14ac:dyDescent="0.3">
      <c r="B278" s="17"/>
      <c r="C278" s="17"/>
      <c r="D278" s="17"/>
      <c r="E278" s="44"/>
    </row>
    <row r="279" spans="2:5" ht="15.8" customHeight="1" x14ac:dyDescent="0.3">
      <c r="B279" s="17"/>
      <c r="C279" s="17"/>
      <c r="D279" s="17"/>
      <c r="E279" s="44"/>
    </row>
    <row r="280" spans="2:5" ht="15.8" customHeight="1" x14ac:dyDescent="0.3">
      <c r="B280" s="17"/>
      <c r="C280" s="17"/>
      <c r="D280" s="17"/>
      <c r="E280" s="44"/>
    </row>
    <row r="281" spans="2:5" ht="15.8" customHeight="1" x14ac:dyDescent="0.3">
      <c r="B281" s="17"/>
      <c r="C281" s="17"/>
      <c r="D281" s="17"/>
      <c r="E281" s="44"/>
    </row>
    <row r="282" spans="2:5" ht="15.8" customHeight="1" x14ac:dyDescent="0.3">
      <c r="B282" s="17"/>
      <c r="C282" s="17"/>
      <c r="D282" s="17"/>
      <c r="E282" s="44"/>
    </row>
    <row r="283" spans="2:5" ht="15.8" customHeight="1" x14ac:dyDescent="0.3">
      <c r="B283" s="17"/>
      <c r="C283" s="17"/>
      <c r="D283" s="17"/>
      <c r="E283" s="44"/>
    </row>
    <row r="284" spans="2:5" ht="15.8" customHeight="1" x14ac:dyDescent="0.3">
      <c r="B284" s="17"/>
      <c r="C284" s="17"/>
      <c r="D284" s="17"/>
      <c r="E284" s="44"/>
    </row>
    <row r="285" spans="2:5" ht="15.8" customHeight="1" x14ac:dyDescent="0.3">
      <c r="B285" s="17"/>
      <c r="C285" s="17"/>
      <c r="D285" s="17"/>
      <c r="E285" s="44"/>
    </row>
    <row r="286" spans="2:5" ht="15.8" customHeight="1" x14ac:dyDescent="0.3">
      <c r="B286" s="17"/>
      <c r="C286" s="17"/>
      <c r="D286" s="17"/>
      <c r="E286" s="44"/>
    </row>
    <row r="287" spans="2:5" ht="15.8" customHeight="1" x14ac:dyDescent="0.3">
      <c r="B287" s="17"/>
      <c r="C287" s="17"/>
      <c r="D287" s="17"/>
      <c r="E287" s="44"/>
    </row>
    <row r="288" spans="2:5" ht="15.8" customHeight="1" x14ac:dyDescent="0.3">
      <c r="B288" s="17"/>
      <c r="C288" s="17"/>
      <c r="D288" s="17"/>
      <c r="E288" s="44"/>
    </row>
    <row r="289" spans="2:5" ht="15.8" customHeight="1" x14ac:dyDescent="0.3">
      <c r="B289" s="17"/>
      <c r="C289" s="17"/>
      <c r="D289" s="17"/>
      <c r="E289" s="44"/>
    </row>
    <row r="290" spans="2:5" ht="15.8" customHeight="1" x14ac:dyDescent="0.3">
      <c r="B290" s="17"/>
      <c r="C290" s="17"/>
      <c r="D290" s="17"/>
      <c r="E290" s="44"/>
    </row>
    <row r="291" spans="2:5" ht="15.8" customHeight="1" x14ac:dyDescent="0.3">
      <c r="B291" s="17"/>
      <c r="C291" s="17"/>
      <c r="D291" s="17"/>
      <c r="E291" s="44"/>
    </row>
    <row r="292" spans="2:5" ht="15.8" customHeight="1" x14ac:dyDescent="0.3">
      <c r="B292" s="17"/>
      <c r="C292" s="17"/>
      <c r="D292" s="17"/>
      <c r="E292" s="44"/>
    </row>
    <row r="293" spans="2:5" ht="15.8" customHeight="1" x14ac:dyDescent="0.3">
      <c r="B293" s="17"/>
      <c r="C293" s="17"/>
      <c r="D293" s="17"/>
      <c r="E293" s="44"/>
    </row>
    <row r="294" spans="2:5" ht="15.8" customHeight="1" x14ac:dyDescent="0.3">
      <c r="B294" s="17"/>
      <c r="C294" s="17"/>
      <c r="D294" s="17"/>
      <c r="E294" s="44"/>
    </row>
    <row r="295" spans="2:5" ht="15.8" customHeight="1" x14ac:dyDescent="0.3">
      <c r="B295" s="17"/>
      <c r="C295" s="17"/>
      <c r="D295" s="17"/>
      <c r="E295" s="44"/>
    </row>
    <row r="296" spans="2:5" ht="15.8" customHeight="1" x14ac:dyDescent="0.3">
      <c r="B296" s="17"/>
      <c r="C296" s="17"/>
      <c r="D296" s="17"/>
      <c r="E296" s="44"/>
    </row>
    <row r="297" spans="2:5" ht="15.8" customHeight="1" x14ac:dyDescent="0.3">
      <c r="B297" s="17"/>
      <c r="C297" s="17"/>
      <c r="D297" s="17"/>
      <c r="E297" s="44"/>
    </row>
    <row r="298" spans="2:5" ht="15.8" customHeight="1" x14ac:dyDescent="0.3">
      <c r="B298" s="17"/>
      <c r="C298" s="17"/>
      <c r="D298" s="17"/>
      <c r="E298" s="44"/>
    </row>
    <row r="299" spans="2:5" ht="15.8" customHeight="1" x14ac:dyDescent="0.3">
      <c r="B299" s="17"/>
      <c r="C299" s="17"/>
      <c r="D299" s="17"/>
      <c r="E299" s="44"/>
    </row>
    <row r="300" spans="2:5" ht="15.8" customHeight="1" x14ac:dyDescent="0.3">
      <c r="B300" s="17"/>
      <c r="C300" s="17"/>
      <c r="D300" s="17"/>
      <c r="E300" s="44"/>
    </row>
    <row r="301" spans="2:5" ht="15.8" customHeight="1" x14ac:dyDescent="0.3">
      <c r="B301" s="17"/>
      <c r="C301" s="17"/>
      <c r="D301" s="17"/>
      <c r="E301" s="44"/>
    </row>
    <row r="302" spans="2:5" ht="15.8" customHeight="1" x14ac:dyDescent="0.3">
      <c r="B302" s="17"/>
      <c r="C302" s="17"/>
      <c r="D302" s="17"/>
      <c r="E302" s="44"/>
    </row>
    <row r="303" spans="2:5" ht="15.8" customHeight="1" x14ac:dyDescent="0.3">
      <c r="B303" s="17"/>
      <c r="C303" s="17"/>
      <c r="D303" s="17"/>
      <c r="E303" s="44"/>
    </row>
    <row r="304" spans="2:5" ht="15.8" customHeight="1" x14ac:dyDescent="0.3">
      <c r="B304" s="17"/>
      <c r="C304" s="17"/>
      <c r="D304" s="17"/>
      <c r="E304" s="44"/>
    </row>
    <row r="305" spans="2:5" ht="15.8" customHeight="1" x14ac:dyDescent="0.3">
      <c r="B305" s="17"/>
      <c r="C305" s="17"/>
      <c r="D305" s="17"/>
      <c r="E305" s="44"/>
    </row>
    <row r="306" spans="2:5" ht="15.8" customHeight="1" x14ac:dyDescent="0.3">
      <c r="B306" s="17"/>
      <c r="C306" s="17"/>
      <c r="D306" s="17"/>
      <c r="E306" s="44"/>
    </row>
    <row r="307" spans="2:5" ht="15.8" customHeight="1" x14ac:dyDescent="0.3">
      <c r="B307" s="17"/>
      <c r="C307" s="17"/>
      <c r="D307" s="17"/>
      <c r="E307" s="44"/>
    </row>
    <row r="308" spans="2:5" ht="15.8" customHeight="1" x14ac:dyDescent="0.3">
      <c r="B308" s="17"/>
      <c r="C308" s="17"/>
      <c r="D308" s="17"/>
      <c r="E308" s="44"/>
    </row>
    <row r="309" spans="2:5" ht="15.8" customHeight="1" x14ac:dyDescent="0.3">
      <c r="B309" s="17"/>
      <c r="C309" s="17"/>
      <c r="D309" s="17"/>
      <c r="E309" s="44"/>
    </row>
    <row r="310" spans="2:5" ht="15.8" customHeight="1" x14ac:dyDescent="0.3">
      <c r="B310" s="17"/>
      <c r="C310" s="17"/>
      <c r="D310" s="17"/>
      <c r="E310" s="44"/>
    </row>
    <row r="311" spans="2:5" ht="15.8" customHeight="1" x14ac:dyDescent="0.3">
      <c r="B311" s="17"/>
      <c r="C311" s="17"/>
      <c r="D311" s="17"/>
      <c r="E311" s="44"/>
    </row>
    <row r="312" spans="2:5" ht="15.8" customHeight="1" x14ac:dyDescent="0.3">
      <c r="B312" s="17"/>
      <c r="C312" s="17"/>
      <c r="D312" s="17"/>
      <c r="E312" s="44"/>
    </row>
    <row r="313" spans="2:5" ht="15.8" customHeight="1" x14ac:dyDescent="0.3">
      <c r="B313" s="17"/>
      <c r="C313" s="17"/>
      <c r="D313" s="17"/>
      <c r="E313" s="44"/>
    </row>
    <row r="314" spans="2:5" ht="15.8" customHeight="1" x14ac:dyDescent="0.3">
      <c r="B314" s="17"/>
      <c r="C314" s="17"/>
      <c r="D314" s="17"/>
      <c r="E314" s="44"/>
    </row>
    <row r="315" spans="2:5" ht="15.8" customHeight="1" x14ac:dyDescent="0.3">
      <c r="B315" s="17"/>
      <c r="C315" s="17"/>
      <c r="D315" s="17"/>
      <c r="E315" s="44"/>
    </row>
    <row r="316" spans="2:5" ht="15.8" customHeight="1" x14ac:dyDescent="0.3">
      <c r="B316" s="17"/>
      <c r="C316" s="17"/>
      <c r="D316" s="17"/>
      <c r="E316" s="44"/>
    </row>
    <row r="317" spans="2:5" ht="15.8" customHeight="1" x14ac:dyDescent="0.3">
      <c r="B317" s="17"/>
      <c r="C317" s="17"/>
      <c r="D317" s="17"/>
      <c r="E317" s="44"/>
    </row>
    <row r="318" spans="2:5" ht="15.8" customHeight="1" x14ac:dyDescent="0.3">
      <c r="B318" s="17"/>
      <c r="C318" s="17"/>
      <c r="D318" s="17"/>
      <c r="E318" s="44"/>
    </row>
    <row r="319" spans="2:5" ht="15.8" customHeight="1" x14ac:dyDescent="0.3">
      <c r="B319" s="17"/>
      <c r="C319" s="17"/>
      <c r="D319" s="17"/>
      <c r="E319" s="44"/>
    </row>
    <row r="320" spans="2:5" ht="15.8" customHeight="1" x14ac:dyDescent="0.3">
      <c r="B320" s="17"/>
      <c r="C320" s="17"/>
      <c r="D320" s="17"/>
      <c r="E320" s="44"/>
    </row>
    <row r="321" spans="2:5" ht="15.8" customHeight="1" x14ac:dyDescent="0.3">
      <c r="B321" s="17"/>
      <c r="C321" s="17"/>
      <c r="D321" s="17"/>
      <c r="E321" s="44"/>
    </row>
    <row r="322" spans="2:5" ht="15.8" customHeight="1" x14ac:dyDescent="0.3">
      <c r="B322" s="17"/>
      <c r="C322" s="17"/>
      <c r="D322" s="17"/>
      <c r="E322" s="44"/>
    </row>
    <row r="323" spans="2:5" ht="15.8" customHeight="1" x14ac:dyDescent="0.3">
      <c r="B323" s="17"/>
      <c r="C323" s="17"/>
      <c r="D323" s="17"/>
      <c r="E323" s="44"/>
    </row>
    <row r="324" spans="2:5" ht="15.8" customHeight="1" x14ac:dyDescent="0.3">
      <c r="B324" s="17"/>
      <c r="C324" s="17"/>
      <c r="D324" s="17"/>
      <c r="E324" s="44"/>
    </row>
    <row r="325" spans="2:5" ht="15.8" customHeight="1" x14ac:dyDescent="0.3">
      <c r="B325" s="17"/>
      <c r="C325" s="17"/>
      <c r="D325" s="17"/>
      <c r="E325" s="44"/>
    </row>
    <row r="326" spans="2:5" ht="15.8" customHeight="1" x14ac:dyDescent="0.3">
      <c r="B326" s="17"/>
      <c r="C326" s="17"/>
      <c r="D326" s="17"/>
      <c r="E326" s="44"/>
    </row>
    <row r="327" spans="2:5" ht="15.8" customHeight="1" x14ac:dyDescent="0.3">
      <c r="B327" s="17"/>
      <c r="C327" s="17"/>
      <c r="D327" s="17"/>
      <c r="E327" s="44"/>
    </row>
    <row r="328" spans="2:5" ht="15.8" customHeight="1" x14ac:dyDescent="0.3">
      <c r="B328" s="17"/>
      <c r="C328" s="17"/>
      <c r="D328" s="17"/>
      <c r="E328" s="44"/>
    </row>
    <row r="329" spans="2:5" ht="15.8" customHeight="1" x14ac:dyDescent="0.3">
      <c r="B329" s="17"/>
      <c r="C329" s="17"/>
      <c r="D329" s="17"/>
      <c r="E329" s="44"/>
    </row>
    <row r="330" spans="2:5" ht="15.8" customHeight="1" x14ac:dyDescent="0.3">
      <c r="B330" s="17"/>
      <c r="C330" s="17"/>
      <c r="D330" s="17"/>
      <c r="E330" s="44"/>
    </row>
    <row r="331" spans="2:5" ht="15.8" customHeight="1" x14ac:dyDescent="0.3">
      <c r="B331" s="17"/>
      <c r="C331" s="17"/>
      <c r="D331" s="17"/>
      <c r="E331" s="44"/>
    </row>
    <row r="332" spans="2:5" ht="15.8" customHeight="1" x14ac:dyDescent="0.3">
      <c r="B332" s="17"/>
      <c r="C332" s="17"/>
      <c r="D332" s="17"/>
      <c r="E332" s="44"/>
    </row>
    <row r="333" spans="2:5" ht="15.8" customHeight="1" x14ac:dyDescent="0.3">
      <c r="B333" s="17"/>
      <c r="C333" s="17"/>
      <c r="D333" s="17"/>
      <c r="E333" s="44"/>
    </row>
    <row r="334" spans="2:5" ht="15.8" customHeight="1" x14ac:dyDescent="0.3">
      <c r="B334" s="17"/>
      <c r="C334" s="17"/>
      <c r="D334" s="17"/>
      <c r="E334" s="44"/>
    </row>
    <row r="335" spans="2:5" ht="15.8" customHeight="1" x14ac:dyDescent="0.3">
      <c r="B335" s="17"/>
      <c r="C335" s="17"/>
      <c r="D335" s="17"/>
      <c r="E335" s="44"/>
    </row>
    <row r="336" spans="2:5" ht="15.8" customHeight="1" x14ac:dyDescent="0.3">
      <c r="B336" s="17"/>
      <c r="C336" s="17"/>
      <c r="D336" s="17"/>
      <c r="E336" s="44"/>
    </row>
    <row r="337" spans="2:5" ht="15.8" customHeight="1" x14ac:dyDescent="0.3">
      <c r="B337" s="17"/>
      <c r="C337" s="17"/>
      <c r="D337" s="17"/>
      <c r="E337" s="44"/>
    </row>
    <row r="338" spans="2:5" ht="15.8" customHeight="1" x14ac:dyDescent="0.3">
      <c r="B338" s="17"/>
      <c r="C338" s="17"/>
      <c r="D338" s="17"/>
      <c r="E338" s="44"/>
    </row>
    <row r="339" spans="2:5" ht="15.8" customHeight="1" x14ac:dyDescent="0.3">
      <c r="B339" s="17"/>
      <c r="C339" s="17"/>
      <c r="D339" s="17"/>
      <c r="E339" s="44"/>
    </row>
    <row r="340" spans="2:5" ht="15.8" customHeight="1" x14ac:dyDescent="0.3">
      <c r="B340" s="17"/>
      <c r="C340" s="17"/>
      <c r="D340" s="17"/>
      <c r="E340" s="44"/>
    </row>
    <row r="341" spans="2:5" ht="15.8" customHeight="1" x14ac:dyDescent="0.3">
      <c r="B341" s="17"/>
      <c r="C341" s="17"/>
      <c r="D341" s="17"/>
      <c r="E341" s="44"/>
    </row>
    <row r="342" spans="2:5" ht="15.8" customHeight="1" x14ac:dyDescent="0.3">
      <c r="B342" s="17"/>
      <c r="C342" s="17"/>
      <c r="D342" s="17"/>
      <c r="E342" s="44"/>
    </row>
    <row r="343" spans="2:5" ht="15.8" customHeight="1" x14ac:dyDescent="0.3">
      <c r="B343" s="17"/>
      <c r="C343" s="17"/>
      <c r="D343" s="17"/>
      <c r="E343" s="44"/>
    </row>
    <row r="344" spans="2:5" ht="15.8" customHeight="1" x14ac:dyDescent="0.3">
      <c r="B344" s="17"/>
      <c r="C344" s="17"/>
      <c r="D344" s="17"/>
      <c r="E344" s="44"/>
    </row>
    <row r="345" spans="2:5" ht="15.8" customHeight="1" x14ac:dyDescent="0.3">
      <c r="B345" s="17"/>
      <c r="C345" s="17"/>
      <c r="D345" s="17"/>
      <c r="E345" s="44"/>
    </row>
    <row r="346" spans="2:5" ht="15.8" customHeight="1" x14ac:dyDescent="0.3">
      <c r="B346" s="17"/>
      <c r="C346" s="17"/>
      <c r="D346" s="17"/>
      <c r="E346" s="44"/>
    </row>
    <row r="347" spans="2:5" ht="15.8" customHeight="1" x14ac:dyDescent="0.3">
      <c r="B347" s="17"/>
      <c r="C347" s="17"/>
      <c r="D347" s="17"/>
      <c r="E347" s="44"/>
    </row>
    <row r="348" spans="2:5" ht="15.8" customHeight="1" x14ac:dyDescent="0.3">
      <c r="B348" s="17"/>
      <c r="C348" s="17"/>
      <c r="D348" s="17"/>
      <c r="E348" s="44"/>
    </row>
    <row r="349" spans="2:5" ht="15.8" customHeight="1" x14ac:dyDescent="0.3">
      <c r="B349" s="17"/>
      <c r="C349" s="17"/>
      <c r="D349" s="17"/>
      <c r="E349" s="44"/>
    </row>
    <row r="350" spans="2:5" ht="15.8" customHeight="1" x14ac:dyDescent="0.3">
      <c r="B350" s="17"/>
      <c r="C350" s="17"/>
      <c r="D350" s="17"/>
      <c r="E350" s="44"/>
    </row>
    <row r="351" spans="2:5" ht="15.8" customHeight="1" x14ac:dyDescent="0.3">
      <c r="B351" s="17"/>
      <c r="C351" s="17"/>
      <c r="D351" s="17"/>
      <c r="E351" s="44"/>
    </row>
    <row r="352" spans="2:5" ht="15.8" customHeight="1" x14ac:dyDescent="0.3">
      <c r="B352" s="17"/>
      <c r="C352" s="17"/>
      <c r="D352" s="17"/>
      <c r="E352" s="44"/>
    </row>
    <row r="353" spans="2:5" ht="15.8" customHeight="1" x14ac:dyDescent="0.3">
      <c r="B353" s="17"/>
      <c r="C353" s="17"/>
      <c r="D353" s="17"/>
      <c r="E353" s="44"/>
    </row>
    <row r="354" spans="2:5" ht="15.8" customHeight="1" x14ac:dyDescent="0.3">
      <c r="B354" s="17"/>
      <c r="C354" s="17"/>
      <c r="D354" s="17"/>
      <c r="E354" s="44"/>
    </row>
    <row r="355" spans="2:5" ht="15.8" customHeight="1" x14ac:dyDescent="0.3">
      <c r="B355" s="17"/>
      <c r="C355" s="17"/>
      <c r="D355" s="17"/>
      <c r="E355" s="44"/>
    </row>
    <row r="356" spans="2:5" ht="15.8" customHeight="1" x14ac:dyDescent="0.3">
      <c r="B356" s="17"/>
      <c r="C356" s="17"/>
      <c r="D356" s="17"/>
      <c r="E356" s="44"/>
    </row>
    <row r="357" spans="2:5" ht="15.8" customHeight="1" x14ac:dyDescent="0.3">
      <c r="B357" s="17"/>
      <c r="C357" s="17"/>
      <c r="D357" s="17"/>
      <c r="E357" s="44"/>
    </row>
    <row r="358" spans="2:5" ht="15.8" customHeight="1" x14ac:dyDescent="0.3">
      <c r="B358" s="17"/>
      <c r="C358" s="17"/>
      <c r="D358" s="17"/>
      <c r="E358" s="44"/>
    </row>
    <row r="359" spans="2:5" ht="15.8" customHeight="1" x14ac:dyDescent="0.3">
      <c r="B359" s="17"/>
      <c r="C359" s="17"/>
      <c r="D359" s="17"/>
      <c r="E359" s="44"/>
    </row>
    <row r="360" spans="2:5" ht="15.8" customHeight="1" x14ac:dyDescent="0.3">
      <c r="B360" s="17"/>
      <c r="C360" s="17"/>
      <c r="D360" s="17"/>
      <c r="E360" s="44"/>
    </row>
    <row r="361" spans="2:5" ht="15.8" customHeight="1" x14ac:dyDescent="0.3">
      <c r="B361" s="17"/>
      <c r="C361" s="17"/>
      <c r="D361" s="17"/>
      <c r="E361" s="44"/>
    </row>
    <row r="362" spans="2:5" ht="15.8" customHeight="1" x14ac:dyDescent="0.3">
      <c r="B362" s="17"/>
      <c r="C362" s="17"/>
      <c r="D362" s="17"/>
      <c r="E362" s="44"/>
    </row>
    <row r="363" spans="2:5" ht="15.8" customHeight="1" x14ac:dyDescent="0.3">
      <c r="B363" s="17"/>
      <c r="C363" s="17"/>
      <c r="D363" s="17"/>
      <c r="E363" s="44"/>
    </row>
    <row r="364" spans="2:5" ht="15.8" customHeight="1" x14ac:dyDescent="0.3">
      <c r="B364" s="17"/>
      <c r="C364" s="17"/>
      <c r="D364" s="17"/>
      <c r="E364" s="44"/>
    </row>
    <row r="365" spans="2:5" ht="15.8" customHeight="1" x14ac:dyDescent="0.3">
      <c r="B365" s="17"/>
      <c r="C365" s="17"/>
      <c r="D365" s="17"/>
      <c r="E365" s="44"/>
    </row>
    <row r="366" spans="2:5" ht="15.8" customHeight="1" x14ac:dyDescent="0.3">
      <c r="B366" s="17"/>
      <c r="C366" s="17"/>
      <c r="D366" s="17"/>
      <c r="E366" s="44"/>
    </row>
    <row r="367" spans="2:5" ht="15.8" customHeight="1" x14ac:dyDescent="0.3">
      <c r="B367" s="17"/>
      <c r="C367" s="17"/>
      <c r="D367" s="17"/>
      <c r="E367" s="44"/>
    </row>
    <row r="368" spans="2:5" ht="15.8" customHeight="1" x14ac:dyDescent="0.3">
      <c r="B368" s="17"/>
      <c r="C368" s="17"/>
      <c r="D368" s="17"/>
      <c r="E368" s="44"/>
    </row>
    <row r="369" spans="2:5" ht="15.8" customHeight="1" x14ac:dyDescent="0.3">
      <c r="B369" s="17"/>
      <c r="C369" s="17"/>
      <c r="D369" s="17"/>
      <c r="E369" s="44"/>
    </row>
    <row r="370" spans="2:5" ht="15.8" customHeight="1" x14ac:dyDescent="0.3">
      <c r="B370" s="17"/>
      <c r="C370" s="17"/>
      <c r="D370" s="17"/>
      <c r="E370" s="44"/>
    </row>
    <row r="371" spans="2:5" ht="15.8" customHeight="1" x14ac:dyDescent="0.3">
      <c r="B371" s="17"/>
      <c r="C371" s="17"/>
      <c r="D371" s="17"/>
      <c r="E371" s="44"/>
    </row>
    <row r="372" spans="2:5" ht="15.8" customHeight="1" x14ac:dyDescent="0.3">
      <c r="B372" s="17"/>
      <c r="C372" s="17"/>
      <c r="D372" s="17"/>
      <c r="E372" s="44"/>
    </row>
    <row r="373" spans="2:5" ht="15.8" customHeight="1" x14ac:dyDescent="0.3">
      <c r="B373" s="17"/>
      <c r="C373" s="17"/>
      <c r="D373" s="17"/>
      <c r="E373" s="44"/>
    </row>
    <row r="374" spans="2:5" ht="15.8" customHeight="1" x14ac:dyDescent="0.3">
      <c r="B374" s="17"/>
      <c r="C374" s="17"/>
      <c r="D374" s="17"/>
      <c r="E374" s="44"/>
    </row>
    <row r="375" spans="2:5" ht="15.8" customHeight="1" x14ac:dyDescent="0.3">
      <c r="B375" s="17"/>
      <c r="C375" s="17"/>
      <c r="D375" s="17"/>
      <c r="E375" s="44"/>
    </row>
    <row r="376" spans="2:5" ht="15.8" customHeight="1" x14ac:dyDescent="0.3">
      <c r="B376" s="17"/>
      <c r="C376" s="17"/>
      <c r="D376" s="17"/>
      <c r="E376" s="44"/>
    </row>
    <row r="377" spans="2:5" ht="15.8" customHeight="1" x14ac:dyDescent="0.3">
      <c r="B377" s="17"/>
      <c r="C377" s="17"/>
      <c r="D377" s="17"/>
      <c r="E377" s="44"/>
    </row>
    <row r="378" spans="2:5" ht="15.8" customHeight="1" x14ac:dyDescent="0.3">
      <c r="B378" s="17"/>
      <c r="C378" s="17"/>
      <c r="D378" s="17"/>
      <c r="E378" s="44"/>
    </row>
    <row r="379" spans="2:5" ht="15.8" customHeight="1" x14ac:dyDescent="0.3">
      <c r="B379" s="17"/>
      <c r="C379" s="17"/>
      <c r="D379" s="17"/>
      <c r="E379" s="44"/>
    </row>
    <row r="380" spans="2:5" ht="15.8" customHeight="1" x14ac:dyDescent="0.3">
      <c r="B380" s="17"/>
      <c r="C380" s="17"/>
      <c r="D380" s="17"/>
      <c r="E380" s="44"/>
    </row>
    <row r="381" spans="2:5" ht="15.8" customHeight="1" x14ac:dyDescent="0.3">
      <c r="B381" s="17"/>
      <c r="C381" s="17"/>
      <c r="D381" s="17"/>
      <c r="E381" s="44"/>
    </row>
    <row r="382" spans="2:5" ht="15.8" customHeight="1" x14ac:dyDescent="0.3">
      <c r="B382" s="17"/>
      <c r="C382" s="17"/>
      <c r="D382" s="17"/>
      <c r="E382" s="44"/>
    </row>
    <row r="383" spans="2:5" ht="15.8" customHeight="1" x14ac:dyDescent="0.3">
      <c r="B383" s="17"/>
      <c r="C383" s="17"/>
      <c r="D383" s="17"/>
      <c r="E383" s="44"/>
    </row>
    <row r="384" spans="2:5" ht="15.8" customHeight="1" x14ac:dyDescent="0.3">
      <c r="B384" s="17"/>
      <c r="C384" s="17"/>
      <c r="D384" s="17"/>
      <c r="E384" s="44"/>
    </row>
    <row r="385" spans="2:5" ht="15.8" customHeight="1" x14ac:dyDescent="0.3">
      <c r="B385" s="17"/>
      <c r="C385" s="17"/>
      <c r="D385" s="17"/>
      <c r="E385" s="44"/>
    </row>
    <row r="386" spans="2:5" ht="15.8" customHeight="1" x14ac:dyDescent="0.3">
      <c r="B386" s="17"/>
      <c r="C386" s="17"/>
      <c r="D386" s="17"/>
      <c r="E386" s="44"/>
    </row>
    <row r="387" spans="2:5" ht="15.8" customHeight="1" x14ac:dyDescent="0.3">
      <c r="B387" s="17"/>
      <c r="C387" s="17"/>
      <c r="D387" s="17"/>
      <c r="E387" s="44"/>
    </row>
    <row r="388" spans="2:5" ht="15.8" customHeight="1" x14ac:dyDescent="0.3">
      <c r="B388" s="17"/>
      <c r="C388" s="17"/>
      <c r="D388" s="17"/>
      <c r="E388" s="44"/>
    </row>
    <row r="389" spans="2:5" ht="15.8" customHeight="1" x14ac:dyDescent="0.3">
      <c r="B389" s="17"/>
      <c r="C389" s="17"/>
      <c r="D389" s="17"/>
      <c r="E389" s="44"/>
    </row>
    <row r="390" spans="2:5" ht="15.8" customHeight="1" x14ac:dyDescent="0.3">
      <c r="B390" s="17"/>
      <c r="C390" s="17"/>
      <c r="D390" s="17"/>
      <c r="E390" s="44"/>
    </row>
    <row r="391" spans="2:5" ht="15.8" customHeight="1" x14ac:dyDescent="0.3">
      <c r="B391" s="17"/>
      <c r="C391" s="17"/>
      <c r="D391" s="17"/>
      <c r="E391" s="44"/>
    </row>
    <row r="392" spans="2:5" ht="15.8" customHeight="1" x14ac:dyDescent="0.3">
      <c r="B392" s="17"/>
      <c r="C392" s="17"/>
      <c r="D392" s="17"/>
      <c r="E392" s="44"/>
    </row>
    <row r="393" spans="2:5" ht="15.8" customHeight="1" x14ac:dyDescent="0.3">
      <c r="B393" s="17"/>
      <c r="C393" s="17"/>
      <c r="D393" s="17"/>
      <c r="E393" s="44"/>
    </row>
    <row r="394" spans="2:5" ht="15.8" customHeight="1" x14ac:dyDescent="0.3">
      <c r="B394" s="17"/>
      <c r="C394" s="17"/>
      <c r="D394" s="17"/>
      <c r="E394" s="44"/>
    </row>
    <row r="395" spans="2:5" ht="15.8" customHeight="1" x14ac:dyDescent="0.3">
      <c r="B395" s="17"/>
      <c r="C395" s="17"/>
      <c r="D395" s="17"/>
      <c r="E395" s="44"/>
    </row>
    <row r="396" spans="2:5" ht="15.8" customHeight="1" x14ac:dyDescent="0.3">
      <c r="B396" s="17"/>
      <c r="C396" s="17"/>
      <c r="D396" s="17"/>
      <c r="E396" s="44"/>
    </row>
    <row r="397" spans="2:5" ht="15.8" customHeight="1" x14ac:dyDescent="0.3">
      <c r="B397" s="17"/>
      <c r="C397" s="17"/>
      <c r="D397" s="17"/>
      <c r="E397" s="44"/>
    </row>
    <row r="398" spans="2:5" ht="15.8" customHeight="1" x14ac:dyDescent="0.3">
      <c r="B398" s="17"/>
      <c r="C398" s="17"/>
      <c r="D398" s="17"/>
      <c r="E398" s="44"/>
    </row>
    <row r="399" spans="2:5" ht="15.8" customHeight="1" x14ac:dyDescent="0.3">
      <c r="B399" s="17"/>
      <c r="C399" s="17"/>
      <c r="D399" s="17"/>
      <c r="E399" s="44"/>
    </row>
    <row r="400" spans="2:5" ht="15.8" customHeight="1" x14ac:dyDescent="0.3">
      <c r="B400" s="17"/>
      <c r="C400" s="17"/>
      <c r="D400" s="17"/>
      <c r="E400" s="44"/>
    </row>
    <row r="401" spans="2:5" ht="15.8" customHeight="1" x14ac:dyDescent="0.3">
      <c r="B401" s="17"/>
      <c r="C401" s="17"/>
      <c r="D401" s="17"/>
      <c r="E401" s="44"/>
    </row>
    <row r="402" spans="2:5" ht="15.8" customHeight="1" x14ac:dyDescent="0.3">
      <c r="B402" s="17"/>
      <c r="C402" s="17"/>
      <c r="D402" s="17"/>
      <c r="E402" s="44"/>
    </row>
    <row r="403" spans="2:5" ht="15.8" customHeight="1" x14ac:dyDescent="0.3">
      <c r="B403" s="17"/>
      <c r="C403" s="17"/>
      <c r="D403" s="17"/>
      <c r="E403" s="44"/>
    </row>
    <row r="404" spans="2:5" ht="15.8" customHeight="1" x14ac:dyDescent="0.3">
      <c r="B404" s="17"/>
      <c r="C404" s="17"/>
      <c r="D404" s="17"/>
      <c r="E404" s="44"/>
    </row>
    <row r="405" spans="2:5" ht="15.8" customHeight="1" x14ac:dyDescent="0.3">
      <c r="B405" s="17"/>
      <c r="C405" s="17"/>
      <c r="D405" s="17"/>
      <c r="E405" s="44"/>
    </row>
    <row r="406" spans="2:5" ht="15.8" customHeight="1" x14ac:dyDescent="0.3">
      <c r="B406" s="17"/>
      <c r="C406" s="17"/>
      <c r="D406" s="17"/>
      <c r="E406" s="44"/>
    </row>
    <row r="407" spans="2:5" ht="15.8" customHeight="1" x14ac:dyDescent="0.3">
      <c r="B407" s="17"/>
      <c r="C407" s="17"/>
      <c r="D407" s="17"/>
      <c r="E407" s="44"/>
    </row>
    <row r="408" spans="2:5" ht="15.8" customHeight="1" x14ac:dyDescent="0.3">
      <c r="B408" s="17"/>
      <c r="C408" s="17"/>
      <c r="D408" s="17"/>
      <c r="E408" s="44"/>
    </row>
    <row r="409" spans="2:5" ht="15.8" customHeight="1" x14ac:dyDescent="0.3">
      <c r="B409" s="17"/>
      <c r="C409" s="17"/>
      <c r="D409" s="17"/>
      <c r="E409" s="44"/>
    </row>
    <row r="410" spans="2:5" ht="15.8" customHeight="1" x14ac:dyDescent="0.3">
      <c r="B410" s="17"/>
      <c r="C410" s="17"/>
      <c r="D410" s="17"/>
      <c r="E410" s="44"/>
    </row>
    <row r="411" spans="2:5" ht="15.8" customHeight="1" x14ac:dyDescent="0.3">
      <c r="B411" s="17"/>
      <c r="C411" s="17"/>
      <c r="D411" s="17"/>
      <c r="E411" s="44"/>
    </row>
    <row r="412" spans="2:5" ht="15.8" customHeight="1" x14ac:dyDescent="0.3">
      <c r="B412" s="17"/>
      <c r="C412" s="17"/>
      <c r="D412" s="17"/>
      <c r="E412" s="44"/>
    </row>
    <row r="413" spans="2:5" ht="15.8" customHeight="1" x14ac:dyDescent="0.3">
      <c r="B413" s="17"/>
      <c r="C413" s="17"/>
      <c r="D413" s="17"/>
      <c r="E413" s="44"/>
    </row>
    <row r="414" spans="2:5" ht="15.8" customHeight="1" x14ac:dyDescent="0.3">
      <c r="B414" s="17"/>
      <c r="C414" s="17"/>
      <c r="D414" s="17"/>
      <c r="E414" s="44"/>
    </row>
    <row r="415" spans="2:5" ht="15.8" customHeight="1" x14ac:dyDescent="0.3">
      <c r="B415" s="17"/>
      <c r="C415" s="17"/>
      <c r="D415" s="17"/>
      <c r="E415" s="44"/>
    </row>
    <row r="416" spans="2:5" ht="15.8" customHeight="1" x14ac:dyDescent="0.3">
      <c r="B416" s="17"/>
      <c r="C416" s="17"/>
      <c r="D416" s="17"/>
      <c r="E416" s="44"/>
    </row>
    <row r="417" spans="2:5" ht="15.8" customHeight="1" x14ac:dyDescent="0.3">
      <c r="B417" s="17"/>
      <c r="C417" s="17"/>
      <c r="D417" s="17"/>
      <c r="E417" s="44"/>
    </row>
    <row r="418" spans="2:5" ht="15.8" customHeight="1" x14ac:dyDescent="0.3">
      <c r="B418" s="17"/>
      <c r="C418" s="17"/>
      <c r="D418" s="17"/>
      <c r="E418" s="44"/>
    </row>
    <row r="419" spans="2:5" ht="15.8" customHeight="1" x14ac:dyDescent="0.3">
      <c r="B419" s="17"/>
      <c r="C419" s="17"/>
      <c r="D419" s="17"/>
      <c r="E419" s="44"/>
    </row>
    <row r="420" spans="2:5" ht="15.8" customHeight="1" x14ac:dyDescent="0.3">
      <c r="B420" s="17"/>
      <c r="C420" s="17"/>
      <c r="D420" s="17"/>
      <c r="E420" s="44"/>
    </row>
    <row r="421" spans="2:5" ht="15.8" customHeight="1" x14ac:dyDescent="0.3">
      <c r="B421" s="17"/>
      <c r="C421" s="17"/>
      <c r="D421" s="17"/>
      <c r="E421" s="44"/>
    </row>
    <row r="422" spans="2:5" ht="15.8" customHeight="1" x14ac:dyDescent="0.3">
      <c r="B422" s="17"/>
      <c r="C422" s="17"/>
      <c r="D422" s="17"/>
      <c r="E422" s="44"/>
    </row>
    <row r="423" spans="2:5" ht="15.8" customHeight="1" x14ac:dyDescent="0.3">
      <c r="B423" s="17"/>
      <c r="C423" s="17"/>
      <c r="D423" s="17"/>
      <c r="E423" s="44"/>
    </row>
    <row r="424" spans="2:5" ht="15.8" customHeight="1" x14ac:dyDescent="0.3">
      <c r="B424" s="17"/>
      <c r="C424" s="17"/>
      <c r="D424" s="17"/>
      <c r="E424" s="44"/>
    </row>
    <row r="425" spans="2:5" ht="15.8" customHeight="1" x14ac:dyDescent="0.3">
      <c r="B425" s="17"/>
      <c r="C425" s="17"/>
      <c r="D425" s="17"/>
      <c r="E425" s="44"/>
    </row>
    <row r="426" spans="2:5" ht="15.8" customHeight="1" x14ac:dyDescent="0.3">
      <c r="B426" s="17"/>
      <c r="C426" s="17"/>
      <c r="D426" s="17"/>
      <c r="E426" s="44"/>
    </row>
    <row r="427" spans="2:5" ht="15.8" customHeight="1" x14ac:dyDescent="0.3">
      <c r="B427" s="17"/>
      <c r="C427" s="17"/>
      <c r="D427" s="17"/>
      <c r="E427" s="44"/>
    </row>
    <row r="428" spans="2:5" ht="15.8" customHeight="1" x14ac:dyDescent="0.3">
      <c r="B428" s="17"/>
      <c r="C428" s="17"/>
      <c r="D428" s="17"/>
      <c r="E428" s="44"/>
    </row>
    <row r="429" spans="2:5" ht="15.8" customHeight="1" x14ac:dyDescent="0.3">
      <c r="B429" s="17"/>
      <c r="C429" s="17"/>
      <c r="D429" s="17"/>
      <c r="E429" s="44"/>
    </row>
    <row r="430" spans="2:5" ht="15.8" customHeight="1" x14ac:dyDescent="0.3">
      <c r="B430" s="17"/>
      <c r="C430" s="17"/>
      <c r="D430" s="17"/>
      <c r="E430" s="44"/>
    </row>
    <row r="431" spans="2:5" ht="15.8" customHeight="1" x14ac:dyDescent="0.3">
      <c r="B431" s="17"/>
      <c r="C431" s="17"/>
      <c r="D431" s="17"/>
      <c r="E431" s="44"/>
    </row>
    <row r="432" spans="2:5" ht="15.8" customHeight="1" x14ac:dyDescent="0.3">
      <c r="B432" s="17"/>
      <c r="C432" s="17"/>
      <c r="D432" s="17"/>
      <c r="E432" s="44"/>
    </row>
    <row r="433" spans="2:5" ht="15.8" customHeight="1" x14ac:dyDescent="0.3">
      <c r="B433" s="17"/>
      <c r="C433" s="17"/>
      <c r="D433" s="17"/>
      <c r="E433" s="44"/>
    </row>
    <row r="434" spans="2:5" ht="15.8" customHeight="1" x14ac:dyDescent="0.3">
      <c r="B434" s="17"/>
      <c r="C434" s="17"/>
      <c r="D434" s="17"/>
      <c r="E434" s="44"/>
    </row>
    <row r="435" spans="2:5" ht="15.8" customHeight="1" x14ac:dyDescent="0.3">
      <c r="B435" s="17"/>
      <c r="C435" s="17"/>
      <c r="D435" s="17"/>
      <c r="E435" s="44"/>
    </row>
    <row r="436" spans="2:5" ht="15.8" customHeight="1" x14ac:dyDescent="0.3">
      <c r="B436" s="17"/>
      <c r="C436" s="17"/>
      <c r="D436" s="17"/>
      <c r="E436" s="44"/>
    </row>
    <row r="437" spans="2:5" ht="15.8" customHeight="1" x14ac:dyDescent="0.3">
      <c r="B437" s="17"/>
      <c r="C437" s="17"/>
      <c r="D437" s="17"/>
      <c r="E437" s="44"/>
    </row>
    <row r="438" spans="2:5" ht="15.8" customHeight="1" x14ac:dyDescent="0.3">
      <c r="B438" s="17"/>
      <c r="C438" s="17"/>
      <c r="D438" s="17"/>
      <c r="E438" s="44"/>
    </row>
    <row r="439" spans="2:5" ht="15.8" customHeight="1" x14ac:dyDescent="0.3">
      <c r="B439" s="17"/>
      <c r="C439" s="17"/>
      <c r="D439" s="17"/>
      <c r="E439" s="44"/>
    </row>
    <row r="440" spans="2:5" ht="15.8" customHeight="1" x14ac:dyDescent="0.3">
      <c r="B440" s="17"/>
      <c r="C440" s="17"/>
      <c r="D440" s="17"/>
      <c r="E440" s="44"/>
    </row>
    <row r="441" spans="2:5" ht="15.8" customHeight="1" x14ac:dyDescent="0.3">
      <c r="B441" s="17"/>
      <c r="C441" s="17"/>
      <c r="D441" s="17"/>
      <c r="E441" s="44"/>
    </row>
    <row r="442" spans="2:5" ht="15.8" customHeight="1" x14ac:dyDescent="0.3">
      <c r="B442" s="17"/>
      <c r="C442" s="17"/>
      <c r="D442" s="17"/>
      <c r="E442" s="44"/>
    </row>
    <row r="443" spans="2:5" ht="15.8" customHeight="1" x14ac:dyDescent="0.3">
      <c r="B443" s="17"/>
      <c r="C443" s="17"/>
      <c r="D443" s="17"/>
      <c r="E443" s="44"/>
    </row>
    <row r="444" spans="2:5" ht="15.8" customHeight="1" x14ac:dyDescent="0.3">
      <c r="B444" s="17"/>
      <c r="C444" s="17"/>
      <c r="D444" s="17"/>
      <c r="E444" s="44"/>
    </row>
    <row r="445" spans="2:5" ht="15.8" customHeight="1" x14ac:dyDescent="0.3">
      <c r="B445" s="17"/>
      <c r="C445" s="17"/>
      <c r="D445" s="17"/>
      <c r="E445" s="44"/>
    </row>
    <row r="446" spans="2:5" ht="15.8" customHeight="1" x14ac:dyDescent="0.3">
      <c r="B446" s="17"/>
      <c r="C446" s="17"/>
      <c r="D446" s="17"/>
      <c r="E446" s="44"/>
    </row>
    <row r="447" spans="2:5" ht="15.8" customHeight="1" x14ac:dyDescent="0.3">
      <c r="B447" s="17"/>
      <c r="C447" s="17"/>
      <c r="D447" s="17"/>
      <c r="E447" s="44"/>
    </row>
    <row r="448" spans="2:5" ht="15.8" customHeight="1" x14ac:dyDescent="0.3">
      <c r="B448" s="17"/>
      <c r="C448" s="17"/>
      <c r="D448" s="17"/>
      <c r="E448" s="44"/>
    </row>
    <row r="449" spans="2:5" ht="15.8" customHeight="1" x14ac:dyDescent="0.3">
      <c r="B449" s="17"/>
      <c r="C449" s="17"/>
      <c r="D449" s="17"/>
      <c r="E449" s="44"/>
    </row>
    <row r="450" spans="2:5" ht="15.8" customHeight="1" x14ac:dyDescent="0.3">
      <c r="B450" s="17"/>
      <c r="C450" s="17"/>
      <c r="D450" s="17"/>
      <c r="E450" s="44"/>
    </row>
    <row r="451" spans="2:5" ht="15.8" customHeight="1" x14ac:dyDescent="0.3">
      <c r="B451" s="17"/>
      <c r="C451" s="17"/>
      <c r="D451" s="17"/>
      <c r="E451" s="44"/>
    </row>
    <row r="452" spans="2:5" ht="15.8" customHeight="1" x14ac:dyDescent="0.3">
      <c r="B452" s="17"/>
      <c r="C452" s="17"/>
      <c r="D452" s="17"/>
      <c r="E452" s="44"/>
    </row>
    <row r="453" spans="2:5" ht="15.8" customHeight="1" x14ac:dyDescent="0.3">
      <c r="B453" s="17"/>
      <c r="C453" s="17"/>
      <c r="D453" s="17"/>
      <c r="E453" s="44"/>
    </row>
    <row r="454" spans="2:5" ht="15.8" customHeight="1" x14ac:dyDescent="0.3">
      <c r="B454" s="17"/>
      <c r="C454" s="17"/>
      <c r="D454" s="17"/>
      <c r="E454" s="44"/>
    </row>
    <row r="455" spans="2:5" ht="15.8" customHeight="1" x14ac:dyDescent="0.3">
      <c r="B455" s="17"/>
      <c r="C455" s="17"/>
      <c r="D455" s="17"/>
      <c r="E455" s="44"/>
    </row>
    <row r="456" spans="2:5" ht="15.8" customHeight="1" x14ac:dyDescent="0.3">
      <c r="B456" s="17"/>
      <c r="C456" s="17"/>
      <c r="D456" s="17"/>
      <c r="E456" s="44"/>
    </row>
    <row r="457" spans="2:5" ht="15.8" customHeight="1" x14ac:dyDescent="0.3">
      <c r="B457" s="17"/>
      <c r="C457" s="17"/>
      <c r="D457" s="17"/>
      <c r="E457" s="44"/>
    </row>
    <row r="458" spans="2:5" ht="15.8" customHeight="1" x14ac:dyDescent="0.3">
      <c r="B458" s="17"/>
      <c r="C458" s="17"/>
      <c r="D458" s="17"/>
      <c r="E458" s="44"/>
    </row>
    <row r="459" spans="2:5" ht="15.8" customHeight="1" x14ac:dyDescent="0.3">
      <c r="B459" s="17"/>
      <c r="C459" s="17"/>
      <c r="D459" s="17"/>
      <c r="E459" s="44"/>
    </row>
    <row r="460" spans="2:5" ht="15.8" customHeight="1" x14ac:dyDescent="0.3">
      <c r="B460" s="17"/>
      <c r="C460" s="17"/>
      <c r="D460" s="17"/>
      <c r="E460" s="44"/>
    </row>
    <row r="461" spans="2:5" ht="15.8" customHeight="1" x14ac:dyDescent="0.3">
      <c r="B461" s="17"/>
      <c r="C461" s="17"/>
      <c r="D461" s="17"/>
      <c r="E461" s="44"/>
    </row>
    <row r="462" spans="2:5" ht="15.8" customHeight="1" x14ac:dyDescent="0.3">
      <c r="B462" s="17"/>
      <c r="C462" s="17"/>
      <c r="D462" s="17"/>
      <c r="E462" s="44"/>
    </row>
    <row r="463" spans="2:5" ht="15.8" customHeight="1" x14ac:dyDescent="0.3">
      <c r="B463" s="17"/>
      <c r="C463" s="17"/>
      <c r="D463" s="17"/>
      <c r="E463" s="44"/>
    </row>
    <row r="464" spans="2:5" ht="15.8" customHeight="1" x14ac:dyDescent="0.3">
      <c r="B464" s="17"/>
      <c r="C464" s="17"/>
      <c r="D464" s="17"/>
      <c r="E464" s="44"/>
    </row>
    <row r="465" spans="2:5" ht="15.8" customHeight="1" x14ac:dyDescent="0.3">
      <c r="B465" s="17"/>
      <c r="C465" s="17"/>
      <c r="D465" s="17"/>
      <c r="E465" s="44"/>
    </row>
    <row r="466" spans="2:5" ht="15.8" customHeight="1" x14ac:dyDescent="0.3">
      <c r="B466" s="17"/>
      <c r="C466" s="17"/>
      <c r="D466" s="17"/>
      <c r="E466" s="44"/>
    </row>
    <row r="467" spans="2:5" ht="15.8" customHeight="1" x14ac:dyDescent="0.3">
      <c r="B467" s="17"/>
      <c r="C467" s="17"/>
      <c r="D467" s="17"/>
      <c r="E467" s="44"/>
    </row>
    <row r="468" spans="2:5" ht="15.8" customHeight="1" x14ac:dyDescent="0.3">
      <c r="B468" s="17"/>
      <c r="C468" s="17"/>
      <c r="D468" s="17"/>
      <c r="E468" s="44"/>
    </row>
    <row r="469" spans="2:5" ht="15.8" customHeight="1" x14ac:dyDescent="0.3">
      <c r="B469" s="17"/>
      <c r="C469" s="17"/>
      <c r="D469" s="17"/>
      <c r="E469" s="44"/>
    </row>
    <row r="470" spans="2:5" ht="15.8" customHeight="1" x14ac:dyDescent="0.3">
      <c r="B470" s="17"/>
      <c r="C470" s="17"/>
      <c r="D470" s="17"/>
      <c r="E470" s="44"/>
    </row>
    <row r="471" spans="2:5" ht="15.8" customHeight="1" x14ac:dyDescent="0.3">
      <c r="B471" s="17"/>
      <c r="C471" s="17"/>
      <c r="D471" s="17"/>
      <c r="E471" s="44"/>
    </row>
    <row r="472" spans="2:5" ht="15.8" customHeight="1" x14ac:dyDescent="0.3">
      <c r="B472" s="17"/>
      <c r="C472" s="17"/>
      <c r="D472" s="17"/>
      <c r="E472" s="44"/>
    </row>
    <row r="473" spans="2:5" ht="15.8" customHeight="1" x14ac:dyDescent="0.3">
      <c r="B473" s="17"/>
      <c r="C473" s="17"/>
      <c r="D473" s="17"/>
      <c r="E473" s="44"/>
    </row>
    <row r="474" spans="2:5" ht="15.8" customHeight="1" x14ac:dyDescent="0.3">
      <c r="B474" s="17"/>
      <c r="C474" s="17"/>
      <c r="D474" s="17"/>
      <c r="E474" s="44"/>
    </row>
    <row r="475" spans="2:5" ht="15.8" customHeight="1" x14ac:dyDescent="0.3">
      <c r="B475" s="17"/>
      <c r="C475" s="17"/>
      <c r="D475" s="17"/>
      <c r="E475" s="44"/>
    </row>
    <row r="476" spans="2:5" ht="15.8" customHeight="1" x14ac:dyDescent="0.3">
      <c r="B476" s="17"/>
      <c r="C476" s="17"/>
      <c r="D476" s="17"/>
      <c r="E476" s="44"/>
    </row>
    <row r="477" spans="2:5" ht="15.8" customHeight="1" x14ac:dyDescent="0.3">
      <c r="B477" s="17"/>
      <c r="C477" s="17"/>
      <c r="D477" s="17"/>
      <c r="E477" s="44"/>
    </row>
    <row r="478" spans="2:5" ht="15.8" customHeight="1" x14ac:dyDescent="0.3">
      <c r="B478" s="17"/>
      <c r="C478" s="17"/>
      <c r="D478" s="17"/>
      <c r="E478" s="44"/>
    </row>
    <row r="479" spans="2:5" ht="15.8" customHeight="1" x14ac:dyDescent="0.3">
      <c r="B479" s="17"/>
      <c r="C479" s="17"/>
      <c r="D479" s="17"/>
      <c r="E479" s="44"/>
    </row>
    <row r="480" spans="2:5" ht="15.8" customHeight="1" x14ac:dyDescent="0.3">
      <c r="B480" s="17"/>
      <c r="C480" s="17"/>
      <c r="D480" s="17"/>
      <c r="E480" s="44"/>
    </row>
    <row r="481" spans="2:5" ht="15.8" customHeight="1" x14ac:dyDescent="0.3">
      <c r="B481" s="17"/>
      <c r="C481" s="17"/>
      <c r="D481" s="17"/>
      <c r="E481" s="44"/>
    </row>
    <row r="482" spans="2:5" ht="15.8" customHeight="1" x14ac:dyDescent="0.3">
      <c r="B482" s="17"/>
      <c r="C482" s="17"/>
      <c r="D482" s="17"/>
      <c r="E482" s="44"/>
    </row>
    <row r="483" spans="2:5" ht="15.8" customHeight="1" x14ac:dyDescent="0.3">
      <c r="B483" s="17"/>
      <c r="C483" s="17"/>
      <c r="D483" s="17"/>
      <c r="E483" s="44"/>
    </row>
    <row r="484" spans="2:5" ht="15.8" customHeight="1" x14ac:dyDescent="0.3">
      <c r="B484" s="17"/>
      <c r="C484" s="17"/>
      <c r="D484" s="17"/>
      <c r="E484" s="44"/>
    </row>
    <row r="485" spans="2:5" ht="15.8" customHeight="1" x14ac:dyDescent="0.3">
      <c r="B485" s="17"/>
      <c r="C485" s="17"/>
      <c r="D485" s="17"/>
      <c r="E485" s="44"/>
    </row>
    <row r="486" spans="2:5" ht="15.8" customHeight="1" x14ac:dyDescent="0.3">
      <c r="B486" s="17"/>
      <c r="C486" s="17"/>
      <c r="D486" s="17"/>
      <c r="E486" s="44"/>
    </row>
    <row r="487" spans="2:5" ht="15.8" customHeight="1" x14ac:dyDescent="0.3">
      <c r="B487" s="17"/>
      <c r="C487" s="17"/>
      <c r="D487" s="17"/>
      <c r="E487" s="44"/>
    </row>
    <row r="488" spans="2:5" ht="15.8" customHeight="1" x14ac:dyDescent="0.3">
      <c r="B488" s="17"/>
      <c r="C488" s="17"/>
      <c r="D488" s="17"/>
      <c r="E488" s="44"/>
    </row>
    <row r="489" spans="2:5" ht="15.8" customHeight="1" x14ac:dyDescent="0.3">
      <c r="B489" s="17"/>
      <c r="C489" s="17"/>
      <c r="D489" s="17"/>
      <c r="E489" s="44"/>
    </row>
    <row r="490" spans="2:5" ht="15.8" customHeight="1" x14ac:dyDescent="0.3">
      <c r="B490" s="17"/>
      <c r="C490" s="17"/>
      <c r="D490" s="17"/>
      <c r="E490" s="44"/>
    </row>
    <row r="491" spans="2:5" ht="15.8" customHeight="1" x14ac:dyDescent="0.3">
      <c r="B491" s="17"/>
      <c r="C491" s="17"/>
      <c r="D491" s="17"/>
      <c r="E491" s="44"/>
    </row>
    <row r="492" spans="2:5" ht="15.8" customHeight="1" x14ac:dyDescent="0.3">
      <c r="B492" s="17"/>
      <c r="C492" s="17"/>
      <c r="D492" s="17"/>
      <c r="E492" s="44"/>
    </row>
    <row r="493" spans="2:5" ht="15.8" customHeight="1" x14ac:dyDescent="0.3">
      <c r="B493" s="17"/>
      <c r="C493" s="17"/>
      <c r="D493" s="17"/>
      <c r="E493" s="44"/>
    </row>
    <row r="494" spans="2:5" ht="15.8" customHeight="1" x14ac:dyDescent="0.3">
      <c r="B494" s="17"/>
      <c r="C494" s="17"/>
      <c r="D494" s="17"/>
      <c r="E494" s="44"/>
    </row>
    <row r="495" spans="2:5" ht="15.8" customHeight="1" x14ac:dyDescent="0.3">
      <c r="B495" s="17"/>
      <c r="C495" s="17"/>
      <c r="D495" s="17"/>
      <c r="E495" s="44"/>
    </row>
    <row r="496" spans="2:5" ht="15.8" customHeight="1" x14ac:dyDescent="0.3">
      <c r="B496" s="17"/>
      <c r="C496" s="17"/>
      <c r="D496" s="17"/>
      <c r="E496" s="44"/>
    </row>
    <row r="497" spans="2:5" ht="15.8" customHeight="1" x14ac:dyDescent="0.3">
      <c r="B497" s="17"/>
      <c r="C497" s="17"/>
      <c r="D497" s="17"/>
      <c r="E497" s="44"/>
    </row>
    <row r="498" spans="2:5" ht="15.8" customHeight="1" x14ac:dyDescent="0.3">
      <c r="B498" s="17"/>
      <c r="C498" s="17"/>
      <c r="D498" s="17"/>
      <c r="E498" s="44"/>
    </row>
    <row r="499" spans="2:5" ht="15.8" customHeight="1" x14ac:dyDescent="0.3">
      <c r="B499" s="17"/>
      <c r="C499" s="17"/>
      <c r="D499" s="17"/>
      <c r="E499" s="44"/>
    </row>
    <row r="500" spans="2:5" ht="15.8" customHeight="1" x14ac:dyDescent="0.3">
      <c r="B500" s="17"/>
      <c r="C500" s="17"/>
      <c r="D500" s="17"/>
      <c r="E500" s="44"/>
    </row>
    <row r="501" spans="2:5" ht="15.8" customHeight="1" x14ac:dyDescent="0.3">
      <c r="B501" s="17"/>
      <c r="C501" s="17"/>
      <c r="D501" s="17"/>
      <c r="E501" s="44"/>
    </row>
    <row r="502" spans="2:5" ht="15.8" customHeight="1" x14ac:dyDescent="0.3">
      <c r="B502" s="17"/>
      <c r="C502" s="17"/>
      <c r="D502" s="17"/>
      <c r="E502" s="44"/>
    </row>
    <row r="503" spans="2:5" ht="15.8" customHeight="1" x14ac:dyDescent="0.3">
      <c r="B503" s="17"/>
      <c r="C503" s="17"/>
      <c r="D503" s="17"/>
      <c r="E503" s="44"/>
    </row>
    <row r="504" spans="2:5" ht="15.8" customHeight="1" x14ac:dyDescent="0.3">
      <c r="B504" s="17"/>
      <c r="C504" s="17"/>
      <c r="D504" s="17"/>
      <c r="E504" s="44"/>
    </row>
    <row r="505" spans="2:5" ht="15.8" customHeight="1" x14ac:dyDescent="0.3">
      <c r="B505" s="17"/>
      <c r="C505" s="17"/>
      <c r="D505" s="17"/>
      <c r="E505" s="44"/>
    </row>
    <row r="506" spans="2:5" ht="15.8" customHeight="1" x14ac:dyDescent="0.3">
      <c r="B506" s="17"/>
      <c r="C506" s="17"/>
      <c r="D506" s="17"/>
      <c r="E506" s="44"/>
    </row>
    <row r="507" spans="2:5" ht="15.8" customHeight="1" x14ac:dyDescent="0.3">
      <c r="B507" s="17"/>
      <c r="C507" s="17"/>
      <c r="D507" s="17"/>
      <c r="E507" s="44"/>
    </row>
    <row r="508" spans="2:5" ht="15.8" customHeight="1" x14ac:dyDescent="0.3">
      <c r="B508" s="17"/>
      <c r="C508" s="17"/>
      <c r="D508" s="17"/>
      <c r="E508" s="44"/>
    </row>
    <row r="509" spans="2:5" ht="15.8" customHeight="1" x14ac:dyDescent="0.3">
      <c r="B509" s="17"/>
      <c r="C509" s="17"/>
      <c r="D509" s="17"/>
      <c r="E509" s="44"/>
    </row>
    <row r="510" spans="2:5" ht="15.8" customHeight="1" x14ac:dyDescent="0.3">
      <c r="B510" s="17"/>
      <c r="C510" s="17"/>
      <c r="D510" s="17"/>
      <c r="E510" s="44"/>
    </row>
    <row r="511" spans="2:5" ht="15.8" customHeight="1" x14ac:dyDescent="0.3">
      <c r="B511" s="17"/>
      <c r="C511" s="17"/>
      <c r="D511" s="17"/>
      <c r="E511" s="44"/>
    </row>
    <row r="512" spans="2:5" ht="15.8" customHeight="1" x14ac:dyDescent="0.3">
      <c r="B512" s="17"/>
      <c r="C512" s="17"/>
      <c r="D512" s="17"/>
      <c r="E512" s="44"/>
    </row>
    <row r="513" spans="2:5" ht="15.8" customHeight="1" x14ac:dyDescent="0.3">
      <c r="B513" s="17"/>
      <c r="C513" s="17"/>
      <c r="D513" s="17"/>
      <c r="E513" s="44"/>
    </row>
    <row r="514" spans="2:5" ht="15.8" customHeight="1" x14ac:dyDescent="0.3">
      <c r="B514" s="17"/>
      <c r="C514" s="17"/>
      <c r="D514" s="17"/>
      <c r="E514" s="44"/>
    </row>
    <row r="515" spans="2:5" ht="15.8" customHeight="1" x14ac:dyDescent="0.3">
      <c r="B515" s="17"/>
      <c r="C515" s="17"/>
      <c r="D515" s="17"/>
      <c r="E515" s="44"/>
    </row>
    <row r="516" spans="2:5" ht="15.8" customHeight="1" x14ac:dyDescent="0.3">
      <c r="B516" s="17"/>
      <c r="C516" s="17"/>
      <c r="D516" s="17"/>
      <c r="E516" s="44"/>
    </row>
    <row r="517" spans="2:5" ht="15.8" customHeight="1" x14ac:dyDescent="0.3">
      <c r="B517" s="17"/>
      <c r="C517" s="17"/>
      <c r="D517" s="17"/>
      <c r="E517" s="44"/>
    </row>
    <row r="518" spans="2:5" ht="15.8" customHeight="1" x14ac:dyDescent="0.3">
      <c r="B518" s="17"/>
      <c r="C518" s="17"/>
      <c r="D518" s="17"/>
      <c r="E518" s="44"/>
    </row>
    <row r="519" spans="2:5" ht="15.8" customHeight="1" x14ac:dyDescent="0.3">
      <c r="B519" s="17"/>
      <c r="C519" s="17"/>
      <c r="D519" s="17"/>
      <c r="E519" s="44"/>
    </row>
    <row r="520" spans="2:5" ht="15.8" customHeight="1" x14ac:dyDescent="0.3">
      <c r="B520" s="17"/>
      <c r="C520" s="17"/>
      <c r="D520" s="17"/>
      <c r="E520" s="44"/>
    </row>
    <row r="521" spans="2:5" ht="15.8" customHeight="1" x14ac:dyDescent="0.3">
      <c r="B521" s="17"/>
      <c r="C521" s="17"/>
      <c r="D521" s="17"/>
      <c r="E521" s="44"/>
    </row>
    <row r="522" spans="2:5" ht="15.8" customHeight="1" x14ac:dyDescent="0.3">
      <c r="B522" s="17"/>
      <c r="C522" s="17"/>
      <c r="D522" s="17"/>
      <c r="E522" s="44"/>
    </row>
    <row r="523" spans="2:5" ht="15.8" customHeight="1" x14ac:dyDescent="0.3">
      <c r="B523" s="17"/>
      <c r="C523" s="17"/>
      <c r="D523" s="17"/>
      <c r="E523" s="44"/>
    </row>
    <row r="524" spans="2:5" ht="15.8" customHeight="1" x14ac:dyDescent="0.3">
      <c r="B524" s="17"/>
      <c r="C524" s="17"/>
      <c r="D524" s="17"/>
      <c r="E524" s="44"/>
    </row>
    <row r="525" spans="2:5" ht="15.8" customHeight="1" x14ac:dyDescent="0.3">
      <c r="B525" s="17"/>
      <c r="C525" s="17"/>
      <c r="D525" s="17"/>
      <c r="E525" s="44"/>
    </row>
    <row r="526" spans="2:5" ht="15.8" customHeight="1" x14ac:dyDescent="0.3">
      <c r="B526" s="17"/>
      <c r="C526" s="17"/>
      <c r="D526" s="17"/>
      <c r="E526" s="44"/>
    </row>
    <row r="527" spans="2:5" ht="15.8" customHeight="1" x14ac:dyDescent="0.3">
      <c r="B527" s="17"/>
      <c r="C527" s="17"/>
      <c r="D527" s="17"/>
      <c r="E527" s="44"/>
    </row>
    <row r="528" spans="2:5" ht="15.8" customHeight="1" x14ac:dyDescent="0.3">
      <c r="B528" s="17"/>
      <c r="C528" s="17"/>
      <c r="D528" s="17"/>
      <c r="E528" s="44"/>
    </row>
    <row r="529" spans="2:5" ht="15.8" customHeight="1" x14ac:dyDescent="0.3">
      <c r="B529" s="17"/>
      <c r="C529" s="17"/>
      <c r="D529" s="17"/>
      <c r="E529" s="44"/>
    </row>
    <row r="530" spans="2:5" ht="15.8" customHeight="1" x14ac:dyDescent="0.3">
      <c r="B530" s="17"/>
      <c r="C530" s="17"/>
      <c r="D530" s="17"/>
      <c r="E530" s="44"/>
    </row>
    <row r="531" spans="2:5" ht="15.8" customHeight="1" x14ac:dyDescent="0.3">
      <c r="B531" s="17"/>
      <c r="C531" s="17"/>
      <c r="D531" s="17"/>
      <c r="E531" s="44"/>
    </row>
    <row r="532" spans="2:5" ht="15.8" customHeight="1" x14ac:dyDescent="0.3">
      <c r="B532" s="17"/>
      <c r="C532" s="17"/>
      <c r="D532" s="17"/>
      <c r="E532" s="44"/>
    </row>
    <row r="533" spans="2:5" ht="15.8" customHeight="1" x14ac:dyDescent="0.3">
      <c r="B533" s="17"/>
      <c r="C533" s="17"/>
      <c r="D533" s="17"/>
      <c r="E533" s="44"/>
    </row>
    <row r="534" spans="2:5" ht="15.8" customHeight="1" x14ac:dyDescent="0.3">
      <c r="B534" s="17"/>
      <c r="C534" s="17"/>
      <c r="D534" s="17"/>
      <c r="E534" s="44"/>
    </row>
    <row r="535" spans="2:5" ht="15.8" customHeight="1" x14ac:dyDescent="0.3">
      <c r="B535" s="17"/>
      <c r="C535" s="17"/>
      <c r="D535" s="17"/>
      <c r="E535" s="44"/>
    </row>
    <row r="536" spans="2:5" ht="15.8" customHeight="1" x14ac:dyDescent="0.3">
      <c r="B536" s="17"/>
      <c r="C536" s="17"/>
      <c r="D536" s="17"/>
      <c r="E536" s="44"/>
    </row>
    <row r="537" spans="2:5" ht="15.8" customHeight="1" x14ac:dyDescent="0.3">
      <c r="B537" s="17"/>
      <c r="C537" s="17"/>
      <c r="D537" s="17"/>
      <c r="E537" s="44"/>
    </row>
    <row r="538" spans="2:5" ht="15.8" customHeight="1" x14ac:dyDescent="0.3">
      <c r="B538" s="17"/>
      <c r="C538" s="17"/>
      <c r="D538" s="17"/>
      <c r="E538" s="44"/>
    </row>
    <row r="539" spans="2:5" ht="15.8" customHeight="1" x14ac:dyDescent="0.3">
      <c r="B539" s="17"/>
      <c r="C539" s="17"/>
      <c r="D539" s="17"/>
      <c r="E539" s="44"/>
    </row>
    <row r="540" spans="2:5" ht="15.8" customHeight="1" x14ac:dyDescent="0.3">
      <c r="B540" s="17"/>
      <c r="C540" s="17"/>
      <c r="D540" s="17"/>
      <c r="E540" s="44"/>
    </row>
    <row r="541" spans="2:5" ht="15.8" customHeight="1" x14ac:dyDescent="0.3">
      <c r="B541" s="17"/>
      <c r="C541" s="17"/>
      <c r="D541" s="17"/>
      <c r="E541" s="44"/>
    </row>
    <row r="542" spans="2:5" ht="15.8" customHeight="1" x14ac:dyDescent="0.3">
      <c r="B542" s="17"/>
      <c r="C542" s="17"/>
      <c r="D542" s="17"/>
      <c r="E542" s="44"/>
    </row>
    <row r="543" spans="2:5" ht="15.8" customHeight="1" x14ac:dyDescent="0.3">
      <c r="B543" s="17"/>
      <c r="C543" s="17"/>
      <c r="D543" s="17"/>
      <c r="E543" s="44"/>
    </row>
    <row r="544" spans="2:5" ht="15.8" customHeight="1" x14ac:dyDescent="0.3">
      <c r="B544" s="17"/>
      <c r="C544" s="17"/>
      <c r="D544" s="17"/>
      <c r="E544" s="44"/>
    </row>
    <row r="545" spans="2:5" ht="15.8" customHeight="1" x14ac:dyDescent="0.3">
      <c r="B545" s="17"/>
      <c r="C545" s="17"/>
      <c r="D545" s="17"/>
      <c r="E545" s="44"/>
    </row>
    <row r="546" spans="2:5" ht="15.8" customHeight="1" x14ac:dyDescent="0.3">
      <c r="B546" s="17"/>
      <c r="C546" s="17"/>
      <c r="D546" s="17"/>
      <c r="E546" s="44"/>
    </row>
    <row r="547" spans="2:5" ht="15.8" customHeight="1" x14ac:dyDescent="0.3">
      <c r="B547" s="17"/>
      <c r="C547" s="17"/>
      <c r="D547" s="17"/>
      <c r="E547" s="44"/>
    </row>
    <row r="548" spans="2:5" ht="15.8" customHeight="1" x14ac:dyDescent="0.3">
      <c r="B548" s="17"/>
      <c r="C548" s="17"/>
      <c r="D548" s="17"/>
      <c r="E548" s="44"/>
    </row>
    <row r="549" spans="2:5" ht="15.8" customHeight="1" x14ac:dyDescent="0.3">
      <c r="B549" s="17"/>
      <c r="C549" s="17"/>
      <c r="D549" s="17"/>
      <c r="E549" s="44"/>
    </row>
    <row r="550" spans="2:5" ht="15.8" customHeight="1" x14ac:dyDescent="0.3">
      <c r="B550" s="17"/>
      <c r="C550" s="17"/>
      <c r="D550" s="17"/>
      <c r="E550" s="44"/>
    </row>
    <row r="551" spans="2:5" ht="15.8" customHeight="1" x14ac:dyDescent="0.3">
      <c r="B551" s="17"/>
      <c r="C551" s="17"/>
      <c r="D551" s="17"/>
      <c r="E551" s="44"/>
    </row>
    <row r="552" spans="2:5" ht="15.8" customHeight="1" x14ac:dyDescent="0.3">
      <c r="B552" s="17"/>
      <c r="C552" s="17"/>
      <c r="D552" s="17"/>
      <c r="E552" s="44"/>
    </row>
    <row r="553" spans="2:5" ht="15.8" customHeight="1" x14ac:dyDescent="0.3">
      <c r="B553" s="17"/>
      <c r="C553" s="17"/>
      <c r="D553" s="17"/>
      <c r="E553" s="44"/>
    </row>
    <row r="554" spans="2:5" ht="15.8" customHeight="1" x14ac:dyDescent="0.3">
      <c r="B554" s="17"/>
      <c r="C554" s="17"/>
      <c r="D554" s="17"/>
      <c r="E554" s="44"/>
    </row>
    <row r="555" spans="2:5" ht="15.8" customHeight="1" x14ac:dyDescent="0.3">
      <c r="B555" s="17"/>
      <c r="C555" s="17"/>
      <c r="D555" s="17"/>
      <c r="E555" s="44"/>
    </row>
    <row r="556" spans="2:5" ht="15.8" customHeight="1" x14ac:dyDescent="0.3">
      <c r="B556" s="17"/>
      <c r="C556" s="17"/>
      <c r="D556" s="17"/>
      <c r="E556" s="44"/>
    </row>
    <row r="557" spans="2:5" ht="15.8" customHeight="1" x14ac:dyDescent="0.3">
      <c r="B557" s="17"/>
      <c r="C557" s="17"/>
      <c r="D557" s="17"/>
      <c r="E557" s="44"/>
    </row>
    <row r="558" spans="2:5" ht="15.8" customHeight="1" x14ac:dyDescent="0.3">
      <c r="B558" s="17"/>
      <c r="C558" s="17"/>
      <c r="D558" s="17"/>
      <c r="E558" s="44"/>
    </row>
    <row r="559" spans="2:5" ht="15.8" customHeight="1" x14ac:dyDescent="0.3">
      <c r="B559" s="17"/>
      <c r="C559" s="17"/>
      <c r="D559" s="17"/>
      <c r="E559" s="44"/>
    </row>
    <row r="560" spans="2:5" ht="15.8" customHeight="1" x14ac:dyDescent="0.3">
      <c r="B560" s="17"/>
      <c r="C560" s="17"/>
      <c r="D560" s="17"/>
      <c r="E560" s="44"/>
    </row>
    <row r="561" spans="2:5" ht="15.8" customHeight="1" x14ac:dyDescent="0.3">
      <c r="B561" s="17"/>
      <c r="C561" s="17"/>
      <c r="D561" s="17"/>
      <c r="E561" s="44"/>
    </row>
    <row r="562" spans="2:5" ht="15.8" customHeight="1" x14ac:dyDescent="0.3">
      <c r="B562" s="17"/>
      <c r="C562" s="17"/>
      <c r="D562" s="17"/>
      <c r="E562" s="44"/>
    </row>
    <row r="563" spans="2:5" ht="15.8" customHeight="1" x14ac:dyDescent="0.3">
      <c r="B563" s="17"/>
      <c r="C563" s="17"/>
      <c r="D563" s="17"/>
      <c r="E563" s="44"/>
    </row>
    <row r="564" spans="2:5" ht="15.8" customHeight="1" x14ac:dyDescent="0.3">
      <c r="B564" s="17"/>
      <c r="C564" s="17"/>
      <c r="D564" s="17"/>
      <c r="E564" s="44"/>
    </row>
    <row r="565" spans="2:5" ht="15.8" customHeight="1" x14ac:dyDescent="0.3">
      <c r="B565" s="17"/>
      <c r="C565" s="17"/>
      <c r="D565" s="17"/>
      <c r="E565" s="44"/>
    </row>
    <row r="566" spans="2:5" ht="15.8" customHeight="1" x14ac:dyDescent="0.3">
      <c r="B566" s="17"/>
      <c r="C566" s="17"/>
      <c r="D566" s="17"/>
      <c r="E566" s="44"/>
    </row>
    <row r="567" spans="2:5" ht="15.8" customHeight="1" x14ac:dyDescent="0.3">
      <c r="B567" s="17"/>
      <c r="C567" s="17"/>
      <c r="D567" s="17"/>
      <c r="E567" s="44"/>
    </row>
    <row r="568" spans="2:5" ht="15.8" customHeight="1" x14ac:dyDescent="0.3">
      <c r="B568" s="17"/>
      <c r="C568" s="17"/>
      <c r="D568" s="17"/>
      <c r="E568" s="44"/>
    </row>
    <row r="569" spans="2:5" ht="15.8" customHeight="1" x14ac:dyDescent="0.3">
      <c r="B569" s="17"/>
      <c r="C569" s="17"/>
      <c r="D569" s="17"/>
      <c r="E569" s="44"/>
    </row>
    <row r="570" spans="2:5" ht="15.8" customHeight="1" x14ac:dyDescent="0.3">
      <c r="B570" s="17"/>
      <c r="C570" s="17"/>
      <c r="D570" s="17"/>
      <c r="E570" s="44"/>
    </row>
    <row r="571" spans="2:5" ht="15.8" customHeight="1" x14ac:dyDescent="0.3">
      <c r="B571" s="17"/>
      <c r="C571" s="17"/>
      <c r="D571" s="17"/>
      <c r="E571" s="44"/>
    </row>
    <row r="572" spans="2:5" ht="15.8" customHeight="1" x14ac:dyDescent="0.3">
      <c r="B572" s="17"/>
      <c r="C572" s="17"/>
      <c r="D572" s="17"/>
      <c r="E572" s="44"/>
    </row>
    <row r="573" spans="2:5" ht="15.8" customHeight="1" x14ac:dyDescent="0.3">
      <c r="B573" s="17"/>
      <c r="C573" s="17"/>
      <c r="D573" s="17"/>
      <c r="E573" s="44"/>
    </row>
    <row r="574" spans="2:5" ht="15.8" customHeight="1" x14ac:dyDescent="0.3">
      <c r="B574" s="17"/>
      <c r="C574" s="17"/>
      <c r="D574" s="17"/>
      <c r="E574" s="44"/>
    </row>
    <row r="575" spans="2:5" ht="15.8" customHeight="1" x14ac:dyDescent="0.3">
      <c r="B575" s="17"/>
      <c r="C575" s="17"/>
      <c r="D575" s="17"/>
      <c r="E575" s="44"/>
    </row>
    <row r="576" spans="2:5" ht="15.8" customHeight="1" x14ac:dyDescent="0.3">
      <c r="B576" s="17"/>
      <c r="C576" s="17"/>
      <c r="D576" s="17"/>
      <c r="E576" s="44"/>
    </row>
    <row r="577" spans="2:5" ht="15.8" customHeight="1" x14ac:dyDescent="0.3">
      <c r="B577" s="17"/>
      <c r="C577" s="17"/>
      <c r="D577" s="17"/>
      <c r="E577" s="44"/>
    </row>
    <row r="578" spans="2:5" ht="15.8" customHeight="1" x14ac:dyDescent="0.3">
      <c r="B578" s="17"/>
      <c r="C578" s="17"/>
      <c r="D578" s="17"/>
      <c r="E578" s="44"/>
    </row>
    <row r="579" spans="2:5" ht="15.8" customHeight="1" x14ac:dyDescent="0.3">
      <c r="B579" s="17"/>
      <c r="C579" s="17"/>
      <c r="D579" s="17"/>
      <c r="E579" s="44"/>
    </row>
    <row r="580" spans="2:5" ht="15.8" customHeight="1" x14ac:dyDescent="0.3">
      <c r="B580" s="17"/>
      <c r="C580" s="17"/>
      <c r="D580" s="17"/>
      <c r="E580" s="44"/>
    </row>
    <row r="581" spans="2:5" ht="15.8" customHeight="1" x14ac:dyDescent="0.3">
      <c r="B581" s="17"/>
      <c r="C581" s="17"/>
      <c r="D581" s="17"/>
      <c r="E581" s="44"/>
    </row>
    <row r="582" spans="2:5" ht="15.8" customHeight="1" x14ac:dyDescent="0.3">
      <c r="B582" s="17"/>
      <c r="C582" s="17"/>
      <c r="D582" s="17"/>
      <c r="E582" s="44"/>
    </row>
    <row r="583" spans="2:5" ht="15.8" customHeight="1" x14ac:dyDescent="0.3">
      <c r="B583" s="17"/>
      <c r="C583" s="17"/>
      <c r="D583" s="17"/>
      <c r="E583" s="44"/>
    </row>
    <row r="584" spans="2:5" ht="15.8" customHeight="1" x14ac:dyDescent="0.3">
      <c r="B584" s="17"/>
      <c r="C584" s="17"/>
      <c r="D584" s="17"/>
      <c r="E584" s="44"/>
    </row>
    <row r="585" spans="2:5" ht="15.8" customHeight="1" x14ac:dyDescent="0.3">
      <c r="B585" s="17"/>
      <c r="C585" s="17"/>
      <c r="D585" s="17"/>
      <c r="E585" s="44"/>
    </row>
    <row r="586" spans="2:5" ht="15.8" customHeight="1" x14ac:dyDescent="0.3">
      <c r="B586" s="17"/>
      <c r="C586" s="17"/>
      <c r="D586" s="17"/>
      <c r="E586" s="44"/>
    </row>
    <row r="587" spans="2:5" ht="15.8" customHeight="1" x14ac:dyDescent="0.3">
      <c r="B587" s="17"/>
      <c r="C587" s="17"/>
      <c r="D587" s="17"/>
      <c r="E587" s="44"/>
    </row>
    <row r="588" spans="2:5" ht="15.8" customHeight="1" x14ac:dyDescent="0.3">
      <c r="B588" s="17"/>
      <c r="C588" s="17"/>
      <c r="D588" s="17"/>
      <c r="E588" s="44"/>
    </row>
    <row r="589" spans="2:5" ht="15.8" customHeight="1" x14ac:dyDescent="0.3">
      <c r="B589" s="17"/>
      <c r="C589" s="17"/>
      <c r="D589" s="17"/>
      <c r="E589" s="44"/>
    </row>
    <row r="590" spans="2:5" ht="15.8" customHeight="1" x14ac:dyDescent="0.3">
      <c r="B590" s="17"/>
      <c r="C590" s="17"/>
      <c r="D590" s="17"/>
      <c r="E590" s="44"/>
    </row>
    <row r="591" spans="2:5" ht="15.8" customHeight="1" x14ac:dyDescent="0.3">
      <c r="B591" s="17"/>
      <c r="C591" s="17"/>
      <c r="D591" s="17"/>
      <c r="E591" s="44"/>
    </row>
    <row r="592" spans="2:5" ht="15.8" customHeight="1" x14ac:dyDescent="0.3">
      <c r="B592" s="17"/>
      <c r="C592" s="17"/>
      <c r="D592" s="17"/>
      <c r="E592" s="44"/>
    </row>
    <row r="593" spans="2:5" ht="15.8" customHeight="1" x14ac:dyDescent="0.3">
      <c r="B593" s="17"/>
      <c r="C593" s="17"/>
      <c r="D593" s="17"/>
      <c r="E593" s="44"/>
    </row>
    <row r="594" spans="2:5" ht="15.8" customHeight="1" x14ac:dyDescent="0.3">
      <c r="B594" s="17"/>
      <c r="C594" s="17"/>
      <c r="D594" s="17"/>
      <c r="E594" s="44"/>
    </row>
    <row r="595" spans="2:5" ht="15.8" customHeight="1" x14ac:dyDescent="0.3">
      <c r="B595" s="17"/>
      <c r="C595" s="17"/>
      <c r="D595" s="17"/>
      <c r="E595" s="44"/>
    </row>
    <row r="596" spans="2:5" ht="15.8" customHeight="1" x14ac:dyDescent="0.3">
      <c r="B596" s="17"/>
      <c r="C596" s="17"/>
      <c r="D596" s="17"/>
      <c r="E596" s="44"/>
    </row>
    <row r="597" spans="2:5" ht="15.8" customHeight="1" x14ac:dyDescent="0.3">
      <c r="B597" s="17"/>
      <c r="C597" s="17"/>
      <c r="D597" s="17"/>
      <c r="E597" s="44"/>
    </row>
    <row r="598" spans="2:5" ht="15.8" customHeight="1" x14ac:dyDescent="0.3">
      <c r="B598" s="17"/>
      <c r="C598" s="17"/>
      <c r="D598" s="17"/>
      <c r="E598" s="44"/>
    </row>
    <row r="599" spans="2:5" ht="15.8" customHeight="1" x14ac:dyDescent="0.3">
      <c r="B599" s="17"/>
      <c r="C599" s="17"/>
      <c r="D599" s="17"/>
      <c r="E599" s="44"/>
    </row>
    <row r="600" spans="2:5" ht="15.8" customHeight="1" x14ac:dyDescent="0.3">
      <c r="B600" s="17"/>
      <c r="C600" s="17"/>
      <c r="D600" s="17"/>
      <c r="E600" s="44"/>
    </row>
    <row r="601" spans="2:5" ht="15.8" customHeight="1" x14ac:dyDescent="0.3">
      <c r="B601" s="17"/>
      <c r="C601" s="17"/>
      <c r="D601" s="17"/>
      <c r="E601" s="44"/>
    </row>
    <row r="602" spans="2:5" ht="15.8" customHeight="1" x14ac:dyDescent="0.3">
      <c r="B602" s="17"/>
      <c r="C602" s="17"/>
      <c r="D602" s="17"/>
      <c r="E602" s="44"/>
    </row>
    <row r="603" spans="2:5" ht="15.8" customHeight="1" x14ac:dyDescent="0.3">
      <c r="B603" s="17"/>
      <c r="C603" s="17"/>
      <c r="D603" s="17"/>
      <c r="E603" s="44"/>
    </row>
    <row r="604" spans="2:5" ht="15.8" customHeight="1" x14ac:dyDescent="0.3">
      <c r="B604" s="17"/>
      <c r="C604" s="17"/>
      <c r="D604" s="17"/>
      <c r="E604" s="44"/>
    </row>
    <row r="605" spans="2:5" ht="15.8" customHeight="1" x14ac:dyDescent="0.3">
      <c r="B605" s="17"/>
      <c r="C605" s="17"/>
      <c r="D605" s="17"/>
      <c r="E605" s="44"/>
    </row>
    <row r="606" spans="2:5" ht="15.8" customHeight="1" x14ac:dyDescent="0.3">
      <c r="B606" s="17"/>
      <c r="C606" s="17"/>
      <c r="D606" s="17"/>
      <c r="E606" s="44"/>
    </row>
    <row r="607" spans="2:5" ht="15.8" customHeight="1" x14ac:dyDescent="0.3">
      <c r="B607" s="17"/>
      <c r="C607" s="17"/>
      <c r="D607" s="17"/>
      <c r="E607" s="44"/>
    </row>
    <row r="608" spans="2:5" ht="15.8" customHeight="1" x14ac:dyDescent="0.3">
      <c r="B608" s="17"/>
      <c r="C608" s="17"/>
      <c r="D608" s="17"/>
      <c r="E608" s="44"/>
    </row>
    <row r="609" spans="2:5" ht="15.8" customHeight="1" x14ac:dyDescent="0.3">
      <c r="B609" s="17"/>
      <c r="C609" s="17"/>
      <c r="D609" s="17"/>
      <c r="E609" s="44"/>
    </row>
    <row r="610" spans="2:5" ht="15.8" customHeight="1" x14ac:dyDescent="0.3">
      <c r="B610" s="17"/>
      <c r="C610" s="17"/>
      <c r="D610" s="17"/>
      <c r="E610" s="44"/>
    </row>
    <row r="611" spans="2:5" ht="15.8" customHeight="1" x14ac:dyDescent="0.3">
      <c r="B611" s="17"/>
      <c r="C611" s="17"/>
      <c r="D611" s="17"/>
      <c r="E611" s="44"/>
    </row>
    <row r="612" spans="2:5" ht="15.8" customHeight="1" x14ac:dyDescent="0.3">
      <c r="B612" s="17"/>
      <c r="C612" s="17"/>
      <c r="D612" s="17"/>
      <c r="E612" s="44"/>
    </row>
    <row r="613" spans="2:5" ht="15.8" customHeight="1" x14ac:dyDescent="0.3">
      <c r="B613" s="17"/>
      <c r="C613" s="17"/>
      <c r="D613" s="17"/>
      <c r="E613" s="44"/>
    </row>
    <row r="614" spans="2:5" ht="15.8" customHeight="1" x14ac:dyDescent="0.3">
      <c r="B614" s="17"/>
      <c r="C614" s="17"/>
      <c r="D614" s="17"/>
      <c r="E614" s="44"/>
    </row>
    <row r="615" spans="2:5" ht="15.8" customHeight="1" x14ac:dyDescent="0.3">
      <c r="B615" s="17"/>
      <c r="C615" s="17"/>
      <c r="D615" s="17"/>
      <c r="E615" s="44"/>
    </row>
    <row r="616" spans="2:5" ht="15.8" customHeight="1" x14ac:dyDescent="0.3">
      <c r="B616" s="17"/>
      <c r="C616" s="17"/>
      <c r="D616" s="17"/>
      <c r="E616" s="44"/>
    </row>
    <row r="617" spans="2:5" ht="15.8" customHeight="1" x14ac:dyDescent="0.3">
      <c r="B617" s="17"/>
      <c r="C617" s="17"/>
      <c r="D617" s="17"/>
      <c r="E617" s="44"/>
    </row>
    <row r="618" spans="2:5" ht="15.8" customHeight="1" x14ac:dyDescent="0.3">
      <c r="B618" s="17"/>
      <c r="C618" s="17"/>
      <c r="D618" s="17"/>
      <c r="E618" s="44"/>
    </row>
    <row r="619" spans="2:5" ht="15.8" customHeight="1" x14ac:dyDescent="0.3">
      <c r="B619" s="17"/>
      <c r="C619" s="17"/>
      <c r="D619" s="17"/>
      <c r="E619" s="44"/>
    </row>
    <row r="620" spans="2:5" ht="15.8" customHeight="1" x14ac:dyDescent="0.3">
      <c r="B620" s="17"/>
      <c r="C620" s="17"/>
      <c r="D620" s="17"/>
      <c r="E620" s="44"/>
    </row>
    <row r="621" spans="2:5" ht="15.8" customHeight="1" x14ac:dyDescent="0.3">
      <c r="B621" s="17"/>
      <c r="C621" s="17"/>
      <c r="D621" s="17"/>
      <c r="E621" s="44"/>
    </row>
    <row r="622" spans="2:5" ht="15.8" customHeight="1" x14ac:dyDescent="0.3">
      <c r="B622" s="17"/>
      <c r="C622" s="17"/>
      <c r="D622" s="17"/>
      <c r="E622" s="44"/>
    </row>
    <row r="623" spans="2:5" ht="15.8" customHeight="1" x14ac:dyDescent="0.3">
      <c r="B623" s="17"/>
      <c r="C623" s="17"/>
      <c r="D623" s="17"/>
      <c r="E623" s="44"/>
    </row>
    <row r="624" spans="2:5" ht="15.8" customHeight="1" x14ac:dyDescent="0.3">
      <c r="B624" s="17"/>
      <c r="C624" s="17"/>
      <c r="D624" s="17"/>
      <c r="E624" s="44"/>
    </row>
    <row r="625" spans="2:5" ht="15.8" customHeight="1" x14ac:dyDescent="0.3">
      <c r="B625" s="17"/>
      <c r="C625" s="17"/>
      <c r="D625" s="17"/>
      <c r="E625" s="44"/>
    </row>
    <row r="626" spans="2:5" ht="15.8" customHeight="1" x14ac:dyDescent="0.3">
      <c r="B626" s="17"/>
      <c r="C626" s="17"/>
      <c r="D626" s="17"/>
      <c r="E626" s="44"/>
    </row>
    <row r="627" spans="2:5" ht="15.8" customHeight="1" x14ac:dyDescent="0.3">
      <c r="B627" s="17"/>
      <c r="C627" s="17"/>
      <c r="D627" s="17"/>
      <c r="E627" s="44"/>
    </row>
    <row r="628" spans="2:5" ht="15.8" customHeight="1" x14ac:dyDescent="0.3">
      <c r="B628" s="17"/>
      <c r="C628" s="17"/>
      <c r="D628" s="17"/>
      <c r="E628" s="44"/>
    </row>
    <row r="629" spans="2:5" ht="15.8" customHeight="1" x14ac:dyDescent="0.3">
      <c r="B629" s="17"/>
      <c r="C629" s="17"/>
      <c r="D629" s="17"/>
      <c r="E629" s="44"/>
    </row>
    <row r="630" spans="2:5" ht="15.8" customHeight="1" x14ac:dyDescent="0.3">
      <c r="B630" s="17"/>
      <c r="C630" s="17"/>
      <c r="D630" s="17"/>
      <c r="E630" s="44"/>
    </row>
    <row r="631" spans="2:5" ht="15.8" customHeight="1" x14ac:dyDescent="0.3">
      <c r="B631" s="17"/>
      <c r="C631" s="17"/>
      <c r="D631" s="17"/>
      <c r="E631" s="44"/>
    </row>
    <row r="632" spans="2:5" ht="15.8" customHeight="1" x14ac:dyDescent="0.3">
      <c r="B632" s="17"/>
      <c r="C632" s="17"/>
      <c r="D632" s="17"/>
      <c r="E632" s="44"/>
    </row>
    <row r="633" spans="2:5" ht="15.8" customHeight="1" x14ac:dyDescent="0.3">
      <c r="B633" s="17"/>
      <c r="C633" s="17"/>
      <c r="D633" s="17"/>
      <c r="E633" s="44"/>
    </row>
    <row r="634" spans="2:5" ht="15.8" customHeight="1" x14ac:dyDescent="0.3">
      <c r="B634" s="17"/>
      <c r="C634" s="17"/>
      <c r="D634" s="17"/>
      <c r="E634" s="44"/>
    </row>
    <row r="635" spans="2:5" ht="15.8" customHeight="1" x14ac:dyDescent="0.3">
      <c r="B635" s="17"/>
      <c r="C635" s="17"/>
      <c r="D635" s="17"/>
      <c r="E635" s="44"/>
    </row>
    <row r="636" spans="2:5" ht="15.8" customHeight="1" x14ac:dyDescent="0.3">
      <c r="B636" s="17"/>
      <c r="C636" s="17"/>
      <c r="D636" s="17"/>
      <c r="E636" s="44"/>
    </row>
    <row r="637" spans="2:5" ht="15.8" customHeight="1" x14ac:dyDescent="0.3">
      <c r="B637" s="17"/>
      <c r="C637" s="17"/>
      <c r="D637" s="17"/>
      <c r="E637" s="44"/>
    </row>
    <row r="638" spans="2:5" ht="15.8" customHeight="1" x14ac:dyDescent="0.3">
      <c r="B638" s="17"/>
      <c r="C638" s="17"/>
      <c r="D638" s="17"/>
      <c r="E638" s="44"/>
    </row>
    <row r="639" spans="2:5" ht="15.8" customHeight="1" x14ac:dyDescent="0.3">
      <c r="B639" s="17"/>
      <c r="C639" s="17"/>
      <c r="D639" s="17"/>
      <c r="E639" s="44"/>
    </row>
    <row r="640" spans="2:5" ht="15.8" customHeight="1" x14ac:dyDescent="0.3">
      <c r="B640" s="17"/>
      <c r="C640" s="17"/>
      <c r="D640" s="17"/>
      <c r="E640" s="44"/>
    </row>
    <row r="641" spans="2:5" ht="15.8" customHeight="1" x14ac:dyDescent="0.3">
      <c r="B641" s="17"/>
      <c r="C641" s="17"/>
      <c r="D641" s="17"/>
      <c r="E641" s="44"/>
    </row>
    <row r="642" spans="2:5" ht="15.8" customHeight="1" x14ac:dyDescent="0.3">
      <c r="B642" s="17"/>
      <c r="C642" s="17"/>
      <c r="D642" s="17"/>
      <c r="E642" s="44"/>
    </row>
    <row r="643" spans="2:5" ht="15.8" customHeight="1" x14ac:dyDescent="0.3">
      <c r="B643" s="17"/>
      <c r="C643" s="17"/>
      <c r="D643" s="17"/>
      <c r="E643" s="44"/>
    </row>
    <row r="644" spans="2:5" ht="15.8" customHeight="1" x14ac:dyDescent="0.3">
      <c r="B644" s="17"/>
      <c r="C644" s="17"/>
      <c r="D644" s="17"/>
      <c r="E644" s="44"/>
    </row>
    <row r="645" spans="2:5" ht="15.8" customHeight="1" x14ac:dyDescent="0.3">
      <c r="B645" s="17"/>
      <c r="C645" s="17"/>
      <c r="D645" s="17"/>
      <c r="E645" s="44"/>
    </row>
    <row r="646" spans="2:5" ht="15.8" customHeight="1" x14ac:dyDescent="0.3">
      <c r="B646" s="17"/>
      <c r="C646" s="17"/>
      <c r="D646" s="17"/>
      <c r="E646" s="44"/>
    </row>
    <row r="647" spans="2:5" ht="15.8" customHeight="1" x14ac:dyDescent="0.3">
      <c r="B647" s="17"/>
      <c r="C647" s="17"/>
      <c r="D647" s="17"/>
      <c r="E647" s="44"/>
    </row>
    <row r="648" spans="2:5" ht="15.8" customHeight="1" x14ac:dyDescent="0.3">
      <c r="B648" s="17"/>
      <c r="C648" s="17"/>
      <c r="D648" s="17"/>
      <c r="E648" s="44"/>
    </row>
    <row r="649" spans="2:5" ht="15.8" customHeight="1" x14ac:dyDescent="0.3">
      <c r="B649" s="17"/>
      <c r="C649" s="17"/>
      <c r="D649" s="17"/>
      <c r="E649" s="44"/>
    </row>
    <row r="650" spans="2:5" ht="15.8" customHeight="1" x14ac:dyDescent="0.3">
      <c r="B650" s="17"/>
      <c r="C650" s="17"/>
      <c r="D650" s="17"/>
      <c r="E650" s="44"/>
    </row>
    <row r="651" spans="2:5" ht="15.8" customHeight="1" x14ac:dyDescent="0.3">
      <c r="B651" s="17"/>
      <c r="C651" s="17"/>
      <c r="D651" s="17"/>
      <c r="E651" s="44"/>
    </row>
    <row r="652" spans="2:5" ht="15.8" customHeight="1" x14ac:dyDescent="0.3">
      <c r="B652" s="17"/>
      <c r="C652" s="17"/>
      <c r="D652" s="17"/>
      <c r="E652" s="44"/>
    </row>
    <row r="653" spans="2:5" ht="15.8" customHeight="1" x14ac:dyDescent="0.3">
      <c r="B653" s="17"/>
      <c r="C653" s="17"/>
      <c r="D653" s="17"/>
      <c r="E653" s="44"/>
    </row>
    <row r="654" spans="2:5" ht="15.8" customHeight="1" x14ac:dyDescent="0.3">
      <c r="B654" s="17"/>
      <c r="C654" s="17"/>
      <c r="D654" s="17"/>
      <c r="E654" s="44"/>
    </row>
    <row r="655" spans="2:5" ht="15.8" customHeight="1" x14ac:dyDescent="0.3">
      <c r="B655" s="17"/>
      <c r="C655" s="17"/>
      <c r="D655" s="17"/>
      <c r="E655" s="44"/>
    </row>
    <row r="656" spans="2:5" ht="15.8" customHeight="1" x14ac:dyDescent="0.3">
      <c r="B656" s="17"/>
      <c r="C656" s="17"/>
      <c r="D656" s="17"/>
      <c r="E656" s="44"/>
    </row>
    <row r="657" spans="2:5" ht="15.8" customHeight="1" x14ac:dyDescent="0.3">
      <c r="B657" s="17"/>
      <c r="C657" s="17"/>
      <c r="D657" s="17"/>
      <c r="E657" s="44"/>
    </row>
    <row r="658" spans="2:5" ht="15.8" customHeight="1" x14ac:dyDescent="0.3">
      <c r="B658" s="17"/>
      <c r="C658" s="17"/>
      <c r="D658" s="17"/>
      <c r="E658" s="44"/>
    </row>
    <row r="659" spans="2:5" ht="15.8" customHeight="1" x14ac:dyDescent="0.3">
      <c r="B659" s="17"/>
      <c r="C659" s="17"/>
      <c r="D659" s="17"/>
      <c r="E659" s="44"/>
    </row>
    <row r="660" spans="2:5" ht="15.8" customHeight="1" x14ac:dyDescent="0.3">
      <c r="B660" s="17"/>
      <c r="C660" s="17"/>
      <c r="D660" s="17"/>
      <c r="E660" s="44"/>
    </row>
    <row r="661" spans="2:5" ht="15.8" customHeight="1" x14ac:dyDescent="0.3">
      <c r="B661" s="17"/>
      <c r="C661" s="17"/>
      <c r="D661" s="17"/>
      <c r="E661" s="44"/>
    </row>
    <row r="662" spans="2:5" ht="15.8" customHeight="1" x14ac:dyDescent="0.3">
      <c r="B662" s="17"/>
      <c r="C662" s="17"/>
      <c r="D662" s="17"/>
      <c r="E662" s="44"/>
    </row>
    <row r="663" spans="2:5" ht="15.8" customHeight="1" x14ac:dyDescent="0.3">
      <c r="B663" s="17"/>
      <c r="C663" s="17"/>
      <c r="D663" s="17"/>
      <c r="E663" s="44"/>
    </row>
    <row r="664" spans="2:5" ht="15.8" customHeight="1" x14ac:dyDescent="0.3">
      <c r="B664" s="17"/>
      <c r="C664" s="17"/>
      <c r="D664" s="17"/>
      <c r="E664" s="44"/>
    </row>
    <row r="665" spans="2:5" ht="15.8" customHeight="1" x14ac:dyDescent="0.3">
      <c r="B665" s="17"/>
      <c r="C665" s="17"/>
      <c r="D665" s="17"/>
      <c r="E665" s="44"/>
    </row>
    <row r="666" spans="2:5" ht="15.8" customHeight="1" x14ac:dyDescent="0.3">
      <c r="B666" s="17"/>
      <c r="C666" s="17"/>
      <c r="D666" s="17"/>
      <c r="E666" s="44"/>
    </row>
    <row r="667" spans="2:5" ht="15.8" customHeight="1" x14ac:dyDescent="0.3">
      <c r="B667" s="17"/>
      <c r="C667" s="17"/>
      <c r="D667" s="17"/>
      <c r="E667" s="44"/>
    </row>
    <row r="668" spans="2:5" ht="15.8" customHeight="1" x14ac:dyDescent="0.3">
      <c r="B668" s="17"/>
      <c r="C668" s="17"/>
      <c r="D668" s="17"/>
      <c r="E668" s="44"/>
    </row>
    <row r="669" spans="2:5" ht="15.8" customHeight="1" x14ac:dyDescent="0.3">
      <c r="B669" s="17"/>
      <c r="C669" s="17"/>
      <c r="D669" s="17"/>
      <c r="E669" s="44"/>
    </row>
    <row r="670" spans="2:5" ht="15.8" customHeight="1" x14ac:dyDescent="0.3">
      <c r="B670" s="17"/>
      <c r="C670" s="17"/>
      <c r="D670" s="17"/>
      <c r="E670" s="44"/>
    </row>
    <row r="671" spans="2:5" ht="15.8" customHeight="1" x14ac:dyDescent="0.3">
      <c r="B671" s="17"/>
      <c r="C671" s="17"/>
      <c r="D671" s="17"/>
      <c r="E671" s="44"/>
    </row>
    <row r="672" spans="2:5" ht="15.8" customHeight="1" x14ac:dyDescent="0.3">
      <c r="B672" s="17"/>
      <c r="C672" s="17"/>
      <c r="D672" s="17"/>
      <c r="E672" s="44"/>
    </row>
    <row r="673" spans="2:5" ht="15.8" customHeight="1" x14ac:dyDescent="0.3">
      <c r="B673" s="17"/>
      <c r="C673" s="17"/>
      <c r="D673" s="17"/>
      <c r="E673" s="44"/>
    </row>
    <row r="674" spans="2:5" ht="15.8" customHeight="1" x14ac:dyDescent="0.3">
      <c r="B674" s="17"/>
      <c r="C674" s="17"/>
      <c r="D674" s="17"/>
      <c r="E674" s="44"/>
    </row>
    <row r="675" spans="2:5" ht="15.8" customHeight="1" x14ac:dyDescent="0.3">
      <c r="B675" s="17"/>
      <c r="C675" s="17"/>
      <c r="D675" s="17"/>
      <c r="E675" s="44"/>
    </row>
    <row r="676" spans="2:5" ht="15.8" customHeight="1" x14ac:dyDescent="0.3">
      <c r="B676" s="17"/>
      <c r="C676" s="17"/>
      <c r="D676" s="17"/>
      <c r="E676" s="44"/>
    </row>
    <row r="677" spans="2:5" ht="15.8" customHeight="1" x14ac:dyDescent="0.3">
      <c r="B677" s="17"/>
      <c r="C677" s="17"/>
      <c r="D677" s="17"/>
      <c r="E677" s="44"/>
    </row>
    <row r="678" spans="2:5" ht="15.8" customHeight="1" x14ac:dyDescent="0.3">
      <c r="B678" s="17"/>
      <c r="C678" s="17"/>
      <c r="D678" s="17"/>
      <c r="E678" s="44"/>
    </row>
    <row r="679" spans="2:5" ht="15.8" customHeight="1" x14ac:dyDescent="0.3">
      <c r="B679" s="17"/>
      <c r="C679" s="17"/>
      <c r="D679" s="17"/>
      <c r="E679" s="44"/>
    </row>
    <row r="680" spans="2:5" ht="15.8" customHeight="1" x14ac:dyDescent="0.3">
      <c r="B680" s="17"/>
      <c r="C680" s="17"/>
      <c r="D680" s="17"/>
      <c r="E680" s="44"/>
    </row>
    <row r="681" spans="2:5" ht="15.8" customHeight="1" x14ac:dyDescent="0.3">
      <c r="B681" s="17"/>
      <c r="C681" s="17"/>
      <c r="D681" s="17"/>
      <c r="E681" s="44"/>
    </row>
    <row r="682" spans="2:5" ht="15.8" customHeight="1" x14ac:dyDescent="0.3">
      <c r="B682" s="17"/>
      <c r="C682" s="17"/>
      <c r="D682" s="17"/>
      <c r="E682" s="44"/>
    </row>
    <row r="683" spans="2:5" ht="15.8" customHeight="1" x14ac:dyDescent="0.3">
      <c r="B683" s="17"/>
      <c r="C683" s="17"/>
      <c r="D683" s="17"/>
      <c r="E683" s="44"/>
    </row>
    <row r="684" spans="2:5" ht="15.8" customHeight="1" x14ac:dyDescent="0.3">
      <c r="B684" s="17"/>
      <c r="C684" s="17"/>
      <c r="D684" s="17"/>
      <c r="E684" s="44"/>
    </row>
    <row r="685" spans="2:5" ht="15.8" customHeight="1" x14ac:dyDescent="0.3">
      <c r="B685" s="17"/>
      <c r="C685" s="17"/>
      <c r="D685" s="17"/>
      <c r="E685" s="44"/>
    </row>
    <row r="686" spans="2:5" ht="15.8" customHeight="1" x14ac:dyDescent="0.3">
      <c r="B686" s="17"/>
      <c r="C686" s="17"/>
      <c r="D686" s="17"/>
      <c r="E686" s="44"/>
    </row>
    <row r="687" spans="2:5" ht="15.8" customHeight="1" x14ac:dyDescent="0.3">
      <c r="B687" s="17"/>
      <c r="C687" s="17"/>
      <c r="D687" s="17"/>
      <c r="E687" s="44"/>
    </row>
    <row r="688" spans="2:5" ht="15.8" customHeight="1" x14ac:dyDescent="0.3">
      <c r="B688" s="17"/>
      <c r="C688" s="17"/>
      <c r="D688" s="17"/>
      <c r="E688" s="44"/>
    </row>
    <row r="689" spans="2:5" ht="15.8" customHeight="1" x14ac:dyDescent="0.3">
      <c r="B689" s="17"/>
      <c r="C689" s="17"/>
      <c r="D689" s="17"/>
      <c r="E689" s="44"/>
    </row>
    <row r="690" spans="2:5" ht="15.8" customHeight="1" x14ac:dyDescent="0.3">
      <c r="B690" s="17"/>
      <c r="C690" s="17"/>
      <c r="D690" s="17"/>
      <c r="E690" s="44"/>
    </row>
    <row r="691" spans="2:5" ht="15.8" customHeight="1" x14ac:dyDescent="0.3">
      <c r="B691" s="17"/>
      <c r="C691" s="17"/>
      <c r="D691" s="17"/>
      <c r="E691" s="44"/>
    </row>
    <row r="692" spans="2:5" ht="15.8" customHeight="1" x14ac:dyDescent="0.3">
      <c r="B692" s="17"/>
      <c r="C692" s="17"/>
      <c r="D692" s="17"/>
      <c r="E692" s="44"/>
    </row>
    <row r="693" spans="2:5" ht="15.8" customHeight="1" x14ac:dyDescent="0.3">
      <c r="B693" s="17"/>
      <c r="C693" s="17"/>
      <c r="D693" s="17"/>
      <c r="E693" s="44"/>
    </row>
    <row r="694" spans="2:5" ht="15.8" customHeight="1" x14ac:dyDescent="0.3">
      <c r="B694" s="17"/>
      <c r="C694" s="17"/>
      <c r="D694" s="17"/>
      <c r="E694" s="44"/>
    </row>
    <row r="695" spans="2:5" ht="15.8" customHeight="1" x14ac:dyDescent="0.3">
      <c r="B695" s="17"/>
      <c r="C695" s="17"/>
      <c r="D695" s="17"/>
      <c r="E695" s="44"/>
    </row>
    <row r="696" spans="2:5" ht="15.8" customHeight="1" x14ac:dyDescent="0.3">
      <c r="B696" s="17"/>
      <c r="C696" s="17"/>
      <c r="D696" s="17"/>
      <c r="E696" s="44"/>
    </row>
    <row r="697" spans="2:5" ht="15.8" customHeight="1" x14ac:dyDescent="0.3">
      <c r="B697" s="17"/>
      <c r="C697" s="17"/>
      <c r="D697" s="17"/>
      <c r="E697" s="44"/>
    </row>
    <row r="698" spans="2:5" ht="15.8" customHeight="1" x14ac:dyDescent="0.3">
      <c r="B698" s="17"/>
      <c r="C698" s="17"/>
      <c r="D698" s="17"/>
      <c r="E698" s="44"/>
    </row>
    <row r="699" spans="2:5" ht="15.8" customHeight="1" x14ac:dyDescent="0.3">
      <c r="B699" s="17"/>
      <c r="C699" s="17"/>
      <c r="D699" s="17"/>
      <c r="E699" s="44"/>
    </row>
    <row r="700" spans="2:5" ht="15.8" customHeight="1" x14ac:dyDescent="0.3">
      <c r="B700" s="17"/>
      <c r="C700" s="17"/>
      <c r="D700" s="17"/>
      <c r="E700" s="44"/>
    </row>
    <row r="701" spans="2:5" ht="15.8" customHeight="1" x14ac:dyDescent="0.3">
      <c r="B701" s="17"/>
      <c r="C701" s="17"/>
      <c r="D701" s="17"/>
      <c r="E701" s="44"/>
    </row>
    <row r="702" spans="2:5" ht="15.8" customHeight="1" x14ac:dyDescent="0.3">
      <c r="B702" s="17"/>
      <c r="C702" s="17"/>
      <c r="D702" s="17"/>
      <c r="E702" s="44"/>
    </row>
    <row r="703" spans="2:5" ht="15.8" customHeight="1" x14ac:dyDescent="0.3">
      <c r="B703" s="17"/>
      <c r="C703" s="17"/>
      <c r="D703" s="17"/>
      <c r="E703" s="44"/>
    </row>
    <row r="704" spans="2:5" ht="15.8" customHeight="1" x14ac:dyDescent="0.3">
      <c r="B704" s="17"/>
      <c r="C704" s="17"/>
      <c r="D704" s="17"/>
      <c r="E704" s="44"/>
    </row>
    <row r="705" spans="2:5" ht="15.8" customHeight="1" x14ac:dyDescent="0.3">
      <c r="B705" s="17"/>
      <c r="C705" s="17"/>
      <c r="D705" s="17"/>
      <c r="E705" s="44"/>
    </row>
    <row r="706" spans="2:5" ht="15.8" customHeight="1" x14ac:dyDescent="0.3">
      <c r="B706" s="17"/>
      <c r="C706" s="17"/>
      <c r="D706" s="17"/>
      <c r="E706" s="44"/>
    </row>
    <row r="707" spans="2:5" ht="15.8" customHeight="1" x14ac:dyDescent="0.3">
      <c r="B707" s="17"/>
      <c r="C707" s="17"/>
      <c r="D707" s="17"/>
      <c r="E707" s="44"/>
    </row>
    <row r="708" spans="2:5" ht="15.8" customHeight="1" x14ac:dyDescent="0.3">
      <c r="B708" s="17"/>
      <c r="C708" s="17"/>
      <c r="D708" s="17"/>
      <c r="E708" s="44"/>
    </row>
    <row r="709" spans="2:5" ht="15.8" customHeight="1" x14ac:dyDescent="0.3">
      <c r="B709" s="17"/>
      <c r="C709" s="17"/>
      <c r="D709" s="17"/>
      <c r="E709" s="44"/>
    </row>
    <row r="710" spans="2:5" ht="15.8" customHeight="1" x14ac:dyDescent="0.3">
      <c r="B710" s="17"/>
      <c r="C710" s="17"/>
      <c r="D710" s="17"/>
      <c r="E710" s="44"/>
    </row>
    <row r="711" spans="2:5" ht="15.8" customHeight="1" x14ac:dyDescent="0.3">
      <c r="B711" s="17"/>
      <c r="C711" s="17"/>
      <c r="D711" s="17"/>
      <c r="E711" s="44"/>
    </row>
    <row r="712" spans="2:5" ht="15.8" customHeight="1" x14ac:dyDescent="0.3">
      <c r="B712" s="17"/>
      <c r="C712" s="17"/>
      <c r="D712" s="17"/>
      <c r="E712" s="44"/>
    </row>
    <row r="713" spans="2:5" ht="15.8" customHeight="1" x14ac:dyDescent="0.3">
      <c r="B713" s="17"/>
      <c r="C713" s="17"/>
      <c r="D713" s="17"/>
      <c r="E713" s="44"/>
    </row>
    <row r="714" spans="2:5" ht="15.8" customHeight="1" x14ac:dyDescent="0.3">
      <c r="B714" s="17"/>
      <c r="C714" s="17"/>
      <c r="D714" s="17"/>
      <c r="E714" s="44"/>
    </row>
    <row r="715" spans="2:5" ht="15.8" customHeight="1" x14ac:dyDescent="0.3">
      <c r="B715" s="17"/>
      <c r="C715" s="17"/>
      <c r="D715" s="17"/>
      <c r="E715" s="44"/>
    </row>
    <row r="716" spans="2:5" ht="15.8" customHeight="1" x14ac:dyDescent="0.3">
      <c r="B716" s="17"/>
      <c r="C716" s="17"/>
      <c r="D716" s="17"/>
      <c r="E716" s="44"/>
    </row>
    <row r="717" spans="2:5" ht="15.8" customHeight="1" x14ac:dyDescent="0.3">
      <c r="B717" s="17"/>
      <c r="C717" s="17"/>
      <c r="D717" s="17"/>
      <c r="E717" s="44"/>
    </row>
    <row r="718" spans="2:5" ht="15.8" customHeight="1" x14ac:dyDescent="0.3">
      <c r="B718" s="17"/>
      <c r="C718" s="17"/>
      <c r="D718" s="17"/>
      <c r="E718" s="44"/>
    </row>
    <row r="719" spans="2:5" ht="15.8" customHeight="1" x14ac:dyDescent="0.3">
      <c r="B719" s="17"/>
      <c r="C719" s="17"/>
      <c r="D719" s="17"/>
      <c r="E719" s="44"/>
    </row>
    <row r="720" spans="2:5" ht="15.8" customHeight="1" x14ac:dyDescent="0.3">
      <c r="B720" s="17"/>
      <c r="C720" s="17"/>
      <c r="D720" s="17"/>
      <c r="E720" s="44"/>
    </row>
    <row r="721" spans="2:5" ht="15.8" customHeight="1" x14ac:dyDescent="0.3">
      <c r="B721" s="17"/>
      <c r="C721" s="17"/>
      <c r="D721" s="17"/>
      <c r="E721" s="44"/>
    </row>
    <row r="722" spans="2:5" ht="15.8" customHeight="1" x14ac:dyDescent="0.3">
      <c r="B722" s="17"/>
      <c r="C722" s="17"/>
      <c r="D722" s="17"/>
      <c r="E722" s="44"/>
    </row>
    <row r="723" spans="2:5" ht="15.8" customHeight="1" x14ac:dyDescent="0.3">
      <c r="B723" s="17"/>
      <c r="C723" s="17"/>
      <c r="D723" s="17"/>
      <c r="E723" s="44"/>
    </row>
    <row r="724" spans="2:5" ht="15.8" customHeight="1" x14ac:dyDescent="0.3">
      <c r="B724" s="17"/>
      <c r="C724" s="17"/>
      <c r="D724" s="17"/>
      <c r="E724" s="44"/>
    </row>
    <row r="725" spans="2:5" ht="15.8" customHeight="1" x14ac:dyDescent="0.3">
      <c r="B725" s="17"/>
      <c r="C725" s="17"/>
      <c r="D725" s="17"/>
      <c r="E725" s="44"/>
    </row>
    <row r="726" spans="2:5" ht="15.8" customHeight="1" x14ac:dyDescent="0.3">
      <c r="B726" s="17"/>
      <c r="C726" s="17"/>
      <c r="D726" s="17"/>
      <c r="E726" s="44"/>
    </row>
    <row r="727" spans="2:5" ht="15.8" customHeight="1" x14ac:dyDescent="0.3">
      <c r="B727" s="17"/>
      <c r="C727" s="17"/>
      <c r="D727" s="17"/>
      <c r="E727" s="44"/>
    </row>
    <row r="728" spans="2:5" ht="15.8" customHeight="1" x14ac:dyDescent="0.3">
      <c r="B728" s="17"/>
      <c r="C728" s="17"/>
      <c r="D728" s="17"/>
      <c r="E728" s="44"/>
    </row>
    <row r="729" spans="2:5" ht="15.8" customHeight="1" x14ac:dyDescent="0.3">
      <c r="B729" s="17"/>
      <c r="C729" s="17"/>
      <c r="D729" s="17"/>
      <c r="E729" s="44"/>
    </row>
    <row r="730" spans="2:5" ht="15.8" customHeight="1" x14ac:dyDescent="0.3">
      <c r="B730" s="17"/>
      <c r="C730" s="17"/>
      <c r="D730" s="17"/>
      <c r="E730" s="44"/>
    </row>
    <row r="731" spans="2:5" ht="15.8" customHeight="1" x14ac:dyDescent="0.3">
      <c r="B731" s="17"/>
      <c r="C731" s="17"/>
      <c r="D731" s="17"/>
      <c r="E731" s="44"/>
    </row>
    <row r="732" spans="2:5" ht="15.8" customHeight="1" x14ac:dyDescent="0.3">
      <c r="B732" s="17"/>
      <c r="C732" s="17"/>
      <c r="D732" s="17"/>
      <c r="E732" s="44"/>
    </row>
    <row r="733" spans="2:5" ht="15.8" customHeight="1" x14ac:dyDescent="0.3">
      <c r="B733" s="17"/>
      <c r="C733" s="17"/>
      <c r="D733" s="17"/>
      <c r="E733" s="44"/>
    </row>
    <row r="734" spans="2:5" ht="15.8" customHeight="1" x14ac:dyDescent="0.3">
      <c r="B734" s="17"/>
      <c r="C734" s="17"/>
      <c r="D734" s="17"/>
      <c r="E734" s="44"/>
    </row>
    <row r="735" spans="2:5" ht="15.8" customHeight="1" x14ac:dyDescent="0.3">
      <c r="B735" s="17"/>
      <c r="C735" s="17"/>
      <c r="D735" s="17"/>
      <c r="E735" s="44"/>
    </row>
    <row r="736" spans="2:5" ht="15.8" customHeight="1" x14ac:dyDescent="0.3">
      <c r="B736" s="17"/>
      <c r="C736" s="17"/>
      <c r="D736" s="17"/>
      <c r="E736" s="44"/>
    </row>
    <row r="737" spans="2:5" ht="15.8" customHeight="1" x14ac:dyDescent="0.3">
      <c r="B737" s="17"/>
      <c r="C737" s="17"/>
      <c r="D737" s="17"/>
      <c r="E737" s="44"/>
    </row>
    <row r="738" spans="2:5" ht="15.8" customHeight="1" x14ac:dyDescent="0.3">
      <c r="B738" s="17"/>
      <c r="C738" s="17"/>
      <c r="D738" s="17"/>
      <c r="E738" s="44"/>
    </row>
    <row r="739" spans="2:5" ht="15.8" customHeight="1" x14ac:dyDescent="0.3">
      <c r="B739" s="17"/>
      <c r="C739" s="17"/>
      <c r="D739" s="17"/>
      <c r="E739" s="44"/>
    </row>
    <row r="740" spans="2:5" ht="15.8" customHeight="1" x14ac:dyDescent="0.3">
      <c r="B740" s="17"/>
      <c r="C740" s="17"/>
      <c r="D740" s="17"/>
      <c r="E740" s="44"/>
    </row>
    <row r="741" spans="2:5" ht="15.8" customHeight="1" x14ac:dyDescent="0.3">
      <c r="B741" s="17"/>
      <c r="C741" s="17"/>
      <c r="D741" s="17"/>
      <c r="E741" s="44"/>
    </row>
    <row r="742" spans="2:5" ht="15.8" customHeight="1" x14ac:dyDescent="0.3">
      <c r="B742" s="17"/>
      <c r="C742" s="17"/>
      <c r="D742" s="17"/>
      <c r="E742" s="44"/>
    </row>
    <row r="743" spans="2:5" ht="15.8" customHeight="1" x14ac:dyDescent="0.3">
      <c r="B743" s="17"/>
      <c r="C743" s="17"/>
      <c r="D743" s="17"/>
      <c r="E743" s="44"/>
    </row>
    <row r="744" spans="2:5" ht="15.8" customHeight="1" x14ac:dyDescent="0.3">
      <c r="B744" s="17"/>
      <c r="C744" s="17"/>
      <c r="D744" s="17"/>
      <c r="E744" s="44"/>
    </row>
    <row r="745" spans="2:5" ht="15.8" customHeight="1" x14ac:dyDescent="0.3">
      <c r="B745" s="17"/>
      <c r="C745" s="17"/>
      <c r="D745" s="17"/>
      <c r="E745" s="44"/>
    </row>
    <row r="746" spans="2:5" ht="15.8" customHeight="1" x14ac:dyDescent="0.3">
      <c r="B746" s="17"/>
      <c r="C746" s="17"/>
      <c r="D746" s="17"/>
      <c r="E746" s="44"/>
    </row>
    <row r="747" spans="2:5" ht="15.8" customHeight="1" x14ac:dyDescent="0.3">
      <c r="B747" s="17"/>
      <c r="C747" s="17"/>
      <c r="D747" s="17"/>
      <c r="E747" s="44"/>
    </row>
    <row r="748" spans="2:5" ht="15.8" customHeight="1" x14ac:dyDescent="0.3">
      <c r="B748" s="17"/>
      <c r="C748" s="17"/>
      <c r="D748" s="17"/>
      <c r="E748" s="44"/>
    </row>
    <row r="749" spans="2:5" ht="15.8" customHeight="1" x14ac:dyDescent="0.3">
      <c r="B749" s="17"/>
      <c r="C749" s="17"/>
      <c r="D749" s="17"/>
      <c r="E749" s="44"/>
    </row>
    <row r="750" spans="2:5" ht="15.8" customHeight="1" x14ac:dyDescent="0.3">
      <c r="B750" s="17"/>
      <c r="C750" s="17"/>
      <c r="D750" s="17"/>
      <c r="E750" s="44"/>
    </row>
    <row r="751" spans="2:5" ht="15.8" customHeight="1" x14ac:dyDescent="0.3">
      <c r="B751" s="17"/>
      <c r="C751" s="17"/>
      <c r="D751" s="17"/>
      <c r="E751" s="44"/>
    </row>
    <row r="752" spans="2:5" ht="15.8" customHeight="1" x14ac:dyDescent="0.3">
      <c r="B752" s="17"/>
      <c r="C752" s="17"/>
      <c r="D752" s="17"/>
      <c r="E752" s="44"/>
    </row>
    <row r="753" spans="2:5" ht="15.8" customHeight="1" x14ac:dyDescent="0.3">
      <c r="B753" s="17"/>
      <c r="C753" s="17"/>
      <c r="D753" s="17"/>
      <c r="E753" s="44"/>
    </row>
    <row r="754" spans="2:5" ht="15.8" customHeight="1" x14ac:dyDescent="0.3">
      <c r="B754" s="17"/>
      <c r="C754" s="17"/>
      <c r="D754" s="17"/>
      <c r="E754" s="44"/>
    </row>
    <row r="755" spans="2:5" ht="15.8" customHeight="1" x14ac:dyDescent="0.3">
      <c r="B755" s="17"/>
      <c r="C755" s="17"/>
      <c r="D755" s="17"/>
      <c r="E755" s="44"/>
    </row>
    <row r="756" spans="2:5" ht="15.8" customHeight="1" x14ac:dyDescent="0.3">
      <c r="B756" s="17"/>
      <c r="C756" s="17"/>
      <c r="D756" s="17"/>
      <c r="E756" s="44"/>
    </row>
    <row r="757" spans="2:5" ht="15.8" customHeight="1" x14ac:dyDescent="0.3">
      <c r="B757" s="17"/>
      <c r="C757" s="17"/>
      <c r="D757" s="17"/>
      <c r="E757" s="44"/>
    </row>
    <row r="758" spans="2:5" ht="15.8" customHeight="1" x14ac:dyDescent="0.3">
      <c r="B758" s="17"/>
      <c r="C758" s="17"/>
      <c r="D758" s="17"/>
      <c r="E758" s="44"/>
    </row>
    <row r="759" spans="2:5" ht="15.8" customHeight="1" x14ac:dyDescent="0.3">
      <c r="B759" s="17"/>
      <c r="C759" s="17"/>
      <c r="D759" s="17"/>
      <c r="E759" s="44"/>
    </row>
    <row r="760" spans="2:5" ht="15.8" customHeight="1" x14ac:dyDescent="0.3">
      <c r="B760" s="17"/>
      <c r="C760" s="17"/>
      <c r="D760" s="17"/>
      <c r="E760" s="44"/>
    </row>
    <row r="761" spans="2:5" ht="15.8" customHeight="1" x14ac:dyDescent="0.3">
      <c r="B761" s="17"/>
      <c r="C761" s="17"/>
      <c r="D761" s="17"/>
      <c r="E761" s="44"/>
    </row>
    <row r="762" spans="2:5" ht="15.8" customHeight="1" x14ac:dyDescent="0.3">
      <c r="B762" s="17"/>
      <c r="C762" s="17"/>
      <c r="D762" s="17"/>
      <c r="E762" s="44"/>
    </row>
    <row r="763" spans="2:5" ht="15.8" customHeight="1" x14ac:dyDescent="0.3">
      <c r="B763" s="17"/>
      <c r="C763" s="17"/>
      <c r="D763" s="17"/>
      <c r="E763" s="44"/>
    </row>
    <row r="764" spans="2:5" ht="15.8" customHeight="1" x14ac:dyDescent="0.3">
      <c r="B764" s="17"/>
      <c r="C764" s="17"/>
      <c r="D764" s="17"/>
      <c r="E764" s="44"/>
    </row>
    <row r="765" spans="2:5" ht="15.8" customHeight="1" x14ac:dyDescent="0.3">
      <c r="B765" s="17"/>
      <c r="C765" s="17"/>
      <c r="D765" s="17"/>
      <c r="E765" s="44"/>
    </row>
    <row r="766" spans="2:5" ht="15.8" customHeight="1" x14ac:dyDescent="0.3">
      <c r="B766" s="17"/>
      <c r="C766" s="17"/>
      <c r="D766" s="17"/>
      <c r="E766" s="44"/>
    </row>
    <row r="767" spans="2:5" ht="15.8" customHeight="1" x14ac:dyDescent="0.3">
      <c r="B767" s="17"/>
      <c r="C767" s="17"/>
      <c r="D767" s="17"/>
      <c r="E767" s="44"/>
    </row>
    <row r="768" spans="2:5" ht="15.8" customHeight="1" x14ac:dyDescent="0.3">
      <c r="B768" s="17"/>
      <c r="C768" s="17"/>
      <c r="D768" s="17"/>
      <c r="E768" s="44"/>
    </row>
    <row r="769" spans="2:5" ht="15.8" customHeight="1" x14ac:dyDescent="0.3">
      <c r="B769" s="17"/>
      <c r="C769" s="17"/>
      <c r="D769" s="17"/>
      <c r="E769" s="44"/>
    </row>
    <row r="770" spans="2:5" ht="15.8" customHeight="1" x14ac:dyDescent="0.3">
      <c r="B770" s="17"/>
      <c r="C770" s="17"/>
      <c r="D770" s="17"/>
      <c r="E770" s="44"/>
    </row>
    <row r="771" spans="2:5" ht="15.8" customHeight="1" x14ac:dyDescent="0.3">
      <c r="B771" s="17"/>
      <c r="C771" s="17"/>
      <c r="D771" s="17"/>
      <c r="E771" s="44"/>
    </row>
    <row r="772" spans="2:5" ht="15.8" customHeight="1" x14ac:dyDescent="0.3">
      <c r="B772" s="17"/>
      <c r="C772" s="17"/>
      <c r="D772" s="17"/>
      <c r="E772" s="44"/>
    </row>
    <row r="773" spans="2:5" ht="15.8" customHeight="1" x14ac:dyDescent="0.3">
      <c r="B773" s="17"/>
      <c r="C773" s="17"/>
      <c r="D773" s="17"/>
      <c r="E773" s="44"/>
    </row>
    <row r="774" spans="2:5" ht="15.8" customHeight="1" x14ac:dyDescent="0.3">
      <c r="B774" s="17"/>
      <c r="C774" s="17"/>
      <c r="D774" s="17"/>
      <c r="E774" s="44"/>
    </row>
    <row r="775" spans="2:5" ht="15.8" customHeight="1" x14ac:dyDescent="0.3">
      <c r="B775" s="17"/>
      <c r="C775" s="17"/>
      <c r="D775" s="17"/>
      <c r="E775" s="44"/>
    </row>
    <row r="776" spans="2:5" ht="15.8" customHeight="1" x14ac:dyDescent="0.3">
      <c r="B776" s="17"/>
      <c r="C776" s="17"/>
      <c r="D776" s="17"/>
      <c r="E776" s="44"/>
    </row>
    <row r="777" spans="2:5" ht="15.8" customHeight="1" x14ac:dyDescent="0.3">
      <c r="B777" s="17"/>
      <c r="C777" s="17"/>
      <c r="D777" s="17"/>
      <c r="E777" s="44"/>
    </row>
    <row r="778" spans="2:5" ht="15.8" customHeight="1" x14ac:dyDescent="0.3">
      <c r="B778" s="17"/>
      <c r="C778" s="17"/>
      <c r="D778" s="17"/>
      <c r="E778" s="44"/>
    </row>
    <row r="779" spans="2:5" ht="15.8" customHeight="1" x14ac:dyDescent="0.3">
      <c r="B779" s="17"/>
      <c r="C779" s="17"/>
      <c r="D779" s="17"/>
      <c r="E779" s="44"/>
    </row>
    <row r="780" spans="2:5" ht="15.8" customHeight="1" x14ac:dyDescent="0.3">
      <c r="B780" s="17"/>
      <c r="C780" s="17"/>
      <c r="D780" s="17"/>
      <c r="E780" s="44"/>
    </row>
    <row r="781" spans="2:5" ht="15.8" customHeight="1" x14ac:dyDescent="0.3">
      <c r="B781" s="17"/>
      <c r="C781" s="17"/>
      <c r="D781" s="17"/>
      <c r="E781" s="44"/>
    </row>
    <row r="782" spans="2:5" ht="15.8" customHeight="1" x14ac:dyDescent="0.3">
      <c r="B782" s="17"/>
      <c r="C782" s="17"/>
      <c r="D782" s="17"/>
      <c r="E782" s="44"/>
    </row>
    <row r="783" spans="2:5" ht="15.8" customHeight="1" x14ac:dyDescent="0.3">
      <c r="B783" s="17"/>
      <c r="C783" s="17"/>
      <c r="D783" s="17"/>
      <c r="E783" s="44"/>
    </row>
    <row r="784" spans="2:5" ht="15.8" customHeight="1" x14ac:dyDescent="0.3">
      <c r="B784" s="17"/>
      <c r="C784" s="17"/>
      <c r="D784" s="17"/>
      <c r="E784" s="44"/>
    </row>
    <row r="785" spans="2:5" ht="15.8" customHeight="1" x14ac:dyDescent="0.3">
      <c r="B785" s="17"/>
      <c r="C785" s="17"/>
      <c r="D785" s="17"/>
      <c r="E785" s="44"/>
    </row>
    <row r="786" spans="2:5" ht="15.8" customHeight="1" x14ac:dyDescent="0.3">
      <c r="B786" s="17"/>
      <c r="C786" s="17"/>
      <c r="D786" s="17"/>
      <c r="E786" s="44"/>
    </row>
    <row r="787" spans="2:5" ht="15.8" customHeight="1" x14ac:dyDescent="0.3">
      <c r="B787" s="17"/>
      <c r="C787" s="17"/>
      <c r="D787" s="17"/>
      <c r="E787" s="44"/>
    </row>
    <row r="788" spans="2:5" ht="15.8" customHeight="1" x14ac:dyDescent="0.3">
      <c r="B788" s="17"/>
      <c r="C788" s="17"/>
      <c r="D788" s="17"/>
      <c r="E788" s="44"/>
    </row>
    <row r="789" spans="2:5" ht="15.8" customHeight="1" x14ac:dyDescent="0.3">
      <c r="B789" s="17"/>
      <c r="C789" s="17"/>
      <c r="D789" s="17"/>
      <c r="E789" s="44"/>
    </row>
    <row r="790" spans="2:5" ht="15.8" customHeight="1" x14ac:dyDescent="0.3">
      <c r="B790" s="17"/>
      <c r="C790" s="17"/>
      <c r="D790" s="17"/>
      <c r="E790" s="44"/>
    </row>
    <row r="791" spans="2:5" ht="15.8" customHeight="1" x14ac:dyDescent="0.3">
      <c r="B791" s="17"/>
      <c r="C791" s="17"/>
      <c r="D791" s="17"/>
      <c r="E791" s="44"/>
    </row>
    <row r="792" spans="2:5" ht="15.8" customHeight="1" x14ac:dyDescent="0.3">
      <c r="B792" s="17"/>
      <c r="C792" s="17"/>
      <c r="D792" s="17"/>
      <c r="E792" s="44"/>
    </row>
    <row r="793" spans="2:5" ht="15.8" customHeight="1" x14ac:dyDescent="0.3">
      <c r="B793" s="17"/>
      <c r="C793" s="17"/>
      <c r="D793" s="17"/>
      <c r="E793" s="44"/>
    </row>
    <row r="794" spans="2:5" ht="15.8" customHeight="1" x14ac:dyDescent="0.3">
      <c r="B794" s="17"/>
      <c r="C794" s="17"/>
      <c r="D794" s="17"/>
      <c r="E794" s="44"/>
    </row>
    <row r="795" spans="2:5" ht="15.8" customHeight="1" x14ac:dyDescent="0.3">
      <c r="B795" s="17"/>
      <c r="C795" s="17"/>
      <c r="D795" s="17"/>
      <c r="E795" s="44"/>
    </row>
    <row r="796" spans="2:5" ht="15.8" customHeight="1" x14ac:dyDescent="0.3">
      <c r="B796" s="17"/>
      <c r="C796" s="17"/>
      <c r="D796" s="17"/>
      <c r="E796" s="44"/>
    </row>
    <row r="797" spans="2:5" ht="15.8" customHeight="1" x14ac:dyDescent="0.3">
      <c r="B797" s="17"/>
      <c r="C797" s="17"/>
      <c r="D797" s="17"/>
      <c r="E797" s="44"/>
    </row>
    <row r="798" spans="2:5" ht="15.8" customHeight="1" x14ac:dyDescent="0.3">
      <c r="B798" s="17"/>
      <c r="C798" s="17"/>
      <c r="D798" s="17"/>
      <c r="E798" s="44"/>
    </row>
    <row r="799" spans="2:5" ht="15.8" customHeight="1" x14ac:dyDescent="0.3">
      <c r="B799" s="17"/>
      <c r="C799" s="17"/>
      <c r="D799" s="17"/>
      <c r="E799" s="44"/>
    </row>
    <row r="800" spans="2:5" ht="15.8" customHeight="1" x14ac:dyDescent="0.3">
      <c r="B800" s="17"/>
      <c r="C800" s="17"/>
      <c r="D800" s="17"/>
      <c r="E800" s="44"/>
    </row>
    <row r="801" spans="2:5" ht="15.8" customHeight="1" x14ac:dyDescent="0.3">
      <c r="B801" s="17"/>
      <c r="C801" s="17"/>
      <c r="D801" s="17"/>
      <c r="E801" s="44"/>
    </row>
    <row r="802" spans="2:5" ht="15.8" customHeight="1" x14ac:dyDescent="0.3">
      <c r="B802" s="17"/>
      <c r="C802" s="17"/>
      <c r="D802" s="17"/>
      <c r="E802" s="44"/>
    </row>
    <row r="803" spans="2:5" ht="15.8" customHeight="1" x14ac:dyDescent="0.3">
      <c r="B803" s="17"/>
      <c r="C803" s="17"/>
      <c r="D803" s="17"/>
      <c r="E803" s="44"/>
    </row>
    <row r="804" spans="2:5" ht="15.8" customHeight="1" x14ac:dyDescent="0.3">
      <c r="B804" s="17"/>
      <c r="C804" s="17"/>
      <c r="D804" s="17"/>
      <c r="E804" s="44"/>
    </row>
    <row r="805" spans="2:5" ht="15.8" customHeight="1" x14ac:dyDescent="0.3">
      <c r="B805" s="17"/>
      <c r="C805" s="17"/>
      <c r="D805" s="17"/>
      <c r="E805" s="44"/>
    </row>
    <row r="806" spans="2:5" ht="15.8" customHeight="1" x14ac:dyDescent="0.3">
      <c r="B806" s="17"/>
      <c r="C806" s="17"/>
      <c r="D806" s="17"/>
      <c r="E806" s="44"/>
    </row>
    <row r="807" spans="2:5" ht="15.8" customHeight="1" x14ac:dyDescent="0.3">
      <c r="B807" s="17"/>
      <c r="C807" s="17"/>
      <c r="D807" s="17"/>
      <c r="E807" s="44"/>
    </row>
    <row r="808" spans="2:5" ht="15.8" customHeight="1" x14ac:dyDescent="0.3">
      <c r="B808" s="17"/>
      <c r="C808" s="17"/>
      <c r="D808" s="17"/>
      <c r="E808" s="44"/>
    </row>
    <row r="809" spans="2:5" ht="15.8" customHeight="1" x14ac:dyDescent="0.3">
      <c r="B809" s="17"/>
      <c r="C809" s="17"/>
      <c r="D809" s="17"/>
      <c r="E809" s="44"/>
    </row>
    <row r="810" spans="2:5" ht="15.8" customHeight="1" x14ac:dyDescent="0.3">
      <c r="B810" s="17"/>
      <c r="C810" s="17"/>
      <c r="D810" s="17"/>
      <c r="E810" s="44"/>
    </row>
    <row r="811" spans="2:5" ht="15.8" customHeight="1" x14ac:dyDescent="0.3">
      <c r="B811" s="17"/>
      <c r="C811" s="17"/>
      <c r="D811" s="17"/>
      <c r="E811" s="44"/>
    </row>
    <row r="812" spans="2:5" ht="15.8" customHeight="1" x14ac:dyDescent="0.3">
      <c r="B812" s="17"/>
      <c r="C812" s="17"/>
      <c r="D812" s="17"/>
      <c r="E812" s="44"/>
    </row>
    <row r="813" spans="2:5" ht="15.8" customHeight="1" x14ac:dyDescent="0.3">
      <c r="B813" s="17"/>
      <c r="C813" s="17"/>
      <c r="D813" s="17"/>
      <c r="E813" s="44"/>
    </row>
    <row r="814" spans="2:5" ht="15.8" customHeight="1" x14ac:dyDescent="0.3">
      <c r="B814" s="17"/>
      <c r="C814" s="17"/>
      <c r="D814" s="17"/>
      <c r="E814" s="44"/>
    </row>
    <row r="815" spans="2:5" ht="15.8" customHeight="1" x14ac:dyDescent="0.3">
      <c r="B815" s="17"/>
      <c r="C815" s="17"/>
      <c r="D815" s="17"/>
      <c r="E815" s="44"/>
    </row>
    <row r="816" spans="2:5" ht="15.8" customHeight="1" x14ac:dyDescent="0.3">
      <c r="B816" s="17"/>
      <c r="C816" s="17"/>
      <c r="D816" s="17"/>
      <c r="E816" s="44"/>
    </row>
    <row r="817" spans="2:5" ht="15.8" customHeight="1" x14ac:dyDescent="0.3">
      <c r="B817" s="17"/>
      <c r="C817" s="17"/>
      <c r="D817" s="17"/>
      <c r="E817" s="44"/>
    </row>
    <row r="818" spans="2:5" ht="15.8" customHeight="1" x14ac:dyDescent="0.3">
      <c r="B818" s="17"/>
      <c r="C818" s="17"/>
      <c r="D818" s="17"/>
      <c r="E818" s="44"/>
    </row>
    <row r="819" spans="2:5" ht="15.8" customHeight="1" x14ac:dyDescent="0.3">
      <c r="B819" s="17"/>
      <c r="C819" s="17"/>
      <c r="D819" s="17"/>
      <c r="E819" s="44"/>
    </row>
    <row r="820" spans="2:5" ht="15.8" customHeight="1" x14ac:dyDescent="0.3">
      <c r="B820" s="17"/>
      <c r="C820" s="17"/>
      <c r="D820" s="17"/>
      <c r="E820" s="44"/>
    </row>
    <row r="821" spans="2:5" ht="15.8" customHeight="1" x14ac:dyDescent="0.3">
      <c r="B821" s="17"/>
      <c r="C821" s="17"/>
      <c r="D821" s="17"/>
      <c r="E821" s="44"/>
    </row>
    <row r="822" spans="2:5" ht="15.8" customHeight="1" x14ac:dyDescent="0.3">
      <c r="B822" s="17"/>
      <c r="C822" s="17"/>
      <c r="D822" s="17"/>
      <c r="E822" s="44"/>
    </row>
    <row r="823" spans="2:5" ht="15.8" customHeight="1" x14ac:dyDescent="0.3">
      <c r="B823" s="17"/>
      <c r="C823" s="17"/>
      <c r="D823" s="17"/>
      <c r="E823" s="44"/>
    </row>
    <row r="824" spans="2:5" ht="15.8" customHeight="1" x14ac:dyDescent="0.3">
      <c r="B824" s="17"/>
      <c r="C824" s="17"/>
      <c r="D824" s="17"/>
      <c r="E824" s="44"/>
    </row>
    <row r="825" spans="2:5" ht="15.8" customHeight="1" x14ac:dyDescent="0.3">
      <c r="B825" s="17"/>
      <c r="C825" s="17"/>
      <c r="D825" s="17"/>
      <c r="E825" s="44"/>
    </row>
    <row r="826" spans="2:5" ht="15.8" customHeight="1" x14ac:dyDescent="0.3">
      <c r="B826" s="17"/>
      <c r="C826" s="17"/>
      <c r="D826" s="17"/>
      <c r="E826" s="44"/>
    </row>
    <row r="827" spans="2:5" ht="15.8" customHeight="1" x14ac:dyDescent="0.3">
      <c r="B827" s="17"/>
      <c r="C827" s="17"/>
      <c r="D827" s="17"/>
      <c r="E827" s="44"/>
    </row>
    <row r="828" spans="2:5" ht="15.8" customHeight="1" x14ac:dyDescent="0.3">
      <c r="B828" s="17"/>
      <c r="C828" s="17"/>
      <c r="D828" s="17"/>
      <c r="E828" s="44"/>
    </row>
    <row r="829" spans="2:5" ht="15.8" customHeight="1" x14ac:dyDescent="0.3">
      <c r="B829" s="17"/>
      <c r="C829" s="17"/>
      <c r="D829" s="17"/>
      <c r="E829" s="44"/>
    </row>
    <row r="830" spans="2:5" ht="15.8" customHeight="1" x14ac:dyDescent="0.3">
      <c r="B830" s="17"/>
      <c r="C830" s="17"/>
      <c r="D830" s="17"/>
      <c r="E830" s="44"/>
    </row>
    <row r="831" spans="2:5" ht="15.8" customHeight="1" x14ac:dyDescent="0.3">
      <c r="B831" s="17"/>
      <c r="C831" s="17"/>
      <c r="D831" s="17"/>
      <c r="E831" s="44"/>
    </row>
    <row r="832" spans="2:5" ht="15.8" customHeight="1" x14ac:dyDescent="0.3">
      <c r="B832" s="17"/>
      <c r="C832" s="17"/>
      <c r="D832" s="17"/>
      <c r="E832" s="44"/>
    </row>
    <row r="833" spans="2:5" ht="15.8" customHeight="1" x14ac:dyDescent="0.3">
      <c r="B833" s="17"/>
      <c r="C833" s="17"/>
      <c r="D833" s="17"/>
      <c r="E833" s="44"/>
    </row>
    <row r="834" spans="2:5" ht="15.8" customHeight="1" x14ac:dyDescent="0.3">
      <c r="B834" s="17"/>
      <c r="C834" s="17"/>
      <c r="D834" s="17"/>
      <c r="E834" s="44"/>
    </row>
    <row r="835" spans="2:5" ht="15.8" customHeight="1" x14ac:dyDescent="0.3">
      <c r="B835" s="17"/>
      <c r="C835" s="17"/>
      <c r="D835" s="17"/>
      <c r="E835" s="44"/>
    </row>
    <row r="836" spans="2:5" ht="15.8" customHeight="1" x14ac:dyDescent="0.3">
      <c r="B836" s="17"/>
      <c r="C836" s="17"/>
      <c r="D836" s="17"/>
      <c r="E836" s="44"/>
    </row>
    <row r="837" spans="2:5" ht="15.8" customHeight="1" x14ac:dyDescent="0.3">
      <c r="B837" s="17"/>
      <c r="C837" s="17"/>
      <c r="D837" s="17"/>
      <c r="E837" s="44"/>
    </row>
    <row r="838" spans="2:5" ht="15.8" customHeight="1" x14ac:dyDescent="0.3">
      <c r="B838" s="17"/>
      <c r="C838" s="17"/>
      <c r="D838" s="17"/>
      <c r="E838" s="44"/>
    </row>
    <row r="839" spans="2:5" ht="15.8" customHeight="1" x14ac:dyDescent="0.3">
      <c r="B839" s="17"/>
      <c r="C839" s="17"/>
      <c r="D839" s="17"/>
      <c r="E839" s="44"/>
    </row>
    <row r="840" spans="2:5" ht="15.8" customHeight="1" x14ac:dyDescent="0.3">
      <c r="B840" s="17"/>
      <c r="C840" s="17"/>
      <c r="D840" s="17"/>
      <c r="E840" s="44"/>
    </row>
    <row r="841" spans="2:5" ht="15.8" customHeight="1" x14ac:dyDescent="0.3">
      <c r="B841" s="17"/>
      <c r="C841" s="17"/>
      <c r="D841" s="17"/>
      <c r="E841" s="44"/>
    </row>
    <row r="842" spans="2:5" ht="15.8" customHeight="1" x14ac:dyDescent="0.3">
      <c r="B842" s="17"/>
      <c r="C842" s="17"/>
      <c r="D842" s="17"/>
      <c r="E842" s="44"/>
    </row>
    <row r="843" spans="2:5" ht="15.8" customHeight="1" x14ac:dyDescent="0.3">
      <c r="B843" s="17"/>
      <c r="C843" s="17"/>
      <c r="D843" s="17"/>
      <c r="E843" s="44"/>
    </row>
    <row r="844" spans="2:5" ht="15.8" customHeight="1" x14ac:dyDescent="0.3">
      <c r="B844" s="17"/>
      <c r="C844" s="17"/>
      <c r="D844" s="17"/>
      <c r="E844" s="44"/>
    </row>
    <row r="845" spans="2:5" ht="15.8" customHeight="1" x14ac:dyDescent="0.3">
      <c r="B845" s="17"/>
      <c r="C845" s="17"/>
      <c r="D845" s="17"/>
      <c r="E845" s="44"/>
    </row>
    <row r="846" spans="2:5" ht="15.8" customHeight="1" x14ac:dyDescent="0.3">
      <c r="B846" s="17"/>
      <c r="C846" s="17"/>
      <c r="D846" s="17"/>
      <c r="E846" s="44"/>
    </row>
    <row r="847" spans="2:5" ht="15.8" customHeight="1" x14ac:dyDescent="0.3">
      <c r="B847" s="17"/>
      <c r="C847" s="17"/>
      <c r="D847" s="17"/>
      <c r="E847" s="44"/>
    </row>
    <row r="848" spans="2:5" ht="15.8" customHeight="1" x14ac:dyDescent="0.3">
      <c r="B848" s="17"/>
      <c r="C848" s="17"/>
      <c r="D848" s="17"/>
      <c r="E848" s="44"/>
    </row>
    <row r="849" spans="2:5" ht="15.8" customHeight="1" x14ac:dyDescent="0.3">
      <c r="B849" s="17"/>
      <c r="C849" s="17"/>
      <c r="D849" s="17"/>
      <c r="E849" s="44"/>
    </row>
    <row r="850" spans="2:5" ht="15.8" customHeight="1" x14ac:dyDescent="0.3">
      <c r="B850" s="17"/>
      <c r="C850" s="17"/>
      <c r="D850" s="17"/>
      <c r="E850" s="44"/>
    </row>
    <row r="851" spans="2:5" ht="15.8" customHeight="1" x14ac:dyDescent="0.3">
      <c r="B851" s="17"/>
      <c r="C851" s="17"/>
      <c r="D851" s="17"/>
      <c r="E851" s="44"/>
    </row>
    <row r="852" spans="2:5" ht="15.8" customHeight="1" x14ac:dyDescent="0.3">
      <c r="B852" s="17"/>
      <c r="C852" s="17"/>
      <c r="D852" s="17"/>
      <c r="E852" s="44"/>
    </row>
    <row r="853" spans="2:5" ht="15.8" customHeight="1" x14ac:dyDescent="0.3">
      <c r="B853" s="17"/>
      <c r="C853" s="17"/>
      <c r="D853" s="17"/>
      <c r="E853" s="44"/>
    </row>
    <row r="854" spans="2:5" ht="15.8" customHeight="1" x14ac:dyDescent="0.3">
      <c r="B854" s="17"/>
      <c r="C854" s="17"/>
      <c r="D854" s="17"/>
      <c r="E854" s="44"/>
    </row>
    <row r="855" spans="2:5" ht="15.8" customHeight="1" x14ac:dyDescent="0.3">
      <c r="B855" s="17"/>
      <c r="C855" s="17"/>
      <c r="D855" s="17"/>
      <c r="E855" s="44"/>
    </row>
    <row r="856" spans="2:5" ht="15.8" customHeight="1" x14ac:dyDescent="0.3">
      <c r="B856" s="17"/>
      <c r="C856" s="17"/>
      <c r="D856" s="17"/>
      <c r="E856" s="44"/>
    </row>
    <row r="857" spans="2:5" ht="15.8" customHeight="1" x14ac:dyDescent="0.3">
      <c r="B857" s="17"/>
      <c r="C857" s="17"/>
      <c r="D857" s="17"/>
      <c r="E857" s="44"/>
    </row>
    <row r="858" spans="2:5" ht="15.8" customHeight="1" x14ac:dyDescent="0.3">
      <c r="B858" s="17"/>
      <c r="C858" s="17"/>
      <c r="D858" s="17"/>
      <c r="E858" s="44"/>
    </row>
    <row r="859" spans="2:5" ht="15.8" customHeight="1" x14ac:dyDescent="0.3">
      <c r="B859" s="17"/>
      <c r="C859" s="17"/>
      <c r="D859" s="17"/>
      <c r="E859" s="44"/>
    </row>
    <row r="860" spans="2:5" ht="15.8" customHeight="1" x14ac:dyDescent="0.3">
      <c r="B860" s="17"/>
      <c r="C860" s="17"/>
      <c r="D860" s="17"/>
      <c r="E860" s="44"/>
    </row>
    <row r="861" spans="2:5" ht="15.8" customHeight="1" x14ac:dyDescent="0.3">
      <c r="B861" s="17"/>
      <c r="C861" s="17"/>
      <c r="D861" s="17"/>
      <c r="E861" s="44"/>
    </row>
    <row r="862" spans="2:5" ht="15.8" customHeight="1" x14ac:dyDescent="0.3">
      <c r="B862" s="17"/>
      <c r="C862" s="17"/>
      <c r="D862" s="17"/>
      <c r="E862" s="44"/>
    </row>
    <row r="863" spans="2:5" ht="15.8" customHeight="1" x14ac:dyDescent="0.3">
      <c r="B863" s="17"/>
      <c r="C863" s="17"/>
      <c r="D863" s="17"/>
      <c r="E863" s="44"/>
    </row>
    <row r="864" spans="2:5" ht="15.8" customHeight="1" x14ac:dyDescent="0.3">
      <c r="B864" s="17"/>
      <c r="C864" s="17"/>
      <c r="D864" s="17"/>
      <c r="E864" s="44"/>
    </row>
    <row r="865" spans="2:5" ht="15.8" customHeight="1" x14ac:dyDescent="0.3">
      <c r="B865" s="17"/>
      <c r="C865" s="17"/>
      <c r="D865" s="17"/>
      <c r="E865" s="44"/>
    </row>
    <row r="866" spans="2:5" ht="15.8" customHeight="1" x14ac:dyDescent="0.3">
      <c r="B866" s="17"/>
      <c r="C866" s="17"/>
      <c r="D866" s="17"/>
      <c r="E866" s="44"/>
    </row>
    <row r="867" spans="2:5" ht="15.8" customHeight="1" x14ac:dyDescent="0.3">
      <c r="B867" s="17"/>
      <c r="C867" s="17"/>
      <c r="D867" s="17"/>
      <c r="E867" s="44"/>
    </row>
    <row r="868" spans="2:5" ht="15.8" customHeight="1" x14ac:dyDescent="0.3">
      <c r="B868" s="17"/>
      <c r="C868" s="17"/>
      <c r="D868" s="17"/>
      <c r="E868" s="44"/>
    </row>
    <row r="869" spans="2:5" ht="15.8" customHeight="1" x14ac:dyDescent="0.3">
      <c r="B869" s="17"/>
      <c r="C869" s="17"/>
      <c r="D869" s="17"/>
      <c r="E869" s="44"/>
    </row>
    <row r="870" spans="2:5" ht="15.8" customHeight="1" x14ac:dyDescent="0.3">
      <c r="B870" s="17"/>
      <c r="C870" s="17"/>
      <c r="D870" s="17"/>
      <c r="E870" s="44"/>
    </row>
    <row r="871" spans="2:5" ht="15.8" customHeight="1" x14ac:dyDescent="0.3">
      <c r="B871" s="17"/>
      <c r="C871" s="17"/>
      <c r="D871" s="17"/>
      <c r="E871" s="44"/>
    </row>
    <row r="872" spans="2:5" ht="15.8" customHeight="1" x14ac:dyDescent="0.3">
      <c r="B872" s="17"/>
      <c r="C872" s="17"/>
      <c r="D872" s="17"/>
      <c r="E872" s="44"/>
    </row>
    <row r="873" spans="2:5" ht="15.8" customHeight="1" x14ac:dyDescent="0.3">
      <c r="B873" s="17"/>
      <c r="C873" s="17"/>
      <c r="D873" s="17"/>
      <c r="E873" s="44"/>
    </row>
    <row r="874" spans="2:5" ht="15.8" customHeight="1" x14ac:dyDescent="0.3">
      <c r="B874" s="17"/>
      <c r="C874" s="17"/>
      <c r="D874" s="17"/>
      <c r="E874" s="44"/>
    </row>
    <row r="875" spans="2:5" ht="15.8" customHeight="1" x14ac:dyDescent="0.3">
      <c r="B875" s="17"/>
      <c r="C875" s="17"/>
      <c r="D875" s="17"/>
      <c r="E875" s="44"/>
    </row>
    <row r="876" spans="2:5" ht="15.8" customHeight="1" x14ac:dyDescent="0.3">
      <c r="B876" s="17"/>
      <c r="C876" s="17"/>
      <c r="D876" s="17"/>
      <c r="E876" s="44"/>
    </row>
    <row r="877" spans="2:5" ht="15.8" customHeight="1" x14ac:dyDescent="0.3">
      <c r="B877" s="17"/>
      <c r="C877" s="17"/>
      <c r="D877" s="17"/>
      <c r="E877" s="44"/>
    </row>
    <row r="878" spans="2:5" ht="15.8" customHeight="1" x14ac:dyDescent="0.3">
      <c r="B878" s="17"/>
      <c r="C878" s="17"/>
      <c r="D878" s="17"/>
      <c r="E878" s="44"/>
    </row>
    <row r="879" spans="2:5" ht="15.8" customHeight="1" x14ac:dyDescent="0.3">
      <c r="B879" s="17"/>
      <c r="C879" s="17"/>
      <c r="D879" s="17"/>
      <c r="E879" s="44"/>
    </row>
    <row r="880" spans="2:5" ht="15.8" customHeight="1" x14ac:dyDescent="0.3">
      <c r="B880" s="17"/>
      <c r="C880" s="17"/>
      <c r="D880" s="17"/>
      <c r="E880" s="44"/>
    </row>
    <row r="881" spans="2:5" ht="15.8" customHeight="1" x14ac:dyDescent="0.3">
      <c r="B881" s="17"/>
      <c r="C881" s="17"/>
      <c r="D881" s="17"/>
      <c r="E881" s="44"/>
    </row>
    <row r="882" spans="2:5" ht="15.8" customHeight="1" x14ac:dyDescent="0.3">
      <c r="B882" s="17"/>
      <c r="C882" s="17"/>
      <c r="D882" s="17"/>
      <c r="E882" s="44"/>
    </row>
    <row r="883" spans="2:5" ht="15.8" customHeight="1" x14ac:dyDescent="0.3">
      <c r="B883" s="17"/>
      <c r="C883" s="17"/>
      <c r="D883" s="17"/>
      <c r="E883" s="44"/>
    </row>
    <row r="884" spans="2:5" ht="15.8" customHeight="1" x14ac:dyDescent="0.3">
      <c r="B884" s="17"/>
      <c r="C884" s="17"/>
      <c r="D884" s="17"/>
      <c r="E884" s="44"/>
    </row>
    <row r="885" spans="2:5" ht="15.8" customHeight="1" x14ac:dyDescent="0.3">
      <c r="B885" s="17"/>
      <c r="C885" s="17"/>
      <c r="D885" s="17"/>
      <c r="E885" s="44"/>
    </row>
    <row r="886" spans="2:5" ht="15.8" customHeight="1" x14ac:dyDescent="0.3">
      <c r="B886" s="17"/>
      <c r="C886" s="17"/>
      <c r="D886" s="17"/>
      <c r="E886" s="44"/>
    </row>
    <row r="887" spans="2:5" ht="15.8" customHeight="1" x14ac:dyDescent="0.3">
      <c r="B887" s="17"/>
      <c r="C887" s="17"/>
      <c r="D887" s="17"/>
      <c r="E887" s="44"/>
    </row>
    <row r="888" spans="2:5" ht="15.8" customHeight="1" x14ac:dyDescent="0.3">
      <c r="B888" s="17"/>
      <c r="C888" s="17"/>
      <c r="D888" s="17"/>
      <c r="E888" s="44"/>
    </row>
    <row r="889" spans="2:5" ht="15.8" customHeight="1" x14ac:dyDescent="0.3">
      <c r="B889" s="17"/>
      <c r="C889" s="17"/>
      <c r="D889" s="17"/>
      <c r="E889" s="44"/>
    </row>
    <row r="890" spans="2:5" ht="15.8" customHeight="1" x14ac:dyDescent="0.3">
      <c r="B890" s="17"/>
      <c r="C890" s="17"/>
      <c r="D890" s="17"/>
      <c r="E890" s="44"/>
    </row>
    <row r="891" spans="2:5" ht="15.8" customHeight="1" x14ac:dyDescent="0.3">
      <c r="B891" s="17"/>
      <c r="C891" s="17"/>
      <c r="D891" s="17"/>
      <c r="E891" s="44"/>
    </row>
    <row r="892" spans="2:5" ht="15.8" customHeight="1" x14ac:dyDescent="0.3">
      <c r="B892" s="17"/>
      <c r="C892" s="17"/>
      <c r="D892" s="17"/>
      <c r="E892" s="44"/>
    </row>
    <row r="893" spans="2:5" ht="15.8" customHeight="1" x14ac:dyDescent="0.3">
      <c r="B893" s="17"/>
      <c r="C893" s="17"/>
      <c r="D893" s="17"/>
      <c r="E893" s="44"/>
    </row>
    <row r="894" spans="2:5" ht="15.8" customHeight="1" x14ac:dyDescent="0.3">
      <c r="B894" s="17"/>
      <c r="C894" s="17"/>
      <c r="D894" s="17"/>
      <c r="E894" s="44"/>
    </row>
    <row r="895" spans="2:5" ht="15.8" customHeight="1" x14ac:dyDescent="0.3">
      <c r="B895" s="17"/>
      <c r="C895" s="17"/>
      <c r="D895" s="17"/>
      <c r="E895" s="44"/>
    </row>
    <row r="896" spans="2:5" ht="15.8" customHeight="1" x14ac:dyDescent="0.3">
      <c r="B896" s="17"/>
      <c r="C896" s="17"/>
      <c r="D896" s="17"/>
      <c r="E896" s="44"/>
    </row>
    <row r="897" spans="2:5" ht="15.8" customHeight="1" x14ac:dyDescent="0.3">
      <c r="B897" s="17"/>
      <c r="C897" s="17"/>
      <c r="D897" s="17"/>
      <c r="E897" s="44"/>
    </row>
    <row r="898" spans="2:5" ht="15.8" customHeight="1" x14ac:dyDescent="0.3">
      <c r="B898" s="17"/>
      <c r="C898" s="17"/>
      <c r="D898" s="17"/>
      <c r="E898" s="44"/>
    </row>
    <row r="899" spans="2:5" ht="15.8" customHeight="1" x14ac:dyDescent="0.3">
      <c r="B899" s="17"/>
      <c r="C899" s="17"/>
      <c r="D899" s="17"/>
      <c r="E899" s="44"/>
    </row>
    <row r="900" spans="2:5" ht="15.8" customHeight="1" x14ac:dyDescent="0.3">
      <c r="B900" s="17"/>
      <c r="C900" s="17"/>
      <c r="D900" s="17"/>
      <c r="E900" s="44"/>
    </row>
    <row r="901" spans="2:5" ht="15.8" customHeight="1" x14ac:dyDescent="0.3">
      <c r="B901" s="17"/>
      <c r="C901" s="17"/>
      <c r="D901" s="17"/>
      <c r="E901" s="44"/>
    </row>
    <row r="902" spans="2:5" ht="15.8" customHeight="1" x14ac:dyDescent="0.3">
      <c r="B902" s="17"/>
      <c r="C902" s="17"/>
      <c r="D902" s="17"/>
      <c r="E902" s="44"/>
    </row>
    <row r="903" spans="2:5" ht="15.8" customHeight="1" x14ac:dyDescent="0.3">
      <c r="B903" s="17"/>
      <c r="C903" s="17"/>
      <c r="D903" s="17"/>
      <c r="E903" s="44"/>
    </row>
    <row r="904" spans="2:5" ht="15.8" customHeight="1" x14ac:dyDescent="0.3">
      <c r="B904" s="17"/>
      <c r="C904" s="17"/>
      <c r="D904" s="17"/>
      <c r="E904" s="44"/>
    </row>
    <row r="905" spans="2:5" ht="15.8" customHeight="1" x14ac:dyDescent="0.3">
      <c r="B905" s="17"/>
      <c r="C905" s="17"/>
      <c r="D905" s="17"/>
      <c r="E905" s="44"/>
    </row>
    <row r="906" spans="2:5" ht="15.8" customHeight="1" x14ac:dyDescent="0.3">
      <c r="B906" s="17"/>
      <c r="C906" s="17"/>
      <c r="D906" s="17"/>
      <c r="E906" s="44"/>
    </row>
    <row r="907" spans="2:5" ht="15.8" customHeight="1" x14ac:dyDescent="0.3">
      <c r="B907" s="17"/>
      <c r="C907" s="17"/>
      <c r="D907" s="17"/>
      <c r="E907" s="44"/>
    </row>
    <row r="908" spans="2:5" ht="15.8" customHeight="1" x14ac:dyDescent="0.3">
      <c r="B908" s="17"/>
      <c r="C908" s="17"/>
      <c r="D908" s="17"/>
      <c r="E908" s="44"/>
    </row>
    <row r="909" spans="2:5" ht="15.8" customHeight="1" x14ac:dyDescent="0.3">
      <c r="B909" s="17"/>
      <c r="C909" s="17"/>
      <c r="D909" s="17"/>
      <c r="E909" s="44"/>
    </row>
    <row r="910" spans="2:5" ht="15.8" customHeight="1" x14ac:dyDescent="0.3">
      <c r="B910" s="17"/>
      <c r="C910" s="17"/>
      <c r="D910" s="17"/>
      <c r="E910" s="44"/>
    </row>
    <row r="911" spans="2:5" ht="15.8" customHeight="1" x14ac:dyDescent="0.3">
      <c r="B911" s="17"/>
      <c r="C911" s="17"/>
      <c r="D911" s="17"/>
      <c r="E911" s="44"/>
    </row>
    <row r="912" spans="2:5" ht="15.8" customHeight="1" x14ac:dyDescent="0.3">
      <c r="B912" s="17"/>
      <c r="C912" s="17"/>
      <c r="D912" s="17"/>
      <c r="E912" s="44"/>
    </row>
    <row r="913" spans="2:5" ht="15.8" customHeight="1" x14ac:dyDescent="0.3">
      <c r="B913" s="17"/>
      <c r="C913" s="17"/>
      <c r="D913" s="17"/>
      <c r="E913" s="44"/>
    </row>
    <row r="914" spans="2:5" ht="15.8" customHeight="1" x14ac:dyDescent="0.3">
      <c r="B914" s="17"/>
      <c r="C914" s="17"/>
      <c r="D914" s="17"/>
      <c r="E914" s="44"/>
    </row>
    <row r="915" spans="2:5" ht="15.8" customHeight="1" x14ac:dyDescent="0.3">
      <c r="B915" s="17"/>
      <c r="C915" s="17"/>
      <c r="D915" s="17"/>
      <c r="E915" s="44"/>
    </row>
    <row r="916" spans="2:5" ht="15.8" customHeight="1" x14ac:dyDescent="0.3">
      <c r="B916" s="17"/>
      <c r="C916" s="17"/>
      <c r="D916" s="17"/>
      <c r="E916" s="44"/>
    </row>
    <row r="917" spans="2:5" ht="15.8" customHeight="1" x14ac:dyDescent="0.3">
      <c r="B917" s="17"/>
      <c r="C917" s="17"/>
      <c r="D917" s="17"/>
      <c r="E917" s="44"/>
    </row>
    <row r="918" spans="2:5" ht="15.8" customHeight="1" x14ac:dyDescent="0.3">
      <c r="B918" s="17"/>
      <c r="C918" s="17"/>
      <c r="D918" s="17"/>
      <c r="E918" s="44"/>
    </row>
    <row r="919" spans="2:5" ht="15.8" customHeight="1" x14ac:dyDescent="0.3">
      <c r="B919" s="17"/>
      <c r="C919" s="17"/>
      <c r="D919" s="17"/>
      <c r="E919" s="44"/>
    </row>
    <row r="920" spans="2:5" ht="15.8" customHeight="1" x14ac:dyDescent="0.3">
      <c r="B920" s="17"/>
      <c r="C920" s="17"/>
      <c r="D920" s="17"/>
      <c r="E920" s="44"/>
    </row>
    <row r="921" spans="2:5" ht="15.8" customHeight="1" x14ac:dyDescent="0.3">
      <c r="B921" s="17"/>
      <c r="C921" s="17"/>
      <c r="D921" s="17"/>
      <c r="E921" s="44"/>
    </row>
    <row r="922" spans="2:5" ht="15.8" customHeight="1" x14ac:dyDescent="0.3">
      <c r="B922" s="17"/>
      <c r="C922" s="17"/>
      <c r="D922" s="17"/>
      <c r="E922" s="44"/>
    </row>
    <row r="923" spans="2:5" ht="15.8" customHeight="1" x14ac:dyDescent="0.3">
      <c r="B923" s="17"/>
      <c r="C923" s="17"/>
      <c r="D923" s="17"/>
      <c r="E923" s="44"/>
    </row>
    <row r="924" spans="2:5" ht="15.8" customHeight="1" x14ac:dyDescent="0.3">
      <c r="B924" s="17"/>
      <c r="C924" s="17"/>
      <c r="D924" s="17"/>
      <c r="E924" s="44"/>
    </row>
    <row r="925" spans="2:5" ht="15.8" customHeight="1" x14ac:dyDescent="0.3">
      <c r="B925" s="17"/>
      <c r="C925" s="17"/>
      <c r="D925" s="17"/>
      <c r="E925" s="44"/>
    </row>
    <row r="926" spans="2:5" ht="15.8" customHeight="1" x14ac:dyDescent="0.3">
      <c r="B926" s="17"/>
      <c r="C926" s="17"/>
      <c r="D926" s="17"/>
      <c r="E926" s="44"/>
    </row>
    <row r="927" spans="2:5" ht="15.8" customHeight="1" x14ac:dyDescent="0.3">
      <c r="B927" s="17"/>
      <c r="C927" s="17"/>
      <c r="D927" s="17"/>
      <c r="E927" s="44"/>
    </row>
    <row r="928" spans="2:5" ht="15.8" customHeight="1" x14ac:dyDescent="0.3">
      <c r="B928" s="17"/>
      <c r="C928" s="17"/>
      <c r="D928" s="17"/>
      <c r="E928" s="44"/>
    </row>
    <row r="929" spans="2:5" ht="15.8" customHeight="1" x14ac:dyDescent="0.3">
      <c r="B929" s="17"/>
      <c r="C929" s="17"/>
      <c r="D929" s="17"/>
      <c r="E929" s="44"/>
    </row>
    <row r="930" spans="2:5" ht="15.8" customHeight="1" x14ac:dyDescent="0.3">
      <c r="B930" s="17"/>
      <c r="C930" s="17"/>
      <c r="D930" s="17"/>
      <c r="E930" s="44"/>
    </row>
    <row r="931" spans="2:5" ht="15.8" customHeight="1" x14ac:dyDescent="0.3">
      <c r="B931" s="17"/>
      <c r="C931" s="17"/>
      <c r="D931" s="17"/>
      <c r="E931" s="44"/>
    </row>
    <row r="932" spans="2:5" ht="15.8" customHeight="1" x14ac:dyDescent="0.3">
      <c r="B932" s="17"/>
      <c r="C932" s="17"/>
      <c r="D932" s="17"/>
      <c r="E932" s="44"/>
    </row>
    <row r="933" spans="2:5" ht="15.8" customHeight="1" x14ac:dyDescent="0.3">
      <c r="B933" s="17"/>
      <c r="C933" s="17"/>
      <c r="D933" s="17"/>
      <c r="E933" s="44"/>
    </row>
    <row r="934" spans="2:5" ht="15.8" customHeight="1" x14ac:dyDescent="0.3">
      <c r="B934" s="17"/>
      <c r="C934" s="17"/>
      <c r="D934" s="17"/>
      <c r="E934" s="44"/>
    </row>
    <row r="935" spans="2:5" ht="15.8" customHeight="1" x14ac:dyDescent="0.3">
      <c r="B935" s="17"/>
      <c r="C935" s="17"/>
      <c r="D935" s="17"/>
      <c r="E935" s="44"/>
    </row>
    <row r="936" spans="2:5" ht="15.8" customHeight="1" x14ac:dyDescent="0.3">
      <c r="B936" s="17"/>
      <c r="C936" s="17"/>
      <c r="D936" s="17"/>
      <c r="E936" s="44"/>
    </row>
    <row r="937" spans="2:5" ht="15.8" customHeight="1" x14ac:dyDescent="0.3">
      <c r="B937" s="17"/>
      <c r="C937" s="17"/>
      <c r="D937" s="17"/>
      <c r="E937" s="44"/>
    </row>
    <row r="938" spans="2:5" ht="15.8" customHeight="1" x14ac:dyDescent="0.3">
      <c r="B938" s="17"/>
      <c r="C938" s="17"/>
      <c r="D938" s="17"/>
      <c r="E938" s="44"/>
    </row>
    <row r="939" spans="2:5" ht="15.8" customHeight="1" x14ac:dyDescent="0.3">
      <c r="B939" s="17"/>
      <c r="C939" s="17"/>
      <c r="D939" s="17"/>
      <c r="E939" s="44"/>
    </row>
    <row r="940" spans="2:5" ht="15.8" customHeight="1" x14ac:dyDescent="0.3">
      <c r="B940" s="17"/>
      <c r="C940" s="17"/>
      <c r="D940" s="17"/>
      <c r="E940" s="44"/>
    </row>
    <row r="941" spans="2:5" ht="15.8" customHeight="1" x14ac:dyDescent="0.3">
      <c r="B941" s="17"/>
      <c r="C941" s="17"/>
      <c r="D941" s="17"/>
      <c r="E941" s="44"/>
    </row>
    <row r="942" spans="2:5" ht="15.8" customHeight="1" x14ac:dyDescent="0.3">
      <c r="B942" s="17"/>
      <c r="C942" s="17"/>
      <c r="D942" s="17"/>
      <c r="E942" s="44"/>
    </row>
    <row r="943" spans="2:5" ht="15.8" customHeight="1" x14ac:dyDescent="0.3">
      <c r="B943" s="17"/>
      <c r="C943" s="17"/>
      <c r="D943" s="17"/>
      <c r="E943" s="44"/>
    </row>
    <row r="944" spans="2:5" ht="15.8" customHeight="1" x14ac:dyDescent="0.3">
      <c r="B944" s="17"/>
      <c r="C944" s="17"/>
      <c r="D944" s="17"/>
      <c r="E944" s="44"/>
    </row>
    <row r="945" spans="2:5" ht="15.8" customHeight="1" x14ac:dyDescent="0.3">
      <c r="B945" s="17"/>
      <c r="C945" s="17"/>
      <c r="D945" s="17"/>
      <c r="E945" s="44"/>
    </row>
    <row r="946" spans="2:5" ht="15.8" customHeight="1" x14ac:dyDescent="0.3">
      <c r="B946" s="17"/>
      <c r="C946" s="17"/>
      <c r="D946" s="17"/>
      <c r="E946" s="44"/>
    </row>
    <row r="947" spans="2:5" ht="15.8" customHeight="1" x14ac:dyDescent="0.3">
      <c r="B947" s="17"/>
      <c r="C947" s="17"/>
      <c r="D947" s="17"/>
      <c r="E947" s="44"/>
    </row>
    <row r="948" spans="2:5" ht="15.8" customHeight="1" x14ac:dyDescent="0.3">
      <c r="B948" s="17"/>
      <c r="C948" s="17"/>
      <c r="D948" s="17"/>
      <c r="E948" s="44"/>
    </row>
    <row r="949" spans="2:5" ht="15.8" customHeight="1" x14ac:dyDescent="0.3">
      <c r="B949" s="17"/>
      <c r="C949" s="17"/>
      <c r="D949" s="17"/>
      <c r="E949" s="44"/>
    </row>
    <row r="950" spans="2:5" ht="15.8" customHeight="1" x14ac:dyDescent="0.3">
      <c r="B950" s="17"/>
      <c r="C950" s="17"/>
      <c r="D950" s="17"/>
      <c r="E950" s="44"/>
    </row>
    <row r="951" spans="2:5" ht="15.8" customHeight="1" x14ac:dyDescent="0.3">
      <c r="B951" s="17"/>
      <c r="C951" s="17"/>
      <c r="D951" s="17"/>
      <c r="E951" s="44"/>
    </row>
    <row r="952" spans="2:5" ht="15.8" customHeight="1" x14ac:dyDescent="0.3">
      <c r="B952" s="17"/>
      <c r="C952" s="17"/>
      <c r="D952" s="17"/>
      <c r="E952" s="44"/>
    </row>
    <row r="953" spans="2:5" ht="15.8" customHeight="1" x14ac:dyDescent="0.3">
      <c r="B953" s="17"/>
      <c r="C953" s="17"/>
      <c r="D953" s="17"/>
      <c r="E953" s="44"/>
    </row>
    <row r="954" spans="2:5" ht="15.8" customHeight="1" x14ac:dyDescent="0.3">
      <c r="B954" s="17"/>
      <c r="C954" s="17"/>
      <c r="D954" s="17"/>
      <c r="E954" s="44"/>
    </row>
    <row r="955" spans="2:5" ht="15.8" customHeight="1" x14ac:dyDescent="0.3">
      <c r="B955" s="17"/>
      <c r="C955" s="17"/>
      <c r="D955" s="17"/>
      <c r="E955" s="44"/>
    </row>
    <row r="956" spans="2:5" ht="15.8" customHeight="1" x14ac:dyDescent="0.3">
      <c r="B956" s="17"/>
      <c r="C956" s="17"/>
      <c r="D956" s="17"/>
      <c r="E956" s="44"/>
    </row>
    <row r="957" spans="2:5" ht="15.8" customHeight="1" x14ac:dyDescent="0.3">
      <c r="B957" s="17"/>
      <c r="C957" s="17"/>
      <c r="D957" s="17"/>
      <c r="E957" s="44"/>
    </row>
    <row r="958" spans="2:5" ht="15.8" customHeight="1" x14ac:dyDescent="0.3">
      <c r="B958" s="17"/>
      <c r="C958" s="17"/>
      <c r="D958" s="17"/>
      <c r="E958" s="44"/>
    </row>
    <row r="959" spans="2:5" ht="15.8" customHeight="1" x14ac:dyDescent="0.3">
      <c r="B959" s="17"/>
      <c r="C959" s="17"/>
      <c r="D959" s="17"/>
      <c r="E959" s="44"/>
    </row>
    <row r="960" spans="2:5" ht="15.8" customHeight="1" x14ac:dyDescent="0.3">
      <c r="B960" s="17"/>
      <c r="C960" s="17"/>
      <c r="D960" s="17"/>
      <c r="E960" s="44"/>
    </row>
    <row r="961" spans="2:5" ht="15.8" customHeight="1" x14ac:dyDescent="0.3">
      <c r="B961" s="17"/>
      <c r="C961" s="17"/>
      <c r="D961" s="17"/>
      <c r="E961" s="44"/>
    </row>
    <row r="962" spans="2:5" ht="15.8" customHeight="1" x14ac:dyDescent="0.3">
      <c r="B962" s="17"/>
      <c r="C962" s="17"/>
      <c r="D962" s="17"/>
      <c r="E962" s="44"/>
    </row>
    <row r="963" spans="2:5" ht="15.8" customHeight="1" x14ac:dyDescent="0.3">
      <c r="B963" s="17"/>
      <c r="C963" s="17"/>
      <c r="D963" s="17"/>
      <c r="E963" s="44"/>
    </row>
    <row r="964" spans="2:5" ht="15.8" customHeight="1" x14ac:dyDescent="0.3">
      <c r="B964" s="17"/>
      <c r="C964" s="17"/>
      <c r="D964" s="17"/>
      <c r="E964" s="44"/>
    </row>
    <row r="965" spans="2:5" ht="15.8" customHeight="1" x14ac:dyDescent="0.3">
      <c r="B965" s="17"/>
      <c r="C965" s="17"/>
      <c r="D965" s="17"/>
      <c r="E965" s="44"/>
    </row>
    <row r="966" spans="2:5" ht="15.8" customHeight="1" x14ac:dyDescent="0.3">
      <c r="B966" s="17"/>
      <c r="C966" s="17"/>
      <c r="D966" s="17"/>
      <c r="E966" s="44"/>
    </row>
    <row r="967" spans="2:5" ht="15.8" customHeight="1" x14ac:dyDescent="0.3">
      <c r="B967" s="17"/>
      <c r="C967" s="17"/>
      <c r="D967" s="17"/>
      <c r="E967" s="44"/>
    </row>
    <row r="968" spans="2:5" ht="15.8" customHeight="1" x14ac:dyDescent="0.3">
      <c r="B968" s="17"/>
      <c r="C968" s="17"/>
      <c r="D968" s="17"/>
      <c r="E968" s="44"/>
    </row>
    <row r="969" spans="2:5" ht="15.8" customHeight="1" x14ac:dyDescent="0.3">
      <c r="B969" s="17"/>
      <c r="C969" s="17"/>
      <c r="D969" s="17"/>
      <c r="E969" s="44"/>
    </row>
    <row r="970" spans="2:5" ht="15.8" customHeight="1" x14ac:dyDescent="0.3">
      <c r="B970" s="17"/>
      <c r="C970" s="17"/>
      <c r="D970" s="17"/>
      <c r="E970" s="44"/>
    </row>
    <row r="971" spans="2:5" ht="15.8" customHeight="1" x14ac:dyDescent="0.3">
      <c r="B971" s="17"/>
      <c r="C971" s="17"/>
      <c r="D971" s="17"/>
      <c r="E971" s="44"/>
    </row>
    <row r="972" spans="2:5" ht="15.8" customHeight="1" x14ac:dyDescent="0.3">
      <c r="B972" s="17"/>
      <c r="C972" s="17"/>
      <c r="D972" s="17"/>
      <c r="E972" s="44"/>
    </row>
    <row r="973" spans="2:5" ht="15.8" customHeight="1" x14ac:dyDescent="0.3">
      <c r="B973" s="17"/>
      <c r="C973" s="17"/>
      <c r="D973" s="17"/>
      <c r="E973" s="44"/>
    </row>
    <row r="974" spans="2:5" ht="15.8" customHeight="1" x14ac:dyDescent="0.3">
      <c r="B974" s="17"/>
      <c r="C974" s="17"/>
      <c r="D974" s="17"/>
      <c r="E974" s="44"/>
    </row>
    <row r="975" spans="2:5" ht="15.8" customHeight="1" x14ac:dyDescent="0.3">
      <c r="B975" s="17"/>
      <c r="C975" s="17"/>
      <c r="D975" s="17"/>
      <c r="E975" s="44"/>
    </row>
    <row r="976" spans="2:5" ht="15.8" customHeight="1" x14ac:dyDescent="0.3">
      <c r="B976" s="17"/>
      <c r="C976" s="17"/>
      <c r="D976" s="17"/>
      <c r="E976" s="44"/>
    </row>
    <row r="977" spans="2:5" ht="15.8" customHeight="1" x14ac:dyDescent="0.3">
      <c r="B977" s="17"/>
      <c r="C977" s="17"/>
      <c r="D977" s="17"/>
      <c r="E977" s="44"/>
    </row>
    <row r="978" spans="2:5" ht="15.8" customHeight="1" x14ac:dyDescent="0.3">
      <c r="B978" s="17"/>
      <c r="C978" s="17"/>
      <c r="D978" s="17"/>
      <c r="E978" s="44"/>
    </row>
    <row r="979" spans="2:5" ht="15.8" customHeight="1" x14ac:dyDescent="0.3">
      <c r="B979" s="17"/>
      <c r="C979" s="17"/>
      <c r="D979" s="17"/>
      <c r="E979" s="44"/>
    </row>
    <row r="980" spans="2:5" ht="15.8" customHeight="1" x14ac:dyDescent="0.3">
      <c r="B980" s="17"/>
      <c r="C980" s="17"/>
      <c r="D980" s="17"/>
      <c r="E980" s="44"/>
    </row>
    <row r="981" spans="2:5" ht="15.8" customHeight="1" x14ac:dyDescent="0.3">
      <c r="B981" s="17"/>
      <c r="C981" s="17"/>
      <c r="D981" s="17"/>
      <c r="E981" s="44"/>
    </row>
    <row r="982" spans="2:5" ht="15.8" customHeight="1" x14ac:dyDescent="0.3">
      <c r="B982" s="17"/>
      <c r="C982" s="17"/>
      <c r="D982" s="17"/>
      <c r="E982" s="44"/>
    </row>
    <row r="983" spans="2:5" ht="15.8" customHeight="1" x14ac:dyDescent="0.3">
      <c r="B983" s="17"/>
      <c r="C983" s="17"/>
      <c r="D983" s="17"/>
      <c r="E983" s="44"/>
    </row>
    <row r="984" spans="2:5" ht="15.8" customHeight="1" x14ac:dyDescent="0.3">
      <c r="B984" s="17"/>
      <c r="C984" s="17"/>
      <c r="D984" s="17"/>
      <c r="E984" s="44"/>
    </row>
    <row r="985" spans="2:5" ht="15.8" customHeight="1" x14ac:dyDescent="0.3">
      <c r="B985" s="17"/>
      <c r="C985" s="17"/>
      <c r="D985" s="17"/>
      <c r="E985" s="44"/>
    </row>
    <row r="986" spans="2:5" ht="15.8" customHeight="1" x14ac:dyDescent="0.3">
      <c r="B986" s="17"/>
      <c r="C986" s="17"/>
      <c r="D986" s="17"/>
      <c r="E986" s="44"/>
    </row>
    <row r="987" spans="2:5" ht="15.8" customHeight="1" x14ac:dyDescent="0.3">
      <c r="B987" s="17"/>
      <c r="C987" s="17"/>
      <c r="D987" s="17"/>
      <c r="E987" s="44"/>
    </row>
    <row r="988" spans="2:5" ht="15.8" customHeight="1" x14ac:dyDescent="0.3">
      <c r="B988" s="17"/>
      <c r="C988" s="17"/>
      <c r="D988" s="17"/>
      <c r="E988" s="44"/>
    </row>
    <row r="989" spans="2:5" ht="15.8" customHeight="1" x14ac:dyDescent="0.3">
      <c r="B989" s="17"/>
      <c r="C989" s="17"/>
      <c r="D989" s="17"/>
      <c r="E989" s="44"/>
    </row>
    <row r="990" spans="2:5" ht="15.8" customHeight="1" x14ac:dyDescent="0.3">
      <c r="B990" s="17"/>
      <c r="C990" s="17"/>
      <c r="D990" s="17"/>
      <c r="E990" s="44"/>
    </row>
    <row r="991" spans="2:5" ht="15.8" customHeight="1" x14ac:dyDescent="0.3">
      <c r="B991" s="17"/>
      <c r="C991" s="17"/>
      <c r="D991" s="17"/>
      <c r="E991" s="44"/>
    </row>
    <row r="992" spans="2:5" ht="15.8" customHeight="1" x14ac:dyDescent="0.3">
      <c r="B992" s="17"/>
      <c r="C992" s="17"/>
      <c r="D992" s="17"/>
      <c r="E992" s="44"/>
    </row>
    <row r="993" spans="2:5" ht="15.8" customHeight="1" x14ac:dyDescent="0.3">
      <c r="B993" s="17"/>
      <c r="C993" s="17"/>
      <c r="D993" s="17"/>
      <c r="E993" s="44"/>
    </row>
    <row r="994" spans="2:5" ht="15.8" customHeight="1" x14ac:dyDescent="0.3">
      <c r="B994" s="17"/>
      <c r="C994" s="17"/>
      <c r="D994" s="17"/>
      <c r="E994" s="44"/>
    </row>
    <row r="995" spans="2:5" ht="15.8" customHeight="1" x14ac:dyDescent="0.3">
      <c r="B995" s="17"/>
      <c r="C995" s="17"/>
      <c r="D995" s="17"/>
      <c r="E995" s="44"/>
    </row>
    <row r="996" spans="2:5" ht="15.8" customHeight="1" x14ac:dyDescent="0.3">
      <c r="B996" s="17"/>
      <c r="C996" s="17"/>
      <c r="D996" s="17"/>
      <c r="E996" s="44"/>
    </row>
    <row r="997" spans="2:5" ht="15.8" customHeight="1" x14ac:dyDescent="0.3">
      <c r="B997" s="17"/>
      <c r="C997" s="17"/>
      <c r="D997" s="17"/>
      <c r="E997" s="44"/>
    </row>
    <row r="998" spans="2:5" ht="15.8" customHeight="1" x14ac:dyDescent="0.3">
      <c r="B998" s="17"/>
      <c r="C998" s="17"/>
      <c r="D998" s="17"/>
      <c r="E998" s="44"/>
    </row>
    <row r="999" spans="2:5" ht="15.8" customHeight="1" x14ac:dyDescent="0.3">
      <c r="B999" s="17"/>
      <c r="C999" s="17"/>
      <c r="D999" s="17"/>
      <c r="E999" s="44"/>
    </row>
    <row r="1000" spans="2:5" ht="15.8" customHeight="1" x14ac:dyDescent="0.3">
      <c r="B1000" s="17"/>
      <c r="C1000" s="17"/>
      <c r="D1000" s="17"/>
      <c r="E1000" s="44"/>
    </row>
    <row r="1001" spans="2:5" ht="15.8" customHeight="1" x14ac:dyDescent="0.3">
      <c r="B1001" s="17"/>
      <c r="C1001" s="17"/>
      <c r="D1001" s="17"/>
      <c r="E1001" s="44"/>
    </row>
  </sheetData>
  <autoFilter ref="B3:E81"/>
  <pageMargins left="0.7" right="0.7" top="0.75" bottom="0.7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F1000"/>
  <sheetViews>
    <sheetView workbookViewId="0">
      <selection activeCell="A2" sqref="A2:A9"/>
    </sheetView>
  </sheetViews>
  <sheetFormatPr baseColWidth="10" defaultColWidth="11.19921875" defaultRowHeight="14.95" customHeight="1" x14ac:dyDescent="0.25"/>
  <cols>
    <col min="1" max="1" width="30.09765625" customWidth="1"/>
    <col min="2" max="2" width="9.69921875" customWidth="1"/>
    <col min="3" max="3" width="34.3984375" customWidth="1"/>
    <col min="4" max="4" width="12.796875" customWidth="1"/>
    <col min="5" max="5" width="56.296875" customWidth="1"/>
    <col min="6" max="6" width="55.796875" customWidth="1"/>
    <col min="7" max="26" width="10.796875" customWidth="1"/>
  </cols>
  <sheetData>
    <row r="1" spans="1:6" ht="80.349999999999994" customHeight="1" x14ac:dyDescent="0.25">
      <c r="A1" s="49" t="s">
        <v>2203</v>
      </c>
      <c r="B1" s="50" t="s">
        <v>1967</v>
      </c>
      <c r="C1" s="51" t="s">
        <v>2204</v>
      </c>
      <c r="D1" s="51" t="s">
        <v>1967</v>
      </c>
      <c r="E1" s="52" t="s">
        <v>2205</v>
      </c>
      <c r="F1" s="53" t="s">
        <v>2206</v>
      </c>
    </row>
    <row r="2" spans="1:6" ht="30.75" customHeight="1" x14ac:dyDescent="0.25">
      <c r="A2" s="1762" t="s">
        <v>2207</v>
      </c>
      <c r="B2" s="1763" t="s">
        <v>2208</v>
      </c>
      <c r="C2" s="1764" t="s">
        <v>2209</v>
      </c>
      <c r="D2" s="54" t="s">
        <v>2210</v>
      </c>
      <c r="E2" s="55" t="s">
        <v>2211</v>
      </c>
      <c r="F2" s="56" t="s">
        <v>2212</v>
      </c>
    </row>
    <row r="3" spans="1:6" ht="30.75" customHeight="1" x14ac:dyDescent="0.25">
      <c r="A3" s="1480"/>
      <c r="B3" s="1480"/>
      <c r="C3" s="1480"/>
      <c r="D3" s="54" t="s">
        <v>2213</v>
      </c>
      <c r="E3" s="55" t="s">
        <v>2214</v>
      </c>
      <c r="F3" s="56" t="s">
        <v>2215</v>
      </c>
    </row>
    <row r="4" spans="1:6" ht="30.75" customHeight="1" x14ac:dyDescent="0.25">
      <c r="A4" s="1480"/>
      <c r="B4" s="1480"/>
      <c r="C4" s="1480"/>
      <c r="D4" s="54" t="s">
        <v>2216</v>
      </c>
      <c r="E4" s="55" t="s">
        <v>2217</v>
      </c>
      <c r="F4" s="56" t="s">
        <v>2218</v>
      </c>
    </row>
    <row r="5" spans="1:6" ht="30.75" customHeight="1" x14ac:dyDescent="0.25">
      <c r="A5" s="1480"/>
      <c r="B5" s="1480"/>
      <c r="C5" s="1480"/>
      <c r="D5" s="54" t="s">
        <v>2219</v>
      </c>
      <c r="E5" s="55" t="s">
        <v>2220</v>
      </c>
      <c r="F5" s="56" t="s">
        <v>2221</v>
      </c>
    </row>
    <row r="6" spans="1:6" ht="30.75" customHeight="1" x14ac:dyDescent="0.25">
      <c r="A6" s="1480"/>
      <c r="B6" s="1480"/>
      <c r="C6" s="1480"/>
      <c r="D6" s="54" t="s">
        <v>2222</v>
      </c>
      <c r="E6" s="55" t="s">
        <v>2223</v>
      </c>
      <c r="F6" s="190" t="s">
        <v>2224</v>
      </c>
    </row>
    <row r="7" spans="1:6" ht="30.75" customHeight="1" x14ac:dyDescent="0.25">
      <c r="A7" s="1480"/>
      <c r="B7" s="1480"/>
      <c r="C7" s="1480"/>
      <c r="D7" s="54" t="s">
        <v>2225</v>
      </c>
      <c r="E7" s="55" t="s">
        <v>2226</v>
      </c>
      <c r="F7" s="56" t="s">
        <v>2227</v>
      </c>
    </row>
    <row r="8" spans="1:6" ht="30.75" customHeight="1" x14ac:dyDescent="0.25">
      <c r="A8" s="1480"/>
      <c r="B8" s="1480"/>
      <c r="C8" s="1480"/>
      <c r="D8" s="54" t="s">
        <v>2228</v>
      </c>
      <c r="E8" s="55" t="s">
        <v>2229</v>
      </c>
      <c r="F8" s="56" t="s">
        <v>2230</v>
      </c>
    </row>
    <row r="9" spans="1:6" ht="82.55" customHeight="1" x14ac:dyDescent="0.25">
      <c r="A9" s="1467"/>
      <c r="B9" s="1467"/>
      <c r="C9" s="1467"/>
      <c r="D9" s="54" t="s">
        <v>2231</v>
      </c>
      <c r="E9" s="55" t="s">
        <v>2232</v>
      </c>
      <c r="F9" s="56" t="s">
        <v>2233</v>
      </c>
    </row>
    <row r="10" spans="1:6" ht="42.8" customHeight="1" x14ac:dyDescent="0.25">
      <c r="A10" s="1762" t="s">
        <v>2234</v>
      </c>
      <c r="B10" s="1763" t="s">
        <v>2235</v>
      </c>
      <c r="C10" s="1764" t="s">
        <v>2236</v>
      </c>
      <c r="D10" s="54" t="s">
        <v>2237</v>
      </c>
      <c r="E10" s="55" t="s">
        <v>2238</v>
      </c>
      <c r="F10" s="56" t="s">
        <v>2239</v>
      </c>
    </row>
    <row r="11" spans="1:6" ht="30.75" customHeight="1" x14ac:dyDescent="0.25">
      <c r="A11" s="1480"/>
      <c r="B11" s="1480"/>
      <c r="C11" s="1480"/>
      <c r="D11" s="54" t="s">
        <v>2240</v>
      </c>
      <c r="E11" s="55" t="s">
        <v>2241</v>
      </c>
      <c r="F11" s="56" t="s">
        <v>2242</v>
      </c>
    </row>
    <row r="12" spans="1:6" ht="30.75" customHeight="1" x14ac:dyDescent="0.25">
      <c r="A12" s="1480"/>
      <c r="B12" s="1480"/>
      <c r="C12" s="1480"/>
      <c r="D12" s="54" t="s">
        <v>2243</v>
      </c>
      <c r="E12" s="55" t="s">
        <v>2244</v>
      </c>
      <c r="F12" s="56" t="s">
        <v>2245</v>
      </c>
    </row>
    <row r="13" spans="1:6" ht="30.75" customHeight="1" x14ac:dyDescent="0.25">
      <c r="A13" s="1480"/>
      <c r="B13" s="1480"/>
      <c r="C13" s="1480"/>
      <c r="D13" s="54" t="s">
        <v>2246</v>
      </c>
      <c r="E13" s="55" t="s">
        <v>2247</v>
      </c>
      <c r="F13" s="56" t="s">
        <v>2248</v>
      </c>
    </row>
    <row r="14" spans="1:6" ht="30.75" customHeight="1" x14ac:dyDescent="0.25">
      <c r="A14" s="1480"/>
      <c r="B14" s="1480"/>
      <c r="C14" s="1480"/>
      <c r="D14" s="54" t="s">
        <v>2249</v>
      </c>
      <c r="E14" s="55" t="s">
        <v>2250</v>
      </c>
      <c r="F14" s="56" t="s">
        <v>2251</v>
      </c>
    </row>
    <row r="15" spans="1:6" ht="30.75" customHeight="1" x14ac:dyDescent="0.25">
      <c r="A15" s="1480"/>
      <c r="B15" s="1480"/>
      <c r="C15" s="1480"/>
      <c r="D15" s="54" t="s">
        <v>2252</v>
      </c>
      <c r="E15" s="55" t="s">
        <v>2253</v>
      </c>
      <c r="F15" s="56" t="s">
        <v>2254</v>
      </c>
    </row>
    <row r="16" spans="1:6" ht="45.7" customHeight="1" x14ac:dyDescent="0.25">
      <c r="A16" s="1480"/>
      <c r="B16" s="1467"/>
      <c r="C16" s="1467"/>
      <c r="D16" s="54" t="s">
        <v>2255</v>
      </c>
      <c r="E16" s="55" t="s">
        <v>2256</v>
      </c>
      <c r="F16" s="56" t="s">
        <v>2257</v>
      </c>
    </row>
    <row r="17" spans="1:6" ht="29.25" customHeight="1" x14ac:dyDescent="0.25">
      <c r="A17" s="1762" t="s">
        <v>2258</v>
      </c>
      <c r="B17" s="1763" t="s">
        <v>2259</v>
      </c>
      <c r="C17" s="1763" t="s">
        <v>2260</v>
      </c>
      <c r="D17" s="54" t="s">
        <v>2261</v>
      </c>
      <c r="E17" s="55" t="s">
        <v>2262</v>
      </c>
      <c r="F17" s="269" t="s">
        <v>2263</v>
      </c>
    </row>
    <row r="18" spans="1:6" ht="29.25" customHeight="1" x14ac:dyDescent="0.25">
      <c r="A18" s="1480"/>
      <c r="B18" s="1480"/>
      <c r="C18" s="1480"/>
      <c r="D18" s="54" t="s">
        <v>2264</v>
      </c>
      <c r="E18" s="55" t="s">
        <v>2265</v>
      </c>
      <c r="F18" s="56" t="s">
        <v>2266</v>
      </c>
    </row>
    <row r="19" spans="1:6" ht="29.25" customHeight="1" x14ac:dyDescent="0.25">
      <c r="A19" s="1480"/>
      <c r="B19" s="1480"/>
      <c r="C19" s="1480"/>
      <c r="D19" s="54" t="s">
        <v>2267</v>
      </c>
      <c r="E19" s="55" t="s">
        <v>2268</v>
      </c>
      <c r="F19" s="56" t="s">
        <v>2269</v>
      </c>
    </row>
    <row r="20" spans="1:6" ht="29.25" customHeight="1" x14ac:dyDescent="0.25">
      <c r="A20" s="1480"/>
      <c r="B20" s="1480"/>
      <c r="C20" s="1480"/>
      <c r="D20" s="54" t="s">
        <v>2270</v>
      </c>
      <c r="E20" s="55" t="s">
        <v>2271</v>
      </c>
      <c r="F20" s="56" t="s">
        <v>2272</v>
      </c>
    </row>
    <row r="21" spans="1:6" ht="29.25" customHeight="1" x14ac:dyDescent="0.25">
      <c r="A21" s="1480"/>
      <c r="B21" s="1480"/>
      <c r="C21" s="1480"/>
      <c r="D21" s="54" t="s">
        <v>2273</v>
      </c>
      <c r="E21" s="55" t="s">
        <v>2274</v>
      </c>
      <c r="F21" s="56" t="s">
        <v>2275</v>
      </c>
    </row>
    <row r="22" spans="1:6" ht="29.25" customHeight="1" x14ac:dyDescent="0.25">
      <c r="A22" s="1480"/>
      <c r="B22" s="1480"/>
      <c r="C22" s="1480"/>
      <c r="D22" s="54" t="s">
        <v>2276</v>
      </c>
      <c r="E22" s="55" t="s">
        <v>2277</v>
      </c>
      <c r="F22" s="56" t="s">
        <v>2278</v>
      </c>
    </row>
    <row r="23" spans="1:6" ht="29.25" customHeight="1" x14ac:dyDescent="0.25">
      <c r="A23" s="1480"/>
      <c r="B23" s="1480"/>
      <c r="C23" s="1480"/>
      <c r="D23" s="54" t="s">
        <v>2279</v>
      </c>
      <c r="E23" s="55" t="s">
        <v>2280</v>
      </c>
      <c r="F23" s="56" t="s">
        <v>2281</v>
      </c>
    </row>
    <row r="24" spans="1:6" ht="29.25" customHeight="1" x14ac:dyDescent="0.25">
      <c r="A24" s="1467"/>
      <c r="B24" s="1467"/>
      <c r="C24" s="1467"/>
      <c r="D24" s="54" t="s">
        <v>2282</v>
      </c>
      <c r="E24" s="55" t="s">
        <v>2283</v>
      </c>
      <c r="F24" s="56" t="s">
        <v>2284</v>
      </c>
    </row>
    <row r="25" spans="1:6" ht="29.25" customHeight="1" x14ac:dyDescent="0.25">
      <c r="A25" s="1762" t="s">
        <v>2285</v>
      </c>
      <c r="B25" s="1763" t="s">
        <v>2286</v>
      </c>
      <c r="C25" s="1763" t="s">
        <v>2287</v>
      </c>
      <c r="D25" s="54" t="s">
        <v>2288</v>
      </c>
      <c r="E25" s="55" t="s">
        <v>2289</v>
      </c>
      <c r="F25" s="56" t="s">
        <v>2290</v>
      </c>
    </row>
    <row r="26" spans="1:6" ht="29.25" customHeight="1" x14ac:dyDescent="0.25">
      <c r="A26" s="1480"/>
      <c r="B26" s="1480"/>
      <c r="C26" s="1480"/>
      <c r="D26" s="54" t="s">
        <v>2291</v>
      </c>
      <c r="E26" s="55" t="s">
        <v>2292</v>
      </c>
      <c r="F26" s="56" t="s">
        <v>2293</v>
      </c>
    </row>
    <row r="27" spans="1:6" ht="29.25" customHeight="1" x14ac:dyDescent="0.25">
      <c r="A27" s="1480"/>
      <c r="B27" s="1480"/>
      <c r="C27" s="1480"/>
      <c r="D27" s="54" t="s">
        <v>2294</v>
      </c>
      <c r="E27" s="55" t="s">
        <v>2295</v>
      </c>
      <c r="F27" s="56" t="s">
        <v>2296</v>
      </c>
    </row>
    <row r="28" spans="1:6" ht="29.25" customHeight="1" x14ac:dyDescent="0.25">
      <c r="A28" s="1480"/>
      <c r="B28" s="1480"/>
      <c r="C28" s="1480"/>
      <c r="D28" s="54" t="s">
        <v>2297</v>
      </c>
      <c r="E28" s="55" t="s">
        <v>2298</v>
      </c>
      <c r="F28" s="56" t="s">
        <v>2299</v>
      </c>
    </row>
    <row r="29" spans="1:6" ht="29.25" customHeight="1" x14ac:dyDescent="0.25">
      <c r="A29" s="1480"/>
      <c r="B29" s="1480"/>
      <c r="C29" s="1480"/>
      <c r="D29" s="54" t="s">
        <v>2300</v>
      </c>
      <c r="E29" s="55" t="s">
        <v>2301</v>
      </c>
      <c r="F29" s="56" t="s">
        <v>2302</v>
      </c>
    </row>
    <row r="30" spans="1:6" ht="29.25" customHeight="1" x14ac:dyDescent="0.25">
      <c r="A30" s="1480"/>
      <c r="B30" s="1480"/>
      <c r="C30" s="1480"/>
      <c r="D30" s="54" t="s">
        <v>2303</v>
      </c>
      <c r="E30" s="55" t="s">
        <v>2304</v>
      </c>
      <c r="F30" s="56" t="s">
        <v>2305</v>
      </c>
    </row>
    <row r="31" spans="1:6" ht="29.25" customHeight="1" x14ac:dyDescent="0.25">
      <c r="A31" s="1467"/>
      <c r="B31" s="1467"/>
      <c r="C31" s="1467"/>
      <c r="D31" s="54" t="s">
        <v>2306</v>
      </c>
      <c r="E31" s="55" t="s">
        <v>2307</v>
      </c>
      <c r="F31" s="56" t="s">
        <v>2308</v>
      </c>
    </row>
    <row r="32" spans="1:6" ht="15.8" customHeight="1" x14ac:dyDescent="0.25">
      <c r="A32" s="57"/>
      <c r="B32" s="58"/>
      <c r="C32" s="58"/>
      <c r="D32" s="58"/>
      <c r="E32" s="825"/>
      <c r="F32" s="825"/>
    </row>
    <row r="33" spans="1:4" ht="15.8" customHeight="1" x14ac:dyDescent="0.25">
      <c r="A33" s="57"/>
      <c r="B33" s="58"/>
      <c r="C33" s="58"/>
      <c r="D33" s="58"/>
    </row>
    <row r="34" spans="1:4" ht="15.8" customHeight="1" x14ac:dyDescent="0.25">
      <c r="A34" s="57"/>
      <c r="B34" s="58"/>
      <c r="C34" s="58"/>
      <c r="D34" s="58"/>
    </row>
    <row r="35" spans="1:4" ht="15.8" customHeight="1" x14ac:dyDescent="0.25">
      <c r="A35" s="57"/>
      <c r="B35" s="58"/>
      <c r="C35" s="58"/>
      <c r="D35" s="58"/>
    </row>
    <row r="36" spans="1:4" ht="15.8" customHeight="1" x14ac:dyDescent="0.25">
      <c r="A36" s="57"/>
      <c r="B36" s="58"/>
      <c r="C36" s="58"/>
      <c r="D36" s="58"/>
    </row>
    <row r="37" spans="1:4" ht="15.8" customHeight="1" x14ac:dyDescent="0.3">
      <c r="A37" s="825"/>
      <c r="B37" s="20"/>
      <c r="C37" s="20"/>
      <c r="D37" s="20"/>
    </row>
    <row r="38" spans="1:4" ht="15.8" customHeight="1" x14ac:dyDescent="0.25">
      <c r="A38" s="57"/>
      <c r="B38" s="58"/>
      <c r="C38" s="58"/>
      <c r="D38" s="58"/>
    </row>
    <row r="39" spans="1:4" ht="15.8" customHeight="1" x14ac:dyDescent="0.25">
      <c r="A39" s="57"/>
      <c r="B39" s="58"/>
      <c r="C39" s="58"/>
      <c r="D39" s="58"/>
    </row>
    <row r="40" spans="1:4" ht="15.8" customHeight="1" x14ac:dyDescent="0.25">
      <c r="A40" s="57"/>
      <c r="B40" s="58"/>
      <c r="C40" s="58"/>
      <c r="D40" s="58"/>
    </row>
    <row r="41" spans="1:4" ht="15.8" customHeight="1" x14ac:dyDescent="0.25">
      <c r="A41" s="57"/>
      <c r="B41" s="58"/>
      <c r="C41" s="58"/>
      <c r="D41" s="58"/>
    </row>
    <row r="42" spans="1:4" ht="15.8" customHeight="1" x14ac:dyDescent="0.25">
      <c r="A42" s="57"/>
      <c r="B42" s="58"/>
      <c r="C42" s="58"/>
      <c r="D42" s="58"/>
    </row>
    <row r="43" spans="1:4" ht="15.8" customHeight="1" x14ac:dyDescent="0.25">
      <c r="A43" s="57"/>
      <c r="B43" s="58"/>
      <c r="C43" s="58"/>
      <c r="D43" s="58"/>
    </row>
    <row r="44" spans="1:4" ht="15.8" customHeight="1" x14ac:dyDescent="0.25">
      <c r="A44" s="42"/>
      <c r="B44" s="59"/>
      <c r="C44" s="59"/>
      <c r="D44" s="59"/>
    </row>
    <row r="45" spans="1:4" ht="15.8" customHeight="1" x14ac:dyDescent="0.25">
      <c r="A45" s="42"/>
      <c r="B45" s="59"/>
      <c r="C45" s="59"/>
      <c r="D45" s="59"/>
    </row>
    <row r="46" spans="1:4" ht="15.8" customHeight="1" x14ac:dyDescent="0.3">
      <c r="A46" s="60"/>
      <c r="B46" s="61"/>
      <c r="C46" s="61"/>
      <c r="D46" s="61"/>
    </row>
    <row r="47" spans="1:4" ht="15.8" customHeight="1" x14ac:dyDescent="0.3">
      <c r="A47" s="60"/>
      <c r="B47" s="61"/>
      <c r="C47" s="61"/>
      <c r="D47" s="61"/>
    </row>
    <row r="48" spans="1:4" ht="15.8" customHeight="1" x14ac:dyDescent="0.25">
      <c r="A48" s="57"/>
      <c r="B48" s="58"/>
      <c r="C48" s="58"/>
      <c r="D48" s="58"/>
    </row>
    <row r="49" spans="1:4" ht="15.8" customHeight="1" x14ac:dyDescent="0.3">
      <c r="A49" s="825"/>
      <c r="B49" s="20"/>
      <c r="C49" s="20"/>
      <c r="D49" s="20"/>
    </row>
    <row r="50" spans="1:4" ht="15.8" customHeight="1" x14ac:dyDescent="0.3">
      <c r="A50" s="60"/>
      <c r="B50" s="61"/>
      <c r="C50" s="61"/>
      <c r="D50" s="61"/>
    </row>
    <row r="51" spans="1:4" ht="15.8" customHeight="1" x14ac:dyDescent="0.3">
      <c r="A51" s="60"/>
      <c r="B51" s="61"/>
      <c r="C51" s="61"/>
      <c r="D51" s="61"/>
    </row>
    <row r="52" spans="1:4" ht="15.8" customHeight="1" x14ac:dyDescent="0.25">
      <c r="A52" s="57"/>
      <c r="B52" s="58"/>
      <c r="C52" s="58"/>
      <c r="D52" s="58"/>
    </row>
    <row r="53" spans="1:4" ht="15.8" customHeight="1" x14ac:dyDescent="0.25">
      <c r="A53" s="57"/>
      <c r="B53" s="58"/>
      <c r="C53" s="58"/>
      <c r="D53" s="58"/>
    </row>
    <row r="54" spans="1:4" ht="15.8" customHeight="1" x14ac:dyDescent="0.25">
      <c r="A54" s="57"/>
      <c r="B54" s="58"/>
      <c r="C54" s="58"/>
      <c r="D54" s="58"/>
    </row>
    <row r="55" spans="1:4" ht="15.8" customHeight="1" x14ac:dyDescent="0.3">
      <c r="A55" s="60"/>
      <c r="B55" s="61"/>
      <c r="C55" s="61"/>
      <c r="D55" s="61"/>
    </row>
    <row r="56" spans="1:4" ht="15.8" customHeight="1" x14ac:dyDescent="0.25">
      <c r="A56" s="57"/>
      <c r="B56" s="58"/>
      <c r="C56" s="58"/>
      <c r="D56" s="58"/>
    </row>
    <row r="57" spans="1:4" ht="15.8" customHeight="1" x14ac:dyDescent="0.25">
      <c r="A57" s="42"/>
      <c r="B57" s="59"/>
      <c r="C57" s="59"/>
      <c r="D57" s="59"/>
    </row>
    <row r="58" spans="1:4" ht="15.8" customHeight="1" x14ac:dyDescent="0.25">
      <c r="A58" s="57"/>
      <c r="B58" s="58"/>
      <c r="C58" s="58"/>
      <c r="D58" s="58"/>
    </row>
    <row r="59" spans="1:4" ht="15.8" customHeight="1" x14ac:dyDescent="0.25">
      <c r="A59" s="57"/>
      <c r="B59" s="58"/>
      <c r="C59" s="58"/>
      <c r="D59" s="58"/>
    </row>
    <row r="60" spans="1:4" ht="15.8" customHeight="1" x14ac:dyDescent="0.25">
      <c r="A60" s="57"/>
      <c r="B60" s="58"/>
      <c r="C60" s="58"/>
      <c r="D60" s="58"/>
    </row>
    <row r="61" spans="1:4" ht="15.8" customHeight="1" x14ac:dyDescent="0.3">
      <c r="A61" s="825"/>
      <c r="B61" s="20"/>
      <c r="C61" s="20"/>
      <c r="D61" s="20"/>
    </row>
    <row r="62" spans="1:4" ht="15.8" customHeight="1" x14ac:dyDescent="0.25">
      <c r="A62" s="57"/>
      <c r="B62" s="58"/>
      <c r="C62" s="58"/>
      <c r="D62" s="58"/>
    </row>
    <row r="63" spans="1:4" ht="15.8" customHeight="1" x14ac:dyDescent="0.25">
      <c r="A63" s="57"/>
      <c r="B63" s="58"/>
      <c r="C63" s="58"/>
      <c r="D63" s="58"/>
    </row>
    <row r="64" spans="1:4" ht="15.8" customHeight="1" x14ac:dyDescent="0.25">
      <c r="A64" s="57"/>
      <c r="B64" s="58"/>
      <c r="C64" s="58"/>
      <c r="D64" s="58"/>
    </row>
    <row r="65" spans="1:4" ht="15.8" customHeight="1" x14ac:dyDescent="0.25">
      <c r="A65" s="57"/>
      <c r="B65" s="58"/>
      <c r="C65" s="58"/>
      <c r="D65" s="58"/>
    </row>
    <row r="66" spans="1:4" ht="15.8" customHeight="1" x14ac:dyDescent="0.25">
      <c r="A66" s="57"/>
      <c r="B66" s="58"/>
      <c r="C66" s="58"/>
      <c r="D66" s="58"/>
    </row>
    <row r="67" spans="1:4" ht="15.8" customHeight="1" x14ac:dyDescent="0.25">
      <c r="A67" s="57"/>
      <c r="B67" s="58"/>
      <c r="C67" s="58"/>
      <c r="D67" s="58"/>
    </row>
    <row r="68" spans="1:4" ht="15.8" customHeight="1" x14ac:dyDescent="0.25">
      <c r="A68" s="42"/>
      <c r="B68" s="59"/>
      <c r="C68" s="59"/>
      <c r="D68" s="59"/>
    </row>
    <row r="69" spans="1:4" ht="15.8" customHeight="1" x14ac:dyDescent="0.25">
      <c r="A69" s="42"/>
      <c r="B69" s="59"/>
      <c r="C69" s="59"/>
      <c r="D69" s="59"/>
    </row>
    <row r="70" spans="1:4" ht="15.8" customHeight="1" x14ac:dyDescent="0.25">
      <c r="A70" s="42"/>
      <c r="B70" s="59"/>
      <c r="C70" s="59"/>
      <c r="D70" s="59"/>
    </row>
    <row r="71" spans="1:4" ht="15.8" customHeight="1" x14ac:dyDescent="0.25">
      <c r="A71" s="57"/>
      <c r="B71" s="58"/>
      <c r="C71" s="58"/>
      <c r="D71" s="58"/>
    </row>
    <row r="72" spans="1:4" ht="15.8" customHeight="1" x14ac:dyDescent="0.25">
      <c r="A72" s="57"/>
      <c r="B72" s="58"/>
      <c r="C72" s="58"/>
      <c r="D72" s="58"/>
    </row>
    <row r="73" spans="1:4" ht="15.8" customHeight="1" x14ac:dyDescent="0.3">
      <c r="A73" s="825"/>
      <c r="B73" s="20"/>
      <c r="C73" s="20"/>
      <c r="D73" s="20"/>
    </row>
    <row r="74" spans="1:4" ht="15.8" customHeight="1" x14ac:dyDescent="0.25">
      <c r="A74" s="57"/>
      <c r="B74" s="58"/>
      <c r="C74" s="58"/>
      <c r="D74" s="58"/>
    </row>
    <row r="75" spans="1:4" ht="15.8" customHeight="1" x14ac:dyDescent="0.25">
      <c r="A75" s="57"/>
      <c r="B75" s="58"/>
      <c r="C75" s="58"/>
      <c r="D75" s="58"/>
    </row>
    <row r="76" spans="1:4" ht="15.8" customHeight="1" x14ac:dyDescent="0.3">
      <c r="A76" s="60"/>
      <c r="B76" s="61"/>
      <c r="C76" s="61"/>
      <c r="D76" s="61"/>
    </row>
    <row r="77" spans="1:4" ht="15.8" customHeight="1" x14ac:dyDescent="0.25">
      <c r="A77" s="42"/>
      <c r="B77" s="59"/>
      <c r="C77" s="59"/>
      <c r="D77" s="59"/>
    </row>
    <row r="78" spans="1:4" ht="15.8" customHeight="1" x14ac:dyDescent="0.25">
      <c r="A78" s="42"/>
      <c r="B78" s="59"/>
      <c r="C78" s="59"/>
      <c r="D78" s="59"/>
    </row>
    <row r="79" spans="1:4" ht="15.8" customHeight="1" x14ac:dyDescent="0.3">
      <c r="A79" s="60"/>
      <c r="B79" s="61"/>
      <c r="C79" s="61"/>
      <c r="D79" s="61"/>
    </row>
    <row r="80" spans="1:4" ht="15.8" customHeight="1" x14ac:dyDescent="0.3">
      <c r="A80" s="60"/>
      <c r="B80" s="61"/>
      <c r="C80" s="61"/>
      <c r="D80" s="61"/>
    </row>
    <row r="81" spans="1:4" ht="15.8" customHeight="1" x14ac:dyDescent="0.3">
      <c r="A81" s="60"/>
      <c r="B81" s="61"/>
      <c r="C81" s="61"/>
      <c r="D81" s="61"/>
    </row>
    <row r="82" spans="1:4" ht="15.8" customHeight="1" x14ac:dyDescent="0.3">
      <c r="A82" s="60"/>
      <c r="B82" s="61"/>
      <c r="C82" s="61"/>
      <c r="D82" s="61"/>
    </row>
    <row r="83" spans="1:4" ht="15.8" customHeight="1" x14ac:dyDescent="0.3">
      <c r="A83" s="60"/>
      <c r="B83" s="61"/>
      <c r="C83" s="61"/>
      <c r="D83" s="61"/>
    </row>
    <row r="84" spans="1:4" ht="15.8" customHeight="1" x14ac:dyDescent="0.3">
      <c r="A84" s="825"/>
      <c r="B84" s="20"/>
      <c r="C84" s="20"/>
      <c r="D84" s="20"/>
    </row>
    <row r="85" spans="1:4" ht="15.8" customHeight="1" x14ac:dyDescent="0.3">
      <c r="A85" s="825"/>
      <c r="B85" s="20"/>
      <c r="C85" s="20"/>
      <c r="D85" s="20"/>
    </row>
    <row r="86" spans="1:4" ht="15.8" customHeight="1" x14ac:dyDescent="0.3">
      <c r="A86" s="825"/>
      <c r="B86" s="20"/>
      <c r="C86" s="20"/>
      <c r="D86" s="20"/>
    </row>
    <row r="87" spans="1:4" ht="15.8" customHeight="1" x14ac:dyDescent="0.3">
      <c r="A87" s="825"/>
      <c r="B87" s="20"/>
      <c r="C87" s="20"/>
      <c r="D87" s="20"/>
    </row>
    <row r="88" spans="1:4" ht="15.8" customHeight="1" x14ac:dyDescent="0.3">
      <c r="A88" s="825"/>
      <c r="B88" s="20"/>
      <c r="C88" s="20"/>
      <c r="D88" s="20"/>
    </row>
    <row r="89" spans="1:4" ht="15.8" customHeight="1" x14ac:dyDescent="0.3">
      <c r="A89" s="825"/>
      <c r="B89" s="20"/>
      <c r="C89" s="20"/>
      <c r="D89" s="20"/>
    </row>
    <row r="90" spans="1:4" ht="15.8" customHeight="1" x14ac:dyDescent="0.3">
      <c r="A90" s="825"/>
      <c r="B90" s="20"/>
      <c r="C90" s="20"/>
      <c r="D90" s="20"/>
    </row>
    <row r="91" spans="1:4" ht="15.8" customHeight="1" x14ac:dyDescent="0.3">
      <c r="A91" s="825"/>
      <c r="B91" s="20"/>
      <c r="C91" s="20"/>
      <c r="D91" s="20"/>
    </row>
    <row r="92" spans="1:4" ht="15.8" customHeight="1" x14ac:dyDescent="0.3">
      <c r="A92" s="825"/>
      <c r="B92" s="20"/>
      <c r="C92" s="20"/>
      <c r="D92" s="20"/>
    </row>
    <row r="93" spans="1:4" ht="15.8" customHeight="1" x14ac:dyDescent="0.3">
      <c r="A93" s="825"/>
      <c r="B93" s="20"/>
      <c r="C93" s="20"/>
      <c r="D93" s="20"/>
    </row>
    <row r="94" spans="1:4" ht="15.8" customHeight="1" x14ac:dyDescent="0.3">
      <c r="A94" s="825"/>
      <c r="B94" s="20"/>
      <c r="C94" s="20"/>
      <c r="D94" s="20"/>
    </row>
    <row r="95" spans="1:4" ht="15.8" customHeight="1" x14ac:dyDescent="0.3">
      <c r="A95" s="825"/>
      <c r="B95" s="20"/>
      <c r="C95" s="20"/>
      <c r="D95" s="20"/>
    </row>
    <row r="96" spans="1:4" ht="15.8" customHeight="1" x14ac:dyDescent="0.3">
      <c r="A96" s="825"/>
      <c r="B96" s="20"/>
      <c r="C96" s="20"/>
      <c r="D96" s="20"/>
    </row>
    <row r="97" spans="2:4" ht="15.8" customHeight="1" x14ac:dyDescent="0.3">
      <c r="B97" s="20"/>
      <c r="C97" s="20"/>
      <c r="D97" s="20"/>
    </row>
    <row r="98" spans="2:4" ht="15.8" customHeight="1" x14ac:dyDescent="0.3">
      <c r="B98" s="20"/>
      <c r="C98" s="20"/>
      <c r="D98" s="20"/>
    </row>
    <row r="99" spans="2:4" ht="15.8" customHeight="1" x14ac:dyDescent="0.3">
      <c r="B99" s="20"/>
      <c r="C99" s="20"/>
      <c r="D99" s="20"/>
    </row>
    <row r="100" spans="2:4" ht="15.8" customHeight="1" x14ac:dyDescent="0.3">
      <c r="B100" s="20"/>
      <c r="C100" s="20"/>
      <c r="D100" s="20"/>
    </row>
    <row r="101" spans="2:4" ht="15.8" customHeight="1" x14ac:dyDescent="0.3">
      <c r="B101" s="20"/>
      <c r="C101" s="20"/>
      <c r="D101" s="20"/>
    </row>
    <row r="102" spans="2:4" ht="15.8" customHeight="1" x14ac:dyDescent="0.3">
      <c r="B102" s="20"/>
      <c r="C102" s="20"/>
      <c r="D102" s="20"/>
    </row>
    <row r="103" spans="2:4" ht="15.8" customHeight="1" x14ac:dyDescent="0.3">
      <c r="B103" s="20"/>
      <c r="C103" s="20"/>
      <c r="D103" s="20"/>
    </row>
    <row r="104" spans="2:4" ht="15.8" customHeight="1" x14ac:dyDescent="0.3">
      <c r="B104" s="20"/>
      <c r="C104" s="20"/>
      <c r="D104" s="20"/>
    </row>
    <row r="105" spans="2:4" ht="15.8" customHeight="1" x14ac:dyDescent="0.3">
      <c r="B105" s="20"/>
      <c r="C105" s="20"/>
      <c r="D105" s="20"/>
    </row>
    <row r="106" spans="2:4" ht="15.8" customHeight="1" x14ac:dyDescent="0.3">
      <c r="B106" s="20"/>
      <c r="C106" s="20"/>
      <c r="D106" s="20"/>
    </row>
    <row r="107" spans="2:4" ht="15.8" customHeight="1" x14ac:dyDescent="0.3">
      <c r="B107" s="20"/>
      <c r="C107" s="20"/>
      <c r="D107" s="20"/>
    </row>
    <row r="108" spans="2:4" ht="15.8" customHeight="1" x14ac:dyDescent="0.3">
      <c r="B108" s="20"/>
      <c r="C108" s="20"/>
      <c r="D108" s="20"/>
    </row>
    <row r="109" spans="2:4" ht="15.8" customHeight="1" x14ac:dyDescent="0.3">
      <c r="B109" s="20"/>
      <c r="C109" s="20"/>
      <c r="D109" s="20"/>
    </row>
    <row r="110" spans="2:4" ht="15.8" customHeight="1" x14ac:dyDescent="0.3">
      <c r="B110" s="20"/>
      <c r="C110" s="20"/>
      <c r="D110" s="20"/>
    </row>
    <row r="111" spans="2:4" ht="15.8" customHeight="1" x14ac:dyDescent="0.3">
      <c r="B111" s="20"/>
      <c r="C111" s="20"/>
      <c r="D111" s="20"/>
    </row>
    <row r="112" spans="2:4" ht="15.8" customHeight="1" x14ac:dyDescent="0.3">
      <c r="B112" s="20"/>
      <c r="C112" s="20"/>
      <c r="D112" s="20"/>
    </row>
    <row r="113" spans="2:4" ht="15.8" customHeight="1" x14ac:dyDescent="0.3">
      <c r="B113" s="20"/>
      <c r="C113" s="20"/>
      <c r="D113" s="20"/>
    </row>
    <row r="114" spans="2:4" ht="15.8" customHeight="1" x14ac:dyDescent="0.3">
      <c r="B114" s="20"/>
      <c r="C114" s="20"/>
      <c r="D114" s="20"/>
    </row>
    <row r="115" spans="2:4" ht="15.8" customHeight="1" x14ac:dyDescent="0.3">
      <c r="B115" s="20"/>
      <c r="C115" s="20"/>
      <c r="D115" s="20"/>
    </row>
    <row r="116" spans="2:4" ht="15.8" customHeight="1" x14ac:dyDescent="0.3">
      <c r="B116" s="20"/>
      <c r="C116" s="20"/>
      <c r="D116" s="20"/>
    </row>
    <row r="117" spans="2:4" ht="15.8" customHeight="1" x14ac:dyDescent="0.3">
      <c r="B117" s="20"/>
      <c r="C117" s="20"/>
      <c r="D117" s="20"/>
    </row>
    <row r="118" spans="2:4" ht="15.8" customHeight="1" x14ac:dyDescent="0.3">
      <c r="B118" s="20"/>
      <c r="C118" s="20"/>
      <c r="D118" s="20"/>
    </row>
    <row r="119" spans="2:4" ht="15.8" customHeight="1" x14ac:dyDescent="0.3">
      <c r="B119" s="20"/>
      <c r="C119" s="20"/>
      <c r="D119" s="20"/>
    </row>
    <row r="120" spans="2:4" ht="15.8" customHeight="1" x14ac:dyDescent="0.3">
      <c r="B120" s="20"/>
      <c r="C120" s="20"/>
      <c r="D120" s="20"/>
    </row>
    <row r="121" spans="2:4" ht="15.8" customHeight="1" x14ac:dyDescent="0.3">
      <c r="B121" s="20"/>
      <c r="C121" s="20"/>
      <c r="D121" s="20"/>
    </row>
    <row r="122" spans="2:4" ht="15.8" customHeight="1" x14ac:dyDescent="0.3">
      <c r="B122" s="20"/>
      <c r="C122" s="20"/>
      <c r="D122" s="20"/>
    </row>
    <row r="123" spans="2:4" ht="15.8" customHeight="1" x14ac:dyDescent="0.3">
      <c r="B123" s="20"/>
      <c r="C123" s="20"/>
      <c r="D123" s="20"/>
    </row>
    <row r="124" spans="2:4" ht="15.8" customHeight="1" x14ac:dyDescent="0.3">
      <c r="B124" s="20"/>
      <c r="C124" s="20"/>
      <c r="D124" s="20"/>
    </row>
    <row r="125" spans="2:4" ht="15.8" customHeight="1" x14ac:dyDescent="0.3">
      <c r="B125" s="20"/>
      <c r="C125" s="20"/>
      <c r="D125" s="20"/>
    </row>
    <row r="126" spans="2:4" ht="15.8" customHeight="1" x14ac:dyDescent="0.3">
      <c r="B126" s="20"/>
      <c r="C126" s="20"/>
      <c r="D126" s="20"/>
    </row>
    <row r="127" spans="2:4" ht="15.8" customHeight="1" x14ac:dyDescent="0.3">
      <c r="B127" s="20"/>
      <c r="C127" s="20"/>
      <c r="D127" s="20"/>
    </row>
    <row r="128" spans="2:4" ht="15.8" customHeight="1" x14ac:dyDescent="0.3">
      <c r="B128" s="20"/>
      <c r="C128" s="20"/>
      <c r="D128" s="20"/>
    </row>
    <row r="129" spans="2:4" ht="15.8" customHeight="1" x14ac:dyDescent="0.3">
      <c r="B129" s="20"/>
      <c r="C129" s="20"/>
      <c r="D129" s="20"/>
    </row>
    <row r="130" spans="2:4" ht="15.8" customHeight="1" x14ac:dyDescent="0.3">
      <c r="B130" s="20"/>
      <c r="C130" s="20"/>
      <c r="D130" s="20"/>
    </row>
    <row r="131" spans="2:4" ht="15.8" customHeight="1" x14ac:dyDescent="0.3">
      <c r="B131" s="20"/>
      <c r="C131" s="20"/>
      <c r="D131" s="20"/>
    </row>
    <row r="132" spans="2:4" ht="15.8" customHeight="1" x14ac:dyDescent="0.3">
      <c r="B132" s="20"/>
      <c r="C132" s="20"/>
      <c r="D132" s="20"/>
    </row>
    <row r="133" spans="2:4" ht="15.8" customHeight="1" x14ac:dyDescent="0.3">
      <c r="B133" s="20"/>
      <c r="C133" s="20"/>
      <c r="D133" s="20"/>
    </row>
    <row r="134" spans="2:4" ht="15.8" customHeight="1" x14ac:dyDescent="0.3">
      <c r="B134" s="20"/>
      <c r="C134" s="20"/>
      <c r="D134" s="20"/>
    </row>
    <row r="135" spans="2:4" ht="15.8" customHeight="1" x14ac:dyDescent="0.3">
      <c r="B135" s="20"/>
      <c r="C135" s="20"/>
      <c r="D135" s="20"/>
    </row>
    <row r="136" spans="2:4" ht="15.8" customHeight="1" x14ac:dyDescent="0.3">
      <c r="B136" s="20"/>
      <c r="C136" s="20"/>
      <c r="D136" s="20"/>
    </row>
    <row r="137" spans="2:4" ht="15.8" customHeight="1" x14ac:dyDescent="0.3">
      <c r="B137" s="20"/>
      <c r="C137" s="20"/>
      <c r="D137" s="20"/>
    </row>
    <row r="138" spans="2:4" ht="15.8" customHeight="1" x14ac:dyDescent="0.3">
      <c r="B138" s="20"/>
      <c r="C138" s="20"/>
      <c r="D138" s="20"/>
    </row>
    <row r="139" spans="2:4" ht="15.8" customHeight="1" x14ac:dyDescent="0.3">
      <c r="B139" s="20"/>
      <c r="C139" s="20"/>
      <c r="D139" s="20"/>
    </row>
    <row r="140" spans="2:4" ht="15.8" customHeight="1" x14ac:dyDescent="0.3">
      <c r="B140" s="20"/>
      <c r="C140" s="20"/>
      <c r="D140" s="20"/>
    </row>
    <row r="141" spans="2:4" ht="15.8" customHeight="1" x14ac:dyDescent="0.3">
      <c r="B141" s="20"/>
      <c r="C141" s="20"/>
      <c r="D141" s="20"/>
    </row>
    <row r="142" spans="2:4" ht="15.8" customHeight="1" x14ac:dyDescent="0.3">
      <c r="B142" s="20"/>
      <c r="C142" s="20"/>
      <c r="D142" s="20"/>
    </row>
    <row r="143" spans="2:4" ht="15.8" customHeight="1" x14ac:dyDescent="0.3">
      <c r="B143" s="20"/>
      <c r="C143" s="20"/>
      <c r="D143" s="20"/>
    </row>
    <row r="144" spans="2:4" ht="15.8" customHeight="1" x14ac:dyDescent="0.3">
      <c r="B144" s="20"/>
      <c r="C144" s="20"/>
      <c r="D144" s="20"/>
    </row>
    <row r="145" spans="2:4" ht="15.8" customHeight="1" x14ac:dyDescent="0.3">
      <c r="B145" s="20"/>
      <c r="C145" s="20"/>
      <c r="D145" s="20"/>
    </row>
    <row r="146" spans="2:4" ht="15.8" customHeight="1" x14ac:dyDescent="0.3">
      <c r="B146" s="20"/>
      <c r="C146" s="20"/>
      <c r="D146" s="20"/>
    </row>
    <row r="147" spans="2:4" ht="15.8" customHeight="1" x14ac:dyDescent="0.3">
      <c r="B147" s="20"/>
      <c r="C147" s="20"/>
      <c r="D147" s="20"/>
    </row>
    <row r="148" spans="2:4" ht="15.8" customHeight="1" x14ac:dyDescent="0.3">
      <c r="B148" s="20"/>
      <c r="C148" s="20"/>
      <c r="D148" s="20"/>
    </row>
    <row r="149" spans="2:4" ht="15.8" customHeight="1" x14ac:dyDescent="0.3">
      <c r="B149" s="20"/>
      <c r="C149" s="20"/>
      <c r="D149" s="20"/>
    </row>
    <row r="150" spans="2:4" ht="15.8" customHeight="1" x14ac:dyDescent="0.3">
      <c r="B150" s="20"/>
      <c r="C150" s="20"/>
      <c r="D150" s="20"/>
    </row>
    <row r="151" spans="2:4" ht="15.8" customHeight="1" x14ac:dyDescent="0.3">
      <c r="B151" s="20"/>
      <c r="C151" s="20"/>
      <c r="D151" s="20"/>
    </row>
    <row r="152" spans="2:4" ht="15.8" customHeight="1" x14ac:dyDescent="0.3">
      <c r="B152" s="20"/>
      <c r="C152" s="20"/>
      <c r="D152" s="20"/>
    </row>
    <row r="153" spans="2:4" ht="15.8" customHeight="1" x14ac:dyDescent="0.3">
      <c r="B153" s="20"/>
      <c r="C153" s="20"/>
      <c r="D153" s="20"/>
    </row>
    <row r="154" spans="2:4" ht="15.8" customHeight="1" x14ac:dyDescent="0.3">
      <c r="B154" s="20"/>
      <c r="C154" s="20"/>
      <c r="D154" s="20"/>
    </row>
    <row r="155" spans="2:4" ht="15.8" customHeight="1" x14ac:dyDescent="0.3">
      <c r="B155" s="20"/>
      <c r="C155" s="20"/>
      <c r="D155" s="20"/>
    </row>
    <row r="156" spans="2:4" ht="15.8" customHeight="1" x14ac:dyDescent="0.3">
      <c r="B156" s="20"/>
      <c r="C156" s="20"/>
      <c r="D156" s="20"/>
    </row>
    <row r="157" spans="2:4" ht="15.8" customHeight="1" x14ac:dyDescent="0.3">
      <c r="B157" s="20"/>
      <c r="C157" s="20"/>
      <c r="D157" s="20"/>
    </row>
    <row r="158" spans="2:4" ht="15.8" customHeight="1" x14ac:dyDescent="0.3">
      <c r="B158" s="20"/>
      <c r="C158" s="20"/>
      <c r="D158" s="20"/>
    </row>
    <row r="159" spans="2:4" ht="15.8" customHeight="1" x14ac:dyDescent="0.3">
      <c r="B159" s="20"/>
      <c r="C159" s="20"/>
      <c r="D159" s="20"/>
    </row>
    <row r="160" spans="2:4" ht="15.8" customHeight="1" x14ac:dyDescent="0.3">
      <c r="B160" s="20"/>
      <c r="C160" s="20"/>
      <c r="D160" s="20"/>
    </row>
    <row r="161" spans="2:4" ht="15.8" customHeight="1" x14ac:dyDescent="0.3">
      <c r="B161" s="20"/>
      <c r="C161" s="20"/>
      <c r="D161" s="20"/>
    </row>
    <row r="162" spans="2:4" ht="15.8" customHeight="1" x14ac:dyDescent="0.3">
      <c r="B162" s="20"/>
      <c r="C162" s="20"/>
      <c r="D162" s="20"/>
    </row>
    <row r="163" spans="2:4" ht="15.8" customHeight="1" x14ac:dyDescent="0.3">
      <c r="B163" s="20"/>
      <c r="C163" s="20"/>
      <c r="D163" s="20"/>
    </row>
    <row r="164" spans="2:4" ht="15.8" customHeight="1" x14ac:dyDescent="0.3">
      <c r="B164" s="20"/>
      <c r="C164" s="20"/>
      <c r="D164" s="20"/>
    </row>
    <row r="165" spans="2:4" ht="15.8" customHeight="1" x14ac:dyDescent="0.3">
      <c r="B165" s="20"/>
      <c r="C165" s="20"/>
      <c r="D165" s="20"/>
    </row>
    <row r="166" spans="2:4" ht="15.8" customHeight="1" x14ac:dyDescent="0.3">
      <c r="B166" s="20"/>
      <c r="C166" s="20"/>
      <c r="D166" s="20"/>
    </row>
    <row r="167" spans="2:4" ht="15.8" customHeight="1" x14ac:dyDescent="0.3">
      <c r="B167" s="20"/>
      <c r="C167" s="20"/>
      <c r="D167" s="20"/>
    </row>
    <row r="168" spans="2:4" ht="15.8" customHeight="1" x14ac:dyDescent="0.3">
      <c r="B168" s="20"/>
      <c r="C168" s="20"/>
      <c r="D168" s="20"/>
    </row>
    <row r="169" spans="2:4" ht="15.8" customHeight="1" x14ac:dyDescent="0.3">
      <c r="B169" s="20"/>
      <c r="C169" s="20"/>
      <c r="D169" s="20"/>
    </row>
    <row r="170" spans="2:4" ht="15.8" customHeight="1" x14ac:dyDescent="0.3">
      <c r="B170" s="20"/>
      <c r="C170" s="20"/>
      <c r="D170" s="20"/>
    </row>
    <row r="171" spans="2:4" ht="15.8" customHeight="1" x14ac:dyDescent="0.3">
      <c r="B171" s="20"/>
      <c r="C171" s="20"/>
      <c r="D171" s="20"/>
    </row>
    <row r="172" spans="2:4" ht="15.8" customHeight="1" x14ac:dyDescent="0.3">
      <c r="B172" s="20"/>
      <c r="C172" s="20"/>
      <c r="D172" s="20"/>
    </row>
    <row r="173" spans="2:4" ht="15.8" customHeight="1" x14ac:dyDescent="0.3">
      <c r="B173" s="20"/>
      <c r="C173" s="20"/>
      <c r="D173" s="20"/>
    </row>
    <row r="174" spans="2:4" ht="15.8" customHeight="1" x14ac:dyDescent="0.3">
      <c r="B174" s="20"/>
      <c r="C174" s="20"/>
      <c r="D174" s="20"/>
    </row>
    <row r="175" spans="2:4" ht="15.8" customHeight="1" x14ac:dyDescent="0.3">
      <c r="B175" s="20"/>
      <c r="C175" s="20"/>
      <c r="D175" s="20"/>
    </row>
    <row r="176" spans="2:4" ht="15.8" customHeight="1" x14ac:dyDescent="0.3">
      <c r="B176" s="20"/>
      <c r="C176" s="20"/>
      <c r="D176" s="20"/>
    </row>
    <row r="177" spans="2:4" ht="15.8" customHeight="1" x14ac:dyDescent="0.3">
      <c r="B177" s="20"/>
      <c r="C177" s="20"/>
      <c r="D177" s="20"/>
    </row>
    <row r="178" spans="2:4" ht="15.8" customHeight="1" x14ac:dyDescent="0.3">
      <c r="B178" s="20"/>
      <c r="C178" s="20"/>
      <c r="D178" s="20"/>
    </row>
    <row r="179" spans="2:4" ht="15.8" customHeight="1" x14ac:dyDescent="0.3">
      <c r="B179" s="20"/>
      <c r="C179" s="20"/>
      <c r="D179" s="20"/>
    </row>
    <row r="180" spans="2:4" ht="15.8" customHeight="1" x14ac:dyDescent="0.3">
      <c r="B180" s="20"/>
      <c r="C180" s="20"/>
      <c r="D180" s="20"/>
    </row>
    <row r="181" spans="2:4" ht="15.8" customHeight="1" x14ac:dyDescent="0.3">
      <c r="B181" s="20"/>
      <c r="C181" s="20"/>
      <c r="D181" s="20"/>
    </row>
    <row r="182" spans="2:4" ht="15.8" customHeight="1" x14ac:dyDescent="0.3">
      <c r="B182" s="20"/>
      <c r="C182" s="20"/>
      <c r="D182" s="20"/>
    </row>
    <row r="183" spans="2:4" ht="15.8" customHeight="1" x14ac:dyDescent="0.3">
      <c r="B183" s="20"/>
      <c r="C183" s="20"/>
      <c r="D183" s="20"/>
    </row>
    <row r="184" spans="2:4" ht="15.8" customHeight="1" x14ac:dyDescent="0.3">
      <c r="B184" s="20"/>
      <c r="C184" s="20"/>
      <c r="D184" s="20"/>
    </row>
    <row r="185" spans="2:4" ht="15.8" customHeight="1" x14ac:dyDescent="0.3">
      <c r="B185" s="20"/>
      <c r="C185" s="20"/>
      <c r="D185" s="20"/>
    </row>
    <row r="186" spans="2:4" ht="15.8" customHeight="1" x14ac:dyDescent="0.3">
      <c r="B186" s="20"/>
      <c r="C186" s="20"/>
      <c r="D186" s="20"/>
    </row>
    <row r="187" spans="2:4" ht="15.8" customHeight="1" x14ac:dyDescent="0.3">
      <c r="B187" s="20"/>
      <c r="C187" s="20"/>
      <c r="D187" s="20"/>
    </row>
    <row r="188" spans="2:4" ht="15.8" customHeight="1" x14ac:dyDescent="0.3">
      <c r="B188" s="20"/>
      <c r="C188" s="20"/>
      <c r="D188" s="20"/>
    </row>
    <row r="189" spans="2:4" ht="15.8" customHeight="1" x14ac:dyDescent="0.3">
      <c r="B189" s="20"/>
      <c r="C189" s="20"/>
      <c r="D189" s="20"/>
    </row>
    <row r="190" spans="2:4" ht="15.8" customHeight="1" x14ac:dyDescent="0.3">
      <c r="B190" s="20"/>
      <c r="C190" s="20"/>
      <c r="D190" s="20"/>
    </row>
    <row r="191" spans="2:4" ht="15.8" customHeight="1" x14ac:dyDescent="0.3">
      <c r="B191" s="20"/>
      <c r="C191" s="20"/>
      <c r="D191" s="20"/>
    </row>
    <row r="192" spans="2:4" ht="15.8" customHeight="1" x14ac:dyDescent="0.3">
      <c r="B192" s="20"/>
      <c r="C192" s="20"/>
      <c r="D192" s="20"/>
    </row>
    <row r="193" spans="2:4" ht="15.8" customHeight="1" x14ac:dyDescent="0.3">
      <c r="B193" s="20"/>
      <c r="C193" s="20"/>
      <c r="D193" s="20"/>
    </row>
    <row r="194" spans="2:4" ht="15.8" customHeight="1" x14ac:dyDescent="0.3">
      <c r="B194" s="20"/>
      <c r="C194" s="20"/>
      <c r="D194" s="20"/>
    </row>
    <row r="195" spans="2:4" ht="15.8" customHeight="1" x14ac:dyDescent="0.3">
      <c r="B195" s="20"/>
      <c r="C195" s="20"/>
      <c r="D195" s="20"/>
    </row>
    <row r="196" spans="2:4" ht="15.8" customHeight="1" x14ac:dyDescent="0.3">
      <c r="B196" s="20"/>
      <c r="C196" s="20"/>
      <c r="D196" s="20"/>
    </row>
    <row r="197" spans="2:4" ht="15.8" customHeight="1" x14ac:dyDescent="0.3">
      <c r="B197" s="20"/>
      <c r="C197" s="20"/>
      <c r="D197" s="20"/>
    </row>
    <row r="198" spans="2:4" ht="15.8" customHeight="1" x14ac:dyDescent="0.3">
      <c r="B198" s="20"/>
      <c r="C198" s="20"/>
      <c r="D198" s="20"/>
    </row>
    <row r="199" spans="2:4" ht="15.8" customHeight="1" x14ac:dyDescent="0.3">
      <c r="B199" s="20"/>
      <c r="C199" s="20"/>
      <c r="D199" s="20"/>
    </row>
    <row r="200" spans="2:4" ht="15.8" customHeight="1" x14ac:dyDescent="0.3">
      <c r="B200" s="20"/>
      <c r="C200" s="20"/>
      <c r="D200" s="20"/>
    </row>
    <row r="201" spans="2:4" ht="15.8" customHeight="1" x14ac:dyDescent="0.3">
      <c r="B201" s="20"/>
      <c r="C201" s="20"/>
      <c r="D201" s="20"/>
    </row>
    <row r="202" spans="2:4" ht="15.8" customHeight="1" x14ac:dyDescent="0.3">
      <c r="B202" s="20"/>
      <c r="C202" s="20"/>
      <c r="D202" s="20"/>
    </row>
    <row r="203" spans="2:4" ht="15.8" customHeight="1" x14ac:dyDescent="0.3">
      <c r="B203" s="20"/>
      <c r="C203" s="20"/>
      <c r="D203" s="20"/>
    </row>
    <row r="204" spans="2:4" ht="15.8" customHeight="1" x14ac:dyDescent="0.3">
      <c r="B204" s="20"/>
      <c r="C204" s="20"/>
      <c r="D204" s="20"/>
    </row>
    <row r="205" spans="2:4" ht="15.8" customHeight="1" x14ac:dyDescent="0.3">
      <c r="B205" s="20"/>
      <c r="C205" s="20"/>
      <c r="D205" s="20"/>
    </row>
    <row r="206" spans="2:4" ht="15.8" customHeight="1" x14ac:dyDescent="0.3">
      <c r="B206" s="20"/>
      <c r="C206" s="20"/>
      <c r="D206" s="20"/>
    </row>
    <row r="207" spans="2:4" ht="15.8" customHeight="1" x14ac:dyDescent="0.3">
      <c r="B207" s="20"/>
      <c r="C207" s="20"/>
      <c r="D207" s="20"/>
    </row>
    <row r="208" spans="2:4" ht="15.8" customHeight="1" x14ac:dyDescent="0.3">
      <c r="B208" s="20"/>
      <c r="C208" s="20"/>
      <c r="D208" s="20"/>
    </row>
    <row r="209" spans="2:4" ht="15.8" customHeight="1" x14ac:dyDescent="0.3">
      <c r="B209" s="20"/>
      <c r="C209" s="20"/>
      <c r="D209" s="20"/>
    </row>
    <row r="210" spans="2:4" ht="15.8" customHeight="1" x14ac:dyDescent="0.3">
      <c r="B210" s="20"/>
      <c r="C210" s="20"/>
      <c r="D210" s="20"/>
    </row>
    <row r="211" spans="2:4" ht="15.8" customHeight="1" x14ac:dyDescent="0.3">
      <c r="B211" s="20"/>
      <c r="C211" s="20"/>
      <c r="D211" s="20"/>
    </row>
    <row r="212" spans="2:4" ht="15.8" customHeight="1" x14ac:dyDescent="0.3">
      <c r="B212" s="20"/>
      <c r="C212" s="20"/>
      <c r="D212" s="20"/>
    </row>
    <row r="213" spans="2:4" ht="15.8" customHeight="1" x14ac:dyDescent="0.3">
      <c r="B213" s="20"/>
      <c r="C213" s="20"/>
      <c r="D213" s="20"/>
    </row>
    <row r="214" spans="2:4" ht="15.8" customHeight="1" x14ac:dyDescent="0.3">
      <c r="B214" s="20"/>
      <c r="C214" s="20"/>
      <c r="D214" s="20"/>
    </row>
    <row r="215" spans="2:4" ht="15.8" customHeight="1" x14ac:dyDescent="0.3">
      <c r="B215" s="20"/>
      <c r="C215" s="20"/>
      <c r="D215" s="20"/>
    </row>
    <row r="216" spans="2:4" ht="15.8" customHeight="1" x14ac:dyDescent="0.3">
      <c r="B216" s="20"/>
      <c r="C216" s="20"/>
      <c r="D216" s="20"/>
    </row>
    <row r="217" spans="2:4" ht="15.8" customHeight="1" x14ac:dyDescent="0.3">
      <c r="B217" s="20"/>
      <c r="C217" s="20"/>
      <c r="D217" s="20"/>
    </row>
    <row r="218" spans="2:4" ht="15.8" customHeight="1" x14ac:dyDescent="0.3">
      <c r="B218" s="20"/>
      <c r="C218" s="20"/>
      <c r="D218" s="20"/>
    </row>
    <row r="219" spans="2:4" ht="15.8" customHeight="1" x14ac:dyDescent="0.3">
      <c r="B219" s="20"/>
      <c r="C219" s="20"/>
      <c r="D219" s="20"/>
    </row>
    <row r="220" spans="2:4" ht="15.8" customHeight="1" x14ac:dyDescent="0.3">
      <c r="B220" s="20"/>
      <c r="C220" s="20"/>
      <c r="D220" s="20"/>
    </row>
    <row r="221" spans="2:4" ht="15.8" customHeight="1" x14ac:dyDescent="0.3">
      <c r="B221" s="20"/>
      <c r="C221" s="20"/>
      <c r="D221" s="20"/>
    </row>
    <row r="222" spans="2:4" ht="15.8" customHeight="1" x14ac:dyDescent="0.3">
      <c r="B222" s="20"/>
      <c r="C222" s="20"/>
      <c r="D222" s="20"/>
    </row>
    <row r="223" spans="2:4" ht="15.8" customHeight="1" x14ac:dyDescent="0.3">
      <c r="B223" s="20"/>
      <c r="C223" s="20"/>
      <c r="D223" s="20"/>
    </row>
    <row r="224" spans="2:4" ht="15.8" customHeight="1" x14ac:dyDescent="0.3">
      <c r="B224" s="20"/>
      <c r="C224" s="20"/>
      <c r="D224" s="20"/>
    </row>
    <row r="225" spans="2:4" ht="15.8" customHeight="1" x14ac:dyDescent="0.3">
      <c r="B225" s="20"/>
      <c r="C225" s="20"/>
      <c r="D225" s="20"/>
    </row>
    <row r="226" spans="2:4" ht="15.8" customHeight="1" x14ac:dyDescent="0.3">
      <c r="B226" s="20"/>
      <c r="C226" s="20"/>
      <c r="D226" s="20"/>
    </row>
    <row r="227" spans="2:4" ht="15.8" customHeight="1" x14ac:dyDescent="0.3">
      <c r="B227" s="20"/>
      <c r="C227" s="20"/>
      <c r="D227" s="20"/>
    </row>
    <row r="228" spans="2:4" ht="15.8" customHeight="1" x14ac:dyDescent="0.3">
      <c r="B228" s="20"/>
      <c r="C228" s="20"/>
      <c r="D228" s="20"/>
    </row>
    <row r="229" spans="2:4" ht="15.8" customHeight="1" x14ac:dyDescent="0.3">
      <c r="B229" s="20"/>
      <c r="C229" s="20"/>
      <c r="D229" s="20"/>
    </row>
    <row r="230" spans="2:4" ht="15.8" customHeight="1" x14ac:dyDescent="0.3">
      <c r="B230" s="20"/>
      <c r="C230" s="20"/>
      <c r="D230" s="20"/>
    </row>
    <row r="231" spans="2:4" ht="15.8" customHeight="1" x14ac:dyDescent="0.3">
      <c r="B231" s="20"/>
      <c r="C231" s="20"/>
      <c r="D231" s="20"/>
    </row>
    <row r="232" spans="2:4" ht="15.8" customHeight="1" x14ac:dyDescent="0.3">
      <c r="B232" s="20"/>
      <c r="C232" s="20"/>
      <c r="D232" s="20"/>
    </row>
    <row r="233" spans="2:4" ht="15.8" customHeight="1" x14ac:dyDescent="0.3">
      <c r="B233" s="20"/>
      <c r="C233" s="20"/>
      <c r="D233" s="20"/>
    </row>
    <row r="234" spans="2:4" ht="15.8" customHeight="1" x14ac:dyDescent="0.3">
      <c r="B234" s="20"/>
      <c r="C234" s="20"/>
      <c r="D234" s="20"/>
    </row>
    <row r="235" spans="2:4" ht="15.8" customHeight="1" x14ac:dyDescent="0.3">
      <c r="B235" s="20"/>
      <c r="C235" s="20"/>
      <c r="D235" s="20"/>
    </row>
    <row r="236" spans="2:4" ht="15.8" customHeight="1" x14ac:dyDescent="0.3">
      <c r="B236" s="20"/>
      <c r="C236" s="20"/>
      <c r="D236" s="20"/>
    </row>
    <row r="237" spans="2:4" ht="15.8" customHeight="1" x14ac:dyDescent="0.3">
      <c r="B237" s="20"/>
      <c r="C237" s="20"/>
      <c r="D237" s="20"/>
    </row>
    <row r="238" spans="2:4" ht="15.8" customHeight="1" x14ac:dyDescent="0.3">
      <c r="B238" s="20"/>
      <c r="C238" s="20"/>
      <c r="D238" s="20"/>
    </row>
    <row r="239" spans="2:4" ht="15.8" customHeight="1" x14ac:dyDescent="0.3">
      <c r="B239" s="20"/>
      <c r="C239" s="20"/>
      <c r="D239" s="20"/>
    </row>
    <row r="240" spans="2:4" ht="15.8" customHeight="1" x14ac:dyDescent="0.3">
      <c r="B240" s="20"/>
      <c r="C240" s="20"/>
      <c r="D240" s="20"/>
    </row>
    <row r="241" spans="2:4" ht="15.8" customHeight="1" x14ac:dyDescent="0.3">
      <c r="B241" s="20"/>
      <c r="C241" s="20"/>
      <c r="D241" s="20"/>
    </row>
    <row r="242" spans="2:4" ht="15.8" customHeight="1" x14ac:dyDescent="0.3">
      <c r="B242" s="20"/>
      <c r="C242" s="20"/>
      <c r="D242" s="20"/>
    </row>
    <row r="243" spans="2:4" ht="15.8" customHeight="1" x14ac:dyDescent="0.3">
      <c r="B243" s="20"/>
      <c r="C243" s="20"/>
      <c r="D243" s="20"/>
    </row>
    <row r="244" spans="2:4" ht="15.8" customHeight="1" x14ac:dyDescent="0.3">
      <c r="B244" s="20"/>
      <c r="C244" s="20"/>
      <c r="D244" s="20"/>
    </row>
    <row r="245" spans="2:4" ht="15.8" customHeight="1" x14ac:dyDescent="0.3">
      <c r="B245" s="20"/>
      <c r="C245" s="20"/>
      <c r="D245" s="20"/>
    </row>
    <row r="246" spans="2:4" ht="15.8" customHeight="1" x14ac:dyDescent="0.3">
      <c r="B246" s="20"/>
      <c r="C246" s="20"/>
      <c r="D246" s="20"/>
    </row>
    <row r="247" spans="2:4" ht="15.8" customHeight="1" x14ac:dyDescent="0.3">
      <c r="B247" s="20"/>
      <c r="C247" s="20"/>
      <c r="D247" s="20"/>
    </row>
    <row r="248" spans="2:4" ht="15.8" customHeight="1" x14ac:dyDescent="0.3">
      <c r="B248" s="20"/>
      <c r="C248" s="20"/>
      <c r="D248" s="20"/>
    </row>
    <row r="249" spans="2:4" ht="15.8" customHeight="1" x14ac:dyDescent="0.3">
      <c r="B249" s="20"/>
      <c r="C249" s="20"/>
      <c r="D249" s="20"/>
    </row>
    <row r="250" spans="2:4" ht="15.8" customHeight="1" x14ac:dyDescent="0.3">
      <c r="B250" s="20"/>
      <c r="C250" s="20"/>
      <c r="D250" s="20"/>
    </row>
    <row r="251" spans="2:4" ht="15.8" customHeight="1" x14ac:dyDescent="0.3">
      <c r="B251" s="20"/>
      <c r="C251" s="20"/>
      <c r="D251" s="20"/>
    </row>
    <row r="252" spans="2:4" ht="15.8" customHeight="1" x14ac:dyDescent="0.3">
      <c r="B252" s="20"/>
      <c r="C252" s="20"/>
      <c r="D252" s="20"/>
    </row>
    <row r="253" spans="2:4" ht="15.8" customHeight="1" x14ac:dyDescent="0.3">
      <c r="B253" s="20"/>
      <c r="C253" s="20"/>
      <c r="D253" s="20"/>
    </row>
    <row r="254" spans="2:4" ht="15.8" customHeight="1" x14ac:dyDescent="0.3">
      <c r="B254" s="20"/>
      <c r="C254" s="20"/>
      <c r="D254" s="20"/>
    </row>
    <row r="255" spans="2:4" ht="15.8" customHeight="1" x14ac:dyDescent="0.3">
      <c r="B255" s="20"/>
      <c r="C255" s="20"/>
      <c r="D255" s="20"/>
    </row>
    <row r="256" spans="2:4" ht="15.8" customHeight="1" x14ac:dyDescent="0.3">
      <c r="B256" s="20"/>
      <c r="C256" s="20"/>
      <c r="D256" s="20"/>
    </row>
    <row r="257" spans="2:4" ht="15.8" customHeight="1" x14ac:dyDescent="0.3">
      <c r="B257" s="20"/>
      <c r="C257" s="20"/>
      <c r="D257" s="20"/>
    </row>
    <row r="258" spans="2:4" ht="15.8" customHeight="1" x14ac:dyDescent="0.3">
      <c r="B258" s="20"/>
      <c r="C258" s="20"/>
      <c r="D258" s="20"/>
    </row>
    <row r="259" spans="2:4" ht="15.8" customHeight="1" x14ac:dyDescent="0.3">
      <c r="B259" s="20"/>
      <c r="C259" s="20"/>
      <c r="D259" s="20"/>
    </row>
    <row r="260" spans="2:4" ht="15.8" customHeight="1" x14ac:dyDescent="0.3">
      <c r="B260" s="20"/>
      <c r="C260" s="20"/>
      <c r="D260" s="20"/>
    </row>
    <row r="261" spans="2:4" ht="15.8" customHeight="1" x14ac:dyDescent="0.3">
      <c r="B261" s="20"/>
      <c r="C261" s="20"/>
      <c r="D261" s="20"/>
    </row>
    <row r="262" spans="2:4" ht="15.8" customHeight="1" x14ac:dyDescent="0.3">
      <c r="B262" s="20"/>
      <c r="C262" s="20"/>
      <c r="D262" s="20"/>
    </row>
    <row r="263" spans="2:4" ht="15.8" customHeight="1" x14ac:dyDescent="0.3">
      <c r="B263" s="20"/>
      <c r="C263" s="20"/>
      <c r="D263" s="20"/>
    </row>
    <row r="264" spans="2:4" ht="15.8" customHeight="1" x14ac:dyDescent="0.3">
      <c r="B264" s="20"/>
      <c r="C264" s="20"/>
      <c r="D264" s="20"/>
    </row>
    <row r="265" spans="2:4" ht="15.8" customHeight="1" x14ac:dyDescent="0.3">
      <c r="B265" s="20"/>
      <c r="C265" s="20"/>
      <c r="D265" s="20"/>
    </row>
    <row r="266" spans="2:4" ht="15.8" customHeight="1" x14ac:dyDescent="0.3">
      <c r="B266" s="20"/>
      <c r="C266" s="20"/>
      <c r="D266" s="20"/>
    </row>
    <row r="267" spans="2:4" ht="15.8" customHeight="1" x14ac:dyDescent="0.3">
      <c r="B267" s="20"/>
      <c r="C267" s="20"/>
      <c r="D267" s="20"/>
    </row>
    <row r="268" spans="2:4" ht="15.8" customHeight="1" x14ac:dyDescent="0.3">
      <c r="B268" s="20"/>
      <c r="C268" s="20"/>
      <c r="D268" s="20"/>
    </row>
    <row r="269" spans="2:4" ht="15.8" customHeight="1" x14ac:dyDescent="0.3">
      <c r="B269" s="20"/>
      <c r="C269" s="20"/>
      <c r="D269" s="20"/>
    </row>
    <row r="270" spans="2:4" ht="15.8" customHeight="1" x14ac:dyDescent="0.3">
      <c r="B270" s="20"/>
      <c r="C270" s="20"/>
      <c r="D270" s="20"/>
    </row>
    <row r="271" spans="2:4" ht="15.8" customHeight="1" x14ac:dyDescent="0.3">
      <c r="B271" s="20"/>
      <c r="C271" s="20"/>
      <c r="D271" s="20"/>
    </row>
    <row r="272" spans="2:4" ht="15.8" customHeight="1" x14ac:dyDescent="0.3">
      <c r="B272" s="20"/>
      <c r="C272" s="20"/>
      <c r="D272" s="20"/>
    </row>
    <row r="273" spans="2:4" ht="15.8" customHeight="1" x14ac:dyDescent="0.3">
      <c r="B273" s="20"/>
      <c r="C273" s="20"/>
      <c r="D273" s="20"/>
    </row>
    <row r="274" spans="2:4" ht="15.8" customHeight="1" x14ac:dyDescent="0.3">
      <c r="B274" s="20"/>
      <c r="C274" s="20"/>
      <c r="D274" s="20"/>
    </row>
    <row r="275" spans="2:4" ht="15.8" customHeight="1" x14ac:dyDescent="0.3">
      <c r="B275" s="20"/>
      <c r="C275" s="20"/>
      <c r="D275" s="20"/>
    </row>
    <row r="276" spans="2:4" ht="15.8" customHeight="1" x14ac:dyDescent="0.3">
      <c r="B276" s="20"/>
      <c r="C276" s="20"/>
      <c r="D276" s="20"/>
    </row>
    <row r="277" spans="2:4" ht="15.8" customHeight="1" x14ac:dyDescent="0.3">
      <c r="B277" s="20"/>
      <c r="C277" s="20"/>
      <c r="D277" s="20"/>
    </row>
    <row r="278" spans="2:4" ht="15.8" customHeight="1" x14ac:dyDescent="0.3">
      <c r="B278" s="20"/>
      <c r="C278" s="20"/>
      <c r="D278" s="20"/>
    </row>
    <row r="279" spans="2:4" ht="15.8" customHeight="1" x14ac:dyDescent="0.3">
      <c r="B279" s="20"/>
      <c r="C279" s="20"/>
      <c r="D279" s="20"/>
    </row>
    <row r="280" spans="2:4" ht="15.8" customHeight="1" x14ac:dyDescent="0.3">
      <c r="B280" s="20"/>
      <c r="C280" s="20"/>
      <c r="D280" s="20"/>
    </row>
    <row r="281" spans="2:4" ht="15.8" customHeight="1" x14ac:dyDescent="0.3">
      <c r="B281" s="20"/>
      <c r="C281" s="20"/>
      <c r="D281" s="20"/>
    </row>
    <row r="282" spans="2:4" ht="15.8" customHeight="1" x14ac:dyDescent="0.3">
      <c r="B282" s="20"/>
      <c r="C282" s="20"/>
      <c r="D282" s="20"/>
    </row>
    <row r="283" spans="2:4" ht="15.8" customHeight="1" x14ac:dyDescent="0.3">
      <c r="B283" s="20"/>
      <c r="C283" s="20"/>
      <c r="D283" s="20"/>
    </row>
    <row r="284" spans="2:4" ht="15.8" customHeight="1" x14ac:dyDescent="0.3">
      <c r="B284" s="20"/>
      <c r="C284" s="20"/>
      <c r="D284" s="20"/>
    </row>
    <row r="285" spans="2:4" ht="15.8" customHeight="1" x14ac:dyDescent="0.3">
      <c r="B285" s="20"/>
      <c r="C285" s="20"/>
      <c r="D285" s="20"/>
    </row>
    <row r="286" spans="2:4" ht="15.8" customHeight="1" x14ac:dyDescent="0.3">
      <c r="B286" s="20"/>
      <c r="C286" s="20"/>
      <c r="D286" s="20"/>
    </row>
    <row r="287" spans="2:4" ht="15.8" customHeight="1" x14ac:dyDescent="0.3">
      <c r="B287" s="20"/>
      <c r="C287" s="20"/>
      <c r="D287" s="20"/>
    </row>
    <row r="288" spans="2:4" ht="15.8" customHeight="1" x14ac:dyDescent="0.3">
      <c r="B288" s="20"/>
      <c r="C288" s="20"/>
      <c r="D288" s="20"/>
    </row>
    <row r="289" spans="2:4" ht="15.8" customHeight="1" x14ac:dyDescent="0.3">
      <c r="B289" s="20"/>
      <c r="C289" s="20"/>
      <c r="D289" s="20"/>
    </row>
    <row r="290" spans="2:4" ht="15.8" customHeight="1" x14ac:dyDescent="0.3">
      <c r="B290" s="20"/>
      <c r="C290" s="20"/>
      <c r="D290" s="20"/>
    </row>
    <row r="291" spans="2:4" ht="15.8" customHeight="1" x14ac:dyDescent="0.3">
      <c r="B291" s="20"/>
      <c r="C291" s="20"/>
      <c r="D291" s="20"/>
    </row>
    <row r="292" spans="2:4" ht="15.8" customHeight="1" x14ac:dyDescent="0.3">
      <c r="B292" s="20"/>
      <c r="C292" s="20"/>
      <c r="D292" s="20"/>
    </row>
    <row r="293" spans="2:4" ht="15.8" customHeight="1" x14ac:dyDescent="0.3">
      <c r="B293" s="20"/>
      <c r="C293" s="20"/>
      <c r="D293" s="20"/>
    </row>
    <row r="294" spans="2:4" ht="15.8" customHeight="1" x14ac:dyDescent="0.3">
      <c r="B294" s="20"/>
      <c r="C294" s="20"/>
      <c r="D294" s="20"/>
    </row>
    <row r="295" spans="2:4" ht="15.8" customHeight="1" x14ac:dyDescent="0.3">
      <c r="B295" s="20"/>
      <c r="C295" s="20"/>
      <c r="D295" s="20"/>
    </row>
    <row r="296" spans="2:4" ht="15.8" customHeight="1" x14ac:dyDescent="0.3">
      <c r="B296" s="20"/>
      <c r="C296" s="20"/>
      <c r="D296" s="20"/>
    </row>
    <row r="297" spans="2:4" ht="15.8" customHeight="1" x14ac:dyDescent="0.3">
      <c r="B297" s="20"/>
      <c r="C297" s="20"/>
      <c r="D297" s="20"/>
    </row>
    <row r="298" spans="2:4" ht="15.8" customHeight="1" x14ac:dyDescent="0.3">
      <c r="B298" s="20"/>
      <c r="C298" s="20"/>
      <c r="D298" s="20"/>
    </row>
    <row r="299" spans="2:4" ht="15.8" customHeight="1" x14ac:dyDescent="0.3">
      <c r="B299" s="20"/>
      <c r="C299" s="20"/>
      <c r="D299" s="20"/>
    </row>
    <row r="300" spans="2:4" ht="15.8" customHeight="1" x14ac:dyDescent="0.3">
      <c r="B300" s="20"/>
      <c r="C300" s="20"/>
      <c r="D300" s="20"/>
    </row>
    <row r="301" spans="2:4" ht="15.8" customHeight="1" x14ac:dyDescent="0.3">
      <c r="B301" s="20"/>
      <c r="C301" s="20"/>
      <c r="D301" s="20"/>
    </row>
    <row r="302" spans="2:4" ht="15.8" customHeight="1" x14ac:dyDescent="0.3">
      <c r="B302" s="20"/>
      <c r="C302" s="20"/>
      <c r="D302" s="20"/>
    </row>
    <row r="303" spans="2:4" ht="15.8" customHeight="1" x14ac:dyDescent="0.3">
      <c r="B303" s="20"/>
      <c r="C303" s="20"/>
      <c r="D303" s="20"/>
    </row>
    <row r="304" spans="2:4" ht="15.8" customHeight="1" x14ac:dyDescent="0.3">
      <c r="B304" s="20"/>
      <c r="C304" s="20"/>
      <c r="D304" s="20"/>
    </row>
    <row r="305" spans="2:4" ht="15.8" customHeight="1" x14ac:dyDescent="0.3">
      <c r="B305" s="20"/>
      <c r="C305" s="20"/>
      <c r="D305" s="20"/>
    </row>
    <row r="306" spans="2:4" ht="15.8" customHeight="1" x14ac:dyDescent="0.3">
      <c r="B306" s="20"/>
      <c r="C306" s="20"/>
      <c r="D306" s="20"/>
    </row>
    <row r="307" spans="2:4" ht="15.8" customHeight="1" x14ac:dyDescent="0.3">
      <c r="B307" s="20"/>
      <c r="C307" s="20"/>
      <c r="D307" s="20"/>
    </row>
    <row r="308" spans="2:4" ht="15.8" customHeight="1" x14ac:dyDescent="0.3">
      <c r="B308" s="20"/>
      <c r="C308" s="20"/>
      <c r="D308" s="20"/>
    </row>
    <row r="309" spans="2:4" ht="15.8" customHeight="1" x14ac:dyDescent="0.3">
      <c r="B309" s="20"/>
      <c r="C309" s="20"/>
      <c r="D309" s="20"/>
    </row>
    <row r="310" spans="2:4" ht="15.8" customHeight="1" x14ac:dyDescent="0.3">
      <c r="B310" s="20"/>
      <c r="C310" s="20"/>
      <c r="D310" s="20"/>
    </row>
    <row r="311" spans="2:4" ht="15.8" customHeight="1" x14ac:dyDescent="0.3">
      <c r="B311" s="20"/>
      <c r="C311" s="20"/>
      <c r="D311" s="20"/>
    </row>
    <row r="312" spans="2:4" ht="15.8" customHeight="1" x14ac:dyDescent="0.3">
      <c r="B312" s="20"/>
      <c r="C312" s="20"/>
      <c r="D312" s="20"/>
    </row>
    <row r="313" spans="2:4" ht="15.8" customHeight="1" x14ac:dyDescent="0.3">
      <c r="B313" s="20"/>
      <c r="C313" s="20"/>
      <c r="D313" s="20"/>
    </row>
    <row r="314" spans="2:4" ht="15.8" customHeight="1" x14ac:dyDescent="0.3">
      <c r="B314" s="20"/>
      <c r="C314" s="20"/>
      <c r="D314" s="20"/>
    </row>
    <row r="315" spans="2:4" ht="15.8" customHeight="1" x14ac:dyDescent="0.3">
      <c r="B315" s="20"/>
      <c r="C315" s="20"/>
      <c r="D315" s="20"/>
    </row>
    <row r="316" spans="2:4" ht="15.8" customHeight="1" x14ac:dyDescent="0.3">
      <c r="B316" s="20"/>
      <c r="C316" s="20"/>
      <c r="D316" s="20"/>
    </row>
    <row r="317" spans="2:4" ht="15.8" customHeight="1" x14ac:dyDescent="0.3">
      <c r="B317" s="20"/>
      <c r="C317" s="20"/>
      <c r="D317" s="20"/>
    </row>
    <row r="318" spans="2:4" ht="15.8" customHeight="1" x14ac:dyDescent="0.3">
      <c r="B318" s="20"/>
      <c r="C318" s="20"/>
      <c r="D318" s="20"/>
    </row>
    <row r="319" spans="2:4" ht="15.8" customHeight="1" x14ac:dyDescent="0.3">
      <c r="B319" s="20"/>
      <c r="C319" s="20"/>
      <c r="D319" s="20"/>
    </row>
    <row r="320" spans="2:4" ht="15.8" customHeight="1" x14ac:dyDescent="0.3">
      <c r="B320" s="20"/>
      <c r="C320" s="20"/>
      <c r="D320" s="20"/>
    </row>
    <row r="321" spans="2:4" ht="15.8" customHeight="1" x14ac:dyDescent="0.3">
      <c r="B321" s="20"/>
      <c r="C321" s="20"/>
      <c r="D321" s="20"/>
    </row>
    <row r="322" spans="2:4" ht="15.8" customHeight="1" x14ac:dyDescent="0.3">
      <c r="B322" s="20"/>
      <c r="C322" s="20"/>
      <c r="D322" s="20"/>
    </row>
    <row r="323" spans="2:4" ht="15.8" customHeight="1" x14ac:dyDescent="0.3">
      <c r="B323" s="20"/>
      <c r="C323" s="20"/>
      <c r="D323" s="20"/>
    </row>
    <row r="324" spans="2:4" ht="15.8" customHeight="1" x14ac:dyDescent="0.3">
      <c r="B324" s="20"/>
      <c r="C324" s="20"/>
      <c r="D324" s="20"/>
    </row>
    <row r="325" spans="2:4" ht="15.8" customHeight="1" x14ac:dyDescent="0.3">
      <c r="B325" s="20"/>
      <c r="C325" s="20"/>
      <c r="D325" s="20"/>
    </row>
    <row r="326" spans="2:4" ht="15.8" customHeight="1" x14ac:dyDescent="0.3">
      <c r="B326" s="20"/>
      <c r="C326" s="20"/>
      <c r="D326" s="20"/>
    </row>
    <row r="327" spans="2:4" ht="15.8" customHeight="1" x14ac:dyDescent="0.3">
      <c r="B327" s="20"/>
      <c r="C327" s="20"/>
      <c r="D327" s="20"/>
    </row>
    <row r="328" spans="2:4" ht="15.8" customHeight="1" x14ac:dyDescent="0.3">
      <c r="B328" s="20"/>
      <c r="C328" s="20"/>
      <c r="D328" s="20"/>
    </row>
    <row r="329" spans="2:4" ht="15.8" customHeight="1" x14ac:dyDescent="0.3">
      <c r="B329" s="20"/>
      <c r="C329" s="20"/>
      <c r="D329" s="20"/>
    </row>
    <row r="330" spans="2:4" ht="15.8" customHeight="1" x14ac:dyDescent="0.3">
      <c r="B330" s="20"/>
      <c r="C330" s="20"/>
      <c r="D330" s="20"/>
    </row>
    <row r="331" spans="2:4" ht="15.8" customHeight="1" x14ac:dyDescent="0.3">
      <c r="B331" s="20"/>
      <c r="C331" s="20"/>
      <c r="D331" s="20"/>
    </row>
    <row r="332" spans="2:4" ht="15.8" customHeight="1" x14ac:dyDescent="0.3">
      <c r="B332" s="20"/>
      <c r="C332" s="20"/>
      <c r="D332" s="20"/>
    </row>
    <row r="333" spans="2:4" ht="15.8" customHeight="1" x14ac:dyDescent="0.3">
      <c r="B333" s="20"/>
      <c r="C333" s="20"/>
      <c r="D333" s="20"/>
    </row>
    <row r="334" spans="2:4" ht="15.8" customHeight="1" x14ac:dyDescent="0.3">
      <c r="B334" s="20"/>
      <c r="C334" s="20"/>
      <c r="D334" s="20"/>
    </row>
    <row r="335" spans="2:4" ht="15.8" customHeight="1" x14ac:dyDescent="0.3">
      <c r="B335" s="20"/>
      <c r="C335" s="20"/>
      <c r="D335" s="20"/>
    </row>
    <row r="336" spans="2:4" ht="15.8" customHeight="1" x14ac:dyDescent="0.3">
      <c r="B336" s="20"/>
      <c r="C336" s="20"/>
      <c r="D336" s="20"/>
    </row>
    <row r="337" spans="2:4" ht="15.8" customHeight="1" x14ac:dyDescent="0.3">
      <c r="B337" s="20"/>
      <c r="C337" s="20"/>
      <c r="D337" s="20"/>
    </row>
    <row r="338" spans="2:4" ht="15.8" customHeight="1" x14ac:dyDescent="0.3">
      <c r="B338" s="20"/>
      <c r="C338" s="20"/>
      <c r="D338" s="20"/>
    </row>
    <row r="339" spans="2:4" ht="15.8" customHeight="1" x14ac:dyDescent="0.3">
      <c r="B339" s="20"/>
      <c r="C339" s="20"/>
      <c r="D339" s="20"/>
    </row>
    <row r="340" spans="2:4" ht="15.8" customHeight="1" x14ac:dyDescent="0.3">
      <c r="B340" s="20"/>
      <c r="C340" s="20"/>
      <c r="D340" s="20"/>
    </row>
    <row r="341" spans="2:4" ht="15.8" customHeight="1" x14ac:dyDescent="0.3">
      <c r="B341" s="20"/>
      <c r="C341" s="20"/>
      <c r="D341" s="20"/>
    </row>
    <row r="342" spans="2:4" ht="15.8" customHeight="1" x14ac:dyDescent="0.3">
      <c r="B342" s="20"/>
      <c r="C342" s="20"/>
      <c r="D342" s="20"/>
    </row>
    <row r="343" spans="2:4" ht="15.8" customHeight="1" x14ac:dyDescent="0.3">
      <c r="B343" s="20"/>
      <c r="C343" s="20"/>
      <c r="D343" s="20"/>
    </row>
    <row r="344" spans="2:4" ht="15.8" customHeight="1" x14ac:dyDescent="0.3">
      <c r="B344" s="20"/>
      <c r="C344" s="20"/>
      <c r="D344" s="20"/>
    </row>
    <row r="345" spans="2:4" ht="15.8" customHeight="1" x14ac:dyDescent="0.3">
      <c r="B345" s="20"/>
      <c r="C345" s="20"/>
      <c r="D345" s="20"/>
    </row>
    <row r="346" spans="2:4" ht="15.8" customHeight="1" x14ac:dyDescent="0.3">
      <c r="B346" s="20"/>
      <c r="C346" s="20"/>
      <c r="D346" s="20"/>
    </row>
    <row r="347" spans="2:4" ht="15.8" customHeight="1" x14ac:dyDescent="0.3">
      <c r="B347" s="20"/>
      <c r="C347" s="20"/>
      <c r="D347" s="20"/>
    </row>
    <row r="348" spans="2:4" ht="15.8" customHeight="1" x14ac:dyDescent="0.3">
      <c r="B348" s="20"/>
      <c r="C348" s="20"/>
      <c r="D348" s="20"/>
    </row>
    <row r="349" spans="2:4" ht="15.8" customHeight="1" x14ac:dyDescent="0.3">
      <c r="B349" s="20"/>
      <c r="C349" s="20"/>
      <c r="D349" s="20"/>
    </row>
    <row r="350" spans="2:4" ht="15.8" customHeight="1" x14ac:dyDescent="0.3">
      <c r="B350" s="20"/>
      <c r="C350" s="20"/>
      <c r="D350" s="20"/>
    </row>
    <row r="351" spans="2:4" ht="15.8" customHeight="1" x14ac:dyDescent="0.3">
      <c r="B351" s="20"/>
      <c r="C351" s="20"/>
      <c r="D351" s="20"/>
    </row>
    <row r="352" spans="2:4" ht="15.8" customHeight="1" x14ac:dyDescent="0.3">
      <c r="B352" s="20"/>
      <c r="C352" s="20"/>
      <c r="D352" s="20"/>
    </row>
    <row r="353" spans="2:4" ht="15.8" customHeight="1" x14ac:dyDescent="0.3">
      <c r="B353" s="20"/>
      <c r="C353" s="20"/>
      <c r="D353" s="20"/>
    </row>
    <row r="354" spans="2:4" ht="15.8" customHeight="1" x14ac:dyDescent="0.3">
      <c r="B354" s="20"/>
      <c r="C354" s="20"/>
      <c r="D354" s="20"/>
    </row>
    <row r="355" spans="2:4" ht="15.8" customHeight="1" x14ac:dyDescent="0.3">
      <c r="B355" s="20"/>
      <c r="C355" s="20"/>
      <c r="D355" s="20"/>
    </row>
    <row r="356" spans="2:4" ht="15.8" customHeight="1" x14ac:dyDescent="0.3">
      <c r="B356" s="20"/>
      <c r="C356" s="20"/>
      <c r="D356" s="20"/>
    </row>
    <row r="357" spans="2:4" ht="15.8" customHeight="1" x14ac:dyDescent="0.3">
      <c r="B357" s="20"/>
      <c r="C357" s="20"/>
      <c r="D357" s="20"/>
    </row>
    <row r="358" spans="2:4" ht="15.8" customHeight="1" x14ac:dyDescent="0.3">
      <c r="B358" s="20"/>
      <c r="C358" s="20"/>
      <c r="D358" s="20"/>
    </row>
    <row r="359" spans="2:4" ht="15.8" customHeight="1" x14ac:dyDescent="0.3">
      <c r="B359" s="20"/>
      <c r="C359" s="20"/>
      <c r="D359" s="20"/>
    </row>
    <row r="360" spans="2:4" ht="15.8" customHeight="1" x14ac:dyDescent="0.3">
      <c r="B360" s="20"/>
      <c r="C360" s="20"/>
      <c r="D360" s="20"/>
    </row>
    <row r="361" spans="2:4" ht="15.8" customHeight="1" x14ac:dyDescent="0.3">
      <c r="B361" s="20"/>
      <c r="C361" s="20"/>
      <c r="D361" s="20"/>
    </row>
    <row r="362" spans="2:4" ht="15.8" customHeight="1" x14ac:dyDescent="0.3">
      <c r="B362" s="20"/>
      <c r="C362" s="20"/>
      <c r="D362" s="20"/>
    </row>
    <row r="363" spans="2:4" ht="15.8" customHeight="1" x14ac:dyDescent="0.3">
      <c r="B363" s="20"/>
      <c r="C363" s="20"/>
      <c r="D363" s="20"/>
    </row>
    <row r="364" spans="2:4" ht="15.8" customHeight="1" x14ac:dyDescent="0.3">
      <c r="B364" s="20"/>
      <c r="C364" s="20"/>
      <c r="D364" s="20"/>
    </row>
    <row r="365" spans="2:4" ht="15.8" customHeight="1" x14ac:dyDescent="0.3">
      <c r="B365" s="20"/>
      <c r="C365" s="20"/>
      <c r="D365" s="20"/>
    </row>
    <row r="366" spans="2:4" ht="15.8" customHeight="1" x14ac:dyDescent="0.3">
      <c r="B366" s="20"/>
      <c r="C366" s="20"/>
      <c r="D366" s="20"/>
    </row>
    <row r="367" spans="2:4" ht="15.8" customHeight="1" x14ac:dyDescent="0.3">
      <c r="B367" s="20"/>
      <c r="C367" s="20"/>
      <c r="D367" s="20"/>
    </row>
    <row r="368" spans="2:4" ht="15.8" customHeight="1" x14ac:dyDescent="0.3">
      <c r="B368" s="20"/>
      <c r="C368" s="20"/>
      <c r="D368" s="20"/>
    </row>
    <row r="369" spans="2:4" ht="15.8" customHeight="1" x14ac:dyDescent="0.3">
      <c r="B369" s="20"/>
      <c r="C369" s="20"/>
      <c r="D369" s="20"/>
    </row>
    <row r="370" spans="2:4" ht="15.8" customHeight="1" x14ac:dyDescent="0.3">
      <c r="B370" s="20"/>
      <c r="C370" s="20"/>
      <c r="D370" s="20"/>
    </row>
    <row r="371" spans="2:4" ht="15.8" customHeight="1" x14ac:dyDescent="0.3">
      <c r="B371" s="20"/>
      <c r="C371" s="20"/>
      <c r="D371" s="20"/>
    </row>
    <row r="372" spans="2:4" ht="15.8" customHeight="1" x14ac:dyDescent="0.3">
      <c r="B372" s="20"/>
      <c r="C372" s="20"/>
      <c r="D372" s="20"/>
    </row>
    <row r="373" spans="2:4" ht="15.8" customHeight="1" x14ac:dyDescent="0.3">
      <c r="B373" s="20"/>
      <c r="C373" s="20"/>
      <c r="D373" s="20"/>
    </row>
    <row r="374" spans="2:4" ht="15.8" customHeight="1" x14ac:dyDescent="0.3">
      <c r="B374" s="20"/>
      <c r="C374" s="20"/>
      <c r="D374" s="20"/>
    </row>
    <row r="375" spans="2:4" ht="15.8" customHeight="1" x14ac:dyDescent="0.3">
      <c r="B375" s="20"/>
      <c r="C375" s="20"/>
      <c r="D375" s="20"/>
    </row>
    <row r="376" spans="2:4" ht="15.8" customHeight="1" x14ac:dyDescent="0.3">
      <c r="B376" s="20"/>
      <c r="C376" s="20"/>
      <c r="D376" s="20"/>
    </row>
    <row r="377" spans="2:4" ht="15.8" customHeight="1" x14ac:dyDescent="0.3">
      <c r="B377" s="20"/>
      <c r="C377" s="20"/>
      <c r="D377" s="20"/>
    </row>
    <row r="378" spans="2:4" ht="15.8" customHeight="1" x14ac:dyDescent="0.3">
      <c r="B378" s="20"/>
      <c r="C378" s="20"/>
      <c r="D378" s="20"/>
    </row>
    <row r="379" spans="2:4" ht="15.8" customHeight="1" x14ac:dyDescent="0.3">
      <c r="B379" s="20"/>
      <c r="C379" s="20"/>
      <c r="D379" s="20"/>
    </row>
    <row r="380" spans="2:4" ht="15.8" customHeight="1" x14ac:dyDescent="0.3">
      <c r="B380" s="20"/>
      <c r="C380" s="20"/>
      <c r="D380" s="20"/>
    </row>
    <row r="381" spans="2:4" ht="15.8" customHeight="1" x14ac:dyDescent="0.3">
      <c r="B381" s="20"/>
      <c r="C381" s="20"/>
      <c r="D381" s="20"/>
    </row>
    <row r="382" spans="2:4" ht="15.8" customHeight="1" x14ac:dyDescent="0.3">
      <c r="B382" s="20"/>
      <c r="C382" s="20"/>
      <c r="D382" s="20"/>
    </row>
    <row r="383" spans="2:4" ht="15.8" customHeight="1" x14ac:dyDescent="0.3">
      <c r="B383" s="20"/>
      <c r="C383" s="20"/>
      <c r="D383" s="20"/>
    </row>
    <row r="384" spans="2:4" ht="15.8" customHeight="1" x14ac:dyDescent="0.3">
      <c r="B384" s="20"/>
      <c r="C384" s="20"/>
      <c r="D384" s="20"/>
    </row>
    <row r="385" spans="2:4" ht="15.8" customHeight="1" x14ac:dyDescent="0.3">
      <c r="B385" s="20"/>
      <c r="C385" s="20"/>
      <c r="D385" s="20"/>
    </row>
    <row r="386" spans="2:4" ht="15.8" customHeight="1" x14ac:dyDescent="0.3">
      <c r="B386" s="20"/>
      <c r="C386" s="20"/>
      <c r="D386" s="20"/>
    </row>
    <row r="387" spans="2:4" ht="15.8" customHeight="1" x14ac:dyDescent="0.3">
      <c r="B387" s="20"/>
      <c r="C387" s="20"/>
      <c r="D387" s="20"/>
    </row>
    <row r="388" spans="2:4" ht="15.8" customHeight="1" x14ac:dyDescent="0.3">
      <c r="B388" s="20"/>
      <c r="C388" s="20"/>
      <c r="D388" s="20"/>
    </row>
    <row r="389" spans="2:4" ht="15.8" customHeight="1" x14ac:dyDescent="0.3">
      <c r="B389" s="20"/>
      <c r="C389" s="20"/>
      <c r="D389" s="20"/>
    </row>
    <row r="390" spans="2:4" ht="15.8" customHeight="1" x14ac:dyDescent="0.3">
      <c r="B390" s="20"/>
      <c r="C390" s="20"/>
      <c r="D390" s="20"/>
    </row>
    <row r="391" spans="2:4" ht="15.8" customHeight="1" x14ac:dyDescent="0.3">
      <c r="B391" s="20"/>
      <c r="C391" s="20"/>
      <c r="D391" s="20"/>
    </row>
    <row r="392" spans="2:4" ht="15.8" customHeight="1" x14ac:dyDescent="0.3">
      <c r="B392" s="20"/>
      <c r="C392" s="20"/>
      <c r="D392" s="20"/>
    </row>
    <row r="393" spans="2:4" ht="15.8" customHeight="1" x14ac:dyDescent="0.3">
      <c r="B393" s="20"/>
      <c r="C393" s="20"/>
      <c r="D393" s="20"/>
    </row>
    <row r="394" spans="2:4" ht="15.8" customHeight="1" x14ac:dyDescent="0.3">
      <c r="B394" s="20"/>
      <c r="C394" s="20"/>
      <c r="D394" s="20"/>
    </row>
    <row r="395" spans="2:4" ht="15.8" customHeight="1" x14ac:dyDescent="0.3">
      <c r="B395" s="20"/>
      <c r="C395" s="20"/>
      <c r="D395" s="20"/>
    </row>
    <row r="396" spans="2:4" ht="15.8" customHeight="1" x14ac:dyDescent="0.3">
      <c r="B396" s="20"/>
      <c r="C396" s="20"/>
      <c r="D396" s="20"/>
    </row>
    <row r="397" spans="2:4" ht="15.8" customHeight="1" x14ac:dyDescent="0.3">
      <c r="B397" s="20"/>
      <c r="C397" s="20"/>
      <c r="D397" s="20"/>
    </row>
    <row r="398" spans="2:4" ht="15.8" customHeight="1" x14ac:dyDescent="0.3">
      <c r="B398" s="20"/>
      <c r="C398" s="20"/>
      <c r="D398" s="20"/>
    </row>
    <row r="399" spans="2:4" ht="15.8" customHeight="1" x14ac:dyDescent="0.3">
      <c r="B399" s="20"/>
      <c r="C399" s="20"/>
      <c r="D399" s="20"/>
    </row>
    <row r="400" spans="2:4" ht="15.8" customHeight="1" x14ac:dyDescent="0.3">
      <c r="B400" s="20"/>
      <c r="C400" s="20"/>
      <c r="D400" s="20"/>
    </row>
    <row r="401" spans="2:4" ht="15.8" customHeight="1" x14ac:dyDescent="0.3">
      <c r="B401" s="20"/>
      <c r="C401" s="20"/>
      <c r="D401" s="20"/>
    </row>
    <row r="402" spans="2:4" ht="15.8" customHeight="1" x14ac:dyDescent="0.3">
      <c r="B402" s="20"/>
      <c r="C402" s="20"/>
      <c r="D402" s="20"/>
    </row>
    <row r="403" spans="2:4" ht="15.8" customHeight="1" x14ac:dyDescent="0.3">
      <c r="B403" s="20"/>
      <c r="C403" s="20"/>
      <c r="D403" s="20"/>
    </row>
    <row r="404" spans="2:4" ht="15.8" customHeight="1" x14ac:dyDescent="0.3">
      <c r="B404" s="20"/>
      <c r="C404" s="20"/>
      <c r="D404" s="20"/>
    </row>
    <row r="405" spans="2:4" ht="15.8" customHeight="1" x14ac:dyDescent="0.3">
      <c r="B405" s="20"/>
      <c r="C405" s="20"/>
      <c r="D405" s="20"/>
    </row>
    <row r="406" spans="2:4" ht="15.8" customHeight="1" x14ac:dyDescent="0.3">
      <c r="B406" s="20"/>
      <c r="C406" s="20"/>
      <c r="D406" s="20"/>
    </row>
    <row r="407" spans="2:4" ht="15.8" customHeight="1" x14ac:dyDescent="0.3">
      <c r="B407" s="20"/>
      <c r="C407" s="20"/>
      <c r="D407" s="20"/>
    </row>
    <row r="408" spans="2:4" ht="15.8" customHeight="1" x14ac:dyDescent="0.3">
      <c r="B408" s="20"/>
      <c r="C408" s="20"/>
      <c r="D408" s="20"/>
    </row>
    <row r="409" spans="2:4" ht="15.8" customHeight="1" x14ac:dyDescent="0.3">
      <c r="B409" s="20"/>
      <c r="C409" s="20"/>
      <c r="D409" s="20"/>
    </row>
    <row r="410" spans="2:4" ht="15.8" customHeight="1" x14ac:dyDescent="0.3">
      <c r="B410" s="20"/>
      <c r="C410" s="20"/>
      <c r="D410" s="20"/>
    </row>
    <row r="411" spans="2:4" ht="15.8" customHeight="1" x14ac:dyDescent="0.3">
      <c r="B411" s="20"/>
      <c r="C411" s="20"/>
      <c r="D411" s="20"/>
    </row>
    <row r="412" spans="2:4" ht="15.8" customHeight="1" x14ac:dyDescent="0.3">
      <c r="B412" s="20"/>
      <c r="C412" s="20"/>
      <c r="D412" s="20"/>
    </row>
    <row r="413" spans="2:4" ht="15.8" customHeight="1" x14ac:dyDescent="0.3">
      <c r="B413" s="20"/>
      <c r="C413" s="20"/>
      <c r="D413" s="20"/>
    </row>
    <row r="414" spans="2:4" ht="15.8" customHeight="1" x14ac:dyDescent="0.3">
      <c r="B414" s="20"/>
      <c r="C414" s="20"/>
      <c r="D414" s="20"/>
    </row>
    <row r="415" spans="2:4" ht="15.8" customHeight="1" x14ac:dyDescent="0.3">
      <c r="B415" s="20"/>
      <c r="C415" s="20"/>
      <c r="D415" s="20"/>
    </row>
    <row r="416" spans="2:4" ht="15.8" customHeight="1" x14ac:dyDescent="0.3">
      <c r="B416" s="20"/>
      <c r="C416" s="20"/>
      <c r="D416" s="20"/>
    </row>
    <row r="417" spans="2:4" ht="15.8" customHeight="1" x14ac:dyDescent="0.3">
      <c r="B417" s="20"/>
      <c r="C417" s="20"/>
      <c r="D417" s="20"/>
    </row>
    <row r="418" spans="2:4" ht="15.8" customHeight="1" x14ac:dyDescent="0.3">
      <c r="B418" s="20"/>
      <c r="C418" s="20"/>
      <c r="D418" s="20"/>
    </row>
    <row r="419" spans="2:4" ht="15.8" customHeight="1" x14ac:dyDescent="0.3">
      <c r="B419" s="20"/>
      <c r="C419" s="20"/>
      <c r="D419" s="20"/>
    </row>
    <row r="420" spans="2:4" ht="15.8" customHeight="1" x14ac:dyDescent="0.3">
      <c r="B420" s="20"/>
      <c r="C420" s="20"/>
      <c r="D420" s="20"/>
    </row>
    <row r="421" spans="2:4" ht="15.8" customHeight="1" x14ac:dyDescent="0.3">
      <c r="B421" s="20"/>
      <c r="C421" s="20"/>
      <c r="D421" s="20"/>
    </row>
    <row r="422" spans="2:4" ht="15.8" customHeight="1" x14ac:dyDescent="0.3">
      <c r="B422" s="20"/>
      <c r="C422" s="20"/>
      <c r="D422" s="20"/>
    </row>
    <row r="423" spans="2:4" ht="15.8" customHeight="1" x14ac:dyDescent="0.3">
      <c r="B423" s="20"/>
      <c r="C423" s="20"/>
      <c r="D423" s="20"/>
    </row>
    <row r="424" spans="2:4" ht="15.8" customHeight="1" x14ac:dyDescent="0.3">
      <c r="B424" s="20"/>
      <c r="C424" s="20"/>
      <c r="D424" s="20"/>
    </row>
    <row r="425" spans="2:4" ht="15.8" customHeight="1" x14ac:dyDescent="0.3">
      <c r="B425" s="20"/>
      <c r="C425" s="20"/>
      <c r="D425" s="20"/>
    </row>
    <row r="426" spans="2:4" ht="15.8" customHeight="1" x14ac:dyDescent="0.3">
      <c r="B426" s="20"/>
      <c r="C426" s="20"/>
      <c r="D426" s="20"/>
    </row>
    <row r="427" spans="2:4" ht="15.8" customHeight="1" x14ac:dyDescent="0.3">
      <c r="B427" s="20"/>
      <c r="C427" s="20"/>
      <c r="D427" s="20"/>
    </row>
    <row r="428" spans="2:4" ht="15.8" customHeight="1" x14ac:dyDescent="0.3">
      <c r="B428" s="20"/>
      <c r="C428" s="20"/>
      <c r="D428" s="20"/>
    </row>
    <row r="429" spans="2:4" ht="15.8" customHeight="1" x14ac:dyDescent="0.3">
      <c r="B429" s="20"/>
      <c r="C429" s="20"/>
      <c r="D429" s="20"/>
    </row>
    <row r="430" spans="2:4" ht="15.8" customHeight="1" x14ac:dyDescent="0.3">
      <c r="B430" s="20"/>
      <c r="C430" s="20"/>
      <c r="D430" s="20"/>
    </row>
    <row r="431" spans="2:4" ht="15.8" customHeight="1" x14ac:dyDescent="0.3">
      <c r="B431" s="20"/>
      <c r="C431" s="20"/>
      <c r="D431" s="20"/>
    </row>
    <row r="432" spans="2:4" ht="15.8" customHeight="1" x14ac:dyDescent="0.3">
      <c r="B432" s="20"/>
      <c r="C432" s="20"/>
      <c r="D432" s="20"/>
    </row>
    <row r="433" spans="2:4" ht="15.8" customHeight="1" x14ac:dyDescent="0.3">
      <c r="B433" s="20"/>
      <c r="C433" s="20"/>
      <c r="D433" s="20"/>
    </row>
    <row r="434" spans="2:4" ht="15.8" customHeight="1" x14ac:dyDescent="0.3">
      <c r="B434" s="20"/>
      <c r="C434" s="20"/>
      <c r="D434" s="20"/>
    </row>
    <row r="435" spans="2:4" ht="15.8" customHeight="1" x14ac:dyDescent="0.3">
      <c r="B435" s="20"/>
      <c r="C435" s="20"/>
      <c r="D435" s="20"/>
    </row>
    <row r="436" spans="2:4" ht="15.8" customHeight="1" x14ac:dyDescent="0.3">
      <c r="B436" s="20"/>
      <c r="C436" s="20"/>
      <c r="D436" s="20"/>
    </row>
    <row r="437" spans="2:4" ht="15.8" customHeight="1" x14ac:dyDescent="0.3">
      <c r="B437" s="20"/>
      <c r="C437" s="20"/>
      <c r="D437" s="20"/>
    </row>
    <row r="438" spans="2:4" ht="15.8" customHeight="1" x14ac:dyDescent="0.3">
      <c r="B438" s="20"/>
      <c r="C438" s="20"/>
      <c r="D438" s="20"/>
    </row>
    <row r="439" spans="2:4" ht="15.8" customHeight="1" x14ac:dyDescent="0.3">
      <c r="B439" s="20"/>
      <c r="C439" s="20"/>
      <c r="D439" s="20"/>
    </row>
    <row r="440" spans="2:4" ht="15.8" customHeight="1" x14ac:dyDescent="0.3">
      <c r="B440" s="20"/>
      <c r="C440" s="20"/>
      <c r="D440" s="20"/>
    </row>
    <row r="441" spans="2:4" ht="15.8" customHeight="1" x14ac:dyDescent="0.3">
      <c r="B441" s="20"/>
      <c r="C441" s="20"/>
      <c r="D441" s="20"/>
    </row>
    <row r="442" spans="2:4" ht="15.8" customHeight="1" x14ac:dyDescent="0.3">
      <c r="B442" s="20"/>
      <c r="C442" s="20"/>
      <c r="D442" s="20"/>
    </row>
    <row r="443" spans="2:4" ht="15.8" customHeight="1" x14ac:dyDescent="0.3">
      <c r="B443" s="20"/>
      <c r="C443" s="20"/>
      <c r="D443" s="20"/>
    </row>
    <row r="444" spans="2:4" ht="15.8" customHeight="1" x14ac:dyDescent="0.3">
      <c r="B444" s="20"/>
      <c r="C444" s="20"/>
      <c r="D444" s="20"/>
    </row>
    <row r="445" spans="2:4" ht="15.8" customHeight="1" x14ac:dyDescent="0.3">
      <c r="B445" s="20"/>
      <c r="C445" s="20"/>
      <c r="D445" s="20"/>
    </row>
    <row r="446" spans="2:4" ht="15.8" customHeight="1" x14ac:dyDescent="0.3">
      <c r="B446" s="20"/>
      <c r="C446" s="20"/>
      <c r="D446" s="20"/>
    </row>
    <row r="447" spans="2:4" ht="15.8" customHeight="1" x14ac:dyDescent="0.3">
      <c r="B447" s="20"/>
      <c r="C447" s="20"/>
      <c r="D447" s="20"/>
    </row>
    <row r="448" spans="2:4" ht="15.8" customHeight="1" x14ac:dyDescent="0.3">
      <c r="B448" s="20"/>
      <c r="C448" s="20"/>
      <c r="D448" s="20"/>
    </row>
    <row r="449" spans="2:4" ht="15.8" customHeight="1" x14ac:dyDescent="0.3">
      <c r="B449" s="20"/>
      <c r="C449" s="20"/>
      <c r="D449" s="20"/>
    </row>
    <row r="450" spans="2:4" ht="15.8" customHeight="1" x14ac:dyDescent="0.3">
      <c r="B450" s="20"/>
      <c r="C450" s="20"/>
      <c r="D450" s="20"/>
    </row>
    <row r="451" spans="2:4" ht="15.8" customHeight="1" x14ac:dyDescent="0.3">
      <c r="B451" s="20"/>
      <c r="C451" s="20"/>
      <c r="D451" s="20"/>
    </row>
    <row r="452" spans="2:4" ht="15.8" customHeight="1" x14ac:dyDescent="0.3">
      <c r="B452" s="20"/>
      <c r="C452" s="20"/>
      <c r="D452" s="20"/>
    </row>
    <row r="453" spans="2:4" ht="15.8" customHeight="1" x14ac:dyDescent="0.3">
      <c r="B453" s="20"/>
      <c r="C453" s="20"/>
      <c r="D453" s="20"/>
    </row>
    <row r="454" spans="2:4" ht="15.8" customHeight="1" x14ac:dyDescent="0.3">
      <c r="B454" s="20"/>
      <c r="C454" s="20"/>
      <c r="D454" s="20"/>
    </row>
    <row r="455" spans="2:4" ht="15.8" customHeight="1" x14ac:dyDescent="0.3">
      <c r="B455" s="20"/>
      <c r="C455" s="20"/>
      <c r="D455" s="20"/>
    </row>
    <row r="456" spans="2:4" ht="15.8" customHeight="1" x14ac:dyDescent="0.3">
      <c r="B456" s="20"/>
      <c r="C456" s="20"/>
      <c r="D456" s="20"/>
    </row>
    <row r="457" spans="2:4" ht="15.8" customHeight="1" x14ac:dyDescent="0.3">
      <c r="B457" s="20"/>
      <c r="C457" s="20"/>
      <c r="D457" s="20"/>
    </row>
    <row r="458" spans="2:4" ht="15.8" customHeight="1" x14ac:dyDescent="0.3">
      <c r="B458" s="20"/>
      <c r="C458" s="20"/>
      <c r="D458" s="20"/>
    </row>
    <row r="459" spans="2:4" ht="15.8" customHeight="1" x14ac:dyDescent="0.3">
      <c r="B459" s="20"/>
      <c r="C459" s="20"/>
      <c r="D459" s="20"/>
    </row>
    <row r="460" spans="2:4" ht="15.8" customHeight="1" x14ac:dyDescent="0.3">
      <c r="B460" s="20"/>
      <c r="C460" s="20"/>
      <c r="D460" s="20"/>
    </row>
    <row r="461" spans="2:4" ht="15.8" customHeight="1" x14ac:dyDescent="0.3">
      <c r="B461" s="20"/>
      <c r="C461" s="20"/>
      <c r="D461" s="20"/>
    </row>
    <row r="462" spans="2:4" ht="15.8" customHeight="1" x14ac:dyDescent="0.3">
      <c r="B462" s="20"/>
      <c r="C462" s="20"/>
      <c r="D462" s="20"/>
    </row>
    <row r="463" spans="2:4" ht="15.8" customHeight="1" x14ac:dyDescent="0.3">
      <c r="B463" s="20"/>
      <c r="C463" s="20"/>
      <c r="D463" s="20"/>
    </row>
    <row r="464" spans="2:4" ht="15.8" customHeight="1" x14ac:dyDescent="0.3">
      <c r="B464" s="20"/>
      <c r="C464" s="20"/>
      <c r="D464" s="20"/>
    </row>
    <row r="465" spans="2:4" ht="15.8" customHeight="1" x14ac:dyDescent="0.3">
      <c r="B465" s="20"/>
      <c r="C465" s="20"/>
      <c r="D465" s="20"/>
    </row>
    <row r="466" spans="2:4" ht="15.8" customHeight="1" x14ac:dyDescent="0.3">
      <c r="B466" s="20"/>
      <c r="C466" s="20"/>
      <c r="D466" s="20"/>
    </row>
    <row r="467" spans="2:4" ht="15.8" customHeight="1" x14ac:dyDescent="0.3">
      <c r="B467" s="20"/>
      <c r="C467" s="20"/>
      <c r="D467" s="20"/>
    </row>
    <row r="468" spans="2:4" ht="15.8" customHeight="1" x14ac:dyDescent="0.3">
      <c r="B468" s="20"/>
      <c r="C468" s="20"/>
      <c r="D468" s="20"/>
    </row>
    <row r="469" spans="2:4" ht="15.8" customHeight="1" x14ac:dyDescent="0.3">
      <c r="B469" s="20"/>
      <c r="C469" s="20"/>
      <c r="D469" s="20"/>
    </row>
    <row r="470" spans="2:4" ht="15.8" customHeight="1" x14ac:dyDescent="0.3">
      <c r="B470" s="20"/>
      <c r="C470" s="20"/>
      <c r="D470" s="20"/>
    </row>
    <row r="471" spans="2:4" ht="15.8" customHeight="1" x14ac:dyDescent="0.3">
      <c r="B471" s="20"/>
      <c r="C471" s="20"/>
      <c r="D471" s="20"/>
    </row>
    <row r="472" spans="2:4" ht="15.8" customHeight="1" x14ac:dyDescent="0.3">
      <c r="B472" s="20"/>
      <c r="C472" s="20"/>
      <c r="D472" s="20"/>
    </row>
    <row r="473" spans="2:4" ht="15.8" customHeight="1" x14ac:dyDescent="0.3">
      <c r="B473" s="20"/>
      <c r="C473" s="20"/>
      <c r="D473" s="20"/>
    </row>
    <row r="474" spans="2:4" ht="15.8" customHeight="1" x14ac:dyDescent="0.3">
      <c r="B474" s="20"/>
      <c r="C474" s="20"/>
      <c r="D474" s="20"/>
    </row>
    <row r="475" spans="2:4" ht="15.8" customHeight="1" x14ac:dyDescent="0.3">
      <c r="B475" s="20"/>
      <c r="C475" s="20"/>
      <c r="D475" s="20"/>
    </row>
    <row r="476" spans="2:4" ht="15.8" customHeight="1" x14ac:dyDescent="0.3">
      <c r="B476" s="20"/>
      <c r="C476" s="20"/>
      <c r="D476" s="20"/>
    </row>
    <row r="477" spans="2:4" ht="15.8" customHeight="1" x14ac:dyDescent="0.3">
      <c r="B477" s="20"/>
      <c r="C477" s="20"/>
      <c r="D477" s="20"/>
    </row>
    <row r="478" spans="2:4" ht="15.8" customHeight="1" x14ac:dyDescent="0.3">
      <c r="B478" s="20"/>
      <c r="C478" s="20"/>
      <c r="D478" s="20"/>
    </row>
    <row r="479" spans="2:4" ht="15.8" customHeight="1" x14ac:dyDescent="0.3">
      <c r="B479" s="20"/>
      <c r="C479" s="20"/>
      <c r="D479" s="20"/>
    </row>
    <row r="480" spans="2:4" ht="15.8" customHeight="1" x14ac:dyDescent="0.3">
      <c r="B480" s="20"/>
      <c r="C480" s="20"/>
      <c r="D480" s="20"/>
    </row>
    <row r="481" spans="2:4" ht="15.8" customHeight="1" x14ac:dyDescent="0.3">
      <c r="B481" s="20"/>
      <c r="C481" s="20"/>
      <c r="D481" s="20"/>
    </row>
    <row r="482" spans="2:4" ht="15.8" customHeight="1" x14ac:dyDescent="0.3">
      <c r="B482" s="20"/>
      <c r="C482" s="20"/>
      <c r="D482" s="20"/>
    </row>
    <row r="483" spans="2:4" ht="15.8" customHeight="1" x14ac:dyDescent="0.3">
      <c r="B483" s="20"/>
      <c r="C483" s="20"/>
      <c r="D483" s="20"/>
    </row>
    <row r="484" spans="2:4" ht="15.8" customHeight="1" x14ac:dyDescent="0.3">
      <c r="B484" s="20"/>
      <c r="C484" s="20"/>
      <c r="D484" s="20"/>
    </row>
    <row r="485" spans="2:4" ht="15.8" customHeight="1" x14ac:dyDescent="0.3">
      <c r="B485" s="20"/>
      <c r="C485" s="20"/>
      <c r="D485" s="20"/>
    </row>
    <row r="486" spans="2:4" ht="15.8" customHeight="1" x14ac:dyDescent="0.3">
      <c r="B486" s="20"/>
      <c r="C486" s="20"/>
      <c r="D486" s="20"/>
    </row>
    <row r="487" spans="2:4" ht="15.8" customHeight="1" x14ac:dyDescent="0.3">
      <c r="B487" s="20"/>
      <c r="C487" s="20"/>
      <c r="D487" s="20"/>
    </row>
    <row r="488" spans="2:4" ht="15.8" customHeight="1" x14ac:dyDescent="0.3">
      <c r="B488" s="20"/>
      <c r="C488" s="20"/>
      <c r="D488" s="20"/>
    </row>
    <row r="489" spans="2:4" ht="15.8" customHeight="1" x14ac:dyDescent="0.3">
      <c r="B489" s="20"/>
      <c r="C489" s="20"/>
      <c r="D489" s="20"/>
    </row>
    <row r="490" spans="2:4" ht="15.8" customHeight="1" x14ac:dyDescent="0.3">
      <c r="B490" s="20"/>
      <c r="C490" s="20"/>
      <c r="D490" s="20"/>
    </row>
    <row r="491" spans="2:4" ht="15.8" customHeight="1" x14ac:dyDescent="0.3">
      <c r="B491" s="20"/>
      <c r="C491" s="20"/>
      <c r="D491" s="20"/>
    </row>
    <row r="492" spans="2:4" ht="15.8" customHeight="1" x14ac:dyDescent="0.3">
      <c r="B492" s="20"/>
      <c r="C492" s="20"/>
      <c r="D492" s="20"/>
    </row>
    <row r="493" spans="2:4" ht="15.8" customHeight="1" x14ac:dyDescent="0.3">
      <c r="B493" s="20"/>
      <c r="C493" s="20"/>
      <c r="D493" s="20"/>
    </row>
    <row r="494" spans="2:4" ht="15.8" customHeight="1" x14ac:dyDescent="0.3">
      <c r="B494" s="20"/>
      <c r="C494" s="20"/>
      <c r="D494" s="20"/>
    </row>
    <row r="495" spans="2:4" ht="15.8" customHeight="1" x14ac:dyDescent="0.3">
      <c r="B495" s="20"/>
      <c r="C495" s="20"/>
      <c r="D495" s="20"/>
    </row>
    <row r="496" spans="2:4" ht="15.8" customHeight="1" x14ac:dyDescent="0.3">
      <c r="B496" s="20"/>
      <c r="C496" s="20"/>
      <c r="D496" s="20"/>
    </row>
    <row r="497" spans="2:4" ht="15.8" customHeight="1" x14ac:dyDescent="0.3">
      <c r="B497" s="20"/>
      <c r="C497" s="20"/>
      <c r="D497" s="20"/>
    </row>
    <row r="498" spans="2:4" ht="15.8" customHeight="1" x14ac:dyDescent="0.3">
      <c r="B498" s="20"/>
      <c r="C498" s="20"/>
      <c r="D498" s="20"/>
    </row>
    <row r="499" spans="2:4" ht="15.8" customHeight="1" x14ac:dyDescent="0.3">
      <c r="B499" s="20"/>
      <c r="C499" s="20"/>
      <c r="D499" s="20"/>
    </row>
    <row r="500" spans="2:4" ht="15.8" customHeight="1" x14ac:dyDescent="0.3">
      <c r="B500" s="20"/>
      <c r="C500" s="20"/>
      <c r="D500" s="20"/>
    </row>
    <row r="501" spans="2:4" ht="15.8" customHeight="1" x14ac:dyDescent="0.3">
      <c r="B501" s="20"/>
      <c r="C501" s="20"/>
      <c r="D501" s="20"/>
    </row>
    <row r="502" spans="2:4" ht="15.8" customHeight="1" x14ac:dyDescent="0.3">
      <c r="B502" s="20"/>
      <c r="C502" s="20"/>
      <c r="D502" s="20"/>
    </row>
    <row r="503" spans="2:4" ht="15.8" customHeight="1" x14ac:dyDescent="0.3">
      <c r="B503" s="20"/>
      <c r="C503" s="20"/>
      <c r="D503" s="20"/>
    </row>
    <row r="504" spans="2:4" ht="15.8" customHeight="1" x14ac:dyDescent="0.3">
      <c r="B504" s="20"/>
      <c r="C504" s="20"/>
      <c r="D504" s="20"/>
    </row>
    <row r="505" spans="2:4" ht="15.8" customHeight="1" x14ac:dyDescent="0.3">
      <c r="B505" s="20"/>
      <c r="C505" s="20"/>
      <c r="D505" s="20"/>
    </row>
    <row r="506" spans="2:4" ht="15.8" customHeight="1" x14ac:dyDescent="0.3">
      <c r="B506" s="20"/>
      <c r="C506" s="20"/>
      <c r="D506" s="20"/>
    </row>
    <row r="507" spans="2:4" ht="15.8" customHeight="1" x14ac:dyDescent="0.3">
      <c r="B507" s="20"/>
      <c r="C507" s="20"/>
      <c r="D507" s="20"/>
    </row>
    <row r="508" spans="2:4" ht="15.8" customHeight="1" x14ac:dyDescent="0.3">
      <c r="B508" s="20"/>
      <c r="C508" s="20"/>
      <c r="D508" s="20"/>
    </row>
    <row r="509" spans="2:4" ht="15.8" customHeight="1" x14ac:dyDescent="0.3">
      <c r="B509" s="20"/>
      <c r="C509" s="20"/>
      <c r="D509" s="20"/>
    </row>
    <row r="510" spans="2:4" ht="15.8" customHeight="1" x14ac:dyDescent="0.3">
      <c r="B510" s="20"/>
      <c r="C510" s="20"/>
      <c r="D510" s="20"/>
    </row>
    <row r="511" spans="2:4" ht="15.8" customHeight="1" x14ac:dyDescent="0.3">
      <c r="B511" s="20"/>
      <c r="C511" s="20"/>
      <c r="D511" s="20"/>
    </row>
    <row r="512" spans="2:4" ht="15.8" customHeight="1" x14ac:dyDescent="0.3">
      <c r="B512" s="20"/>
      <c r="C512" s="20"/>
      <c r="D512" s="20"/>
    </row>
    <row r="513" spans="2:4" ht="15.8" customHeight="1" x14ac:dyDescent="0.3">
      <c r="B513" s="20"/>
      <c r="C513" s="20"/>
      <c r="D513" s="20"/>
    </row>
    <row r="514" spans="2:4" ht="15.8" customHeight="1" x14ac:dyDescent="0.3">
      <c r="B514" s="20"/>
      <c r="C514" s="20"/>
      <c r="D514" s="20"/>
    </row>
    <row r="515" spans="2:4" ht="15.8" customHeight="1" x14ac:dyDescent="0.3">
      <c r="B515" s="20"/>
      <c r="C515" s="20"/>
      <c r="D515" s="20"/>
    </row>
    <row r="516" spans="2:4" ht="15.8" customHeight="1" x14ac:dyDescent="0.3">
      <c r="B516" s="20"/>
      <c r="C516" s="20"/>
      <c r="D516" s="20"/>
    </row>
    <row r="517" spans="2:4" ht="15.8" customHeight="1" x14ac:dyDescent="0.3">
      <c r="B517" s="20"/>
      <c r="C517" s="20"/>
      <c r="D517" s="20"/>
    </row>
    <row r="518" spans="2:4" ht="15.8" customHeight="1" x14ac:dyDescent="0.3">
      <c r="B518" s="20"/>
      <c r="C518" s="20"/>
      <c r="D518" s="20"/>
    </row>
    <row r="519" spans="2:4" ht="15.8" customHeight="1" x14ac:dyDescent="0.3">
      <c r="B519" s="20"/>
      <c r="C519" s="20"/>
      <c r="D519" s="20"/>
    </row>
    <row r="520" spans="2:4" ht="15.8" customHeight="1" x14ac:dyDescent="0.3">
      <c r="B520" s="20"/>
      <c r="C520" s="20"/>
      <c r="D520" s="20"/>
    </row>
    <row r="521" spans="2:4" ht="15.8" customHeight="1" x14ac:dyDescent="0.3">
      <c r="B521" s="20"/>
      <c r="C521" s="20"/>
      <c r="D521" s="20"/>
    </row>
    <row r="522" spans="2:4" ht="15.8" customHeight="1" x14ac:dyDescent="0.3">
      <c r="B522" s="20"/>
      <c r="C522" s="20"/>
      <c r="D522" s="20"/>
    </row>
    <row r="523" spans="2:4" ht="15.8" customHeight="1" x14ac:dyDescent="0.3">
      <c r="B523" s="20"/>
      <c r="C523" s="20"/>
      <c r="D523" s="20"/>
    </row>
    <row r="524" spans="2:4" ht="15.8" customHeight="1" x14ac:dyDescent="0.3">
      <c r="B524" s="20"/>
      <c r="C524" s="20"/>
      <c r="D524" s="20"/>
    </row>
    <row r="525" spans="2:4" ht="15.8" customHeight="1" x14ac:dyDescent="0.3">
      <c r="B525" s="20"/>
      <c r="C525" s="20"/>
      <c r="D525" s="20"/>
    </row>
    <row r="526" spans="2:4" ht="15.8" customHeight="1" x14ac:dyDescent="0.3">
      <c r="B526" s="20"/>
      <c r="C526" s="20"/>
      <c r="D526" s="20"/>
    </row>
    <row r="527" spans="2:4" ht="15.8" customHeight="1" x14ac:dyDescent="0.3">
      <c r="B527" s="20"/>
      <c r="C527" s="20"/>
      <c r="D527" s="20"/>
    </row>
    <row r="528" spans="2:4" ht="15.8" customHeight="1" x14ac:dyDescent="0.3">
      <c r="B528" s="20"/>
      <c r="C528" s="20"/>
      <c r="D528" s="20"/>
    </row>
    <row r="529" spans="2:4" ht="15.8" customHeight="1" x14ac:dyDescent="0.3">
      <c r="B529" s="20"/>
      <c r="C529" s="20"/>
      <c r="D529" s="20"/>
    </row>
    <row r="530" spans="2:4" ht="15.8" customHeight="1" x14ac:dyDescent="0.3">
      <c r="B530" s="20"/>
      <c r="C530" s="20"/>
      <c r="D530" s="20"/>
    </row>
    <row r="531" spans="2:4" ht="15.8" customHeight="1" x14ac:dyDescent="0.3">
      <c r="B531" s="20"/>
      <c r="C531" s="20"/>
      <c r="D531" s="20"/>
    </row>
    <row r="532" spans="2:4" ht="15.8" customHeight="1" x14ac:dyDescent="0.3">
      <c r="B532" s="20"/>
      <c r="C532" s="20"/>
      <c r="D532" s="20"/>
    </row>
    <row r="533" spans="2:4" ht="15.8" customHeight="1" x14ac:dyDescent="0.3">
      <c r="B533" s="20"/>
      <c r="C533" s="20"/>
      <c r="D533" s="20"/>
    </row>
    <row r="534" spans="2:4" ht="15.8" customHeight="1" x14ac:dyDescent="0.3">
      <c r="B534" s="20"/>
      <c r="C534" s="20"/>
      <c r="D534" s="20"/>
    </row>
    <row r="535" spans="2:4" ht="15.8" customHeight="1" x14ac:dyDescent="0.3">
      <c r="B535" s="20"/>
      <c r="C535" s="20"/>
      <c r="D535" s="20"/>
    </row>
    <row r="536" spans="2:4" ht="15.8" customHeight="1" x14ac:dyDescent="0.3">
      <c r="B536" s="20"/>
      <c r="C536" s="20"/>
      <c r="D536" s="20"/>
    </row>
    <row r="537" spans="2:4" ht="15.8" customHeight="1" x14ac:dyDescent="0.3">
      <c r="B537" s="20"/>
      <c r="C537" s="20"/>
      <c r="D537" s="20"/>
    </row>
    <row r="538" spans="2:4" ht="15.8" customHeight="1" x14ac:dyDescent="0.3">
      <c r="B538" s="20"/>
      <c r="C538" s="20"/>
      <c r="D538" s="20"/>
    </row>
    <row r="539" spans="2:4" ht="15.8" customHeight="1" x14ac:dyDescent="0.3">
      <c r="B539" s="20"/>
      <c r="C539" s="20"/>
      <c r="D539" s="20"/>
    </row>
    <row r="540" spans="2:4" ht="15.8" customHeight="1" x14ac:dyDescent="0.3">
      <c r="B540" s="20"/>
      <c r="C540" s="20"/>
      <c r="D540" s="20"/>
    </row>
    <row r="541" spans="2:4" ht="15.8" customHeight="1" x14ac:dyDescent="0.3">
      <c r="B541" s="20"/>
      <c r="C541" s="20"/>
      <c r="D541" s="20"/>
    </row>
    <row r="542" spans="2:4" ht="15.8" customHeight="1" x14ac:dyDescent="0.3">
      <c r="B542" s="20"/>
      <c r="C542" s="20"/>
      <c r="D542" s="20"/>
    </row>
    <row r="543" spans="2:4" ht="15.8" customHeight="1" x14ac:dyDescent="0.3">
      <c r="B543" s="20"/>
      <c r="C543" s="20"/>
      <c r="D543" s="20"/>
    </row>
    <row r="544" spans="2:4" ht="15.8" customHeight="1" x14ac:dyDescent="0.3">
      <c r="B544" s="20"/>
      <c r="C544" s="20"/>
      <c r="D544" s="20"/>
    </row>
    <row r="545" spans="2:4" ht="15.8" customHeight="1" x14ac:dyDescent="0.3">
      <c r="B545" s="20"/>
      <c r="C545" s="20"/>
      <c r="D545" s="20"/>
    </row>
    <row r="546" spans="2:4" ht="15.8" customHeight="1" x14ac:dyDescent="0.3">
      <c r="B546" s="20"/>
      <c r="C546" s="20"/>
      <c r="D546" s="20"/>
    </row>
    <row r="547" spans="2:4" ht="15.8" customHeight="1" x14ac:dyDescent="0.3">
      <c r="B547" s="20"/>
      <c r="C547" s="20"/>
      <c r="D547" s="20"/>
    </row>
    <row r="548" spans="2:4" ht="15.8" customHeight="1" x14ac:dyDescent="0.3">
      <c r="B548" s="20"/>
      <c r="C548" s="20"/>
      <c r="D548" s="20"/>
    </row>
    <row r="549" spans="2:4" ht="15.8" customHeight="1" x14ac:dyDescent="0.3">
      <c r="B549" s="20"/>
      <c r="C549" s="20"/>
      <c r="D549" s="20"/>
    </row>
    <row r="550" spans="2:4" ht="15.8" customHeight="1" x14ac:dyDescent="0.3">
      <c r="B550" s="20"/>
      <c r="C550" s="20"/>
      <c r="D550" s="20"/>
    </row>
    <row r="551" spans="2:4" ht="15.8" customHeight="1" x14ac:dyDescent="0.3">
      <c r="B551" s="20"/>
      <c r="C551" s="20"/>
      <c r="D551" s="20"/>
    </row>
    <row r="552" spans="2:4" ht="15.8" customHeight="1" x14ac:dyDescent="0.3">
      <c r="B552" s="20"/>
      <c r="C552" s="20"/>
      <c r="D552" s="20"/>
    </row>
    <row r="553" spans="2:4" ht="15.8" customHeight="1" x14ac:dyDescent="0.3">
      <c r="B553" s="20"/>
      <c r="C553" s="20"/>
      <c r="D553" s="20"/>
    </row>
    <row r="554" spans="2:4" ht="15.8" customHeight="1" x14ac:dyDescent="0.3">
      <c r="B554" s="20"/>
      <c r="C554" s="20"/>
      <c r="D554" s="20"/>
    </row>
    <row r="555" spans="2:4" ht="15.8" customHeight="1" x14ac:dyDescent="0.3">
      <c r="B555" s="20"/>
      <c r="C555" s="20"/>
      <c r="D555" s="20"/>
    </row>
    <row r="556" spans="2:4" ht="15.8" customHeight="1" x14ac:dyDescent="0.3">
      <c r="B556" s="20"/>
      <c r="C556" s="20"/>
      <c r="D556" s="20"/>
    </row>
    <row r="557" spans="2:4" ht="15.8" customHeight="1" x14ac:dyDescent="0.3">
      <c r="B557" s="20"/>
      <c r="C557" s="20"/>
      <c r="D557" s="20"/>
    </row>
    <row r="558" spans="2:4" ht="15.8" customHeight="1" x14ac:dyDescent="0.3">
      <c r="B558" s="20"/>
      <c r="C558" s="20"/>
      <c r="D558" s="20"/>
    </row>
    <row r="559" spans="2:4" ht="15.8" customHeight="1" x14ac:dyDescent="0.3">
      <c r="B559" s="20"/>
      <c r="C559" s="20"/>
      <c r="D559" s="20"/>
    </row>
    <row r="560" spans="2:4" ht="15.8" customHeight="1" x14ac:dyDescent="0.3">
      <c r="B560" s="20"/>
      <c r="C560" s="20"/>
      <c r="D560" s="20"/>
    </row>
    <row r="561" spans="2:4" ht="15.8" customHeight="1" x14ac:dyDescent="0.3">
      <c r="B561" s="20"/>
      <c r="C561" s="20"/>
      <c r="D561" s="20"/>
    </row>
    <row r="562" spans="2:4" ht="15.8" customHeight="1" x14ac:dyDescent="0.3">
      <c r="B562" s="20"/>
      <c r="C562" s="20"/>
      <c r="D562" s="20"/>
    </row>
    <row r="563" spans="2:4" ht="15.8" customHeight="1" x14ac:dyDescent="0.3">
      <c r="B563" s="20"/>
      <c r="C563" s="20"/>
      <c r="D563" s="20"/>
    </row>
    <row r="564" spans="2:4" ht="15.8" customHeight="1" x14ac:dyDescent="0.3">
      <c r="B564" s="20"/>
      <c r="C564" s="20"/>
      <c r="D564" s="20"/>
    </row>
    <row r="565" spans="2:4" ht="15.8" customHeight="1" x14ac:dyDescent="0.3">
      <c r="B565" s="20"/>
      <c r="C565" s="20"/>
      <c r="D565" s="20"/>
    </row>
    <row r="566" spans="2:4" ht="15.8" customHeight="1" x14ac:dyDescent="0.3">
      <c r="B566" s="20"/>
      <c r="C566" s="20"/>
      <c r="D566" s="20"/>
    </row>
    <row r="567" spans="2:4" ht="15.8" customHeight="1" x14ac:dyDescent="0.3">
      <c r="B567" s="20"/>
      <c r="C567" s="20"/>
      <c r="D567" s="20"/>
    </row>
    <row r="568" spans="2:4" ht="15.8" customHeight="1" x14ac:dyDescent="0.3">
      <c r="B568" s="20"/>
      <c r="C568" s="20"/>
      <c r="D568" s="20"/>
    </row>
    <row r="569" spans="2:4" ht="15.8" customHeight="1" x14ac:dyDescent="0.3">
      <c r="B569" s="20"/>
      <c r="C569" s="20"/>
      <c r="D569" s="20"/>
    </row>
    <row r="570" spans="2:4" ht="15.8" customHeight="1" x14ac:dyDescent="0.3">
      <c r="B570" s="20"/>
      <c r="C570" s="20"/>
      <c r="D570" s="20"/>
    </row>
    <row r="571" spans="2:4" ht="15.8" customHeight="1" x14ac:dyDescent="0.3">
      <c r="B571" s="20"/>
      <c r="C571" s="20"/>
      <c r="D571" s="20"/>
    </row>
    <row r="572" spans="2:4" ht="15.8" customHeight="1" x14ac:dyDescent="0.3">
      <c r="B572" s="20"/>
      <c r="C572" s="20"/>
      <c r="D572" s="20"/>
    </row>
    <row r="573" spans="2:4" ht="15.8" customHeight="1" x14ac:dyDescent="0.3">
      <c r="B573" s="20"/>
      <c r="C573" s="20"/>
      <c r="D573" s="20"/>
    </row>
    <row r="574" spans="2:4" ht="15.8" customHeight="1" x14ac:dyDescent="0.3">
      <c r="B574" s="20"/>
      <c r="C574" s="20"/>
      <c r="D574" s="20"/>
    </row>
    <row r="575" spans="2:4" ht="15.8" customHeight="1" x14ac:dyDescent="0.3">
      <c r="B575" s="20"/>
      <c r="C575" s="20"/>
      <c r="D575" s="20"/>
    </row>
    <row r="576" spans="2:4" ht="15.8" customHeight="1" x14ac:dyDescent="0.3">
      <c r="B576" s="20"/>
      <c r="C576" s="20"/>
      <c r="D576" s="20"/>
    </row>
    <row r="577" spans="2:4" ht="15.8" customHeight="1" x14ac:dyDescent="0.3">
      <c r="B577" s="20"/>
      <c r="C577" s="20"/>
      <c r="D577" s="20"/>
    </row>
    <row r="578" spans="2:4" ht="15.8" customHeight="1" x14ac:dyDescent="0.3">
      <c r="B578" s="20"/>
      <c r="C578" s="20"/>
      <c r="D578" s="20"/>
    </row>
    <row r="579" spans="2:4" ht="15.8" customHeight="1" x14ac:dyDescent="0.3">
      <c r="B579" s="20"/>
      <c r="C579" s="20"/>
      <c r="D579" s="20"/>
    </row>
    <row r="580" spans="2:4" ht="15.8" customHeight="1" x14ac:dyDescent="0.3">
      <c r="B580" s="20"/>
      <c r="C580" s="20"/>
      <c r="D580" s="20"/>
    </row>
    <row r="581" spans="2:4" ht="15.8" customHeight="1" x14ac:dyDescent="0.3">
      <c r="B581" s="20"/>
      <c r="C581" s="20"/>
      <c r="D581" s="20"/>
    </row>
    <row r="582" spans="2:4" ht="15.8" customHeight="1" x14ac:dyDescent="0.3">
      <c r="B582" s="20"/>
      <c r="C582" s="20"/>
      <c r="D582" s="20"/>
    </row>
    <row r="583" spans="2:4" ht="15.8" customHeight="1" x14ac:dyDescent="0.3">
      <c r="B583" s="20"/>
      <c r="C583" s="20"/>
      <c r="D583" s="20"/>
    </row>
    <row r="584" spans="2:4" ht="15.8" customHeight="1" x14ac:dyDescent="0.3">
      <c r="B584" s="20"/>
      <c r="C584" s="20"/>
      <c r="D584" s="20"/>
    </row>
    <row r="585" spans="2:4" ht="15.8" customHeight="1" x14ac:dyDescent="0.3">
      <c r="B585" s="20"/>
      <c r="C585" s="20"/>
      <c r="D585" s="20"/>
    </row>
    <row r="586" spans="2:4" ht="15.8" customHeight="1" x14ac:dyDescent="0.3">
      <c r="B586" s="20"/>
      <c r="C586" s="20"/>
      <c r="D586" s="20"/>
    </row>
    <row r="587" spans="2:4" ht="15.8" customHeight="1" x14ac:dyDescent="0.3">
      <c r="B587" s="20"/>
      <c r="C587" s="20"/>
      <c r="D587" s="20"/>
    </row>
    <row r="588" spans="2:4" ht="15.8" customHeight="1" x14ac:dyDescent="0.3">
      <c r="B588" s="20"/>
      <c r="C588" s="20"/>
      <c r="D588" s="20"/>
    </row>
    <row r="589" spans="2:4" ht="15.8" customHeight="1" x14ac:dyDescent="0.3">
      <c r="B589" s="20"/>
      <c r="C589" s="20"/>
      <c r="D589" s="20"/>
    </row>
    <row r="590" spans="2:4" ht="15.8" customHeight="1" x14ac:dyDescent="0.3">
      <c r="B590" s="20"/>
      <c r="C590" s="20"/>
      <c r="D590" s="20"/>
    </row>
    <row r="591" spans="2:4" ht="15.8" customHeight="1" x14ac:dyDescent="0.3">
      <c r="B591" s="20"/>
      <c r="C591" s="20"/>
      <c r="D591" s="20"/>
    </row>
    <row r="592" spans="2:4" ht="15.8" customHeight="1" x14ac:dyDescent="0.3">
      <c r="B592" s="20"/>
      <c r="C592" s="20"/>
      <c r="D592" s="20"/>
    </row>
    <row r="593" spans="2:4" ht="15.8" customHeight="1" x14ac:dyDescent="0.3">
      <c r="B593" s="20"/>
      <c r="C593" s="20"/>
      <c r="D593" s="20"/>
    </row>
    <row r="594" spans="2:4" ht="15.8" customHeight="1" x14ac:dyDescent="0.3">
      <c r="B594" s="20"/>
      <c r="C594" s="20"/>
      <c r="D594" s="20"/>
    </row>
    <row r="595" spans="2:4" ht="15.8" customHeight="1" x14ac:dyDescent="0.3">
      <c r="B595" s="20"/>
      <c r="C595" s="20"/>
      <c r="D595" s="20"/>
    </row>
    <row r="596" spans="2:4" ht="15.8" customHeight="1" x14ac:dyDescent="0.3">
      <c r="B596" s="20"/>
      <c r="C596" s="20"/>
      <c r="D596" s="20"/>
    </row>
    <row r="597" spans="2:4" ht="15.8" customHeight="1" x14ac:dyDescent="0.3">
      <c r="B597" s="20"/>
      <c r="C597" s="20"/>
      <c r="D597" s="20"/>
    </row>
    <row r="598" spans="2:4" ht="15.8" customHeight="1" x14ac:dyDescent="0.3">
      <c r="B598" s="20"/>
      <c r="C598" s="20"/>
      <c r="D598" s="20"/>
    </row>
    <row r="599" spans="2:4" ht="15.8" customHeight="1" x14ac:dyDescent="0.3">
      <c r="B599" s="20"/>
      <c r="C599" s="20"/>
      <c r="D599" s="20"/>
    </row>
    <row r="600" spans="2:4" ht="15.8" customHeight="1" x14ac:dyDescent="0.3">
      <c r="B600" s="20"/>
      <c r="C600" s="20"/>
      <c r="D600" s="20"/>
    </row>
    <row r="601" spans="2:4" ht="15.8" customHeight="1" x14ac:dyDescent="0.3">
      <c r="B601" s="20"/>
      <c r="C601" s="20"/>
      <c r="D601" s="20"/>
    </row>
    <row r="602" spans="2:4" ht="15.8" customHeight="1" x14ac:dyDescent="0.3">
      <c r="B602" s="20"/>
      <c r="C602" s="20"/>
      <c r="D602" s="20"/>
    </row>
    <row r="603" spans="2:4" ht="15.8" customHeight="1" x14ac:dyDescent="0.3">
      <c r="B603" s="20"/>
      <c r="C603" s="20"/>
      <c r="D603" s="20"/>
    </row>
    <row r="604" spans="2:4" ht="15.8" customHeight="1" x14ac:dyDescent="0.3">
      <c r="B604" s="20"/>
      <c r="C604" s="20"/>
      <c r="D604" s="20"/>
    </row>
    <row r="605" spans="2:4" ht="15.8" customHeight="1" x14ac:dyDescent="0.3">
      <c r="B605" s="20"/>
      <c r="C605" s="20"/>
      <c r="D605" s="20"/>
    </row>
    <row r="606" spans="2:4" ht="15.8" customHeight="1" x14ac:dyDescent="0.3">
      <c r="B606" s="20"/>
      <c r="C606" s="20"/>
      <c r="D606" s="20"/>
    </row>
    <row r="607" spans="2:4" ht="15.8" customHeight="1" x14ac:dyDescent="0.3">
      <c r="B607" s="20"/>
      <c r="C607" s="20"/>
      <c r="D607" s="20"/>
    </row>
    <row r="608" spans="2:4" ht="15.8" customHeight="1" x14ac:dyDescent="0.3">
      <c r="B608" s="20"/>
      <c r="C608" s="20"/>
      <c r="D608" s="20"/>
    </row>
    <row r="609" spans="2:4" ht="15.8" customHeight="1" x14ac:dyDescent="0.3">
      <c r="B609" s="20"/>
      <c r="C609" s="20"/>
      <c r="D609" s="20"/>
    </row>
    <row r="610" spans="2:4" ht="15.8" customHeight="1" x14ac:dyDescent="0.3">
      <c r="B610" s="20"/>
      <c r="C610" s="20"/>
      <c r="D610" s="20"/>
    </row>
    <row r="611" spans="2:4" ht="15.8" customHeight="1" x14ac:dyDescent="0.3">
      <c r="B611" s="20"/>
      <c r="C611" s="20"/>
      <c r="D611" s="20"/>
    </row>
    <row r="612" spans="2:4" ht="15.8" customHeight="1" x14ac:dyDescent="0.3">
      <c r="B612" s="20"/>
      <c r="C612" s="20"/>
      <c r="D612" s="20"/>
    </row>
    <row r="613" spans="2:4" ht="15.8" customHeight="1" x14ac:dyDescent="0.3">
      <c r="B613" s="20"/>
      <c r="C613" s="20"/>
      <c r="D613" s="20"/>
    </row>
    <row r="614" spans="2:4" ht="15.8" customHeight="1" x14ac:dyDescent="0.3">
      <c r="B614" s="20"/>
      <c r="C614" s="20"/>
      <c r="D614" s="20"/>
    </row>
    <row r="615" spans="2:4" ht="15.8" customHeight="1" x14ac:dyDescent="0.3">
      <c r="B615" s="20"/>
      <c r="C615" s="20"/>
      <c r="D615" s="20"/>
    </row>
    <row r="616" spans="2:4" ht="15.8" customHeight="1" x14ac:dyDescent="0.3">
      <c r="B616" s="20"/>
      <c r="C616" s="20"/>
      <c r="D616" s="20"/>
    </row>
    <row r="617" spans="2:4" ht="15.8" customHeight="1" x14ac:dyDescent="0.3">
      <c r="B617" s="20"/>
      <c r="C617" s="20"/>
      <c r="D617" s="20"/>
    </row>
    <row r="618" spans="2:4" ht="15.8" customHeight="1" x14ac:dyDescent="0.3">
      <c r="B618" s="20"/>
      <c r="C618" s="20"/>
      <c r="D618" s="20"/>
    </row>
    <row r="619" spans="2:4" ht="15.8" customHeight="1" x14ac:dyDescent="0.3">
      <c r="B619" s="20"/>
      <c r="C619" s="20"/>
      <c r="D619" s="20"/>
    </row>
    <row r="620" spans="2:4" ht="15.8" customHeight="1" x14ac:dyDescent="0.3">
      <c r="B620" s="20"/>
      <c r="C620" s="20"/>
      <c r="D620" s="20"/>
    </row>
    <row r="621" spans="2:4" ht="15.8" customHeight="1" x14ac:dyDescent="0.3">
      <c r="B621" s="20"/>
      <c r="C621" s="20"/>
      <c r="D621" s="20"/>
    </row>
    <row r="622" spans="2:4" ht="15.8" customHeight="1" x14ac:dyDescent="0.3">
      <c r="B622" s="20"/>
      <c r="C622" s="20"/>
      <c r="D622" s="20"/>
    </row>
    <row r="623" spans="2:4" ht="15.8" customHeight="1" x14ac:dyDescent="0.3">
      <c r="B623" s="20"/>
      <c r="C623" s="20"/>
      <c r="D623" s="20"/>
    </row>
    <row r="624" spans="2:4" ht="15.8" customHeight="1" x14ac:dyDescent="0.3">
      <c r="B624" s="20"/>
      <c r="C624" s="20"/>
      <c r="D624" s="20"/>
    </row>
    <row r="625" spans="2:4" ht="15.8" customHeight="1" x14ac:dyDescent="0.3">
      <c r="B625" s="20"/>
      <c r="C625" s="20"/>
      <c r="D625" s="20"/>
    </row>
    <row r="626" spans="2:4" ht="15.8" customHeight="1" x14ac:dyDescent="0.3">
      <c r="B626" s="20"/>
      <c r="C626" s="20"/>
      <c r="D626" s="20"/>
    </row>
    <row r="627" spans="2:4" ht="15.8" customHeight="1" x14ac:dyDescent="0.3">
      <c r="B627" s="20"/>
      <c r="C627" s="20"/>
      <c r="D627" s="20"/>
    </row>
    <row r="628" spans="2:4" ht="15.8" customHeight="1" x14ac:dyDescent="0.3">
      <c r="B628" s="20"/>
      <c r="C628" s="20"/>
      <c r="D628" s="20"/>
    </row>
    <row r="629" spans="2:4" ht="15.8" customHeight="1" x14ac:dyDescent="0.3">
      <c r="B629" s="20"/>
      <c r="C629" s="20"/>
      <c r="D629" s="20"/>
    </row>
    <row r="630" spans="2:4" ht="15.8" customHeight="1" x14ac:dyDescent="0.3">
      <c r="B630" s="20"/>
      <c r="C630" s="20"/>
      <c r="D630" s="20"/>
    </row>
    <row r="631" spans="2:4" ht="15.8" customHeight="1" x14ac:dyDescent="0.3">
      <c r="B631" s="20"/>
      <c r="C631" s="20"/>
      <c r="D631" s="20"/>
    </row>
    <row r="632" spans="2:4" ht="15.8" customHeight="1" x14ac:dyDescent="0.3">
      <c r="B632" s="20"/>
      <c r="C632" s="20"/>
      <c r="D632" s="20"/>
    </row>
    <row r="633" spans="2:4" ht="15.8" customHeight="1" x14ac:dyDescent="0.3">
      <c r="B633" s="20"/>
      <c r="C633" s="20"/>
      <c r="D633" s="20"/>
    </row>
    <row r="634" spans="2:4" ht="15.8" customHeight="1" x14ac:dyDescent="0.3">
      <c r="B634" s="20"/>
      <c r="C634" s="20"/>
      <c r="D634" s="20"/>
    </row>
    <row r="635" spans="2:4" ht="15.8" customHeight="1" x14ac:dyDescent="0.3">
      <c r="B635" s="20"/>
      <c r="C635" s="20"/>
      <c r="D635" s="20"/>
    </row>
    <row r="636" spans="2:4" ht="15.8" customHeight="1" x14ac:dyDescent="0.3">
      <c r="B636" s="20"/>
      <c r="C636" s="20"/>
      <c r="D636" s="20"/>
    </row>
    <row r="637" spans="2:4" ht="15.8" customHeight="1" x14ac:dyDescent="0.3">
      <c r="B637" s="20"/>
      <c r="C637" s="20"/>
      <c r="D637" s="20"/>
    </row>
    <row r="638" spans="2:4" ht="15.8" customHeight="1" x14ac:dyDescent="0.3">
      <c r="B638" s="20"/>
      <c r="C638" s="20"/>
      <c r="D638" s="20"/>
    </row>
    <row r="639" spans="2:4" ht="15.8" customHeight="1" x14ac:dyDescent="0.3">
      <c r="B639" s="20"/>
      <c r="C639" s="20"/>
      <c r="D639" s="20"/>
    </row>
    <row r="640" spans="2:4" ht="15.8" customHeight="1" x14ac:dyDescent="0.3">
      <c r="B640" s="20"/>
      <c r="C640" s="20"/>
      <c r="D640" s="20"/>
    </row>
    <row r="641" spans="2:4" ht="15.8" customHeight="1" x14ac:dyDescent="0.3">
      <c r="B641" s="20"/>
      <c r="C641" s="20"/>
      <c r="D641" s="20"/>
    </row>
    <row r="642" spans="2:4" ht="15.8" customHeight="1" x14ac:dyDescent="0.3">
      <c r="B642" s="20"/>
      <c r="C642" s="20"/>
      <c r="D642" s="20"/>
    </row>
    <row r="643" spans="2:4" ht="15.8" customHeight="1" x14ac:dyDescent="0.3">
      <c r="B643" s="20"/>
      <c r="C643" s="20"/>
      <c r="D643" s="20"/>
    </row>
    <row r="644" spans="2:4" ht="15.8" customHeight="1" x14ac:dyDescent="0.3">
      <c r="B644" s="20"/>
      <c r="C644" s="20"/>
      <c r="D644" s="20"/>
    </row>
    <row r="645" spans="2:4" ht="15.8" customHeight="1" x14ac:dyDescent="0.3">
      <c r="B645" s="20"/>
      <c r="C645" s="20"/>
      <c r="D645" s="20"/>
    </row>
    <row r="646" spans="2:4" ht="15.8" customHeight="1" x14ac:dyDescent="0.3">
      <c r="B646" s="20"/>
      <c r="C646" s="20"/>
      <c r="D646" s="20"/>
    </row>
    <row r="647" spans="2:4" ht="15.8" customHeight="1" x14ac:dyDescent="0.3">
      <c r="B647" s="20"/>
      <c r="C647" s="20"/>
      <c r="D647" s="20"/>
    </row>
    <row r="648" spans="2:4" ht="15.8" customHeight="1" x14ac:dyDescent="0.3">
      <c r="B648" s="20"/>
      <c r="C648" s="20"/>
      <c r="D648" s="20"/>
    </row>
    <row r="649" spans="2:4" ht="15.8" customHeight="1" x14ac:dyDescent="0.3">
      <c r="B649" s="20"/>
      <c r="C649" s="20"/>
      <c r="D649" s="20"/>
    </row>
    <row r="650" spans="2:4" ht="15.8" customHeight="1" x14ac:dyDescent="0.3">
      <c r="B650" s="20"/>
      <c r="C650" s="20"/>
      <c r="D650" s="20"/>
    </row>
    <row r="651" spans="2:4" ht="15.8" customHeight="1" x14ac:dyDescent="0.3">
      <c r="B651" s="20"/>
      <c r="C651" s="20"/>
      <c r="D651" s="20"/>
    </row>
    <row r="652" spans="2:4" ht="15.8" customHeight="1" x14ac:dyDescent="0.3">
      <c r="B652" s="20"/>
      <c r="C652" s="20"/>
      <c r="D652" s="20"/>
    </row>
    <row r="653" spans="2:4" ht="15.8" customHeight="1" x14ac:dyDescent="0.3">
      <c r="B653" s="20"/>
      <c r="C653" s="20"/>
      <c r="D653" s="20"/>
    </row>
    <row r="654" spans="2:4" ht="15.8" customHeight="1" x14ac:dyDescent="0.3">
      <c r="B654" s="20"/>
      <c r="C654" s="20"/>
      <c r="D654" s="20"/>
    </row>
    <row r="655" spans="2:4" ht="15.8" customHeight="1" x14ac:dyDescent="0.3">
      <c r="B655" s="20"/>
      <c r="C655" s="20"/>
      <c r="D655" s="20"/>
    </row>
    <row r="656" spans="2:4" ht="15.8" customHeight="1" x14ac:dyDescent="0.3">
      <c r="B656" s="20"/>
      <c r="C656" s="20"/>
      <c r="D656" s="20"/>
    </row>
    <row r="657" spans="2:4" ht="15.8" customHeight="1" x14ac:dyDescent="0.3">
      <c r="B657" s="20"/>
      <c r="C657" s="20"/>
      <c r="D657" s="20"/>
    </row>
    <row r="658" spans="2:4" ht="15.8" customHeight="1" x14ac:dyDescent="0.3">
      <c r="B658" s="20"/>
      <c r="C658" s="20"/>
      <c r="D658" s="20"/>
    </row>
    <row r="659" spans="2:4" ht="15.8" customHeight="1" x14ac:dyDescent="0.3">
      <c r="B659" s="20"/>
      <c r="C659" s="20"/>
      <c r="D659" s="20"/>
    </row>
    <row r="660" spans="2:4" ht="15.8" customHeight="1" x14ac:dyDescent="0.3">
      <c r="B660" s="20"/>
      <c r="C660" s="20"/>
      <c r="D660" s="20"/>
    </row>
    <row r="661" spans="2:4" ht="15.8" customHeight="1" x14ac:dyDescent="0.3">
      <c r="B661" s="20"/>
      <c r="C661" s="20"/>
      <c r="D661" s="20"/>
    </row>
    <row r="662" spans="2:4" ht="15.8" customHeight="1" x14ac:dyDescent="0.3">
      <c r="B662" s="20"/>
      <c r="C662" s="20"/>
      <c r="D662" s="20"/>
    </row>
    <row r="663" spans="2:4" ht="15.8" customHeight="1" x14ac:dyDescent="0.3">
      <c r="B663" s="20"/>
      <c r="C663" s="20"/>
      <c r="D663" s="20"/>
    </row>
    <row r="664" spans="2:4" ht="15.8" customHeight="1" x14ac:dyDescent="0.3">
      <c r="B664" s="20"/>
      <c r="C664" s="20"/>
      <c r="D664" s="20"/>
    </row>
    <row r="665" spans="2:4" ht="15.8" customHeight="1" x14ac:dyDescent="0.3">
      <c r="B665" s="20"/>
      <c r="C665" s="20"/>
      <c r="D665" s="20"/>
    </row>
    <row r="666" spans="2:4" ht="15.8" customHeight="1" x14ac:dyDescent="0.3">
      <c r="B666" s="20"/>
      <c r="C666" s="20"/>
      <c r="D666" s="20"/>
    </row>
    <row r="667" spans="2:4" ht="15.8" customHeight="1" x14ac:dyDescent="0.3">
      <c r="B667" s="20"/>
      <c r="C667" s="20"/>
      <c r="D667" s="20"/>
    </row>
    <row r="668" spans="2:4" ht="15.8" customHeight="1" x14ac:dyDescent="0.3">
      <c r="B668" s="20"/>
      <c r="C668" s="20"/>
      <c r="D668" s="20"/>
    </row>
    <row r="669" spans="2:4" ht="15.8" customHeight="1" x14ac:dyDescent="0.3">
      <c r="B669" s="20"/>
      <c r="C669" s="20"/>
      <c r="D669" s="20"/>
    </row>
    <row r="670" spans="2:4" ht="15.8" customHeight="1" x14ac:dyDescent="0.3">
      <c r="B670" s="20"/>
      <c r="C670" s="20"/>
      <c r="D670" s="20"/>
    </row>
    <row r="671" spans="2:4" ht="15.8" customHeight="1" x14ac:dyDescent="0.3">
      <c r="B671" s="20"/>
      <c r="C671" s="20"/>
      <c r="D671" s="20"/>
    </row>
    <row r="672" spans="2:4" ht="15.8" customHeight="1" x14ac:dyDescent="0.3">
      <c r="B672" s="20"/>
      <c r="C672" s="20"/>
      <c r="D672" s="20"/>
    </row>
    <row r="673" spans="2:4" ht="15.8" customHeight="1" x14ac:dyDescent="0.3">
      <c r="B673" s="20"/>
      <c r="C673" s="20"/>
      <c r="D673" s="20"/>
    </row>
    <row r="674" spans="2:4" ht="15.8" customHeight="1" x14ac:dyDescent="0.3">
      <c r="B674" s="20"/>
      <c r="C674" s="20"/>
      <c r="D674" s="20"/>
    </row>
    <row r="675" spans="2:4" ht="15.8" customHeight="1" x14ac:dyDescent="0.3">
      <c r="B675" s="20"/>
      <c r="C675" s="20"/>
      <c r="D675" s="20"/>
    </row>
    <row r="676" spans="2:4" ht="15.8" customHeight="1" x14ac:dyDescent="0.3">
      <c r="B676" s="20"/>
      <c r="C676" s="20"/>
      <c r="D676" s="20"/>
    </row>
    <row r="677" spans="2:4" ht="15.8" customHeight="1" x14ac:dyDescent="0.3">
      <c r="B677" s="20"/>
      <c r="C677" s="20"/>
      <c r="D677" s="20"/>
    </row>
    <row r="678" spans="2:4" ht="15.8" customHeight="1" x14ac:dyDescent="0.3">
      <c r="B678" s="20"/>
      <c r="C678" s="20"/>
      <c r="D678" s="20"/>
    </row>
    <row r="679" spans="2:4" ht="15.8" customHeight="1" x14ac:dyDescent="0.3">
      <c r="B679" s="20"/>
      <c r="C679" s="20"/>
      <c r="D679" s="20"/>
    </row>
    <row r="680" spans="2:4" ht="15.8" customHeight="1" x14ac:dyDescent="0.3">
      <c r="B680" s="20"/>
      <c r="C680" s="20"/>
      <c r="D680" s="20"/>
    </row>
    <row r="681" spans="2:4" ht="15.8" customHeight="1" x14ac:dyDescent="0.3">
      <c r="B681" s="20"/>
      <c r="C681" s="20"/>
      <c r="D681" s="20"/>
    </row>
    <row r="682" spans="2:4" ht="15.8" customHeight="1" x14ac:dyDescent="0.3">
      <c r="B682" s="20"/>
      <c r="C682" s="20"/>
      <c r="D682" s="20"/>
    </row>
    <row r="683" spans="2:4" ht="15.8" customHeight="1" x14ac:dyDescent="0.3">
      <c r="B683" s="20"/>
      <c r="C683" s="20"/>
      <c r="D683" s="20"/>
    </row>
    <row r="684" spans="2:4" ht="15.8" customHeight="1" x14ac:dyDescent="0.3">
      <c r="B684" s="20"/>
      <c r="C684" s="20"/>
      <c r="D684" s="20"/>
    </row>
    <row r="685" spans="2:4" ht="15.8" customHeight="1" x14ac:dyDescent="0.3">
      <c r="B685" s="20"/>
      <c r="C685" s="20"/>
      <c r="D685" s="20"/>
    </row>
    <row r="686" spans="2:4" ht="15.8" customHeight="1" x14ac:dyDescent="0.3">
      <c r="B686" s="20"/>
      <c r="C686" s="20"/>
      <c r="D686" s="20"/>
    </row>
    <row r="687" spans="2:4" ht="15.8" customHeight="1" x14ac:dyDescent="0.3">
      <c r="B687" s="20"/>
      <c r="C687" s="20"/>
      <c r="D687" s="20"/>
    </row>
    <row r="688" spans="2:4" ht="15.8" customHeight="1" x14ac:dyDescent="0.3">
      <c r="B688" s="20"/>
      <c r="C688" s="20"/>
      <c r="D688" s="20"/>
    </row>
    <row r="689" spans="2:4" ht="15.8" customHeight="1" x14ac:dyDescent="0.3">
      <c r="B689" s="20"/>
      <c r="C689" s="20"/>
      <c r="D689" s="20"/>
    </row>
    <row r="690" spans="2:4" ht="15.8" customHeight="1" x14ac:dyDescent="0.3">
      <c r="B690" s="20"/>
      <c r="C690" s="20"/>
      <c r="D690" s="20"/>
    </row>
    <row r="691" spans="2:4" ht="15.8" customHeight="1" x14ac:dyDescent="0.3">
      <c r="B691" s="20"/>
      <c r="C691" s="20"/>
      <c r="D691" s="20"/>
    </row>
    <row r="692" spans="2:4" ht="15.8" customHeight="1" x14ac:dyDescent="0.3">
      <c r="B692" s="20"/>
      <c r="C692" s="20"/>
      <c r="D692" s="20"/>
    </row>
    <row r="693" spans="2:4" ht="15.8" customHeight="1" x14ac:dyDescent="0.3">
      <c r="B693" s="20"/>
      <c r="C693" s="20"/>
      <c r="D693" s="20"/>
    </row>
    <row r="694" spans="2:4" ht="15.8" customHeight="1" x14ac:dyDescent="0.3">
      <c r="B694" s="20"/>
      <c r="C694" s="20"/>
      <c r="D694" s="20"/>
    </row>
    <row r="695" spans="2:4" ht="15.8" customHeight="1" x14ac:dyDescent="0.3">
      <c r="B695" s="20"/>
      <c r="C695" s="20"/>
      <c r="D695" s="20"/>
    </row>
    <row r="696" spans="2:4" ht="15.8" customHeight="1" x14ac:dyDescent="0.3">
      <c r="B696" s="20"/>
      <c r="C696" s="20"/>
      <c r="D696" s="20"/>
    </row>
    <row r="697" spans="2:4" ht="15.8" customHeight="1" x14ac:dyDescent="0.3">
      <c r="B697" s="20"/>
      <c r="C697" s="20"/>
      <c r="D697" s="20"/>
    </row>
    <row r="698" spans="2:4" ht="15.8" customHeight="1" x14ac:dyDescent="0.3">
      <c r="B698" s="20"/>
      <c r="C698" s="20"/>
      <c r="D698" s="20"/>
    </row>
    <row r="699" spans="2:4" ht="15.8" customHeight="1" x14ac:dyDescent="0.3">
      <c r="B699" s="20"/>
      <c r="C699" s="20"/>
      <c r="D699" s="20"/>
    </row>
    <row r="700" spans="2:4" ht="15.8" customHeight="1" x14ac:dyDescent="0.3">
      <c r="B700" s="20"/>
      <c r="C700" s="20"/>
      <c r="D700" s="20"/>
    </row>
    <row r="701" spans="2:4" ht="15.8" customHeight="1" x14ac:dyDescent="0.3">
      <c r="B701" s="20"/>
      <c r="C701" s="20"/>
      <c r="D701" s="20"/>
    </row>
    <row r="702" spans="2:4" ht="15.8" customHeight="1" x14ac:dyDescent="0.3">
      <c r="B702" s="20"/>
      <c r="C702" s="20"/>
      <c r="D702" s="20"/>
    </row>
    <row r="703" spans="2:4" ht="15.8" customHeight="1" x14ac:dyDescent="0.3">
      <c r="B703" s="20"/>
      <c r="C703" s="20"/>
      <c r="D703" s="20"/>
    </row>
    <row r="704" spans="2:4" ht="15.8" customHeight="1" x14ac:dyDescent="0.3">
      <c r="B704" s="20"/>
      <c r="C704" s="20"/>
      <c r="D704" s="20"/>
    </row>
    <row r="705" spans="2:4" ht="15.8" customHeight="1" x14ac:dyDescent="0.3">
      <c r="B705" s="20"/>
      <c r="C705" s="20"/>
      <c r="D705" s="20"/>
    </row>
    <row r="706" spans="2:4" ht="15.8" customHeight="1" x14ac:dyDescent="0.3">
      <c r="B706" s="20"/>
      <c r="C706" s="20"/>
      <c r="D706" s="20"/>
    </row>
    <row r="707" spans="2:4" ht="15.8" customHeight="1" x14ac:dyDescent="0.3">
      <c r="B707" s="20"/>
      <c r="C707" s="20"/>
      <c r="D707" s="20"/>
    </row>
    <row r="708" spans="2:4" ht="15.8" customHeight="1" x14ac:dyDescent="0.3">
      <c r="B708" s="20"/>
      <c r="C708" s="20"/>
      <c r="D708" s="20"/>
    </row>
    <row r="709" spans="2:4" ht="15.8" customHeight="1" x14ac:dyDescent="0.3">
      <c r="B709" s="20"/>
      <c r="C709" s="20"/>
      <c r="D709" s="20"/>
    </row>
    <row r="710" spans="2:4" ht="15.8" customHeight="1" x14ac:dyDescent="0.3">
      <c r="B710" s="20"/>
      <c r="C710" s="20"/>
      <c r="D710" s="20"/>
    </row>
    <row r="711" spans="2:4" ht="15.8" customHeight="1" x14ac:dyDescent="0.3">
      <c r="B711" s="20"/>
      <c r="C711" s="20"/>
      <c r="D711" s="20"/>
    </row>
    <row r="712" spans="2:4" ht="15.8" customHeight="1" x14ac:dyDescent="0.3">
      <c r="B712" s="20"/>
      <c r="C712" s="20"/>
      <c r="D712" s="20"/>
    </row>
    <row r="713" spans="2:4" ht="15.8" customHeight="1" x14ac:dyDescent="0.3">
      <c r="B713" s="20"/>
      <c r="C713" s="20"/>
      <c r="D713" s="20"/>
    </row>
    <row r="714" spans="2:4" ht="15.8" customHeight="1" x14ac:dyDescent="0.3">
      <c r="B714" s="20"/>
      <c r="C714" s="20"/>
      <c r="D714" s="20"/>
    </row>
    <row r="715" spans="2:4" ht="15.8" customHeight="1" x14ac:dyDescent="0.3">
      <c r="B715" s="20"/>
      <c r="C715" s="20"/>
      <c r="D715" s="20"/>
    </row>
    <row r="716" spans="2:4" ht="15.8" customHeight="1" x14ac:dyDescent="0.3">
      <c r="B716" s="20"/>
      <c r="C716" s="20"/>
      <c r="D716" s="20"/>
    </row>
    <row r="717" spans="2:4" ht="15.8" customHeight="1" x14ac:dyDescent="0.3">
      <c r="B717" s="20"/>
      <c r="C717" s="20"/>
      <c r="D717" s="20"/>
    </row>
    <row r="718" spans="2:4" ht="15.8" customHeight="1" x14ac:dyDescent="0.3">
      <c r="B718" s="20"/>
      <c r="C718" s="20"/>
      <c r="D718" s="20"/>
    </row>
    <row r="719" spans="2:4" ht="15.8" customHeight="1" x14ac:dyDescent="0.3">
      <c r="B719" s="20"/>
      <c r="C719" s="20"/>
      <c r="D719" s="20"/>
    </row>
    <row r="720" spans="2:4" ht="15.8" customHeight="1" x14ac:dyDescent="0.3">
      <c r="B720" s="20"/>
      <c r="C720" s="20"/>
      <c r="D720" s="20"/>
    </row>
    <row r="721" spans="2:4" ht="15.8" customHeight="1" x14ac:dyDescent="0.3">
      <c r="B721" s="20"/>
      <c r="C721" s="20"/>
      <c r="D721" s="20"/>
    </row>
    <row r="722" spans="2:4" ht="15.8" customHeight="1" x14ac:dyDescent="0.3">
      <c r="B722" s="20"/>
      <c r="C722" s="20"/>
      <c r="D722" s="20"/>
    </row>
    <row r="723" spans="2:4" ht="15.8" customHeight="1" x14ac:dyDescent="0.3">
      <c r="B723" s="20"/>
      <c r="C723" s="20"/>
      <c r="D723" s="20"/>
    </row>
    <row r="724" spans="2:4" ht="15.8" customHeight="1" x14ac:dyDescent="0.3">
      <c r="B724" s="20"/>
      <c r="C724" s="20"/>
      <c r="D724" s="20"/>
    </row>
    <row r="725" spans="2:4" ht="15.8" customHeight="1" x14ac:dyDescent="0.3">
      <c r="B725" s="20"/>
      <c r="C725" s="20"/>
      <c r="D725" s="20"/>
    </row>
    <row r="726" spans="2:4" ht="15.8" customHeight="1" x14ac:dyDescent="0.3">
      <c r="B726" s="20"/>
      <c r="C726" s="20"/>
      <c r="D726" s="20"/>
    </row>
    <row r="727" spans="2:4" ht="15.8" customHeight="1" x14ac:dyDescent="0.3">
      <c r="B727" s="20"/>
      <c r="C727" s="20"/>
      <c r="D727" s="20"/>
    </row>
    <row r="728" spans="2:4" ht="15.8" customHeight="1" x14ac:dyDescent="0.3">
      <c r="B728" s="20"/>
      <c r="C728" s="20"/>
      <c r="D728" s="20"/>
    </row>
    <row r="729" spans="2:4" ht="15.8" customHeight="1" x14ac:dyDescent="0.3">
      <c r="B729" s="20"/>
      <c r="C729" s="20"/>
      <c r="D729" s="20"/>
    </row>
    <row r="730" spans="2:4" ht="15.8" customHeight="1" x14ac:dyDescent="0.3">
      <c r="B730" s="20"/>
      <c r="C730" s="20"/>
      <c r="D730" s="20"/>
    </row>
    <row r="731" spans="2:4" ht="15.8" customHeight="1" x14ac:dyDescent="0.3">
      <c r="B731" s="20"/>
      <c r="C731" s="20"/>
      <c r="D731" s="20"/>
    </row>
    <row r="732" spans="2:4" ht="15.8" customHeight="1" x14ac:dyDescent="0.3">
      <c r="B732" s="20"/>
      <c r="C732" s="20"/>
      <c r="D732" s="20"/>
    </row>
    <row r="733" spans="2:4" ht="15.8" customHeight="1" x14ac:dyDescent="0.3">
      <c r="B733" s="20"/>
      <c r="C733" s="20"/>
      <c r="D733" s="20"/>
    </row>
    <row r="734" spans="2:4" ht="15.8" customHeight="1" x14ac:dyDescent="0.3">
      <c r="B734" s="20"/>
      <c r="C734" s="20"/>
      <c r="D734" s="20"/>
    </row>
    <row r="735" spans="2:4" ht="15.8" customHeight="1" x14ac:dyDescent="0.3">
      <c r="B735" s="20"/>
      <c r="C735" s="20"/>
      <c r="D735" s="20"/>
    </row>
    <row r="736" spans="2:4" ht="15.8" customHeight="1" x14ac:dyDescent="0.3">
      <c r="B736" s="20"/>
      <c r="C736" s="20"/>
      <c r="D736" s="20"/>
    </row>
    <row r="737" spans="2:4" ht="15.8" customHeight="1" x14ac:dyDescent="0.3">
      <c r="B737" s="20"/>
      <c r="C737" s="20"/>
      <c r="D737" s="20"/>
    </row>
    <row r="738" spans="2:4" ht="15.8" customHeight="1" x14ac:dyDescent="0.3">
      <c r="B738" s="20"/>
      <c r="C738" s="20"/>
      <c r="D738" s="20"/>
    </row>
    <row r="739" spans="2:4" ht="15.8" customHeight="1" x14ac:dyDescent="0.3">
      <c r="B739" s="20"/>
      <c r="C739" s="20"/>
      <c r="D739" s="20"/>
    </row>
    <row r="740" spans="2:4" ht="15.8" customHeight="1" x14ac:dyDescent="0.3">
      <c r="B740" s="20"/>
      <c r="C740" s="20"/>
      <c r="D740" s="20"/>
    </row>
    <row r="741" spans="2:4" ht="15.8" customHeight="1" x14ac:dyDescent="0.3">
      <c r="B741" s="20"/>
      <c r="C741" s="20"/>
      <c r="D741" s="20"/>
    </row>
    <row r="742" spans="2:4" ht="15.8" customHeight="1" x14ac:dyDescent="0.3">
      <c r="B742" s="20"/>
      <c r="C742" s="20"/>
      <c r="D742" s="20"/>
    </row>
    <row r="743" spans="2:4" ht="15.8" customHeight="1" x14ac:dyDescent="0.3">
      <c r="B743" s="20"/>
      <c r="C743" s="20"/>
      <c r="D743" s="20"/>
    </row>
    <row r="744" spans="2:4" ht="15.8" customHeight="1" x14ac:dyDescent="0.3">
      <c r="B744" s="20"/>
      <c r="C744" s="20"/>
      <c r="D744" s="20"/>
    </row>
    <row r="745" spans="2:4" ht="15.8" customHeight="1" x14ac:dyDescent="0.3">
      <c r="B745" s="20"/>
      <c r="C745" s="20"/>
      <c r="D745" s="20"/>
    </row>
    <row r="746" spans="2:4" ht="15.8" customHeight="1" x14ac:dyDescent="0.3">
      <c r="B746" s="20"/>
      <c r="C746" s="20"/>
      <c r="D746" s="20"/>
    </row>
    <row r="747" spans="2:4" ht="15.8" customHeight="1" x14ac:dyDescent="0.3">
      <c r="B747" s="20"/>
      <c r="C747" s="20"/>
      <c r="D747" s="20"/>
    </row>
    <row r="748" spans="2:4" ht="15.8" customHeight="1" x14ac:dyDescent="0.3">
      <c r="B748" s="20"/>
      <c r="C748" s="20"/>
      <c r="D748" s="20"/>
    </row>
    <row r="749" spans="2:4" ht="15.8" customHeight="1" x14ac:dyDescent="0.3">
      <c r="B749" s="20"/>
      <c r="C749" s="20"/>
      <c r="D749" s="20"/>
    </row>
    <row r="750" spans="2:4" ht="15.8" customHeight="1" x14ac:dyDescent="0.3">
      <c r="B750" s="20"/>
      <c r="C750" s="20"/>
      <c r="D750" s="20"/>
    </row>
    <row r="751" spans="2:4" ht="15.8" customHeight="1" x14ac:dyDescent="0.3">
      <c r="B751" s="20"/>
      <c r="C751" s="20"/>
      <c r="D751" s="20"/>
    </row>
    <row r="752" spans="2:4" ht="15.8" customHeight="1" x14ac:dyDescent="0.3">
      <c r="B752" s="20"/>
      <c r="C752" s="20"/>
      <c r="D752" s="20"/>
    </row>
    <row r="753" spans="2:4" ht="15.8" customHeight="1" x14ac:dyDescent="0.3">
      <c r="B753" s="20"/>
      <c r="C753" s="20"/>
      <c r="D753" s="20"/>
    </row>
    <row r="754" spans="2:4" ht="15.8" customHeight="1" x14ac:dyDescent="0.3">
      <c r="B754" s="20"/>
      <c r="C754" s="20"/>
      <c r="D754" s="20"/>
    </row>
    <row r="755" spans="2:4" ht="15.8" customHeight="1" x14ac:dyDescent="0.3">
      <c r="B755" s="20"/>
      <c r="C755" s="20"/>
      <c r="D755" s="20"/>
    </row>
    <row r="756" spans="2:4" ht="15.8" customHeight="1" x14ac:dyDescent="0.3">
      <c r="B756" s="20"/>
      <c r="C756" s="20"/>
      <c r="D756" s="20"/>
    </row>
    <row r="757" spans="2:4" ht="15.8" customHeight="1" x14ac:dyDescent="0.3">
      <c r="B757" s="20"/>
      <c r="C757" s="20"/>
      <c r="D757" s="20"/>
    </row>
    <row r="758" spans="2:4" ht="15.8" customHeight="1" x14ac:dyDescent="0.3">
      <c r="B758" s="20"/>
      <c r="C758" s="20"/>
      <c r="D758" s="20"/>
    </row>
    <row r="759" spans="2:4" ht="15.8" customHeight="1" x14ac:dyDescent="0.3">
      <c r="B759" s="20"/>
      <c r="C759" s="20"/>
      <c r="D759" s="20"/>
    </row>
    <row r="760" spans="2:4" ht="15.8" customHeight="1" x14ac:dyDescent="0.3">
      <c r="B760" s="20"/>
      <c r="C760" s="20"/>
      <c r="D760" s="20"/>
    </row>
    <row r="761" spans="2:4" ht="15.8" customHeight="1" x14ac:dyDescent="0.3">
      <c r="B761" s="20"/>
      <c r="C761" s="20"/>
      <c r="D761" s="20"/>
    </row>
    <row r="762" spans="2:4" ht="15.8" customHeight="1" x14ac:dyDescent="0.3">
      <c r="B762" s="20"/>
      <c r="C762" s="20"/>
      <c r="D762" s="20"/>
    </row>
    <row r="763" spans="2:4" ht="15.8" customHeight="1" x14ac:dyDescent="0.3">
      <c r="B763" s="20"/>
      <c r="C763" s="20"/>
      <c r="D763" s="20"/>
    </row>
    <row r="764" spans="2:4" ht="15.8" customHeight="1" x14ac:dyDescent="0.3">
      <c r="B764" s="20"/>
      <c r="C764" s="20"/>
      <c r="D764" s="20"/>
    </row>
    <row r="765" spans="2:4" ht="15.8" customHeight="1" x14ac:dyDescent="0.3">
      <c r="B765" s="20"/>
      <c r="C765" s="20"/>
      <c r="D765" s="20"/>
    </row>
    <row r="766" spans="2:4" ht="15.8" customHeight="1" x14ac:dyDescent="0.3">
      <c r="B766" s="20"/>
      <c r="C766" s="20"/>
      <c r="D766" s="20"/>
    </row>
    <row r="767" spans="2:4" ht="15.8" customHeight="1" x14ac:dyDescent="0.3">
      <c r="B767" s="20"/>
      <c r="C767" s="20"/>
      <c r="D767" s="20"/>
    </row>
    <row r="768" spans="2:4" ht="15.8" customHeight="1" x14ac:dyDescent="0.3">
      <c r="B768" s="20"/>
      <c r="C768" s="20"/>
      <c r="D768" s="20"/>
    </row>
    <row r="769" spans="2:4" ht="15.8" customHeight="1" x14ac:dyDescent="0.3">
      <c r="B769" s="20"/>
      <c r="C769" s="20"/>
      <c r="D769" s="20"/>
    </row>
    <row r="770" spans="2:4" ht="15.8" customHeight="1" x14ac:dyDescent="0.3">
      <c r="B770" s="20"/>
      <c r="C770" s="20"/>
      <c r="D770" s="20"/>
    </row>
    <row r="771" spans="2:4" ht="15.8" customHeight="1" x14ac:dyDescent="0.3">
      <c r="B771" s="20"/>
      <c r="C771" s="20"/>
      <c r="D771" s="20"/>
    </row>
    <row r="772" spans="2:4" ht="15.8" customHeight="1" x14ac:dyDescent="0.3">
      <c r="B772" s="20"/>
      <c r="C772" s="20"/>
      <c r="D772" s="20"/>
    </row>
    <row r="773" spans="2:4" ht="15.8" customHeight="1" x14ac:dyDescent="0.3">
      <c r="B773" s="20"/>
      <c r="C773" s="20"/>
      <c r="D773" s="20"/>
    </row>
    <row r="774" spans="2:4" ht="15.8" customHeight="1" x14ac:dyDescent="0.3">
      <c r="B774" s="20"/>
      <c r="C774" s="20"/>
      <c r="D774" s="20"/>
    </row>
    <row r="775" spans="2:4" ht="15.8" customHeight="1" x14ac:dyDescent="0.3">
      <c r="B775" s="20"/>
      <c r="C775" s="20"/>
      <c r="D775" s="20"/>
    </row>
    <row r="776" spans="2:4" ht="15.8" customHeight="1" x14ac:dyDescent="0.3">
      <c r="B776" s="20"/>
      <c r="C776" s="20"/>
      <c r="D776" s="20"/>
    </row>
    <row r="777" spans="2:4" ht="15.8" customHeight="1" x14ac:dyDescent="0.3">
      <c r="B777" s="20"/>
      <c r="C777" s="20"/>
      <c r="D777" s="20"/>
    </row>
    <row r="778" spans="2:4" ht="15.8" customHeight="1" x14ac:dyDescent="0.3">
      <c r="B778" s="20"/>
      <c r="C778" s="20"/>
      <c r="D778" s="20"/>
    </row>
    <row r="779" spans="2:4" ht="15.8" customHeight="1" x14ac:dyDescent="0.3">
      <c r="B779" s="20"/>
      <c r="C779" s="20"/>
      <c r="D779" s="20"/>
    </row>
    <row r="780" spans="2:4" ht="15.8" customHeight="1" x14ac:dyDescent="0.3">
      <c r="B780" s="20"/>
      <c r="C780" s="20"/>
      <c r="D780" s="20"/>
    </row>
    <row r="781" spans="2:4" ht="15.8" customHeight="1" x14ac:dyDescent="0.3">
      <c r="B781" s="20"/>
      <c r="C781" s="20"/>
      <c r="D781" s="20"/>
    </row>
    <row r="782" spans="2:4" ht="15.8" customHeight="1" x14ac:dyDescent="0.3">
      <c r="B782" s="20"/>
      <c r="C782" s="20"/>
      <c r="D782" s="20"/>
    </row>
    <row r="783" spans="2:4" ht="15.8" customHeight="1" x14ac:dyDescent="0.3">
      <c r="B783" s="20"/>
      <c r="C783" s="20"/>
      <c r="D783" s="20"/>
    </row>
    <row r="784" spans="2:4" ht="15.8" customHeight="1" x14ac:dyDescent="0.3">
      <c r="B784" s="20"/>
      <c r="C784" s="20"/>
      <c r="D784" s="20"/>
    </row>
    <row r="785" spans="2:4" ht="15.8" customHeight="1" x14ac:dyDescent="0.3">
      <c r="B785" s="20"/>
      <c r="C785" s="20"/>
      <c r="D785" s="20"/>
    </row>
    <row r="786" spans="2:4" ht="15.8" customHeight="1" x14ac:dyDescent="0.3">
      <c r="B786" s="20"/>
      <c r="C786" s="20"/>
      <c r="D786" s="20"/>
    </row>
    <row r="787" spans="2:4" ht="15.8" customHeight="1" x14ac:dyDescent="0.3">
      <c r="B787" s="20"/>
      <c r="C787" s="20"/>
      <c r="D787" s="20"/>
    </row>
    <row r="788" spans="2:4" ht="15.8" customHeight="1" x14ac:dyDescent="0.3">
      <c r="B788" s="20"/>
      <c r="C788" s="20"/>
      <c r="D788" s="20"/>
    </row>
    <row r="789" spans="2:4" ht="15.8" customHeight="1" x14ac:dyDescent="0.3">
      <c r="B789" s="20"/>
      <c r="C789" s="20"/>
      <c r="D789" s="20"/>
    </row>
    <row r="790" spans="2:4" ht="15.8" customHeight="1" x14ac:dyDescent="0.3">
      <c r="B790" s="20"/>
      <c r="C790" s="20"/>
      <c r="D790" s="20"/>
    </row>
    <row r="791" spans="2:4" ht="15.8" customHeight="1" x14ac:dyDescent="0.3">
      <c r="B791" s="20"/>
      <c r="C791" s="20"/>
      <c r="D791" s="20"/>
    </row>
    <row r="792" spans="2:4" ht="15.8" customHeight="1" x14ac:dyDescent="0.3">
      <c r="B792" s="20"/>
      <c r="C792" s="20"/>
      <c r="D792" s="20"/>
    </row>
    <row r="793" spans="2:4" ht="15.8" customHeight="1" x14ac:dyDescent="0.3">
      <c r="B793" s="20"/>
      <c r="C793" s="20"/>
      <c r="D793" s="20"/>
    </row>
    <row r="794" spans="2:4" ht="15.8" customHeight="1" x14ac:dyDescent="0.3">
      <c r="B794" s="20"/>
      <c r="C794" s="20"/>
      <c r="D794" s="20"/>
    </row>
    <row r="795" spans="2:4" ht="15.8" customHeight="1" x14ac:dyDescent="0.3">
      <c r="B795" s="20"/>
      <c r="C795" s="20"/>
      <c r="D795" s="20"/>
    </row>
    <row r="796" spans="2:4" ht="15.8" customHeight="1" x14ac:dyDescent="0.3">
      <c r="B796" s="20"/>
      <c r="C796" s="20"/>
      <c r="D796" s="20"/>
    </row>
    <row r="797" spans="2:4" ht="15.8" customHeight="1" x14ac:dyDescent="0.3">
      <c r="B797" s="20"/>
      <c r="C797" s="20"/>
      <c r="D797" s="20"/>
    </row>
    <row r="798" spans="2:4" ht="15.8" customHeight="1" x14ac:dyDescent="0.3">
      <c r="B798" s="20"/>
      <c r="C798" s="20"/>
      <c r="D798" s="20"/>
    </row>
    <row r="799" spans="2:4" ht="15.8" customHeight="1" x14ac:dyDescent="0.3">
      <c r="B799" s="20"/>
      <c r="C799" s="20"/>
      <c r="D799" s="20"/>
    </row>
    <row r="800" spans="2:4" ht="15.8" customHeight="1" x14ac:dyDescent="0.3">
      <c r="B800" s="20"/>
      <c r="C800" s="20"/>
      <c r="D800" s="20"/>
    </row>
    <row r="801" spans="2:4" ht="15.8" customHeight="1" x14ac:dyDescent="0.3">
      <c r="B801" s="20"/>
      <c r="C801" s="20"/>
      <c r="D801" s="20"/>
    </row>
    <row r="802" spans="2:4" ht="15.8" customHeight="1" x14ac:dyDescent="0.3">
      <c r="B802" s="20"/>
      <c r="C802" s="20"/>
      <c r="D802" s="20"/>
    </row>
    <row r="803" spans="2:4" ht="15.8" customHeight="1" x14ac:dyDescent="0.3">
      <c r="B803" s="20"/>
      <c r="C803" s="20"/>
      <c r="D803" s="20"/>
    </row>
    <row r="804" spans="2:4" ht="15.8" customHeight="1" x14ac:dyDescent="0.3">
      <c r="B804" s="20"/>
      <c r="C804" s="20"/>
      <c r="D804" s="20"/>
    </row>
    <row r="805" spans="2:4" ht="15.8" customHeight="1" x14ac:dyDescent="0.3">
      <c r="B805" s="20"/>
      <c r="C805" s="20"/>
      <c r="D805" s="20"/>
    </row>
    <row r="806" spans="2:4" ht="15.8" customHeight="1" x14ac:dyDescent="0.3">
      <c r="B806" s="20"/>
      <c r="C806" s="20"/>
      <c r="D806" s="20"/>
    </row>
    <row r="807" spans="2:4" ht="15.8" customHeight="1" x14ac:dyDescent="0.3">
      <c r="B807" s="20"/>
      <c r="C807" s="20"/>
      <c r="D807" s="20"/>
    </row>
    <row r="808" spans="2:4" ht="15.8" customHeight="1" x14ac:dyDescent="0.3">
      <c r="B808" s="20"/>
      <c r="C808" s="20"/>
      <c r="D808" s="20"/>
    </row>
    <row r="809" spans="2:4" ht="15.8" customHeight="1" x14ac:dyDescent="0.3">
      <c r="B809" s="20"/>
      <c r="C809" s="20"/>
      <c r="D809" s="20"/>
    </row>
    <row r="810" spans="2:4" ht="15.8" customHeight="1" x14ac:dyDescent="0.3">
      <c r="B810" s="20"/>
      <c r="C810" s="20"/>
      <c r="D810" s="20"/>
    </row>
    <row r="811" spans="2:4" ht="15.8" customHeight="1" x14ac:dyDescent="0.3">
      <c r="B811" s="20"/>
      <c r="C811" s="20"/>
      <c r="D811" s="20"/>
    </row>
    <row r="812" spans="2:4" ht="15.8" customHeight="1" x14ac:dyDescent="0.3">
      <c r="B812" s="20"/>
      <c r="C812" s="20"/>
      <c r="D812" s="20"/>
    </row>
    <row r="813" spans="2:4" ht="15.8" customHeight="1" x14ac:dyDescent="0.3">
      <c r="B813" s="20"/>
      <c r="C813" s="20"/>
      <c r="D813" s="20"/>
    </row>
    <row r="814" spans="2:4" ht="15.8" customHeight="1" x14ac:dyDescent="0.3">
      <c r="B814" s="20"/>
      <c r="C814" s="20"/>
      <c r="D814" s="20"/>
    </row>
    <row r="815" spans="2:4" ht="15.8" customHeight="1" x14ac:dyDescent="0.3">
      <c r="B815" s="20"/>
      <c r="C815" s="20"/>
      <c r="D815" s="20"/>
    </row>
    <row r="816" spans="2:4" ht="15.8" customHeight="1" x14ac:dyDescent="0.3">
      <c r="B816" s="20"/>
      <c r="C816" s="20"/>
      <c r="D816" s="20"/>
    </row>
    <row r="817" spans="2:4" ht="15.8" customHeight="1" x14ac:dyDescent="0.3">
      <c r="B817" s="20"/>
      <c r="C817" s="20"/>
      <c r="D817" s="20"/>
    </row>
    <row r="818" spans="2:4" ht="15.8" customHeight="1" x14ac:dyDescent="0.3">
      <c r="B818" s="20"/>
      <c r="C818" s="20"/>
      <c r="D818" s="20"/>
    </row>
    <row r="819" spans="2:4" ht="15.8" customHeight="1" x14ac:dyDescent="0.3">
      <c r="B819" s="20"/>
      <c r="C819" s="20"/>
      <c r="D819" s="20"/>
    </row>
    <row r="820" spans="2:4" ht="15.8" customHeight="1" x14ac:dyDescent="0.3">
      <c r="B820" s="20"/>
      <c r="C820" s="20"/>
      <c r="D820" s="20"/>
    </row>
    <row r="821" spans="2:4" ht="15.8" customHeight="1" x14ac:dyDescent="0.3">
      <c r="B821" s="20"/>
      <c r="C821" s="20"/>
      <c r="D821" s="20"/>
    </row>
    <row r="822" spans="2:4" ht="15.8" customHeight="1" x14ac:dyDescent="0.3">
      <c r="B822" s="20"/>
      <c r="C822" s="20"/>
      <c r="D822" s="20"/>
    </row>
    <row r="823" spans="2:4" ht="15.8" customHeight="1" x14ac:dyDescent="0.3">
      <c r="B823" s="20"/>
      <c r="C823" s="20"/>
      <c r="D823" s="20"/>
    </row>
    <row r="824" spans="2:4" ht="15.8" customHeight="1" x14ac:dyDescent="0.3">
      <c r="B824" s="20"/>
      <c r="C824" s="20"/>
      <c r="D824" s="20"/>
    </row>
    <row r="825" spans="2:4" ht="15.8" customHeight="1" x14ac:dyDescent="0.3">
      <c r="B825" s="20"/>
      <c r="C825" s="20"/>
      <c r="D825" s="20"/>
    </row>
    <row r="826" spans="2:4" ht="15.8" customHeight="1" x14ac:dyDescent="0.3">
      <c r="B826" s="20"/>
      <c r="C826" s="20"/>
      <c r="D826" s="20"/>
    </row>
    <row r="827" spans="2:4" ht="15.8" customHeight="1" x14ac:dyDescent="0.3">
      <c r="B827" s="20"/>
      <c r="C827" s="20"/>
      <c r="D827" s="20"/>
    </row>
    <row r="828" spans="2:4" ht="15.8" customHeight="1" x14ac:dyDescent="0.3">
      <c r="B828" s="20"/>
      <c r="C828" s="20"/>
      <c r="D828" s="20"/>
    </row>
    <row r="829" spans="2:4" ht="15.8" customHeight="1" x14ac:dyDescent="0.3">
      <c r="B829" s="20"/>
      <c r="C829" s="20"/>
      <c r="D829" s="20"/>
    </row>
    <row r="830" spans="2:4" ht="15.8" customHeight="1" x14ac:dyDescent="0.3">
      <c r="B830" s="20"/>
      <c r="C830" s="20"/>
      <c r="D830" s="20"/>
    </row>
    <row r="831" spans="2:4" ht="15.8" customHeight="1" x14ac:dyDescent="0.3">
      <c r="B831" s="20"/>
      <c r="C831" s="20"/>
      <c r="D831" s="20"/>
    </row>
    <row r="832" spans="2:4" ht="15.8" customHeight="1" x14ac:dyDescent="0.3">
      <c r="B832" s="20"/>
      <c r="C832" s="20"/>
      <c r="D832" s="20"/>
    </row>
    <row r="833" spans="2:4" ht="15.8" customHeight="1" x14ac:dyDescent="0.3">
      <c r="B833" s="20"/>
      <c r="C833" s="20"/>
      <c r="D833" s="20"/>
    </row>
    <row r="834" spans="2:4" ht="15.8" customHeight="1" x14ac:dyDescent="0.3">
      <c r="B834" s="20"/>
      <c r="C834" s="20"/>
      <c r="D834" s="20"/>
    </row>
    <row r="835" spans="2:4" ht="15.8" customHeight="1" x14ac:dyDescent="0.3">
      <c r="B835" s="20"/>
      <c r="C835" s="20"/>
      <c r="D835" s="20"/>
    </row>
    <row r="836" spans="2:4" ht="15.8" customHeight="1" x14ac:dyDescent="0.3">
      <c r="B836" s="20"/>
      <c r="C836" s="20"/>
      <c r="D836" s="20"/>
    </row>
    <row r="837" spans="2:4" ht="15.8" customHeight="1" x14ac:dyDescent="0.3">
      <c r="B837" s="20"/>
      <c r="C837" s="20"/>
      <c r="D837" s="20"/>
    </row>
    <row r="838" spans="2:4" ht="15.8" customHeight="1" x14ac:dyDescent="0.3">
      <c r="B838" s="20"/>
      <c r="C838" s="20"/>
      <c r="D838" s="20"/>
    </row>
    <row r="839" spans="2:4" ht="15.8" customHeight="1" x14ac:dyDescent="0.3">
      <c r="B839" s="20"/>
      <c r="C839" s="20"/>
      <c r="D839" s="20"/>
    </row>
    <row r="840" spans="2:4" ht="15.8" customHeight="1" x14ac:dyDescent="0.3">
      <c r="B840" s="20"/>
      <c r="C840" s="20"/>
      <c r="D840" s="20"/>
    </row>
    <row r="841" spans="2:4" ht="15.8" customHeight="1" x14ac:dyDescent="0.3">
      <c r="B841" s="20"/>
      <c r="C841" s="20"/>
      <c r="D841" s="20"/>
    </row>
    <row r="842" spans="2:4" ht="15.8" customHeight="1" x14ac:dyDescent="0.3">
      <c r="B842" s="20"/>
      <c r="C842" s="20"/>
      <c r="D842" s="20"/>
    </row>
    <row r="843" spans="2:4" ht="15.8" customHeight="1" x14ac:dyDescent="0.3">
      <c r="B843" s="20"/>
      <c r="C843" s="20"/>
      <c r="D843" s="20"/>
    </row>
    <row r="844" spans="2:4" ht="15.8" customHeight="1" x14ac:dyDescent="0.3">
      <c r="B844" s="20"/>
      <c r="C844" s="20"/>
      <c r="D844" s="20"/>
    </row>
    <row r="845" spans="2:4" ht="15.8" customHeight="1" x14ac:dyDescent="0.3">
      <c r="B845" s="20"/>
      <c r="C845" s="20"/>
      <c r="D845" s="20"/>
    </row>
    <row r="846" spans="2:4" ht="15.8" customHeight="1" x14ac:dyDescent="0.3">
      <c r="B846" s="20"/>
      <c r="C846" s="20"/>
      <c r="D846" s="20"/>
    </row>
    <row r="847" spans="2:4" ht="15.8" customHeight="1" x14ac:dyDescent="0.3">
      <c r="B847" s="20"/>
      <c r="C847" s="20"/>
      <c r="D847" s="20"/>
    </row>
    <row r="848" spans="2:4" ht="15.8" customHeight="1" x14ac:dyDescent="0.3">
      <c r="B848" s="20"/>
      <c r="C848" s="20"/>
      <c r="D848" s="20"/>
    </row>
    <row r="849" spans="2:4" ht="15.8" customHeight="1" x14ac:dyDescent="0.3">
      <c r="B849" s="20"/>
      <c r="C849" s="20"/>
      <c r="D849" s="20"/>
    </row>
    <row r="850" spans="2:4" ht="15.8" customHeight="1" x14ac:dyDescent="0.3">
      <c r="B850" s="20"/>
      <c r="C850" s="20"/>
      <c r="D850" s="20"/>
    </row>
    <row r="851" spans="2:4" ht="15.8" customHeight="1" x14ac:dyDescent="0.3">
      <c r="B851" s="20"/>
      <c r="C851" s="20"/>
      <c r="D851" s="20"/>
    </row>
    <row r="852" spans="2:4" ht="15.8" customHeight="1" x14ac:dyDescent="0.3">
      <c r="B852" s="20"/>
      <c r="C852" s="20"/>
      <c r="D852" s="20"/>
    </row>
    <row r="853" spans="2:4" ht="15.8" customHeight="1" x14ac:dyDescent="0.3">
      <c r="B853" s="20"/>
      <c r="C853" s="20"/>
      <c r="D853" s="20"/>
    </row>
    <row r="854" spans="2:4" ht="15.8" customHeight="1" x14ac:dyDescent="0.3">
      <c r="B854" s="20"/>
      <c r="C854" s="20"/>
      <c r="D854" s="20"/>
    </row>
    <row r="855" spans="2:4" ht="15.8" customHeight="1" x14ac:dyDescent="0.3">
      <c r="B855" s="20"/>
      <c r="C855" s="20"/>
      <c r="D855" s="20"/>
    </row>
    <row r="856" spans="2:4" ht="15.8" customHeight="1" x14ac:dyDescent="0.3">
      <c r="B856" s="20"/>
      <c r="C856" s="20"/>
      <c r="D856" s="20"/>
    </row>
    <row r="857" spans="2:4" ht="15.8" customHeight="1" x14ac:dyDescent="0.3">
      <c r="B857" s="20"/>
      <c r="C857" s="20"/>
      <c r="D857" s="20"/>
    </row>
    <row r="858" spans="2:4" ht="15.8" customHeight="1" x14ac:dyDescent="0.3">
      <c r="B858" s="20"/>
      <c r="C858" s="20"/>
      <c r="D858" s="20"/>
    </row>
    <row r="859" spans="2:4" ht="15.8" customHeight="1" x14ac:dyDescent="0.3">
      <c r="B859" s="20"/>
      <c r="C859" s="20"/>
      <c r="D859" s="20"/>
    </row>
    <row r="860" spans="2:4" ht="15.8" customHeight="1" x14ac:dyDescent="0.3">
      <c r="B860" s="20"/>
      <c r="C860" s="20"/>
      <c r="D860" s="20"/>
    </row>
    <row r="861" spans="2:4" ht="15.8" customHeight="1" x14ac:dyDescent="0.3">
      <c r="B861" s="20"/>
      <c r="C861" s="20"/>
      <c r="D861" s="20"/>
    </row>
    <row r="862" spans="2:4" ht="15.8" customHeight="1" x14ac:dyDescent="0.3">
      <c r="B862" s="20"/>
      <c r="C862" s="20"/>
      <c r="D862" s="20"/>
    </row>
    <row r="863" spans="2:4" ht="15.8" customHeight="1" x14ac:dyDescent="0.3">
      <c r="B863" s="20"/>
      <c r="C863" s="20"/>
      <c r="D863" s="20"/>
    </row>
    <row r="864" spans="2:4" ht="15.8" customHeight="1" x14ac:dyDescent="0.3">
      <c r="B864" s="20"/>
      <c r="C864" s="20"/>
      <c r="D864" s="20"/>
    </row>
    <row r="865" spans="2:4" ht="15.8" customHeight="1" x14ac:dyDescent="0.3">
      <c r="B865" s="20"/>
      <c r="C865" s="20"/>
      <c r="D865" s="20"/>
    </row>
    <row r="866" spans="2:4" ht="15.8" customHeight="1" x14ac:dyDescent="0.3">
      <c r="B866" s="20"/>
      <c r="C866" s="20"/>
      <c r="D866" s="20"/>
    </row>
    <row r="867" spans="2:4" ht="15.8" customHeight="1" x14ac:dyDescent="0.3">
      <c r="B867" s="20"/>
      <c r="C867" s="20"/>
      <c r="D867" s="20"/>
    </row>
    <row r="868" spans="2:4" ht="15.8" customHeight="1" x14ac:dyDescent="0.3">
      <c r="B868" s="20"/>
      <c r="C868" s="20"/>
      <c r="D868" s="20"/>
    </row>
    <row r="869" spans="2:4" ht="15.8" customHeight="1" x14ac:dyDescent="0.3">
      <c r="B869" s="20"/>
      <c r="C869" s="20"/>
      <c r="D869" s="20"/>
    </row>
    <row r="870" spans="2:4" ht="15.8" customHeight="1" x14ac:dyDescent="0.3">
      <c r="B870" s="20"/>
      <c r="C870" s="20"/>
      <c r="D870" s="20"/>
    </row>
    <row r="871" spans="2:4" ht="15.8" customHeight="1" x14ac:dyDescent="0.3">
      <c r="B871" s="20"/>
      <c r="C871" s="20"/>
      <c r="D871" s="20"/>
    </row>
    <row r="872" spans="2:4" ht="15.8" customHeight="1" x14ac:dyDescent="0.3">
      <c r="B872" s="20"/>
      <c r="C872" s="20"/>
      <c r="D872" s="20"/>
    </row>
    <row r="873" spans="2:4" ht="15.8" customHeight="1" x14ac:dyDescent="0.3">
      <c r="B873" s="20"/>
      <c r="C873" s="20"/>
      <c r="D873" s="20"/>
    </row>
    <row r="874" spans="2:4" ht="15.8" customHeight="1" x14ac:dyDescent="0.3">
      <c r="B874" s="20"/>
      <c r="C874" s="20"/>
      <c r="D874" s="20"/>
    </row>
    <row r="875" spans="2:4" ht="15.8" customHeight="1" x14ac:dyDescent="0.3">
      <c r="B875" s="20"/>
      <c r="C875" s="20"/>
      <c r="D875" s="20"/>
    </row>
    <row r="876" spans="2:4" ht="15.8" customHeight="1" x14ac:dyDescent="0.3">
      <c r="B876" s="20"/>
      <c r="C876" s="20"/>
      <c r="D876" s="20"/>
    </row>
    <row r="877" spans="2:4" ht="15.8" customHeight="1" x14ac:dyDescent="0.3">
      <c r="B877" s="20"/>
      <c r="C877" s="20"/>
      <c r="D877" s="20"/>
    </row>
    <row r="878" spans="2:4" ht="15.8" customHeight="1" x14ac:dyDescent="0.3">
      <c r="B878" s="20"/>
      <c r="C878" s="20"/>
      <c r="D878" s="20"/>
    </row>
    <row r="879" spans="2:4" ht="15.8" customHeight="1" x14ac:dyDescent="0.3">
      <c r="B879" s="20"/>
      <c r="C879" s="20"/>
      <c r="D879" s="20"/>
    </row>
    <row r="880" spans="2:4" ht="15.8" customHeight="1" x14ac:dyDescent="0.3">
      <c r="B880" s="20"/>
      <c r="C880" s="20"/>
      <c r="D880" s="20"/>
    </row>
    <row r="881" spans="2:4" ht="15.8" customHeight="1" x14ac:dyDescent="0.3">
      <c r="B881" s="20"/>
      <c r="C881" s="20"/>
      <c r="D881" s="20"/>
    </row>
    <row r="882" spans="2:4" ht="15.8" customHeight="1" x14ac:dyDescent="0.3">
      <c r="B882" s="20"/>
      <c r="C882" s="20"/>
      <c r="D882" s="20"/>
    </row>
    <row r="883" spans="2:4" ht="15.8" customHeight="1" x14ac:dyDescent="0.3">
      <c r="B883" s="20"/>
      <c r="C883" s="20"/>
      <c r="D883" s="20"/>
    </row>
    <row r="884" spans="2:4" ht="15.8" customHeight="1" x14ac:dyDescent="0.3">
      <c r="B884" s="20"/>
      <c r="C884" s="20"/>
      <c r="D884" s="20"/>
    </row>
    <row r="885" spans="2:4" ht="15.8" customHeight="1" x14ac:dyDescent="0.3">
      <c r="B885" s="20"/>
      <c r="C885" s="20"/>
      <c r="D885" s="20"/>
    </row>
    <row r="886" spans="2:4" ht="15.8" customHeight="1" x14ac:dyDescent="0.3">
      <c r="B886" s="20"/>
      <c r="C886" s="20"/>
      <c r="D886" s="20"/>
    </row>
    <row r="887" spans="2:4" ht="15.8" customHeight="1" x14ac:dyDescent="0.3">
      <c r="B887" s="20"/>
      <c r="C887" s="20"/>
      <c r="D887" s="20"/>
    </row>
    <row r="888" spans="2:4" ht="15.8" customHeight="1" x14ac:dyDescent="0.3">
      <c r="B888" s="20"/>
      <c r="C888" s="20"/>
      <c r="D888" s="20"/>
    </row>
    <row r="889" spans="2:4" ht="15.8" customHeight="1" x14ac:dyDescent="0.3">
      <c r="B889" s="20"/>
      <c r="C889" s="20"/>
      <c r="D889" s="20"/>
    </row>
    <row r="890" spans="2:4" ht="15.8" customHeight="1" x14ac:dyDescent="0.3">
      <c r="B890" s="20"/>
      <c r="C890" s="20"/>
      <c r="D890" s="20"/>
    </row>
    <row r="891" spans="2:4" ht="15.8" customHeight="1" x14ac:dyDescent="0.3">
      <c r="B891" s="20"/>
      <c r="C891" s="20"/>
      <c r="D891" s="20"/>
    </row>
    <row r="892" spans="2:4" ht="15.8" customHeight="1" x14ac:dyDescent="0.3">
      <c r="B892" s="20"/>
      <c r="C892" s="20"/>
      <c r="D892" s="20"/>
    </row>
    <row r="893" spans="2:4" ht="15.8" customHeight="1" x14ac:dyDescent="0.3">
      <c r="B893" s="20"/>
      <c r="C893" s="20"/>
      <c r="D893" s="20"/>
    </row>
    <row r="894" spans="2:4" ht="15.8" customHeight="1" x14ac:dyDescent="0.3">
      <c r="B894" s="20"/>
      <c r="C894" s="20"/>
      <c r="D894" s="20"/>
    </row>
    <row r="895" spans="2:4" ht="15.8" customHeight="1" x14ac:dyDescent="0.3">
      <c r="B895" s="20"/>
      <c r="C895" s="20"/>
      <c r="D895" s="20"/>
    </row>
    <row r="896" spans="2:4" ht="15.8" customHeight="1" x14ac:dyDescent="0.3">
      <c r="B896" s="20"/>
      <c r="C896" s="20"/>
      <c r="D896" s="20"/>
    </row>
    <row r="897" spans="2:4" ht="15.8" customHeight="1" x14ac:dyDescent="0.3">
      <c r="B897" s="20"/>
      <c r="C897" s="20"/>
      <c r="D897" s="20"/>
    </row>
    <row r="898" spans="2:4" ht="15.8" customHeight="1" x14ac:dyDescent="0.3">
      <c r="B898" s="20"/>
      <c r="C898" s="20"/>
      <c r="D898" s="20"/>
    </row>
    <row r="899" spans="2:4" ht="15.8" customHeight="1" x14ac:dyDescent="0.3">
      <c r="B899" s="20"/>
      <c r="C899" s="20"/>
      <c r="D899" s="20"/>
    </row>
    <row r="900" spans="2:4" ht="15.8" customHeight="1" x14ac:dyDescent="0.3">
      <c r="B900" s="20"/>
      <c r="C900" s="20"/>
      <c r="D900" s="20"/>
    </row>
    <row r="901" spans="2:4" ht="15.8" customHeight="1" x14ac:dyDescent="0.3">
      <c r="B901" s="20"/>
      <c r="C901" s="20"/>
      <c r="D901" s="20"/>
    </row>
    <row r="902" spans="2:4" ht="15.8" customHeight="1" x14ac:dyDescent="0.3">
      <c r="B902" s="20"/>
      <c r="C902" s="20"/>
      <c r="D902" s="20"/>
    </row>
    <row r="903" spans="2:4" ht="15.8" customHeight="1" x14ac:dyDescent="0.3">
      <c r="B903" s="20"/>
      <c r="C903" s="20"/>
      <c r="D903" s="20"/>
    </row>
    <row r="904" spans="2:4" ht="15.8" customHeight="1" x14ac:dyDescent="0.3">
      <c r="B904" s="20"/>
      <c r="C904" s="20"/>
      <c r="D904" s="20"/>
    </row>
    <row r="905" spans="2:4" ht="15.8" customHeight="1" x14ac:dyDescent="0.3">
      <c r="B905" s="20"/>
      <c r="C905" s="20"/>
      <c r="D905" s="20"/>
    </row>
    <row r="906" spans="2:4" ht="15.8" customHeight="1" x14ac:dyDescent="0.3">
      <c r="B906" s="20"/>
      <c r="C906" s="20"/>
      <c r="D906" s="20"/>
    </row>
    <row r="907" spans="2:4" ht="15.8" customHeight="1" x14ac:dyDescent="0.3">
      <c r="B907" s="20"/>
      <c r="C907" s="20"/>
      <c r="D907" s="20"/>
    </row>
    <row r="908" spans="2:4" ht="15.8" customHeight="1" x14ac:dyDescent="0.3">
      <c r="B908" s="20"/>
      <c r="C908" s="20"/>
      <c r="D908" s="20"/>
    </row>
    <row r="909" spans="2:4" ht="15.8" customHeight="1" x14ac:dyDescent="0.3">
      <c r="B909" s="20"/>
      <c r="C909" s="20"/>
      <c r="D909" s="20"/>
    </row>
    <row r="910" spans="2:4" ht="15.8" customHeight="1" x14ac:dyDescent="0.3">
      <c r="B910" s="20"/>
      <c r="C910" s="20"/>
      <c r="D910" s="20"/>
    </row>
    <row r="911" spans="2:4" ht="15.8" customHeight="1" x14ac:dyDescent="0.3">
      <c r="B911" s="20"/>
      <c r="C911" s="20"/>
      <c r="D911" s="20"/>
    </row>
    <row r="912" spans="2:4" ht="15.8" customHeight="1" x14ac:dyDescent="0.3">
      <c r="B912" s="20"/>
      <c r="C912" s="20"/>
      <c r="D912" s="20"/>
    </row>
    <row r="913" spans="2:4" ht="15.8" customHeight="1" x14ac:dyDescent="0.3">
      <c r="B913" s="20"/>
      <c r="C913" s="20"/>
      <c r="D913" s="20"/>
    </row>
    <row r="914" spans="2:4" ht="15.8" customHeight="1" x14ac:dyDescent="0.3">
      <c r="B914" s="20"/>
      <c r="C914" s="20"/>
      <c r="D914" s="20"/>
    </row>
    <row r="915" spans="2:4" ht="15.8" customHeight="1" x14ac:dyDescent="0.3">
      <c r="B915" s="20"/>
      <c r="C915" s="20"/>
      <c r="D915" s="20"/>
    </row>
    <row r="916" spans="2:4" ht="15.8" customHeight="1" x14ac:dyDescent="0.3">
      <c r="B916" s="20"/>
      <c r="C916" s="20"/>
      <c r="D916" s="20"/>
    </row>
    <row r="917" spans="2:4" ht="15.8" customHeight="1" x14ac:dyDescent="0.3">
      <c r="B917" s="20"/>
      <c r="C917" s="20"/>
      <c r="D917" s="20"/>
    </row>
    <row r="918" spans="2:4" ht="15.8" customHeight="1" x14ac:dyDescent="0.3">
      <c r="B918" s="20"/>
      <c r="C918" s="20"/>
      <c r="D918" s="20"/>
    </row>
    <row r="919" spans="2:4" ht="15.8" customHeight="1" x14ac:dyDescent="0.3">
      <c r="B919" s="20"/>
      <c r="C919" s="20"/>
      <c r="D919" s="20"/>
    </row>
    <row r="920" spans="2:4" ht="15.8" customHeight="1" x14ac:dyDescent="0.3">
      <c r="B920" s="20"/>
      <c r="C920" s="20"/>
      <c r="D920" s="20"/>
    </row>
    <row r="921" spans="2:4" ht="15.8" customHeight="1" x14ac:dyDescent="0.3">
      <c r="B921" s="20"/>
      <c r="C921" s="20"/>
      <c r="D921" s="20"/>
    </row>
    <row r="922" spans="2:4" ht="15.8" customHeight="1" x14ac:dyDescent="0.3">
      <c r="B922" s="20"/>
      <c r="C922" s="20"/>
      <c r="D922" s="20"/>
    </row>
    <row r="923" spans="2:4" ht="15.8" customHeight="1" x14ac:dyDescent="0.3">
      <c r="B923" s="20"/>
      <c r="C923" s="20"/>
      <c r="D923" s="20"/>
    </row>
    <row r="924" spans="2:4" ht="15.8" customHeight="1" x14ac:dyDescent="0.3">
      <c r="B924" s="20"/>
      <c r="C924" s="20"/>
      <c r="D924" s="20"/>
    </row>
    <row r="925" spans="2:4" ht="15.8" customHeight="1" x14ac:dyDescent="0.3">
      <c r="B925" s="20"/>
      <c r="C925" s="20"/>
      <c r="D925" s="20"/>
    </row>
    <row r="926" spans="2:4" ht="15.8" customHeight="1" x14ac:dyDescent="0.3">
      <c r="B926" s="20"/>
      <c r="C926" s="20"/>
      <c r="D926" s="20"/>
    </row>
    <row r="927" spans="2:4" ht="15.8" customHeight="1" x14ac:dyDescent="0.3">
      <c r="B927" s="20"/>
      <c r="C927" s="20"/>
      <c r="D927" s="20"/>
    </row>
    <row r="928" spans="2:4" ht="15.8" customHeight="1" x14ac:dyDescent="0.3">
      <c r="B928" s="20"/>
      <c r="C928" s="20"/>
      <c r="D928" s="20"/>
    </row>
    <row r="929" spans="2:4" ht="15.8" customHeight="1" x14ac:dyDescent="0.3">
      <c r="B929" s="20"/>
      <c r="C929" s="20"/>
      <c r="D929" s="20"/>
    </row>
    <row r="930" spans="2:4" ht="15.8" customHeight="1" x14ac:dyDescent="0.3">
      <c r="B930" s="20"/>
      <c r="C930" s="20"/>
      <c r="D930" s="20"/>
    </row>
    <row r="931" spans="2:4" ht="15.8" customHeight="1" x14ac:dyDescent="0.3">
      <c r="B931" s="20"/>
      <c r="C931" s="20"/>
      <c r="D931" s="20"/>
    </row>
    <row r="932" spans="2:4" ht="15.8" customHeight="1" x14ac:dyDescent="0.3">
      <c r="B932" s="20"/>
      <c r="C932" s="20"/>
      <c r="D932" s="20"/>
    </row>
    <row r="933" spans="2:4" ht="15.8" customHeight="1" x14ac:dyDescent="0.3">
      <c r="B933" s="20"/>
      <c r="C933" s="20"/>
      <c r="D933" s="20"/>
    </row>
    <row r="934" spans="2:4" ht="15.8" customHeight="1" x14ac:dyDescent="0.3">
      <c r="B934" s="20"/>
      <c r="C934" s="20"/>
      <c r="D934" s="20"/>
    </row>
    <row r="935" spans="2:4" ht="15.8" customHeight="1" x14ac:dyDescent="0.3">
      <c r="B935" s="20"/>
      <c r="C935" s="20"/>
      <c r="D935" s="20"/>
    </row>
    <row r="936" spans="2:4" ht="15.8" customHeight="1" x14ac:dyDescent="0.3">
      <c r="B936" s="20"/>
      <c r="C936" s="20"/>
      <c r="D936" s="20"/>
    </row>
    <row r="937" spans="2:4" ht="15.8" customHeight="1" x14ac:dyDescent="0.3">
      <c r="B937" s="20"/>
      <c r="C937" s="20"/>
      <c r="D937" s="20"/>
    </row>
    <row r="938" spans="2:4" ht="15.8" customHeight="1" x14ac:dyDescent="0.3">
      <c r="B938" s="20"/>
      <c r="C938" s="20"/>
      <c r="D938" s="20"/>
    </row>
    <row r="939" spans="2:4" ht="15.8" customHeight="1" x14ac:dyDescent="0.3">
      <c r="B939" s="20"/>
      <c r="C939" s="20"/>
      <c r="D939" s="20"/>
    </row>
    <row r="940" spans="2:4" ht="15.8" customHeight="1" x14ac:dyDescent="0.3">
      <c r="B940" s="20"/>
      <c r="C940" s="20"/>
      <c r="D940" s="20"/>
    </row>
    <row r="941" spans="2:4" ht="15.8" customHeight="1" x14ac:dyDescent="0.3">
      <c r="B941" s="20"/>
      <c r="C941" s="20"/>
      <c r="D941" s="20"/>
    </row>
    <row r="942" spans="2:4" ht="15.8" customHeight="1" x14ac:dyDescent="0.3">
      <c r="B942" s="20"/>
      <c r="C942" s="20"/>
      <c r="D942" s="20"/>
    </row>
    <row r="943" spans="2:4" ht="15.8" customHeight="1" x14ac:dyDescent="0.3">
      <c r="B943" s="20"/>
      <c r="C943" s="20"/>
      <c r="D943" s="20"/>
    </row>
    <row r="944" spans="2:4" ht="15.8" customHeight="1" x14ac:dyDescent="0.3">
      <c r="B944" s="20"/>
      <c r="C944" s="20"/>
      <c r="D944" s="20"/>
    </row>
    <row r="945" spans="2:4" ht="15.8" customHeight="1" x14ac:dyDescent="0.3">
      <c r="B945" s="20"/>
      <c r="C945" s="20"/>
      <c r="D945" s="20"/>
    </row>
    <row r="946" spans="2:4" ht="15.8" customHeight="1" x14ac:dyDescent="0.3">
      <c r="B946" s="20"/>
      <c r="C946" s="20"/>
      <c r="D946" s="20"/>
    </row>
    <row r="947" spans="2:4" ht="15.8" customHeight="1" x14ac:dyDescent="0.3">
      <c r="B947" s="20"/>
      <c r="C947" s="20"/>
      <c r="D947" s="20"/>
    </row>
    <row r="948" spans="2:4" ht="15.8" customHeight="1" x14ac:dyDescent="0.3">
      <c r="B948" s="20"/>
      <c r="C948" s="20"/>
      <c r="D948" s="20"/>
    </row>
    <row r="949" spans="2:4" ht="15.8" customHeight="1" x14ac:dyDescent="0.3">
      <c r="B949" s="20"/>
      <c r="C949" s="20"/>
      <c r="D949" s="20"/>
    </row>
    <row r="950" spans="2:4" ht="15.8" customHeight="1" x14ac:dyDescent="0.3">
      <c r="B950" s="20"/>
      <c r="C950" s="20"/>
      <c r="D950" s="20"/>
    </row>
    <row r="951" spans="2:4" ht="15.8" customHeight="1" x14ac:dyDescent="0.3">
      <c r="B951" s="20"/>
      <c r="C951" s="20"/>
      <c r="D951" s="20"/>
    </row>
    <row r="952" spans="2:4" ht="15.8" customHeight="1" x14ac:dyDescent="0.3">
      <c r="B952" s="20"/>
      <c r="C952" s="20"/>
      <c r="D952" s="20"/>
    </row>
    <row r="953" spans="2:4" ht="15.8" customHeight="1" x14ac:dyDescent="0.3">
      <c r="B953" s="20"/>
      <c r="C953" s="20"/>
      <c r="D953" s="20"/>
    </row>
    <row r="954" spans="2:4" ht="15.8" customHeight="1" x14ac:dyDescent="0.3">
      <c r="B954" s="20"/>
      <c r="C954" s="20"/>
      <c r="D954" s="20"/>
    </row>
    <row r="955" spans="2:4" ht="15.8" customHeight="1" x14ac:dyDescent="0.3">
      <c r="B955" s="20"/>
      <c r="C955" s="20"/>
      <c r="D955" s="20"/>
    </row>
    <row r="956" spans="2:4" ht="15.8" customHeight="1" x14ac:dyDescent="0.3">
      <c r="B956" s="20"/>
      <c r="C956" s="20"/>
      <c r="D956" s="20"/>
    </row>
    <row r="957" spans="2:4" ht="15.8" customHeight="1" x14ac:dyDescent="0.3">
      <c r="B957" s="20"/>
      <c r="C957" s="20"/>
      <c r="D957" s="20"/>
    </row>
    <row r="958" spans="2:4" ht="15.8" customHeight="1" x14ac:dyDescent="0.3">
      <c r="B958" s="20"/>
      <c r="C958" s="20"/>
      <c r="D958" s="20"/>
    </row>
    <row r="959" spans="2:4" ht="15.8" customHeight="1" x14ac:dyDescent="0.3">
      <c r="B959" s="20"/>
      <c r="C959" s="20"/>
      <c r="D959" s="20"/>
    </row>
    <row r="960" spans="2:4" ht="15.8" customHeight="1" x14ac:dyDescent="0.3">
      <c r="B960" s="20"/>
      <c r="C960" s="20"/>
      <c r="D960" s="20"/>
    </row>
    <row r="961" spans="2:4" ht="15.8" customHeight="1" x14ac:dyDescent="0.3">
      <c r="B961" s="20"/>
      <c r="C961" s="20"/>
      <c r="D961" s="20"/>
    </row>
    <row r="962" spans="2:4" ht="15.8" customHeight="1" x14ac:dyDescent="0.3">
      <c r="B962" s="20"/>
      <c r="C962" s="20"/>
      <c r="D962" s="20"/>
    </row>
    <row r="963" spans="2:4" ht="15.8" customHeight="1" x14ac:dyDescent="0.3">
      <c r="B963" s="20"/>
      <c r="C963" s="20"/>
      <c r="D963" s="20"/>
    </row>
    <row r="964" spans="2:4" ht="15.8" customHeight="1" x14ac:dyDescent="0.3">
      <c r="B964" s="20"/>
      <c r="C964" s="20"/>
      <c r="D964" s="20"/>
    </row>
    <row r="965" spans="2:4" ht="15.8" customHeight="1" x14ac:dyDescent="0.3">
      <c r="B965" s="20"/>
      <c r="C965" s="20"/>
      <c r="D965" s="20"/>
    </row>
    <row r="966" spans="2:4" ht="15.8" customHeight="1" x14ac:dyDescent="0.3">
      <c r="B966" s="20"/>
      <c r="C966" s="20"/>
      <c r="D966" s="20"/>
    </row>
    <row r="967" spans="2:4" ht="15.8" customHeight="1" x14ac:dyDescent="0.3">
      <c r="B967" s="20"/>
      <c r="C967" s="20"/>
      <c r="D967" s="20"/>
    </row>
    <row r="968" spans="2:4" ht="15.8" customHeight="1" x14ac:dyDescent="0.3">
      <c r="B968" s="20"/>
      <c r="C968" s="20"/>
      <c r="D968" s="20"/>
    </row>
    <row r="969" spans="2:4" ht="15.8" customHeight="1" x14ac:dyDescent="0.3">
      <c r="B969" s="20"/>
      <c r="C969" s="20"/>
      <c r="D969" s="20"/>
    </row>
    <row r="970" spans="2:4" ht="15.8" customHeight="1" x14ac:dyDescent="0.3">
      <c r="B970" s="20"/>
      <c r="C970" s="20"/>
      <c r="D970" s="20"/>
    </row>
    <row r="971" spans="2:4" ht="15.8" customHeight="1" x14ac:dyDescent="0.3">
      <c r="B971" s="20"/>
      <c r="C971" s="20"/>
      <c r="D971" s="20"/>
    </row>
    <row r="972" spans="2:4" ht="15.8" customHeight="1" x14ac:dyDescent="0.3">
      <c r="B972" s="20"/>
      <c r="C972" s="20"/>
      <c r="D972" s="20"/>
    </row>
    <row r="973" spans="2:4" ht="15.8" customHeight="1" x14ac:dyDescent="0.3">
      <c r="B973" s="20"/>
      <c r="C973" s="20"/>
      <c r="D973" s="20"/>
    </row>
    <row r="974" spans="2:4" ht="15.8" customHeight="1" x14ac:dyDescent="0.3">
      <c r="B974" s="20"/>
      <c r="C974" s="20"/>
      <c r="D974" s="20"/>
    </row>
    <row r="975" spans="2:4" ht="15.8" customHeight="1" x14ac:dyDescent="0.3">
      <c r="B975" s="20"/>
      <c r="C975" s="20"/>
      <c r="D975" s="20"/>
    </row>
    <row r="976" spans="2:4" ht="15.8" customHeight="1" x14ac:dyDescent="0.3">
      <c r="B976" s="20"/>
      <c r="C976" s="20"/>
      <c r="D976" s="20"/>
    </row>
    <row r="977" spans="2:4" ht="15.8" customHeight="1" x14ac:dyDescent="0.3">
      <c r="B977" s="20"/>
      <c r="C977" s="20"/>
      <c r="D977" s="20"/>
    </row>
    <row r="978" spans="2:4" ht="15.8" customHeight="1" x14ac:dyDescent="0.3">
      <c r="B978" s="20"/>
      <c r="C978" s="20"/>
      <c r="D978" s="20"/>
    </row>
    <row r="979" spans="2:4" ht="15.8" customHeight="1" x14ac:dyDescent="0.3">
      <c r="B979" s="20"/>
      <c r="C979" s="20"/>
      <c r="D979" s="20"/>
    </row>
    <row r="980" spans="2:4" ht="15.8" customHeight="1" x14ac:dyDescent="0.3">
      <c r="B980" s="20"/>
      <c r="C980" s="20"/>
      <c r="D980" s="20"/>
    </row>
    <row r="981" spans="2:4" ht="15.8" customHeight="1" x14ac:dyDescent="0.3">
      <c r="B981" s="20"/>
      <c r="C981" s="20"/>
      <c r="D981" s="20"/>
    </row>
    <row r="982" spans="2:4" ht="15.8" customHeight="1" x14ac:dyDescent="0.3">
      <c r="B982" s="20"/>
      <c r="C982" s="20"/>
      <c r="D982" s="20"/>
    </row>
    <row r="983" spans="2:4" ht="15.8" customHeight="1" x14ac:dyDescent="0.3">
      <c r="B983" s="20"/>
      <c r="C983" s="20"/>
      <c r="D983" s="20"/>
    </row>
    <row r="984" spans="2:4" ht="15.8" customHeight="1" x14ac:dyDescent="0.3">
      <c r="B984" s="20"/>
      <c r="C984" s="20"/>
      <c r="D984" s="20"/>
    </row>
    <row r="985" spans="2:4" ht="15.8" customHeight="1" x14ac:dyDescent="0.3">
      <c r="B985" s="20"/>
      <c r="C985" s="20"/>
      <c r="D985" s="20"/>
    </row>
    <row r="986" spans="2:4" ht="15.8" customHeight="1" x14ac:dyDescent="0.3">
      <c r="B986" s="20"/>
      <c r="C986" s="20"/>
      <c r="D986" s="20"/>
    </row>
    <row r="987" spans="2:4" ht="15.8" customHeight="1" x14ac:dyDescent="0.3">
      <c r="B987" s="20"/>
      <c r="C987" s="20"/>
      <c r="D987" s="20"/>
    </row>
    <row r="988" spans="2:4" ht="15.8" customHeight="1" x14ac:dyDescent="0.3">
      <c r="B988" s="20"/>
      <c r="C988" s="20"/>
      <c r="D988" s="20"/>
    </row>
    <row r="989" spans="2:4" ht="15.8" customHeight="1" x14ac:dyDescent="0.3">
      <c r="B989" s="20"/>
      <c r="C989" s="20"/>
      <c r="D989" s="20"/>
    </row>
    <row r="990" spans="2:4" ht="15.8" customHeight="1" x14ac:dyDescent="0.3">
      <c r="B990" s="20"/>
      <c r="C990" s="20"/>
      <c r="D990" s="20"/>
    </row>
    <row r="991" spans="2:4" ht="15.8" customHeight="1" x14ac:dyDescent="0.3">
      <c r="B991" s="20"/>
      <c r="C991" s="20"/>
      <c r="D991" s="20"/>
    </row>
    <row r="992" spans="2:4" ht="15.8" customHeight="1" x14ac:dyDescent="0.3">
      <c r="B992" s="20"/>
      <c r="C992" s="20"/>
      <c r="D992" s="20"/>
    </row>
    <row r="993" spans="2:4" ht="15.8" customHeight="1" x14ac:dyDescent="0.3">
      <c r="B993" s="20"/>
      <c r="C993" s="20"/>
      <c r="D993" s="20"/>
    </row>
    <row r="994" spans="2:4" ht="15.8" customHeight="1" x14ac:dyDescent="0.3">
      <c r="B994" s="20"/>
      <c r="C994" s="20"/>
      <c r="D994" s="20"/>
    </row>
    <row r="995" spans="2:4" ht="15.8" customHeight="1" x14ac:dyDescent="0.3">
      <c r="B995" s="20"/>
      <c r="C995" s="20"/>
      <c r="D995" s="20"/>
    </row>
    <row r="996" spans="2:4" ht="15.8" customHeight="1" x14ac:dyDescent="0.3">
      <c r="B996" s="20"/>
      <c r="C996" s="20"/>
      <c r="D996" s="20"/>
    </row>
    <row r="997" spans="2:4" ht="15.8" customHeight="1" x14ac:dyDescent="0.3">
      <c r="B997" s="20"/>
      <c r="C997" s="20"/>
      <c r="D997" s="20"/>
    </row>
    <row r="998" spans="2:4" ht="15.8" customHeight="1" x14ac:dyDescent="0.3">
      <c r="B998" s="20"/>
      <c r="C998" s="20"/>
      <c r="D998" s="20"/>
    </row>
    <row r="999" spans="2:4" ht="15.8" customHeight="1" x14ac:dyDescent="0.3">
      <c r="B999" s="20"/>
      <c r="C999" s="20"/>
      <c r="D999" s="20"/>
    </row>
    <row r="1000" spans="2:4" ht="15.8" customHeight="1" x14ac:dyDescent="0.3">
      <c r="B1000" s="20"/>
      <c r="C1000" s="20"/>
      <c r="D1000" s="20"/>
    </row>
  </sheetData>
  <mergeCells count="12">
    <mergeCell ref="B17:B24"/>
    <mergeCell ref="C17:C24"/>
    <mergeCell ref="A25:A31"/>
    <mergeCell ref="B25:B31"/>
    <mergeCell ref="C25:C31"/>
    <mergeCell ref="A17:A24"/>
    <mergeCell ref="A2:A9"/>
    <mergeCell ref="B2:B9"/>
    <mergeCell ref="C2:C9"/>
    <mergeCell ref="A10:A16"/>
    <mergeCell ref="B10:B16"/>
    <mergeCell ref="C10:C16"/>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C000"/>
  </sheetPr>
  <dimension ref="A1:G61"/>
  <sheetViews>
    <sheetView showGridLines="0" zoomScale="90" zoomScaleNormal="90" workbookViewId="0">
      <selection activeCell="A3" sqref="A3"/>
    </sheetView>
  </sheetViews>
  <sheetFormatPr baseColWidth="10" defaultColWidth="11.59765625" defaultRowHeight="15.65" x14ac:dyDescent="0.25"/>
  <cols>
    <col min="1" max="1" width="126.796875" style="213" bestFit="1" customWidth="1"/>
    <col min="2" max="2" width="15.19921875" bestFit="1" customWidth="1"/>
    <col min="3" max="3" width="13.3984375" bestFit="1" customWidth="1"/>
    <col min="4" max="4" width="8.296875" bestFit="1" customWidth="1"/>
  </cols>
  <sheetData>
    <row r="1" spans="1:7" x14ac:dyDescent="0.25">
      <c r="A1" s="695" t="s">
        <v>142</v>
      </c>
      <c r="B1" s="696" t="s">
        <v>150</v>
      </c>
      <c r="C1" s="825"/>
      <c r="D1" s="825"/>
      <c r="E1" s="825"/>
      <c r="F1" s="825"/>
      <c r="G1" s="825"/>
    </row>
    <row r="3" spans="1:7" x14ac:dyDescent="0.25">
      <c r="A3" s="695" t="s">
        <v>151</v>
      </c>
      <c r="B3" s="690" t="s">
        <v>152</v>
      </c>
      <c r="C3" s="700" t="s">
        <v>153</v>
      </c>
      <c r="D3" s="699" t="s">
        <v>89</v>
      </c>
      <c r="E3" s="825"/>
      <c r="F3" s="825"/>
      <c r="G3" s="825"/>
    </row>
    <row r="4" spans="1:7" x14ac:dyDescent="0.25">
      <c r="A4" s="223" t="s">
        <v>129</v>
      </c>
      <c r="B4" s="341">
        <v>63</v>
      </c>
      <c r="C4" s="346">
        <v>1662621744.8491502</v>
      </c>
      <c r="D4" s="345">
        <v>0.56694388174242993</v>
      </c>
      <c r="E4" s="825"/>
      <c r="F4" s="825"/>
      <c r="G4" s="825"/>
    </row>
    <row r="5" spans="1:7" x14ac:dyDescent="0.25">
      <c r="A5" s="195" t="s">
        <v>154</v>
      </c>
      <c r="B5" s="341">
        <v>4</v>
      </c>
      <c r="C5" s="346">
        <v>41215104</v>
      </c>
      <c r="D5" s="345">
        <v>1.4054099268560936E-2</v>
      </c>
      <c r="E5" s="825"/>
      <c r="F5" s="825"/>
      <c r="G5" s="825"/>
    </row>
    <row r="6" spans="1:7" x14ac:dyDescent="0.25">
      <c r="A6" s="195" t="s">
        <v>155</v>
      </c>
      <c r="B6" s="341">
        <v>4</v>
      </c>
      <c r="C6" s="346">
        <v>910896</v>
      </c>
      <c r="D6" s="345">
        <v>3.1060998432358883E-4</v>
      </c>
      <c r="E6" s="825"/>
      <c r="F6" s="825"/>
      <c r="G6" s="825"/>
    </row>
    <row r="7" spans="1:7" x14ac:dyDescent="0.25">
      <c r="A7" s="195" t="s">
        <v>156</v>
      </c>
      <c r="B7" s="341">
        <v>4</v>
      </c>
      <c r="C7" s="346">
        <v>10460000</v>
      </c>
      <c r="D7" s="345">
        <v>3.5667962489952082E-3</v>
      </c>
      <c r="E7" s="825"/>
      <c r="F7" s="825"/>
      <c r="G7" s="825"/>
    </row>
    <row r="8" spans="1:7" x14ac:dyDescent="0.25">
      <c r="A8" s="195" t="s">
        <v>157</v>
      </c>
      <c r="B8" s="341">
        <v>2</v>
      </c>
      <c r="C8" s="346">
        <v>29193970.103999998</v>
      </c>
      <c r="D8" s="345">
        <v>9.9549658757385698E-3</v>
      </c>
      <c r="E8" s="825"/>
      <c r="F8" s="825"/>
      <c r="G8" s="825"/>
    </row>
    <row r="9" spans="1:7" x14ac:dyDescent="0.25">
      <c r="A9" s="195" t="s">
        <v>158</v>
      </c>
      <c r="B9" s="341">
        <v>4</v>
      </c>
      <c r="C9" s="346">
        <v>181565500</v>
      </c>
      <c r="D9" s="345">
        <v>6.191272890506113E-2</v>
      </c>
      <c r="E9" s="825"/>
      <c r="F9" s="825"/>
      <c r="G9" s="825"/>
    </row>
    <row r="10" spans="1:7" x14ac:dyDescent="0.25">
      <c r="A10" s="195" t="s">
        <v>159</v>
      </c>
      <c r="B10" s="341">
        <v>4</v>
      </c>
      <c r="C10" s="346">
        <v>3120000</v>
      </c>
      <c r="D10" s="345">
        <v>1.0639009844039245E-3</v>
      </c>
      <c r="E10" s="825"/>
      <c r="F10" s="825"/>
      <c r="G10" s="825"/>
    </row>
    <row r="11" spans="1:7" x14ac:dyDescent="0.25">
      <c r="A11" s="195" t="s">
        <v>160</v>
      </c>
      <c r="B11" s="341">
        <v>4</v>
      </c>
      <c r="C11" s="346">
        <v>20983140</v>
      </c>
      <c r="D11" s="345">
        <v>7.1551228531683856E-3</v>
      </c>
      <c r="E11" s="825"/>
      <c r="F11" s="825"/>
      <c r="G11" s="825"/>
    </row>
    <row r="12" spans="1:7" x14ac:dyDescent="0.25">
      <c r="A12" s="195" t="s">
        <v>161</v>
      </c>
      <c r="B12" s="341">
        <v>4</v>
      </c>
      <c r="C12" s="346">
        <v>208800325</v>
      </c>
      <c r="D12" s="345">
        <v>7.1199638240820304E-2</v>
      </c>
      <c r="E12" s="825"/>
      <c r="F12" s="825"/>
      <c r="G12" s="825"/>
    </row>
    <row r="13" spans="1:7" s="231" customFormat="1" x14ac:dyDescent="0.25">
      <c r="A13" s="195" t="s">
        <v>162</v>
      </c>
      <c r="B13" s="341">
        <v>4</v>
      </c>
      <c r="C13" s="346">
        <v>54469650</v>
      </c>
      <c r="D13" s="345">
        <v>1.857381867151834E-2</v>
      </c>
      <c r="E13" s="342"/>
      <c r="F13" s="343"/>
      <c r="G13" s="344"/>
    </row>
    <row r="14" spans="1:7" x14ac:dyDescent="0.25">
      <c r="A14" s="195" t="s">
        <v>163</v>
      </c>
      <c r="B14" s="341">
        <v>4</v>
      </c>
      <c r="C14" s="346">
        <v>515822624.99999994</v>
      </c>
      <c r="D14" s="345">
        <v>0.17589237131901161</v>
      </c>
      <c r="E14" s="825"/>
      <c r="F14" s="825"/>
      <c r="G14" s="825"/>
    </row>
    <row r="15" spans="1:7" x14ac:dyDescent="0.25">
      <c r="A15" s="195" t="s">
        <v>164</v>
      </c>
      <c r="B15" s="341">
        <v>4</v>
      </c>
      <c r="C15" s="346">
        <v>355124100</v>
      </c>
      <c r="D15" s="345">
        <v>0.12109515371011464</v>
      </c>
      <c r="E15" s="825"/>
      <c r="F15" s="825"/>
      <c r="G15" s="825"/>
    </row>
    <row r="16" spans="1:7" x14ac:dyDescent="0.25">
      <c r="A16" s="195" t="s">
        <v>165</v>
      </c>
      <c r="B16" s="341">
        <v>4</v>
      </c>
      <c r="C16" s="346">
        <v>11532000</v>
      </c>
      <c r="D16" s="345">
        <v>3.9323417154314283E-3</v>
      </c>
      <c r="E16" s="825"/>
      <c r="F16" s="825"/>
      <c r="G16" s="825"/>
    </row>
    <row r="17" spans="1:4" x14ac:dyDescent="0.25">
      <c r="A17" s="195" t="s">
        <v>166</v>
      </c>
      <c r="B17" s="341">
        <v>4</v>
      </c>
      <c r="C17" s="346">
        <v>108939300</v>
      </c>
      <c r="D17" s="345">
        <v>3.714763734303668E-2</v>
      </c>
    </row>
    <row r="18" spans="1:4" x14ac:dyDescent="0.25">
      <c r="A18" s="195" t="s">
        <v>167</v>
      </c>
      <c r="B18" s="341">
        <v>4</v>
      </c>
      <c r="C18" s="346">
        <v>32000000</v>
      </c>
      <c r="D18" s="345">
        <v>1.0911804968245379E-2</v>
      </c>
    </row>
    <row r="19" spans="1:4" x14ac:dyDescent="0.25">
      <c r="A19" s="195" t="s">
        <v>168</v>
      </c>
      <c r="B19" s="341">
        <v>4</v>
      </c>
      <c r="C19" s="346">
        <v>2750000</v>
      </c>
      <c r="D19" s="345">
        <v>9.3773323945858724E-4</v>
      </c>
    </row>
    <row r="20" spans="1:4" x14ac:dyDescent="0.25">
      <c r="A20" s="195" t="s">
        <v>169</v>
      </c>
      <c r="B20" s="341">
        <v>1</v>
      </c>
      <c r="C20" s="346">
        <v>45000</v>
      </c>
      <c r="D20" s="345">
        <v>1.5344725736595064E-5</v>
      </c>
    </row>
    <row r="21" spans="1:4" x14ac:dyDescent="0.25">
      <c r="A21" s="195" t="s">
        <v>170</v>
      </c>
      <c r="B21" s="341">
        <v>4</v>
      </c>
      <c r="C21" s="346">
        <v>85690134.745149896</v>
      </c>
      <c r="D21" s="345">
        <v>2.9219813688804455E-2</v>
      </c>
    </row>
    <row r="22" spans="1:4" x14ac:dyDescent="0.25">
      <c r="A22" s="223" t="s">
        <v>123</v>
      </c>
      <c r="B22" s="341">
        <v>27</v>
      </c>
      <c r="C22" s="346">
        <v>558494002.5</v>
      </c>
      <c r="D22" s="345">
        <v>0.19044305097546083</v>
      </c>
    </row>
    <row r="23" spans="1:4" x14ac:dyDescent="0.25">
      <c r="A23" s="223" t="s">
        <v>130</v>
      </c>
      <c r="B23" s="341">
        <v>24</v>
      </c>
      <c r="C23" s="346">
        <v>196638150</v>
      </c>
      <c r="D23" s="345">
        <v>6.7052410691143122E-2</v>
      </c>
    </row>
    <row r="24" spans="1:4" x14ac:dyDescent="0.25">
      <c r="A24" s="195" t="s">
        <v>171</v>
      </c>
      <c r="B24" s="341">
        <v>3</v>
      </c>
      <c r="C24" s="346">
        <v>5454400</v>
      </c>
      <c r="D24" s="345">
        <v>1.8599171568374248E-3</v>
      </c>
    </row>
    <row r="25" spans="1:4" x14ac:dyDescent="0.25">
      <c r="A25" s="195" t="s">
        <v>172</v>
      </c>
      <c r="B25" s="341">
        <v>2</v>
      </c>
      <c r="C25" s="346">
        <v>7623750</v>
      </c>
      <c r="D25" s="345">
        <v>2.5996522852081471E-3</v>
      </c>
    </row>
    <row r="26" spans="1:4" x14ac:dyDescent="0.25">
      <c r="A26" s="195" t="s">
        <v>173</v>
      </c>
      <c r="B26" s="341">
        <v>3</v>
      </c>
      <c r="C26" s="346">
        <v>115200000</v>
      </c>
      <c r="D26" s="345">
        <v>3.928249788568336E-2</v>
      </c>
    </row>
    <row r="27" spans="1:4" x14ac:dyDescent="0.25">
      <c r="A27" s="195" t="s">
        <v>174</v>
      </c>
      <c r="B27" s="341">
        <v>3</v>
      </c>
      <c r="C27" s="346">
        <v>13680000</v>
      </c>
      <c r="D27" s="345">
        <v>4.6647966239248993E-3</v>
      </c>
    </row>
    <row r="28" spans="1:4" x14ac:dyDescent="0.25">
      <c r="A28" s="195" t="s">
        <v>175</v>
      </c>
      <c r="B28" s="341">
        <v>1</v>
      </c>
      <c r="C28" s="346">
        <v>750000</v>
      </c>
      <c r="D28" s="345">
        <v>2.5574542894325107E-4</v>
      </c>
    </row>
    <row r="29" spans="1:4" x14ac:dyDescent="0.25">
      <c r="A29" s="195" t="s">
        <v>176</v>
      </c>
      <c r="B29" s="341">
        <v>3</v>
      </c>
      <c r="C29" s="346">
        <v>46625000</v>
      </c>
      <c r="D29" s="345">
        <v>1.5898840832638775E-2</v>
      </c>
    </row>
    <row r="30" spans="1:4" x14ac:dyDescent="0.25">
      <c r="A30" s="195" t="s">
        <v>177</v>
      </c>
      <c r="B30" s="341">
        <v>3</v>
      </c>
      <c r="C30" s="346">
        <v>2175000</v>
      </c>
      <c r="D30" s="345">
        <v>7.4166174393542803E-4</v>
      </c>
    </row>
    <row r="31" spans="1:4" x14ac:dyDescent="0.25">
      <c r="A31" s="195" t="s">
        <v>178</v>
      </c>
      <c r="B31" s="341">
        <v>1</v>
      </c>
      <c r="C31" s="346">
        <v>2100000</v>
      </c>
      <c r="D31" s="345">
        <v>7.1608720104110294E-4</v>
      </c>
    </row>
    <row r="32" spans="1:4" x14ac:dyDescent="0.25">
      <c r="A32" s="195" t="s">
        <v>179</v>
      </c>
      <c r="B32" s="341">
        <v>3</v>
      </c>
      <c r="C32" s="346">
        <v>2100000</v>
      </c>
      <c r="D32" s="345">
        <v>7.1608720104110294E-4</v>
      </c>
    </row>
    <row r="33" spans="1:4" x14ac:dyDescent="0.25">
      <c r="A33" s="195" t="s">
        <v>180</v>
      </c>
      <c r="B33" s="341">
        <v>2</v>
      </c>
      <c r="C33" s="346">
        <v>930000</v>
      </c>
      <c r="D33" s="345">
        <v>3.1712433188963129E-4</v>
      </c>
    </row>
    <row r="34" spans="1:4" x14ac:dyDescent="0.25">
      <c r="A34" s="223" t="s">
        <v>140</v>
      </c>
      <c r="B34" s="341">
        <v>39</v>
      </c>
      <c r="C34" s="346">
        <v>123607524.29305695</v>
      </c>
      <c r="D34" s="345">
        <v>4.2149412427921563E-2</v>
      </c>
    </row>
    <row r="35" spans="1:4" x14ac:dyDescent="0.25">
      <c r="A35" s="223" t="s">
        <v>126</v>
      </c>
      <c r="B35" s="385">
        <v>32</v>
      </c>
      <c r="C35" s="346">
        <v>109398560.73385324</v>
      </c>
      <c r="D35" s="345">
        <v>3.73042424542048E-2</v>
      </c>
    </row>
    <row r="36" spans="1:4" x14ac:dyDescent="0.25">
      <c r="A36" s="223" t="s">
        <v>125</v>
      </c>
      <c r="B36" s="341">
        <v>24</v>
      </c>
      <c r="C36" s="346">
        <v>65930816.184139259</v>
      </c>
      <c r="D36" s="345">
        <v>2.248200648745511E-2</v>
      </c>
    </row>
    <row r="37" spans="1:4" x14ac:dyDescent="0.25">
      <c r="A37" s="223" t="s">
        <v>138</v>
      </c>
      <c r="B37" s="385">
        <v>8</v>
      </c>
      <c r="C37" s="346">
        <v>57165000</v>
      </c>
      <c r="D37" s="345">
        <v>1.9492916594054596E-2</v>
      </c>
    </row>
    <row r="38" spans="1:4" x14ac:dyDescent="0.25">
      <c r="A38" s="223" t="s">
        <v>135</v>
      </c>
      <c r="B38" s="341">
        <v>8</v>
      </c>
      <c r="C38" s="346">
        <v>51985000</v>
      </c>
      <c r="D38" s="345">
        <v>1.7726568164819875E-2</v>
      </c>
    </row>
    <row r="39" spans="1:4" x14ac:dyDescent="0.25">
      <c r="A39" s="223" t="s">
        <v>136</v>
      </c>
      <c r="B39" s="385">
        <v>8</v>
      </c>
      <c r="C39" s="346">
        <v>36332258.241566539</v>
      </c>
      <c r="D39" s="345">
        <v>1.2389078624621871E-2</v>
      </c>
    </row>
    <row r="40" spans="1:4" x14ac:dyDescent="0.25">
      <c r="A40" s="223" t="s">
        <v>131</v>
      </c>
      <c r="B40" s="341">
        <v>20</v>
      </c>
      <c r="C40" s="346">
        <v>34062851.471747868</v>
      </c>
      <c r="D40" s="345">
        <v>1.1615224747563211E-2</v>
      </c>
    </row>
    <row r="41" spans="1:4" x14ac:dyDescent="0.25">
      <c r="A41" s="195" t="s">
        <v>181</v>
      </c>
      <c r="B41" s="341">
        <v>4</v>
      </c>
      <c r="C41" s="346">
        <v>51000</v>
      </c>
      <c r="D41" s="345">
        <v>1.7390689168141071E-5</v>
      </c>
    </row>
    <row r="42" spans="1:4" x14ac:dyDescent="0.25">
      <c r="A42" s="195" t="s">
        <v>182</v>
      </c>
      <c r="B42" s="341">
        <v>4</v>
      </c>
      <c r="C42" s="346">
        <v>250000</v>
      </c>
      <c r="D42" s="345">
        <v>8.524847631441702E-5</v>
      </c>
    </row>
    <row r="43" spans="1:4" x14ac:dyDescent="0.25">
      <c r="A43" s="195" t="s">
        <v>183</v>
      </c>
      <c r="B43" s="341">
        <v>4</v>
      </c>
      <c r="C43" s="346">
        <v>197120.47063375128</v>
      </c>
      <c r="D43" s="345">
        <v>6.721687908763232E-5</v>
      </c>
    </row>
    <row r="44" spans="1:4" x14ac:dyDescent="0.25">
      <c r="A44" s="195" t="s">
        <v>184</v>
      </c>
      <c r="B44" s="341">
        <v>4</v>
      </c>
      <c r="C44" s="346">
        <v>2956807.0595062692</v>
      </c>
      <c r="D44" s="345">
        <v>1.0082531863144849E-3</v>
      </c>
    </row>
    <row r="45" spans="1:4" x14ac:dyDescent="0.25">
      <c r="A45" s="195" t="s">
        <v>185</v>
      </c>
      <c r="B45" s="341">
        <v>4</v>
      </c>
      <c r="C45" s="346">
        <v>30607923.941607848</v>
      </c>
      <c r="D45" s="345">
        <v>1.0437115516678537E-2</v>
      </c>
    </row>
    <row r="46" spans="1:4" x14ac:dyDescent="0.25">
      <c r="A46" s="223" t="s">
        <v>122</v>
      </c>
      <c r="B46" s="341">
        <v>16</v>
      </c>
      <c r="C46" s="346">
        <v>11870000</v>
      </c>
      <c r="D46" s="345">
        <v>4.04759765540852E-3</v>
      </c>
    </row>
    <row r="47" spans="1:4" x14ac:dyDescent="0.25">
      <c r="A47" s="223" t="s">
        <v>133</v>
      </c>
      <c r="B47" s="385">
        <v>7</v>
      </c>
      <c r="C47" s="346">
        <v>9670000</v>
      </c>
      <c r="D47" s="345">
        <v>3.2974110638416504E-3</v>
      </c>
    </row>
    <row r="48" spans="1:4" x14ac:dyDescent="0.25">
      <c r="A48" s="223" t="s">
        <v>124</v>
      </c>
      <c r="B48" s="341">
        <v>5</v>
      </c>
      <c r="C48" s="346">
        <v>8640000</v>
      </c>
      <c r="D48" s="345">
        <v>2.9461873414262521E-3</v>
      </c>
    </row>
    <row r="49" spans="1:4" x14ac:dyDescent="0.25">
      <c r="A49" s="223" t="s">
        <v>127</v>
      </c>
      <c r="B49" s="385">
        <v>12</v>
      </c>
      <c r="C49" s="346">
        <v>2367826.2253828859</v>
      </c>
      <c r="D49" s="345">
        <v>8.0741431156483362E-4</v>
      </c>
    </row>
    <row r="50" spans="1:4" x14ac:dyDescent="0.25">
      <c r="A50" s="223" t="s">
        <v>121</v>
      </c>
      <c r="B50" s="341">
        <v>6</v>
      </c>
      <c r="C50" s="346">
        <v>2020000</v>
      </c>
      <c r="D50" s="345">
        <v>6.8880768862048956E-4</v>
      </c>
    </row>
    <row r="51" spans="1:4" x14ac:dyDescent="0.25">
      <c r="A51" s="223" t="s">
        <v>128</v>
      </c>
      <c r="B51" s="385">
        <v>3</v>
      </c>
      <c r="C51" s="346">
        <v>1800000</v>
      </c>
      <c r="D51" s="345">
        <v>6.1378902946380249E-4</v>
      </c>
    </row>
    <row r="52" spans="1:4" x14ac:dyDescent="0.25">
      <c r="A52" s="689" t="s">
        <v>141</v>
      </c>
      <c r="B52" s="693">
        <v>302</v>
      </c>
      <c r="C52" s="702">
        <v>2932603734.4988956</v>
      </c>
      <c r="D52" s="701">
        <v>1</v>
      </c>
    </row>
    <row r="53" spans="1:4" x14ac:dyDescent="0.25">
      <c r="A53" s="825"/>
      <c r="B53" s="825"/>
      <c r="C53" s="825"/>
      <c r="D53" s="825"/>
    </row>
    <row r="54" spans="1:4" x14ac:dyDescent="0.25">
      <c r="A54" s="825"/>
      <c r="B54" s="825"/>
      <c r="C54" s="825"/>
      <c r="D54" s="825"/>
    </row>
    <row r="55" spans="1:4" x14ac:dyDescent="0.25">
      <c r="A55" s="825"/>
      <c r="B55" s="825"/>
      <c r="C55" s="825"/>
      <c r="D55" s="825"/>
    </row>
    <row r="56" spans="1:4" x14ac:dyDescent="0.25">
      <c r="A56" s="825"/>
      <c r="B56" s="825"/>
      <c r="C56" s="825"/>
      <c r="D56" s="825"/>
    </row>
    <row r="57" spans="1:4" x14ac:dyDescent="0.25">
      <c r="A57" s="825"/>
      <c r="B57" s="825"/>
      <c r="C57" s="825"/>
      <c r="D57" s="825"/>
    </row>
    <row r="58" spans="1:4" x14ac:dyDescent="0.25">
      <c r="A58" s="825"/>
      <c r="B58" s="825"/>
      <c r="C58" s="825"/>
      <c r="D58" s="825"/>
    </row>
    <row r="59" spans="1:4" x14ac:dyDescent="0.25">
      <c r="A59" s="825"/>
      <c r="B59" s="825"/>
      <c r="C59" s="825"/>
      <c r="D59" s="825"/>
    </row>
    <row r="60" spans="1:4" x14ac:dyDescent="0.25">
      <c r="A60" s="825"/>
      <c r="B60" s="825"/>
      <c r="C60" s="825"/>
      <c r="D60" s="825"/>
    </row>
    <row r="61" spans="1:4" x14ac:dyDescent="0.25">
      <c r="A61" s="825"/>
      <c r="B61" s="825"/>
      <c r="C61" s="825"/>
      <c r="D61" s="825"/>
    </row>
  </sheetData>
  <conditionalFormatting sqref="A4:A17">
    <cfRule type="expression" dxfId="2022" priority="11">
      <formula>MOD(ROW(),2)=0</formula>
    </cfRule>
  </conditionalFormatting>
  <conditionalFormatting sqref="A18">
    <cfRule type="expression" dxfId="2021" priority="10">
      <formula>MOD(ROW(),2)=0</formula>
    </cfRule>
  </conditionalFormatting>
  <conditionalFormatting pivot="1" sqref="B35:D35">
    <cfRule type="expression" dxfId="2020" priority="7">
      <formula>MOD(ROW(),2)=0</formula>
    </cfRule>
  </conditionalFormatting>
  <conditionalFormatting pivot="1" sqref="B37:D37">
    <cfRule type="expression" dxfId="2019" priority="6">
      <formula>MOD(ROW(),2)=0</formula>
    </cfRule>
  </conditionalFormatting>
  <conditionalFormatting pivot="1" sqref="B39:D39">
    <cfRule type="expression" dxfId="2018" priority="5">
      <formula>MOD(ROW(),2)=0</formula>
    </cfRule>
  </conditionalFormatting>
  <conditionalFormatting pivot="1" sqref="B47:D47">
    <cfRule type="expression" dxfId="2017" priority="4">
      <formula>MOD(ROW(),2)=0</formula>
    </cfRule>
  </conditionalFormatting>
  <conditionalFormatting pivot="1" sqref="B49:D49">
    <cfRule type="expression" dxfId="2016" priority="3">
      <formula>MOD(ROW(),2)=0</formula>
    </cfRule>
  </conditionalFormatting>
  <conditionalFormatting pivot="1" sqref="B51:D51">
    <cfRule type="expression" dxfId="2015" priority="2">
      <formula>MOD(ROW(),2)=0</formula>
    </cfRule>
  </conditionalFormatting>
  <conditionalFormatting sqref="E13:G13">
    <cfRule type="expression" dxfId="2014" priority="1">
      <formula>MOD(ROW(),2)=0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C000"/>
  </sheetPr>
  <dimension ref="A3:D44"/>
  <sheetViews>
    <sheetView showGridLines="0" zoomScale="80" zoomScaleNormal="80" workbookViewId="0">
      <selection activeCell="C5" sqref="C5"/>
    </sheetView>
  </sheetViews>
  <sheetFormatPr baseColWidth="10" defaultColWidth="11.59765625" defaultRowHeight="15.65" x14ac:dyDescent="0.25"/>
  <cols>
    <col min="1" max="1" width="33.59765625" style="213" bestFit="1" customWidth="1"/>
    <col min="2" max="2" width="13.69921875" bestFit="1" customWidth="1"/>
    <col min="3" max="3" width="14.59765625" bestFit="1" customWidth="1"/>
    <col min="4" max="4" width="15" bestFit="1" customWidth="1"/>
    <col min="5" max="5" width="70.69921875" bestFit="1" customWidth="1"/>
    <col min="6" max="6" width="73.59765625" bestFit="1" customWidth="1"/>
    <col min="7" max="7" width="106.796875" bestFit="1" customWidth="1"/>
    <col min="8" max="8" width="99" bestFit="1" customWidth="1"/>
    <col min="9" max="9" width="72.59765625" bestFit="1" customWidth="1"/>
    <col min="10" max="10" width="43.8984375" bestFit="1" customWidth="1"/>
    <col min="11" max="11" width="67.59765625" bestFit="1" customWidth="1"/>
    <col min="12" max="12" width="83.3984375" bestFit="1" customWidth="1"/>
    <col min="13" max="13" width="46.3984375" bestFit="1" customWidth="1"/>
    <col min="14" max="14" width="40.796875" bestFit="1" customWidth="1"/>
    <col min="15" max="15" width="54.8984375" bestFit="1" customWidth="1"/>
    <col min="16" max="16" width="123.3984375" bestFit="1" customWidth="1"/>
    <col min="17" max="17" width="35.796875" bestFit="1" customWidth="1"/>
    <col min="18" max="18" width="17.296875" bestFit="1" customWidth="1"/>
    <col min="19" max="19" width="32.3984375" bestFit="1" customWidth="1"/>
    <col min="20" max="20" width="52.3984375" bestFit="1" customWidth="1"/>
    <col min="21" max="21" width="59" bestFit="1" customWidth="1"/>
    <col min="22" max="22" width="83.59765625" bestFit="1" customWidth="1"/>
    <col min="23" max="23" width="67.69921875" bestFit="1" customWidth="1"/>
    <col min="24" max="24" width="28.59765625" bestFit="1" customWidth="1"/>
    <col min="25" max="25" width="131.09765625" bestFit="1" customWidth="1"/>
    <col min="26" max="26" width="122.69921875" bestFit="1" customWidth="1"/>
    <col min="27" max="27" width="80.796875" bestFit="1" customWidth="1"/>
    <col min="28" max="28" width="78.09765625" bestFit="1" customWidth="1"/>
    <col min="29" max="29" width="43.59765625" bestFit="1" customWidth="1"/>
    <col min="30" max="30" width="58.59765625" bestFit="1" customWidth="1"/>
    <col min="31" max="31" width="46.796875" bestFit="1" customWidth="1"/>
    <col min="32" max="32" width="77.8984375" bestFit="1" customWidth="1"/>
    <col min="33" max="33" width="162.3984375" bestFit="1" customWidth="1"/>
    <col min="34" max="34" width="57.3984375" bestFit="1" customWidth="1"/>
    <col min="35" max="35" width="45.8984375" bestFit="1" customWidth="1"/>
    <col min="36" max="36" width="56" bestFit="1" customWidth="1"/>
    <col min="37" max="37" width="56.3984375" bestFit="1" customWidth="1"/>
    <col min="38" max="38" width="69.09765625" bestFit="1" customWidth="1"/>
    <col min="39" max="39" width="42.8984375" bestFit="1" customWidth="1"/>
    <col min="40" max="40" width="65.8984375" bestFit="1" customWidth="1"/>
    <col min="41" max="41" width="28.3984375" bestFit="1" customWidth="1"/>
    <col min="42" max="42" width="75.3984375" bestFit="1" customWidth="1"/>
    <col min="43" max="43" width="36.69921875" bestFit="1" customWidth="1"/>
    <col min="44" max="44" width="47.296875" bestFit="1" customWidth="1"/>
    <col min="45" max="45" width="66.59765625" bestFit="1" customWidth="1"/>
    <col min="46" max="46" width="77.796875" bestFit="1" customWidth="1"/>
    <col min="47" max="47" width="32.3984375" bestFit="1" customWidth="1"/>
    <col min="48" max="48" width="52.8984375" bestFit="1" customWidth="1"/>
    <col min="49" max="49" width="52.296875" bestFit="1" customWidth="1"/>
    <col min="50" max="50" width="67.19921875" bestFit="1" customWidth="1"/>
    <col min="51" max="51" width="28.296875" bestFit="1" customWidth="1"/>
    <col min="52" max="52" width="36.59765625" bestFit="1" customWidth="1"/>
    <col min="53" max="53" width="66.69921875" bestFit="1" customWidth="1"/>
    <col min="54" max="54" width="112.19921875" bestFit="1" customWidth="1"/>
    <col min="55" max="55" width="49.796875" bestFit="1" customWidth="1"/>
    <col min="56" max="56" width="58.09765625" bestFit="1" customWidth="1"/>
    <col min="57" max="57" width="36.796875" bestFit="1" customWidth="1"/>
    <col min="58" max="58" width="77" bestFit="1" customWidth="1"/>
    <col min="59" max="59" width="139.3984375" bestFit="1" customWidth="1"/>
    <col min="60" max="60" width="82.69921875" bestFit="1" customWidth="1"/>
    <col min="61" max="61" width="35.19921875" bestFit="1" customWidth="1"/>
    <col min="62" max="62" width="72" bestFit="1" customWidth="1"/>
    <col min="63" max="63" width="68.19921875" bestFit="1" customWidth="1"/>
    <col min="64" max="64" width="51.296875" bestFit="1" customWidth="1"/>
    <col min="65" max="65" width="60" bestFit="1" customWidth="1"/>
    <col min="66" max="66" width="78.8984375" bestFit="1" customWidth="1"/>
    <col min="67" max="67" width="80.09765625" bestFit="1" customWidth="1"/>
    <col min="68" max="68" width="83.8984375" bestFit="1" customWidth="1"/>
    <col min="69" max="69" width="53" bestFit="1" customWidth="1"/>
    <col min="70" max="70" width="41.69921875" bestFit="1" customWidth="1"/>
    <col min="71" max="71" width="51" bestFit="1" customWidth="1"/>
    <col min="72" max="72" width="44.796875" bestFit="1" customWidth="1"/>
    <col min="73" max="73" width="74.09765625" bestFit="1" customWidth="1"/>
    <col min="74" max="74" width="76.296875" bestFit="1" customWidth="1"/>
    <col min="75" max="75" width="62.796875" bestFit="1" customWidth="1"/>
    <col min="76" max="76" width="82" bestFit="1" customWidth="1"/>
    <col min="77" max="77" width="55.09765625" bestFit="1" customWidth="1"/>
    <col min="78" max="78" width="63.3984375" bestFit="1" customWidth="1"/>
    <col min="79" max="79" width="167.19921875" bestFit="1" customWidth="1"/>
    <col min="80" max="80" width="37.69921875" bestFit="1" customWidth="1"/>
    <col min="81" max="81" width="56.796875" bestFit="1" customWidth="1"/>
    <col min="82" max="82" width="30.796875" bestFit="1" customWidth="1"/>
    <col min="83" max="83" width="31.3984375" bestFit="1" customWidth="1"/>
    <col min="84" max="84" width="78.296875" bestFit="1" customWidth="1"/>
    <col min="85" max="85" width="60.69921875" bestFit="1" customWidth="1"/>
    <col min="86" max="86" width="40.19921875" bestFit="1" customWidth="1"/>
    <col min="87" max="87" width="24.296875" bestFit="1" customWidth="1"/>
    <col min="88" max="88" width="47.19921875" bestFit="1" customWidth="1"/>
    <col min="89" max="89" width="12" bestFit="1" customWidth="1"/>
  </cols>
  <sheetData>
    <row r="3" spans="1:4" x14ac:dyDescent="0.25">
      <c r="A3" s="689" t="s">
        <v>186</v>
      </c>
      <c r="B3" s="690" t="s">
        <v>119</v>
      </c>
      <c r="C3" s="690" t="s">
        <v>187</v>
      </c>
      <c r="D3" s="690" t="s">
        <v>188</v>
      </c>
    </row>
    <row r="4" spans="1:4" ht="31.25" x14ac:dyDescent="0.25">
      <c r="A4" s="234" t="s">
        <v>120</v>
      </c>
      <c r="B4" s="339">
        <v>70</v>
      </c>
      <c r="C4" s="235">
        <v>1319338575.7728331</v>
      </c>
      <c r="D4" s="235">
        <v>1487190420.5228326</v>
      </c>
    </row>
    <row r="5" spans="1:4" x14ac:dyDescent="0.25">
      <c r="A5" s="227" t="s">
        <v>132</v>
      </c>
      <c r="B5" s="233">
        <v>66</v>
      </c>
      <c r="C5" s="230">
        <v>563041194.04944217</v>
      </c>
      <c r="D5" s="230">
        <v>583874521.66414607</v>
      </c>
    </row>
    <row r="6" spans="1:4" x14ac:dyDescent="0.25">
      <c r="A6" s="236" t="s">
        <v>137</v>
      </c>
      <c r="B6" s="340">
        <v>63</v>
      </c>
      <c r="C6" s="237">
        <v>478036093.29928708</v>
      </c>
      <c r="D6" s="237">
        <v>520867843.8711403</v>
      </c>
    </row>
    <row r="7" spans="1:4" s="231" customFormat="1" x14ac:dyDescent="0.25">
      <c r="A7" s="227" t="s">
        <v>134</v>
      </c>
      <c r="B7" s="233">
        <v>64</v>
      </c>
      <c r="C7" s="230">
        <v>448580347.08427739</v>
      </c>
      <c r="D7" s="230">
        <v>464582313.94827741</v>
      </c>
    </row>
    <row r="8" spans="1:4" s="231" customFormat="1" x14ac:dyDescent="0.25">
      <c r="A8" s="223" t="s">
        <v>139</v>
      </c>
      <c r="B8" s="341">
        <v>39</v>
      </c>
      <c r="C8" s="211">
        <v>123607524.29305695</v>
      </c>
      <c r="D8" s="211">
        <v>142921449.29305694</v>
      </c>
    </row>
    <row r="9" spans="1:4" s="231" customFormat="1" x14ac:dyDescent="0.25">
      <c r="A9" s="689" t="s">
        <v>141</v>
      </c>
      <c r="B9" s="693">
        <v>302</v>
      </c>
      <c r="C9" s="697">
        <v>2932603734.4988966</v>
      </c>
      <c r="D9" s="697">
        <v>3199436549.2994537</v>
      </c>
    </row>
    <row r="10" spans="1:4" s="231" customFormat="1" x14ac:dyDescent="0.25">
      <c r="A10" s="825"/>
      <c r="B10" s="825"/>
      <c r="C10" s="825"/>
      <c r="D10" s="825"/>
    </row>
    <row r="11" spans="1:4" s="231" customFormat="1" x14ac:dyDescent="0.25">
      <c r="A11" s="825"/>
      <c r="B11" s="825"/>
      <c r="C11" s="825"/>
      <c r="D11" s="825"/>
    </row>
    <row r="12" spans="1:4" s="231" customFormat="1" x14ac:dyDescent="0.25">
      <c r="A12" s="825"/>
      <c r="B12" s="825"/>
      <c r="C12" s="825"/>
      <c r="D12" s="825"/>
    </row>
    <row r="13" spans="1:4" s="231" customFormat="1" x14ac:dyDescent="0.25">
      <c r="A13" s="825"/>
      <c r="B13" s="825"/>
      <c r="C13" s="825"/>
      <c r="D13" s="825"/>
    </row>
    <row r="14" spans="1:4" s="231" customFormat="1" x14ac:dyDescent="0.25">
      <c r="A14" s="825"/>
      <c r="B14" s="825"/>
      <c r="C14" s="825"/>
      <c r="D14" s="825"/>
    </row>
    <row r="15" spans="1:4" s="231" customFormat="1" x14ac:dyDescent="0.25">
      <c r="A15" s="825"/>
      <c r="B15" s="825"/>
      <c r="C15" s="825"/>
      <c r="D15" s="825"/>
    </row>
    <row r="16" spans="1:4" s="231" customFormat="1" x14ac:dyDescent="0.25">
      <c r="A16" s="825"/>
      <c r="B16" s="825"/>
      <c r="C16" s="825"/>
      <c r="D16" s="825"/>
    </row>
    <row r="17" spans="1:4" s="231" customFormat="1" x14ac:dyDescent="0.25">
      <c r="A17" s="825"/>
      <c r="B17" s="825"/>
      <c r="C17" s="825"/>
      <c r="D17" s="825"/>
    </row>
    <row r="18" spans="1:4" s="231" customFormat="1" x14ac:dyDescent="0.25">
      <c r="A18" s="825"/>
      <c r="B18" s="825"/>
      <c r="C18" s="825"/>
      <c r="D18" s="825"/>
    </row>
    <row r="19" spans="1:4" s="231" customFormat="1" x14ac:dyDescent="0.25">
      <c r="A19" s="825"/>
      <c r="B19" s="825"/>
      <c r="C19" s="825"/>
      <c r="D19" s="825"/>
    </row>
    <row r="20" spans="1:4" s="231" customFormat="1" x14ac:dyDescent="0.25">
      <c r="A20" s="825"/>
      <c r="B20" s="825"/>
      <c r="C20" s="825"/>
      <c r="D20" s="825"/>
    </row>
    <row r="21" spans="1:4" s="231" customFormat="1" x14ac:dyDescent="0.25">
      <c r="A21" s="825"/>
      <c r="B21" s="825"/>
      <c r="C21" s="825"/>
      <c r="D21" s="825"/>
    </row>
    <row r="22" spans="1:4" s="231" customFormat="1" x14ac:dyDescent="0.25">
      <c r="A22" s="825"/>
      <c r="B22" s="825"/>
      <c r="C22" s="825"/>
      <c r="D22" s="825"/>
    </row>
    <row r="23" spans="1:4" s="231" customFormat="1" x14ac:dyDescent="0.25">
      <c r="A23" s="825"/>
      <c r="B23" s="825"/>
      <c r="C23" s="825"/>
      <c r="D23" s="825"/>
    </row>
    <row r="24" spans="1:4" s="231" customFormat="1" x14ac:dyDescent="0.25">
      <c r="A24" s="825"/>
      <c r="B24" s="825"/>
      <c r="C24" s="825"/>
      <c r="D24" s="825"/>
    </row>
    <row r="25" spans="1:4" s="231" customFormat="1" x14ac:dyDescent="0.25">
      <c r="A25" s="825"/>
      <c r="B25" s="825"/>
      <c r="C25" s="825"/>
      <c r="D25" s="825"/>
    </row>
    <row r="26" spans="1:4" s="231" customFormat="1" x14ac:dyDescent="0.25">
      <c r="A26" s="825"/>
      <c r="B26" s="825"/>
      <c r="C26" s="825"/>
      <c r="D26" s="825"/>
    </row>
    <row r="27" spans="1:4" s="231" customFormat="1" x14ac:dyDescent="0.25">
      <c r="A27" s="825"/>
      <c r="B27" s="825"/>
      <c r="C27" s="825"/>
      <c r="D27" s="825"/>
    </row>
    <row r="28" spans="1:4" s="231" customFormat="1" x14ac:dyDescent="0.25">
      <c r="A28" s="825"/>
      <c r="B28" s="825"/>
      <c r="C28" s="825"/>
      <c r="D28" s="825"/>
    </row>
    <row r="29" spans="1:4" s="231" customFormat="1" x14ac:dyDescent="0.25">
      <c r="A29" s="825"/>
      <c r="B29" s="825"/>
      <c r="C29" s="825"/>
      <c r="D29" s="825"/>
    </row>
    <row r="30" spans="1:4" s="231" customFormat="1" x14ac:dyDescent="0.25">
      <c r="A30" s="825"/>
      <c r="B30" s="825"/>
      <c r="C30" s="825"/>
      <c r="D30" s="825"/>
    </row>
    <row r="31" spans="1:4" s="231" customFormat="1" x14ac:dyDescent="0.25">
      <c r="A31" s="825"/>
      <c r="B31" s="825"/>
      <c r="C31" s="825"/>
      <c r="D31" s="825"/>
    </row>
    <row r="32" spans="1:4" s="231" customFormat="1" x14ac:dyDescent="0.25">
      <c r="A32" s="825"/>
      <c r="B32" s="825"/>
      <c r="C32" s="825"/>
      <c r="D32" s="825"/>
    </row>
    <row r="33" spans="1:4" s="231" customFormat="1" x14ac:dyDescent="0.25">
      <c r="A33" s="825"/>
      <c r="B33" s="825"/>
      <c r="C33" s="825"/>
      <c r="D33" s="825"/>
    </row>
    <row r="34" spans="1:4" s="231" customFormat="1" x14ac:dyDescent="0.25">
      <c r="A34" s="825"/>
      <c r="B34" s="825"/>
      <c r="C34" s="825"/>
      <c r="D34" s="825"/>
    </row>
    <row r="35" spans="1:4" s="231" customFormat="1" x14ac:dyDescent="0.25">
      <c r="A35" s="825"/>
      <c r="B35" s="825"/>
      <c r="C35" s="825"/>
      <c r="D35" s="825"/>
    </row>
    <row r="36" spans="1:4" s="231" customFormat="1" x14ac:dyDescent="0.25">
      <c r="A36" s="825"/>
      <c r="B36" s="825"/>
      <c r="C36" s="825"/>
      <c r="D36" s="825"/>
    </row>
    <row r="37" spans="1:4" s="231" customFormat="1" x14ac:dyDescent="0.25">
      <c r="A37" s="825"/>
      <c r="B37" s="825"/>
      <c r="C37" s="825"/>
      <c r="D37" s="825"/>
    </row>
    <row r="38" spans="1:4" s="231" customFormat="1" x14ac:dyDescent="0.25">
      <c r="A38" s="825"/>
      <c r="B38" s="825"/>
      <c r="C38" s="825"/>
      <c r="D38" s="825"/>
    </row>
    <row r="39" spans="1:4" s="231" customFormat="1" x14ac:dyDescent="0.25">
      <c r="A39" s="825"/>
      <c r="B39" s="825"/>
      <c r="C39" s="825"/>
      <c r="D39" s="825"/>
    </row>
    <row r="40" spans="1:4" s="231" customFormat="1" x14ac:dyDescent="0.25">
      <c r="A40" s="825"/>
      <c r="B40" s="825"/>
      <c r="C40" s="825"/>
      <c r="D40" s="825"/>
    </row>
    <row r="41" spans="1:4" s="231" customFormat="1" x14ac:dyDescent="0.25">
      <c r="A41" s="825"/>
      <c r="B41" s="825"/>
      <c r="C41" s="825"/>
      <c r="D41" s="825"/>
    </row>
    <row r="42" spans="1:4" s="231" customFormat="1" x14ac:dyDescent="0.25">
      <c r="A42" s="825"/>
      <c r="B42" s="825"/>
      <c r="C42" s="825"/>
      <c r="D42" s="825"/>
    </row>
    <row r="43" spans="1:4" s="231" customFormat="1" x14ac:dyDescent="0.25">
      <c r="A43" s="825"/>
      <c r="B43" s="825"/>
      <c r="C43" s="825"/>
      <c r="D43" s="825"/>
    </row>
    <row r="44" spans="1:4" x14ac:dyDescent="0.25">
      <c r="A44" s="825"/>
      <c r="B44" s="825"/>
      <c r="C44" s="825"/>
      <c r="D44" s="825"/>
    </row>
  </sheetData>
  <conditionalFormatting sqref="A4:A9">
    <cfRule type="expression" dxfId="1969" priority="2">
      <formula>MOD(ROW(),2)=0</formula>
    </cfRule>
  </conditionalFormatting>
  <conditionalFormatting sqref="A5:A13">
    <cfRule type="expression" dxfId="1968"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sheetPr>
  <dimension ref="A2:M52"/>
  <sheetViews>
    <sheetView showGridLines="0" topLeftCell="B1" zoomScale="80" zoomScaleNormal="80" workbookViewId="0">
      <selection activeCell="C5" sqref="C5"/>
    </sheetView>
  </sheetViews>
  <sheetFormatPr baseColWidth="10" defaultColWidth="11.59765625" defaultRowHeight="15.65" x14ac:dyDescent="0.25"/>
  <cols>
    <col min="1" max="1" width="84.3984375" style="213" bestFit="1" customWidth="1"/>
    <col min="2" max="2" width="21.09765625" bestFit="1" customWidth="1"/>
    <col min="3" max="3" width="16.796875" hidden="1" customWidth="1"/>
    <col min="4" max="4" width="12" bestFit="1" customWidth="1"/>
    <col min="5" max="5" width="16.796875" hidden="1" customWidth="1"/>
    <col min="6" max="6" width="12" bestFit="1" customWidth="1"/>
    <col min="7" max="7" width="8.19921875" hidden="1" customWidth="1"/>
    <col min="8" max="8" width="22.3984375" bestFit="1" customWidth="1"/>
    <col min="9" max="9" width="16.796875" hidden="1" customWidth="1"/>
    <col min="10" max="10" width="11.8984375" bestFit="1" customWidth="1"/>
    <col min="11" max="11" width="16.796875" hidden="1" customWidth="1"/>
    <col min="12" max="12" width="13.3984375" bestFit="1" customWidth="1"/>
    <col min="13" max="13" width="11.796875" bestFit="1" customWidth="1"/>
  </cols>
  <sheetData>
    <row r="2" spans="1:13" s="192" customFormat="1" x14ac:dyDescent="0.25">
      <c r="A2" s="213"/>
      <c r="B2" s="825"/>
      <c r="C2" s="825"/>
      <c r="D2" s="825"/>
      <c r="E2" s="825"/>
      <c r="F2" s="825"/>
      <c r="G2" s="825"/>
      <c r="H2" s="825"/>
      <c r="I2" s="825"/>
      <c r="J2" s="825"/>
      <c r="K2" s="825"/>
      <c r="L2" s="825"/>
      <c r="M2" s="825"/>
    </row>
    <row r="4" spans="1:13" hidden="1" x14ac:dyDescent="0.25">
      <c r="B4" s="193" t="s">
        <v>144</v>
      </c>
      <c r="C4" s="825"/>
      <c r="D4" s="825"/>
      <c r="E4" s="825"/>
      <c r="F4" s="825"/>
      <c r="G4" s="825"/>
      <c r="H4" s="825"/>
      <c r="I4" s="825"/>
      <c r="J4" s="825"/>
      <c r="K4" s="825"/>
      <c r="L4" s="825"/>
      <c r="M4" s="825"/>
    </row>
    <row r="5" spans="1:13" ht="31.25" x14ac:dyDescent="0.25">
      <c r="B5" s="692" t="s">
        <v>137</v>
      </c>
      <c r="C5" s="692"/>
      <c r="D5" s="692" t="s">
        <v>132</v>
      </c>
      <c r="E5" s="692"/>
      <c r="F5" s="692" t="s">
        <v>134</v>
      </c>
      <c r="G5" s="692"/>
      <c r="H5" s="692" t="s">
        <v>120</v>
      </c>
      <c r="I5" s="692"/>
      <c r="J5" s="692" t="s">
        <v>139</v>
      </c>
      <c r="K5" s="692"/>
      <c r="L5" s="692" t="s">
        <v>189</v>
      </c>
      <c r="M5" s="692" t="s">
        <v>190</v>
      </c>
    </row>
    <row r="6" spans="1:13" x14ac:dyDescent="0.25">
      <c r="A6" s="692" t="s">
        <v>191</v>
      </c>
      <c r="B6" s="225" t="s">
        <v>153</v>
      </c>
      <c r="C6" s="225" t="s">
        <v>192</v>
      </c>
      <c r="D6" s="225" t="s">
        <v>153</v>
      </c>
      <c r="E6" s="225" t="s">
        <v>192</v>
      </c>
      <c r="F6" s="225" t="s">
        <v>153</v>
      </c>
      <c r="G6" s="225" t="s">
        <v>192</v>
      </c>
      <c r="H6" s="225" t="s">
        <v>153</v>
      </c>
      <c r="I6" s="225" t="s">
        <v>192</v>
      </c>
      <c r="J6" s="825" t="s">
        <v>153</v>
      </c>
      <c r="K6" s="825" t="s">
        <v>192</v>
      </c>
      <c r="L6" s="692"/>
      <c r="M6" s="692"/>
    </row>
    <row r="7" spans="1:13" x14ac:dyDescent="0.25">
      <c r="A7" s="222" t="s">
        <v>193</v>
      </c>
      <c r="B7" s="221">
        <v>338078290.80799997</v>
      </c>
      <c r="C7" s="224">
        <v>0.7072233572880805</v>
      </c>
      <c r="D7" s="221">
        <v>336426641</v>
      </c>
      <c r="E7" s="224">
        <v>0.59751692159571801</v>
      </c>
      <c r="F7" s="221">
        <v>276939006.296</v>
      </c>
      <c r="G7" s="224">
        <v>0.61736767581565477</v>
      </c>
      <c r="H7" s="221">
        <v>833239396</v>
      </c>
      <c r="I7" s="224">
        <v>0.63155842730658496</v>
      </c>
      <c r="J7" s="221">
        <v>82000000</v>
      </c>
      <c r="K7" s="224">
        <v>0.66339003607570801</v>
      </c>
      <c r="L7" s="221">
        <v>1866683334.1040001</v>
      </c>
      <c r="M7" s="224">
        <v>0.63652763997552719</v>
      </c>
    </row>
    <row r="8" spans="1:13" x14ac:dyDescent="0.25">
      <c r="A8" s="223" t="s">
        <v>194</v>
      </c>
      <c r="B8" s="211">
        <v>96285018</v>
      </c>
      <c r="C8" s="210">
        <v>0.20141788318841064</v>
      </c>
      <c r="D8" s="211">
        <v>95061576</v>
      </c>
      <c r="E8" s="210">
        <v>0.16883591645632307</v>
      </c>
      <c r="F8" s="211">
        <v>94696774</v>
      </c>
      <c r="G8" s="210">
        <v>0.21110326079936084</v>
      </c>
      <c r="H8" s="211">
        <v>364920710</v>
      </c>
      <c r="I8" s="210">
        <v>0.27659367860614498</v>
      </c>
      <c r="J8" s="211"/>
      <c r="K8" s="210">
        <v>0</v>
      </c>
      <c r="L8" s="211">
        <v>650964078</v>
      </c>
      <c r="M8" s="210">
        <v>0.22197478313967717</v>
      </c>
    </row>
    <row r="9" spans="1:13" x14ac:dyDescent="0.25">
      <c r="A9" s="209" t="s">
        <v>195</v>
      </c>
      <c r="B9" s="211">
        <v>132886125</v>
      </c>
      <c r="C9" s="210">
        <v>0.27798345535554175</v>
      </c>
      <c r="D9" s="211">
        <v>116074199.99999999</v>
      </c>
      <c r="E9" s="210">
        <v>0.2061557861604833</v>
      </c>
      <c r="F9" s="211">
        <v>95730900</v>
      </c>
      <c r="G9" s="210">
        <v>0.21340859139781818</v>
      </c>
      <c r="H9" s="211">
        <v>276996540</v>
      </c>
      <c r="I9" s="210">
        <v>0.20995106569800925</v>
      </c>
      <c r="J9" s="211">
        <v>7950000</v>
      </c>
      <c r="K9" s="210">
        <v>6.431647300977901E-2</v>
      </c>
      <c r="L9" s="211">
        <v>629637765</v>
      </c>
      <c r="M9" s="210">
        <v>0.21470264038505982</v>
      </c>
    </row>
    <row r="10" spans="1:13" x14ac:dyDescent="0.25">
      <c r="A10" s="223" t="s">
        <v>196</v>
      </c>
      <c r="B10" s="211">
        <v>74633460</v>
      </c>
      <c r="C10" s="210">
        <v>0.15612515675311936</v>
      </c>
      <c r="D10" s="211">
        <v>92440865</v>
      </c>
      <c r="E10" s="210">
        <v>0.16418135294001687</v>
      </c>
      <c r="F10" s="211">
        <v>73154450</v>
      </c>
      <c r="G10" s="210">
        <v>0.16307992642900171</v>
      </c>
      <c r="H10" s="211">
        <v>175110146</v>
      </c>
      <c r="I10" s="210">
        <v>0.13272570757466498</v>
      </c>
      <c r="J10" s="211">
        <v>720000</v>
      </c>
      <c r="K10" s="210">
        <v>5.824888121640363E-3</v>
      </c>
      <c r="L10" s="211">
        <v>416058921</v>
      </c>
      <c r="M10" s="210">
        <v>0.14187355628908155</v>
      </c>
    </row>
    <row r="11" spans="1:13" x14ac:dyDescent="0.25">
      <c r="A11" s="223" t="s">
        <v>197</v>
      </c>
      <c r="B11" s="211">
        <v>27073687.807999998</v>
      </c>
      <c r="C11" s="210">
        <v>5.6635237772830256E-2</v>
      </c>
      <c r="D11" s="211">
        <v>3390000</v>
      </c>
      <c r="E11" s="210">
        <v>6.0208738469361709E-3</v>
      </c>
      <c r="F11" s="211">
        <v>8796882.2960000001</v>
      </c>
      <c r="G11" s="210">
        <v>1.9610494202830692E-2</v>
      </c>
      <c r="H11" s="211">
        <v>5340000</v>
      </c>
      <c r="I11" s="210">
        <v>4.0474826538532552E-3</v>
      </c>
      <c r="J11" s="211">
        <v>68530000</v>
      </c>
      <c r="K11" s="210">
        <v>0.55441608746668614</v>
      </c>
      <c r="L11" s="211">
        <v>113130570.104</v>
      </c>
      <c r="M11" s="210">
        <v>3.8576834903789339E-2</v>
      </c>
    </row>
    <row r="12" spans="1:13" x14ac:dyDescent="0.25">
      <c r="A12" s="223" t="s">
        <v>198</v>
      </c>
      <c r="B12" s="211">
        <v>7200000</v>
      </c>
      <c r="C12" s="210">
        <v>1.506162421817854E-2</v>
      </c>
      <c r="D12" s="211">
        <v>29460000</v>
      </c>
      <c r="E12" s="210">
        <v>5.232299219195858E-2</v>
      </c>
      <c r="F12" s="211">
        <v>4560000</v>
      </c>
      <c r="G12" s="210">
        <v>1.0165402986643299E-2</v>
      </c>
      <c r="H12" s="211">
        <v>10872000</v>
      </c>
      <c r="I12" s="210">
        <v>8.2404927739124709E-3</v>
      </c>
      <c r="J12" s="211">
        <v>4800000</v>
      </c>
      <c r="K12" s="210">
        <v>3.8832587477602418E-2</v>
      </c>
      <c r="L12" s="211">
        <v>56892000</v>
      </c>
      <c r="M12" s="210">
        <v>1.9399825257919247E-2</v>
      </c>
    </row>
    <row r="13" spans="1:13" x14ac:dyDescent="0.25">
      <c r="A13" s="222" t="s">
        <v>199</v>
      </c>
      <c r="B13" s="221">
        <v>76661930.31914033</v>
      </c>
      <c r="C13" s="224">
        <v>0.1603684980982055</v>
      </c>
      <c r="D13" s="221">
        <v>200315659.6641461</v>
      </c>
      <c r="E13" s="224">
        <v>0.35577442961758821</v>
      </c>
      <c r="F13" s="221">
        <v>108523690.03482342</v>
      </c>
      <c r="G13" s="224">
        <v>0.24192698307051436</v>
      </c>
      <c r="H13" s="221">
        <v>422957519.64212203</v>
      </c>
      <c r="I13" s="224">
        <v>0.32058300076185142</v>
      </c>
      <c r="J13" s="221">
        <v>10555077.173056941</v>
      </c>
      <c r="K13" s="224">
        <v>8.5391866178245443E-2</v>
      </c>
      <c r="L13" s="221">
        <v>819013876.83328879</v>
      </c>
      <c r="M13" s="224">
        <v>0.27927874032160582</v>
      </c>
    </row>
    <row r="14" spans="1:13" x14ac:dyDescent="0.25">
      <c r="A14" s="223" t="s">
        <v>200</v>
      </c>
      <c r="B14" s="211">
        <v>38320000.000000007</v>
      </c>
      <c r="C14" s="210">
        <v>8.0161311116750247E-2</v>
      </c>
      <c r="D14" s="211">
        <v>136480000.00000003</v>
      </c>
      <c r="E14" s="210">
        <v>0.24239789458107633</v>
      </c>
      <c r="F14" s="211">
        <v>26240000.000000004</v>
      </c>
      <c r="G14" s="210">
        <v>5.8495652274017582E-2</v>
      </c>
      <c r="H14" s="211">
        <v>264120000.00000003</v>
      </c>
      <c r="I14" s="210">
        <v>0.2001912206995734</v>
      </c>
      <c r="J14" s="211"/>
      <c r="K14" s="210">
        <v>0</v>
      </c>
      <c r="L14" s="211">
        <v>465160000.00000006</v>
      </c>
      <c r="M14" s="210">
        <v>0.15861672496965684</v>
      </c>
    </row>
    <row r="15" spans="1:13" x14ac:dyDescent="0.25">
      <c r="A15" s="223" t="s">
        <v>201</v>
      </c>
      <c r="B15" s="211">
        <v>28467875</v>
      </c>
      <c r="C15" s="210">
        <v>5.9551727158344357E-2</v>
      </c>
      <c r="D15" s="211">
        <v>37396250</v>
      </c>
      <c r="E15" s="210">
        <v>6.6418319645571322E-2</v>
      </c>
      <c r="F15" s="211">
        <v>70403125</v>
      </c>
      <c r="G15" s="210">
        <v>0.15694652130351347</v>
      </c>
      <c r="H15" s="211">
        <v>90890000</v>
      </c>
      <c r="I15" s="210">
        <v>6.8890580226352513E-2</v>
      </c>
      <c r="J15" s="211">
        <v>3250000</v>
      </c>
      <c r="K15" s="210">
        <v>2.6292897771293303E-2</v>
      </c>
      <c r="L15" s="211">
        <v>230407250</v>
      </c>
      <c r="M15" s="210">
        <v>7.8567467977179811E-2</v>
      </c>
    </row>
    <row r="16" spans="1:13" x14ac:dyDescent="0.25">
      <c r="A16" s="223" t="s">
        <v>202</v>
      </c>
      <c r="B16" s="211">
        <v>9874055.3191403169</v>
      </c>
      <c r="C16" s="210">
        <v>2.0655459823110893E-2</v>
      </c>
      <c r="D16" s="211">
        <v>26439409.664146077</v>
      </c>
      <c r="E16" s="210">
        <v>4.6958215390940583E-2</v>
      </c>
      <c r="F16" s="211">
        <v>11880565.034823416</v>
      </c>
      <c r="G16" s="210">
        <v>2.6484809492983308E-2</v>
      </c>
      <c r="H16" s="211">
        <v>67947519.642122015</v>
      </c>
      <c r="I16" s="210">
        <v>5.1501199835925507E-2</v>
      </c>
      <c r="J16" s="211">
        <v>7305077.1730569415</v>
      </c>
      <c r="K16" s="210">
        <v>5.909896840695214E-2</v>
      </c>
      <c r="L16" s="211">
        <v>123446626.83328877</v>
      </c>
      <c r="M16" s="210">
        <v>4.2094547374769163E-2</v>
      </c>
    </row>
    <row r="17" spans="1:13" x14ac:dyDescent="0.25">
      <c r="A17" s="222" t="s">
        <v>203</v>
      </c>
      <c r="B17" s="221">
        <v>63295872.172146879</v>
      </c>
      <c r="C17" s="224">
        <v>0.13240814461371397</v>
      </c>
      <c r="D17" s="221">
        <v>26298893.385296091</v>
      </c>
      <c r="E17" s="224">
        <v>4.6708648786693778E-2</v>
      </c>
      <c r="F17" s="221">
        <v>63117650.753453925</v>
      </c>
      <c r="G17" s="224">
        <v>0.14070534111383096</v>
      </c>
      <c r="H17" s="221">
        <v>63141660.130710952</v>
      </c>
      <c r="I17" s="224">
        <v>4.7858571931563718E-2</v>
      </c>
      <c r="J17" s="221">
        <v>31052447.120000001</v>
      </c>
      <c r="K17" s="224">
        <v>0.25121809774604653</v>
      </c>
      <c r="L17" s="221">
        <v>246906523.56160784</v>
      </c>
      <c r="M17" s="224">
        <v>8.4193619702867067E-2</v>
      </c>
    </row>
    <row r="18" spans="1:13" x14ac:dyDescent="0.25">
      <c r="A18" s="209" t="s">
        <v>204</v>
      </c>
      <c r="B18" s="211">
        <v>58770872.172146879</v>
      </c>
      <c r="C18" s="210">
        <v>0.12294233217103925</v>
      </c>
      <c r="D18" s="211">
        <v>17798893.385296091</v>
      </c>
      <c r="E18" s="210">
        <v>3.1612062444818421E-2</v>
      </c>
      <c r="F18" s="211">
        <v>58947650.753453925</v>
      </c>
      <c r="G18" s="210">
        <v>0.13140934759315057</v>
      </c>
      <c r="H18" s="211">
        <v>53281660.130710952</v>
      </c>
      <c r="I18" s="210">
        <v>4.0385130177445161E-2</v>
      </c>
      <c r="J18" s="211">
        <v>20992447.120000001</v>
      </c>
      <c r="K18" s="210">
        <v>0.16983146649090478</v>
      </c>
      <c r="L18" s="211">
        <v>209791523.56160784</v>
      </c>
      <c r="M18" s="210">
        <v>7.1537630909228725E-2</v>
      </c>
    </row>
    <row r="19" spans="1:13" x14ac:dyDescent="0.25">
      <c r="A19" s="223" t="s">
        <v>205</v>
      </c>
      <c r="B19" s="211">
        <v>2025000</v>
      </c>
      <c r="C19" s="210">
        <v>4.236081811362714E-3</v>
      </c>
      <c r="D19" s="211">
        <v>2675000</v>
      </c>
      <c r="E19" s="210">
        <v>4.7509845252372441E-3</v>
      </c>
      <c r="F19" s="211">
        <v>2365000</v>
      </c>
      <c r="G19" s="210">
        <v>5.2721881718007452E-3</v>
      </c>
      <c r="H19" s="211">
        <v>7100000</v>
      </c>
      <c r="I19" s="210">
        <v>5.3814844274078866E-3</v>
      </c>
      <c r="J19" s="211">
        <v>10060000</v>
      </c>
      <c r="K19" s="210">
        <v>8.1386631255141728E-2</v>
      </c>
      <c r="L19" s="211">
        <v>24225000</v>
      </c>
      <c r="M19" s="210">
        <v>8.2605773548670072E-3</v>
      </c>
    </row>
    <row r="20" spans="1:13" x14ac:dyDescent="0.25">
      <c r="A20" s="209" t="s">
        <v>195</v>
      </c>
      <c r="B20" s="211">
        <v>2500000</v>
      </c>
      <c r="C20" s="210">
        <v>5.2297306313119933E-3</v>
      </c>
      <c r="D20" s="211">
        <v>5825000</v>
      </c>
      <c r="E20" s="210">
        <v>1.0345601816638111E-2</v>
      </c>
      <c r="F20" s="211">
        <v>1805000</v>
      </c>
      <c r="G20" s="210">
        <v>4.0238053488796388E-3</v>
      </c>
      <c r="H20" s="211">
        <v>2760000</v>
      </c>
      <c r="I20" s="210">
        <v>2.0919573267106713E-3</v>
      </c>
      <c r="J20" s="211"/>
      <c r="K20" s="210">
        <v>0</v>
      </c>
      <c r="L20" s="211">
        <v>12890000</v>
      </c>
      <c r="M20" s="210">
        <v>4.3954114387713397E-3</v>
      </c>
    </row>
    <row r="21" spans="1:13" x14ac:dyDescent="0.25">
      <c r="A21" s="689" t="s">
        <v>141</v>
      </c>
      <c r="B21" s="697">
        <v>478036093.2992872</v>
      </c>
      <c r="C21" s="698">
        <v>1</v>
      </c>
      <c r="D21" s="697">
        <v>563041194.04944217</v>
      </c>
      <c r="E21" s="698">
        <v>1</v>
      </c>
      <c r="F21" s="697">
        <v>448580347.08427733</v>
      </c>
      <c r="G21" s="698">
        <v>1</v>
      </c>
      <c r="H21" s="697">
        <v>1319338575.7728329</v>
      </c>
      <c r="I21" s="698">
        <v>1</v>
      </c>
      <c r="J21" s="697">
        <v>123607524.29305695</v>
      </c>
      <c r="K21" s="698">
        <v>1</v>
      </c>
      <c r="L21" s="697">
        <v>2932603734.4988966</v>
      </c>
      <c r="M21" s="698">
        <v>1</v>
      </c>
    </row>
    <row r="22" spans="1:13" x14ac:dyDescent="0.25">
      <c r="A22" s="825"/>
      <c r="B22" s="825"/>
      <c r="C22" s="825"/>
      <c r="D22" s="825"/>
      <c r="E22" s="825"/>
      <c r="F22" s="825"/>
      <c r="G22" s="825"/>
      <c r="H22" s="825"/>
      <c r="I22" s="825"/>
      <c r="J22" s="825"/>
      <c r="K22" s="825"/>
      <c r="L22" s="825"/>
      <c r="M22" s="825"/>
    </row>
    <row r="23" spans="1:13" x14ac:dyDescent="0.25">
      <c r="A23" s="825"/>
      <c r="B23" s="825"/>
      <c r="C23" s="825"/>
      <c r="D23" s="825"/>
      <c r="E23" s="825"/>
      <c r="F23" s="825"/>
      <c r="G23" s="825"/>
      <c r="H23" s="825"/>
      <c r="I23" s="825"/>
      <c r="J23" s="825"/>
      <c r="K23" s="825"/>
      <c r="L23" s="825"/>
      <c r="M23" s="825"/>
    </row>
    <row r="24" spans="1:13" x14ac:dyDescent="0.25">
      <c r="A24" s="825"/>
      <c r="B24" s="825"/>
      <c r="C24" s="825"/>
      <c r="D24" s="825"/>
      <c r="E24" s="825"/>
      <c r="F24" s="825"/>
      <c r="G24" s="825"/>
      <c r="H24" s="825"/>
      <c r="I24" s="825"/>
      <c r="J24" s="825"/>
      <c r="K24" s="825"/>
      <c r="L24" s="825"/>
      <c r="M24" s="825"/>
    </row>
    <row r="25" spans="1:13" x14ac:dyDescent="0.25">
      <c r="A25" s="825"/>
      <c r="B25" s="825"/>
      <c r="C25" s="825"/>
      <c r="D25" s="825"/>
      <c r="E25" s="825"/>
      <c r="F25" s="825"/>
      <c r="G25" s="825"/>
      <c r="H25" s="825"/>
      <c r="I25" s="825"/>
      <c r="J25" s="825"/>
      <c r="K25" s="825"/>
      <c r="L25" s="825"/>
      <c r="M25" s="825"/>
    </row>
    <row r="26" spans="1:13" x14ac:dyDescent="0.25">
      <c r="A26" s="825"/>
      <c r="B26" s="825"/>
      <c r="C26" s="825"/>
      <c r="D26" s="825"/>
      <c r="E26" s="825"/>
      <c r="F26" s="825"/>
      <c r="G26" s="825"/>
      <c r="H26" s="825"/>
      <c r="I26" s="825"/>
      <c r="J26" s="825"/>
      <c r="K26" s="825"/>
      <c r="L26" s="825"/>
      <c r="M26" s="825"/>
    </row>
    <row r="27" spans="1:13" x14ac:dyDescent="0.25">
      <c r="A27" s="825"/>
      <c r="B27" s="825"/>
      <c r="C27" s="825"/>
      <c r="D27" s="825"/>
      <c r="E27" s="825"/>
      <c r="F27" s="825"/>
      <c r="G27" s="825"/>
      <c r="H27" s="825"/>
      <c r="I27" s="825"/>
      <c r="J27" s="825"/>
      <c r="K27" s="825"/>
      <c r="L27" s="825"/>
      <c r="M27" s="825"/>
    </row>
    <row r="28" spans="1:13" x14ac:dyDescent="0.25">
      <c r="A28" s="825"/>
      <c r="B28" s="825"/>
      <c r="C28" s="825"/>
      <c r="D28" s="825"/>
      <c r="E28" s="825"/>
      <c r="F28" s="825"/>
      <c r="G28" s="825"/>
      <c r="H28" s="825"/>
      <c r="I28" s="825"/>
      <c r="J28" s="825"/>
      <c r="K28" s="825"/>
      <c r="L28" s="825"/>
      <c r="M28" s="825"/>
    </row>
    <row r="29" spans="1:13" x14ac:dyDescent="0.25">
      <c r="A29" s="825"/>
      <c r="B29" s="825"/>
      <c r="C29" s="825"/>
      <c r="D29" s="825"/>
      <c r="E29" s="825"/>
      <c r="F29" s="825"/>
      <c r="G29" s="825"/>
      <c r="H29" s="825"/>
      <c r="I29" s="825"/>
      <c r="J29" s="825"/>
      <c r="K29" s="825"/>
      <c r="L29" s="825"/>
      <c r="M29" s="825"/>
    </row>
    <row r="30" spans="1:13" x14ac:dyDescent="0.25">
      <c r="A30" s="825"/>
      <c r="B30" s="825"/>
      <c r="C30" s="825"/>
      <c r="D30" s="825"/>
      <c r="E30" s="825"/>
      <c r="F30" s="825"/>
      <c r="G30" s="825"/>
      <c r="H30" s="825"/>
      <c r="I30" s="825"/>
      <c r="J30" s="825"/>
      <c r="K30" s="825"/>
      <c r="L30" s="825"/>
      <c r="M30" s="825"/>
    </row>
    <row r="31" spans="1:13" x14ac:dyDescent="0.25">
      <c r="A31" s="825"/>
      <c r="B31" s="825"/>
      <c r="C31" s="825"/>
      <c r="D31" s="825"/>
      <c r="E31" s="825"/>
      <c r="F31" s="825"/>
      <c r="G31" s="825"/>
      <c r="H31" s="825"/>
      <c r="I31" s="825"/>
      <c r="J31" s="825"/>
      <c r="K31" s="825"/>
      <c r="L31" s="825"/>
      <c r="M31" s="825"/>
    </row>
    <row r="32" spans="1:13" x14ac:dyDescent="0.25">
      <c r="A32" s="825"/>
      <c r="B32" s="825"/>
      <c r="C32" s="825"/>
      <c r="D32" s="825"/>
      <c r="E32" s="825"/>
      <c r="F32" s="825"/>
      <c r="G32" s="825"/>
      <c r="H32" s="825"/>
      <c r="I32" s="825"/>
      <c r="J32" s="825"/>
      <c r="K32" s="825"/>
      <c r="L32" s="825"/>
      <c r="M32" s="825"/>
    </row>
    <row r="33" spans="1:1" x14ac:dyDescent="0.25">
      <c r="A33" s="825"/>
    </row>
    <row r="34" spans="1:1" x14ac:dyDescent="0.25">
      <c r="A34" s="825"/>
    </row>
    <row r="35" spans="1:1" x14ac:dyDescent="0.25">
      <c r="A35" s="825"/>
    </row>
    <row r="36" spans="1:1" x14ac:dyDescent="0.25">
      <c r="A36" s="825"/>
    </row>
    <row r="37" spans="1:1" x14ac:dyDescent="0.25">
      <c r="A37" s="825"/>
    </row>
    <row r="38" spans="1:1" x14ac:dyDescent="0.25">
      <c r="A38" s="825"/>
    </row>
    <row r="39" spans="1:1" x14ac:dyDescent="0.25">
      <c r="A39" s="825"/>
    </row>
    <row r="40" spans="1:1" x14ac:dyDescent="0.25">
      <c r="A40" s="825"/>
    </row>
    <row r="41" spans="1:1" x14ac:dyDescent="0.25">
      <c r="A41" s="825"/>
    </row>
    <row r="42" spans="1:1" x14ac:dyDescent="0.25">
      <c r="A42" s="825"/>
    </row>
    <row r="43" spans="1:1" x14ac:dyDescent="0.25">
      <c r="A43" s="825"/>
    </row>
    <row r="44" spans="1:1" x14ac:dyDescent="0.25">
      <c r="A44" s="825"/>
    </row>
    <row r="45" spans="1:1" x14ac:dyDescent="0.25">
      <c r="A45" s="825"/>
    </row>
    <row r="46" spans="1:1" x14ac:dyDescent="0.25">
      <c r="A46" s="825"/>
    </row>
    <row r="47" spans="1:1" x14ac:dyDescent="0.25">
      <c r="A47" s="825"/>
    </row>
    <row r="48" spans="1:1" x14ac:dyDescent="0.25">
      <c r="A48" s="825"/>
    </row>
    <row r="49" spans="1:1" x14ac:dyDescent="0.25">
      <c r="A49" s="825"/>
    </row>
    <row r="50" spans="1:1" x14ac:dyDescent="0.25">
      <c r="A50" s="825"/>
    </row>
    <row r="51" spans="1:1" x14ac:dyDescent="0.25">
      <c r="A51" s="825"/>
    </row>
    <row r="52" spans="1:1" x14ac:dyDescent="0.25">
      <c r="A52" s="82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B050"/>
  </sheetPr>
  <dimension ref="A1:H30"/>
  <sheetViews>
    <sheetView showGridLines="0" topLeftCell="A10" zoomScale="80" zoomScaleNormal="80" workbookViewId="0">
      <selection activeCell="C5" sqref="C5"/>
    </sheetView>
  </sheetViews>
  <sheetFormatPr baseColWidth="10" defaultColWidth="11.59765625" defaultRowHeight="15.65" x14ac:dyDescent="0.25"/>
  <cols>
    <col min="1" max="1" width="47.19921875" bestFit="1" customWidth="1"/>
    <col min="2" max="2" width="13.69921875" bestFit="1" customWidth="1"/>
    <col min="3" max="7" width="11.8984375" bestFit="1" customWidth="1"/>
    <col min="8" max="8" width="13.3984375" bestFit="1" customWidth="1"/>
    <col min="9" max="9" width="46.3984375" bestFit="1" customWidth="1"/>
    <col min="10" max="10" width="54.8984375" bestFit="1" customWidth="1"/>
    <col min="11" max="11" width="123.3984375" bestFit="1" customWidth="1"/>
    <col min="12" max="12" width="35.796875" bestFit="1" customWidth="1"/>
    <col min="13" max="13" width="17.296875" bestFit="1" customWidth="1"/>
    <col min="14" max="14" width="52.3984375" bestFit="1" customWidth="1"/>
    <col min="15" max="15" width="59" bestFit="1" customWidth="1"/>
    <col min="16" max="16" width="83.59765625" bestFit="1" customWidth="1"/>
    <col min="17" max="17" width="67.69921875" bestFit="1" customWidth="1"/>
    <col min="18" max="18" width="28.59765625" bestFit="1" customWidth="1"/>
    <col min="19" max="19" width="122.69921875" bestFit="1" customWidth="1"/>
    <col min="20" max="20" width="80.796875" bestFit="1" customWidth="1"/>
    <col min="21" max="21" width="78.09765625" bestFit="1" customWidth="1"/>
    <col min="22" max="22" width="56" bestFit="1" customWidth="1"/>
    <col min="23" max="23" width="56.3984375" bestFit="1" customWidth="1"/>
    <col min="24" max="24" width="69.09765625" bestFit="1" customWidth="1"/>
    <col min="25" max="25" width="36.69921875" bestFit="1" customWidth="1"/>
    <col min="26" max="26" width="47.296875" bestFit="1" customWidth="1"/>
    <col min="27" max="27" width="66.59765625" bestFit="1" customWidth="1"/>
    <col min="28" max="28" width="32.3984375" bestFit="1" customWidth="1"/>
    <col min="29" max="29" width="52.8984375" bestFit="1" customWidth="1"/>
    <col min="30" max="30" width="52.296875" bestFit="1" customWidth="1"/>
    <col min="31" max="31" width="67.19921875" bestFit="1" customWidth="1"/>
    <col min="32" max="32" width="28.296875" bestFit="1" customWidth="1"/>
    <col min="33" max="33" width="36.59765625" bestFit="1" customWidth="1"/>
    <col min="34" max="34" width="49.796875" bestFit="1" customWidth="1"/>
    <col min="35" max="35" width="58.09765625" bestFit="1" customWidth="1"/>
    <col min="36" max="36" width="35.19921875" bestFit="1" customWidth="1"/>
    <col min="37" max="37" width="68.19921875" bestFit="1" customWidth="1"/>
    <col min="38" max="38" width="51.296875" bestFit="1" customWidth="1"/>
    <col min="39" max="39" width="60" bestFit="1" customWidth="1"/>
    <col min="40" max="40" width="83.8984375" bestFit="1" customWidth="1"/>
    <col min="41" max="41" width="41.69921875" bestFit="1" customWidth="1"/>
    <col min="42" max="42" width="44.796875" bestFit="1" customWidth="1"/>
    <col min="43" max="43" width="62.796875" bestFit="1" customWidth="1"/>
    <col min="44" max="44" width="82" bestFit="1" customWidth="1"/>
    <col min="45" max="45" width="55.09765625" bestFit="1" customWidth="1"/>
    <col min="46" max="46" width="63.3984375" bestFit="1" customWidth="1"/>
    <col min="47" max="47" width="167.19921875" bestFit="1" customWidth="1"/>
    <col min="48" max="48" width="37.69921875" bestFit="1" customWidth="1"/>
    <col min="49" max="49" width="56.796875" bestFit="1" customWidth="1"/>
    <col min="50" max="50" width="30.796875" bestFit="1" customWidth="1"/>
    <col min="51" max="51" width="31.3984375" bestFit="1" customWidth="1"/>
    <col min="52" max="52" width="78.296875" bestFit="1" customWidth="1"/>
    <col min="53" max="53" width="25.69921875" bestFit="1" customWidth="1"/>
    <col min="54" max="54" width="59.296875" bestFit="1" customWidth="1"/>
    <col min="55" max="55" width="25.59765625" bestFit="1" customWidth="1"/>
    <col min="56" max="56" width="30.8984375" bestFit="1" customWidth="1"/>
    <col min="57" max="57" width="106.796875" bestFit="1" customWidth="1"/>
    <col min="58" max="58" width="43.8984375" bestFit="1" customWidth="1"/>
    <col min="59" max="59" width="83.3984375" bestFit="1" customWidth="1"/>
    <col min="60" max="60" width="46.3984375" bestFit="1" customWidth="1"/>
    <col min="61" max="61" width="40.796875" bestFit="1" customWidth="1"/>
    <col min="62" max="62" width="54.8984375" bestFit="1" customWidth="1"/>
    <col min="63" max="63" width="123.3984375" bestFit="1" customWidth="1"/>
    <col min="64" max="64" width="35.796875" bestFit="1" customWidth="1"/>
    <col min="65" max="65" width="52.3984375" bestFit="1" customWidth="1"/>
    <col min="66" max="66" width="67.69921875" bestFit="1" customWidth="1"/>
    <col min="67" max="67" width="28.59765625" bestFit="1" customWidth="1"/>
    <col min="68" max="68" width="122.69921875" bestFit="1" customWidth="1"/>
    <col min="69" max="69" width="80.796875" bestFit="1" customWidth="1"/>
    <col min="70" max="70" width="78.09765625" bestFit="1" customWidth="1"/>
    <col min="71" max="71" width="43.59765625" bestFit="1" customWidth="1"/>
    <col min="72" max="72" width="162.3984375" bestFit="1" customWidth="1"/>
    <col min="73" max="73" width="45.8984375" bestFit="1" customWidth="1"/>
    <col min="74" max="74" width="56" bestFit="1" customWidth="1"/>
    <col min="75" max="75" width="56.3984375" bestFit="1" customWidth="1"/>
    <col min="76" max="76" width="69.09765625" bestFit="1" customWidth="1"/>
    <col min="77" max="77" width="65.8984375" bestFit="1" customWidth="1"/>
    <col min="78" max="78" width="36.69921875" bestFit="1" customWidth="1"/>
    <col min="79" max="79" width="66.59765625" bestFit="1" customWidth="1"/>
    <col min="80" max="80" width="77.796875" bestFit="1" customWidth="1"/>
    <col min="81" max="81" width="32.3984375" bestFit="1" customWidth="1"/>
    <col min="82" max="82" width="52.8984375" bestFit="1" customWidth="1"/>
    <col min="83" max="83" width="52.296875" bestFit="1" customWidth="1"/>
    <col min="84" max="84" width="28.296875" bestFit="1" customWidth="1"/>
    <col min="85" max="85" width="36.59765625" bestFit="1" customWidth="1"/>
    <col min="86" max="86" width="58.09765625" bestFit="1" customWidth="1"/>
    <col min="87" max="87" width="35.19921875" bestFit="1" customWidth="1"/>
    <col min="88" max="88" width="68.19921875" bestFit="1" customWidth="1"/>
    <col min="89" max="89" width="51.296875" bestFit="1" customWidth="1"/>
    <col min="90" max="90" width="78.8984375" bestFit="1" customWidth="1"/>
    <col min="91" max="91" width="83.8984375" bestFit="1" customWidth="1"/>
    <col min="92" max="92" width="41.69921875" bestFit="1" customWidth="1"/>
    <col min="93" max="93" width="44.796875" bestFit="1" customWidth="1"/>
    <col min="94" max="94" width="74.09765625" bestFit="1" customWidth="1"/>
    <col min="95" max="95" width="62.796875" bestFit="1" customWidth="1"/>
    <col min="96" max="96" width="82" bestFit="1" customWidth="1"/>
    <col min="97" max="97" width="55.09765625" bestFit="1" customWidth="1"/>
    <col min="98" max="98" width="167.19921875" bestFit="1" customWidth="1"/>
    <col min="99" max="99" width="37.69921875" bestFit="1" customWidth="1"/>
    <col min="100" max="100" width="30.796875" bestFit="1" customWidth="1"/>
    <col min="101" max="101" width="31.3984375" bestFit="1" customWidth="1"/>
    <col min="102" max="102" width="78.296875" bestFit="1" customWidth="1"/>
    <col min="103" max="103" width="60.69921875" bestFit="1" customWidth="1"/>
    <col min="104" max="104" width="40.19921875" bestFit="1" customWidth="1"/>
    <col min="105" max="105" width="20.296875" bestFit="1" customWidth="1"/>
    <col min="106" max="106" width="59.296875" bestFit="1" customWidth="1"/>
    <col min="107" max="107" width="25.59765625" bestFit="1" customWidth="1"/>
    <col min="108" max="108" width="30.8984375" bestFit="1" customWidth="1"/>
    <col min="109" max="109" width="70.69921875" bestFit="1" customWidth="1"/>
    <col min="110" max="110" width="73.59765625" bestFit="1" customWidth="1"/>
    <col min="111" max="111" width="99" bestFit="1" customWidth="1"/>
    <col min="112" max="112" width="43.8984375" bestFit="1" customWidth="1"/>
    <col min="113" max="113" width="67.59765625" bestFit="1" customWidth="1"/>
    <col min="114" max="114" width="46.3984375" bestFit="1" customWidth="1"/>
    <col min="115" max="115" width="40.796875" bestFit="1" customWidth="1"/>
    <col min="116" max="116" width="54.8984375" bestFit="1" customWidth="1"/>
    <col min="117" max="117" width="123.3984375" bestFit="1" customWidth="1"/>
    <col min="118" max="118" width="35.796875" bestFit="1" customWidth="1"/>
    <col min="119" max="119" width="17.296875" bestFit="1" customWidth="1"/>
    <col min="120" max="120" width="32.3984375" bestFit="1" customWidth="1"/>
    <col min="121" max="121" width="52.3984375" bestFit="1" customWidth="1"/>
    <col min="122" max="122" width="67.69921875" bestFit="1" customWidth="1"/>
    <col min="123" max="123" width="28.59765625" bestFit="1" customWidth="1"/>
    <col min="124" max="124" width="122.69921875" bestFit="1" customWidth="1"/>
    <col min="125" max="125" width="80.796875" bestFit="1" customWidth="1"/>
    <col min="126" max="126" width="78.09765625" bestFit="1" customWidth="1"/>
    <col min="127" max="127" width="43.59765625" bestFit="1" customWidth="1"/>
    <col min="128" max="128" width="45.8984375" bestFit="1" customWidth="1"/>
    <col min="129" max="129" width="56.3984375" bestFit="1" customWidth="1"/>
    <col min="130" max="130" width="69.09765625" bestFit="1" customWidth="1"/>
    <col min="131" max="131" width="65.8984375" bestFit="1" customWidth="1"/>
    <col min="132" max="132" width="36.69921875" bestFit="1" customWidth="1"/>
    <col min="133" max="133" width="66.59765625" bestFit="1" customWidth="1"/>
    <col min="134" max="134" width="77.796875" bestFit="1" customWidth="1"/>
    <col min="135" max="135" width="32.3984375" bestFit="1" customWidth="1"/>
    <col min="136" max="136" width="52.8984375" bestFit="1" customWidth="1"/>
    <col min="137" max="137" width="52.296875" bestFit="1" customWidth="1"/>
    <col min="138" max="138" width="28.296875" bestFit="1" customWidth="1"/>
    <col min="139" max="139" width="36.59765625" bestFit="1" customWidth="1"/>
    <col min="140" max="140" width="58.09765625" bestFit="1" customWidth="1"/>
    <col min="141" max="141" width="35.19921875" bestFit="1" customWidth="1"/>
    <col min="142" max="142" width="68.19921875" bestFit="1" customWidth="1"/>
    <col min="143" max="143" width="51.296875" bestFit="1" customWidth="1"/>
    <col min="144" max="144" width="60" bestFit="1" customWidth="1"/>
    <col min="145" max="145" width="83.8984375" bestFit="1" customWidth="1"/>
    <col min="146" max="146" width="41.69921875" bestFit="1" customWidth="1"/>
    <col min="147" max="147" width="62.796875" bestFit="1" customWidth="1"/>
    <col min="148" max="148" width="82" bestFit="1" customWidth="1"/>
    <col min="149" max="149" width="55.09765625" bestFit="1" customWidth="1"/>
    <col min="150" max="150" width="63.3984375" bestFit="1" customWidth="1"/>
    <col min="151" max="151" width="167.19921875" bestFit="1" customWidth="1"/>
    <col min="152" max="152" width="37.69921875" bestFit="1" customWidth="1"/>
    <col min="153" max="153" width="56.796875" bestFit="1" customWidth="1"/>
    <col min="154" max="154" width="30.796875" bestFit="1" customWidth="1"/>
    <col min="155" max="155" width="31.3984375" bestFit="1" customWidth="1"/>
    <col min="156" max="156" width="78.296875" bestFit="1" customWidth="1"/>
    <col min="157" max="157" width="40.19921875" bestFit="1" customWidth="1"/>
    <col min="158" max="158" width="25.296875" bestFit="1" customWidth="1"/>
    <col min="159" max="159" width="59.296875" bestFit="1" customWidth="1"/>
    <col min="160" max="160" width="25.59765625" bestFit="1" customWidth="1"/>
    <col min="161" max="161" width="30.8984375" bestFit="1" customWidth="1"/>
    <col min="162" max="162" width="106.796875" bestFit="1" customWidth="1"/>
    <col min="163" max="163" width="43.8984375" bestFit="1" customWidth="1"/>
    <col min="164" max="164" width="46.3984375" bestFit="1" customWidth="1"/>
    <col min="165" max="165" width="40.796875" bestFit="1" customWidth="1"/>
    <col min="166" max="166" width="54.8984375" bestFit="1" customWidth="1"/>
    <col min="167" max="167" width="123.3984375" bestFit="1" customWidth="1"/>
    <col min="168" max="168" width="35.796875" bestFit="1" customWidth="1"/>
    <col min="169" max="169" width="32.3984375" bestFit="1" customWidth="1"/>
    <col min="170" max="170" width="52.3984375" bestFit="1" customWidth="1"/>
    <col min="171" max="171" width="83.59765625" bestFit="1" customWidth="1"/>
    <col min="172" max="172" width="67.69921875" bestFit="1" customWidth="1"/>
    <col min="173" max="173" width="28.59765625" bestFit="1" customWidth="1"/>
    <col min="174" max="174" width="122.69921875" bestFit="1" customWidth="1"/>
    <col min="175" max="175" width="80.796875" bestFit="1" customWidth="1"/>
    <col min="176" max="176" width="78.09765625" bestFit="1" customWidth="1"/>
    <col min="177" max="177" width="43.59765625" bestFit="1" customWidth="1"/>
    <col min="178" max="178" width="162.3984375" bestFit="1" customWidth="1"/>
    <col min="179" max="179" width="45.8984375" bestFit="1" customWidth="1"/>
    <col min="180" max="180" width="56" bestFit="1" customWidth="1"/>
    <col min="181" max="181" width="56.3984375" bestFit="1" customWidth="1"/>
    <col min="182" max="182" width="69.09765625" bestFit="1" customWidth="1"/>
    <col min="183" max="183" width="65.8984375" bestFit="1" customWidth="1"/>
    <col min="184" max="184" width="36.69921875" bestFit="1" customWidth="1"/>
    <col min="185" max="185" width="47.296875" bestFit="1" customWidth="1"/>
    <col min="186" max="186" width="66.59765625" bestFit="1" customWidth="1"/>
    <col min="187" max="187" width="77.796875" bestFit="1" customWidth="1"/>
    <col min="188" max="188" width="32.3984375" bestFit="1" customWidth="1"/>
    <col min="189" max="189" width="52.8984375" bestFit="1" customWidth="1"/>
    <col min="190" max="190" width="52.296875" bestFit="1" customWidth="1"/>
    <col min="191" max="191" width="28.296875" bestFit="1" customWidth="1"/>
    <col min="192" max="192" width="36.59765625" bestFit="1" customWidth="1"/>
    <col min="193" max="193" width="49.796875" bestFit="1" customWidth="1"/>
    <col min="194" max="194" width="58.09765625" bestFit="1" customWidth="1"/>
    <col min="195" max="195" width="35.19921875" bestFit="1" customWidth="1"/>
    <col min="196" max="196" width="68.19921875" bestFit="1" customWidth="1"/>
    <col min="197" max="197" width="51.296875" bestFit="1" customWidth="1"/>
    <col min="198" max="198" width="80.09765625" bestFit="1" customWidth="1"/>
    <col min="199" max="199" width="83.8984375" bestFit="1" customWidth="1"/>
    <col min="200" max="200" width="41.69921875" bestFit="1" customWidth="1"/>
    <col min="201" max="201" width="44.796875" bestFit="1" customWidth="1"/>
    <col min="202" max="202" width="76.296875" bestFit="1" customWidth="1"/>
    <col min="203" max="203" width="62.796875" bestFit="1" customWidth="1"/>
    <col min="204" max="204" width="82" bestFit="1" customWidth="1"/>
    <col min="205" max="205" width="55.09765625" bestFit="1" customWidth="1"/>
    <col min="206" max="206" width="167.19921875" bestFit="1" customWidth="1"/>
    <col min="207" max="207" width="37.69921875" bestFit="1" customWidth="1"/>
    <col min="208" max="208" width="30.796875" bestFit="1" customWidth="1"/>
    <col min="209" max="209" width="31.3984375" bestFit="1" customWidth="1"/>
    <col min="210" max="210" width="78.296875" bestFit="1" customWidth="1"/>
    <col min="211" max="211" width="40.19921875" bestFit="1" customWidth="1"/>
    <col min="212" max="212" width="42" bestFit="1" customWidth="1"/>
    <col min="213" max="213" width="72.59765625" bestFit="1" customWidth="1"/>
    <col min="214" max="214" width="131.09765625" bestFit="1" customWidth="1"/>
    <col min="215" max="215" width="58.59765625" bestFit="1" customWidth="1"/>
    <col min="216" max="216" width="46.796875" bestFit="1" customWidth="1"/>
    <col min="217" max="217" width="77.8984375" bestFit="1" customWidth="1"/>
    <col min="218" max="218" width="57.3984375" bestFit="1" customWidth="1"/>
    <col min="219" max="219" width="42.8984375" bestFit="1" customWidth="1"/>
    <col min="220" max="220" width="28.3984375" bestFit="1" customWidth="1"/>
    <col min="221" max="221" width="75.3984375" bestFit="1" customWidth="1"/>
    <col min="222" max="222" width="66.69921875" bestFit="1" customWidth="1"/>
    <col min="223" max="223" width="112.19921875" bestFit="1" customWidth="1"/>
    <col min="224" max="224" width="36.796875" bestFit="1" customWidth="1"/>
    <col min="225" max="225" width="77" bestFit="1" customWidth="1"/>
    <col min="226" max="226" width="139.3984375" bestFit="1" customWidth="1"/>
    <col min="227" max="227" width="82.69921875" bestFit="1" customWidth="1"/>
    <col min="228" max="228" width="72" bestFit="1" customWidth="1"/>
    <col min="229" max="229" width="53" bestFit="1" customWidth="1"/>
    <col min="230" max="230" width="51" bestFit="1" customWidth="1"/>
    <col min="231" max="231" width="24.296875" bestFit="1" customWidth="1"/>
    <col min="232" max="232" width="47.19921875" bestFit="1" customWidth="1"/>
    <col min="233" max="233" width="12.69921875" bestFit="1" customWidth="1"/>
    <col min="234" max="234" width="12" bestFit="1" customWidth="1"/>
  </cols>
  <sheetData>
    <row r="1" spans="1:8" s="192" customFormat="1" x14ac:dyDescent="0.25">
      <c r="A1" s="825"/>
      <c r="B1" s="825"/>
      <c r="C1" s="825"/>
      <c r="D1" s="825"/>
      <c r="E1" s="825"/>
      <c r="F1" s="825"/>
      <c r="G1" s="825"/>
      <c r="H1" s="825"/>
    </row>
    <row r="2" spans="1:8" ht="16.3" x14ac:dyDescent="0.3">
      <c r="A2" s="1385" t="s">
        <v>206</v>
      </c>
      <c r="B2" s="1386"/>
      <c r="C2" s="1386"/>
      <c r="D2" s="825"/>
      <c r="E2" s="825"/>
      <c r="F2" s="825"/>
      <c r="G2" s="825"/>
      <c r="H2" s="825"/>
    </row>
    <row r="3" spans="1:8" s="192" customFormat="1" ht="16.3" x14ac:dyDescent="0.3">
      <c r="A3" s="824"/>
      <c r="B3" s="825"/>
      <c r="C3" s="825"/>
      <c r="D3" s="825"/>
      <c r="E3" s="825"/>
      <c r="F3" s="825"/>
      <c r="G3" s="825"/>
      <c r="H3" s="825"/>
    </row>
    <row r="4" spans="1:8" ht="16.3" x14ac:dyDescent="0.3">
      <c r="A4" s="825"/>
      <c r="B4" s="825"/>
      <c r="C4" s="215" t="s">
        <v>207</v>
      </c>
      <c r="D4" s="216" t="s">
        <v>208</v>
      </c>
      <c r="E4" s="1382" t="s">
        <v>209</v>
      </c>
      <c r="F4" s="1383"/>
      <c r="G4" s="1384"/>
      <c r="H4" s="825"/>
    </row>
    <row r="5" spans="1:8" x14ac:dyDescent="0.25">
      <c r="A5" s="696" t="s">
        <v>210</v>
      </c>
      <c r="B5" s="696" t="s">
        <v>119</v>
      </c>
      <c r="C5" s="696" t="s">
        <v>211</v>
      </c>
      <c r="D5" s="696" t="s">
        <v>212</v>
      </c>
      <c r="E5" s="696" t="s">
        <v>213</v>
      </c>
      <c r="F5" s="696" t="s">
        <v>214</v>
      </c>
      <c r="G5" s="696" t="s">
        <v>215</v>
      </c>
      <c r="H5" s="696" t="s">
        <v>216</v>
      </c>
    </row>
    <row r="6" spans="1:8" x14ac:dyDescent="0.25">
      <c r="A6" s="217" t="s">
        <v>217</v>
      </c>
      <c r="B6" s="218">
        <v>152</v>
      </c>
      <c r="C6" s="218">
        <v>409148326.78050208</v>
      </c>
      <c r="D6" s="218">
        <v>415029178.73995316</v>
      </c>
      <c r="E6" s="218">
        <v>423039259.94940424</v>
      </c>
      <c r="F6" s="218">
        <v>429084826.86830628</v>
      </c>
      <c r="G6" s="218">
        <v>425477351.1588552</v>
      </c>
      <c r="H6" s="218">
        <v>2101778943.497021</v>
      </c>
    </row>
    <row r="7" spans="1:8" x14ac:dyDescent="0.25">
      <c r="A7" s="195" t="s">
        <v>218</v>
      </c>
      <c r="B7" s="211">
        <v>22</v>
      </c>
      <c r="C7" s="211">
        <v>122238070</v>
      </c>
      <c r="D7" s="211">
        <v>123547742.5</v>
      </c>
      <c r="E7" s="211">
        <v>123957414.25</v>
      </c>
      <c r="F7" s="211">
        <v>125515992.25</v>
      </c>
      <c r="G7" s="211">
        <v>126442696</v>
      </c>
      <c r="H7" s="211">
        <v>621701915</v>
      </c>
    </row>
    <row r="8" spans="1:8" x14ac:dyDescent="0.25">
      <c r="A8" s="195" t="s">
        <v>219</v>
      </c>
      <c r="B8" s="211">
        <v>17</v>
      </c>
      <c r="C8" s="211">
        <v>85366125</v>
      </c>
      <c r="D8" s="211">
        <v>85371750</v>
      </c>
      <c r="E8" s="211">
        <v>85728005</v>
      </c>
      <c r="F8" s="211">
        <v>86089885</v>
      </c>
      <c r="G8" s="211">
        <v>86084260</v>
      </c>
      <c r="H8" s="211">
        <v>428640025</v>
      </c>
    </row>
    <row r="9" spans="1:8" x14ac:dyDescent="0.25">
      <c r="A9" s="195" t="s">
        <v>220</v>
      </c>
      <c r="B9" s="211">
        <v>11</v>
      </c>
      <c r="C9" s="211">
        <v>72203124.799999997</v>
      </c>
      <c r="D9" s="211">
        <v>72203124.799999997</v>
      </c>
      <c r="E9" s="211">
        <v>72203124.799999997</v>
      </c>
      <c r="F9" s="211">
        <v>72203124.799999997</v>
      </c>
      <c r="G9" s="211">
        <v>72203124.799999997</v>
      </c>
      <c r="H9" s="211">
        <v>361015624</v>
      </c>
    </row>
    <row r="10" spans="1:8" x14ac:dyDescent="0.25">
      <c r="A10" s="195" t="s">
        <v>221</v>
      </c>
      <c r="B10" s="211">
        <v>18</v>
      </c>
      <c r="C10" s="211">
        <v>25394300.5</v>
      </c>
      <c r="D10" s="211">
        <v>26094300.5</v>
      </c>
      <c r="E10" s="211">
        <v>27494300.5</v>
      </c>
      <c r="F10" s="211">
        <v>23994300.5</v>
      </c>
      <c r="G10" s="211">
        <v>23994300.5</v>
      </c>
      <c r="H10" s="211">
        <v>126971502.5</v>
      </c>
    </row>
    <row r="11" spans="1:8" x14ac:dyDescent="0.25">
      <c r="A11" s="195" t="s">
        <v>222</v>
      </c>
      <c r="B11" s="211">
        <v>7</v>
      </c>
      <c r="C11" s="211">
        <v>24982740</v>
      </c>
      <c r="D11" s="211">
        <v>24982740</v>
      </c>
      <c r="E11" s="211">
        <v>24982740</v>
      </c>
      <c r="F11" s="211">
        <v>24982740</v>
      </c>
      <c r="G11" s="211">
        <v>24982740</v>
      </c>
      <c r="H11" s="211">
        <v>124913700</v>
      </c>
    </row>
    <row r="12" spans="1:8" x14ac:dyDescent="0.25">
      <c r="A12" s="195" t="s">
        <v>223</v>
      </c>
      <c r="B12" s="211">
        <v>13</v>
      </c>
      <c r="C12" s="211">
        <v>9925108.9189020917</v>
      </c>
      <c r="D12" s="211">
        <v>14737663.378353132</v>
      </c>
      <c r="E12" s="211">
        <v>19650217.837804183</v>
      </c>
      <c r="F12" s="211">
        <v>29475326.756706264</v>
      </c>
      <c r="G12" s="211">
        <v>24562772.297255229</v>
      </c>
      <c r="H12" s="211">
        <v>98351089.189020917</v>
      </c>
    </row>
    <row r="13" spans="1:8" x14ac:dyDescent="0.25">
      <c r="A13" s="195" t="s">
        <v>115</v>
      </c>
      <c r="B13" s="211">
        <v>8</v>
      </c>
      <c r="C13" s="211">
        <v>19184000</v>
      </c>
      <c r="D13" s="211">
        <v>18237000</v>
      </c>
      <c r="E13" s="211">
        <v>18237000</v>
      </c>
      <c r="F13" s="211">
        <v>16037000</v>
      </c>
      <c r="G13" s="211">
        <v>16037000</v>
      </c>
      <c r="H13" s="211">
        <v>87732000</v>
      </c>
    </row>
    <row r="14" spans="1:8" x14ac:dyDescent="0.25">
      <c r="A14" s="195" t="s">
        <v>224</v>
      </c>
      <c r="B14" s="211">
        <v>20</v>
      </c>
      <c r="C14" s="211">
        <v>10834880</v>
      </c>
      <c r="D14" s="211">
        <v>10834880</v>
      </c>
      <c r="E14" s="211">
        <v>10834880</v>
      </c>
      <c r="F14" s="211">
        <v>10834880</v>
      </c>
      <c r="G14" s="211">
        <v>10834880</v>
      </c>
      <c r="H14" s="211">
        <v>54174400</v>
      </c>
    </row>
    <row r="15" spans="1:8" x14ac:dyDescent="0.25">
      <c r="A15" s="195" t="s">
        <v>225</v>
      </c>
      <c r="B15" s="211">
        <v>1</v>
      </c>
      <c r="C15" s="211">
        <v>9400000</v>
      </c>
      <c r="D15" s="211">
        <v>9400000</v>
      </c>
      <c r="E15" s="211">
        <v>9400000</v>
      </c>
      <c r="F15" s="211">
        <v>9400000</v>
      </c>
      <c r="G15" s="211">
        <v>9400000</v>
      </c>
      <c r="H15" s="211">
        <v>47000000</v>
      </c>
    </row>
    <row r="16" spans="1:8" x14ac:dyDescent="0.25">
      <c r="A16" s="195" t="s">
        <v>226</v>
      </c>
      <c r="B16" s="211">
        <v>3</v>
      </c>
      <c r="C16" s="211">
        <v>9325000</v>
      </c>
      <c r="D16" s="211">
        <v>9325000</v>
      </c>
      <c r="E16" s="211">
        <v>9325000</v>
      </c>
      <c r="F16" s="211">
        <v>9325000</v>
      </c>
      <c r="G16" s="211">
        <v>9325000</v>
      </c>
      <c r="H16" s="211">
        <v>46625000</v>
      </c>
    </row>
    <row r="17" spans="1:8" x14ac:dyDescent="0.25">
      <c r="A17" s="195" t="s">
        <v>227</v>
      </c>
      <c r="B17" s="211">
        <v>5</v>
      </c>
      <c r="C17" s="211">
        <v>6912000</v>
      </c>
      <c r="D17" s="211">
        <v>6912000</v>
      </c>
      <c r="E17" s="211">
        <v>8064000</v>
      </c>
      <c r="F17" s="211">
        <v>8064000</v>
      </c>
      <c r="G17" s="211">
        <v>8448000</v>
      </c>
      <c r="H17" s="211">
        <v>38400000</v>
      </c>
    </row>
    <row r="18" spans="1:8" x14ac:dyDescent="0.25">
      <c r="A18" s="195" t="s">
        <v>228</v>
      </c>
      <c r="B18" s="211">
        <v>6</v>
      </c>
      <c r="C18" s="211">
        <v>5331977.5615999997</v>
      </c>
      <c r="D18" s="211">
        <v>5331977.5615999997</v>
      </c>
      <c r="E18" s="211">
        <v>5111577.5615999997</v>
      </c>
      <c r="F18" s="211">
        <v>5111577.5615999997</v>
      </c>
      <c r="G18" s="211">
        <v>5111577.5615999997</v>
      </c>
      <c r="H18" s="211">
        <v>25998687.807999998</v>
      </c>
    </row>
    <row r="19" spans="1:8" x14ac:dyDescent="0.25">
      <c r="A19" s="195" t="s">
        <v>229</v>
      </c>
      <c r="B19" s="211">
        <v>8</v>
      </c>
      <c r="C19" s="211">
        <v>3800000</v>
      </c>
      <c r="D19" s="211">
        <v>3800000</v>
      </c>
      <c r="E19" s="211">
        <v>3800000</v>
      </c>
      <c r="F19" s="211">
        <v>3800000</v>
      </c>
      <c r="G19" s="211">
        <v>3800000</v>
      </c>
      <c r="H19" s="211">
        <v>19000000</v>
      </c>
    </row>
    <row r="20" spans="1:8" x14ac:dyDescent="0.25">
      <c r="A20" s="195" t="s">
        <v>230</v>
      </c>
      <c r="B20" s="211">
        <v>3</v>
      </c>
      <c r="C20" s="211">
        <v>2736000</v>
      </c>
      <c r="D20" s="211">
        <v>2736000</v>
      </c>
      <c r="E20" s="211">
        <v>2736000</v>
      </c>
      <c r="F20" s="211">
        <v>2736000</v>
      </c>
      <c r="G20" s="211">
        <v>2736000</v>
      </c>
      <c r="H20" s="211">
        <v>13680000</v>
      </c>
    </row>
    <row r="21" spans="1:8" x14ac:dyDescent="0.25">
      <c r="A21" s="195" t="s">
        <v>231</v>
      </c>
      <c r="B21" s="211">
        <v>7</v>
      </c>
      <c r="C21" s="211">
        <v>1035000</v>
      </c>
      <c r="D21" s="211">
        <v>1035000</v>
      </c>
      <c r="E21" s="211">
        <v>1035000</v>
      </c>
      <c r="F21" s="211">
        <v>1035000</v>
      </c>
      <c r="G21" s="211">
        <v>1035000</v>
      </c>
      <c r="H21" s="211">
        <v>5175000</v>
      </c>
    </row>
    <row r="22" spans="1:8" x14ac:dyDescent="0.25">
      <c r="A22" s="195" t="s">
        <v>232</v>
      </c>
      <c r="B22" s="211">
        <v>3</v>
      </c>
      <c r="C22" s="211">
        <v>480000</v>
      </c>
      <c r="D22" s="211">
        <v>480000</v>
      </c>
      <c r="E22" s="211">
        <v>480000</v>
      </c>
      <c r="F22" s="211">
        <v>480000</v>
      </c>
      <c r="G22" s="211">
        <v>480000</v>
      </c>
      <c r="H22" s="211">
        <v>2400000</v>
      </c>
    </row>
    <row r="23" spans="1:8" x14ac:dyDescent="0.25">
      <c r="A23" s="217" t="s">
        <v>233</v>
      </c>
      <c r="B23" s="218">
        <v>141</v>
      </c>
      <c r="C23" s="218">
        <v>147922918.25551918</v>
      </c>
      <c r="D23" s="218">
        <v>114462167.14969574</v>
      </c>
      <c r="E23" s="218">
        <v>113477439.98548014</v>
      </c>
      <c r="F23" s="218">
        <v>111715560.65704894</v>
      </c>
      <c r="G23" s="218">
        <v>110468837.82126454</v>
      </c>
      <c r="H23" s="218">
        <v>598086923.86900866</v>
      </c>
    </row>
    <row r="24" spans="1:8" x14ac:dyDescent="0.25">
      <c r="A24" s="209">
        <v>0</v>
      </c>
      <c r="B24" s="211">
        <v>9</v>
      </c>
      <c r="C24" s="211">
        <v>46714973.42657344</v>
      </c>
      <c r="D24" s="211">
        <v>46704473.42657344</v>
      </c>
      <c r="E24" s="211">
        <v>46479473.42657344</v>
      </c>
      <c r="F24" s="211">
        <v>46419473.42657344</v>
      </c>
      <c r="G24" s="211">
        <v>46419473.42657344</v>
      </c>
      <c r="H24" s="211">
        <v>232737867.13286719</v>
      </c>
    </row>
    <row r="25" spans="1:8" x14ac:dyDescent="0.25">
      <c r="A25" s="195" t="s">
        <v>221</v>
      </c>
      <c r="B25" s="211">
        <v>2</v>
      </c>
      <c r="C25" s="211">
        <v>45914000.000000007</v>
      </c>
      <c r="D25" s="211">
        <v>45914000.000000007</v>
      </c>
      <c r="E25" s="211">
        <v>45914000.000000007</v>
      </c>
      <c r="F25" s="211">
        <v>45914000.000000007</v>
      </c>
      <c r="G25" s="211">
        <v>45914000.000000007</v>
      </c>
      <c r="H25" s="211">
        <v>229570000.00000003</v>
      </c>
    </row>
    <row r="26" spans="1:8" x14ac:dyDescent="0.25">
      <c r="A26" s="195" t="s">
        <v>223</v>
      </c>
      <c r="B26" s="211">
        <v>4</v>
      </c>
      <c r="C26" s="211">
        <v>280973.42657343397</v>
      </c>
      <c r="D26" s="211">
        <v>270473.42657343397</v>
      </c>
      <c r="E26" s="211">
        <v>285473.42657343397</v>
      </c>
      <c r="F26" s="211">
        <v>225473.42657343397</v>
      </c>
      <c r="G26" s="211">
        <v>225473.42657343397</v>
      </c>
      <c r="H26" s="211">
        <v>1287867.1328671698</v>
      </c>
    </row>
    <row r="27" spans="1:8" x14ac:dyDescent="0.25">
      <c r="A27" s="195" t="s">
        <v>232</v>
      </c>
      <c r="B27" s="211">
        <v>1</v>
      </c>
      <c r="C27" s="211">
        <v>160000</v>
      </c>
      <c r="D27" s="211">
        <v>160000</v>
      </c>
      <c r="E27" s="211">
        <v>160000</v>
      </c>
      <c r="F27" s="211">
        <v>160000</v>
      </c>
      <c r="G27" s="211">
        <v>160000</v>
      </c>
      <c r="H27" s="211">
        <v>800000</v>
      </c>
    </row>
    <row r="28" spans="1:8" x14ac:dyDescent="0.25">
      <c r="A28" s="195" t="s">
        <v>218</v>
      </c>
      <c r="B28" s="211">
        <v>1</v>
      </c>
      <c r="C28" s="211">
        <v>120000</v>
      </c>
      <c r="D28" s="211">
        <v>120000</v>
      </c>
      <c r="E28" s="211">
        <v>120000</v>
      </c>
      <c r="F28" s="211">
        <v>120000</v>
      </c>
      <c r="G28" s="211">
        <v>120000</v>
      </c>
      <c r="H28" s="211">
        <v>600000</v>
      </c>
    </row>
    <row r="29" spans="1:8" x14ac:dyDescent="0.25">
      <c r="A29" s="195" t="s">
        <v>224</v>
      </c>
      <c r="B29" s="211">
        <v>1</v>
      </c>
      <c r="C29" s="211">
        <v>240000</v>
      </c>
      <c r="D29" s="211">
        <v>240000</v>
      </c>
      <c r="E29" s="211">
        <v>0</v>
      </c>
      <c r="F29" s="211">
        <v>0</v>
      </c>
      <c r="G29" s="211">
        <v>0</v>
      </c>
      <c r="H29" s="211">
        <v>480000</v>
      </c>
    </row>
    <row r="30" spans="1:8" x14ac:dyDescent="0.25">
      <c r="A30" s="699" t="s">
        <v>141</v>
      </c>
      <c r="B30" s="703">
        <v>302</v>
      </c>
      <c r="C30" s="703">
        <v>603786218.46259487</v>
      </c>
      <c r="D30" s="703">
        <v>576195819.31622255</v>
      </c>
      <c r="E30" s="703">
        <v>582996173.36145806</v>
      </c>
      <c r="F30" s="703">
        <v>587219860.95192885</v>
      </c>
      <c r="G30" s="703">
        <v>582365662.40669334</v>
      </c>
      <c r="H30" s="703">
        <v>2932603734.4988956</v>
      </c>
    </row>
  </sheetData>
  <mergeCells count="2">
    <mergeCell ref="E4:G4"/>
    <mergeCell ref="A2:C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sheetPr>
  <dimension ref="A3:G83"/>
  <sheetViews>
    <sheetView showGridLines="0" topLeftCell="A4" zoomScale="80" zoomScaleNormal="80" workbookViewId="0">
      <selection activeCell="C5" sqref="C5"/>
    </sheetView>
  </sheetViews>
  <sheetFormatPr baseColWidth="10" defaultColWidth="11.59765625" defaultRowHeight="15.65" x14ac:dyDescent="0.25"/>
  <cols>
    <col min="1" max="1" width="67.796875" style="213" bestFit="1" customWidth="1"/>
    <col min="2" max="2" width="21.09765625" bestFit="1" customWidth="1"/>
    <col min="3" max="4" width="12.69921875" bestFit="1" customWidth="1"/>
    <col min="5" max="5" width="22.3984375" bestFit="1" customWidth="1"/>
    <col min="6" max="6" width="11.8984375" bestFit="1" customWidth="1"/>
    <col min="7" max="7" width="13.3984375" bestFit="1" customWidth="1"/>
  </cols>
  <sheetData>
    <row r="3" spans="1:7" hidden="1" x14ac:dyDescent="0.25">
      <c r="A3" s="212" t="s">
        <v>234</v>
      </c>
      <c r="B3" s="193" t="s">
        <v>144</v>
      </c>
      <c r="C3" s="825"/>
      <c r="D3" s="825"/>
      <c r="E3" s="825"/>
      <c r="F3" s="825"/>
      <c r="G3" s="825"/>
    </row>
    <row r="4" spans="1:7" s="232" customFormat="1" ht="31.25" x14ac:dyDescent="0.25">
      <c r="A4" s="692" t="s">
        <v>235</v>
      </c>
      <c r="B4" s="692" t="s">
        <v>137</v>
      </c>
      <c r="C4" s="692" t="s">
        <v>132</v>
      </c>
      <c r="D4" s="692" t="s">
        <v>134</v>
      </c>
      <c r="E4" s="692" t="s">
        <v>120</v>
      </c>
      <c r="F4" s="692" t="s">
        <v>139</v>
      </c>
      <c r="G4" s="692" t="s">
        <v>141</v>
      </c>
    </row>
    <row r="5" spans="1:7" s="231" customFormat="1" ht="31.25" x14ac:dyDescent="0.25">
      <c r="A5" s="223" t="s">
        <v>129</v>
      </c>
      <c r="B5" s="211">
        <v>296506616.70204663</v>
      </c>
      <c r="C5" s="211">
        <v>296337435.08262587</v>
      </c>
      <c r="D5" s="211">
        <v>260453022.2753107</v>
      </c>
      <c r="E5" s="211">
        <v>809324670.78916657</v>
      </c>
      <c r="F5" s="211"/>
      <c r="G5" s="211">
        <v>1662621744.8491497</v>
      </c>
    </row>
    <row r="6" spans="1:7" x14ac:dyDescent="0.25">
      <c r="A6" s="223" t="s">
        <v>123</v>
      </c>
      <c r="B6" s="211">
        <v>67605600</v>
      </c>
      <c r="C6" s="211">
        <v>167190118.75000003</v>
      </c>
      <c r="D6" s="211">
        <v>37785307.5</v>
      </c>
      <c r="E6" s="211">
        <v>285912976.25</v>
      </c>
      <c r="F6" s="211"/>
      <c r="G6" s="211">
        <v>558494002.5</v>
      </c>
    </row>
    <row r="7" spans="1:7" x14ac:dyDescent="0.25">
      <c r="A7" s="223" t="s">
        <v>130</v>
      </c>
      <c r="B7" s="211"/>
      <c r="C7" s="211">
        <v>30224000</v>
      </c>
      <c r="D7" s="211">
        <v>69367000</v>
      </c>
      <c r="E7" s="211">
        <v>97047150</v>
      </c>
      <c r="F7" s="211"/>
      <c r="G7" s="211">
        <v>196638150</v>
      </c>
    </row>
    <row r="8" spans="1:7" x14ac:dyDescent="0.25">
      <c r="A8" s="223" t="s">
        <v>140</v>
      </c>
      <c r="B8" s="211"/>
      <c r="C8" s="211"/>
      <c r="D8" s="211"/>
      <c r="E8" s="211"/>
      <c r="F8" s="211">
        <v>123607524.29305695</v>
      </c>
      <c r="G8" s="211">
        <v>123607524.29305695</v>
      </c>
    </row>
    <row r="9" spans="1:7" x14ac:dyDescent="0.25">
      <c r="A9" s="223" t="s">
        <v>126</v>
      </c>
      <c r="B9" s="211">
        <v>15808200.814068444</v>
      </c>
      <c r="C9" s="211">
        <v>28739188.592694364</v>
      </c>
      <c r="D9" s="211">
        <v>13424435.794686846</v>
      </c>
      <c r="E9" s="211">
        <v>51426735.532403573</v>
      </c>
      <c r="F9" s="211"/>
      <c r="G9" s="211">
        <v>109398560.73385322</v>
      </c>
    </row>
    <row r="10" spans="1:7" x14ac:dyDescent="0.25">
      <c r="A10" s="223" t="s">
        <v>125</v>
      </c>
      <c r="B10" s="211">
        <v>6688010.4989476232</v>
      </c>
      <c r="C10" s="211">
        <v>24034318.361551739</v>
      </c>
      <c r="D10" s="211"/>
      <c r="E10" s="211">
        <v>35208487.323639899</v>
      </c>
      <c r="F10" s="211"/>
      <c r="G10" s="211">
        <v>65930816.184139267</v>
      </c>
    </row>
    <row r="11" spans="1:7" x14ac:dyDescent="0.25">
      <c r="A11" s="223" t="s">
        <v>138</v>
      </c>
      <c r="B11" s="211">
        <v>57165000</v>
      </c>
      <c r="C11" s="211"/>
      <c r="D11" s="211"/>
      <c r="E11" s="211"/>
      <c r="F11" s="211"/>
      <c r="G11" s="211">
        <v>57165000</v>
      </c>
    </row>
    <row r="12" spans="1:7" x14ac:dyDescent="0.25">
      <c r="A12" s="223" t="s">
        <v>135</v>
      </c>
      <c r="B12" s="211"/>
      <c r="C12" s="211"/>
      <c r="D12" s="211">
        <v>51985000</v>
      </c>
      <c r="E12" s="211"/>
      <c r="F12" s="211"/>
      <c r="G12" s="211">
        <v>51985000</v>
      </c>
    </row>
    <row r="13" spans="1:7" x14ac:dyDescent="0.25">
      <c r="A13" s="223" t="s">
        <v>136</v>
      </c>
      <c r="B13" s="211">
        <v>28103276.525878508</v>
      </c>
      <c r="C13" s="211"/>
      <c r="D13" s="211">
        <v>8228981.7156880293</v>
      </c>
      <c r="E13" s="211"/>
      <c r="F13" s="211"/>
      <c r="G13" s="211">
        <v>36332258.241566539</v>
      </c>
    </row>
    <row r="14" spans="1:7" x14ac:dyDescent="0.25">
      <c r="A14" s="223" t="s">
        <v>131</v>
      </c>
      <c r="B14" s="211">
        <v>2529388.7583459183</v>
      </c>
      <c r="C14" s="211">
        <v>3078266.1297029927</v>
      </c>
      <c r="D14" s="211">
        <v>4376249.1873257672</v>
      </c>
      <c r="E14" s="211">
        <v>24078947.396373194</v>
      </c>
      <c r="F14" s="211"/>
      <c r="G14" s="211">
        <v>34062851.471747875</v>
      </c>
    </row>
    <row r="15" spans="1:7" x14ac:dyDescent="0.25">
      <c r="A15" s="223" t="s">
        <v>122</v>
      </c>
      <c r="B15" s="211">
        <v>2730000</v>
      </c>
      <c r="C15" s="211">
        <v>2480000</v>
      </c>
      <c r="D15" s="211">
        <v>2230000</v>
      </c>
      <c r="E15" s="211">
        <v>4430000</v>
      </c>
      <c r="F15" s="211"/>
      <c r="G15" s="211">
        <v>11870000</v>
      </c>
    </row>
    <row r="16" spans="1:7" x14ac:dyDescent="0.25">
      <c r="A16" s="223" t="s">
        <v>133</v>
      </c>
      <c r="B16" s="211"/>
      <c r="C16" s="211">
        <v>9670000</v>
      </c>
      <c r="D16" s="211"/>
      <c r="E16" s="211"/>
      <c r="F16" s="211"/>
      <c r="G16" s="211">
        <v>9670000</v>
      </c>
    </row>
    <row r="17" spans="1:7" x14ac:dyDescent="0.25">
      <c r="A17" s="223" t="s">
        <v>124</v>
      </c>
      <c r="B17" s="211"/>
      <c r="C17" s="211"/>
      <c r="D17" s="211"/>
      <c r="E17" s="211">
        <v>8640000</v>
      </c>
      <c r="F17" s="211"/>
      <c r="G17" s="211">
        <v>8640000</v>
      </c>
    </row>
    <row r="18" spans="1:7" x14ac:dyDescent="0.25">
      <c r="A18" s="223" t="s">
        <v>127</v>
      </c>
      <c r="B18" s="211"/>
      <c r="C18" s="211">
        <v>1287867.1328671698</v>
      </c>
      <c r="D18" s="211">
        <v>730350.61126599868</v>
      </c>
      <c r="E18" s="211">
        <v>349608.48124971718</v>
      </c>
      <c r="F18" s="211"/>
      <c r="G18" s="211">
        <v>2367826.2253828859</v>
      </c>
    </row>
    <row r="19" spans="1:7" x14ac:dyDescent="0.25">
      <c r="A19" s="223" t="s">
        <v>121</v>
      </c>
      <c r="B19" s="211">
        <v>900000</v>
      </c>
      <c r="C19" s="211"/>
      <c r="D19" s="211"/>
      <c r="E19" s="211">
        <v>1120000</v>
      </c>
      <c r="F19" s="211"/>
      <c r="G19" s="211">
        <v>2020000</v>
      </c>
    </row>
    <row r="20" spans="1:7" x14ac:dyDescent="0.25">
      <c r="A20" s="223" t="s">
        <v>128</v>
      </c>
      <c r="B20" s="211"/>
      <c r="C20" s="211"/>
      <c r="D20" s="211"/>
      <c r="E20" s="211">
        <v>1800000</v>
      </c>
      <c r="F20" s="211"/>
      <c r="G20" s="211">
        <v>1800000</v>
      </c>
    </row>
    <row r="21" spans="1:7" x14ac:dyDescent="0.25">
      <c r="A21" s="689" t="s">
        <v>141</v>
      </c>
      <c r="B21" s="697">
        <v>478036093.29928714</v>
      </c>
      <c r="C21" s="697">
        <v>563041194.04944229</v>
      </c>
      <c r="D21" s="697">
        <v>448580347.08427739</v>
      </c>
      <c r="E21" s="697">
        <v>1319338575.7728329</v>
      </c>
      <c r="F21" s="697">
        <v>123607524.29305695</v>
      </c>
      <c r="G21" s="697">
        <v>2932603734.4988966</v>
      </c>
    </row>
    <row r="22" spans="1:7" x14ac:dyDescent="0.25">
      <c r="A22" s="825"/>
      <c r="B22" s="825"/>
      <c r="C22" s="825"/>
      <c r="D22" s="825"/>
      <c r="E22" s="825"/>
      <c r="F22" s="825"/>
      <c r="G22" s="825"/>
    </row>
    <row r="23" spans="1:7" x14ac:dyDescent="0.25">
      <c r="A23" s="825"/>
      <c r="B23" s="825"/>
      <c r="C23" s="825"/>
      <c r="D23" s="825"/>
      <c r="E23" s="825"/>
      <c r="F23" s="825"/>
      <c r="G23" s="825"/>
    </row>
    <row r="24" spans="1:7" x14ac:dyDescent="0.25">
      <c r="A24" s="825"/>
      <c r="B24" s="825"/>
      <c r="C24" s="825"/>
      <c r="D24" s="825"/>
      <c r="E24" s="825"/>
      <c r="F24" s="825"/>
      <c r="G24" s="825"/>
    </row>
    <row r="25" spans="1:7" x14ac:dyDescent="0.25">
      <c r="A25" s="825"/>
      <c r="B25" s="825"/>
      <c r="C25" s="825"/>
      <c r="D25" s="825"/>
      <c r="E25" s="825"/>
      <c r="F25" s="825"/>
      <c r="G25" s="825"/>
    </row>
    <row r="26" spans="1:7" x14ac:dyDescent="0.25">
      <c r="A26" s="825"/>
      <c r="B26" s="825"/>
      <c r="C26" s="825"/>
      <c r="D26" s="825"/>
      <c r="E26" s="825"/>
      <c r="F26" s="825"/>
      <c r="G26" s="825"/>
    </row>
    <row r="27" spans="1:7" x14ac:dyDescent="0.25">
      <c r="A27" s="825"/>
      <c r="B27" s="825"/>
      <c r="C27" s="825"/>
      <c r="D27" s="825"/>
      <c r="E27" s="825"/>
      <c r="F27" s="825"/>
      <c r="G27" s="825"/>
    </row>
    <row r="28" spans="1:7" x14ac:dyDescent="0.25">
      <c r="A28" s="825"/>
      <c r="B28" s="825"/>
      <c r="C28" s="825"/>
      <c r="D28" s="825"/>
      <c r="E28" s="825"/>
      <c r="F28" s="825"/>
      <c r="G28" s="825"/>
    </row>
    <row r="29" spans="1:7" x14ac:dyDescent="0.25">
      <c r="A29" s="825"/>
      <c r="B29" s="825"/>
      <c r="C29" s="825"/>
      <c r="D29" s="825"/>
      <c r="E29" s="825"/>
      <c r="F29" s="825"/>
      <c r="G29" s="825"/>
    </row>
    <row r="30" spans="1:7" x14ac:dyDescent="0.25">
      <c r="A30" s="825"/>
      <c r="B30" s="825"/>
      <c r="C30" s="825"/>
      <c r="D30" s="825"/>
      <c r="E30" s="825"/>
      <c r="F30" s="825"/>
      <c r="G30" s="825"/>
    </row>
    <row r="31" spans="1:7" x14ac:dyDescent="0.25">
      <c r="A31" s="825"/>
      <c r="B31" s="825"/>
      <c r="C31" s="825"/>
      <c r="D31" s="825"/>
      <c r="E31" s="825"/>
      <c r="F31" s="825"/>
      <c r="G31" s="825"/>
    </row>
    <row r="32" spans="1:7" x14ac:dyDescent="0.25">
      <c r="A32" s="825"/>
      <c r="B32" s="825"/>
      <c r="C32" s="825"/>
      <c r="D32" s="825"/>
      <c r="E32" s="825"/>
      <c r="F32" s="825"/>
      <c r="G32" s="825"/>
    </row>
    <row r="33" spans="1:1" x14ac:dyDescent="0.25">
      <c r="A33" s="825"/>
    </row>
    <row r="34" spans="1:1" x14ac:dyDescent="0.25">
      <c r="A34" s="825"/>
    </row>
    <row r="35" spans="1:1" x14ac:dyDescent="0.25">
      <c r="A35" s="825"/>
    </row>
    <row r="36" spans="1:1" x14ac:dyDescent="0.25">
      <c r="A36" s="825"/>
    </row>
    <row r="37" spans="1:1" x14ac:dyDescent="0.25">
      <c r="A37" s="825"/>
    </row>
    <row r="38" spans="1:1" x14ac:dyDescent="0.25">
      <c r="A38" s="825"/>
    </row>
    <row r="39" spans="1:1" x14ac:dyDescent="0.25">
      <c r="A39" s="825"/>
    </row>
    <row r="40" spans="1:1" x14ac:dyDescent="0.25">
      <c r="A40" s="825"/>
    </row>
    <row r="41" spans="1:1" x14ac:dyDescent="0.25">
      <c r="A41" s="825"/>
    </row>
    <row r="42" spans="1:1" x14ac:dyDescent="0.25">
      <c r="A42" s="825"/>
    </row>
    <row r="43" spans="1:1" x14ac:dyDescent="0.25">
      <c r="A43" s="825"/>
    </row>
    <row r="44" spans="1:1" x14ac:dyDescent="0.25">
      <c r="A44" s="825"/>
    </row>
    <row r="45" spans="1:1" x14ac:dyDescent="0.25">
      <c r="A45" s="825"/>
    </row>
    <row r="46" spans="1:1" x14ac:dyDescent="0.25">
      <c r="A46" s="825"/>
    </row>
    <row r="47" spans="1:1" x14ac:dyDescent="0.25">
      <c r="A47" s="825"/>
    </row>
    <row r="48" spans="1:1" x14ac:dyDescent="0.25">
      <c r="A48" s="825"/>
    </row>
    <row r="49" spans="1:1" x14ac:dyDescent="0.25">
      <c r="A49" s="825"/>
    </row>
    <row r="50" spans="1:1" x14ac:dyDescent="0.25">
      <c r="A50" s="825"/>
    </row>
    <row r="51" spans="1:1" x14ac:dyDescent="0.25">
      <c r="A51" s="825"/>
    </row>
    <row r="52" spans="1:1" x14ac:dyDescent="0.25">
      <c r="A52" s="825"/>
    </row>
    <row r="53" spans="1:1" x14ac:dyDescent="0.25">
      <c r="A53" s="825"/>
    </row>
    <row r="54" spans="1:1" x14ac:dyDescent="0.25">
      <c r="A54" s="825"/>
    </row>
    <row r="55" spans="1:1" x14ac:dyDescent="0.25">
      <c r="A55" s="825"/>
    </row>
    <row r="56" spans="1:1" x14ac:dyDescent="0.25">
      <c r="A56" s="825"/>
    </row>
    <row r="57" spans="1:1" x14ac:dyDescent="0.25">
      <c r="A57" s="825"/>
    </row>
    <row r="58" spans="1:1" x14ac:dyDescent="0.25">
      <c r="A58" s="825"/>
    </row>
    <row r="59" spans="1:1" x14ac:dyDescent="0.25">
      <c r="A59" s="825"/>
    </row>
    <row r="60" spans="1:1" x14ac:dyDescent="0.25">
      <c r="A60" s="825"/>
    </row>
    <row r="61" spans="1:1" x14ac:dyDescent="0.25">
      <c r="A61" s="825"/>
    </row>
    <row r="62" spans="1:1" x14ac:dyDescent="0.25">
      <c r="A62" s="825"/>
    </row>
    <row r="63" spans="1:1" x14ac:dyDescent="0.25">
      <c r="A63" s="825"/>
    </row>
    <row r="64" spans="1:1" x14ac:dyDescent="0.25">
      <c r="A64" s="825"/>
    </row>
    <row r="65" spans="1:1" x14ac:dyDescent="0.25">
      <c r="A65" s="825"/>
    </row>
    <row r="66" spans="1:1" x14ac:dyDescent="0.25">
      <c r="A66" s="825"/>
    </row>
    <row r="67" spans="1:1" x14ac:dyDescent="0.25">
      <c r="A67" s="825"/>
    </row>
    <row r="68" spans="1:1" x14ac:dyDescent="0.25">
      <c r="A68" s="825"/>
    </row>
    <row r="69" spans="1:1" x14ac:dyDescent="0.25">
      <c r="A69" s="825"/>
    </row>
    <row r="70" spans="1:1" x14ac:dyDescent="0.25">
      <c r="A70" s="825"/>
    </row>
    <row r="71" spans="1:1" x14ac:dyDescent="0.25">
      <c r="A71" s="825"/>
    </row>
    <row r="72" spans="1:1" x14ac:dyDescent="0.25">
      <c r="A72" s="825"/>
    </row>
    <row r="73" spans="1:1" x14ac:dyDescent="0.25">
      <c r="A73" s="825"/>
    </row>
    <row r="74" spans="1:1" x14ac:dyDescent="0.25">
      <c r="A74" s="825"/>
    </row>
    <row r="75" spans="1:1" x14ac:dyDescent="0.25">
      <c r="A75" s="825"/>
    </row>
    <row r="76" spans="1:1" x14ac:dyDescent="0.25">
      <c r="A76" s="825"/>
    </row>
    <row r="77" spans="1:1" x14ac:dyDescent="0.25">
      <c r="A77" s="825"/>
    </row>
    <row r="78" spans="1:1" x14ac:dyDescent="0.25">
      <c r="A78" s="825"/>
    </row>
    <row r="79" spans="1:1" x14ac:dyDescent="0.25">
      <c r="A79" s="825"/>
    </row>
    <row r="80" spans="1:1" x14ac:dyDescent="0.25">
      <c r="A80" s="825"/>
    </row>
    <row r="81" spans="1:1" x14ac:dyDescent="0.25">
      <c r="A81" s="825"/>
    </row>
    <row r="82" spans="1:1" x14ac:dyDescent="0.25">
      <c r="A82" s="825"/>
    </row>
    <row r="83" spans="1:1" x14ac:dyDescent="0.25">
      <c r="A83" s="825"/>
    </row>
  </sheetData>
  <conditionalFormatting sqref="A5 A17">
    <cfRule type="expression" dxfId="1870" priority="1">
      <formula>MOD(ROW(),2)=0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44</vt:i4>
      </vt:variant>
    </vt:vector>
  </HeadingPairs>
  <TitlesOfParts>
    <vt:vector size="44" baseType="lpstr">
      <vt:lpstr>Instrucciones</vt:lpstr>
      <vt:lpstr>1.Metas Política SM</vt:lpstr>
      <vt:lpstr>UDT -USAS-INTRV</vt:lpstr>
      <vt:lpstr>Priorizaión</vt:lpstr>
      <vt:lpstr>Intr y S X USA y UDT</vt:lpstr>
      <vt:lpstr>Intr y S X UDT - USA</vt:lpstr>
      <vt:lpstr>Pres Prog-Pyto Comp X UDT</vt:lpstr>
      <vt:lpstr>Presp RE x Año</vt:lpstr>
      <vt:lpstr>Presp USA y CAt X UDT</vt:lpstr>
      <vt:lpstr>CATEGORIAS X UDT</vt:lpstr>
      <vt:lpstr>Presp Cat e Inter X UDT</vt:lpstr>
      <vt:lpstr>COMPONENTES X UDT</vt:lpstr>
      <vt:lpstr>RE X UDT</vt:lpstr>
      <vt:lpstr>APALANCTO X UDT 1</vt:lpstr>
      <vt:lpstr>APALANCTO X UDT 2</vt:lpstr>
      <vt:lpstr>APALANCTO X UDT 3</vt:lpstr>
      <vt:lpstr>Intev x UDT y USAs</vt:lpstr>
      <vt:lpstr> USA-COMP-INTER X USA -PRIORIZA</vt:lpstr>
      <vt:lpstr>PRESUP X AÑO A NIVEL UDT Y USA</vt:lpstr>
      <vt:lpstr>INTERVENCIONES TOTAL</vt:lpstr>
      <vt:lpstr>USA VS PROGRAMAS</vt:lpstr>
      <vt:lpstr>USA-COMP-INTER VS PROGRAMA</vt:lpstr>
      <vt:lpstr>2.Teoría de Cambio San Martín</vt:lpstr>
      <vt:lpstr>3.Intervenciones Transv. Region</vt:lpstr>
      <vt:lpstr>4. Intervenciones UDT - HCBM</vt:lpstr>
      <vt:lpstr>5. Intervenciones UDT - AH</vt:lpstr>
      <vt:lpstr>6. Intervenciones UDT- AM</vt:lpstr>
      <vt:lpstr>7. Intervenciones UDT- BH</vt:lpstr>
      <vt:lpstr>9. Costos Centrales</vt:lpstr>
      <vt:lpstr>8. BASE  CONSOLIDADA</vt:lpstr>
      <vt:lpstr>10. Ranking</vt:lpstr>
      <vt:lpstr>11. Presup x Progra-Componente</vt:lpstr>
      <vt:lpstr>12 Presup x USA -Compo -Pytos</vt:lpstr>
      <vt:lpstr>13. ESTADISTICAS</vt:lpstr>
      <vt:lpstr>14. Gasto en cambio climático</vt:lpstr>
      <vt:lpstr>15. Base Pytos - Invierte.pe</vt:lpstr>
      <vt:lpstr>16. Base Pytos Cooperación</vt:lpstr>
      <vt:lpstr>17. Flujo</vt:lpstr>
      <vt:lpstr>18. Salvaguardas</vt:lpstr>
      <vt:lpstr>19. Estadísticas Salvaguardas</vt:lpstr>
      <vt:lpstr>20 Estad Recursos Potenciales</vt:lpstr>
      <vt:lpstr>Resumen de intervenciones y uni</vt:lpstr>
      <vt:lpstr>Dist X UDT</vt:lpstr>
      <vt:lpstr>Distr X USA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Luna</dc:creator>
  <cp:keywords/>
  <dc:description/>
  <cp:lastModifiedBy>Melisa Karen Arevalo Muñoz</cp:lastModifiedBy>
  <cp:revision/>
  <dcterms:created xsi:type="dcterms:W3CDTF">2019-12-30T17:07:36Z</dcterms:created>
  <dcterms:modified xsi:type="dcterms:W3CDTF">2021-12-29T22:08:41Z</dcterms:modified>
  <cp:category/>
  <cp:contentStatus/>
</cp:coreProperties>
</file>